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codeName="EstaPasta_de_trabalho"/>
  <mc:AlternateContent xmlns:mc="http://schemas.openxmlformats.org/markup-compatibility/2006">
    <mc:Choice Requires="x15">
      <x15ac:absPath xmlns:x15ac="http://schemas.microsoft.com/office/spreadsheetml/2010/11/ac" url="E:\ALDO\00 - PIRANGUÇU\CONVÊNIOS\FEDERAL\2025 PAC SELEÇÕES\56000003171 MINHA CASA MINHA VIDA\PROJETOS\2026 Documentos Pendencias\DOCS ASSINADOS 05-02-2026\ORÇA ASSINADO\"/>
    </mc:Choice>
  </mc:AlternateContent>
  <xr:revisionPtr revIDLastSave="0" documentId="8_{D313F79B-BE86-4DDE-A886-302255EEA82D}" xr6:coauthVersionLast="47" xr6:coauthVersionMax="47" xr10:uidLastSave="{00000000-0000-0000-0000-000000000000}"/>
  <workbookProtection workbookAlgorithmName="SHA-512" workbookHashValue="KCL3LVwi7hKDchw28IBRKtWR8NiyGQ73xGn7fVTb6aikh71GZD9Ol89c2LLQ8ob1kHkx/hcn0aBhK0rYPnNtIw==" workbookSaltValue="EBS+v/ynjhxnf0URHg1QIA==" workbookSpinCount="100000" lockStructure="1"/>
  <bookViews>
    <workbookView xWindow="28680" yWindow="-120" windowWidth="29040" windowHeight="15720" tabRatio="801" activeTab="6"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BM!$C$15:$C$235</definedName>
    <definedName name="_xlnm._FilterDatabase" localSheetId="6" hidden="1">CÁLCULO!$C$15:$C$235</definedName>
    <definedName name="_xlnm._FilterDatabase" localSheetId="8" hidden="1">CRONO!$G$13:$G$136</definedName>
    <definedName name="_xlnm._FilterDatabase" localSheetId="7" hidden="1">CRONOPLE!$A$13:$A$72</definedName>
    <definedName name="_xlnm._FilterDatabase" localSheetId="5" hidden="1">EVENTOS!$A$13:$A$65</definedName>
    <definedName name="_xlnm._FilterDatabase" localSheetId="4" hidden="1">ORÇAMENTO!$L$15:$L$235</definedName>
    <definedName name="_xlnm._FilterDatabase" localSheetId="10" hidden="1">PLE!$A$13:$A$74</definedName>
    <definedName name="_xlnm._FilterDatabase" localSheetId="9" hidden="1">QCI!$C$13:$C$25</definedName>
    <definedName name="_xlnm._FilterDatabase" localSheetId="12" hidden="1">RRE!$D$13:$D$30</definedName>
    <definedName name="ACOMPANHAMENTO" hidden="1">MENU!$J$4</definedName>
    <definedName name="AdmLocal" hidden="1">CÁLCULO!$A$11</definedName>
    <definedName name="_xlnm.Print_Area" localSheetId="3">BDI!$J$1:$S$132</definedName>
    <definedName name="_xlnm.Print_Area" localSheetId="11">BM!$D$1:$O$250</definedName>
    <definedName name="_xlnm.Print_Area" localSheetId="6">CÁLCULO!$E$6:$AS$243</definedName>
    <definedName name="_xlnm.Print_Area" localSheetId="8">CRONO!$I$1:$AG$136</definedName>
    <definedName name="_xlnm.Print_Area" localSheetId="5">EVENTOS!$C$2:$Z$65</definedName>
    <definedName name="_xlnm.Print_Area" localSheetId="1">MENU!$A$1:$I$25</definedName>
    <definedName name="_xlnm.Print_Area" localSheetId="13">OFÍCIO!$A$1:$G$56</definedName>
    <definedName name="_xlnm.Print_Area" localSheetId="4">ORÇAMENTO!$O$1:$Y$252</definedName>
    <definedName name="_xlnm.Print_Area" localSheetId="10">PLE!$B$3:$AG$75</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BM!$C$15:$C$235</definedName>
    <definedName name="BM.firstrow" hidden="1">BM!$15:$15</definedName>
    <definedName name="BM.FormulaMed" hidden="1">BM!$AO$7</definedName>
    <definedName name="BM.lastrow" hidden="1">BM!$235:$235</definedName>
    <definedName name="BM.LinhaPadrão" hidden="1">BM!$14:$14</definedName>
    <definedName name="BM.MaxMed" hidden="1">IF(RegimeExecucao="Global",1,BM!$G1)</definedName>
    <definedName name="BM.MCAIXA.Filter" hidden="1">BM!$C$15:$Z$235</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CÁLCULO!$C$15:$C$235</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CÁLCULO!$AI:$AI</definedName>
    <definedName name="CÁLCULO.lastrow" hidden="1">CÁLCULO!$235:$235</definedName>
    <definedName name="CÁLCULO.LinhaPadrão" hidden="1">CÁLCULO!$14:$14</definedName>
    <definedName name="CÁLCULO.margemrow" hidden="1">CÁLCULO!$243:$243</definedName>
    <definedName name="CÁLCULO.MATRIZ1.ColunaPadrão" hidden="1">CÁLCULO!$AK:$AK</definedName>
    <definedName name="CÁLCULO.MATRIZ1.firstcol" hidden="1">CÁLCULO!$AI:$AI</definedName>
    <definedName name="CÁLCULO.MATRIZ1.lastcol" hidden="1">CÁLCULO!$BB:$BB</definedName>
    <definedName name="CÁLCULO.MATRIZ1.lastrow" hidden="1">CÁLCULO!$235:$235</definedName>
    <definedName name="CÁLCULO.MATRIZ2.ColunaPadrão" hidden="1">CÁLCULO!$BD:$BD</definedName>
    <definedName name="CÁLCULO.MATRIZ2.firstcol" hidden="1">CÁLCULO!$BB:$BB</definedName>
    <definedName name="CÁLCULO.MATRIZ2.lastcol" hidden="1">CÁLCULO!$BU:$BU</definedName>
    <definedName name="CÁLCULO.MATRIZ2.lastrow" hidden="1">CÁLCULO!$235:$235</definedName>
    <definedName name="CÁLCULO.MATRIZ3.ColunaPadrão" hidden="1">CÁLCULO!$BW:$BW</definedName>
    <definedName name="CÁLCULO.MATRIZ3.firstcol" hidden="1">CÁLCULO!$BU:$BU</definedName>
    <definedName name="CÁLCULO.MATRIZ3.lastcol" hidden="1">CÁLCULO!$CN:$CN</definedName>
    <definedName name="CÁLCULO.MATRIZ3.lastrow" hidden="1">CÁLCULO!$235:$235</definedName>
    <definedName name="CÁLCULO.nEvento" hidden="1">CÁLCULO!$M$12</definedName>
    <definedName name="CÁLCULO.NúmeroDeEventos" hidden="1">IF(AUTOEVENTO&lt;&gt;"manual",MAX(CÁLCULO!$M$15:$M$235),MAX(OFFSET(EVENTOS!$C$1:$C$58,1,0)))</definedName>
    <definedName name="CÁLCULO.NúmeroDeFrentes" hidden="1">COLUMN(CÁLCULO!$AI$15)-COLUMN(CÁLCULO!$Q$15)</definedName>
    <definedName name="CÁLCULO.Título" hidden="1">CÁLCULO!$F$6</definedName>
    <definedName name="CÁLCULO.TotalAdmLocal" hidden="1">IF(AUTOEVENTO="manual",SUMIF(CÁLCULO!$M$15:$M$235,1,ORÇAMENTO!$X$15:$X$235),0)</definedName>
    <definedName name="CRONO.ColAux" hidden="1">CRONO!$M:$R</definedName>
    <definedName name="CRONO.ColunaPadrão" hidden="1">CRONO!$E:$E</definedName>
    <definedName name="CRONO.Erro" hidden="1">CRONO!$K$10</definedName>
    <definedName name="CRONO.Filtro" hidden="1">CRONO!$G$13:$G$136</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CRONO!$119:$119</definedName>
    <definedName name="CRONO.lastrow2" hidden="1">CRONO!$131:$131</definedName>
    <definedName name="CRONO.LinhaPadrão" hidden="1">CRONO!$1:$3</definedName>
    <definedName name="CRONO.LinhasNecessarias" hidden="1">COUNTIF(QCI!$B$13:$B$24,"Manual")+COUNTIF(QCI!$B$13:$B$24,"SemiAuto")+COUNT(ORÇAMENTO.ListaCrono)</definedName>
    <definedName name="CRONO.Lista.AdmLocal" hidden="1">CRONO!$A$13:$A$119</definedName>
    <definedName name="CRONO.Lista.Níveis" hidden="1">CRONO!$A$9:$A$11</definedName>
    <definedName name="CRONO.margemrow" hidden="1">CRONO!$136:$136</definedName>
    <definedName name="CRONO.MaxParc" hidden="1">CRONO!$H1048576+CRONO!A1</definedName>
    <definedName name="CRONO.NivelExibicao" hidden="1">CRONO!$H$10</definedName>
    <definedName name="CRONO.Parcela1" hidden="1">CRONO!$U$12:$U$13</definedName>
    <definedName name="CRONO.ParcelaFinal" hidden="1">MATCH(100%,CRONO!$U$125:$AG$125,0)</definedName>
    <definedName name="CRONO.Título" hidden="1">CRONO!$S$4</definedName>
    <definedName name="CRONOPLE.ColunaPadrão" hidden="1">CRONOPLE!$E:$E</definedName>
    <definedName name="CRONOPLE.Erro" hidden="1">CRONOPLE!$B$6</definedName>
    <definedName name="CRONOPLE.Filtro" hidden="1">CRONOPLE!$A$13:$A$72</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CRONOPLE!$58:$58</definedName>
    <definedName name="CRONOPLE.lastrow2" hidden="1">CRONOPLE!$67:$67</definedName>
    <definedName name="CRONOPLE.LinhaPadrão" hidden="1">CRONOPLE!$1:$1</definedName>
    <definedName name="CRONOPLE.Lista.AdmLocal" hidden="1">CRONOPLE!$F$15:$F$58</definedName>
    <definedName name="CRONOPLE.margemrow" hidden="1">CRONOPLE!$74:$74</definedName>
    <definedName name="CRONOPLE.Título" hidden="1">CRONOPLE!$G$2</definedName>
    <definedName name="CRONOPLE.ValorDoEvento" hidden="1">SUMIF(CÁLCULO!$M$15:$M$235,CRONOPLE!$B1,OFFSET(CÁLCULO!$AI$15:$AI$235,0,CRONOPLE!A$12))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EVENTOS!$A$13:$A$65</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EVENTOS!$58:$58</definedName>
    <definedName name="EVENTOS.LinhaPadrão" hidden="1">EVENTOS!$1:$1</definedName>
    <definedName name="EVENTOS.Lista" hidden="1">EVENTOS!$C$15:OFFSET(EVENTOS!$C$58,-1,0)</definedName>
    <definedName name="EVENTOS.Lista.Agrupar" hidden="1">EVENTOS!$B$6:$B$9</definedName>
    <definedName name="EVENTOS.ListaValidacao" hidden="1">EVENTOS!$B$15:OFFSET(EVENTOS!$B$58,-1,0)</definedName>
    <definedName name="EVENTOS.Manual.Preenchidos" hidden="1">EVENTOS!$C$10</definedName>
    <definedName name="EVENTOS.MargemRow" hidden="1">EVENTOS!$65:$65</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BM!$D$238</definedName>
    <definedName name="Import.BMAFAcumulado" hidden="1">OFFSET(BM!$R$15,1,0):OFFSET(BM!$R$235,-1,0)</definedName>
    <definedName name="Import.BMArred" hidden="1">BM!$A$9</definedName>
    <definedName name="Import.CNPJ" hidden="1">DADOS!$C$39</definedName>
    <definedName name="Import.Código" hidden="1">OFFSET(ORÇAMENTO!$Q$15,1,0):OFFSET(ORÇAMENTO!$Q$235,-1,0)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OFFSET(CRONOPLE!$F$15,1,1):OFFSET(CRONOPLE!$AF$58,-1,-1)</definedName>
    <definedName name="Import.CTEF" hidden="1">DADOS!$C$37</definedName>
    <definedName name="Import.CustoUnitário" hidden="1">OFFSET(ORÇAMENTO!$U$15,1,0):OFFSET(ORÇAMENTO!$U$235,-1,0)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OFFSET(ORÇAMENTO!$R$15,1,0):OFFSET(ORÇAMENTO!$R$235,-1,0)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OFFSET(EVENTOS!$D$15,1,0):OFFSET(EVENTOS!$D$58,-1,0)</definedName>
    <definedName name="Import.Fonte" hidden="1">OFFSET(ORÇAMENTO!$P$15,1,0):OFFSET(ORÇAMENTO!$P$235,-1,0)</definedName>
    <definedName name="Import.FrenteDeObra" hidden="1">CÁLCULO!$Q$12:OFFSET(CÁLCULO!$AI$12,0,-1)</definedName>
    <definedName name="Import.MacrosserviçoAdmLocal" hidden="1">CRONO!$H$130</definedName>
    <definedName name="Import.Município" hidden="1">DADOS!$C$6</definedName>
    <definedName name="Import.Nível" hidden="1">OFFSET(ORÇAMENTO!$M$15,1,0):OFFSET(ORÇAMENTO!$M$235,-1,0)</definedName>
    <definedName name="Import.Ofício.Dest" hidden="1">OFÍCIO!$B$11</definedName>
    <definedName name="Import.Ofício.GIGOV" hidden="1">OFÍCIO!$C$11</definedName>
    <definedName name="Import.Ofício.Num" hidden="1">OFÍCIO!$C$6</definedName>
    <definedName name="Import.OpcaoBDI" hidden="1">OFFSET(ORÇAMENTO!$V$15,1,0):OFFSET(ORÇAMENTO!$V$235,-1,0)</definedName>
    <definedName name="Import.ORÇAMENTO.DivRecurso" hidden="1">OFFSET(ORÇAMENTO!$Y$15,1,0):OFFSET(ORÇAMENTO!$Y$235,-1,0)</definedName>
    <definedName name="Import.ORÇAMENTO.Obs" hidden="1">ORÇAMENTO!$O$241</definedName>
    <definedName name="Import.PLE" hidden="1">OFFSET(PLE!$G$15,1,1):OFFSET(PLE!$AG$58,-1,-1)</definedName>
    <definedName name="Import.PLE.Datas" hidden="1">PLE!$I$61:$AF$61</definedName>
    <definedName name="Import.PLQ" hidden="1">OFFSET(CÁLCULO!$P$15,1,1):OFFSET(CÁLCULO!$AI$235,-1,-1)</definedName>
    <definedName name="Import.PLQ.MemCalc" hidden="1">OFFSET(CÁLCULO!$I$15,1,0):OFFSET(CÁLCULO!$I$235,-1,0)</definedName>
    <definedName name="Import.PLQ.nAgrupEvent" hidden="1">OFFSET(CÁLCULO!$K$15,1,0):OFFSET(CÁLCULO!$K$235,-1,0)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OFFSET(ORÇAMENTO!$AJ$15,1,0):OFFSET(ORÇAMENTO!$AJ$235,-1,0)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OFFSET(ORÇAMENTO!$S$15,1,0):OFFSET(ORÇAMENTO!$S$235,-1,0)</definedName>
    <definedName name="Import.UnitarioLicitado" hidden="1">OFFSET(ORÇAMENTO!$AL$15,1,0):OFFSET(ORÇAMENTO!$AL$235,-1,0)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ORÇAMENTO!$L$15:$L$235</definedName>
    <definedName name="ORÇAMENTO.firstrow" hidden="1">ORÇAMENTO!$15:$15</definedName>
    <definedName name="ORÇAMENTO.Fonte" hidden="1">ORÇAMENTO!$P1</definedName>
    <definedName name="ORÇAMENTO.lastrow" hidden="1">ORÇAMENTO!$235:$235</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OFFSET(ORÇAMENTO!$AD$15,1,0):OFFSET(ORÇAMENTO!$AD$235,-1,0)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OFFSET(ORÇAMENTO!$P$15,1,0):OFFSET(ORÇAMENTO!$S$235,-1,0)</definedName>
    <definedName name="ORÇAMENTO.PasteFormat2" hidden="1">OFFSET(ORÇAMENTO!$U$15,1,0):OFFSET(ORÇAMENTO!$V$235,-1,0)</definedName>
    <definedName name="ORÇAMENTO.PrecoUnitarioLicitado" hidden="1">ORÇAMENTO!$AL1</definedName>
    <definedName name="ORÇAMENTO.QuantBM" hidden="1">ORÇAMENTO!$AJ1</definedName>
    <definedName name="ORÇAMENTO.RangeQuant" hidden="1">OFFSET(ORÇAMENTO!$T$15,1,0):OFFSET(ORÇAMENTO!$T$235,-1,0)</definedName>
    <definedName name="ORÇAMENTO.SumCPMANUAL" hidden="1">SUMIF(ORÇAMENTO!$Z$15:$Z$235,"CP",ORÇAMENTO!$AA$15:$AA$235)</definedName>
    <definedName name="ORÇAMENTO.SumINVMANUAL" hidden="1">SUMIF(ORÇAMENTO!$Z$15:$Z$235,"RP",ORÇAMENTO!$X$15:$X$235)+SUMIF(ORÇAMENTO!$Z$15:$Z$235,"CP",ORÇAMENTO!$X$15:$X$235)+SUMIF(ORÇAMENTO!$Z$15:$Z$235,"OU",ORÇAMENTO!$X$15:$X$235)</definedName>
    <definedName name="ORÇAMENTO.SumOUTROSMANUAL" hidden="1">SUMIF(ORÇAMENTO!$Z$15:$Z$235,"OU",ORÇAMENTO!$AB$15:$AB$235)</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PLE!$A$13:$A$74</definedName>
    <definedName name="PLE.FirstCol" hidden="1">PLE!$G:$G</definedName>
    <definedName name="PLE.firstrow" hidden="1">PLE!$15:$15</definedName>
    <definedName name="PLE.FrenteRow" hidden="1">PLE!$11:$11</definedName>
    <definedName name="PLE.LastCol" hidden="1">PLE!$AG:$AG</definedName>
    <definedName name="PLE.lastrow" hidden="1">PLE!$58:$58</definedName>
    <definedName name="PLE.LinhaPadrão" hidden="1">PLE!$1:$1</definedName>
    <definedName name="PLE.margemrow" hidden="1">PLE!$75:$75</definedName>
    <definedName name="PLE.Medicao" hidden="1">PLE!$J$9</definedName>
    <definedName name="PLE.MEDIÇÕES.firstrow" hidden="1">PLE!$59:$59</definedName>
    <definedName name="PLE.MEDIÇÕES.lastrow" hidden="1">PLE!$69:$69</definedName>
    <definedName name="PLE.MEDIÇÕES.LinhaPadrão" hidden="1">PLE!$59:$66</definedName>
    <definedName name="PLE.Título" hidden="1">PLE!$H$3</definedName>
    <definedName name="PLE.ValorDoEvento" hidden="1">SUMIF(CÁLCULO!$M$15:$M$235,PLE!$B1,OFFSET(CÁLCULO!$AI$15:$AI$235,0,PLE!A$12))</definedName>
    <definedName name="PO.ValoresBDI" hidden="1">OFFSET(ORÇAMENTO!$AH$15,1,0):OFFSET(ORÇAMENTO!$AH$235,-1,0)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24" i="5" l="1"/>
  <c r="A223" i="5"/>
  <c r="A222" i="5"/>
  <c r="U234" i="5" l="1"/>
  <c r="U233" i="5"/>
  <c r="U232" i="5"/>
  <c r="U231" i="5"/>
  <c r="U230" i="5"/>
  <c r="U229" i="5"/>
  <c r="U228" i="5"/>
  <c r="U227" i="5"/>
  <c r="U226" i="5"/>
  <c r="U221" i="5"/>
  <c r="U220" i="5"/>
  <c r="U219" i="5"/>
  <c r="U217" i="5"/>
  <c r="U216" i="5"/>
  <c r="U214" i="5"/>
  <c r="U213" i="5"/>
  <c r="U212" i="5"/>
  <c r="U211" i="5"/>
  <c r="U210" i="5"/>
  <c r="U208" i="5"/>
  <c r="U207" i="5"/>
  <c r="U206" i="5"/>
  <c r="U205" i="5"/>
  <c r="U204" i="5"/>
  <c r="U203" i="5"/>
  <c r="U202" i="5"/>
  <c r="U201" i="5"/>
  <c r="U200" i="5"/>
  <c r="U199" i="5"/>
  <c r="U198" i="5"/>
  <c r="U197" i="5"/>
  <c r="U195" i="5"/>
  <c r="U194" i="5"/>
  <c r="U193" i="5"/>
  <c r="U192" i="5"/>
  <c r="U191" i="5"/>
  <c r="U190" i="5"/>
  <c r="U189" i="5"/>
  <c r="U188" i="5"/>
  <c r="U187" i="5"/>
  <c r="U186" i="5"/>
  <c r="U185" i="5"/>
  <c r="U184" i="5"/>
  <c r="U183" i="5"/>
  <c r="U182" i="5"/>
  <c r="U180" i="5"/>
  <c r="U179" i="5"/>
  <c r="U178" i="5"/>
  <c r="U177" i="5"/>
  <c r="U176" i="5"/>
  <c r="U175" i="5"/>
  <c r="U173" i="5"/>
  <c r="U172" i="5"/>
  <c r="U171" i="5"/>
  <c r="U170" i="5"/>
  <c r="U168" i="5"/>
  <c r="U167" i="5"/>
  <c r="U166" i="5"/>
  <c r="U165" i="5"/>
  <c r="U164" i="5"/>
  <c r="U163" i="5"/>
  <c r="U161" i="5"/>
  <c r="U160" i="5"/>
  <c r="U159" i="5"/>
  <c r="U158" i="5"/>
  <c r="U157" i="5"/>
  <c r="U156" i="5"/>
  <c r="U155" i="5"/>
  <c r="U154" i="5"/>
  <c r="U153" i="5"/>
  <c r="U151" i="5"/>
  <c r="U150" i="5"/>
  <c r="U149" i="5"/>
  <c r="U148" i="5"/>
  <c r="U147" i="5"/>
  <c r="U146" i="5"/>
  <c r="U145" i="5"/>
  <c r="U144" i="5"/>
  <c r="U143" i="5"/>
  <c r="U142" i="5"/>
  <c r="U141" i="5"/>
  <c r="U140" i="5"/>
  <c r="U139" i="5"/>
  <c r="U138" i="5"/>
  <c r="U136" i="5"/>
  <c r="U134" i="5"/>
  <c r="U133" i="5"/>
  <c r="U132" i="5"/>
  <c r="U131" i="5"/>
  <c r="U130" i="5"/>
  <c r="U128" i="5"/>
  <c r="U127" i="5"/>
  <c r="U126" i="5"/>
  <c r="U124" i="5"/>
  <c r="U123" i="5"/>
  <c r="U121" i="5"/>
  <c r="U120" i="5"/>
  <c r="U119" i="5"/>
  <c r="U118" i="5"/>
  <c r="U117" i="5"/>
  <c r="U116" i="5"/>
  <c r="U115" i="5"/>
  <c r="U114" i="5"/>
  <c r="U113" i="5"/>
  <c r="U111" i="5"/>
  <c r="U110" i="5"/>
  <c r="U108" i="5"/>
  <c r="U107" i="5"/>
  <c r="U105" i="5"/>
  <c r="U104" i="5"/>
  <c r="U103" i="5"/>
  <c r="U102" i="5"/>
  <c r="U100" i="5"/>
  <c r="U99" i="5"/>
  <c r="U98" i="5"/>
  <c r="U97" i="5"/>
  <c r="U95" i="5"/>
  <c r="U94" i="5"/>
  <c r="U92" i="5"/>
  <c r="U91" i="5"/>
  <c r="U90" i="5"/>
  <c r="U89" i="5"/>
  <c r="U88" i="5"/>
  <c r="U87" i="5"/>
  <c r="U85" i="5"/>
  <c r="U83" i="5"/>
  <c r="U82" i="5"/>
  <c r="U81" i="5"/>
  <c r="U80" i="5"/>
  <c r="U79" i="5"/>
  <c r="U77" i="5"/>
  <c r="U75" i="5"/>
  <c r="U74" i="5"/>
  <c r="U73" i="5"/>
  <c r="U72" i="5"/>
  <c r="U70" i="5"/>
  <c r="U69" i="5"/>
  <c r="U67" i="5"/>
  <c r="U65" i="5"/>
  <c r="U64" i="5"/>
  <c r="U63" i="5"/>
  <c r="U62" i="5"/>
  <c r="U61" i="5"/>
  <c r="U60" i="5"/>
  <c r="U59" i="5"/>
  <c r="U58" i="5"/>
  <c r="U57" i="5"/>
  <c r="U56" i="5"/>
  <c r="U54" i="5"/>
  <c r="U53" i="5"/>
  <c r="U52" i="5"/>
  <c r="U50" i="5"/>
  <c r="U49" i="5"/>
  <c r="U48" i="5"/>
  <c r="U47" i="5"/>
  <c r="U46" i="5"/>
  <c r="U45" i="5"/>
  <c r="U44" i="5"/>
  <c r="U43" i="5"/>
  <c r="U41" i="5"/>
  <c r="U40" i="5"/>
  <c r="U39" i="5"/>
  <c r="U38" i="5"/>
  <c r="U37" i="5"/>
  <c r="U36" i="5"/>
  <c r="U35" i="5"/>
  <c r="U34" i="5"/>
  <c r="U33" i="5"/>
  <c r="U32" i="5"/>
  <c r="U28" i="5"/>
  <c r="U27" i="5"/>
  <c r="U26" i="5"/>
  <c r="U25" i="5"/>
  <c r="U24" i="5"/>
  <c r="U22" i="5"/>
  <c r="U21" i="5"/>
  <c r="U20" i="5"/>
  <c r="U19" i="5"/>
  <c r="U18" i="5"/>
  <c r="R45" i="6"/>
  <c r="S45" i="6"/>
  <c r="T45" i="6"/>
  <c r="Q45" i="6"/>
  <c r="A45" i="5"/>
  <c r="R36" i="6"/>
  <c r="S36" i="6"/>
  <c r="T36" i="6"/>
  <c r="Q36" i="6"/>
  <c r="A36" i="5"/>
  <c r="R41" i="6" l="1"/>
  <c r="S41" i="6"/>
  <c r="T41" i="6"/>
  <c r="Q41" i="6"/>
  <c r="R50" i="6"/>
  <c r="S50" i="6"/>
  <c r="T50" i="6"/>
  <c r="Q50" i="6"/>
  <c r="A41" i="5"/>
  <c r="A50" i="5"/>
  <c r="S33" i="6"/>
  <c r="Q33" i="6"/>
  <c r="R33" i="6"/>
  <c r="CM15" i="6"/>
  <c r="CL15" i="6"/>
  <c r="CK15" i="6"/>
  <c r="CJ15" i="6"/>
  <c r="CI15" i="6"/>
  <c r="CH15" i="6"/>
  <c r="CG15" i="6"/>
  <c r="CF15" i="6"/>
  <c r="BT15" i="6"/>
  <c r="BS15" i="6"/>
  <c r="BR15" i="6"/>
  <c r="BQ15" i="6"/>
  <c r="BP15" i="6"/>
  <c r="BO15" i="6"/>
  <c r="BN15" i="6"/>
  <c r="BM15" i="6"/>
  <c r="AB241" i="6" a="1"/>
  <c r="AB243" i="6" s="1"/>
  <c r="AC10" i="6"/>
  <c r="AA10" i="6"/>
  <c r="AB241" i="6" l="1"/>
  <c r="AB242" i="6"/>
  <c r="A57" i="7" l="1"/>
  <c r="A56" i="7"/>
  <c r="A55" i="7"/>
  <c r="A54" i="7"/>
  <c r="A53" i="7"/>
  <c r="A52" i="7"/>
  <c r="A51" i="7"/>
  <c r="A50" i="7"/>
  <c r="A49" i="7"/>
  <c r="R56" i="6"/>
  <c r="S56" i="6"/>
  <c r="T56" i="6"/>
  <c r="Q56" i="6"/>
  <c r="R227" i="6"/>
  <c r="S227" i="6"/>
  <c r="T227" i="6"/>
  <c r="R228" i="6"/>
  <c r="S228" i="6"/>
  <c r="T228" i="6"/>
  <c r="R229" i="6"/>
  <c r="S229" i="6"/>
  <c r="T229" i="6"/>
  <c r="R231" i="6"/>
  <c r="S231" i="6"/>
  <c r="T231" i="6"/>
  <c r="R232" i="6"/>
  <c r="S232" i="6"/>
  <c r="T232" i="6"/>
  <c r="R233" i="6"/>
  <c r="S233" i="6"/>
  <c r="T233" i="6"/>
  <c r="Q233" i="6"/>
  <c r="Q232" i="6"/>
  <c r="Q231" i="6"/>
  <c r="Q229" i="6"/>
  <c r="Q228" i="6"/>
  <c r="Q227" i="6"/>
  <c r="R205" i="6"/>
  <c r="S205" i="6"/>
  <c r="T205" i="6"/>
  <c r="R206" i="6"/>
  <c r="S206" i="6"/>
  <c r="T206" i="6"/>
  <c r="R208" i="6"/>
  <c r="S208" i="6"/>
  <c r="T208" i="6"/>
  <c r="Q208" i="6"/>
  <c r="Q206" i="6"/>
  <c r="Q205" i="6"/>
  <c r="R194" i="6"/>
  <c r="S194" i="6"/>
  <c r="T194" i="6"/>
  <c r="R195" i="6"/>
  <c r="S195" i="6"/>
  <c r="T195" i="6"/>
  <c r="Q195" i="6"/>
  <c r="Q194" i="6"/>
  <c r="R177" i="6"/>
  <c r="S177" i="6"/>
  <c r="T177" i="6"/>
  <c r="Q177" i="6"/>
  <c r="R167" i="6"/>
  <c r="S167" i="6"/>
  <c r="T167" i="6"/>
  <c r="R168" i="6"/>
  <c r="S168" i="6"/>
  <c r="T168" i="6"/>
  <c r="Q168" i="6"/>
  <c r="Q167" i="6"/>
  <c r="R153" i="6" l="1"/>
  <c r="S153" i="6"/>
  <c r="T153" i="6"/>
  <c r="R154" i="6"/>
  <c r="S154" i="6"/>
  <c r="T154" i="6"/>
  <c r="R155" i="6"/>
  <c r="S155" i="6"/>
  <c r="T155" i="6"/>
  <c r="R156" i="6"/>
  <c r="S156" i="6"/>
  <c r="T156" i="6"/>
  <c r="R157" i="6"/>
  <c r="S157" i="6"/>
  <c r="T157" i="6"/>
  <c r="R158" i="6"/>
  <c r="S158" i="6"/>
  <c r="T158" i="6"/>
  <c r="R159" i="6"/>
  <c r="S159" i="6"/>
  <c r="T159" i="6"/>
  <c r="R160" i="6"/>
  <c r="S160" i="6"/>
  <c r="T160" i="6"/>
  <c r="R161" i="6"/>
  <c r="S161" i="6"/>
  <c r="T161" i="6"/>
  <c r="Q161" i="6"/>
  <c r="Q160" i="6"/>
  <c r="Q159" i="6"/>
  <c r="Q158" i="6"/>
  <c r="Q157" i="6"/>
  <c r="Q156" i="6"/>
  <c r="Q155" i="6"/>
  <c r="Q154" i="6"/>
  <c r="Q153" i="6"/>
  <c r="R126" i="6" l="1"/>
  <c r="S126" i="6"/>
  <c r="T126" i="6"/>
  <c r="R127" i="6"/>
  <c r="S127" i="6"/>
  <c r="T127" i="6"/>
  <c r="R128" i="6"/>
  <c r="S128" i="6"/>
  <c r="T128" i="6"/>
  <c r="Q128" i="6"/>
  <c r="Q127" i="6"/>
  <c r="Q126" i="6"/>
  <c r="R123" i="6"/>
  <c r="S123" i="6"/>
  <c r="T123" i="6"/>
  <c r="R124" i="6"/>
  <c r="S124" i="6"/>
  <c r="T124" i="6"/>
  <c r="Q124" i="6"/>
  <c r="Q123" i="6"/>
  <c r="R113" i="6"/>
  <c r="S113" i="6"/>
  <c r="T113" i="6"/>
  <c r="R114" i="6"/>
  <c r="S114" i="6"/>
  <c r="T114" i="6"/>
  <c r="R115" i="6"/>
  <c r="S115" i="6"/>
  <c r="T115" i="6"/>
  <c r="R116" i="6"/>
  <c r="S116" i="6"/>
  <c r="T116" i="6"/>
  <c r="R117" i="6"/>
  <c r="S117" i="6"/>
  <c r="T117" i="6"/>
  <c r="R118" i="6"/>
  <c r="S118" i="6"/>
  <c r="T118" i="6"/>
  <c r="R119" i="6"/>
  <c r="S119" i="6"/>
  <c r="T119" i="6"/>
  <c r="R120" i="6"/>
  <c r="S120" i="6"/>
  <c r="T120" i="6"/>
  <c r="R121" i="6"/>
  <c r="S121" i="6"/>
  <c r="T121" i="6"/>
  <c r="Q121" i="6"/>
  <c r="Q120" i="6"/>
  <c r="Q119" i="6"/>
  <c r="Q118" i="6"/>
  <c r="Q117" i="6"/>
  <c r="Q116" i="6"/>
  <c r="Q115" i="6"/>
  <c r="Q114" i="6"/>
  <c r="Q113" i="6"/>
  <c r="R110" i="6"/>
  <c r="S110" i="6"/>
  <c r="T110" i="6"/>
  <c r="R111" i="6"/>
  <c r="S111" i="6"/>
  <c r="T111" i="6"/>
  <c r="Q111" i="6"/>
  <c r="Q110" i="6"/>
  <c r="R107" i="6"/>
  <c r="S107" i="6"/>
  <c r="T107" i="6"/>
  <c r="R108" i="6"/>
  <c r="S108" i="6"/>
  <c r="T108" i="6"/>
  <c r="Q108" i="6"/>
  <c r="Q107" i="6"/>
  <c r="R102" i="6"/>
  <c r="S102" i="6"/>
  <c r="T102" i="6"/>
  <c r="R103" i="6"/>
  <c r="S103" i="6"/>
  <c r="T103" i="6"/>
  <c r="R104" i="6"/>
  <c r="S104" i="6"/>
  <c r="T104" i="6"/>
  <c r="R105" i="6"/>
  <c r="S105" i="6"/>
  <c r="T105" i="6"/>
  <c r="Q105" i="6"/>
  <c r="Q102" i="6"/>
  <c r="Q104" i="6"/>
  <c r="Q103" i="6"/>
  <c r="R97" i="6"/>
  <c r="S97" i="6"/>
  <c r="T97" i="6"/>
  <c r="R98" i="6"/>
  <c r="S98" i="6"/>
  <c r="T98" i="6"/>
  <c r="R99" i="6"/>
  <c r="S99" i="6"/>
  <c r="T99" i="6"/>
  <c r="R100" i="6"/>
  <c r="S100" i="6"/>
  <c r="T100" i="6"/>
  <c r="Q100" i="6"/>
  <c r="Q99" i="6"/>
  <c r="Q98" i="6"/>
  <c r="Q97" i="6"/>
  <c r="R94" i="6"/>
  <c r="S94" i="6"/>
  <c r="T94" i="6"/>
  <c r="R95" i="6"/>
  <c r="S95" i="6"/>
  <c r="T95" i="6"/>
  <c r="Q95" i="6"/>
  <c r="Q94" i="6"/>
  <c r="R87" i="6"/>
  <c r="S87" i="6"/>
  <c r="T87" i="6"/>
  <c r="R88" i="6"/>
  <c r="S88" i="6"/>
  <c r="T88" i="6"/>
  <c r="R89" i="6"/>
  <c r="S89" i="6"/>
  <c r="T89" i="6"/>
  <c r="R90" i="6"/>
  <c r="S90" i="6"/>
  <c r="T90" i="6"/>
  <c r="R91" i="6"/>
  <c r="S91" i="6"/>
  <c r="T91" i="6"/>
  <c r="R92" i="6"/>
  <c r="S92" i="6"/>
  <c r="T92" i="6"/>
  <c r="Q92" i="6"/>
  <c r="Q91" i="6"/>
  <c r="Q90" i="6"/>
  <c r="Q89" i="6"/>
  <c r="Q88" i="6"/>
  <c r="Q87" i="6"/>
  <c r="R85" i="6"/>
  <c r="S85" i="6"/>
  <c r="T85" i="6"/>
  <c r="Q85" i="6"/>
  <c r="R79" i="6"/>
  <c r="S79" i="6"/>
  <c r="T79" i="6"/>
  <c r="R80" i="6"/>
  <c r="S80" i="6"/>
  <c r="T80" i="6"/>
  <c r="R81" i="6"/>
  <c r="S81" i="6"/>
  <c r="T81" i="6"/>
  <c r="R82" i="6"/>
  <c r="S82" i="6"/>
  <c r="T82" i="6"/>
  <c r="R83" i="6"/>
  <c r="S83" i="6"/>
  <c r="T83" i="6"/>
  <c r="Q83" i="6"/>
  <c r="Q82" i="6"/>
  <c r="Q81" i="6"/>
  <c r="Q80" i="6"/>
  <c r="Q79" i="6"/>
  <c r="R72" i="6"/>
  <c r="S72" i="6"/>
  <c r="T72" i="6"/>
  <c r="R73" i="6"/>
  <c r="S73" i="6"/>
  <c r="T73" i="6"/>
  <c r="R74" i="6"/>
  <c r="S74" i="6"/>
  <c r="T74" i="6"/>
  <c r="R75" i="6"/>
  <c r="S75" i="6"/>
  <c r="T75" i="6"/>
  <c r="Q75" i="6"/>
  <c r="Q74" i="6"/>
  <c r="Q73" i="6"/>
  <c r="Q72" i="6"/>
  <c r="R69" i="6"/>
  <c r="S69" i="6"/>
  <c r="T69" i="6"/>
  <c r="R70" i="6"/>
  <c r="S70" i="6"/>
  <c r="T70" i="6"/>
  <c r="Q70" i="6"/>
  <c r="Q69" i="6"/>
  <c r="R67" i="6"/>
  <c r="S67" i="6"/>
  <c r="T67" i="6"/>
  <c r="Q67" i="6"/>
  <c r="R57" i="6"/>
  <c r="S57" i="6"/>
  <c r="T57" i="6"/>
  <c r="R58" i="6"/>
  <c r="S58" i="6"/>
  <c r="T58" i="6"/>
  <c r="R59" i="6"/>
  <c r="S59" i="6"/>
  <c r="T59" i="6"/>
  <c r="R60" i="6"/>
  <c r="S60" i="6"/>
  <c r="T60" i="6"/>
  <c r="R61" i="6"/>
  <c r="S61" i="6"/>
  <c r="T61" i="6"/>
  <c r="R62" i="6"/>
  <c r="S62" i="6"/>
  <c r="T62" i="6"/>
  <c r="R63" i="6"/>
  <c r="S63" i="6"/>
  <c r="T63" i="6"/>
  <c r="R64" i="6"/>
  <c r="S64" i="6"/>
  <c r="T64" i="6"/>
  <c r="R65" i="6"/>
  <c r="S65" i="6"/>
  <c r="T65" i="6"/>
  <c r="Q65" i="6"/>
  <c r="Q64" i="6"/>
  <c r="Q63" i="6"/>
  <c r="Q62" i="6"/>
  <c r="Q61" i="6"/>
  <c r="Q60" i="6"/>
  <c r="Q59" i="6"/>
  <c r="Q58" i="6"/>
  <c r="Q57" i="6"/>
  <c r="R52" i="6"/>
  <c r="S52" i="6"/>
  <c r="T52" i="6"/>
  <c r="R53" i="6"/>
  <c r="S53" i="6"/>
  <c r="T53" i="6"/>
  <c r="R54" i="6"/>
  <c r="S54" i="6"/>
  <c r="T54" i="6"/>
  <c r="Q54" i="6"/>
  <c r="Q53" i="6"/>
  <c r="Q52" i="6"/>
  <c r="R43" i="6"/>
  <c r="S43" i="6"/>
  <c r="T43" i="6"/>
  <c r="R44" i="6"/>
  <c r="S44" i="6"/>
  <c r="T44" i="6"/>
  <c r="R46" i="6"/>
  <c r="S46" i="6"/>
  <c r="T46" i="6"/>
  <c r="R47" i="6"/>
  <c r="S47" i="6"/>
  <c r="T47" i="6"/>
  <c r="R48" i="6"/>
  <c r="S48" i="6"/>
  <c r="T48" i="6"/>
  <c r="R49" i="6"/>
  <c r="S49" i="6"/>
  <c r="T49" i="6"/>
  <c r="Q49" i="6"/>
  <c r="Q48" i="6"/>
  <c r="Q47" i="6"/>
  <c r="Q46" i="6"/>
  <c r="Q44" i="6"/>
  <c r="Q43" i="6"/>
  <c r="R38" i="6"/>
  <c r="S38" i="6"/>
  <c r="T38" i="6"/>
  <c r="R39" i="6"/>
  <c r="S39" i="6"/>
  <c r="T39" i="6"/>
  <c r="R40" i="6"/>
  <c r="S40" i="6"/>
  <c r="T40" i="6"/>
  <c r="Q40" i="6"/>
  <c r="Q39" i="6"/>
  <c r="Q38" i="6"/>
  <c r="R37" i="6"/>
  <c r="S37" i="6"/>
  <c r="T37" i="6"/>
  <c r="Q37" i="6"/>
  <c r="R35" i="6"/>
  <c r="S35" i="6"/>
  <c r="T35" i="6"/>
  <c r="Q35" i="6"/>
  <c r="R34" i="6"/>
  <c r="S34" i="6"/>
  <c r="T34" i="6"/>
  <c r="Q34" i="6"/>
  <c r="T33" i="6"/>
  <c r="A22" i="5" l="1"/>
  <c r="A48" i="7"/>
  <c r="A47" i="7"/>
  <c r="A46" i="7"/>
  <c r="A45" i="7"/>
  <c r="A44" i="7"/>
  <c r="A157" i="5" l="1"/>
  <c r="A28" i="5" l="1"/>
  <c r="C192" i="3" l="1"/>
  <c r="H23" i="13"/>
  <c r="G23" i="13"/>
  <c r="H22" i="13"/>
  <c r="G22" i="13"/>
  <c r="H21" i="13"/>
  <c r="G21" i="13"/>
  <c r="H20" i="13"/>
  <c r="G20" i="13"/>
  <c r="E20" i="13"/>
  <c r="H19" i="13"/>
  <c r="G19" i="13"/>
  <c r="H18" i="13"/>
  <c r="G18" i="13"/>
  <c r="H17" i="13"/>
  <c r="G17" i="13"/>
  <c r="H16" i="13"/>
  <c r="G16" i="13"/>
  <c r="H15" i="13"/>
  <c r="G15" i="13"/>
  <c r="H14" i="13"/>
  <c r="G14" i="13"/>
  <c r="E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S18" i="11"/>
  <c r="J18" i="11"/>
  <c r="I18" i="13" s="1"/>
  <c r="D18" i="11"/>
  <c r="A18" i="11" s="1"/>
  <c r="S17" i="11"/>
  <c r="J17" i="11"/>
  <c r="I17" i="13" s="1"/>
  <c r="D17" i="11"/>
  <c r="E17" i="13" s="1"/>
  <c r="S16" i="11"/>
  <c r="J16" i="11"/>
  <c r="I16" i="13" s="1"/>
  <c r="D16" i="11"/>
  <c r="E16" i="13" s="1"/>
  <c r="S15" i="11"/>
  <c r="J15" i="11"/>
  <c r="I15" i="13" s="1"/>
  <c r="D15" i="11"/>
  <c r="E15" i="13" s="1"/>
  <c r="S14" i="11"/>
  <c r="J14" i="11"/>
  <c r="I14" i="13" s="1"/>
  <c r="D14" i="11"/>
  <c r="A14" i="11"/>
  <c r="B14" i="8"/>
  <c r="B17" i="8" s="1"/>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L16" i="6"/>
  <c r="A234" i="5"/>
  <c r="A233" i="5"/>
  <c r="A232" i="5"/>
  <c r="A231" i="5"/>
  <c r="A230" i="5"/>
  <c r="A229" i="5"/>
  <c r="A228" i="5"/>
  <c r="A227" i="5"/>
  <c r="A226" i="5"/>
  <c r="A225" i="5"/>
  <c r="A221" i="5"/>
  <c r="A220" i="5"/>
  <c r="A219" i="5"/>
  <c r="A218" i="5"/>
  <c r="A217" i="5"/>
  <c r="A216" i="5"/>
  <c r="A215" i="5"/>
  <c r="A214" i="5"/>
  <c r="A213" i="5"/>
  <c r="A212" i="5"/>
  <c r="A211" i="5"/>
  <c r="A210" i="5"/>
  <c r="A209" i="5"/>
  <c r="A208" i="5"/>
  <c r="A207" i="5"/>
  <c r="A206" i="5"/>
  <c r="A205" i="5"/>
  <c r="A204" i="5"/>
  <c r="A203" i="5"/>
  <c r="A202" i="5"/>
  <c r="A201" i="5"/>
  <c r="A200" i="5"/>
  <c r="A199" i="5"/>
  <c r="A198" i="5"/>
  <c r="A197" i="5"/>
  <c r="A196" i="5"/>
  <c r="A195" i="5"/>
  <c r="A194" i="5"/>
  <c r="A193" i="5"/>
  <c r="A192" i="5"/>
  <c r="A191" i="5"/>
  <c r="A190" i="5"/>
  <c r="A189" i="5"/>
  <c r="A188" i="5"/>
  <c r="A187" i="5"/>
  <c r="A186" i="5"/>
  <c r="A185" i="5"/>
  <c r="A184" i="5"/>
  <c r="A183" i="5"/>
  <c r="A182" i="5"/>
  <c r="A181" i="5"/>
  <c r="A180" i="5"/>
  <c r="A179" i="5"/>
  <c r="A178" i="5"/>
  <c r="A177" i="5"/>
  <c r="A176" i="5"/>
  <c r="A175" i="5"/>
  <c r="A174" i="5"/>
  <c r="A173" i="5"/>
  <c r="A172" i="5"/>
  <c r="A171" i="5"/>
  <c r="A170" i="5"/>
  <c r="A169" i="5"/>
  <c r="A168" i="5"/>
  <c r="A167" i="5"/>
  <c r="A166" i="5"/>
  <c r="A165" i="5"/>
  <c r="A164" i="5"/>
  <c r="A163" i="5"/>
  <c r="A162" i="5"/>
  <c r="A161" i="5"/>
  <c r="A160" i="5"/>
  <c r="A159" i="5"/>
  <c r="A158" i="5"/>
  <c r="A156" i="5"/>
  <c r="A155" i="5"/>
  <c r="A154" i="5"/>
  <c r="A153" i="5"/>
  <c r="A152" i="5"/>
  <c r="A151" i="5"/>
  <c r="A150" i="5"/>
  <c r="A149" i="5"/>
  <c r="A148" i="5"/>
  <c r="A147" i="5"/>
  <c r="A146" i="5"/>
  <c r="A145" i="5"/>
  <c r="A144" i="5"/>
  <c r="A143" i="5"/>
  <c r="A142" i="5"/>
  <c r="A141" i="5"/>
  <c r="A140" i="5"/>
  <c r="A139" i="5"/>
  <c r="A138" i="5"/>
  <c r="A137" i="5"/>
  <c r="A136" i="5"/>
  <c r="A135" i="5"/>
  <c r="A134" i="5"/>
  <c r="A133" i="5"/>
  <c r="A132" i="5"/>
  <c r="A131" i="5"/>
  <c r="A130" i="5"/>
  <c r="A129" i="5"/>
  <c r="A128" i="5"/>
  <c r="A127" i="5"/>
  <c r="A126" i="5"/>
  <c r="A125" i="5"/>
  <c r="A124" i="5"/>
  <c r="A123" i="5"/>
  <c r="A122" i="5"/>
  <c r="A121" i="5"/>
  <c r="A120" i="5"/>
  <c r="A119" i="5"/>
  <c r="A118" i="5"/>
  <c r="A117" i="5"/>
  <c r="A116" i="5"/>
  <c r="A115" i="5"/>
  <c r="A114" i="5"/>
  <c r="A113" i="5"/>
  <c r="A112" i="5"/>
  <c r="A111" i="5"/>
  <c r="A110" i="5"/>
  <c r="A109" i="5"/>
  <c r="A108" i="5"/>
  <c r="A107" i="5"/>
  <c r="A106" i="5"/>
  <c r="A105" i="5"/>
  <c r="A104" i="5"/>
  <c r="A103" i="5"/>
  <c r="A102" i="5"/>
  <c r="A101" i="5"/>
  <c r="A100" i="5"/>
  <c r="A99" i="5"/>
  <c r="A98" i="5"/>
  <c r="A97" i="5"/>
  <c r="A96" i="5"/>
  <c r="A95" i="5"/>
  <c r="A94" i="5"/>
  <c r="A93" i="5"/>
  <c r="A92" i="5"/>
  <c r="A91" i="5"/>
  <c r="A90" i="5"/>
  <c r="A89" i="5"/>
  <c r="A88" i="5"/>
  <c r="A87" i="5"/>
  <c r="A86" i="5"/>
  <c r="A85" i="5"/>
  <c r="A84" i="5"/>
  <c r="A83" i="5"/>
  <c r="A82" i="5"/>
  <c r="A81" i="5"/>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49" i="5"/>
  <c r="A48" i="5"/>
  <c r="A47" i="5"/>
  <c r="A46" i="5"/>
  <c r="A44" i="5"/>
  <c r="A43" i="5"/>
  <c r="A42" i="5"/>
  <c r="A40" i="5"/>
  <c r="A39" i="5"/>
  <c r="A38" i="5"/>
  <c r="A37" i="5"/>
  <c r="A35" i="5"/>
  <c r="A34" i="5"/>
  <c r="A33" i="5"/>
  <c r="A32" i="5"/>
  <c r="A31" i="5"/>
  <c r="A30" i="5"/>
  <c r="A29" i="5"/>
  <c r="A27" i="5"/>
  <c r="A26" i="5"/>
  <c r="A25" i="5"/>
  <c r="A24" i="5"/>
  <c r="A23" i="5"/>
  <c r="A21" i="5"/>
  <c r="A20" i="5"/>
  <c r="A19" i="5"/>
  <c r="A18" i="5"/>
  <c r="A17" i="5"/>
  <c r="C16" i="5"/>
  <c r="F16" i="5" s="1"/>
  <c r="A16" i="5"/>
  <c r="R101" i="4"/>
  <c r="J105" i="4"/>
  <c r="J102" i="4"/>
  <c r="J101" i="4"/>
  <c r="J65" i="4"/>
  <c r="J62" i="4"/>
  <c r="J61" i="4"/>
  <c r="C188" i="3"/>
  <c r="A15" i="11" l="1"/>
  <c r="A16" i="11"/>
  <c r="E18" i="13"/>
  <c r="A23" i="11"/>
  <c r="G16" i="5"/>
  <c r="I16" i="5"/>
  <c r="N16" i="5"/>
  <c r="D16" i="6" s="1"/>
  <c r="B16" i="5"/>
  <c r="A16" i="12"/>
  <c r="B16" i="6"/>
  <c r="E16" i="12"/>
  <c r="H16" i="5"/>
  <c r="W16" i="5" a="1"/>
  <c r="W16" i="5" s="1"/>
  <c r="H16" i="12" s="1" a="1"/>
  <c r="H16" i="12" s="1"/>
  <c r="AE16" i="5" a="1"/>
  <c r="AE16" i="5" s="1"/>
  <c r="C17" i="5"/>
  <c r="L17" i="6"/>
  <c r="B20" i="8"/>
  <c r="E19" i="13"/>
  <c r="A19" i="11"/>
  <c r="A17" i="11"/>
  <c r="C184" i="3"/>
  <c r="C183" i="3"/>
  <c r="C181" i="3"/>
  <c r="L18" i="6" l="1"/>
  <c r="B17" i="6"/>
  <c r="A17" i="12"/>
  <c r="E17" i="12"/>
  <c r="B17" i="5"/>
  <c r="I17" i="5"/>
  <c r="N17" i="5"/>
  <c r="W17" i="5" a="1"/>
  <c r="W17" i="5" s="1"/>
  <c r="H17" i="12" s="1" a="1"/>
  <c r="H17" i="12" s="1"/>
  <c r="C18" i="5"/>
  <c r="H17" i="5"/>
  <c r="G17" i="5"/>
  <c r="F17" i="5"/>
  <c r="AE17" i="5" a="1"/>
  <c r="AE17" i="5" s="1"/>
  <c r="B23" i="8"/>
  <c r="M16" i="6"/>
  <c r="H16" i="6" a="1"/>
  <c r="H16" i="6" s="1"/>
  <c r="T16" i="5" s="1"/>
  <c r="G16" i="12" s="1" a="1"/>
  <c r="G16" i="12" s="1"/>
  <c r="G16" i="6"/>
  <c r="N16" i="6"/>
  <c r="AD16" i="5"/>
  <c r="AD17" i="5" s="1"/>
  <c r="E16" i="5"/>
  <c r="F16" i="6"/>
  <c r="AC235" i="5" a="1"/>
  <c r="AC235" i="5" s="1"/>
  <c r="A18" i="12" l="1"/>
  <c r="J18" i="5"/>
  <c r="D18" i="5"/>
  <c r="B18" i="12" s="1"/>
  <c r="C19" i="5"/>
  <c r="H18" i="5"/>
  <c r="G18" i="5"/>
  <c r="F18" i="5"/>
  <c r="B18" i="5"/>
  <c r="AE18" i="5" a="1"/>
  <c r="AE18" i="5" s="1"/>
  <c r="AD18" i="5"/>
  <c r="N18" i="5"/>
  <c r="D18" i="6" s="1"/>
  <c r="K18" i="5"/>
  <c r="B26" i="8"/>
  <c r="D17" i="6"/>
  <c r="F17" i="6"/>
  <c r="B14" i="11"/>
  <c r="E17" i="5"/>
  <c r="L19" i="6"/>
  <c r="B18" i="6"/>
  <c r="L14" i="6"/>
  <c r="AE7" i="10" a="1"/>
  <c r="AE7" i="10" s="1"/>
  <c r="AE6" i="10" a="1"/>
  <c r="AE6" i="10" s="1"/>
  <c r="V7" i="10" a="1"/>
  <c r="V7" i="10" s="1"/>
  <c r="V6" i="10" a="1"/>
  <c r="V6" i="10" s="1"/>
  <c r="D242" i="12" a="1"/>
  <c r="D242" i="12" s="1"/>
  <c r="AB15" i="12" a="1"/>
  <c r="AB15" i="12" s="1"/>
  <c r="Q12" i="12" a="1"/>
  <c r="Q12" i="12" s="1"/>
  <c r="X13" i="12" a="1"/>
  <c r="X13" i="12" s="1"/>
  <c r="W13" i="12" a="1"/>
  <c r="W13" i="12" s="1"/>
  <c r="V13" i="12" a="1"/>
  <c r="V13" i="12" s="1"/>
  <c r="J12" i="12" a="1"/>
  <c r="J12" i="12" s="1"/>
  <c r="I8" i="12" a="1"/>
  <c r="I8" i="12" s="1"/>
  <c r="I7" i="12" a="1"/>
  <c r="I7" i="12" s="1"/>
  <c r="A7" i="12" a="1"/>
  <c r="A7" i="12" s="1"/>
  <c r="E2" i="12" a="1"/>
  <c r="E2" i="12" s="1"/>
  <c r="AF8" i="8" a="1"/>
  <c r="AF8" i="8" s="1"/>
  <c r="AF7" i="8" a="1"/>
  <c r="AF7" i="8" s="1"/>
  <c r="S4" i="8" a="1"/>
  <c r="S4" i="8" s="1"/>
  <c r="Z8" i="8" a="1"/>
  <c r="Z8" i="8" s="1"/>
  <c r="Z7" i="8" a="1"/>
  <c r="Z7" i="8" s="1"/>
  <c r="D15" i="6" a="1"/>
  <c r="D15" i="6" s="1"/>
  <c r="J120" i="4" a="1"/>
  <c r="J120" i="4" s="1"/>
  <c r="J80" i="4" a="1"/>
  <c r="J80" i="4" s="1"/>
  <c r="J40" i="4" a="1"/>
  <c r="J40" i="4" s="1"/>
  <c r="D36" i="2" a="1"/>
  <c r="D36" i="2" s="1"/>
  <c r="D41" i="2" a="1"/>
  <c r="D41" i="2" s="1"/>
  <c r="D40" i="2" a="1"/>
  <c r="D40" i="2" s="1"/>
  <c r="D39" i="2" a="1"/>
  <c r="D39" i="2" s="1"/>
  <c r="D38" i="2" a="1"/>
  <c r="D38" i="2" s="1"/>
  <c r="D37" i="2" a="1"/>
  <c r="D37" i="2" s="1"/>
  <c r="G18" i="15" a="1"/>
  <c r="G18" i="15" s="1"/>
  <c r="G10" i="15" a="1"/>
  <c r="G10" i="15" s="1"/>
  <c r="E22" i="15" a="1"/>
  <c r="E22" i="15" s="1"/>
  <c r="E18" i="15" a="1"/>
  <c r="E18" i="15" s="1"/>
  <c r="E12" i="15" a="1"/>
  <c r="E12" i="15" s="1"/>
  <c r="E10" i="15" a="1"/>
  <c r="E10" i="15" s="1"/>
  <c r="E24" i="15" a="1"/>
  <c r="E24" i="15" s="1"/>
  <c r="C18" i="15" a="1"/>
  <c r="C18" i="15" s="1"/>
  <c r="C14" i="15" a="1"/>
  <c r="C14" i="15" s="1"/>
  <c r="C12" i="15" a="1"/>
  <c r="C12" i="15" s="1"/>
  <c r="C10" i="15" a="1"/>
  <c r="C10" i="15" s="1"/>
  <c r="N15" i="5" a="1"/>
  <c r="N15" i="5" s="1"/>
  <c r="M15" i="5" a="1"/>
  <c r="M15" i="5" s="1"/>
  <c r="F10" i="5" a="1"/>
  <c r="F10" i="5" s="1"/>
  <c r="F9" i="5" a="1"/>
  <c r="F9" i="5" s="1"/>
  <c r="F8" i="5" a="1"/>
  <c r="F8" i="5" s="1"/>
  <c r="A14" i="5"/>
  <c r="C165" i="3"/>
  <c r="G11" i="5" a="1"/>
  <c r="G11" i="5" s="1"/>
  <c r="F11" i="5" a="1"/>
  <c r="O8" i="5" a="1"/>
  <c r="C14" i="13" l="1"/>
  <c r="K14" i="11" a="1"/>
  <c r="K14" i="11" s="1"/>
  <c r="J14" i="13" s="1"/>
  <c r="G14" i="11"/>
  <c r="F14" i="13" s="1"/>
  <c r="E18" i="5"/>
  <c r="B19" i="6"/>
  <c r="L20" i="6"/>
  <c r="G17" i="6"/>
  <c r="M17" i="6"/>
  <c r="H17" i="6" a="1"/>
  <c r="H17" i="6" s="1"/>
  <c r="T17" i="5" s="1"/>
  <c r="N17" i="6"/>
  <c r="B29" i="8"/>
  <c r="AF17" i="5" a="1"/>
  <c r="AF17" i="5" s="1"/>
  <c r="AF16" i="5" a="1"/>
  <c r="AF16" i="5" s="1"/>
  <c r="A19" i="12"/>
  <c r="D19" i="5"/>
  <c r="B19" i="12" s="1"/>
  <c r="N19" i="5"/>
  <c r="K19" i="5"/>
  <c r="C20" i="5"/>
  <c r="B19" i="5"/>
  <c r="AD19" i="5"/>
  <c r="AE19" i="5" a="1"/>
  <c r="AE19" i="5" s="1"/>
  <c r="J19" i="5"/>
  <c r="H19" i="5"/>
  <c r="G19" i="5"/>
  <c r="F19" i="5"/>
  <c r="B14" i="6"/>
  <c r="O8" i="5"/>
  <c r="F11" i="5"/>
  <c r="E19" i="5" l="1"/>
  <c r="E20" i="5" s="1"/>
  <c r="G17" i="12" a="1"/>
  <c r="G17" i="12" s="1"/>
  <c r="L21" i="6"/>
  <c r="L22" i="6" s="1"/>
  <c r="B20" i="6"/>
  <c r="AG16" i="5" a="1"/>
  <c r="AG16" i="5" s="1"/>
  <c r="D19" i="6"/>
  <c r="AG17" i="5" a="1"/>
  <c r="AG17" i="5" s="1"/>
  <c r="F17" i="12" a="1"/>
  <c r="F17" i="12" s="1"/>
  <c r="B32" i="8"/>
  <c r="A20" i="12"/>
  <c r="K20" i="5"/>
  <c r="C21" i="5"/>
  <c r="AE20" i="5" a="1"/>
  <c r="AE20" i="5" s="1"/>
  <c r="H20" i="5"/>
  <c r="AD20" i="5"/>
  <c r="G20" i="5"/>
  <c r="F20" i="5"/>
  <c r="B20" i="5"/>
  <c r="J20" i="5"/>
  <c r="D20" i="5"/>
  <c r="B20" i="12" s="1"/>
  <c r="N20" i="5"/>
  <c r="F14" i="6"/>
  <c r="D14" i="6"/>
  <c r="C171" i="3"/>
  <c r="C170" i="3"/>
  <c r="C169" i="3"/>
  <c r="C166" i="3"/>
  <c r="C160" i="3"/>
  <c r="C159" i="3"/>
  <c r="C22" i="5" l="1"/>
  <c r="F16" i="12" a="1"/>
  <c r="F16" i="12" s="1"/>
  <c r="B35" i="8"/>
  <c r="B21" i="6"/>
  <c r="A21" i="12"/>
  <c r="AD21" i="5"/>
  <c r="G21" i="5"/>
  <c r="F21" i="5"/>
  <c r="B21" i="5"/>
  <c r="N21" i="5"/>
  <c r="AE21" i="5" a="1"/>
  <c r="AE21" i="5" s="1"/>
  <c r="K21" i="5"/>
  <c r="H21" i="5"/>
  <c r="D21" i="5"/>
  <c r="B21" i="12" s="1"/>
  <c r="E21" i="5"/>
  <c r="J21" i="5"/>
  <c r="D20" i="6"/>
  <c r="G14" i="6"/>
  <c r="H14" i="6" a="1"/>
  <c r="H14" i="6" s="1"/>
  <c r="X9" i="5"/>
  <c r="W9" i="5"/>
  <c r="V9" i="5"/>
  <c r="U9" i="5"/>
  <c r="T9" i="5"/>
  <c r="K22" i="5" l="1"/>
  <c r="B22" i="6"/>
  <c r="F22" i="5"/>
  <c r="D22" i="5"/>
  <c r="B22" i="12" s="1"/>
  <c r="AE22" i="5" a="1"/>
  <c r="AE22" i="5" s="1"/>
  <c r="G22" i="5"/>
  <c r="AD22" i="5"/>
  <c r="A22" i="12"/>
  <c r="B22" i="5"/>
  <c r="C23" i="5" s="1"/>
  <c r="E22" i="5"/>
  <c r="H22" i="5"/>
  <c r="J22" i="5"/>
  <c r="N22" i="5"/>
  <c r="D22" i="6" s="1"/>
  <c r="L23" i="6"/>
  <c r="B38" i="8"/>
  <c r="D21" i="6"/>
  <c r="C177" i="3"/>
  <c r="C175" i="3"/>
  <c r="A23" i="12" l="1"/>
  <c r="C24" i="5"/>
  <c r="H23" i="5"/>
  <c r="AE23" i="5" a="1"/>
  <c r="AE23" i="5" s="1"/>
  <c r="AD23" i="5"/>
  <c r="G23" i="5"/>
  <c r="E23" i="5"/>
  <c r="N23" i="5"/>
  <c r="D23" i="6" s="1"/>
  <c r="F23" i="5"/>
  <c r="B23" i="5"/>
  <c r="AF23" i="5" a="1"/>
  <c r="AF23" i="5" s="1"/>
  <c r="E23" i="12" s="1"/>
  <c r="B41" i="8"/>
  <c r="L24" i="6"/>
  <c r="B23" i="6"/>
  <c r="C157" i="3"/>
  <c r="C173" i="3"/>
  <c r="C167" i="3"/>
  <c r="C164" i="3"/>
  <c r="C163" i="3"/>
  <c r="C161" i="3"/>
  <c r="A24" i="12" l="1"/>
  <c r="D24" i="5"/>
  <c r="B24" i="12" s="1"/>
  <c r="B24" i="5"/>
  <c r="K24" i="5"/>
  <c r="J24" i="5"/>
  <c r="AE24" i="5" a="1"/>
  <c r="AE24" i="5" s="1"/>
  <c r="H24" i="5"/>
  <c r="AD24" i="5"/>
  <c r="G24" i="5"/>
  <c r="F24" i="5"/>
  <c r="E24" i="5"/>
  <c r="C25" i="5"/>
  <c r="N24" i="5"/>
  <c r="D24" i="6" s="1"/>
  <c r="F23" i="6"/>
  <c r="F23" i="12" a="1"/>
  <c r="F23" i="12" s="1"/>
  <c r="AG23" i="5" a="1"/>
  <c r="AG23" i="5" s="1"/>
  <c r="B44" i="8"/>
  <c r="L25" i="6"/>
  <c r="B24" i="6"/>
  <c r="C153" i="3"/>
  <c r="C151" i="3"/>
  <c r="G23" i="6" l="1"/>
  <c r="B47" i="8"/>
  <c r="A25" i="12"/>
  <c r="K25" i="5"/>
  <c r="J25" i="5"/>
  <c r="AD25" i="5"/>
  <c r="G25" i="5"/>
  <c r="F25" i="5"/>
  <c r="E25" i="5"/>
  <c r="N25" i="5"/>
  <c r="D25" i="6" s="1"/>
  <c r="AE25" i="5" a="1"/>
  <c r="AE25" i="5" s="1"/>
  <c r="H25" i="5"/>
  <c r="D25" i="5"/>
  <c r="B25" i="12" s="1"/>
  <c r="B25" i="5"/>
  <c r="C26" i="5"/>
  <c r="L26" i="6"/>
  <c r="B25" i="6"/>
  <c r="A12" i="6"/>
  <c r="A26" i="12" l="1"/>
  <c r="F26" i="5"/>
  <c r="E26" i="5"/>
  <c r="D26" i="5"/>
  <c r="B26" i="12" s="1"/>
  <c r="B26" i="5"/>
  <c r="N26" i="5"/>
  <c r="D26" i="6" s="1"/>
  <c r="C27" i="5"/>
  <c r="AE26" i="5" a="1"/>
  <c r="AE26" i="5" s="1"/>
  <c r="K26" i="5"/>
  <c r="H26" i="5"/>
  <c r="J26" i="5"/>
  <c r="AD26" i="5"/>
  <c r="G26" i="5"/>
  <c r="A16" i="6"/>
  <c r="A17" i="6"/>
  <c r="B50" i="8"/>
  <c r="L27" i="6"/>
  <c r="L28" i="6" s="1"/>
  <c r="B26" i="6"/>
  <c r="A14" i="6"/>
  <c r="A11" i="6"/>
  <c r="C147" i="3"/>
  <c r="C149" i="3"/>
  <c r="C145" i="3"/>
  <c r="C143" i="3"/>
  <c r="C141" i="3"/>
  <c r="U11" i="4"/>
  <c r="U10" i="4"/>
  <c r="Y26" i="4"/>
  <c r="Z26" i="4" s="1"/>
  <c r="Y106" i="4"/>
  <c r="Z106" i="4" s="1"/>
  <c r="Y66" i="4"/>
  <c r="Z66" i="4" s="1"/>
  <c r="R64" i="4"/>
  <c r="R63" i="4"/>
  <c r="R23" i="4"/>
  <c r="R24" i="4"/>
  <c r="C133" i="3"/>
  <c r="C28" i="5" l="1"/>
  <c r="A27" i="12"/>
  <c r="N27" i="5"/>
  <c r="D27" i="6" s="1"/>
  <c r="K27" i="5"/>
  <c r="AE27" i="5" a="1"/>
  <c r="AE27" i="5" s="1"/>
  <c r="H27" i="5"/>
  <c r="AD27" i="5"/>
  <c r="G27" i="5"/>
  <c r="B27" i="5"/>
  <c r="J27" i="5"/>
  <c r="F27" i="5"/>
  <c r="E27" i="5"/>
  <c r="D27" i="5"/>
  <c r="B27" i="12" s="1"/>
  <c r="B27" i="6"/>
  <c r="B53" i="8"/>
  <c r="X26" i="4"/>
  <c r="X106" i="4"/>
  <c r="X66" i="4"/>
  <c r="C137" i="3"/>
  <c r="C135" i="3"/>
  <c r="C132" i="3"/>
  <c r="B28" i="6" l="1"/>
  <c r="B28" i="5"/>
  <c r="J28" i="5"/>
  <c r="G28" i="5"/>
  <c r="H28" i="5"/>
  <c r="K28" i="5"/>
  <c r="F28" i="5"/>
  <c r="D28" i="5"/>
  <c r="B28" i="12" s="1"/>
  <c r="E28" i="5"/>
  <c r="N28" i="5"/>
  <c r="D28" i="6" s="1"/>
  <c r="AE28" i="5" a="1"/>
  <c r="AE28" i="5" s="1"/>
  <c r="AD28" i="5"/>
  <c r="A28" i="12"/>
  <c r="B56" i="8"/>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59" i="8" l="1"/>
  <c r="L29" i="6"/>
  <c r="C29" i="5"/>
  <c r="J4" i="15"/>
  <c r="AB13" i="12" a="1"/>
  <c r="AB13" i="12" s="1"/>
  <c r="I62" i="10"/>
  <c r="A29" i="12" l="1"/>
  <c r="AE29" i="5" a="1"/>
  <c r="AE29" i="5" s="1"/>
  <c r="H29" i="5"/>
  <c r="AD29" i="5"/>
  <c r="G29" i="5"/>
  <c r="F29" i="5"/>
  <c r="E29" i="5"/>
  <c r="N29" i="5"/>
  <c r="B29" i="5"/>
  <c r="C30" i="5" s="1"/>
  <c r="P7" i="13"/>
  <c r="K14" i="13" a="1"/>
  <c r="K14" i="13" s="1"/>
  <c r="B62" i="8"/>
  <c r="L30" i="6"/>
  <c r="B29" i="6"/>
  <c r="G22" i="15" a="1"/>
  <c r="G22" i="15" s="1"/>
  <c r="C22" i="15" a="1"/>
  <c r="C22" i="15" s="1"/>
  <c r="F10" i="12" a="1"/>
  <c r="F10" i="12" s="1"/>
  <c r="F8" i="7"/>
  <c r="M8" i="12" a="1"/>
  <c r="M8" i="12" s="1"/>
  <c r="H131" i="8" a="1"/>
  <c r="H131" i="8" s="1"/>
  <c r="H129" i="8" a="1"/>
  <c r="H129" i="8" s="1"/>
  <c r="F7" i="6" a="1"/>
  <c r="F7" i="6" s="1"/>
  <c r="F6" i="6" a="1"/>
  <c r="F6" i="6" s="1"/>
  <c r="Q1" i="6" a="1"/>
  <c r="Q1" i="6" s="1"/>
  <c r="O1" i="6" a="1"/>
  <c r="O1" i="6" s="1"/>
  <c r="C11" i="7" a="1"/>
  <c r="C11" i="7" s="1"/>
  <c r="C122" i="3"/>
  <c r="C120" i="3"/>
  <c r="B30" i="6" l="1"/>
  <c r="B65" i="8"/>
  <c r="A30" i="12"/>
  <c r="E30" i="5"/>
  <c r="B30" i="5"/>
  <c r="N30" i="5"/>
  <c r="AE30" i="5" a="1"/>
  <c r="AE30" i="5" s="1"/>
  <c r="AD30" i="5"/>
  <c r="F30" i="5"/>
  <c r="H30" i="5"/>
  <c r="G30" i="5"/>
  <c r="A23" i="6"/>
  <c r="D29" i="6"/>
  <c r="C14" i="14" a="1"/>
  <c r="C14" i="14" s="1"/>
  <c r="B39" i="14" a="1"/>
  <c r="B39" i="14" s="1"/>
  <c r="B37" i="14" a="1"/>
  <c r="B37" i="14" s="1"/>
  <c r="E28" i="14" a="1"/>
  <c r="E28" i="14" s="1"/>
  <c r="R1" i="6" a="1"/>
  <c r="R1" i="6" s="1"/>
  <c r="S67" i="4"/>
  <c r="U67" i="4" s="1"/>
  <c r="S107" i="4"/>
  <c r="U107" i="4" s="1"/>
  <c r="S27" i="4"/>
  <c r="U27" i="4" s="1"/>
  <c r="C124" i="3"/>
  <c r="B68" i="8" l="1"/>
  <c r="D30" i="6"/>
  <c r="N23" i="6"/>
  <c r="L31" i="6"/>
  <c r="C31" i="5"/>
  <c r="S1" i="6" a="1"/>
  <c r="S1" i="6" s="1"/>
  <c r="H60" i="9"/>
  <c r="B31" i="6" l="1"/>
  <c r="L32" i="6"/>
  <c r="A31" i="12"/>
  <c r="AD31" i="5"/>
  <c r="G31" i="5"/>
  <c r="F31" i="5"/>
  <c r="E31" i="5"/>
  <c r="B31" i="5"/>
  <c r="N31" i="5"/>
  <c r="D31" i="6" s="1"/>
  <c r="C32" i="5"/>
  <c r="AE31" i="5" a="1"/>
  <c r="AE31" i="5" s="1"/>
  <c r="H31" i="5"/>
  <c r="AF31" i="5" a="1"/>
  <c r="AF31" i="5" s="1"/>
  <c r="B71" i="8"/>
  <c r="T1" i="6" a="1"/>
  <c r="T1" i="6" s="1"/>
  <c r="C94" i="3"/>
  <c r="C92" i="3"/>
  <c r="F31" i="12" l="1" a="1"/>
  <c r="F31" i="12" s="1"/>
  <c r="E31" i="12"/>
  <c r="A32" i="12"/>
  <c r="B32" i="5"/>
  <c r="N32" i="5"/>
  <c r="D32" i="6" s="1"/>
  <c r="K32" i="5"/>
  <c r="J32" i="5"/>
  <c r="C33" i="5"/>
  <c r="AE32" i="5" a="1"/>
  <c r="AE32" i="5" s="1"/>
  <c r="H32" i="5"/>
  <c r="E32" i="5"/>
  <c r="D32" i="5"/>
  <c r="B32" i="12" s="1"/>
  <c r="AD32" i="5"/>
  <c r="G32" i="5"/>
  <c r="F32" i="5"/>
  <c r="AG31" i="5" a="1"/>
  <c r="AG31" i="5" s="1"/>
  <c r="L33" i="6"/>
  <c r="B32" i="6"/>
  <c r="B74" i="8"/>
  <c r="U1" i="6" a="1"/>
  <c r="U1" i="6" s="1"/>
  <c r="C98" i="3"/>
  <c r="F31" i="6" l="1"/>
  <c r="G31" i="6"/>
  <c r="B77" i="8"/>
  <c r="A33" i="12"/>
  <c r="C34" i="5"/>
  <c r="H33" i="5"/>
  <c r="AE33" i="5" a="1"/>
  <c r="AE33" i="5" s="1"/>
  <c r="AD33" i="5"/>
  <c r="G33" i="5"/>
  <c r="F33" i="5"/>
  <c r="E33" i="5"/>
  <c r="D33" i="5"/>
  <c r="B33" i="12" s="1"/>
  <c r="K33" i="5"/>
  <c r="J33" i="5"/>
  <c r="N33" i="5"/>
  <c r="B33" i="5"/>
  <c r="B33" i="6"/>
  <c r="L34" i="6"/>
  <c r="V1" i="6" a="1"/>
  <c r="V1" i="6" s="1"/>
  <c r="C5" i="14"/>
  <c r="A34" i="12" l="1"/>
  <c r="D34" i="5"/>
  <c r="B34" i="12" s="1"/>
  <c r="B34" i="5"/>
  <c r="N34" i="5"/>
  <c r="D34" i="6" s="1"/>
  <c r="K34" i="5"/>
  <c r="J34" i="5"/>
  <c r="AD34" i="5"/>
  <c r="G34" i="5"/>
  <c r="F34" i="5"/>
  <c r="E34" i="5"/>
  <c r="H34" i="5"/>
  <c r="C35" i="5"/>
  <c r="AE34" i="5" a="1"/>
  <c r="AE34" i="5" s="1"/>
  <c r="B80" i="8"/>
  <c r="D33" i="6"/>
  <c r="L35" i="6"/>
  <c r="L36" i="6" s="1"/>
  <c r="B34" i="6"/>
  <c r="W1" i="6" a="1"/>
  <c r="W1" i="6" s="1"/>
  <c r="S12" i="11"/>
  <c r="C36" i="5" l="1"/>
  <c r="B36" i="6" s="1"/>
  <c r="B83" i="8"/>
  <c r="A35" i="12"/>
  <c r="K35" i="5"/>
  <c r="J35" i="5"/>
  <c r="AE35" i="5" a="1"/>
  <c r="AE35" i="5" s="1"/>
  <c r="H35" i="5"/>
  <c r="AD35" i="5"/>
  <c r="G35" i="5"/>
  <c r="F35" i="5"/>
  <c r="E35" i="5"/>
  <c r="B35" i="5"/>
  <c r="N35" i="5"/>
  <c r="D35" i="5"/>
  <c r="B35" i="12" s="1"/>
  <c r="B35" i="6"/>
  <c r="X1" i="6" a="1"/>
  <c r="X1" i="6" s="1"/>
  <c r="C1" i="7" a="1"/>
  <c r="C1" i="7" s="1"/>
  <c r="N36" i="5" l="1"/>
  <c r="D36" i="6" s="1"/>
  <c r="H36" i="5"/>
  <c r="D36" i="5"/>
  <c r="B36" i="12" s="1"/>
  <c r="AD36" i="5"/>
  <c r="K36" i="5"/>
  <c r="B36" i="5"/>
  <c r="AE36" i="5" a="1"/>
  <c r="AE36" i="5" s="1"/>
  <c r="G36" i="5"/>
  <c r="J36" i="5"/>
  <c r="E36" i="5"/>
  <c r="A36" i="12"/>
  <c r="F36" i="5"/>
  <c r="L37" i="6"/>
  <c r="B86" i="8"/>
  <c r="C37" i="5"/>
  <c r="D35" i="6"/>
  <c r="A29"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N29" i="6" l="1"/>
  <c r="B89" i="8"/>
  <c r="A37" i="12"/>
  <c r="N37" i="5"/>
  <c r="K37" i="5"/>
  <c r="J37" i="5"/>
  <c r="C38" i="5"/>
  <c r="AE37" i="5" a="1"/>
  <c r="AE37" i="5" s="1"/>
  <c r="H37" i="5"/>
  <c r="AD37" i="5"/>
  <c r="G37" i="5"/>
  <c r="D37" i="5"/>
  <c r="B37" i="12" s="1"/>
  <c r="B37" i="5"/>
  <c r="E37" i="5"/>
  <c r="F37" i="5"/>
  <c r="B37" i="6"/>
  <c r="L38" i="6"/>
  <c r="Z1" i="6" a="1"/>
  <c r="Z1" i="6" s="1"/>
  <c r="AA1" i="6" s="1" a="1"/>
  <c r="AA1" i="6" s="1"/>
  <c r="D27" i="2"/>
  <c r="D15" i="2"/>
  <c r="D35" i="2"/>
  <c r="D3" i="2"/>
  <c r="AB1" i="6" l="1" a="1"/>
  <c r="AB1" i="6" s="1"/>
  <c r="A38" i="12"/>
  <c r="C39" i="5"/>
  <c r="AE38" i="5" a="1"/>
  <c r="AE38" i="5" s="1"/>
  <c r="H38" i="5"/>
  <c r="AD38" i="5"/>
  <c r="G38" i="5"/>
  <c r="F38" i="5"/>
  <c r="E38" i="5"/>
  <c r="D38" i="5"/>
  <c r="B38" i="12" s="1"/>
  <c r="B38" i="5"/>
  <c r="K38" i="5"/>
  <c r="J38" i="5"/>
  <c r="N38" i="5"/>
  <c r="B92" i="8"/>
  <c r="L39" i="6"/>
  <c r="B38" i="6"/>
  <c r="D37" i="6"/>
  <c r="H10" i="7"/>
  <c r="AC1" i="6" l="1" a="1"/>
  <c r="AC1" i="6" s="1"/>
  <c r="B95" i="8"/>
  <c r="A31" i="6"/>
  <c r="D38" i="6"/>
  <c r="A39" i="12"/>
  <c r="B39" i="5"/>
  <c r="N39" i="5"/>
  <c r="K39" i="5"/>
  <c r="J39" i="5"/>
  <c r="F39" i="5"/>
  <c r="E39" i="5"/>
  <c r="D39" i="5"/>
  <c r="B39" i="12" s="1"/>
  <c r="G39" i="5"/>
  <c r="AD39" i="5"/>
  <c r="C40" i="5"/>
  <c r="AE39" i="5" a="1"/>
  <c r="AE39" i="5" s="1"/>
  <c r="H39" i="5"/>
  <c r="B39" i="6"/>
  <c r="L40" i="6"/>
  <c r="L41" i="6" s="1"/>
  <c r="AG131" i="8"/>
  <c r="C41" i="5" l="1"/>
  <c r="AD1" i="6" a="1"/>
  <c r="AD1" i="6" s="1"/>
  <c r="A40" i="12"/>
  <c r="J40" i="5"/>
  <c r="AE40" i="5" a="1"/>
  <c r="AE40" i="5" s="1"/>
  <c r="H40" i="5"/>
  <c r="AD40" i="5"/>
  <c r="G40" i="5"/>
  <c r="F40" i="5"/>
  <c r="E40" i="5"/>
  <c r="D40" i="5"/>
  <c r="B40" i="12" s="1"/>
  <c r="N40" i="5"/>
  <c r="D40" i="6" s="1"/>
  <c r="K40" i="5"/>
  <c r="B40" i="5"/>
  <c r="B98" i="8"/>
  <c r="D39" i="6"/>
  <c r="B40" i="6"/>
  <c r="C103" i="3"/>
  <c r="C100" i="3"/>
  <c r="C96" i="3"/>
  <c r="A41" i="12" l="1"/>
  <c r="H41" i="5"/>
  <c r="G41" i="5"/>
  <c r="F41" i="5"/>
  <c r="B41" i="5"/>
  <c r="C42" i="5" s="1"/>
  <c r="E41" i="5"/>
  <c r="B41" i="6"/>
  <c r="J41" i="5"/>
  <c r="K41" i="5"/>
  <c r="N41" i="5"/>
  <c r="D41" i="6" s="1"/>
  <c r="D41" i="5"/>
  <c r="B41" i="12" s="1"/>
  <c r="AD41" i="5"/>
  <c r="AE41" i="5" a="1"/>
  <c r="AE41" i="5" s="1"/>
  <c r="AE1" i="6" a="1"/>
  <c r="AE1" i="6" s="1"/>
  <c r="L42" i="6"/>
  <c r="B101" i="8"/>
  <c r="C93" i="3"/>
  <c r="AF1" i="6" l="1" a="1"/>
  <c r="AF1" i="6" s="1"/>
  <c r="A42" i="12"/>
  <c r="C43" i="5"/>
  <c r="AE42" i="5" a="1"/>
  <c r="AE42" i="5" s="1"/>
  <c r="H42" i="5"/>
  <c r="AD42" i="5"/>
  <c r="G42" i="5"/>
  <c r="F42" i="5"/>
  <c r="B42" i="5"/>
  <c r="N42" i="5"/>
  <c r="E42" i="5"/>
  <c r="AF42" i="5" a="1"/>
  <c r="AF42" i="5" s="1"/>
  <c r="B104" i="8"/>
  <c r="L43" i="6"/>
  <c r="B42" i="6"/>
  <c r="C112" i="3"/>
  <c r="C108" i="3"/>
  <c r="C70" i="3"/>
  <c r="L35" i="13"/>
  <c r="L34" i="13" s="1"/>
  <c r="C84" i="3"/>
  <c r="AG1" i="6" l="1" a="1"/>
  <c r="AG1" i="6" s="1"/>
  <c r="AG42" i="5" a="1"/>
  <c r="AG42" i="5" s="1"/>
  <c r="F42" i="12" a="1"/>
  <c r="F42" i="12" s="1"/>
  <c r="B43" i="6"/>
  <c r="L44" i="6"/>
  <c r="L45" i="6" s="1"/>
  <c r="A43" i="12"/>
  <c r="AD43" i="5"/>
  <c r="G43" i="5"/>
  <c r="F43" i="5"/>
  <c r="E43" i="5"/>
  <c r="D43" i="5"/>
  <c r="B43" i="12" s="1"/>
  <c r="B43" i="5"/>
  <c r="N43" i="5"/>
  <c r="D43" i="6" s="1"/>
  <c r="J43" i="5"/>
  <c r="C44" i="5"/>
  <c r="AE43" i="5" a="1"/>
  <c r="AE43" i="5" s="1"/>
  <c r="H43" i="5"/>
  <c r="K43" i="5"/>
  <c r="B107" i="8"/>
  <c r="D42" i="6"/>
  <c r="C56" i="3"/>
  <c r="C45" i="5" l="1"/>
  <c r="A45" i="12" s="1"/>
  <c r="AH1" i="6" a="1"/>
  <c r="AH1" i="6" s="1"/>
  <c r="G42" i="6"/>
  <c r="E42" i="12"/>
  <c r="F42" i="6"/>
  <c r="A44" i="12"/>
  <c r="B44" i="5"/>
  <c r="N44" i="5"/>
  <c r="K44" i="5"/>
  <c r="J44" i="5"/>
  <c r="AE44" i="5" a="1"/>
  <c r="AE44" i="5" s="1"/>
  <c r="H44" i="5"/>
  <c r="E44" i="5"/>
  <c r="D44" i="5"/>
  <c r="B44" i="12" s="1"/>
  <c r="AD44" i="5"/>
  <c r="G44" i="5"/>
  <c r="F44" i="5"/>
  <c r="B110" i="8"/>
  <c r="B44" i="6"/>
  <c r="Q13" i="6"/>
  <c r="A1" i="7"/>
  <c r="V63" i="7" a="1"/>
  <c r="V63" i="7" s="1"/>
  <c r="Y5" i="7"/>
  <c r="X5" i="7"/>
  <c r="P5" i="7"/>
  <c r="C60" i="3"/>
  <c r="F5" i="7"/>
  <c r="F45" i="5" l="1"/>
  <c r="B45" i="6"/>
  <c r="G45" i="5"/>
  <c r="K45" i="5"/>
  <c r="D45" i="5"/>
  <c r="B45" i="12" s="1"/>
  <c r="E45" i="5"/>
  <c r="N45" i="5"/>
  <c r="D45" i="6" s="1"/>
  <c r="B45" i="5"/>
  <c r="H45" i="5"/>
  <c r="AD45" i="5"/>
  <c r="J45" i="5"/>
  <c r="AE45" i="5" a="1"/>
  <c r="AE45" i="5" s="1"/>
  <c r="D44" i="6"/>
  <c r="B113" i="8"/>
  <c r="C46" i="5"/>
  <c r="L46" i="6"/>
  <c r="R13" i="6"/>
  <c r="S13" i="6" s="1"/>
  <c r="V64" i="7"/>
  <c r="V65" i="7"/>
  <c r="N5" i="7"/>
  <c r="O5" i="7"/>
  <c r="A46" i="12" l="1"/>
  <c r="D46" i="5"/>
  <c r="B46" i="12" s="1"/>
  <c r="B46" i="5"/>
  <c r="N46" i="5"/>
  <c r="D46" i="6" s="1"/>
  <c r="K46" i="5"/>
  <c r="J46" i="5"/>
  <c r="AD46" i="5"/>
  <c r="G46" i="5"/>
  <c r="F46" i="5"/>
  <c r="E46" i="5"/>
  <c r="AE46" i="5" a="1"/>
  <c r="AE46" i="5" s="1"/>
  <c r="H46" i="5"/>
  <c r="C47" i="5"/>
  <c r="B116" i="8"/>
  <c r="L47" i="6"/>
  <c r="B46" i="6"/>
  <c r="T13" i="6"/>
  <c r="E10" i="7"/>
  <c r="C57" i="3"/>
  <c r="C82" i="3"/>
  <c r="C77" i="3"/>
  <c r="B71" i="9"/>
  <c r="D64" i="7"/>
  <c r="V70" i="9" a="1"/>
  <c r="V72" i="9" s="1"/>
  <c r="B68" i="9"/>
  <c r="J60" i="9"/>
  <c r="L60" i="9" s="1"/>
  <c r="N60" i="9" s="1"/>
  <c r="P60" i="9" s="1"/>
  <c r="R60" i="9" s="1"/>
  <c r="T60" i="9" s="1"/>
  <c r="V60" i="9" s="1"/>
  <c r="X60" i="9" s="1"/>
  <c r="Z60" i="9" s="1"/>
  <c r="AB60" i="9" s="1"/>
  <c r="AD60" i="9" s="1"/>
  <c r="M5" i="9"/>
  <c r="J5" i="9"/>
  <c r="G5" i="9"/>
  <c r="B5" i="9"/>
  <c r="A47" i="12" l="1"/>
  <c r="K47" i="5"/>
  <c r="J47" i="5"/>
  <c r="C48" i="5"/>
  <c r="AE47" i="5" a="1"/>
  <c r="AE47" i="5" s="1"/>
  <c r="H47" i="5"/>
  <c r="AD47" i="5"/>
  <c r="G47" i="5"/>
  <c r="F47" i="5"/>
  <c r="E47" i="5"/>
  <c r="B47" i="5"/>
  <c r="N47" i="5"/>
  <c r="D47" i="6" s="1"/>
  <c r="D47" i="5"/>
  <c r="B47" i="12" s="1"/>
  <c r="B47" i="6"/>
  <c r="L48" i="6"/>
  <c r="U13" i="6"/>
  <c r="V70" i="9"/>
  <c r="V71" i="9"/>
  <c r="L63" i="7" a="1"/>
  <c r="L65" i="7" s="1"/>
  <c r="D61" i="7"/>
  <c r="C5" i="7"/>
  <c r="A48" i="12" l="1"/>
  <c r="F48" i="5"/>
  <c r="E48" i="5"/>
  <c r="D48" i="5"/>
  <c r="B48" i="12" s="1"/>
  <c r="B48" i="5"/>
  <c r="N48" i="5"/>
  <c r="C49" i="5"/>
  <c r="AE48" i="5" a="1"/>
  <c r="AE48" i="5" s="1"/>
  <c r="H48" i="5"/>
  <c r="AD48" i="5"/>
  <c r="G48" i="5"/>
  <c r="K48" i="5"/>
  <c r="J48" i="5"/>
  <c r="L49" i="6"/>
  <c r="L50" i="6" s="1"/>
  <c r="B48" i="6"/>
  <c r="V13" i="6"/>
  <c r="L63" i="7"/>
  <c r="L64" i="7"/>
  <c r="C69" i="3"/>
  <c r="C86" i="3"/>
  <c r="C81" i="3"/>
  <c r="C80" i="3"/>
  <c r="C79" i="3"/>
  <c r="C76" i="3"/>
  <c r="C75" i="3"/>
  <c r="C74" i="3"/>
  <c r="C67" i="3"/>
  <c r="C65" i="3"/>
  <c r="C64" i="3"/>
  <c r="C61" i="3"/>
  <c r="C62" i="3"/>
  <c r="C59" i="3"/>
  <c r="C58" i="3"/>
  <c r="C72" i="3"/>
  <c r="S108" i="4" a="1"/>
  <c r="S108" i="4" s="1"/>
  <c r="S68" i="4" a="1"/>
  <c r="S68" i="4" s="1"/>
  <c r="S28" i="4" a="1"/>
  <c r="S28" i="4" s="1"/>
  <c r="C50" i="5" l="1"/>
  <c r="D48" i="6"/>
  <c r="B49" i="6"/>
  <c r="A49" i="12"/>
  <c r="N49" i="5"/>
  <c r="D49" i="6" s="1"/>
  <c r="K49" i="5"/>
  <c r="J49" i="5"/>
  <c r="AE49" i="5" a="1"/>
  <c r="AE49" i="5" s="1"/>
  <c r="H49" i="5"/>
  <c r="AD49" i="5"/>
  <c r="G49" i="5"/>
  <c r="D49" i="5"/>
  <c r="B49" i="12" s="1"/>
  <c r="B49" i="5"/>
  <c r="E49" i="5"/>
  <c r="F49" i="5"/>
  <c r="X108" i="4"/>
  <c r="Y28" i="4"/>
  <c r="X68" i="4"/>
  <c r="W13" i="6"/>
  <c r="X28" i="4"/>
  <c r="Z108" i="4"/>
  <c r="Y108" i="4"/>
  <c r="Z68" i="4"/>
  <c r="Y68" i="4"/>
  <c r="Z28" i="4"/>
  <c r="C15" i="14"/>
  <c r="L4" i="13"/>
  <c r="I5" i="12"/>
  <c r="F4" i="11"/>
  <c r="D7" i="10"/>
  <c r="K8" i="8"/>
  <c r="L5" i="4"/>
  <c r="C52" i="3"/>
  <c r="G10" i="6" a="1"/>
  <c r="G10" i="6" s="1"/>
  <c r="Q5" i="5" a="1"/>
  <c r="Q5" i="5" s="1"/>
  <c r="P85" i="4"/>
  <c r="C51" i="3"/>
  <c r="C47" i="3"/>
  <c r="C43" i="3"/>
  <c r="C41" i="3"/>
  <c r="C39" i="3"/>
  <c r="E2" i="15"/>
  <c r="C34" i="3"/>
  <c r="C32" i="3"/>
  <c r="BV13" i="6"/>
  <c r="AJ13" i="6"/>
  <c r="AJ12" i="6" s="1"/>
  <c r="BC13" i="6"/>
  <c r="H12" i="10"/>
  <c r="H11" i="10" s="1" a="1"/>
  <c r="H11" i="10" s="1"/>
  <c r="CE15" i="6"/>
  <c r="CD15" i="6"/>
  <c r="CC15" i="6"/>
  <c r="CB15" i="6"/>
  <c r="CA15" i="6"/>
  <c r="BZ15" i="6"/>
  <c r="BY15" i="6"/>
  <c r="BX15" i="6"/>
  <c r="BW15" i="6"/>
  <c r="BV15" i="6"/>
  <c r="G12" i="9"/>
  <c r="C20" i="3"/>
  <c r="C22" i="3"/>
  <c r="C24" i="3"/>
  <c r="C26" i="3"/>
  <c r="C28" i="3"/>
  <c r="C19" i="3"/>
  <c r="C15" i="3"/>
  <c r="C14" i="3"/>
  <c r="C12" i="3"/>
  <c r="I36" i="11"/>
  <c r="I35" i="11"/>
  <c r="AA134" i="8" a="1"/>
  <c r="T241" i="6" a="1"/>
  <c r="T243" i="6" s="1"/>
  <c r="I241" i="6" a="1"/>
  <c r="I242" i="6" s="1"/>
  <c r="C2" i="4"/>
  <c r="Z7" i="11"/>
  <c r="V12" i="8"/>
  <c r="E12" i="8"/>
  <c r="C14" i="5"/>
  <c r="AF14" i="5" s="1" a="1"/>
  <c r="AF14" i="5" s="1"/>
  <c r="BL15" i="6"/>
  <c r="BK15" i="6"/>
  <c r="BJ15" i="6"/>
  <c r="BI15" i="6"/>
  <c r="BH15" i="6"/>
  <c r="BG15" i="6"/>
  <c r="BF15" i="6"/>
  <c r="BE15" i="6"/>
  <c r="BD15" i="6"/>
  <c r="BC15" i="6"/>
  <c r="D12" i="11"/>
  <c r="A12" i="11" s="1"/>
  <c r="L39" i="13"/>
  <c r="C8" i="4"/>
  <c r="C9" i="4"/>
  <c r="C10" i="4"/>
  <c r="C11" i="4"/>
  <c r="C12" i="4"/>
  <c r="C13" i="4"/>
  <c r="L46" i="13"/>
  <c r="B1" i="8"/>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5" i="4"/>
  <c r="K50" i="4" a="1"/>
  <c r="K52" i="4" s="1"/>
  <c r="R61" i="4"/>
  <c r="R62" i="4"/>
  <c r="R65" i="4"/>
  <c r="N75" i="4"/>
  <c r="J78" i="4"/>
  <c r="J85" i="4"/>
  <c r="K90" i="4" a="1"/>
  <c r="K92" i="4" s="1"/>
  <c r="R102" i="4"/>
  <c r="R103" i="4"/>
  <c r="R104" i="4"/>
  <c r="R105" i="4"/>
  <c r="N115" i="4"/>
  <c r="J118" i="4"/>
  <c r="J125" i="4"/>
  <c r="K130" i="4" a="1"/>
  <c r="K131" i="4" s="1"/>
  <c r="E1" i="12"/>
  <c r="D5" i="12"/>
  <c r="F5" i="12"/>
  <c r="J5" i="12"/>
  <c r="O5" i="12"/>
  <c r="D8" i="12"/>
  <c r="E8" i="12"/>
  <c r="F8" i="12"/>
  <c r="D15" i="12"/>
  <c r="D244" i="12"/>
  <c r="E245" i="12"/>
  <c r="K247" i="12" a="1"/>
  <c r="K249" i="12" s="1"/>
  <c r="E10" i="6"/>
  <c r="I10" i="6"/>
  <c r="K10" i="6"/>
  <c r="S10" i="6"/>
  <c r="U10" i="6"/>
  <c r="O13" i="6"/>
  <c r="O15" i="6" s="1"/>
  <c r="O11" i="6" s="1"/>
  <c r="B15" i="6"/>
  <c r="C15" i="6"/>
  <c r="E15" i="6"/>
  <c r="B235" i="6"/>
  <c r="C235" i="6"/>
  <c r="F239" i="6"/>
  <c r="S5" i="8"/>
  <c r="I8" i="8"/>
  <c r="L8" i="8"/>
  <c r="U8" i="8"/>
  <c r="E13" i="8"/>
  <c r="V13" i="8"/>
  <c r="W13" i="8" s="1"/>
  <c r="X13" i="8" s="1"/>
  <c r="Y13" i="8" s="1"/>
  <c r="Z13" i="8" s="1"/>
  <c r="AA13" i="8" s="1"/>
  <c r="AB13" i="8" s="1"/>
  <c r="AC13" i="8" s="1"/>
  <c r="AD13" i="8" s="1"/>
  <c r="AE13" i="8" s="1"/>
  <c r="AF13" i="8" s="1"/>
  <c r="T121" i="8"/>
  <c r="T126" i="8"/>
  <c r="I132"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245" i="5"/>
  <c r="O15" i="5"/>
  <c r="O248" i="5"/>
  <c r="T250" i="5" a="1"/>
  <c r="T250" i="5" s="1"/>
  <c r="B1" i="10"/>
  <c r="H4" i="10"/>
  <c r="B7" i="10"/>
  <c r="H7" i="10"/>
  <c r="O7" i="10"/>
  <c r="F12" i="10"/>
  <c r="F11" i="10" s="1" a="1"/>
  <c r="F11" i="10" s="1"/>
  <c r="B70" i="10"/>
  <c r="W72" i="10" a="1"/>
  <c r="W73"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B50" i="6" l="1"/>
  <c r="F50" i="5"/>
  <c r="E50" i="5"/>
  <c r="H50" i="5"/>
  <c r="B50" i="5"/>
  <c r="C51" i="5" s="1"/>
  <c r="G50" i="5"/>
  <c r="K50" i="5"/>
  <c r="N50" i="5"/>
  <c r="D50" i="6" s="1"/>
  <c r="J50" i="5"/>
  <c r="D50" i="5"/>
  <c r="B50" i="12" s="1"/>
  <c r="AD50" i="5"/>
  <c r="AE50" i="5" a="1"/>
  <c r="AE50" i="5" s="1"/>
  <c r="A50" i="12"/>
  <c r="A42" i="6"/>
  <c r="L51" i="6"/>
  <c r="R14" i="5" a="1"/>
  <c r="R14" i="5" s="1"/>
  <c r="AE14" i="5" a="1"/>
  <c r="AE14" i="5" s="1"/>
  <c r="BC12" i="6"/>
  <c r="BV12" i="6"/>
  <c r="K130" i="4"/>
  <c r="U108" i="4"/>
  <c r="U68" i="4"/>
  <c r="U28" i="4"/>
  <c r="A15" i="6" a="1"/>
  <c r="A15" i="6" s="1"/>
  <c r="S109" i="4"/>
  <c r="S69" i="4"/>
  <c r="S29" i="4"/>
  <c r="C34" i="4"/>
  <c r="C45" i="4"/>
  <c r="BW13" i="6"/>
  <c r="K50" i="4"/>
  <c r="N9" i="10"/>
  <c r="C33" i="4"/>
  <c r="C48" i="4"/>
  <c r="C27" i="4"/>
  <c r="A16" i="4"/>
  <c r="W12" i="8"/>
  <c r="X13" i="6"/>
  <c r="O7" i="11"/>
  <c r="AC13" i="12"/>
  <c r="K62" i="10"/>
  <c r="K67" i="10" s="1"/>
  <c r="W75" i="10"/>
  <c r="E12" i="13"/>
  <c r="C47" i="4"/>
  <c r="C23" i="4"/>
  <c r="A30" i="4"/>
  <c r="A31" i="4" s="1"/>
  <c r="C31" i="4" s="1"/>
  <c r="C46" i="4"/>
  <c r="C28" i="4"/>
  <c r="K250" i="12"/>
  <c r="C21" i="4"/>
  <c r="C22" i="4"/>
  <c r="K132" i="4"/>
  <c r="W74" i="10"/>
  <c r="K247" i="12"/>
  <c r="T252" i="5"/>
  <c r="O7" i="13"/>
  <c r="T242" i="6"/>
  <c r="P125" i="4"/>
  <c r="I135" i="8"/>
  <c r="I243" i="6"/>
  <c r="I241" i="6"/>
  <c r="AK13" i="6"/>
  <c r="AK12" i="6" s="1"/>
  <c r="BD13" i="6"/>
  <c r="B14" i="5"/>
  <c r="F14" i="5"/>
  <c r="G15" i="9"/>
  <c r="H15" i="10"/>
  <c r="S110" i="4"/>
  <c r="I12" i="10"/>
  <c r="I11" i="10" s="1" a="1"/>
  <c r="I11" i="10" s="1"/>
  <c r="H12" i="9"/>
  <c r="S30" i="4"/>
  <c r="A36" i="4"/>
  <c r="C35" i="4"/>
  <c r="C24" i="4"/>
  <c r="AA135" i="8"/>
  <c r="AA136" i="8"/>
  <c r="AA134" i="8"/>
  <c r="P45" i="4"/>
  <c r="K14" i="5"/>
  <c r="J14" i="5"/>
  <c r="H14" i="5"/>
  <c r="A14" i="12"/>
  <c r="D14" i="5"/>
  <c r="B14" i="12" s="1"/>
  <c r="AD14" i="5"/>
  <c r="E14" i="5"/>
  <c r="G14" i="5"/>
  <c r="N14" i="5"/>
  <c r="E248" i="12"/>
  <c r="B73" i="10"/>
  <c r="F242" i="6"/>
  <c r="O251" i="5"/>
  <c r="D36" i="11"/>
  <c r="W72" i="10"/>
  <c r="A4" i="4"/>
  <c r="K51" i="4"/>
  <c r="K248" i="12"/>
  <c r="S70" i="4"/>
  <c r="K91" i="4"/>
  <c r="T241" i="6"/>
  <c r="K90" i="4"/>
  <c r="T251" i="5"/>
  <c r="BT16" i="6" l="1"/>
  <c r="CF16" i="6" a="1"/>
  <c r="CF16" i="6" s="1"/>
  <c r="BN17" i="6"/>
  <c r="CF17" i="6" a="1"/>
  <c r="CF17" i="6" s="1"/>
  <c r="CJ16" i="6" a="1"/>
  <c r="CJ16" i="6" s="1"/>
  <c r="BQ16" i="6"/>
  <c r="BT17" i="6"/>
  <c r="CH16" i="6" a="1"/>
  <c r="CH16" i="6" s="1"/>
  <c r="BO16" i="6"/>
  <c r="CL16" i="6" a="1"/>
  <c r="CL16" i="6" s="1"/>
  <c r="BP17" i="6"/>
  <c r="CJ17" i="6" a="1"/>
  <c r="CJ17" i="6" s="1"/>
  <c r="CG16" i="6" a="1"/>
  <c r="CG16" i="6" s="1"/>
  <c r="BS17" i="6"/>
  <c r="CI16" i="6" a="1"/>
  <c r="CI16" i="6" s="1"/>
  <c r="BS16" i="6"/>
  <c r="CM17" i="6" a="1"/>
  <c r="CM17" i="6" s="1"/>
  <c r="BQ17" i="6"/>
  <c r="BN16" i="6"/>
  <c r="BR16" i="6"/>
  <c r="BO17" i="6"/>
  <c r="CG17" i="6" a="1"/>
  <c r="CG17" i="6" s="1"/>
  <c r="CK17" i="6" a="1"/>
  <c r="CK17" i="6" s="1"/>
  <c r="BM17" i="6"/>
  <c r="CK16" i="6" a="1"/>
  <c r="CK16" i="6" s="1"/>
  <c r="BM16" i="6"/>
  <c r="CH17" i="6" a="1"/>
  <c r="CH17" i="6" s="1"/>
  <c r="BR17" i="6"/>
  <c r="BP16" i="6"/>
  <c r="CM16" i="6" a="1"/>
  <c r="CM16" i="6" s="1"/>
  <c r="CI17" i="6" a="1"/>
  <c r="CI17" i="6" s="1"/>
  <c r="CL17" i="6" a="1"/>
  <c r="CL17" i="6" s="1"/>
  <c r="AJ16" i="6"/>
  <c r="A51" i="12"/>
  <c r="B51" i="5"/>
  <c r="N51" i="5"/>
  <c r="D51" i="6" s="1"/>
  <c r="F51" i="5"/>
  <c r="E51" i="5"/>
  <c r="AD51" i="5"/>
  <c r="H51" i="5"/>
  <c r="G51" i="5"/>
  <c r="AE51" i="5" a="1"/>
  <c r="AE51" i="5" s="1"/>
  <c r="C52" i="5"/>
  <c r="AF51" i="5" a="1"/>
  <c r="AF51" i="5" s="1"/>
  <c r="AJ17" i="6"/>
  <c r="BC16" i="6"/>
  <c r="BD16" i="6"/>
  <c r="BD17" i="6"/>
  <c r="BK16" i="6"/>
  <c r="BV16" i="6" a="1"/>
  <c r="BV16" i="6" s="1"/>
  <c r="BY17" i="6" a="1"/>
  <c r="BY17" i="6" s="1"/>
  <c r="BH17" i="6"/>
  <c r="BH16" i="6"/>
  <c r="CB17" i="6" a="1"/>
  <c r="CB17" i="6" s="1"/>
  <c r="BX17" i="6" a="1"/>
  <c r="BX17" i="6" s="1"/>
  <c r="BI16" i="6"/>
  <c r="CE16" i="6" a="1"/>
  <c r="CE16" i="6" s="1"/>
  <c r="BI17" i="6"/>
  <c r="BV17" i="6" a="1"/>
  <c r="BV17" i="6" s="1"/>
  <c r="BJ17" i="6"/>
  <c r="BG16" i="6"/>
  <c r="BW17" i="6" a="1"/>
  <c r="BW17" i="6" s="1"/>
  <c r="BL16" i="6"/>
  <c r="BC17" i="6"/>
  <c r="CC17" i="6" a="1"/>
  <c r="CC17" i="6" s="1"/>
  <c r="CA17" i="6" a="1"/>
  <c r="CA17" i="6" s="1"/>
  <c r="CD16" i="6" a="1"/>
  <c r="CD16" i="6" s="1"/>
  <c r="CA16" i="6" a="1"/>
  <c r="CA16" i="6" s="1"/>
  <c r="CE17" i="6" a="1"/>
  <c r="CE17" i="6" s="1"/>
  <c r="BF17" i="6"/>
  <c r="BX16" i="6" a="1"/>
  <c r="BX16" i="6" s="1"/>
  <c r="BG17" i="6"/>
  <c r="BW16" i="6" a="1"/>
  <c r="BW16" i="6" s="1"/>
  <c r="BJ16" i="6"/>
  <c r="CC16" i="6" a="1"/>
  <c r="CC16" i="6" s="1"/>
  <c r="BY16" i="6" a="1"/>
  <c r="BY16" i="6" s="1"/>
  <c r="BE17" i="6"/>
  <c r="CB16" i="6" a="1"/>
  <c r="CB16" i="6" s="1"/>
  <c r="BF16" i="6"/>
  <c r="BZ17" i="6" a="1"/>
  <c r="BZ17" i="6" s="1"/>
  <c r="BL17" i="6"/>
  <c r="BK17" i="6"/>
  <c r="BZ16" i="6" a="1"/>
  <c r="BZ16" i="6" s="1"/>
  <c r="BE16" i="6"/>
  <c r="CD17" i="6" a="1"/>
  <c r="CD17" i="6" s="1"/>
  <c r="AK16" i="6"/>
  <c r="AK17" i="6"/>
  <c r="B51" i="6"/>
  <c r="L52" i="6"/>
  <c r="BD12" i="6"/>
  <c r="BW12" i="6"/>
  <c r="U97" i="4"/>
  <c r="U57" i="4"/>
  <c r="C15" i="7" a="1"/>
  <c r="C15" i="7" s="1"/>
  <c r="B10" i="9"/>
  <c r="M62" i="10"/>
  <c r="M67"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BX13" i="6"/>
  <c r="C30" i="4"/>
  <c r="C16" i="4"/>
  <c r="A17" i="4"/>
  <c r="X12" i="8"/>
  <c r="AD13" i="12"/>
  <c r="Y13" i="6"/>
  <c r="B42" i="14"/>
  <c r="AL13" i="6"/>
  <c r="AL12" i="6" s="1"/>
  <c r="BE13" i="6"/>
  <c r="B8" i="14"/>
  <c r="I10" i="13"/>
  <c r="J12" i="10"/>
  <c r="J11" i="10" s="1" a="1"/>
  <c r="J11" i="10" s="1"/>
  <c r="C4" i="4"/>
  <c r="A5" i="4"/>
  <c r="C36" i="4"/>
  <c r="A37" i="4"/>
  <c r="C37" i="4" s="1"/>
  <c r="AH224" i="5" l="1"/>
  <c r="AN224" i="5" s="1" a="1"/>
  <c r="AN224" i="5" s="1"/>
  <c r="AH222" i="5"/>
  <c r="AN222" i="5" s="1" a="1"/>
  <c r="AN222" i="5" s="1"/>
  <c r="AH223" i="5"/>
  <c r="AN223" i="5" s="1" a="1"/>
  <c r="AN223" i="5" s="1"/>
  <c r="AH45" i="5"/>
  <c r="AN45" i="5" s="1" a="1"/>
  <c r="AN45" i="5" s="1"/>
  <c r="AH41" i="5"/>
  <c r="AN41" i="5" s="1" a="1"/>
  <c r="AN41" i="5" s="1"/>
  <c r="AH36" i="5"/>
  <c r="AH22" i="5"/>
  <c r="AN22" i="5" s="1" a="1"/>
  <c r="AN22" i="5" s="1"/>
  <c r="AH50" i="5"/>
  <c r="AH28" i="5"/>
  <c r="AN28" i="5" s="1" a="1"/>
  <c r="AN28" i="5" s="1"/>
  <c r="AH157" i="5"/>
  <c r="AN157" i="5" s="1" a="1"/>
  <c r="AN157" i="5" s="1"/>
  <c r="E51" i="12"/>
  <c r="A52" i="12"/>
  <c r="J52" i="5"/>
  <c r="C53" i="5"/>
  <c r="AE52" i="5" a="1"/>
  <c r="AE52" i="5" s="1"/>
  <c r="H52" i="5"/>
  <c r="AD52" i="5"/>
  <c r="G52" i="5"/>
  <c r="F52" i="5"/>
  <c r="E52" i="5"/>
  <c r="D52" i="5"/>
  <c r="B52" i="12" s="1"/>
  <c r="N52" i="5"/>
  <c r="D52" i="6" s="1"/>
  <c r="K52" i="5"/>
  <c r="B52" i="5"/>
  <c r="AL16" i="6"/>
  <c r="AL17" i="6"/>
  <c r="M23" i="6"/>
  <c r="AH227" i="5"/>
  <c r="AN227" i="5" s="1" a="1"/>
  <c r="AN227" i="5" s="1"/>
  <c r="AH203" i="5"/>
  <c r="AN203" i="5" s="1" a="1"/>
  <c r="AN203" i="5" s="1"/>
  <c r="AH192" i="5"/>
  <c r="AN192" i="5" s="1" a="1"/>
  <c r="AN192" i="5" s="1"/>
  <c r="AH180" i="5"/>
  <c r="AN180" i="5" s="1" a="1"/>
  <c r="AN180" i="5" s="1"/>
  <c r="AH168" i="5"/>
  <c r="AN168" i="5" s="1" a="1"/>
  <c r="AN168" i="5" s="1"/>
  <c r="AH156" i="5"/>
  <c r="AN156" i="5" s="1" a="1"/>
  <c r="AN156" i="5" s="1"/>
  <c r="AH144" i="5"/>
  <c r="AN144" i="5" s="1" a="1"/>
  <c r="AN144" i="5" s="1"/>
  <c r="AH234" i="5"/>
  <c r="AN234" i="5" s="1" a="1"/>
  <c r="AN234" i="5" s="1"/>
  <c r="AH210" i="5"/>
  <c r="AN210" i="5" s="1" a="1"/>
  <c r="AN210" i="5" s="1"/>
  <c r="AH198" i="5"/>
  <c r="AN198" i="5" s="1" a="1"/>
  <c r="AN198" i="5" s="1"/>
  <c r="AH229" i="5"/>
  <c r="AN229" i="5" s="1" a="1"/>
  <c r="AN229" i="5" s="1"/>
  <c r="AH216" i="5"/>
  <c r="AN216" i="5" s="1" a="1"/>
  <c r="AN216" i="5" s="1"/>
  <c r="AH205" i="5"/>
  <c r="AN205" i="5" s="1" a="1"/>
  <c r="AN205" i="5" s="1"/>
  <c r="AH194" i="5"/>
  <c r="AN194" i="5" s="1" a="1"/>
  <c r="AN194" i="5" s="1"/>
  <c r="AH212" i="5"/>
  <c r="AN212" i="5" s="1" a="1"/>
  <c r="AN212" i="5" s="1"/>
  <c r="AH200" i="5"/>
  <c r="AN200" i="5" s="1" a="1"/>
  <c r="AN200" i="5" s="1"/>
  <c r="AH231" i="5"/>
  <c r="AN231" i="5" s="1" a="1"/>
  <c r="AN231" i="5" s="1"/>
  <c r="AH218" i="5"/>
  <c r="AN218" i="5" s="1" a="1"/>
  <c r="AN218" i="5" s="1"/>
  <c r="AH207" i="5"/>
  <c r="AN207" i="5" s="1" a="1"/>
  <c r="AN207" i="5" s="1"/>
  <c r="AH196" i="5"/>
  <c r="AN196" i="5" s="1" a="1"/>
  <c r="AN196" i="5" s="1"/>
  <c r="AH226" i="5"/>
  <c r="AN226" i="5" s="1" a="1"/>
  <c r="AN226" i="5" s="1"/>
  <c r="AH214" i="5"/>
  <c r="AN214" i="5" s="1" a="1"/>
  <c r="AN214" i="5" s="1"/>
  <c r="AH202" i="5"/>
  <c r="AN202" i="5" s="1" a="1"/>
  <c r="AN202" i="5" s="1"/>
  <c r="AH191" i="5"/>
  <c r="AN191" i="5" s="1" a="1"/>
  <c r="AN191" i="5" s="1"/>
  <c r="AH179" i="5"/>
  <c r="AN179" i="5" s="1" a="1"/>
  <c r="AN179" i="5" s="1"/>
  <c r="AH167" i="5"/>
  <c r="AN167" i="5" s="1" a="1"/>
  <c r="AN167" i="5" s="1"/>
  <c r="AH155" i="5"/>
  <c r="AN155" i="5" s="1" a="1"/>
  <c r="AN155" i="5" s="1"/>
  <c r="AH143" i="5"/>
  <c r="AN143" i="5" s="1" a="1"/>
  <c r="AN143" i="5" s="1"/>
  <c r="AH230" i="5"/>
  <c r="AN230" i="5" s="1" a="1"/>
  <c r="AN230" i="5" s="1"/>
  <c r="AH217" i="5"/>
  <c r="AN217" i="5" s="1" a="1"/>
  <c r="AN217" i="5" s="1"/>
  <c r="AH206" i="5"/>
  <c r="AN206" i="5" s="1" a="1"/>
  <c r="AN206" i="5" s="1"/>
  <c r="AH195" i="5"/>
  <c r="AN195" i="5" s="1" a="1"/>
  <c r="AN195" i="5" s="1"/>
  <c r="AH225" i="5"/>
  <c r="AN225" i="5" s="1" a="1"/>
  <c r="AN225" i="5" s="1"/>
  <c r="AH213" i="5"/>
  <c r="AN213" i="5" s="1" a="1"/>
  <c r="AN213" i="5" s="1"/>
  <c r="AH201" i="5"/>
  <c r="AN201" i="5" s="1" a="1"/>
  <c r="AN201" i="5" s="1"/>
  <c r="AH232" i="5"/>
  <c r="AN232" i="5" s="1" a="1"/>
  <c r="AN232" i="5" s="1"/>
  <c r="AH219" i="5"/>
  <c r="AN219" i="5" s="1" a="1"/>
  <c r="AN219" i="5" s="1"/>
  <c r="AH208" i="5"/>
  <c r="AN208" i="5" s="1" a="1"/>
  <c r="AN208" i="5" s="1"/>
  <c r="AH184" i="5"/>
  <c r="AN184" i="5" s="1" a="1"/>
  <c r="AN184" i="5" s="1"/>
  <c r="AH177" i="5"/>
  <c r="AN177" i="5" s="1" a="1"/>
  <c r="AN177" i="5" s="1"/>
  <c r="AH163" i="5"/>
  <c r="AN163" i="5" s="1" a="1"/>
  <c r="AN163" i="5" s="1"/>
  <c r="AH148" i="5"/>
  <c r="AN148" i="5" s="1" a="1"/>
  <c r="AN148" i="5" s="1"/>
  <c r="AH139" i="5"/>
  <c r="AN139" i="5" s="1" a="1"/>
  <c r="AN139" i="5" s="1"/>
  <c r="AH117" i="5"/>
  <c r="AN117" i="5" s="1" a="1"/>
  <c r="AN117" i="5" s="1"/>
  <c r="AH106" i="5"/>
  <c r="AN106" i="5" s="1" a="1"/>
  <c r="AN106" i="5" s="1"/>
  <c r="AH95" i="5"/>
  <c r="AN95" i="5" s="1" a="1"/>
  <c r="AN95" i="5" s="1"/>
  <c r="AH84" i="5"/>
  <c r="AN84" i="5" s="1" a="1"/>
  <c r="AN84" i="5" s="1"/>
  <c r="AH74" i="5"/>
  <c r="AN74" i="5" s="1" a="1"/>
  <c r="AN74" i="5" s="1"/>
  <c r="AH64" i="5"/>
  <c r="AN64" i="5" s="1" a="1"/>
  <c r="AN64" i="5" s="1"/>
  <c r="AH221" i="5"/>
  <c r="AN221" i="5" s="1" a="1"/>
  <c r="AN221" i="5" s="1"/>
  <c r="AH211" i="5"/>
  <c r="AN211" i="5" s="1" a="1"/>
  <c r="AN211" i="5" s="1"/>
  <c r="AH199" i="5"/>
  <c r="AN199" i="5" s="1" a="1"/>
  <c r="AN199" i="5" s="1"/>
  <c r="AH189" i="5"/>
  <c r="AN189" i="5" s="1" a="1"/>
  <c r="AN189" i="5" s="1"/>
  <c r="AH170" i="5"/>
  <c r="AN170" i="5" s="1" a="1"/>
  <c r="AN170" i="5" s="1"/>
  <c r="AH149" i="5"/>
  <c r="AN149" i="5" s="1" a="1"/>
  <c r="AN149" i="5" s="1"/>
  <c r="AH134" i="5"/>
  <c r="AN134" i="5" s="1" a="1"/>
  <c r="AN134" i="5" s="1"/>
  <c r="AH124" i="5"/>
  <c r="AN124" i="5" s="1" a="1"/>
  <c r="AN124" i="5" s="1"/>
  <c r="AH112" i="5"/>
  <c r="AN112" i="5" s="1" a="1"/>
  <c r="AN112" i="5" s="1"/>
  <c r="AH187" i="5"/>
  <c r="AN187" i="5" s="1" a="1"/>
  <c r="AN187" i="5" s="1"/>
  <c r="AH178" i="5"/>
  <c r="AN178" i="5" s="1" a="1"/>
  <c r="AN178" i="5" s="1"/>
  <c r="AH164" i="5"/>
  <c r="AN164" i="5" s="1" a="1"/>
  <c r="AN164" i="5" s="1"/>
  <c r="AH150" i="5"/>
  <c r="AN150" i="5" s="1" a="1"/>
  <c r="AN150" i="5" s="1"/>
  <c r="AH142" i="5"/>
  <c r="AN142" i="5" s="1" a="1"/>
  <c r="AN142" i="5" s="1"/>
  <c r="AH119" i="5"/>
  <c r="AN119" i="5" s="1" a="1"/>
  <c r="AN119" i="5" s="1"/>
  <c r="AH171" i="5"/>
  <c r="AN171" i="5" s="1" a="1"/>
  <c r="AN171" i="5" s="1"/>
  <c r="AH158" i="5"/>
  <c r="AN158" i="5" s="1" a="1"/>
  <c r="AN158" i="5" s="1"/>
  <c r="AH141" i="5"/>
  <c r="AN141" i="5" s="1" a="1"/>
  <c r="AN141" i="5" s="1"/>
  <c r="AH136" i="5"/>
  <c r="AN136" i="5" s="1" a="1"/>
  <c r="AN136" i="5" s="1"/>
  <c r="AH126" i="5"/>
  <c r="AN126" i="5" s="1" a="1"/>
  <c r="AN126" i="5" s="1"/>
  <c r="AH114" i="5"/>
  <c r="AN114" i="5" s="1" a="1"/>
  <c r="AN114" i="5" s="1"/>
  <c r="AH172" i="5"/>
  <c r="AN172" i="5" s="1" a="1"/>
  <c r="AN172" i="5" s="1"/>
  <c r="AH165" i="5"/>
  <c r="AN165" i="5" s="1" a="1"/>
  <c r="AN165" i="5" s="1"/>
  <c r="AH151" i="5"/>
  <c r="AN151" i="5" s="1" a="1"/>
  <c r="AN151" i="5" s="1"/>
  <c r="AH131" i="5"/>
  <c r="AN131" i="5" s="1" a="1"/>
  <c r="AN131" i="5" s="1"/>
  <c r="AH121" i="5"/>
  <c r="AN121" i="5" s="1" a="1"/>
  <c r="AN121" i="5" s="1"/>
  <c r="AH110" i="5"/>
  <c r="AN110" i="5" s="1" a="1"/>
  <c r="AN110" i="5" s="1"/>
  <c r="AH99" i="5"/>
  <c r="AN99" i="5" s="1" a="1"/>
  <c r="AN99" i="5" s="1"/>
  <c r="AH87" i="5"/>
  <c r="AN87" i="5" s="1" a="1"/>
  <c r="AN87" i="5" s="1"/>
  <c r="AH67" i="5"/>
  <c r="AN67" i="5" s="1" a="1"/>
  <c r="AN67" i="5" s="1"/>
  <c r="AH185" i="5"/>
  <c r="AN185" i="5" s="1" a="1"/>
  <c r="AN185" i="5" s="1"/>
  <c r="AH173" i="5"/>
  <c r="AN173" i="5" s="1" a="1"/>
  <c r="AN173" i="5" s="1"/>
  <c r="AH159" i="5"/>
  <c r="AN159" i="5" s="1" a="1"/>
  <c r="AN159" i="5" s="1"/>
  <c r="AH138" i="5"/>
  <c r="AN138" i="5" s="1" a="1"/>
  <c r="AN138" i="5" s="1"/>
  <c r="AH128" i="5"/>
  <c r="AN128" i="5" s="1" a="1"/>
  <c r="AN128" i="5" s="1"/>
  <c r="AH186" i="5"/>
  <c r="AN186" i="5" s="1" a="1"/>
  <c r="AN186" i="5" s="1"/>
  <c r="AH182" i="5"/>
  <c r="AN182" i="5" s="1" a="1"/>
  <c r="AN182" i="5" s="1"/>
  <c r="AH162" i="5"/>
  <c r="AN162" i="5" s="1" a="1"/>
  <c r="AN162" i="5" s="1"/>
  <c r="AH146" i="5"/>
  <c r="AN146" i="5" s="1" a="1"/>
  <c r="AN146" i="5" s="1"/>
  <c r="AH130" i="5"/>
  <c r="AN130" i="5" s="1" a="1"/>
  <c r="AN130" i="5" s="1"/>
  <c r="AH120" i="5"/>
  <c r="AN120" i="5" s="1" a="1"/>
  <c r="AN120" i="5" s="1"/>
  <c r="AH233" i="5"/>
  <c r="AN233" i="5" s="1" a="1"/>
  <c r="AN233" i="5" s="1"/>
  <c r="AH220" i="5"/>
  <c r="AN220" i="5" s="1" a="1"/>
  <c r="AN220" i="5" s="1"/>
  <c r="AH209" i="5"/>
  <c r="AN209" i="5" s="1" a="1"/>
  <c r="AN209" i="5" s="1"/>
  <c r="AH197" i="5"/>
  <c r="AN197" i="5" s="1" a="1"/>
  <c r="AN197" i="5" s="1"/>
  <c r="AH176" i="5"/>
  <c r="AN176" i="5" s="1" a="1"/>
  <c r="AN176" i="5" s="1"/>
  <c r="AH154" i="5"/>
  <c r="AN154" i="5" s="1" a="1"/>
  <c r="AN154" i="5" s="1"/>
  <c r="AH137" i="5"/>
  <c r="AN137" i="5" s="1" a="1"/>
  <c r="AN137" i="5" s="1"/>
  <c r="AH127" i="5"/>
  <c r="AN127" i="5" s="1" a="1"/>
  <c r="AN127" i="5" s="1"/>
  <c r="AH115" i="5"/>
  <c r="AN115" i="5" s="1" a="1"/>
  <c r="AN115" i="5" s="1"/>
  <c r="AH183" i="5"/>
  <c r="AN183" i="5" s="1" a="1"/>
  <c r="AN183" i="5" s="1"/>
  <c r="AH169" i="5"/>
  <c r="AN169" i="5" s="1" a="1"/>
  <c r="AN169" i="5" s="1"/>
  <c r="AH147" i="5"/>
  <c r="AN147" i="5" s="1" a="1"/>
  <c r="AN147" i="5" s="1"/>
  <c r="AH190" i="5"/>
  <c r="AN190" i="5" s="1" a="1"/>
  <c r="AN190" i="5" s="1"/>
  <c r="AH175" i="5"/>
  <c r="AN175" i="5" s="1" a="1"/>
  <c r="AN175" i="5" s="1"/>
  <c r="AH116" i="5"/>
  <c r="AN116" i="5" s="1" a="1"/>
  <c r="AN116" i="5" s="1"/>
  <c r="AH113" i="5"/>
  <c r="AN113" i="5" s="1" a="1"/>
  <c r="AN113" i="5" s="1"/>
  <c r="AH97" i="5"/>
  <c r="AN97" i="5" s="1" a="1"/>
  <c r="AN97" i="5" s="1"/>
  <c r="AH90" i="5"/>
  <c r="AN90" i="5" s="1" a="1"/>
  <c r="AN90" i="5" s="1"/>
  <c r="AH188" i="5"/>
  <c r="AN188" i="5" s="1" a="1"/>
  <c r="AN188" i="5" s="1"/>
  <c r="AH153" i="5"/>
  <c r="AN153" i="5" s="1" a="1"/>
  <c r="AN153" i="5" s="1"/>
  <c r="AH181" i="5"/>
  <c r="AN181" i="5" s="1" a="1"/>
  <c r="AN181" i="5" s="1"/>
  <c r="AH145" i="5"/>
  <c r="AN145" i="5" s="1" a="1"/>
  <c r="AN145" i="5" s="1"/>
  <c r="AH135" i="5"/>
  <c r="AN135" i="5" s="1" a="1"/>
  <c r="AN135" i="5" s="1"/>
  <c r="AH122" i="5"/>
  <c r="AN122" i="5" s="1" a="1"/>
  <c r="AN122" i="5" s="1"/>
  <c r="AH228" i="5"/>
  <c r="AN228" i="5" s="1" a="1"/>
  <c r="AN228" i="5" s="1"/>
  <c r="AH204" i="5"/>
  <c r="AN204" i="5" s="1" a="1"/>
  <c r="AN204" i="5" s="1"/>
  <c r="AH140" i="5"/>
  <c r="AN140" i="5" s="1" a="1"/>
  <c r="AN140" i="5" s="1"/>
  <c r="AH160" i="5"/>
  <c r="AN160" i="5" s="1" a="1"/>
  <c r="AN160" i="5" s="1"/>
  <c r="AH107" i="5"/>
  <c r="AN107" i="5" s="1" a="1"/>
  <c r="AN107" i="5" s="1"/>
  <c r="AH94" i="5"/>
  <c r="AN94" i="5" s="1" a="1"/>
  <c r="AN94" i="5" s="1"/>
  <c r="AH133" i="5"/>
  <c r="AN133" i="5" s="1" a="1"/>
  <c r="AN133" i="5" s="1"/>
  <c r="AH161" i="5"/>
  <c r="AN161" i="5" s="1" a="1"/>
  <c r="AN161" i="5" s="1"/>
  <c r="AH123" i="5"/>
  <c r="AN123" i="5" s="1" a="1"/>
  <c r="AN123" i="5" s="1"/>
  <c r="AH152" i="5"/>
  <c r="AN152" i="5" s="1" a="1"/>
  <c r="AN152" i="5" s="1"/>
  <c r="AH132" i="5"/>
  <c r="AN132" i="5" s="1" a="1"/>
  <c r="AN132" i="5" s="1"/>
  <c r="AH125" i="5"/>
  <c r="AN125" i="5" s="1" a="1"/>
  <c r="AN125" i="5" s="1"/>
  <c r="AH215" i="5"/>
  <c r="AN215" i="5" s="1" a="1"/>
  <c r="AN215" i="5" s="1"/>
  <c r="AH193" i="5"/>
  <c r="AN193" i="5" s="1" a="1"/>
  <c r="AN193" i="5" s="1"/>
  <c r="AH166" i="5"/>
  <c r="AN166" i="5" s="1" a="1"/>
  <c r="AN166" i="5" s="1"/>
  <c r="AH103" i="5"/>
  <c r="AN103" i="5" s="1" a="1"/>
  <c r="AN103" i="5" s="1"/>
  <c r="AH55" i="5"/>
  <c r="AN55" i="5" s="1" a="1"/>
  <c r="AN55" i="5" s="1"/>
  <c r="AH44" i="5"/>
  <c r="AH32" i="5"/>
  <c r="AH17" i="5"/>
  <c r="AN17" i="5" s="1" a="1"/>
  <c r="AN17" i="5" s="1"/>
  <c r="AH98" i="5"/>
  <c r="AN98" i="5" s="1" a="1"/>
  <c r="AN98" i="5" s="1"/>
  <c r="AH92" i="5"/>
  <c r="AN92" i="5" s="1" a="1"/>
  <c r="AN92" i="5" s="1"/>
  <c r="AH73" i="5"/>
  <c r="AN73" i="5" s="1" a="1"/>
  <c r="AN73" i="5" s="1"/>
  <c r="AH62" i="5"/>
  <c r="AN62" i="5" s="1" a="1"/>
  <c r="AN62" i="5" s="1"/>
  <c r="AH51" i="5"/>
  <c r="AH39" i="5"/>
  <c r="AH129" i="5"/>
  <c r="AN129" i="5" s="1" a="1"/>
  <c r="AN129" i="5" s="1"/>
  <c r="AH108" i="5"/>
  <c r="AN108" i="5" s="1" a="1"/>
  <c r="AN108" i="5" s="1"/>
  <c r="AH80" i="5"/>
  <c r="AN80" i="5" s="1" a="1"/>
  <c r="AN80" i="5" s="1"/>
  <c r="AH57" i="5"/>
  <c r="AN57" i="5" s="1" a="1"/>
  <c r="AN57" i="5" s="1"/>
  <c r="AH46" i="5"/>
  <c r="AH34" i="5"/>
  <c r="AH24" i="5"/>
  <c r="AH102" i="5"/>
  <c r="AN102" i="5" s="1" a="1"/>
  <c r="AN102" i="5" s="1"/>
  <c r="AH91" i="5"/>
  <c r="AN91" i="5" s="1" a="1"/>
  <c r="AN91" i="5" s="1"/>
  <c r="AH53" i="5"/>
  <c r="AN53" i="5" s="1" a="1"/>
  <c r="AN53" i="5" s="1"/>
  <c r="AH30" i="5"/>
  <c r="AH101" i="5"/>
  <c r="AN101" i="5" s="1" a="1"/>
  <c r="AN101" i="5" s="1"/>
  <c r="AH76" i="5"/>
  <c r="AN76" i="5" s="1" a="1"/>
  <c r="AN76" i="5" s="1"/>
  <c r="AH66" i="5"/>
  <c r="AN66" i="5" s="1" a="1"/>
  <c r="AN66" i="5" s="1"/>
  <c r="AH59" i="5"/>
  <c r="AN59" i="5" s="1" a="1"/>
  <c r="AN59" i="5" s="1"/>
  <c r="AH48" i="5"/>
  <c r="AH26" i="5"/>
  <c r="AH174" i="5"/>
  <c r="AN174" i="5" s="1" a="1"/>
  <c r="AN174" i="5" s="1"/>
  <c r="AH111" i="5"/>
  <c r="AN111" i="5" s="1" a="1"/>
  <c r="AN111" i="5" s="1"/>
  <c r="AH96" i="5"/>
  <c r="AN96" i="5" s="1" a="1"/>
  <c r="AN96" i="5" s="1"/>
  <c r="AH86" i="5"/>
  <c r="AN86" i="5" s="1" a="1"/>
  <c r="AN86" i="5" s="1"/>
  <c r="AH85" i="5"/>
  <c r="AN85" i="5" s="1" a="1"/>
  <c r="AN85" i="5" s="1"/>
  <c r="AH78" i="5"/>
  <c r="AN78" i="5" s="1" a="1"/>
  <c r="AN78" i="5" s="1"/>
  <c r="AH71" i="5"/>
  <c r="AN71" i="5" s="1" a="1"/>
  <c r="AN71" i="5" s="1"/>
  <c r="AH43" i="5"/>
  <c r="AH31" i="5"/>
  <c r="AH21" i="5"/>
  <c r="AH61" i="5"/>
  <c r="AN61" i="5" s="1" a="1"/>
  <c r="AN61" i="5" s="1"/>
  <c r="AH38" i="5"/>
  <c r="AH16" i="5"/>
  <c r="AN16" i="5" s="1" a="1"/>
  <c r="AN16" i="5" s="1"/>
  <c r="AH109" i="5"/>
  <c r="AN109" i="5" s="1" a="1"/>
  <c r="AN109" i="5" s="1"/>
  <c r="AH100" i="5"/>
  <c r="AN100" i="5" s="1" a="1"/>
  <c r="AN100" i="5" s="1"/>
  <c r="AH88" i="5"/>
  <c r="AN88" i="5" s="1" a="1"/>
  <c r="AN88" i="5" s="1"/>
  <c r="AH79" i="5"/>
  <c r="AN79" i="5" s="1" a="1"/>
  <c r="AN79" i="5" s="1"/>
  <c r="AH77" i="5"/>
  <c r="AN77" i="5" s="1" a="1"/>
  <c r="AN77" i="5" s="1"/>
  <c r="AH72" i="5"/>
  <c r="AN72" i="5" s="1" a="1"/>
  <c r="AN72" i="5" s="1"/>
  <c r="AH58" i="5"/>
  <c r="AN58" i="5" s="1" a="1"/>
  <c r="AN58" i="5" s="1"/>
  <c r="AH47" i="5"/>
  <c r="AH35" i="5"/>
  <c r="AH104" i="5"/>
  <c r="AN104" i="5" s="1" a="1"/>
  <c r="AN104" i="5" s="1"/>
  <c r="AH70" i="5"/>
  <c r="AN70" i="5" s="1" a="1"/>
  <c r="AN70" i="5" s="1"/>
  <c r="AH63" i="5"/>
  <c r="AN63" i="5" s="1" a="1"/>
  <c r="AN63" i="5" s="1"/>
  <c r="AH54" i="5"/>
  <c r="AN54" i="5" s="1" a="1"/>
  <c r="AN54" i="5" s="1"/>
  <c r="AH42" i="5"/>
  <c r="AH105" i="5"/>
  <c r="AN105" i="5" s="1" a="1"/>
  <c r="AN105" i="5" s="1"/>
  <c r="AH93" i="5"/>
  <c r="AN93" i="5" s="1" a="1"/>
  <c r="AN93" i="5" s="1"/>
  <c r="AH82" i="5"/>
  <c r="AN82" i="5" s="1" a="1"/>
  <c r="AN82" i="5" s="1"/>
  <c r="AH75" i="5"/>
  <c r="AN75" i="5" s="1" a="1"/>
  <c r="AN75" i="5" s="1"/>
  <c r="AH60" i="5"/>
  <c r="AN60" i="5" s="1" a="1"/>
  <c r="AN60" i="5" s="1"/>
  <c r="AH49" i="5"/>
  <c r="AH37" i="5"/>
  <c r="AH68" i="5"/>
  <c r="AN68" i="5" s="1" a="1"/>
  <c r="AN68" i="5" s="1"/>
  <c r="AH56" i="5"/>
  <c r="AN56" i="5" s="1" a="1"/>
  <c r="AN56" i="5" s="1"/>
  <c r="AH25" i="5"/>
  <c r="AH118" i="5"/>
  <c r="AN118" i="5" s="1" a="1"/>
  <c r="AN118" i="5" s="1"/>
  <c r="AH52" i="5"/>
  <c r="AN52" i="5" s="1" a="1"/>
  <c r="AN52" i="5" s="1"/>
  <c r="AH81" i="5"/>
  <c r="AN81" i="5" s="1" a="1"/>
  <c r="AN81" i="5" s="1"/>
  <c r="AH65" i="5"/>
  <c r="AN65" i="5" s="1" a="1"/>
  <c r="AN65" i="5" s="1"/>
  <c r="AH33" i="5"/>
  <c r="AH20" i="5"/>
  <c r="AH19" i="5"/>
  <c r="AH18" i="5"/>
  <c r="AH23" i="5"/>
  <c r="AH27" i="5"/>
  <c r="AH69" i="5"/>
  <c r="AN69" i="5" s="1" a="1"/>
  <c r="AN69" i="5" s="1"/>
  <c r="AH89" i="5"/>
  <c r="AN89" i="5" s="1" a="1"/>
  <c r="AN89" i="5" s="1"/>
  <c r="AH83" i="5"/>
  <c r="AN83" i="5" s="1" a="1"/>
  <c r="AN83" i="5" s="1"/>
  <c r="AH40" i="5"/>
  <c r="AH29" i="5"/>
  <c r="L53" i="6"/>
  <c r="B52" i="6"/>
  <c r="AG51" i="5" a="1"/>
  <c r="AG51" i="5" s="1"/>
  <c r="F51" i="12" a="1"/>
  <c r="F51" i="12" s="1"/>
  <c r="BX12" i="6"/>
  <c r="BE12" i="6"/>
  <c r="U94" i="4"/>
  <c r="T101" i="4" s="1"/>
  <c r="U54" i="4"/>
  <c r="T61" i="4" s="1"/>
  <c r="B15" i="9"/>
  <c r="B16" i="9" s="1"/>
  <c r="T57" i="4"/>
  <c r="T97" i="4"/>
  <c r="T22" i="4"/>
  <c r="T23" i="4"/>
  <c r="T24" i="4"/>
  <c r="T25" i="4"/>
  <c r="T26" i="4"/>
  <c r="U26" i="4" s="1"/>
  <c r="T17" i="4"/>
  <c r="V8" i="5" a="1"/>
  <c r="V8" i="5" s="1"/>
  <c r="O62" i="10"/>
  <c r="O67" i="10" s="1"/>
  <c r="J12" i="9"/>
  <c r="AH14" i="5"/>
  <c r="W14" i="5" s="1" a="1"/>
  <c r="W14" i="5" s="1"/>
  <c r="BY13" i="6"/>
  <c r="A18" i="4"/>
  <c r="C17" i="4"/>
  <c r="Y12" i="8"/>
  <c r="AE13" i="12"/>
  <c r="Z13" i="6"/>
  <c r="AA13" i="6" s="1"/>
  <c r="AM13" i="6"/>
  <c r="BF13" i="6"/>
  <c r="K12" i="10"/>
  <c r="K11" i="10" s="1" a="1"/>
  <c r="K11" i="10" s="1"/>
  <c r="C5" i="4"/>
  <c r="A6" i="4"/>
  <c r="W45" i="5" l="1" a="1"/>
  <c r="W45" i="5" s="1"/>
  <c r="H45" i="12" s="1" a="1"/>
  <c r="H45" i="12" s="1"/>
  <c r="W41" i="5" a="1"/>
  <c r="W41" i="5" s="1"/>
  <c r="H41" i="12" s="1" a="1"/>
  <c r="H41" i="12" s="1"/>
  <c r="AN36" i="5" a="1"/>
  <c r="AN36" i="5" s="1"/>
  <c r="W36" i="5" a="1"/>
  <c r="W36" i="5" s="1"/>
  <c r="H36" i="12" s="1" a="1"/>
  <c r="H36" i="12" s="1"/>
  <c r="W22" i="5" a="1"/>
  <c r="W22" i="5" s="1"/>
  <c r="H22" i="12" s="1" a="1"/>
  <c r="H22" i="12" s="1"/>
  <c r="AN50" i="5" a="1"/>
  <c r="AN50" i="5" s="1"/>
  <c r="W50" i="5" a="1"/>
  <c r="W50" i="5" s="1"/>
  <c r="H50" i="12" s="1" a="1"/>
  <c r="H50" i="12" s="1"/>
  <c r="AB13" i="6"/>
  <c r="BT23" i="6"/>
  <c r="BQ23" i="6"/>
  <c r="BN23" i="6"/>
  <c r="CM23" i="6" a="1"/>
  <c r="CM23" i="6" s="1"/>
  <c r="CG23" i="6" a="1"/>
  <c r="CG23" i="6" s="1"/>
  <c r="BS23" i="6"/>
  <c r="CJ23" i="6" a="1"/>
  <c r="CJ23" i="6" s="1"/>
  <c r="BO23" i="6"/>
  <c r="BM23" i="6"/>
  <c r="CF23" i="6" a="1"/>
  <c r="CF23" i="6" s="1"/>
  <c r="CK23" i="6" a="1"/>
  <c r="CK23" i="6" s="1"/>
  <c r="CL23" i="6" a="1"/>
  <c r="CL23" i="6" s="1"/>
  <c r="CH23" i="6" a="1"/>
  <c r="CH23" i="6" s="1"/>
  <c r="BR23" i="6"/>
  <c r="BP23" i="6"/>
  <c r="CI23" i="6" a="1"/>
  <c r="CI23" i="6" s="1"/>
  <c r="W28" i="5" a="1"/>
  <c r="W28" i="5" s="1"/>
  <c r="H28" i="12" s="1" a="1"/>
  <c r="H28" i="12" s="1"/>
  <c r="F51" i="6"/>
  <c r="G51" i="6"/>
  <c r="B53" i="6"/>
  <c r="L54" i="6"/>
  <c r="AN33" i="5" a="1"/>
  <c r="AN33" i="5" s="1"/>
  <c r="W33" i="5" a="1"/>
  <c r="W33" i="5" s="1"/>
  <c r="H33" i="12" s="1" a="1"/>
  <c r="H33" i="12" s="1"/>
  <c r="AN21" i="5" a="1"/>
  <c r="AN21" i="5" s="1"/>
  <c r="W21" i="5" a="1"/>
  <c r="W21" i="5" s="1"/>
  <c r="H21" i="12" s="1" a="1"/>
  <c r="H21" i="12" s="1"/>
  <c r="AN26" i="5" a="1"/>
  <c r="AN26" i="5" s="1"/>
  <c r="W26" i="5" a="1"/>
  <c r="W26" i="5" s="1"/>
  <c r="H26" i="12" s="1" a="1"/>
  <c r="H26" i="12" s="1"/>
  <c r="AN29" i="5" a="1"/>
  <c r="AN29" i="5" s="1"/>
  <c r="W29" i="5" a="1"/>
  <c r="W29" i="5" s="1"/>
  <c r="H29" i="12" s="1" a="1"/>
  <c r="H29" i="12" s="1"/>
  <c r="AN31" i="5" a="1"/>
  <c r="AN31" i="5" s="1"/>
  <c r="W31" i="5" a="1"/>
  <c r="W31" i="5" s="1"/>
  <c r="H31" i="12" s="1" a="1"/>
  <c r="H31" i="12" s="1"/>
  <c r="AN24" i="5" a="1"/>
  <c r="AN24" i="5" s="1"/>
  <c r="W24" i="5" a="1"/>
  <c r="W24" i="5" s="1"/>
  <c r="H24" i="12" s="1" a="1"/>
  <c r="H24" i="12" s="1"/>
  <c r="B17" i="9"/>
  <c r="AN40" i="5" a="1"/>
  <c r="AN40" i="5" s="1"/>
  <c r="W40" i="5" a="1"/>
  <c r="W40" i="5" s="1"/>
  <c r="H40" i="12" s="1" a="1"/>
  <c r="H40" i="12" s="1"/>
  <c r="AN43" i="5" a="1"/>
  <c r="AN43" i="5" s="1"/>
  <c r="W43" i="5" a="1"/>
  <c r="W43" i="5" s="1"/>
  <c r="H43" i="12" s="1" a="1"/>
  <c r="H43" i="12" s="1"/>
  <c r="AN48" i="5" a="1"/>
  <c r="AN48" i="5" s="1"/>
  <c r="W48" i="5" a="1"/>
  <c r="W48" i="5" s="1"/>
  <c r="H48" i="12" s="1" a="1"/>
  <c r="H48" i="12" s="1"/>
  <c r="AN34" i="5" a="1"/>
  <c r="AN34" i="5" s="1"/>
  <c r="W34" i="5" a="1"/>
  <c r="W34" i="5" s="1"/>
  <c r="H34" i="12" s="1" a="1"/>
  <c r="H34" i="12" s="1"/>
  <c r="AN32" i="5" a="1"/>
  <c r="AN32" i="5" s="1"/>
  <c r="W32" i="5" a="1"/>
  <c r="W32" i="5" s="1"/>
  <c r="H32" i="12" s="1" a="1"/>
  <c r="H32" i="12" s="1"/>
  <c r="BX23" i="6" a="1"/>
  <c r="BX23" i="6" s="1"/>
  <c r="BD23" i="6"/>
  <c r="BF23" i="6"/>
  <c r="BC23" i="6"/>
  <c r="BW23" i="6" a="1"/>
  <c r="BW23" i="6" s="1"/>
  <c r="BV23" i="6" a="1"/>
  <c r="BV23" i="6" s="1"/>
  <c r="BY23" i="6" a="1"/>
  <c r="BY23" i="6" s="1"/>
  <c r="BE23" i="6"/>
  <c r="AN27" i="5" a="1"/>
  <c r="AN27" i="5" s="1"/>
  <c r="W27" i="5" a="1"/>
  <c r="W27" i="5" s="1"/>
  <c r="H27" i="12" s="1" a="1"/>
  <c r="H27" i="12" s="1"/>
  <c r="AN44" i="5" a="1"/>
  <c r="AN44" i="5" s="1"/>
  <c r="W44" i="5" a="1"/>
  <c r="W44" i="5" s="1"/>
  <c r="H44" i="12" s="1" a="1"/>
  <c r="H44" i="12" s="1"/>
  <c r="AN46" i="5" a="1"/>
  <c r="AN46" i="5" s="1"/>
  <c r="W46" i="5" a="1"/>
  <c r="W46" i="5" s="1"/>
  <c r="H46" i="12" s="1" a="1"/>
  <c r="H46" i="12" s="1"/>
  <c r="AN25" i="5" a="1"/>
  <c r="AN25" i="5" s="1"/>
  <c r="W25" i="5" a="1"/>
  <c r="W25" i="5" s="1"/>
  <c r="H25" i="12" s="1" a="1"/>
  <c r="H25" i="12" s="1"/>
  <c r="AN23" i="5" a="1"/>
  <c r="AN23" i="5" s="1"/>
  <c r="W23" i="5" a="1"/>
  <c r="W23" i="5" s="1"/>
  <c r="H23" i="12" s="1" a="1"/>
  <c r="H23" i="12" s="1"/>
  <c r="W52" i="5" a="1"/>
  <c r="W52" i="5" s="1"/>
  <c r="H52" i="12" s="1" a="1"/>
  <c r="H52" i="12" s="1"/>
  <c r="AN30" i="5" a="1"/>
  <c r="AN30" i="5" s="1"/>
  <c r="W30" i="5" a="1"/>
  <c r="W30" i="5" s="1"/>
  <c r="H30" i="12" s="1" a="1"/>
  <c r="H30" i="12" s="1"/>
  <c r="AN38" i="5" a="1"/>
  <c r="AN38" i="5" s="1"/>
  <c r="W38" i="5" a="1"/>
  <c r="W38" i="5" s="1"/>
  <c r="H38" i="12" s="1" a="1"/>
  <c r="H38" i="12" s="1"/>
  <c r="AN51" i="5" a="1"/>
  <c r="AN51" i="5" s="1"/>
  <c r="W51" i="5" a="1"/>
  <c r="W51" i="5" s="1"/>
  <c r="H51" i="12" s="1" a="1"/>
  <c r="H51" i="12" s="1"/>
  <c r="AN39" i="5" a="1"/>
  <c r="AN39" i="5" s="1"/>
  <c r="W39" i="5" a="1"/>
  <c r="W39" i="5" s="1"/>
  <c r="H39" i="12" s="1" a="1"/>
  <c r="H39" i="12" s="1"/>
  <c r="AN18" i="5" a="1"/>
  <c r="AN18" i="5" s="1"/>
  <c r="W18" i="5" a="1"/>
  <c r="W18" i="5" s="1"/>
  <c r="H18" i="12" s="1" a="1"/>
  <c r="H18" i="12" s="1"/>
  <c r="A53" i="12"/>
  <c r="E53" i="5"/>
  <c r="D53" i="5"/>
  <c r="B53" i="12" s="1"/>
  <c r="B53" i="5"/>
  <c r="N53" i="5"/>
  <c r="D53" i="6" s="1"/>
  <c r="K53" i="5"/>
  <c r="C54" i="5"/>
  <c r="AE53" i="5" a="1"/>
  <c r="AE53" i="5" s="1"/>
  <c r="W53" i="5" a="1"/>
  <c r="W53" i="5" s="1"/>
  <c r="H53" i="12" s="1" a="1"/>
  <c r="H53" i="12" s="1"/>
  <c r="H53" i="5"/>
  <c r="AD53" i="5"/>
  <c r="G53" i="5"/>
  <c r="F53" i="5"/>
  <c r="J53" i="5"/>
  <c r="AN42" i="5" a="1"/>
  <c r="AN42" i="5" s="1"/>
  <c r="W42" i="5" a="1"/>
  <c r="W42" i="5" s="1"/>
  <c r="H42" i="12" s="1" a="1"/>
  <c r="H42" i="12" s="1"/>
  <c r="AN37" i="5" a="1"/>
  <c r="AN37" i="5" s="1"/>
  <c r="W37" i="5" a="1"/>
  <c r="W37" i="5" s="1"/>
  <c r="H37" i="12" s="1" a="1"/>
  <c r="H37" i="12" s="1"/>
  <c r="AN49" i="5" a="1"/>
  <c r="AN49" i="5" s="1"/>
  <c r="W49" i="5" a="1"/>
  <c r="W49" i="5" s="1"/>
  <c r="H49" i="12" s="1" a="1"/>
  <c r="H49" i="12" s="1"/>
  <c r="AN19" i="5" a="1"/>
  <c r="AN19" i="5" s="1"/>
  <c r="W19" i="5" a="1"/>
  <c r="W19" i="5" s="1"/>
  <c r="H19" i="12" s="1" a="1"/>
  <c r="H19" i="12" s="1"/>
  <c r="AN35" i="5" a="1"/>
  <c r="AN35" i="5" s="1"/>
  <c r="W35" i="5" a="1"/>
  <c r="W35" i="5" s="1"/>
  <c r="H35" i="12" s="1" a="1"/>
  <c r="H35" i="12" s="1"/>
  <c r="AN20" i="5" a="1"/>
  <c r="AN20" i="5" s="1"/>
  <c r="W20" i="5" a="1"/>
  <c r="W20" i="5" s="1"/>
  <c r="H20" i="12" s="1" a="1"/>
  <c r="H20" i="12" s="1"/>
  <c r="AN47" i="5" a="1"/>
  <c r="AN47" i="5" s="1"/>
  <c r="W47" i="5" a="1"/>
  <c r="W47" i="5" s="1"/>
  <c r="H47" i="12" s="1" a="1"/>
  <c r="H47" i="12" s="1"/>
  <c r="BY12" i="6"/>
  <c r="BF12" i="6"/>
  <c r="H14" i="12" a="1"/>
  <c r="H14" i="12" s="1"/>
  <c r="AN14" i="5" a="1"/>
  <c r="AN14" i="5" s="1"/>
  <c r="T62" i="4"/>
  <c r="T63" i="4"/>
  <c r="T64" i="4"/>
  <c r="T66" i="4"/>
  <c r="U66" i="4" s="1"/>
  <c r="T65" i="4"/>
  <c r="T102" i="4"/>
  <c r="T104" i="4"/>
  <c r="T103" i="4"/>
  <c r="T106" i="4"/>
  <c r="U106" i="4" s="1"/>
  <c r="T105" i="4"/>
  <c r="U7" i="4"/>
  <c r="H61" i="10"/>
  <c r="Q62" i="10"/>
  <c r="Q67" i="10" s="1"/>
  <c r="K12" i="9"/>
  <c r="BZ13" i="6"/>
  <c r="BZ23" i="6" s="1" a="1"/>
  <c r="BZ23" i="6" s="1"/>
  <c r="AN13" i="6"/>
  <c r="AN12" i="6" s="1"/>
  <c r="AM12" i="6"/>
  <c r="A19" i="4"/>
  <c r="C19" i="4" s="1"/>
  <c r="C18" i="4"/>
  <c r="Z12" i="8"/>
  <c r="AF13" i="12"/>
  <c r="BG13" i="6"/>
  <c r="L12" i="10"/>
  <c r="L11" i="10" s="1" a="1"/>
  <c r="L11" i="10" s="1"/>
  <c r="A7" i="4"/>
  <c r="C7" i="4" s="1"/>
  <c r="C6" i="4"/>
  <c r="AC13" i="6" l="1"/>
  <c r="B18" i="9"/>
  <c r="B54" i="6"/>
  <c r="A54" i="12"/>
  <c r="K54" i="5"/>
  <c r="J54" i="5"/>
  <c r="AE54" i="5" a="1"/>
  <c r="AE54" i="5" s="1"/>
  <c r="W54" i="5" a="1"/>
  <c r="W54" i="5" s="1"/>
  <c r="H54" i="12" s="1" a="1"/>
  <c r="H54" i="12" s="1"/>
  <c r="H54" i="5"/>
  <c r="AD54" i="5"/>
  <c r="G54" i="5"/>
  <c r="F54" i="5"/>
  <c r="B54" i="5"/>
  <c r="N54" i="5"/>
  <c r="E54" i="5"/>
  <c r="D54" i="5"/>
  <c r="B54" i="12" s="1"/>
  <c r="BG23" i="6"/>
  <c r="AN16" i="6"/>
  <c r="AN17" i="6"/>
  <c r="AM16" i="6"/>
  <c r="AM17" i="6"/>
  <c r="X29" i="4"/>
  <c r="S62" i="10"/>
  <c r="S67" i="10" s="1"/>
  <c r="L12" i="9"/>
  <c r="BZ12" i="6"/>
  <c r="BG12" i="6"/>
  <c r="AO13" i="6"/>
  <c r="AO12" i="6" s="1"/>
  <c r="CA13" i="6"/>
  <c r="AA12" i="8"/>
  <c r="AG13" i="12"/>
  <c r="BH13" i="6"/>
  <c r="M12" i="10"/>
  <c r="M11" i="10" s="1" a="1"/>
  <c r="M11" i="10" s="1"/>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AD13" i="6" l="1"/>
  <c r="M29" i="6"/>
  <c r="L55" i="6"/>
  <c r="BH23" i="6"/>
  <c r="CA23" i="6" a="1"/>
  <c r="CA23" i="6" s="1"/>
  <c r="AO16" i="6"/>
  <c r="AO17" i="6"/>
  <c r="C55" i="5"/>
  <c r="D54" i="6"/>
  <c r="B19" i="9"/>
  <c r="U29" i="4"/>
  <c r="U69" i="4"/>
  <c r="U65" i="4"/>
  <c r="U103" i="4"/>
  <c r="U61" i="4"/>
  <c r="U105" i="4"/>
  <c r="U64" i="4"/>
  <c r="U102" i="4"/>
  <c r="U62" i="4"/>
  <c r="U21" i="4"/>
  <c r="U23" i="4"/>
  <c r="U104" i="4"/>
  <c r="U101" i="4"/>
  <c r="U24" i="4"/>
  <c r="U25" i="4"/>
  <c r="U22" i="4"/>
  <c r="U63" i="4"/>
  <c r="U109" i="4"/>
  <c r="K112" i="4" s="1"/>
  <c r="U62" i="10"/>
  <c r="U67" i="10" s="1"/>
  <c r="M12" i="9"/>
  <c r="CA12" i="6"/>
  <c r="BH12" i="6"/>
  <c r="AP13" i="6"/>
  <c r="AP12" i="6" s="1"/>
  <c r="CB13" i="6"/>
  <c r="AB12" i="8"/>
  <c r="AH13" i="12"/>
  <c r="BI13" i="6"/>
  <c r="N12" i="10"/>
  <c r="N11" i="10" s="1" a="1"/>
  <c r="N11" i="10" s="1"/>
  <c r="BG29" i="6" l="1"/>
  <c r="CL29" i="6" a="1"/>
  <c r="CL29" i="6" s="1"/>
  <c r="BO29" i="6"/>
  <c r="BR29" i="6"/>
  <c r="BM29" i="6"/>
  <c r="CJ29" i="6" a="1"/>
  <c r="CJ29" i="6" s="1"/>
  <c r="CI29" i="6" a="1"/>
  <c r="CI29" i="6" s="1"/>
  <c r="CH29" i="6" a="1"/>
  <c r="CH29" i="6" s="1"/>
  <c r="BN29" i="6"/>
  <c r="BT29" i="6"/>
  <c r="CK29" i="6" a="1"/>
  <c r="CK29" i="6" s="1"/>
  <c r="CM29" i="6" a="1"/>
  <c r="CM29" i="6" s="1"/>
  <c r="BS29" i="6"/>
  <c r="BQ29" i="6"/>
  <c r="CG29" i="6" a="1"/>
  <c r="CG29" i="6" s="1"/>
  <c r="BP29" i="6"/>
  <c r="CF29" i="6" a="1"/>
  <c r="CF29" i="6" s="1"/>
  <c r="AE13" i="6"/>
  <c r="CA29" i="6" a="1"/>
  <c r="CA29" i="6" s="1"/>
  <c r="BX29" i="6" a="1"/>
  <c r="BX29" i="6" s="1"/>
  <c r="BH29" i="6"/>
  <c r="BE29" i="6"/>
  <c r="BD29" i="6"/>
  <c r="BC29" i="6"/>
  <c r="BW29" i="6" a="1"/>
  <c r="BW29" i="6" s="1"/>
  <c r="BV29" i="6" a="1"/>
  <c r="BV29" i="6" s="1"/>
  <c r="BZ29" i="6" a="1"/>
  <c r="BZ29" i="6" s="1"/>
  <c r="BF29" i="6"/>
  <c r="BY29" i="6" a="1"/>
  <c r="BY29" i="6" s="1"/>
  <c r="A55" i="12"/>
  <c r="B55" i="5"/>
  <c r="N55" i="5"/>
  <c r="C56" i="5"/>
  <c r="AE55" i="5" a="1"/>
  <c r="AE55" i="5" s="1"/>
  <c r="W55" i="5" a="1"/>
  <c r="W55" i="5" s="1"/>
  <c r="H55" i="12" s="1" a="1"/>
  <c r="H55" i="12" s="1"/>
  <c r="H55" i="5"/>
  <c r="E55" i="5"/>
  <c r="G55" i="5"/>
  <c r="F55" i="5"/>
  <c r="AD55" i="5"/>
  <c r="AF55" i="5" a="1"/>
  <c r="AF55" i="5" s="1"/>
  <c r="L56" i="6"/>
  <c r="B55" i="6"/>
  <c r="CB29" i="6" a="1"/>
  <c r="CB29" i="6" s="1"/>
  <c r="CB23" i="6" a="1"/>
  <c r="CB23" i="6" s="1"/>
  <c r="AP16" i="6"/>
  <c r="AP17" i="6"/>
  <c r="BI29" i="6"/>
  <c r="BI23" i="6"/>
  <c r="B20" i="9"/>
  <c r="AB10" i="12"/>
  <c r="W62" i="10"/>
  <c r="W67" i="10" s="1"/>
  <c r="N12" i="9"/>
  <c r="J72" i="4"/>
  <c r="U8" i="4"/>
  <c r="CB12" i="6"/>
  <c r="BI12" i="6"/>
  <c r="AQ13" i="6"/>
  <c r="AQ12" i="6" s="1"/>
  <c r="CC13" i="6"/>
  <c r="AC12" i="8"/>
  <c r="AI13" i="12"/>
  <c r="K72" i="4"/>
  <c r="J112" i="4"/>
  <c r="BJ13" i="6"/>
  <c r="O12" i="10"/>
  <c r="O11" i="10" s="1" a="1"/>
  <c r="O11" i="10" s="1"/>
  <c r="K32" i="4"/>
  <c r="J32" i="4"/>
  <c r="AF13" i="6" l="1"/>
  <c r="M31" i="6"/>
  <c r="F55" i="12" a="1"/>
  <c r="F55" i="12" s="1"/>
  <c r="E55" i="12"/>
  <c r="AG55" i="5" a="1"/>
  <c r="AG55" i="5" s="1"/>
  <c r="B56" i="6"/>
  <c r="L57" i="6"/>
  <c r="BJ29" i="6"/>
  <c r="BJ23" i="6"/>
  <c r="D55" i="6"/>
  <c r="CC29" i="6" a="1"/>
  <c r="CC29" i="6" s="1"/>
  <c r="CC23" i="6" a="1"/>
  <c r="CC23" i="6" s="1"/>
  <c r="B21" i="9"/>
  <c r="AQ16" i="6"/>
  <c r="AQ17" i="6"/>
  <c r="A56" i="12"/>
  <c r="C57" i="5"/>
  <c r="AE56" i="5" a="1"/>
  <c r="AE56" i="5" s="1"/>
  <c r="W56" i="5" a="1"/>
  <c r="W56" i="5" s="1"/>
  <c r="H56" i="12" s="1" a="1"/>
  <c r="H56" i="12" s="1"/>
  <c r="H56" i="5"/>
  <c r="AD56" i="5"/>
  <c r="G56" i="5"/>
  <c r="F56" i="5"/>
  <c r="E56" i="5"/>
  <c r="D56" i="5"/>
  <c r="B56" i="12" s="1"/>
  <c r="K56" i="5"/>
  <c r="J56" i="5"/>
  <c r="N56" i="5"/>
  <c r="D56" i="6" s="1"/>
  <c r="B56" i="5"/>
  <c r="O12" i="9"/>
  <c r="Y62" i="10"/>
  <c r="Y67" i="10" s="1"/>
  <c r="T11" i="11"/>
  <c r="CC12" i="6"/>
  <c r="BJ12" i="6"/>
  <c r="AR13" i="6"/>
  <c r="AR12" i="6" s="1"/>
  <c r="CD13" i="6"/>
  <c r="AD12" i="8"/>
  <c r="AJ13" i="12"/>
  <c r="BK13" i="6"/>
  <c r="P12" i="10"/>
  <c r="P11" i="10" s="1" a="1"/>
  <c r="P11" i="10" s="1"/>
  <c r="BH31" i="6" l="1"/>
  <c r="CL31" i="6" a="1"/>
  <c r="CL31" i="6" s="1"/>
  <c r="BP31" i="6"/>
  <c r="CH31" i="6" a="1"/>
  <c r="CH31" i="6" s="1"/>
  <c r="BO31" i="6"/>
  <c r="BR31" i="6"/>
  <c r="CK31" i="6" a="1"/>
  <c r="CK31" i="6" s="1"/>
  <c r="BN31" i="6"/>
  <c r="BT31" i="6"/>
  <c r="CF31" i="6" a="1"/>
  <c r="CF31" i="6" s="1"/>
  <c r="BS31" i="6"/>
  <c r="BQ31" i="6"/>
  <c r="CG31" i="6" a="1"/>
  <c r="CG31" i="6" s="1"/>
  <c r="BM31" i="6"/>
  <c r="CJ31" i="6" a="1"/>
  <c r="CJ31" i="6" s="1"/>
  <c r="CM31" i="6" a="1"/>
  <c r="CM31" i="6" s="1"/>
  <c r="CI31" i="6" a="1"/>
  <c r="CI31" i="6" s="1"/>
  <c r="AG13" i="6"/>
  <c r="CC31" i="6" a="1"/>
  <c r="CC31" i="6" s="1"/>
  <c r="CA31" i="6" a="1"/>
  <c r="CA31" i="6" s="1"/>
  <c r="BD31" i="6"/>
  <c r="BE31" i="6"/>
  <c r="BX31" i="6" a="1"/>
  <c r="BX31" i="6" s="1"/>
  <c r="BV31" i="6" a="1"/>
  <c r="BV31" i="6" s="1"/>
  <c r="BC31" i="6"/>
  <c r="BJ31" i="6"/>
  <c r="BG31" i="6"/>
  <c r="BW31" i="6" a="1"/>
  <c r="BW31" i="6" s="1"/>
  <c r="BI31" i="6"/>
  <c r="CB31" i="6" a="1"/>
  <c r="CB31" i="6" s="1"/>
  <c r="BF31" i="6"/>
  <c r="BY31" i="6" a="1"/>
  <c r="BY31" i="6" s="1"/>
  <c r="BZ31" i="6" a="1"/>
  <c r="BZ31" i="6" s="1"/>
  <c r="F55" i="6"/>
  <c r="BK29" i="6"/>
  <c r="BK31" i="6"/>
  <c r="BK23" i="6"/>
  <c r="G55" i="6"/>
  <c r="L58" i="6"/>
  <c r="B57" i="6"/>
  <c r="CD29" i="6" a="1"/>
  <c r="CD29" i="6" s="1"/>
  <c r="CD23" i="6" a="1"/>
  <c r="CD23" i="6" s="1"/>
  <c r="CD31" i="6" a="1"/>
  <c r="CD31" i="6" s="1"/>
  <c r="AR16" i="6"/>
  <c r="AR17" i="6"/>
  <c r="B22" i="9"/>
  <c r="A57" i="12"/>
  <c r="D57" i="5"/>
  <c r="B57" i="12" s="1"/>
  <c r="B57" i="5"/>
  <c r="N57" i="5"/>
  <c r="D57" i="6" s="1"/>
  <c r="K57" i="5"/>
  <c r="J57" i="5"/>
  <c r="AD57" i="5"/>
  <c r="G57" i="5"/>
  <c r="F57" i="5"/>
  <c r="E57" i="5"/>
  <c r="C58" i="5"/>
  <c r="W57" i="5" a="1"/>
  <c r="W57" i="5" s="1"/>
  <c r="H57" i="12" s="1" a="1"/>
  <c r="H57" i="12" s="1"/>
  <c r="AE57" i="5" a="1"/>
  <c r="AE57" i="5" s="1"/>
  <c r="H57" i="5"/>
  <c r="P12" i="9"/>
  <c r="AA62" i="10"/>
  <c r="AA67" i="10" s="1"/>
  <c r="CD12" i="6"/>
  <c r="BK12" i="6"/>
  <c r="AS13" i="6"/>
  <c r="AT13" i="6" s="1"/>
  <c r="CE13" i="6"/>
  <c r="CF13" i="6" s="1"/>
  <c r="AE12" i="8"/>
  <c r="AK13" i="12"/>
  <c r="BL13" i="6"/>
  <c r="BM13" i="6" s="1"/>
  <c r="Q12" i="10"/>
  <c r="Q11" i="10" s="1" a="1"/>
  <c r="Q11" i="10" s="1"/>
  <c r="BN13" i="6" l="1"/>
  <c r="BM12" i="6"/>
  <c r="AH13" i="6"/>
  <c r="CG13" i="6"/>
  <c r="CF12" i="6"/>
  <c r="AU13" i="6"/>
  <c r="AT12" i="6"/>
  <c r="M42" i="6"/>
  <c r="BL29" i="6"/>
  <c r="BL31" i="6"/>
  <c r="BL23" i="6"/>
  <c r="B23" i="9"/>
  <c r="A51" i="6"/>
  <c r="A58" i="12"/>
  <c r="K58" i="5"/>
  <c r="J58" i="5"/>
  <c r="C59" i="5"/>
  <c r="AE58" i="5" a="1"/>
  <c r="AE58" i="5" s="1"/>
  <c r="W58" i="5" a="1"/>
  <c r="W58" i="5" s="1"/>
  <c r="H58" i="12" s="1" a="1"/>
  <c r="H58" i="12" s="1"/>
  <c r="H58" i="5"/>
  <c r="AD58" i="5"/>
  <c r="G58" i="5"/>
  <c r="F58" i="5"/>
  <c r="E58" i="5"/>
  <c r="B58" i="5"/>
  <c r="N58" i="5"/>
  <c r="D58" i="6" s="1"/>
  <c r="D58" i="5"/>
  <c r="B58" i="12" s="1"/>
  <c r="CE29" i="6" a="1"/>
  <c r="CE29" i="6" s="1"/>
  <c r="CE31" i="6" a="1"/>
  <c r="CE31" i="6" s="1"/>
  <c r="CE23" i="6" a="1"/>
  <c r="CE23" i="6" s="1"/>
  <c r="B58" i="6"/>
  <c r="L59" i="6"/>
  <c r="AS12" i="6"/>
  <c r="Q12" i="9"/>
  <c r="AC62" i="10"/>
  <c r="AC67" i="10" s="1"/>
  <c r="CE12" i="6"/>
  <c r="BL12" i="6"/>
  <c r="AF12" i="8"/>
  <c r="AL13" i="12"/>
  <c r="R12" i="10"/>
  <c r="R11" i="10" s="1" a="1"/>
  <c r="R11" i="10" s="1"/>
  <c r="AU12" i="6" l="1"/>
  <c r="AV13" i="6"/>
  <c r="CG12" i="6"/>
  <c r="CH13" i="6"/>
  <c r="AT16" i="6"/>
  <c r="AT17" i="6"/>
  <c r="BL42" i="6"/>
  <c r="CL42" i="6" a="1"/>
  <c r="CL42" i="6" s="1"/>
  <c r="BP42" i="6"/>
  <c r="BM42" i="6"/>
  <c r="CH42" i="6" a="1"/>
  <c r="CH42" i="6" s="1"/>
  <c r="BO42" i="6"/>
  <c r="CK42" i="6" a="1"/>
  <c r="CK42" i="6" s="1"/>
  <c r="BN42" i="6"/>
  <c r="BQ42" i="6"/>
  <c r="CG42" i="6" a="1"/>
  <c r="CG42" i="6" s="1"/>
  <c r="CJ42" i="6" a="1"/>
  <c r="CJ42" i="6" s="1"/>
  <c r="BT42" i="6"/>
  <c r="CF42" i="6" a="1"/>
  <c r="CF42" i="6" s="1"/>
  <c r="BS42" i="6"/>
  <c r="CM42" i="6" a="1"/>
  <c r="CM42" i="6" s="1"/>
  <c r="BR42" i="6"/>
  <c r="CI42" i="6" a="1"/>
  <c r="CI42" i="6" s="1"/>
  <c r="BO13" i="6"/>
  <c r="BN12" i="6"/>
  <c r="CE42" i="6" a="1"/>
  <c r="CE42" i="6" s="1"/>
  <c r="BH42" i="6"/>
  <c r="BE42" i="6"/>
  <c r="BI42" i="6"/>
  <c r="BF42" i="6"/>
  <c r="BW42" i="6" a="1"/>
  <c r="BW42" i="6" s="1"/>
  <c r="BY42" i="6" a="1"/>
  <c r="BY42" i="6" s="1"/>
  <c r="CC42" i="6" a="1"/>
  <c r="CC42" i="6" s="1"/>
  <c r="BV42" i="6" a="1"/>
  <c r="BV42" i="6" s="1"/>
  <c r="CD42" i="6" a="1"/>
  <c r="CD42" i="6" s="1"/>
  <c r="BD42" i="6"/>
  <c r="BG42" i="6"/>
  <c r="BX42" i="6" a="1"/>
  <c r="BX42" i="6" s="1"/>
  <c r="BZ42" i="6" a="1"/>
  <c r="BZ42" i="6" s="1"/>
  <c r="CA42" i="6" a="1"/>
  <c r="CA42" i="6" s="1"/>
  <c r="BC42" i="6"/>
  <c r="BJ42" i="6"/>
  <c r="CB42" i="6" a="1"/>
  <c r="CB42" i="6" s="1"/>
  <c r="BK42" i="6"/>
  <c r="B24" i="9"/>
  <c r="M51" i="6"/>
  <c r="L60" i="6"/>
  <c r="B59" i="6"/>
  <c r="AS16" i="6"/>
  <c r="AS17" i="6"/>
  <c r="A59" i="12"/>
  <c r="F59" i="5"/>
  <c r="E59" i="5"/>
  <c r="D59" i="5"/>
  <c r="B59" i="12" s="1"/>
  <c r="B59" i="5"/>
  <c r="N59" i="5"/>
  <c r="D59" i="6" s="1"/>
  <c r="C60" i="5"/>
  <c r="AE59" i="5" a="1"/>
  <c r="AE59" i="5" s="1"/>
  <c r="W59" i="5" a="1"/>
  <c r="W59" i="5" s="1"/>
  <c r="H59" i="12" s="1" a="1"/>
  <c r="H59" i="12" s="1"/>
  <c r="H59" i="5"/>
  <c r="AD59" i="5"/>
  <c r="G59" i="5"/>
  <c r="K59" i="5"/>
  <c r="J59" i="5"/>
  <c r="R12" i="9"/>
  <c r="AE62" i="10"/>
  <c r="AE67" i="10" s="1"/>
  <c r="AM13" i="12"/>
  <c r="S12" i="10"/>
  <c r="S11" i="10" s="1" a="1"/>
  <c r="S11" i="10" s="1"/>
  <c r="J45" i="12" l="1" a="1"/>
  <c r="J45" i="12" s="1"/>
  <c r="L45" i="12" a="1"/>
  <c r="L45" i="12" s="1"/>
  <c r="L36" i="12" a="1"/>
  <c r="L36" i="12" s="1"/>
  <c r="J36" i="12" a="1"/>
  <c r="J36" i="12" s="1"/>
  <c r="L41" i="12" a="1"/>
  <c r="L41" i="12" s="1"/>
  <c r="J41" i="12" a="1"/>
  <c r="J41" i="12" s="1"/>
  <c r="L50" i="12" a="1"/>
  <c r="L50" i="12" s="1"/>
  <c r="J50" i="12" a="1"/>
  <c r="J50" i="12" s="1"/>
  <c r="CL51" i="6" a="1"/>
  <c r="CL51" i="6" s="1"/>
  <c r="BP51" i="6"/>
  <c r="CH51" i="6" a="1"/>
  <c r="CH51" i="6" s="1"/>
  <c r="BO51" i="6"/>
  <c r="CK51" i="6" a="1"/>
  <c r="CK51" i="6" s="1"/>
  <c r="BN51" i="6"/>
  <c r="BQ51" i="6"/>
  <c r="CG51" i="6" a="1"/>
  <c r="CG51" i="6" s="1"/>
  <c r="BM51" i="6"/>
  <c r="CJ51" i="6" a="1"/>
  <c r="CJ51" i="6" s="1"/>
  <c r="BT51" i="6"/>
  <c r="CI51" i="6" a="1"/>
  <c r="CI51" i="6" s="1"/>
  <c r="CF51" i="6" a="1"/>
  <c r="CF51" i="6" s="1"/>
  <c r="BS51" i="6"/>
  <c r="CM51" i="6" a="1"/>
  <c r="CM51" i="6" s="1"/>
  <c r="BR51" i="6"/>
  <c r="CI13" i="6"/>
  <c r="CH12" i="6"/>
  <c r="AW13" i="6"/>
  <c r="AV12" i="6"/>
  <c r="BP13" i="6"/>
  <c r="BO12" i="6"/>
  <c r="AU16" i="6"/>
  <c r="AU17" i="6"/>
  <c r="J22" i="12" a="1"/>
  <c r="J22" i="12" s="1"/>
  <c r="L22" i="12" a="1"/>
  <c r="L22" i="12" s="1"/>
  <c r="J57" i="12" a="1"/>
  <c r="J57" i="12" s="1"/>
  <c r="J28" i="12" a="1"/>
  <c r="J28" i="12" s="1"/>
  <c r="L28" i="12" a="1"/>
  <c r="L28" i="12" s="1"/>
  <c r="B60" i="6"/>
  <c r="L61" i="6"/>
  <c r="L26" i="12" a="1"/>
  <c r="L26" i="12" s="1"/>
  <c r="J46" i="12" a="1"/>
  <c r="J46" i="12" s="1"/>
  <c r="L24" i="12" a="1"/>
  <c r="L24" i="12" s="1"/>
  <c r="L18" i="12" a="1"/>
  <c r="L18" i="12" s="1"/>
  <c r="L19" i="12" a="1"/>
  <c r="L19" i="12" s="1"/>
  <c r="J27" i="12" a="1"/>
  <c r="J27" i="12" s="1"/>
  <c r="J21" i="12" a="1"/>
  <c r="J21" i="12" s="1"/>
  <c r="J26" i="12" a="1"/>
  <c r="J26" i="12" s="1"/>
  <c r="J25" i="12" a="1"/>
  <c r="J25" i="12" s="1"/>
  <c r="L27" i="12" a="1"/>
  <c r="L27" i="12" s="1"/>
  <c r="J24" i="12" a="1"/>
  <c r="J24" i="12" s="1"/>
  <c r="J19" i="12" a="1"/>
  <c r="J19" i="12" s="1"/>
  <c r="J37" i="12" a="1"/>
  <c r="J37" i="12" s="1"/>
  <c r="L25" i="12" a="1"/>
  <c r="L25" i="12" s="1"/>
  <c r="J18" i="12" a="1"/>
  <c r="J18" i="12" s="1"/>
  <c r="L33" i="12" a="1"/>
  <c r="L33" i="12" s="1"/>
  <c r="L34" i="12" a="1"/>
  <c r="L34" i="12" s="1"/>
  <c r="L40" i="12" a="1"/>
  <c r="L40" i="12" s="1"/>
  <c r="J20" i="12" a="1"/>
  <c r="J20" i="12" s="1"/>
  <c r="L20" i="12" a="1"/>
  <c r="L20" i="12" s="1"/>
  <c r="L46" i="12" a="1"/>
  <c r="L46" i="12" s="1"/>
  <c r="L37" i="12" a="1"/>
  <c r="L37" i="12" s="1"/>
  <c r="J43" i="12" a="1"/>
  <c r="J43" i="12" s="1"/>
  <c r="J47" i="12" a="1"/>
  <c r="J47" i="12" s="1"/>
  <c r="J40" i="12" a="1"/>
  <c r="J40" i="12" s="1"/>
  <c r="J35" i="12" a="1"/>
  <c r="J35" i="12" s="1"/>
  <c r="J39" i="12" a="1"/>
  <c r="J39" i="12" s="1"/>
  <c r="J49" i="12" a="1"/>
  <c r="J49" i="12" s="1"/>
  <c r="L21" i="12" a="1"/>
  <c r="L21" i="12" s="1"/>
  <c r="L49" i="12" a="1"/>
  <c r="L49" i="12" s="1"/>
  <c r="L38" i="12" a="1"/>
  <c r="L38" i="12" s="1"/>
  <c r="J44" i="12" a="1"/>
  <c r="J44" i="12" s="1"/>
  <c r="J38" i="12" a="1"/>
  <c r="J38" i="12" s="1"/>
  <c r="L48" i="12" a="1"/>
  <c r="L48" i="12" s="1"/>
  <c r="L43" i="12" a="1"/>
  <c r="L43" i="12" s="1"/>
  <c r="L44" i="12" a="1"/>
  <c r="L44" i="12" s="1"/>
  <c r="L32" i="12" a="1"/>
  <c r="L32" i="12" s="1"/>
  <c r="J32" i="12" a="1"/>
  <c r="J32" i="12" s="1"/>
  <c r="J33" i="12" a="1"/>
  <c r="J33" i="12" s="1"/>
  <c r="L39" i="12" a="1"/>
  <c r="L39" i="12" s="1"/>
  <c r="L52" i="12" a="1"/>
  <c r="L52" i="12" s="1"/>
  <c r="L47" i="12" a="1"/>
  <c r="L47" i="12" s="1"/>
  <c r="J34" i="12" a="1"/>
  <c r="J34" i="12" s="1"/>
  <c r="L35" i="12" a="1"/>
  <c r="L35" i="12" s="1"/>
  <c r="J48" i="12" a="1"/>
  <c r="J48" i="12" s="1"/>
  <c r="J52" i="12" a="1"/>
  <c r="J52" i="12" s="1"/>
  <c r="J53" i="12" a="1"/>
  <c r="J53" i="12" s="1"/>
  <c r="L53" i="12" a="1"/>
  <c r="L53" i="12" s="1"/>
  <c r="L54" i="12" a="1"/>
  <c r="L54" i="12" s="1"/>
  <c r="J54" i="12" a="1"/>
  <c r="J54" i="12" s="1"/>
  <c r="A60" i="12"/>
  <c r="N60" i="5"/>
  <c r="D60" i="6" s="1"/>
  <c r="K60" i="5"/>
  <c r="J60" i="5"/>
  <c r="C61" i="5"/>
  <c r="AE60" i="5" a="1"/>
  <c r="AE60" i="5" s="1"/>
  <c r="W60" i="5" a="1"/>
  <c r="W60" i="5" s="1"/>
  <c r="H60" i="12" s="1" a="1"/>
  <c r="H60" i="12" s="1"/>
  <c r="H60" i="5"/>
  <c r="AD60" i="5"/>
  <c r="G60" i="5"/>
  <c r="D60" i="5"/>
  <c r="B60" i="12" s="1"/>
  <c r="B60" i="5"/>
  <c r="F60" i="5"/>
  <c r="E60" i="5"/>
  <c r="L59" i="12" a="1"/>
  <c r="L59" i="12" s="1"/>
  <c r="J59" i="12" a="1"/>
  <c r="J59" i="12" s="1"/>
  <c r="B25" i="9"/>
  <c r="CC51" i="6" a="1"/>
  <c r="CC51" i="6" s="1"/>
  <c r="BW51" i="6" a="1"/>
  <c r="BW51" i="6" s="1"/>
  <c r="BZ51" i="6" a="1"/>
  <c r="BZ51" i="6" s="1"/>
  <c r="BC51" i="6"/>
  <c r="BI51" i="6"/>
  <c r="CD51" i="6" a="1"/>
  <c r="CD51" i="6" s="1"/>
  <c r="BG51" i="6"/>
  <c r="BF51" i="6"/>
  <c r="CE51" i="6" a="1"/>
  <c r="CE51" i="6" s="1"/>
  <c r="CA51" i="6" a="1"/>
  <c r="CA51" i="6" s="1"/>
  <c r="CB51" i="6" a="1"/>
  <c r="CB51" i="6" s="1"/>
  <c r="BL51" i="6"/>
  <c r="BX51" i="6" a="1"/>
  <c r="BX51" i="6" s="1"/>
  <c r="BV51" i="6" a="1"/>
  <c r="BV51" i="6" s="1"/>
  <c r="BE51" i="6"/>
  <c r="BK51" i="6"/>
  <c r="BD51" i="6"/>
  <c r="BY51" i="6" a="1"/>
  <c r="BY51" i="6" s="1"/>
  <c r="BJ51" i="6"/>
  <c r="BH51" i="6"/>
  <c r="J58" i="12" a="1"/>
  <c r="J58" i="12" s="1"/>
  <c r="L58" i="12" a="1"/>
  <c r="L58" i="12" s="1"/>
  <c r="L56" i="12" a="1"/>
  <c r="L56" i="12" s="1"/>
  <c r="J56" i="12" a="1"/>
  <c r="J56" i="12" s="1"/>
  <c r="L57" i="12" a="1"/>
  <c r="L57" i="12" s="1"/>
  <c r="AO7" i="12" a="1"/>
  <c r="AO7" i="12" s="1"/>
  <c r="L14" i="12" a="1"/>
  <c r="L14" i="12" s="1"/>
  <c r="J14" i="12" a="1"/>
  <c r="J14" i="12" s="1"/>
  <c r="S12" i="9"/>
  <c r="T12" i="10"/>
  <c r="T11" i="10" s="1" a="1"/>
  <c r="T11" i="10" s="1"/>
  <c r="K45" i="12" l="1"/>
  <c r="K36" i="12"/>
  <c r="K41" i="12"/>
  <c r="K50" i="12"/>
  <c r="BP12" i="6"/>
  <c r="BQ13" i="6"/>
  <c r="AV16" i="6"/>
  <c r="AV17" i="6"/>
  <c r="AX13" i="6"/>
  <c r="AW12" i="6"/>
  <c r="CJ13" i="6"/>
  <c r="CI12" i="6"/>
  <c r="K22" i="12"/>
  <c r="K57" i="12"/>
  <c r="K28" i="12"/>
  <c r="K21" i="12"/>
  <c r="K25" i="12"/>
  <c r="K43" i="12"/>
  <c r="K18" i="12"/>
  <c r="K58" i="12"/>
  <c r="K19" i="12"/>
  <c r="K46" i="12"/>
  <c r="K26" i="12"/>
  <c r="K54" i="12"/>
  <c r="K39" i="12"/>
  <c r="K38" i="12"/>
  <c r="K33" i="12"/>
  <c r="K44" i="12"/>
  <c r="K37" i="12"/>
  <c r="K35" i="12"/>
  <c r="J60" i="12" a="1"/>
  <c r="J60" i="12" s="1"/>
  <c r="L60" i="12" a="1"/>
  <c r="L60" i="12" s="1"/>
  <c r="K32" i="12"/>
  <c r="K49" i="12"/>
  <c r="B26" i="9"/>
  <c r="K56" i="12"/>
  <c r="K53" i="12"/>
  <c r="K48" i="12"/>
  <c r="K24" i="12"/>
  <c r="K47" i="12"/>
  <c r="K20" i="12"/>
  <c r="A61" i="12"/>
  <c r="C62" i="5"/>
  <c r="AE61" i="5" a="1"/>
  <c r="AE61" i="5" s="1"/>
  <c r="W61" i="5" a="1"/>
  <c r="W61" i="5" s="1"/>
  <c r="H61" i="12" s="1" a="1"/>
  <c r="H61" i="12" s="1"/>
  <c r="H61" i="5"/>
  <c r="AD61" i="5"/>
  <c r="G61" i="5"/>
  <c r="F61" i="5"/>
  <c r="E61" i="5"/>
  <c r="D61" i="5"/>
  <c r="B61" i="12" s="1"/>
  <c r="B61" i="5"/>
  <c r="K61" i="5"/>
  <c r="J61" i="5"/>
  <c r="N61" i="5"/>
  <c r="K59" i="12"/>
  <c r="K40" i="12"/>
  <c r="K52" i="12"/>
  <c r="K34" i="12"/>
  <c r="K27" i="12"/>
  <c r="L62" i="6"/>
  <c r="B61" i="6"/>
  <c r="T12" i="9"/>
  <c r="K14" i="12"/>
  <c r="U12" i="10"/>
  <c r="U11" i="10" s="1" a="1"/>
  <c r="U11" i="10" s="1"/>
  <c r="AX12" i="6" l="1"/>
  <c r="AY13" i="6"/>
  <c r="BQ12" i="6"/>
  <c r="BR13" i="6"/>
  <c r="CK13" i="6"/>
  <c r="CJ12" i="6"/>
  <c r="AW16" i="6"/>
  <c r="AW17" i="6"/>
  <c r="K60" i="12"/>
  <c r="B27" i="9"/>
  <c r="A62" i="12"/>
  <c r="B62" i="5"/>
  <c r="N62" i="5"/>
  <c r="D62" i="6" s="1"/>
  <c r="K62" i="5"/>
  <c r="J62" i="5"/>
  <c r="F62" i="5"/>
  <c r="E62" i="5"/>
  <c r="D62" i="5"/>
  <c r="B62" i="12" s="1"/>
  <c r="C63" i="5"/>
  <c r="AE62" i="5" a="1"/>
  <c r="AE62" i="5" s="1"/>
  <c r="AD62" i="5"/>
  <c r="W62" i="5" a="1"/>
  <c r="W62" i="5" s="1"/>
  <c r="H62" i="12" s="1" a="1"/>
  <c r="H62" i="12" s="1"/>
  <c r="H62" i="5"/>
  <c r="G62" i="5"/>
  <c r="J61" i="12" a="1"/>
  <c r="J61" i="12" s="1"/>
  <c r="L61" i="12" a="1"/>
  <c r="L61" i="12" s="1"/>
  <c r="D61" i="6"/>
  <c r="B62" i="6"/>
  <c r="L63" i="6"/>
  <c r="U12" i="9"/>
  <c r="V12" i="10"/>
  <c r="V11" i="10" s="1" a="1"/>
  <c r="V11" i="10" s="1"/>
  <c r="CK12" i="6" l="1"/>
  <c r="CL13" i="6"/>
  <c r="BS13" i="6"/>
  <c r="BR12" i="6"/>
  <c r="AZ13" i="6"/>
  <c r="AY12" i="6"/>
  <c r="AX16" i="6"/>
  <c r="AX17" i="6"/>
  <c r="K61" i="12"/>
  <c r="L62" i="12" a="1"/>
  <c r="L62" i="12" s="1"/>
  <c r="J62" i="12" a="1"/>
  <c r="J62" i="12" s="1"/>
  <c r="A55" i="6"/>
  <c r="B28" i="9"/>
  <c r="L64" i="6"/>
  <c r="B63" i="6"/>
  <c r="A63" i="12"/>
  <c r="AD63" i="5"/>
  <c r="J63" i="5"/>
  <c r="H63" i="5"/>
  <c r="W63" i="5" a="1"/>
  <c r="W63" i="5" s="1"/>
  <c r="H63" i="12" s="1" a="1"/>
  <c r="H63" i="12" s="1"/>
  <c r="G63" i="5"/>
  <c r="AE63" i="5" a="1"/>
  <c r="AE63" i="5" s="1"/>
  <c r="F63" i="5"/>
  <c r="C64" i="5"/>
  <c r="E63" i="5"/>
  <c r="D63" i="5"/>
  <c r="B63" i="12" s="1"/>
  <c r="N63" i="5"/>
  <c r="K63" i="5"/>
  <c r="B63" i="5"/>
  <c r="V12" i="9"/>
  <c r="W12" i="10"/>
  <c r="W11" i="10" s="1" a="1"/>
  <c r="W11" i="10" s="1"/>
  <c r="AY16" i="6" l="1"/>
  <c r="AY17" i="6"/>
  <c r="BA13" i="6"/>
  <c r="BA12" i="6" s="1"/>
  <c r="AZ12" i="6"/>
  <c r="BT13" i="6"/>
  <c r="BT12" i="6" s="1"/>
  <c r="BS12" i="6"/>
  <c r="CL12" i="6"/>
  <c r="CM13" i="6"/>
  <c r="CM12" i="6" s="1"/>
  <c r="M55" i="6"/>
  <c r="B64" i="6"/>
  <c r="L65" i="6"/>
  <c r="B29" i="9"/>
  <c r="J63" i="12" a="1"/>
  <c r="J63" i="12" s="1"/>
  <c r="L63" i="12" a="1"/>
  <c r="L63" i="12" s="1"/>
  <c r="K62" i="12"/>
  <c r="A64" i="12"/>
  <c r="B64" i="5"/>
  <c r="H64" i="5"/>
  <c r="W64" i="5" a="1"/>
  <c r="W64" i="5" s="1"/>
  <c r="H64" i="12" s="1" a="1"/>
  <c r="H64" i="12" s="1"/>
  <c r="G64" i="5"/>
  <c r="AE64" i="5" a="1"/>
  <c r="AE64" i="5" s="1"/>
  <c r="F64" i="5"/>
  <c r="C65" i="5"/>
  <c r="AD64" i="5"/>
  <c r="E64" i="5"/>
  <c r="D64" i="5"/>
  <c r="B64" i="12" s="1"/>
  <c r="K64" i="5"/>
  <c r="J64" i="5"/>
  <c r="N64" i="5"/>
  <c r="D64" i="6" s="1"/>
  <c r="D63" i="6"/>
  <c r="W12" i="9"/>
  <c r="X12" i="10"/>
  <c r="X11" i="10" s="1" a="1"/>
  <c r="X11" i="10" s="1"/>
  <c r="CL55" i="6" l="1" a="1"/>
  <c r="CL55" i="6" s="1"/>
  <c r="CI55" i="6" a="1"/>
  <c r="CI55" i="6" s="1"/>
  <c r="CH55" i="6" a="1"/>
  <c r="CH55" i="6" s="1"/>
  <c r="BP55" i="6"/>
  <c r="CM55" i="6" a="1"/>
  <c r="CM55" i="6" s="1"/>
  <c r="BR55" i="6"/>
  <c r="CK55" i="6" a="1"/>
  <c r="CK55" i="6" s="1"/>
  <c r="BO55" i="6"/>
  <c r="CG55" i="6" a="1"/>
  <c r="CG55" i="6" s="1"/>
  <c r="BN55" i="6"/>
  <c r="CJ55" i="6" a="1"/>
  <c r="CJ55" i="6" s="1"/>
  <c r="BM55" i="6"/>
  <c r="BS55" i="6"/>
  <c r="BQ55" i="6"/>
  <c r="CF55" i="6" a="1"/>
  <c r="CF55" i="6" s="1"/>
  <c r="BT55" i="6"/>
  <c r="BA16" i="6"/>
  <c r="BA17" i="6"/>
  <c r="AZ16" i="6"/>
  <c r="AZ17" i="6"/>
  <c r="K63" i="12"/>
  <c r="L64" i="12" a="1"/>
  <c r="L64" i="12" s="1"/>
  <c r="J64" i="12" a="1"/>
  <c r="J64" i="12" s="1"/>
  <c r="CE55" i="6" a="1"/>
  <c r="CE55" i="6" s="1"/>
  <c r="CC55" i="6" a="1"/>
  <c r="CC55" i="6" s="1"/>
  <c r="BW55" i="6" a="1"/>
  <c r="BW55" i="6" s="1"/>
  <c r="CB55" i="6" a="1"/>
  <c r="CB55" i="6" s="1"/>
  <c r="BY55" i="6" a="1"/>
  <c r="BY55" i="6" s="1"/>
  <c r="BX55" i="6" a="1"/>
  <c r="BX55" i="6" s="1"/>
  <c r="BG55" i="6"/>
  <c r="BC55" i="6"/>
  <c r="BV55" i="6" a="1"/>
  <c r="BV55" i="6" s="1"/>
  <c r="BL55" i="6"/>
  <c r="BF55" i="6"/>
  <c r="CA55" i="6" a="1"/>
  <c r="CA55" i="6" s="1"/>
  <c r="BE55" i="6"/>
  <c r="BK55" i="6"/>
  <c r="BJ55" i="6"/>
  <c r="CD55" i="6" a="1"/>
  <c r="CD55" i="6" s="1"/>
  <c r="BH55" i="6"/>
  <c r="BD55" i="6"/>
  <c r="BZ55" i="6" a="1"/>
  <c r="BZ55" i="6" s="1"/>
  <c r="BI55" i="6"/>
  <c r="B65" i="6"/>
  <c r="A65" i="12"/>
  <c r="AE65" i="5" a="1"/>
  <c r="AE65" i="5" s="1"/>
  <c r="F65" i="5"/>
  <c r="AD65" i="5"/>
  <c r="E65" i="5"/>
  <c r="D65" i="5"/>
  <c r="B65" i="12" s="1"/>
  <c r="B65" i="5"/>
  <c r="N65" i="5"/>
  <c r="D65" i="6" s="1"/>
  <c r="J65" i="5"/>
  <c r="H65" i="5"/>
  <c r="W65" i="5" a="1"/>
  <c r="W65" i="5" s="1"/>
  <c r="H65" i="12" s="1" a="1"/>
  <c r="H65" i="12" s="1"/>
  <c r="G65" i="5"/>
  <c r="K65" i="5"/>
  <c r="B30" i="9"/>
  <c r="X12" i="9"/>
  <c r="Y12" i="10"/>
  <c r="Y11" i="10" s="1" a="1"/>
  <c r="Y11" i="10" s="1"/>
  <c r="K64" i="12" l="1"/>
  <c r="C66" i="5"/>
  <c r="L66" i="6"/>
  <c r="J65" i="12" a="1"/>
  <c r="J65" i="12" s="1"/>
  <c r="L65" i="12" a="1"/>
  <c r="L65" i="12" s="1"/>
  <c r="B31" i="9"/>
  <c r="Y12" i="9"/>
  <c r="Z12" i="10"/>
  <c r="Z11" i="10" s="1" a="1"/>
  <c r="Z11" i="10" s="1"/>
  <c r="K65" i="12" l="1"/>
  <c r="L67" i="6"/>
  <c r="B66" i="6"/>
  <c r="B32" i="9"/>
  <c r="A66" i="12"/>
  <c r="B66" i="5"/>
  <c r="N66" i="5"/>
  <c r="AE66" i="5" a="1"/>
  <c r="AE66" i="5" s="1"/>
  <c r="F66" i="5"/>
  <c r="AD66" i="5"/>
  <c r="E66" i="5"/>
  <c r="C67" i="5"/>
  <c r="W66" i="5" a="1"/>
  <c r="W66" i="5" s="1"/>
  <c r="H66" i="12" s="1" a="1"/>
  <c r="H66" i="12" s="1"/>
  <c r="H66" i="5"/>
  <c r="G66" i="5"/>
  <c r="AF66" i="5" a="1"/>
  <c r="AF66" i="5" s="1"/>
  <c r="Z12" i="9"/>
  <c r="AA12" i="10"/>
  <c r="AA11" i="10" s="1" a="1"/>
  <c r="AA11" i="10" s="1"/>
  <c r="AG66" i="5" l="1" a="1"/>
  <c r="AG66" i="5" s="1"/>
  <c r="F66" i="12" a="1"/>
  <c r="F66" i="12" s="1"/>
  <c r="B33" i="9"/>
  <c r="D66" i="6"/>
  <c r="A67" i="12"/>
  <c r="F67" i="5"/>
  <c r="B67" i="5"/>
  <c r="C68" i="5" s="1"/>
  <c r="AD67" i="5"/>
  <c r="N67" i="5"/>
  <c r="D67" i="6" s="1"/>
  <c r="K67" i="5"/>
  <c r="J67" i="5"/>
  <c r="W67" i="5" a="1"/>
  <c r="W67" i="5" s="1"/>
  <c r="H67" i="12" s="1" a="1"/>
  <c r="H67" i="12" s="1"/>
  <c r="E67" i="5"/>
  <c r="D67" i="5"/>
  <c r="B67" i="12" s="1"/>
  <c r="AE67" i="5" a="1"/>
  <c r="AE67" i="5" s="1"/>
  <c r="G67" i="5"/>
  <c r="H67" i="5"/>
  <c r="B67" i="6"/>
  <c r="L68" i="6"/>
  <c r="AA12" i="9"/>
  <c r="AB12" i="10"/>
  <c r="AB11" i="10" s="1" a="1"/>
  <c r="AB11" i="10" s="1"/>
  <c r="B34" i="9" l="1"/>
  <c r="A68" i="12"/>
  <c r="N68" i="5"/>
  <c r="D68" i="6" s="1"/>
  <c r="AD68" i="5"/>
  <c r="C69" i="5"/>
  <c r="B68" i="5"/>
  <c r="W68" i="5" a="1"/>
  <c r="W68" i="5" s="1"/>
  <c r="H68" i="12" s="1" a="1"/>
  <c r="H68" i="12" s="1"/>
  <c r="F68" i="5"/>
  <c r="E68" i="5"/>
  <c r="AE68" i="5" a="1"/>
  <c r="AE68" i="5" s="1"/>
  <c r="H68" i="5"/>
  <c r="G68" i="5"/>
  <c r="AF68" i="5" a="1"/>
  <c r="AF68" i="5" s="1"/>
  <c r="L67" i="12" a="1"/>
  <c r="L67" i="12" s="1"/>
  <c r="J67" i="12" a="1"/>
  <c r="J67" i="12" s="1"/>
  <c r="E66" i="12"/>
  <c r="F66" i="6"/>
  <c r="L69" i="6"/>
  <c r="B68" i="6"/>
  <c r="G66" i="6"/>
  <c r="AB12" i="9"/>
  <c r="AC12" i="10"/>
  <c r="AC11" i="10" s="1" a="1"/>
  <c r="AC11" i="10" s="1"/>
  <c r="F68" i="12" l="1" a="1"/>
  <c r="F68" i="12" s="1"/>
  <c r="E68" i="12"/>
  <c r="A69" i="12"/>
  <c r="C70" i="5"/>
  <c r="AE69" i="5" a="1"/>
  <c r="AE69" i="5" s="1"/>
  <c r="W69" i="5" a="1"/>
  <c r="W69" i="5" s="1"/>
  <c r="H69" i="12" s="1" a="1"/>
  <c r="H69" i="12" s="1"/>
  <c r="H69" i="5"/>
  <c r="D69" i="5"/>
  <c r="B69" i="12" s="1"/>
  <c r="E69" i="5"/>
  <c r="AD69" i="5"/>
  <c r="B69" i="5"/>
  <c r="N69" i="5"/>
  <c r="D69" i="6" s="1"/>
  <c r="G69" i="5"/>
  <c r="F69" i="5"/>
  <c r="K69" i="5"/>
  <c r="J69" i="5"/>
  <c r="K67" i="12"/>
  <c r="B35" i="9"/>
  <c r="AG68" i="5" a="1"/>
  <c r="AG68" i="5" s="1"/>
  <c r="B69" i="6"/>
  <c r="L70" i="6"/>
  <c r="AC12" i="9"/>
  <c r="AD12" i="10"/>
  <c r="AD11" i="10" s="1" a="1"/>
  <c r="AD11" i="10" s="1"/>
  <c r="F68" i="6" l="1"/>
  <c r="B36" i="9"/>
  <c r="G68" i="6"/>
  <c r="B70" i="6"/>
  <c r="A70" i="12"/>
  <c r="K70" i="5"/>
  <c r="G70" i="5"/>
  <c r="W70" i="5" a="1"/>
  <c r="W70" i="5" s="1"/>
  <c r="H70" i="12" s="1" a="1"/>
  <c r="H70" i="12" s="1"/>
  <c r="F70" i="5"/>
  <c r="E70" i="5"/>
  <c r="AE70" i="5" a="1"/>
  <c r="AE70" i="5" s="1"/>
  <c r="D70" i="5"/>
  <c r="B70" i="12" s="1"/>
  <c r="AD70" i="5"/>
  <c r="B70" i="5"/>
  <c r="J70" i="5"/>
  <c r="H70" i="5"/>
  <c r="N70" i="5"/>
  <c r="L69" i="12" a="1"/>
  <c r="L69" i="12" s="1"/>
  <c r="J69" i="12" a="1"/>
  <c r="J69" i="12" s="1"/>
  <c r="AD12" i="9"/>
  <c r="AE12" i="10"/>
  <c r="AE11" i="10" s="1" a="1"/>
  <c r="AE11" i="10" s="1"/>
  <c r="K69" i="12" l="1"/>
  <c r="B37" i="9"/>
  <c r="C71" i="5"/>
  <c r="L70" i="12" a="1"/>
  <c r="L70" i="12" s="1"/>
  <c r="J70" i="12" a="1"/>
  <c r="J70" i="12" s="1"/>
  <c r="L71" i="6"/>
  <c r="D70" i="6"/>
  <c r="AE12" i="9"/>
  <c r="AF12" i="10"/>
  <c r="AF11" i="10" s="1" a="1"/>
  <c r="AF11" i="10" s="1"/>
  <c r="K70" i="12" l="1"/>
  <c r="B71" i="6"/>
  <c r="L72" i="6"/>
  <c r="B38" i="9"/>
  <c r="A71" i="12"/>
  <c r="E71" i="5"/>
  <c r="N71" i="5"/>
  <c r="D71" i="6" s="1"/>
  <c r="H71" i="5"/>
  <c r="C72" i="5"/>
  <c r="G71" i="5"/>
  <c r="F71" i="5"/>
  <c r="W71" i="5" a="1"/>
  <c r="W71" i="5" s="1"/>
  <c r="H71" i="12" s="1" a="1"/>
  <c r="H71" i="12" s="1"/>
  <c r="AE71" i="5" a="1"/>
  <c r="AE71" i="5" s="1"/>
  <c r="AD71" i="5"/>
  <c r="B71" i="5"/>
  <c r="AF71" i="5" a="1"/>
  <c r="AF71" i="5" s="1"/>
  <c r="M1" i="6"/>
  <c r="H45" i="6" l="1" a="1"/>
  <c r="H45" i="6" s="1"/>
  <c r="H36" i="6" a="1"/>
  <c r="H36" i="6" s="1"/>
  <c r="H41" i="6" a="1"/>
  <c r="H41" i="6" s="1"/>
  <c r="H50" i="6" a="1"/>
  <c r="H50" i="6" s="1"/>
  <c r="H22" i="6" a="1"/>
  <c r="H22" i="6" s="1"/>
  <c r="H70" i="6" a="1"/>
  <c r="H70" i="6" s="1"/>
  <c r="H28" i="6" a="1"/>
  <c r="H28" i="6" s="1"/>
  <c r="H71" i="6" a="1"/>
  <c r="H71" i="6" s="1"/>
  <c r="T71" i="5" s="1"/>
  <c r="G71" i="12" s="1" a="1"/>
  <c r="G71" i="12" s="1"/>
  <c r="F71" i="12" a="1"/>
  <c r="F71" i="12" s="1"/>
  <c r="AG71" i="5" a="1"/>
  <c r="AG71" i="5" s="1"/>
  <c r="J71" i="6" a="1"/>
  <c r="J71" i="6" s="1"/>
  <c r="A72" i="12"/>
  <c r="C73" i="5"/>
  <c r="AE72" i="5" a="1"/>
  <c r="AE72" i="5" s="1"/>
  <c r="W72" i="5" a="1"/>
  <c r="W72" i="5" s="1"/>
  <c r="H72" i="12" s="1" a="1"/>
  <c r="H72" i="12" s="1"/>
  <c r="H72" i="5"/>
  <c r="J72" i="5"/>
  <c r="B72" i="5"/>
  <c r="AD72" i="5"/>
  <c r="N72" i="5"/>
  <c r="D72" i="6" s="1"/>
  <c r="K72" i="5"/>
  <c r="F72" i="5"/>
  <c r="E72" i="5"/>
  <c r="D72" i="5"/>
  <c r="B72" i="12" s="1"/>
  <c r="G72" i="5"/>
  <c r="B72" i="6"/>
  <c r="L73" i="6"/>
  <c r="B39" i="9"/>
  <c r="J16" i="6" a="1"/>
  <c r="J16" i="6" s="1"/>
  <c r="J17" i="6" a="1"/>
  <c r="J17" i="6" s="1"/>
  <c r="J23" i="6" a="1"/>
  <c r="J23" i="6" s="1"/>
  <c r="H26" i="6" a="1"/>
  <c r="H26" i="6" s="1"/>
  <c r="H20" i="6" a="1"/>
  <c r="H20" i="6" s="1"/>
  <c r="H27" i="6" a="1"/>
  <c r="H27" i="6" s="1"/>
  <c r="H18" i="6" a="1"/>
  <c r="H18" i="6" s="1"/>
  <c r="H21" i="6" a="1"/>
  <c r="H21" i="6" s="1"/>
  <c r="H23" i="6" a="1"/>
  <c r="H23" i="6" s="1"/>
  <c r="H24" i="6" a="1"/>
  <c r="H24" i="6" s="1"/>
  <c r="H25" i="6" a="1"/>
  <c r="H25" i="6" s="1"/>
  <c r="H19" i="6" a="1"/>
  <c r="H19" i="6" s="1"/>
  <c r="J29" i="6" a="1"/>
  <c r="J29" i="6" s="1"/>
  <c r="H29" i="6" a="1"/>
  <c r="H29" i="6" s="1"/>
  <c r="H30" i="6" a="1"/>
  <c r="H30" i="6" s="1"/>
  <c r="J31" i="6" a="1"/>
  <c r="J31" i="6" s="1"/>
  <c r="H31" i="6" a="1"/>
  <c r="H31" i="6" s="1"/>
  <c r="H32" i="6" a="1"/>
  <c r="H32" i="6" s="1"/>
  <c r="H33" i="6" a="1"/>
  <c r="H33" i="6" s="1"/>
  <c r="H34" i="6" a="1"/>
  <c r="H34" i="6" s="1"/>
  <c r="H35" i="6" a="1"/>
  <c r="H35" i="6" s="1"/>
  <c r="H37" i="6" a="1"/>
  <c r="H37" i="6" s="1"/>
  <c r="H38" i="6" a="1"/>
  <c r="H38" i="6" s="1"/>
  <c r="H40" i="6" a="1"/>
  <c r="H40" i="6" s="1"/>
  <c r="H39" i="6" a="1"/>
  <c r="H39" i="6" s="1"/>
  <c r="J42" i="6" a="1"/>
  <c r="J42" i="6" s="1"/>
  <c r="H42" i="6" a="1"/>
  <c r="H42" i="6" s="1"/>
  <c r="H43" i="6" a="1"/>
  <c r="H43" i="6" s="1"/>
  <c r="H44" i="6" a="1"/>
  <c r="H44" i="6" s="1"/>
  <c r="H46" i="6" a="1"/>
  <c r="H46" i="6" s="1"/>
  <c r="H47" i="6" a="1"/>
  <c r="H47" i="6" s="1"/>
  <c r="H49" i="6" a="1"/>
  <c r="H49" i="6" s="1"/>
  <c r="H48" i="6" a="1"/>
  <c r="H48" i="6" s="1"/>
  <c r="H51" i="6" a="1"/>
  <c r="H51" i="6" s="1"/>
  <c r="J51" i="6" a="1"/>
  <c r="J51" i="6" s="1"/>
  <c r="H52" i="6" a="1"/>
  <c r="H52" i="6" s="1"/>
  <c r="H53" i="6" a="1"/>
  <c r="H53" i="6" s="1"/>
  <c r="H54" i="6" a="1"/>
  <c r="H54" i="6" s="1"/>
  <c r="J55" i="6" a="1"/>
  <c r="J55" i="6" s="1"/>
  <c r="H55" i="6" a="1"/>
  <c r="H55" i="6" s="1"/>
  <c r="H56" i="6" a="1"/>
  <c r="H56" i="6" s="1"/>
  <c r="H57" i="6" a="1"/>
  <c r="H57" i="6" s="1"/>
  <c r="H58" i="6" a="1"/>
  <c r="H58" i="6" s="1"/>
  <c r="H59" i="6" a="1"/>
  <c r="H59" i="6" s="1"/>
  <c r="H60" i="6" a="1"/>
  <c r="H60" i="6" s="1"/>
  <c r="H61" i="6" a="1"/>
  <c r="H61" i="6" s="1"/>
  <c r="H62" i="6" a="1"/>
  <c r="H62" i="6" s="1"/>
  <c r="H63" i="6" a="1"/>
  <c r="H63" i="6" s="1"/>
  <c r="H64" i="6" a="1"/>
  <c r="H64" i="6" s="1"/>
  <c r="H65" i="6" a="1"/>
  <c r="H65" i="6" s="1"/>
  <c r="J66" i="6" a="1"/>
  <c r="J66" i="6" s="1"/>
  <c r="H67" i="6" a="1"/>
  <c r="H67" i="6" s="1"/>
  <c r="H66" i="6" a="1"/>
  <c r="H66" i="6" s="1"/>
  <c r="J68" i="6" a="1"/>
  <c r="J68" i="6" s="1"/>
  <c r="H68" i="6" a="1"/>
  <c r="H68" i="6" s="1"/>
  <c r="H69" i="6" a="1"/>
  <c r="H69" i="6" s="1"/>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T45" i="5" l="1"/>
  <c r="T36" i="5"/>
  <c r="T41" i="5"/>
  <c r="T50" i="5"/>
  <c r="AT51" i="6"/>
  <c r="AU51" i="6"/>
  <c r="AV51" i="6"/>
  <c r="AW51" i="6"/>
  <c r="AX51" i="6"/>
  <c r="AY51" i="6"/>
  <c r="BA51" i="6"/>
  <c r="AZ51" i="6"/>
  <c r="AT29" i="6"/>
  <c r="AU29" i="6"/>
  <c r="AV29" i="6"/>
  <c r="AW29" i="6"/>
  <c r="AX29" i="6"/>
  <c r="AY29" i="6"/>
  <c r="BA29" i="6"/>
  <c r="AZ29" i="6"/>
  <c r="AT42" i="6"/>
  <c r="AU42" i="6"/>
  <c r="AV42" i="6"/>
  <c r="AW42" i="6"/>
  <c r="AX42" i="6"/>
  <c r="AY42" i="6"/>
  <c r="BA42" i="6"/>
  <c r="AZ42" i="6"/>
  <c r="AT55" i="6"/>
  <c r="AU55" i="6"/>
  <c r="AV55" i="6"/>
  <c r="AW55" i="6"/>
  <c r="AX55" i="6"/>
  <c r="AY55" i="6"/>
  <c r="BA55" i="6"/>
  <c r="AZ55" i="6"/>
  <c r="T70" i="5"/>
  <c r="G70" i="12" s="1" a="1"/>
  <c r="G70" i="12" s="1"/>
  <c r="AT31" i="6"/>
  <c r="AU31" i="6"/>
  <c r="AV31" i="6"/>
  <c r="AW31" i="6"/>
  <c r="AX31" i="6"/>
  <c r="AY31" i="6"/>
  <c r="BA31" i="6"/>
  <c r="AZ31" i="6"/>
  <c r="AT23" i="6"/>
  <c r="AU23" i="6"/>
  <c r="AV23" i="6"/>
  <c r="AW23" i="6"/>
  <c r="AX23" i="6"/>
  <c r="AY23" i="6"/>
  <c r="BA23" i="6"/>
  <c r="AZ23" i="6"/>
  <c r="T22" i="5"/>
  <c r="T28" i="5"/>
  <c r="T23" i="5"/>
  <c r="AJ23" i="6"/>
  <c r="AK23" i="6"/>
  <c r="AL23" i="6"/>
  <c r="AN23" i="6"/>
  <c r="AM23" i="6"/>
  <c r="AO23" i="6"/>
  <c r="AP23" i="6"/>
  <c r="AQ23" i="6"/>
  <c r="AR23" i="6"/>
  <c r="AS23" i="6"/>
  <c r="B40" i="9"/>
  <c r="A66" i="6"/>
  <c r="T54" i="5"/>
  <c r="T48" i="5"/>
  <c r="T37" i="5"/>
  <c r="T31" i="5"/>
  <c r="AJ31" i="6"/>
  <c r="AK31" i="6"/>
  <c r="AL31" i="6"/>
  <c r="AN31" i="6"/>
  <c r="AM31" i="6"/>
  <c r="AO31" i="6"/>
  <c r="AP31" i="6"/>
  <c r="AQ31" i="6"/>
  <c r="AR31" i="6"/>
  <c r="AS31" i="6"/>
  <c r="G71" i="6"/>
  <c r="T60" i="5"/>
  <c r="T43" i="5"/>
  <c r="H72" i="6" a="1"/>
  <c r="H72" i="6" s="1"/>
  <c r="T72" i="5" s="1"/>
  <c r="G72" i="12" s="1" a="1"/>
  <c r="G72" i="12" s="1"/>
  <c r="T53" i="5"/>
  <c r="T30" i="5"/>
  <c r="T27" i="5"/>
  <c r="T58" i="5"/>
  <c r="T20" i="5"/>
  <c r="A73" i="12"/>
  <c r="AD73" i="5"/>
  <c r="G73" i="5"/>
  <c r="H73" i="5"/>
  <c r="F73" i="5"/>
  <c r="E73" i="5"/>
  <c r="W73" i="5" a="1"/>
  <c r="W73" i="5" s="1"/>
  <c r="H73" i="12" s="1" a="1"/>
  <c r="H73" i="12" s="1"/>
  <c r="D73" i="5"/>
  <c r="B73" i="12" s="1"/>
  <c r="B73" i="5"/>
  <c r="N73" i="5"/>
  <c r="C74" i="5"/>
  <c r="K73" i="5"/>
  <c r="J73" i="5"/>
  <c r="AE73" i="5" a="1"/>
  <c r="AE73" i="5" s="1"/>
  <c r="T42" i="5"/>
  <c r="AJ42" i="6"/>
  <c r="AK42" i="6"/>
  <c r="AL42" i="6"/>
  <c r="AN42" i="6"/>
  <c r="AM42" i="6"/>
  <c r="AO42" i="6"/>
  <c r="AP42" i="6"/>
  <c r="AQ42" i="6"/>
  <c r="AR42" i="6"/>
  <c r="AS42" i="6"/>
  <c r="T59" i="5"/>
  <c r="T47" i="5"/>
  <c r="T68" i="5"/>
  <c r="T63" i="5"/>
  <c r="T34" i="5"/>
  <c r="T29" i="5"/>
  <c r="AJ29" i="6"/>
  <c r="AK29" i="6"/>
  <c r="AL29" i="6"/>
  <c r="AM29" i="6"/>
  <c r="AN29" i="6"/>
  <c r="AO29" i="6"/>
  <c r="AP29" i="6"/>
  <c r="AQ29" i="6"/>
  <c r="AR29" i="6"/>
  <c r="AS29" i="6"/>
  <c r="L74" i="6"/>
  <c r="B73" i="6"/>
  <c r="T65" i="5"/>
  <c r="T57" i="5"/>
  <c r="T52" i="5"/>
  <c r="T46" i="5"/>
  <c r="T39" i="5"/>
  <c r="L72" i="12" a="1"/>
  <c r="L72" i="12" s="1"/>
  <c r="J72" i="12" a="1"/>
  <c r="J72" i="12" s="1"/>
  <c r="T21" i="5"/>
  <c r="T69" i="5"/>
  <c r="T66" i="5"/>
  <c r="T33" i="5"/>
  <c r="T49" i="5"/>
  <c r="T35" i="5"/>
  <c r="T18" i="5"/>
  <c r="T64" i="5"/>
  <c r="T62" i="5"/>
  <c r="T56" i="5"/>
  <c r="T40" i="5"/>
  <c r="T19" i="5"/>
  <c r="T26" i="5"/>
  <c r="T61" i="5"/>
  <c r="T55" i="5"/>
  <c r="AN55" i="6"/>
  <c r="AO55" i="6"/>
  <c r="AL55" i="6"/>
  <c r="AK55" i="6"/>
  <c r="AR55" i="6"/>
  <c r="AP55" i="6"/>
  <c r="AQ55" i="6"/>
  <c r="AJ55" i="6"/>
  <c r="AM55" i="6"/>
  <c r="AS55" i="6"/>
  <c r="T51" i="5"/>
  <c r="AL51" i="6"/>
  <c r="AK51" i="6"/>
  <c r="AJ51" i="6"/>
  <c r="AN51" i="6"/>
  <c r="AM51" i="6"/>
  <c r="AO51" i="6"/>
  <c r="AP51" i="6"/>
  <c r="AQ51" i="6"/>
  <c r="AR51" i="6"/>
  <c r="AS51" i="6"/>
  <c r="T44" i="5"/>
  <c r="T25" i="5"/>
  <c r="T67" i="5"/>
  <c r="T38" i="5"/>
  <c r="T32" i="5"/>
  <c r="T24" i="5"/>
  <c r="E71" i="12"/>
  <c r="F71" i="6"/>
  <c r="I10" i="7"/>
  <c r="K13" i="7"/>
  <c r="L13" i="7" s="1"/>
  <c r="J10" i="7"/>
  <c r="G45" i="12" l="1" a="1"/>
  <c r="G45" i="12" s="1"/>
  <c r="G36" i="12" a="1"/>
  <c r="G36" i="12" s="1"/>
  <c r="G41" i="12" a="1"/>
  <c r="G41" i="12" s="1"/>
  <c r="G50" i="12" a="1"/>
  <c r="G50" i="12" s="1"/>
  <c r="G22" i="12" a="1"/>
  <c r="G22" i="12" s="1"/>
  <c r="G28" i="12" a="1"/>
  <c r="G28" i="12" s="1"/>
  <c r="G19" i="12" a="1"/>
  <c r="G19" i="12" s="1"/>
  <c r="B41" i="9"/>
  <c r="G26" i="12" a="1"/>
  <c r="G26" i="12" s="1"/>
  <c r="G58" i="12" a="1"/>
  <c r="G58" i="12" s="1"/>
  <c r="G30" i="12" a="1"/>
  <c r="G30" i="12" s="1"/>
  <c r="G61" i="12" a="1"/>
  <c r="G61" i="12" s="1"/>
  <c r="L73" i="12" a="1"/>
  <c r="L73" i="12" s="1"/>
  <c r="J73" i="12" a="1"/>
  <c r="J73" i="12" s="1"/>
  <c r="G20" i="12" a="1"/>
  <c r="G20" i="12" s="1"/>
  <c r="G27" i="12" a="1"/>
  <c r="G27" i="12" s="1"/>
  <c r="G55" i="12" a="1"/>
  <c r="G55" i="12" s="1"/>
  <c r="G51" i="12" a="1"/>
  <c r="G51" i="12" s="1"/>
  <c r="G65" i="12" a="1"/>
  <c r="G65" i="12" s="1"/>
  <c r="G59" i="12" a="1"/>
  <c r="G59" i="12" s="1"/>
  <c r="G44" i="12" a="1"/>
  <c r="G44" i="12" s="1"/>
  <c r="G69" i="12" a="1"/>
  <c r="G69" i="12" s="1"/>
  <c r="G21" i="12" a="1"/>
  <c r="G21" i="12" s="1"/>
  <c r="G68" i="12" a="1"/>
  <c r="G68" i="12" s="1"/>
  <c r="G47" i="12" a="1"/>
  <c r="G47" i="12" s="1"/>
  <c r="G49" i="12" a="1"/>
  <c r="G49" i="12" s="1"/>
  <c r="G66" i="12" a="1"/>
  <c r="G66" i="12" s="1"/>
  <c r="G57" i="12" a="1"/>
  <c r="G57" i="12" s="1"/>
  <c r="G63" i="12" a="1"/>
  <c r="G63" i="12" s="1"/>
  <c r="G54" i="12" a="1"/>
  <c r="G54" i="12" s="1"/>
  <c r="G33" i="12" a="1"/>
  <c r="G33" i="12" s="1"/>
  <c r="G52" i="12" a="1"/>
  <c r="G52" i="12" s="1"/>
  <c r="G34" i="12" a="1"/>
  <c r="G34" i="12" s="1"/>
  <c r="G48" i="12" a="1"/>
  <c r="G48" i="12" s="1"/>
  <c r="M66" i="6"/>
  <c r="G42" i="12" a="1"/>
  <c r="G42" i="12" s="1"/>
  <c r="G67" i="12" a="1"/>
  <c r="G67" i="12" s="1"/>
  <c r="G46" i="12" a="1"/>
  <c r="G46" i="12" s="1"/>
  <c r="G29" i="12" a="1"/>
  <c r="G29" i="12" s="1"/>
  <c r="G37" i="12" a="1"/>
  <c r="G37" i="12" s="1"/>
  <c r="G38" i="12" a="1"/>
  <c r="G38" i="12" s="1"/>
  <c r="G32" i="12" a="1"/>
  <c r="G32" i="12" s="1"/>
  <c r="G62" i="12" a="1"/>
  <c r="G62" i="12" s="1"/>
  <c r="G18" i="12" a="1"/>
  <c r="G18" i="12" s="1"/>
  <c r="G39" i="12" a="1"/>
  <c r="G39" i="12" s="1"/>
  <c r="D73" i="6"/>
  <c r="G60" i="12" a="1"/>
  <c r="G60" i="12" s="1"/>
  <c r="G31" i="12" a="1"/>
  <c r="G31" i="12" s="1"/>
  <c r="G25" i="12" a="1"/>
  <c r="G25" i="12" s="1"/>
  <c r="G24" i="12" a="1"/>
  <c r="G24" i="12" s="1"/>
  <c r="B74" i="6"/>
  <c r="L75" i="6"/>
  <c r="G43" i="12" a="1"/>
  <c r="G43" i="12" s="1"/>
  <c r="G35" i="12" a="1"/>
  <c r="G35" i="12" s="1"/>
  <c r="G56" i="12" a="1"/>
  <c r="G56" i="12" s="1"/>
  <c r="G64" i="12" a="1"/>
  <c r="G64" i="12" s="1"/>
  <c r="K72" i="12"/>
  <c r="G40" i="12" a="1"/>
  <c r="G40" i="12" s="1"/>
  <c r="A74" i="12"/>
  <c r="B74" i="5"/>
  <c r="J74" i="5"/>
  <c r="AD74" i="5"/>
  <c r="N74" i="5"/>
  <c r="D74" i="6" s="1"/>
  <c r="C75" i="5"/>
  <c r="K74" i="5"/>
  <c r="H74" i="5"/>
  <c r="G74" i="5"/>
  <c r="D74" i="5"/>
  <c r="B74" i="12" s="1"/>
  <c r="AE74" i="5" a="1"/>
  <c r="AE74" i="5" s="1"/>
  <c r="W74" i="5" a="1"/>
  <c r="W74" i="5" s="1"/>
  <c r="H74" i="12" s="1" a="1"/>
  <c r="H74" i="12" s="1"/>
  <c r="F74" i="5"/>
  <c r="E74" i="5"/>
  <c r="G53" i="12" a="1"/>
  <c r="G53" i="12" s="1"/>
  <c r="G23" i="12" a="1"/>
  <c r="G23" i="12" s="1"/>
  <c r="M13" i="7"/>
  <c r="L10" i="7"/>
  <c r="CL66" i="6" l="1" a="1"/>
  <c r="CL66" i="6" s="1"/>
  <c r="BN66" i="6"/>
  <c r="CG66" i="6" a="1"/>
  <c r="CG66" i="6" s="1"/>
  <c r="BM66" i="6"/>
  <c r="BP66" i="6"/>
  <c r="CK66" i="6" a="1"/>
  <c r="CK66" i="6" s="1"/>
  <c r="CH66" i="6" a="1"/>
  <c r="CH66" i="6" s="1"/>
  <c r="CJ66" i="6" a="1"/>
  <c r="CJ66" i="6" s="1"/>
  <c r="BT66" i="6"/>
  <c r="CI66" i="6" a="1"/>
  <c r="CI66" i="6" s="1"/>
  <c r="CF66" i="6" a="1"/>
  <c r="CF66" i="6" s="1"/>
  <c r="BO66" i="6"/>
  <c r="CM66" i="6" a="1"/>
  <c r="CM66" i="6" s="1"/>
  <c r="BS66" i="6"/>
  <c r="BQ66" i="6"/>
  <c r="BR66" i="6"/>
  <c r="AZ66" i="6"/>
  <c r="AX66" i="6"/>
  <c r="AT66" i="6"/>
  <c r="AW66" i="6"/>
  <c r="AY66" i="6"/>
  <c r="AU66" i="6"/>
  <c r="BA66" i="6"/>
  <c r="AV66" i="6"/>
  <c r="B75" i="6"/>
  <c r="L76" i="6"/>
  <c r="H73" i="6" a="1"/>
  <c r="H73" i="6" s="1"/>
  <c r="H74" i="6" a="1"/>
  <c r="H74" i="6" s="1"/>
  <c r="T74" i="5" s="1"/>
  <c r="G74" i="12" s="1" a="1"/>
  <c r="G74" i="12" s="1"/>
  <c r="B42" i="9"/>
  <c r="A68" i="6"/>
  <c r="K73" i="12"/>
  <c r="BY66" i="6" a="1"/>
  <c r="BY66" i="6" s="1"/>
  <c r="BW66" i="6" a="1"/>
  <c r="BW66" i="6" s="1"/>
  <c r="BG66" i="6"/>
  <c r="BC66" i="6"/>
  <c r="CB66" i="6" a="1"/>
  <c r="CB66" i="6" s="1"/>
  <c r="BV66" i="6" a="1"/>
  <c r="BV66" i="6" s="1"/>
  <c r="CD66" i="6" a="1"/>
  <c r="CD66" i="6" s="1"/>
  <c r="BL66" i="6"/>
  <c r="BK66" i="6"/>
  <c r="BE66" i="6"/>
  <c r="BF66" i="6"/>
  <c r="CA66" i="6" a="1"/>
  <c r="CA66" i="6" s="1"/>
  <c r="BX66" i="6" a="1"/>
  <c r="BX66" i="6" s="1"/>
  <c r="BJ66" i="6"/>
  <c r="CC66" i="6" a="1"/>
  <c r="CC66" i="6" s="1"/>
  <c r="BH66" i="6"/>
  <c r="BD66" i="6"/>
  <c r="BZ66" i="6" a="1"/>
  <c r="BZ66" i="6" s="1"/>
  <c r="BI66" i="6"/>
  <c r="CE66" i="6" a="1"/>
  <c r="CE66" i="6" s="1"/>
  <c r="AN66" i="6"/>
  <c r="AM66" i="6"/>
  <c r="AJ66" i="6"/>
  <c r="AS66" i="6"/>
  <c r="AP66" i="6"/>
  <c r="AL66" i="6"/>
  <c r="AQ66" i="6"/>
  <c r="AO66" i="6"/>
  <c r="AR66" i="6"/>
  <c r="AK66" i="6"/>
  <c r="L74" i="12" a="1"/>
  <c r="L74" i="12" s="1"/>
  <c r="J74" i="12" a="1"/>
  <c r="J74" i="12" s="1"/>
  <c r="A75" i="12"/>
  <c r="E75" i="5"/>
  <c r="AD75" i="5"/>
  <c r="B75" i="5"/>
  <c r="C76" i="5" s="1"/>
  <c r="F75" i="5"/>
  <c r="W75" i="5" a="1"/>
  <c r="W75" i="5" s="1"/>
  <c r="H75" i="12" s="1" a="1"/>
  <c r="H75" i="12" s="1"/>
  <c r="D75" i="5"/>
  <c r="B75" i="12" s="1"/>
  <c r="AE75" i="5" a="1"/>
  <c r="AE75" i="5" s="1"/>
  <c r="N75" i="5"/>
  <c r="J75" i="5"/>
  <c r="H75" i="5"/>
  <c r="G75" i="5"/>
  <c r="K75" i="5"/>
  <c r="N13" i="7"/>
  <c r="M10" i="7"/>
  <c r="T73" i="5" l="1"/>
  <c r="G73" i="12" s="1" a="1"/>
  <c r="G73" i="12" s="1"/>
  <c r="K74" i="12"/>
  <c r="D75" i="6"/>
  <c r="A76" i="12"/>
  <c r="E76" i="5"/>
  <c r="H76" i="5"/>
  <c r="G76" i="5"/>
  <c r="F76" i="5"/>
  <c r="W76" i="5" a="1"/>
  <c r="W76" i="5" s="1"/>
  <c r="H76" i="12" s="1" a="1"/>
  <c r="H76" i="12" s="1"/>
  <c r="AD76" i="5"/>
  <c r="C77" i="5"/>
  <c r="N76" i="5"/>
  <c r="D76" i="6" s="1"/>
  <c r="AE76" i="5" a="1"/>
  <c r="AE76" i="5" s="1"/>
  <c r="B76" i="5"/>
  <c r="AF76" i="5" a="1"/>
  <c r="AF76" i="5" s="1"/>
  <c r="J75" i="12" a="1"/>
  <c r="J75" i="12" s="1"/>
  <c r="L75" i="12" a="1"/>
  <c r="L75" i="12" s="1"/>
  <c r="M68" i="6"/>
  <c r="B76" i="6"/>
  <c r="L77" i="6"/>
  <c r="B43" i="9"/>
  <c r="B44" i="9" s="1"/>
  <c r="O13" i="7"/>
  <c r="N10" i="7"/>
  <c r="CI68" i="6" l="1" a="1"/>
  <c r="CI68" i="6" s="1"/>
  <c r="BQ68" i="6"/>
  <c r="CH68" i="6" a="1"/>
  <c r="CH68" i="6" s="1"/>
  <c r="BO68" i="6"/>
  <c r="BR68" i="6"/>
  <c r="CF68" i="6" a="1"/>
  <c r="CF68" i="6" s="1"/>
  <c r="CL68" i="6" a="1"/>
  <c r="CL68" i="6" s="1"/>
  <c r="BN68" i="6"/>
  <c r="CG68" i="6" a="1"/>
  <c r="CG68" i="6" s="1"/>
  <c r="BM68" i="6"/>
  <c r="BS68" i="6"/>
  <c r="CK68" i="6" a="1"/>
  <c r="CK68" i="6" s="1"/>
  <c r="BT68" i="6"/>
  <c r="CM68" i="6" a="1"/>
  <c r="CM68" i="6" s="1"/>
  <c r="BP68" i="6"/>
  <c r="CJ68" i="6" a="1"/>
  <c r="CJ68" i="6" s="1"/>
  <c r="AV68" i="6"/>
  <c r="AT68" i="6"/>
  <c r="AU68" i="6"/>
  <c r="AZ68" i="6"/>
  <c r="BA68" i="6"/>
  <c r="AY68" i="6"/>
  <c r="AX68" i="6"/>
  <c r="AW68" i="6"/>
  <c r="B45" i="9"/>
  <c r="I66" i="5"/>
  <c r="E76" i="12"/>
  <c r="F76" i="12" a="1"/>
  <c r="F76" i="12" s="1"/>
  <c r="K75" i="12"/>
  <c r="B77" i="6"/>
  <c r="H75" i="6" a="1"/>
  <c r="H75" i="6" s="1"/>
  <c r="A77" i="12"/>
  <c r="K77" i="5"/>
  <c r="AD77" i="5"/>
  <c r="G77" i="5"/>
  <c r="F77" i="5"/>
  <c r="B77" i="5"/>
  <c r="AE77" i="5" a="1"/>
  <c r="AE77" i="5" s="1"/>
  <c r="N77" i="5"/>
  <c r="J77" i="5"/>
  <c r="E77" i="5"/>
  <c r="W77" i="5" a="1"/>
  <c r="W77" i="5" s="1"/>
  <c r="H77" i="12" s="1" a="1"/>
  <c r="H77" i="12" s="1"/>
  <c r="D77" i="5"/>
  <c r="B77" i="12" s="1"/>
  <c r="H77" i="5"/>
  <c r="BW68" i="6" a="1"/>
  <c r="BW68" i="6" s="1"/>
  <c r="CA68" i="6" a="1"/>
  <c r="CA68" i="6" s="1"/>
  <c r="BY68" i="6" a="1"/>
  <c r="BY68" i="6" s="1"/>
  <c r="BI68" i="6"/>
  <c r="BH68" i="6"/>
  <c r="CC68" i="6" a="1"/>
  <c r="CC68" i="6" s="1"/>
  <c r="BE68" i="6"/>
  <c r="CE68" i="6" a="1"/>
  <c r="CE68" i="6" s="1"/>
  <c r="BV68" i="6" a="1"/>
  <c r="BV68" i="6" s="1"/>
  <c r="BF68" i="6"/>
  <c r="BD68" i="6"/>
  <c r="CB68" i="6" a="1"/>
  <c r="CB68" i="6" s="1"/>
  <c r="BX68" i="6" a="1"/>
  <c r="BX68" i="6" s="1"/>
  <c r="BG68" i="6"/>
  <c r="BL68" i="6"/>
  <c r="BJ68" i="6"/>
  <c r="CD68" i="6" a="1"/>
  <c r="CD68" i="6" s="1"/>
  <c r="BK68" i="6"/>
  <c r="BC68" i="6"/>
  <c r="BZ68" i="6" a="1"/>
  <c r="BZ68" i="6" s="1"/>
  <c r="AP68" i="6"/>
  <c r="AQ68" i="6"/>
  <c r="AL68" i="6"/>
  <c r="AK68" i="6"/>
  <c r="AO68" i="6"/>
  <c r="AN68" i="6"/>
  <c r="AS68" i="6"/>
  <c r="AM68" i="6"/>
  <c r="AR68" i="6"/>
  <c r="AJ68" i="6"/>
  <c r="AG76" i="5" a="1"/>
  <c r="AG76" i="5" s="1"/>
  <c r="H76" i="6" a="1"/>
  <c r="H76" i="6" s="1"/>
  <c r="T76" i="5" s="1"/>
  <c r="G76" i="12" s="1" a="1"/>
  <c r="G76" i="12" s="1"/>
  <c r="F76" i="6"/>
  <c r="J76" i="6" a="1"/>
  <c r="J76" i="6" s="1"/>
  <c r="P13" i="7"/>
  <c r="O10" i="7"/>
  <c r="T75" i="5" l="1"/>
  <c r="G75" i="12" s="1" a="1"/>
  <c r="G75" i="12" s="1"/>
  <c r="J77" i="12" a="1"/>
  <c r="J77" i="12" s="1"/>
  <c r="L77" i="12" a="1"/>
  <c r="L77" i="12" s="1"/>
  <c r="G76" i="6"/>
  <c r="D77" i="6"/>
  <c r="L78" i="6"/>
  <c r="C78" i="5"/>
  <c r="Q13" i="7"/>
  <c r="P10" i="7"/>
  <c r="B46" i="9" l="1"/>
  <c r="H77" i="6" a="1"/>
  <c r="H77" i="6" s="1"/>
  <c r="I68" i="5"/>
  <c r="A78" i="12"/>
  <c r="N78" i="5"/>
  <c r="D78" i="6" s="1"/>
  <c r="C79" i="5"/>
  <c r="H78" i="5"/>
  <c r="G78" i="5"/>
  <c r="F78" i="5"/>
  <c r="W78" i="5" a="1"/>
  <c r="W78" i="5" s="1"/>
  <c r="H78" i="12" s="1" a="1"/>
  <c r="H78" i="12" s="1"/>
  <c r="E78" i="5"/>
  <c r="AE78" i="5" a="1"/>
  <c r="AE78" i="5" s="1"/>
  <c r="B78" i="5"/>
  <c r="AD78" i="5"/>
  <c r="AF78" i="5" a="1"/>
  <c r="AF78" i="5" s="1"/>
  <c r="B78" i="6"/>
  <c r="L79" i="6"/>
  <c r="A71" i="6"/>
  <c r="K77" i="12"/>
  <c r="R13" i="7"/>
  <c r="Q10" i="7"/>
  <c r="B47" i="9" l="1"/>
  <c r="T77" i="5"/>
  <c r="G77" i="12" s="1" a="1"/>
  <c r="G77" i="12" s="1"/>
  <c r="E78" i="12"/>
  <c r="H78" i="6" a="1"/>
  <c r="H78" i="6" s="1"/>
  <c r="T78" i="5" s="1"/>
  <c r="G78" i="12" s="1" a="1"/>
  <c r="G78" i="12" s="1"/>
  <c r="J78" i="6" a="1"/>
  <c r="J78" i="6" s="1"/>
  <c r="AG78" i="5" a="1"/>
  <c r="AG78" i="5" s="1"/>
  <c r="F78" i="12" a="1"/>
  <c r="F78" i="12" s="1"/>
  <c r="A79" i="12"/>
  <c r="C80" i="5"/>
  <c r="AE79" i="5" a="1"/>
  <c r="AE79" i="5" s="1"/>
  <c r="W79" i="5" a="1"/>
  <c r="W79" i="5" s="1"/>
  <c r="H79" i="12" s="1" a="1"/>
  <c r="H79" i="12" s="1"/>
  <c r="H79" i="5"/>
  <c r="D79" i="5"/>
  <c r="B79" i="12" s="1"/>
  <c r="B79" i="5"/>
  <c r="AD79" i="5"/>
  <c r="N79" i="5"/>
  <c r="D79" i="6" s="1"/>
  <c r="K79" i="5"/>
  <c r="G79" i="5"/>
  <c r="F79" i="5"/>
  <c r="E79" i="5"/>
  <c r="J79" i="5"/>
  <c r="B79" i="6"/>
  <c r="L80" i="6"/>
  <c r="M71" i="6"/>
  <c r="S13" i="7"/>
  <c r="R10" i="7"/>
  <c r="CM71" i="6" l="1" a="1"/>
  <c r="CM71" i="6" s="1"/>
  <c r="BQ71" i="6"/>
  <c r="AT71" i="6"/>
  <c r="CH71" i="6" a="1"/>
  <c r="CH71" i="6" s="1"/>
  <c r="BO71" i="6"/>
  <c r="CK71" i="6" a="1"/>
  <c r="CK71" i="6" s="1"/>
  <c r="BN71" i="6"/>
  <c r="CG71" i="6" a="1"/>
  <c r="CG71" i="6" s="1"/>
  <c r="CF71" i="6" a="1"/>
  <c r="CF71" i="6" s="1"/>
  <c r="BM71" i="6"/>
  <c r="CJ71" i="6" a="1"/>
  <c r="CJ71" i="6" s="1"/>
  <c r="BT71" i="6"/>
  <c r="BR71" i="6"/>
  <c r="AV71" i="6"/>
  <c r="CL71" i="6" a="1"/>
  <c r="CL71" i="6" s="1"/>
  <c r="BS71" i="6"/>
  <c r="CI71" i="6" a="1"/>
  <c r="CI71" i="6" s="1"/>
  <c r="BP71" i="6"/>
  <c r="AW71" i="6"/>
  <c r="AX71" i="6"/>
  <c r="AY71" i="6"/>
  <c r="AZ71" i="6"/>
  <c r="BA71" i="6"/>
  <c r="AU71" i="6"/>
  <c r="B48" i="9"/>
  <c r="B49" i="9" s="1"/>
  <c r="F78" i="6"/>
  <c r="A80" i="12"/>
  <c r="K80" i="5"/>
  <c r="H80" i="5"/>
  <c r="G80" i="5"/>
  <c r="F80" i="5"/>
  <c r="W80" i="5" a="1"/>
  <c r="W80" i="5" s="1"/>
  <c r="H80" i="12" s="1" a="1"/>
  <c r="H80" i="12" s="1"/>
  <c r="E80" i="5"/>
  <c r="D80" i="5"/>
  <c r="B80" i="12" s="1"/>
  <c r="B80" i="5"/>
  <c r="N80" i="5"/>
  <c r="D80" i="6" s="1"/>
  <c r="C81" i="5"/>
  <c r="J80" i="5"/>
  <c r="AD80" i="5"/>
  <c r="AE80" i="5" a="1"/>
  <c r="AE80" i="5" s="1"/>
  <c r="L79" i="12" a="1"/>
  <c r="L79" i="12" s="1"/>
  <c r="J79" i="12" a="1"/>
  <c r="J79" i="12" s="1"/>
  <c r="B80" i="6"/>
  <c r="L81" i="6"/>
  <c r="H79" i="6" a="1"/>
  <c r="H79" i="6" s="1"/>
  <c r="T79" i="5" s="1"/>
  <c r="G79" i="12" s="1" a="1"/>
  <c r="G79" i="12" s="1"/>
  <c r="BJ71" i="6"/>
  <c r="BE71" i="6"/>
  <c r="AK71" i="6"/>
  <c r="BY71" i="6" a="1"/>
  <c r="BY71" i="6" s="1"/>
  <c r="CA71" i="6" a="1"/>
  <c r="CA71" i="6" s="1"/>
  <c r="BX71" i="6" a="1"/>
  <c r="BX71" i="6" s="1"/>
  <c r="BI71" i="6"/>
  <c r="CB71" i="6" a="1"/>
  <c r="CB71" i="6" s="1"/>
  <c r="BL71" i="6"/>
  <c r="BZ71" i="6" a="1"/>
  <c r="BZ71" i="6" s="1"/>
  <c r="BD71" i="6"/>
  <c r="AM71" i="6"/>
  <c r="AQ71" i="6"/>
  <c r="BH71" i="6"/>
  <c r="CC71" i="6" a="1"/>
  <c r="CC71" i="6" s="1"/>
  <c r="AS71" i="6"/>
  <c r="CD71" i="6" a="1"/>
  <c r="CD71" i="6" s="1"/>
  <c r="BW71" i="6" a="1"/>
  <c r="BW71" i="6" s="1"/>
  <c r="BG71" i="6"/>
  <c r="BC71" i="6"/>
  <c r="BV71" i="6" a="1"/>
  <c r="BV71" i="6" s="1"/>
  <c r="BF71" i="6"/>
  <c r="AP71" i="6"/>
  <c r="AR71" i="6"/>
  <c r="AJ71" i="6"/>
  <c r="CE71" i="6" a="1"/>
  <c r="CE71" i="6" s="1"/>
  <c r="BK71" i="6"/>
  <c r="AN71" i="6"/>
  <c r="AO71" i="6"/>
  <c r="AL71" i="6"/>
  <c r="G78" i="6"/>
  <c r="T13" i="7"/>
  <c r="S10" i="7"/>
  <c r="B50" i="9" l="1"/>
  <c r="K79" i="12"/>
  <c r="H80" i="6" a="1"/>
  <c r="H80" i="6" s="1"/>
  <c r="T80" i="5" s="1"/>
  <c r="G80" i="12" s="1" a="1"/>
  <c r="G80" i="12" s="1"/>
  <c r="B81" i="6"/>
  <c r="L82" i="6"/>
  <c r="A81" i="12"/>
  <c r="J81" i="5"/>
  <c r="F81" i="5"/>
  <c r="C82" i="5"/>
  <c r="AD81" i="5"/>
  <c r="B81" i="5"/>
  <c r="AE81" i="5" a="1"/>
  <c r="AE81" i="5" s="1"/>
  <c r="N81" i="5"/>
  <c r="K81" i="5"/>
  <c r="H81" i="5"/>
  <c r="W81" i="5" a="1"/>
  <c r="W81" i="5" s="1"/>
  <c r="H81" i="12" s="1" a="1"/>
  <c r="H81" i="12" s="1"/>
  <c r="D81" i="5"/>
  <c r="B81" i="12" s="1"/>
  <c r="G81" i="5"/>
  <c r="E81" i="5"/>
  <c r="J80" i="12" a="1"/>
  <c r="J80" i="12" s="1"/>
  <c r="L80" i="12" a="1"/>
  <c r="L80" i="12" s="1"/>
  <c r="U13" i="7"/>
  <c r="T10" i="7"/>
  <c r="B51" i="9" l="1"/>
  <c r="K80" i="12"/>
  <c r="L81" i="12" a="1"/>
  <c r="L81" i="12" s="1"/>
  <c r="J81" i="12" a="1"/>
  <c r="J81" i="12" s="1"/>
  <c r="I71" i="5"/>
  <c r="A82" i="12"/>
  <c r="E82" i="5"/>
  <c r="N82" i="5"/>
  <c r="D82" i="6" s="1"/>
  <c r="AE82" i="5" a="1"/>
  <c r="AE82" i="5" s="1"/>
  <c r="F82" i="5"/>
  <c r="W82" i="5" a="1"/>
  <c r="W82" i="5" s="1"/>
  <c r="H82" i="12" s="1" a="1"/>
  <c r="H82" i="12" s="1"/>
  <c r="D82" i="5"/>
  <c r="B82" i="12" s="1"/>
  <c r="B82" i="5"/>
  <c r="AD82" i="5"/>
  <c r="H82" i="5"/>
  <c r="G82" i="5"/>
  <c r="K82" i="5"/>
  <c r="J82" i="5"/>
  <c r="D81" i="6"/>
  <c r="B82" i="6"/>
  <c r="V13" i="7"/>
  <c r="U10" i="7"/>
  <c r="K10" i="7"/>
  <c r="B52" i="9" l="1"/>
  <c r="K81" i="12"/>
  <c r="H81" i="6" a="1"/>
  <c r="H81" i="6" s="1"/>
  <c r="J82" i="12" a="1"/>
  <c r="J82" i="12" s="1"/>
  <c r="L82" i="12" a="1"/>
  <c r="L82" i="12" s="1"/>
  <c r="L83" i="6"/>
  <c r="A76" i="6"/>
  <c r="C83" i="5"/>
  <c r="H82" i="6" a="1"/>
  <c r="H82" i="6" s="1"/>
  <c r="T82" i="5" s="1"/>
  <c r="G82" i="12" s="1" a="1"/>
  <c r="G82" i="12" s="1"/>
  <c r="W13" i="7"/>
  <c r="V10" i="7"/>
  <c r="T14" i="5"/>
  <c r="G14" i="12" s="1" a="1"/>
  <c r="G14" i="12" s="1"/>
  <c r="T81" i="5" l="1"/>
  <c r="G81" i="12" s="1" a="1"/>
  <c r="G81" i="12" s="1"/>
  <c r="K82" i="12"/>
  <c r="A83" i="12"/>
  <c r="AD83" i="5"/>
  <c r="G83" i="5"/>
  <c r="H83" i="5"/>
  <c r="AE83" i="5" a="1"/>
  <c r="AE83" i="5" s="1"/>
  <c r="N83" i="5"/>
  <c r="D83" i="6" s="1"/>
  <c r="K83" i="5"/>
  <c r="J83" i="5"/>
  <c r="E83" i="5"/>
  <c r="W83" i="5" a="1"/>
  <c r="W83" i="5" s="1"/>
  <c r="H83" i="12" s="1" a="1"/>
  <c r="H83" i="12" s="1"/>
  <c r="D83" i="5"/>
  <c r="B83" i="12" s="1"/>
  <c r="B83" i="5"/>
  <c r="C84" i="5" s="1"/>
  <c r="F83" i="5"/>
  <c r="M76" i="6"/>
  <c r="B83" i="6"/>
  <c r="L84" i="6"/>
  <c r="X13" i="7"/>
  <c r="W10" i="7"/>
  <c r="CM76" i="6" l="1" a="1"/>
  <c r="CM76" i="6" s="1"/>
  <c r="BQ76" i="6"/>
  <c r="BS76" i="6"/>
  <c r="CI76" i="6" a="1"/>
  <c r="CI76" i="6" s="1"/>
  <c r="BO76" i="6"/>
  <c r="CL76" i="6" a="1"/>
  <c r="CL76" i="6" s="1"/>
  <c r="BN76" i="6"/>
  <c r="BR76" i="6"/>
  <c r="CH76" i="6" a="1"/>
  <c r="CH76" i="6" s="1"/>
  <c r="BM76" i="6"/>
  <c r="CK76" i="6" a="1"/>
  <c r="CK76" i="6" s="1"/>
  <c r="BT76" i="6"/>
  <c r="CG76" i="6" a="1"/>
  <c r="CG76" i="6" s="1"/>
  <c r="BP76" i="6"/>
  <c r="CJ76" i="6" a="1"/>
  <c r="CJ76" i="6" s="1"/>
  <c r="CF76" i="6" a="1"/>
  <c r="CF76" i="6" s="1"/>
  <c r="AW76" i="6"/>
  <c r="BA76" i="6"/>
  <c r="AY76" i="6"/>
  <c r="AX76" i="6"/>
  <c r="AU76" i="6"/>
  <c r="AZ76" i="6"/>
  <c r="AT76" i="6"/>
  <c r="AV76" i="6"/>
  <c r="B53" i="9"/>
  <c r="L85" i="6"/>
  <c r="B84" i="6"/>
  <c r="CD76" i="6" a="1"/>
  <c r="CD76" i="6" s="1"/>
  <c r="BW76" i="6" a="1"/>
  <c r="BW76" i="6" s="1"/>
  <c r="BI76" i="6"/>
  <c r="BE76" i="6"/>
  <c r="BG76" i="6"/>
  <c r="BD76" i="6"/>
  <c r="CC76" i="6" a="1"/>
  <c r="CC76" i="6" s="1"/>
  <c r="BJ76" i="6"/>
  <c r="CE76" i="6" a="1"/>
  <c r="CE76" i="6" s="1"/>
  <c r="BX76" i="6" a="1"/>
  <c r="BX76" i="6" s="1"/>
  <c r="BC76" i="6"/>
  <c r="BL76" i="6"/>
  <c r="CA76" i="6" a="1"/>
  <c r="CA76" i="6" s="1"/>
  <c r="BY76" i="6" a="1"/>
  <c r="BY76" i="6" s="1"/>
  <c r="BZ76" i="6" a="1"/>
  <c r="BZ76" i="6" s="1"/>
  <c r="BF76" i="6"/>
  <c r="BH76" i="6"/>
  <c r="CB76" i="6" a="1"/>
  <c r="CB76" i="6" s="1"/>
  <c r="BK76" i="6"/>
  <c r="BV76" i="6" a="1"/>
  <c r="BV76" i="6" s="1"/>
  <c r="AR76" i="6"/>
  <c r="AS76" i="6"/>
  <c r="AK76" i="6"/>
  <c r="AQ76" i="6"/>
  <c r="AJ76" i="6"/>
  <c r="AP76" i="6"/>
  <c r="AN76" i="6"/>
  <c r="AL76" i="6"/>
  <c r="AO76" i="6"/>
  <c r="AM76" i="6"/>
  <c r="A84" i="12"/>
  <c r="B84" i="5"/>
  <c r="G84" i="5"/>
  <c r="F84" i="5"/>
  <c r="W84" i="5" a="1"/>
  <c r="W84" i="5" s="1"/>
  <c r="H84" i="12" s="1" a="1"/>
  <c r="H84" i="12" s="1"/>
  <c r="E84" i="5"/>
  <c r="AE84" i="5" a="1"/>
  <c r="AE84" i="5" s="1"/>
  <c r="AD84" i="5"/>
  <c r="H84" i="5"/>
  <c r="C85" i="5"/>
  <c r="N84" i="5"/>
  <c r="AF84" i="5" a="1"/>
  <c r="AF84" i="5" s="1"/>
  <c r="L83" i="12" a="1"/>
  <c r="L83" i="12" s="1"/>
  <c r="J83" i="12" a="1"/>
  <c r="J83" i="12" s="1"/>
  <c r="H83" i="6" a="1"/>
  <c r="H83" i="6" s="1"/>
  <c r="T83" i="5" s="1"/>
  <c r="G83" i="12" s="1" a="1"/>
  <c r="G83" i="12" s="1"/>
  <c r="Y13" i="7"/>
  <c r="X10" i="7"/>
  <c r="A8" i="9"/>
  <c r="B7" i="9" a="1"/>
  <c r="B7" i="9" s="1"/>
  <c r="B54" i="9" l="1"/>
  <c r="F84" i="12" a="1"/>
  <c r="F84" i="12" s="1"/>
  <c r="E84" i="12"/>
  <c r="K83" i="12"/>
  <c r="AG84" i="5" a="1"/>
  <c r="AG84" i="5" s="1"/>
  <c r="J84" i="6" a="1"/>
  <c r="J84" i="6" s="1"/>
  <c r="D84" i="6"/>
  <c r="B85" i="6"/>
  <c r="A78" i="6"/>
  <c r="A85" i="12"/>
  <c r="E85" i="5"/>
  <c r="N85" i="5"/>
  <c r="K85" i="5"/>
  <c r="J85" i="5"/>
  <c r="H85" i="5"/>
  <c r="G85" i="5"/>
  <c r="F85" i="5"/>
  <c r="B85" i="5"/>
  <c r="AE85" i="5" a="1"/>
  <c r="AE85" i="5" s="1"/>
  <c r="AD85" i="5"/>
  <c r="W85" i="5" a="1"/>
  <c r="W85" i="5" s="1"/>
  <c r="H85" i="12" s="1" a="1"/>
  <c r="H85" i="12" s="1"/>
  <c r="D85" i="5"/>
  <c r="B85" i="12" s="1"/>
  <c r="Y10" i="7"/>
  <c r="D15" i="7"/>
  <c r="C16" i="7" s="1" a="1"/>
  <c r="C16" i="7" s="1"/>
  <c r="B15" i="10"/>
  <c r="B16" i="10" s="1"/>
  <c r="B55" i="9" l="1"/>
  <c r="F84" i="6"/>
  <c r="H84" i="6" a="1"/>
  <c r="H84" i="6" s="1"/>
  <c r="T84" i="5" s="1"/>
  <c r="G84" i="6"/>
  <c r="I76" i="5"/>
  <c r="M78" i="6"/>
  <c r="C86" i="5"/>
  <c r="J85" i="12" a="1"/>
  <c r="J85" i="12" s="1"/>
  <c r="L85" i="12" a="1"/>
  <c r="L85" i="12" s="1"/>
  <c r="D85" i="6"/>
  <c r="B17" i="10"/>
  <c r="B16" i="7"/>
  <c r="C17" i="7" a="1"/>
  <c r="C17" i="7" s="1"/>
  <c r="L86" i="6"/>
  <c r="A15" i="10"/>
  <c r="B15" i="7"/>
  <c r="C15" i="9"/>
  <c r="F15" i="9" s="1"/>
  <c r="C15" i="10"/>
  <c r="A15" i="7"/>
  <c r="CG78" i="6" l="1" a="1"/>
  <c r="CG78" i="6" s="1"/>
  <c r="BS78" i="6"/>
  <c r="CJ78" i="6" a="1"/>
  <c r="CJ78" i="6" s="1"/>
  <c r="BR78" i="6"/>
  <c r="CF78" i="6" a="1"/>
  <c r="CF78" i="6" s="1"/>
  <c r="BP78" i="6"/>
  <c r="CM78" i="6" a="1"/>
  <c r="CM78" i="6" s="1"/>
  <c r="BQ78" i="6"/>
  <c r="AV78" i="6"/>
  <c r="CL78" i="6" a="1"/>
  <c r="CL78" i="6" s="1"/>
  <c r="BA78" i="6"/>
  <c r="CI78" i="6" a="1"/>
  <c r="CI78" i="6" s="1"/>
  <c r="BO78" i="6"/>
  <c r="BN78" i="6"/>
  <c r="CH78" i="6" a="1"/>
  <c r="CH78" i="6" s="1"/>
  <c r="BM78" i="6"/>
  <c r="AZ78" i="6"/>
  <c r="CK78" i="6" a="1"/>
  <c r="CK78" i="6" s="1"/>
  <c r="BT78" i="6"/>
  <c r="AX78" i="6"/>
  <c r="AU78" i="6"/>
  <c r="AY78" i="6"/>
  <c r="AT78" i="6"/>
  <c r="AW78" i="6"/>
  <c r="B56" i="9"/>
  <c r="K85" i="12"/>
  <c r="B86" i="6"/>
  <c r="L87" i="6"/>
  <c r="H85" i="6" a="1"/>
  <c r="H85" i="6" s="1"/>
  <c r="BH78" i="6"/>
  <c r="BX78" i="6" a="1"/>
  <c r="BX78" i="6" s="1"/>
  <c r="BL78" i="6"/>
  <c r="BZ78" i="6" a="1"/>
  <c r="BZ78" i="6" s="1"/>
  <c r="BD78" i="6"/>
  <c r="BG78" i="6"/>
  <c r="CB78" i="6" a="1"/>
  <c r="CB78" i="6" s="1"/>
  <c r="BK78" i="6"/>
  <c r="CC78" i="6" a="1"/>
  <c r="CC78" i="6" s="1"/>
  <c r="BF78" i="6"/>
  <c r="BJ78" i="6"/>
  <c r="BY78" i="6" a="1"/>
  <c r="BY78" i="6" s="1"/>
  <c r="CE78" i="6" a="1"/>
  <c r="CE78" i="6" s="1"/>
  <c r="AM78" i="6"/>
  <c r="BC78" i="6"/>
  <c r="BE78" i="6"/>
  <c r="AS78" i="6"/>
  <c r="AL78" i="6"/>
  <c r="CA78" i="6" a="1"/>
  <c r="CA78" i="6" s="1"/>
  <c r="CD78" i="6" a="1"/>
  <c r="CD78" i="6" s="1"/>
  <c r="AQ78" i="6"/>
  <c r="BI78" i="6"/>
  <c r="BV78" i="6" a="1"/>
  <c r="BV78" i="6" s="1"/>
  <c r="BW78" i="6" a="1"/>
  <c r="BW78" i="6" s="1"/>
  <c r="AP78" i="6"/>
  <c r="AN78" i="6"/>
  <c r="AO78" i="6"/>
  <c r="AJ78" i="6"/>
  <c r="AK78" i="6"/>
  <c r="AR78" i="6"/>
  <c r="G84" i="12" a="1"/>
  <c r="G84" i="12" s="1"/>
  <c r="A86" i="12"/>
  <c r="AD86" i="5"/>
  <c r="G86" i="5"/>
  <c r="B86" i="5"/>
  <c r="C87" i="5"/>
  <c r="H86" i="5"/>
  <c r="F86" i="5"/>
  <c r="E86" i="5"/>
  <c r="W86" i="5" a="1"/>
  <c r="W86" i="5" s="1"/>
  <c r="H86" i="12" s="1" a="1"/>
  <c r="H86" i="12" s="1"/>
  <c r="AE86" i="5" a="1"/>
  <c r="AE86" i="5" s="1"/>
  <c r="N86" i="5"/>
  <c r="AF86" i="5" a="1"/>
  <c r="AF86" i="5" s="1"/>
  <c r="B17" i="7"/>
  <c r="C18" i="7" a="1"/>
  <c r="C18" i="7" s="1"/>
  <c r="B18" i="10"/>
  <c r="D21" i="2"/>
  <c r="B57" i="9" l="1"/>
  <c r="T85" i="5"/>
  <c r="G85" i="12" s="1" a="1"/>
  <c r="G85" i="12" s="1"/>
  <c r="F86" i="12" a="1"/>
  <c r="F86" i="12" s="1"/>
  <c r="E86" i="12"/>
  <c r="A87" i="12"/>
  <c r="F87" i="5"/>
  <c r="B87" i="5"/>
  <c r="D87" i="5"/>
  <c r="B87" i="12" s="1"/>
  <c r="J87" i="5"/>
  <c r="W87" i="5" a="1"/>
  <c r="W87" i="5" s="1"/>
  <c r="H87" i="12" s="1" a="1"/>
  <c r="H87" i="12" s="1"/>
  <c r="AE87" i="5" a="1"/>
  <c r="AE87" i="5" s="1"/>
  <c r="AD87" i="5"/>
  <c r="N87" i="5"/>
  <c r="H87" i="5"/>
  <c r="G87" i="5"/>
  <c r="E87" i="5"/>
  <c r="C88" i="5"/>
  <c r="K87" i="5"/>
  <c r="D86" i="6"/>
  <c r="C19" i="7" a="1"/>
  <c r="C19" i="7" s="1"/>
  <c r="B18" i="7"/>
  <c r="L88" i="6"/>
  <c r="B87" i="6"/>
  <c r="B19" i="10"/>
  <c r="AG86" i="5" a="1"/>
  <c r="AG86" i="5" s="1"/>
  <c r="J86" i="6" a="1"/>
  <c r="J86" i="6" s="1"/>
  <c r="N14" i="6"/>
  <c r="F86" i="6" l="1"/>
  <c r="L87" i="12" a="1"/>
  <c r="L87" i="12" s="1"/>
  <c r="J87" i="12" a="1"/>
  <c r="J87" i="12" s="1"/>
  <c r="B20" i="10"/>
  <c r="I78" i="5"/>
  <c r="D87" i="6"/>
  <c r="B88" i="6"/>
  <c r="L89" i="6"/>
  <c r="C20" i="7" a="1"/>
  <c r="C20" i="7" s="1"/>
  <c r="B19" i="7"/>
  <c r="A88" i="12"/>
  <c r="N88" i="5"/>
  <c r="D88" i="6" s="1"/>
  <c r="E88" i="5"/>
  <c r="K88" i="5"/>
  <c r="AE88" i="5" a="1"/>
  <c r="AE88" i="5" s="1"/>
  <c r="AD88" i="5"/>
  <c r="J88" i="5"/>
  <c r="H88" i="5"/>
  <c r="G88" i="5"/>
  <c r="C89" i="5"/>
  <c r="F88" i="5"/>
  <c r="D88" i="5"/>
  <c r="B88" i="12" s="1"/>
  <c r="W88" i="5" a="1"/>
  <c r="W88" i="5" s="1"/>
  <c r="H88" i="12" s="1" a="1"/>
  <c r="H88" i="12" s="1"/>
  <c r="B88" i="5"/>
  <c r="H86" i="6" a="1"/>
  <c r="H86" i="6" s="1"/>
  <c r="T86" i="5" s="1"/>
  <c r="G86" i="6"/>
  <c r="U1" i="7" a="1"/>
  <c r="U1" i="7" s="1"/>
  <c r="W1" i="7" a="1"/>
  <c r="W1" i="7" s="1"/>
  <c r="Y1" i="7" a="1"/>
  <c r="Y1" i="7" s="1"/>
  <c r="V1" i="7" a="1"/>
  <c r="V1" i="7" s="1"/>
  <c r="X1" i="7" a="1"/>
  <c r="X1" i="7" s="1"/>
  <c r="G86" i="12" l="1" a="1"/>
  <c r="G86" i="12" s="1"/>
  <c r="K87" i="12"/>
  <c r="H88" i="6" a="1"/>
  <c r="H88" i="6" s="1"/>
  <c r="T88" i="5" s="1"/>
  <c r="G88" i="12" s="1" a="1"/>
  <c r="G88" i="12" s="1"/>
  <c r="A89" i="12"/>
  <c r="C90" i="5"/>
  <c r="AE89" i="5" a="1"/>
  <c r="AE89" i="5" s="1"/>
  <c r="W89" i="5" a="1"/>
  <c r="W89" i="5" s="1"/>
  <c r="H89" i="12" s="1" a="1"/>
  <c r="H89" i="12" s="1"/>
  <c r="H89" i="5"/>
  <c r="D89" i="5"/>
  <c r="B89" i="12" s="1"/>
  <c r="G89" i="5"/>
  <c r="N89" i="5"/>
  <c r="D89" i="6" s="1"/>
  <c r="AD89" i="5"/>
  <c r="K89" i="5"/>
  <c r="J89" i="5"/>
  <c r="F89" i="5"/>
  <c r="E89" i="5"/>
  <c r="B89" i="5"/>
  <c r="B89" i="6"/>
  <c r="L90" i="6"/>
  <c r="H87" i="6" a="1"/>
  <c r="H87" i="6" s="1"/>
  <c r="J88" i="12" a="1"/>
  <c r="J88" i="12" s="1"/>
  <c r="L88" i="12" a="1"/>
  <c r="L88" i="12" s="1"/>
  <c r="B21" i="10"/>
  <c r="C21" i="7" a="1"/>
  <c r="C21" i="7" s="1"/>
  <c r="B20" i="7"/>
  <c r="T87" i="5" l="1"/>
  <c r="G87" i="12" s="1" a="1"/>
  <c r="G87" i="12" s="1"/>
  <c r="B21" i="7"/>
  <c r="C22" i="7" a="1"/>
  <c r="C22" i="7" s="1"/>
  <c r="A90" i="12"/>
  <c r="K90" i="5"/>
  <c r="AD90" i="5"/>
  <c r="B90" i="5"/>
  <c r="C91" i="5"/>
  <c r="G90" i="5"/>
  <c r="F90" i="5"/>
  <c r="E90" i="5"/>
  <c r="D90" i="5"/>
  <c r="B90" i="12" s="1"/>
  <c r="W90" i="5" a="1"/>
  <c r="W90" i="5" s="1"/>
  <c r="H90" i="12" s="1" a="1"/>
  <c r="H90" i="12" s="1"/>
  <c r="AE90" i="5" a="1"/>
  <c r="AE90" i="5" s="1"/>
  <c r="J90" i="5"/>
  <c r="H90" i="5"/>
  <c r="N90" i="5"/>
  <c r="D90" i="6" s="1"/>
  <c r="L89" i="12" a="1"/>
  <c r="L89" i="12" s="1"/>
  <c r="J89" i="12" a="1"/>
  <c r="J89" i="12" s="1"/>
  <c r="H89" i="6" a="1"/>
  <c r="H89" i="6" s="1"/>
  <c r="T89" i="5" s="1"/>
  <c r="G89" i="12" s="1" a="1"/>
  <c r="G89" i="12" s="1"/>
  <c r="B22" i="10"/>
  <c r="B90" i="6"/>
  <c r="L91" i="6"/>
  <c r="K88" i="12"/>
  <c r="F15" i="7" a="1"/>
  <c r="F15" i="7" s="1"/>
  <c r="H90" i="6" l="1" a="1"/>
  <c r="H90" i="6" s="1"/>
  <c r="T90" i="5" s="1"/>
  <c r="G90" i="12" s="1" a="1"/>
  <c r="G90" i="12" s="1"/>
  <c r="A84" i="6"/>
  <c r="A91" i="12"/>
  <c r="J91" i="5"/>
  <c r="F91" i="5"/>
  <c r="D91" i="5"/>
  <c r="B91" i="12" s="1"/>
  <c r="AE91" i="5" a="1"/>
  <c r="AE91" i="5" s="1"/>
  <c r="E91" i="5"/>
  <c r="B91" i="5"/>
  <c r="W91" i="5" a="1"/>
  <c r="W91" i="5" s="1"/>
  <c r="H91" i="12" s="1" a="1"/>
  <c r="H91" i="12" s="1"/>
  <c r="C92" i="5"/>
  <c r="H91" i="5"/>
  <c r="G91" i="5"/>
  <c r="K91" i="5"/>
  <c r="AD91" i="5"/>
  <c r="N91" i="5"/>
  <c r="L92" i="6"/>
  <c r="B91" i="6"/>
  <c r="B23" i="10"/>
  <c r="K89" i="12"/>
  <c r="B22" i="7"/>
  <c r="C23" i="7" a="1"/>
  <c r="C23" i="7" s="1"/>
  <c r="L90" i="12" a="1"/>
  <c r="L90" i="12" s="1"/>
  <c r="J90" i="12" a="1"/>
  <c r="J90" i="12" s="1"/>
  <c r="I15" i="7"/>
  <c r="J15" i="7"/>
  <c r="Q15" i="7"/>
  <c r="L15" i="7"/>
  <c r="K15" i="7"/>
  <c r="K90" i="12" l="1"/>
  <c r="B92" i="6"/>
  <c r="L93" i="6"/>
  <c r="B23" i="7"/>
  <c r="C24" i="7" a="1"/>
  <c r="C24" i="7" s="1"/>
  <c r="M84" i="6"/>
  <c r="B24" i="10"/>
  <c r="A92" i="12"/>
  <c r="E92" i="5"/>
  <c r="N92" i="5"/>
  <c r="W92" i="5" a="1"/>
  <c r="W92" i="5" s="1"/>
  <c r="H92" i="12" s="1" a="1"/>
  <c r="H92" i="12" s="1"/>
  <c r="F92" i="5"/>
  <c r="D92" i="5"/>
  <c r="B92" i="12" s="1"/>
  <c r="AE92" i="5" a="1"/>
  <c r="AE92" i="5" s="1"/>
  <c r="AD92" i="5"/>
  <c r="K92" i="5"/>
  <c r="J92" i="5"/>
  <c r="G92" i="5"/>
  <c r="B92" i="5"/>
  <c r="C93" i="5" s="1"/>
  <c r="H92" i="5"/>
  <c r="D91" i="6"/>
  <c r="J91" i="12" a="1"/>
  <c r="J91" i="12" s="1"/>
  <c r="L91" i="12" a="1"/>
  <c r="L91" i="12" s="1"/>
  <c r="P15" i="7"/>
  <c r="S15" i="7"/>
  <c r="N15" i="7"/>
  <c r="X15" i="7"/>
  <c r="R15" i="7"/>
  <c r="O15" i="7"/>
  <c r="T15" i="7"/>
  <c r="Y15" i="7"/>
  <c r="U15" i="7"/>
  <c r="M15" i="7"/>
  <c r="V15" i="7"/>
  <c r="W15" i="7"/>
  <c r="CM84" i="6" l="1" a="1"/>
  <c r="CM84" i="6" s="1"/>
  <c r="BQ84" i="6"/>
  <c r="CG84" i="6" a="1"/>
  <c r="CG84" i="6" s="1"/>
  <c r="BP84" i="6"/>
  <c r="CI84" i="6" a="1"/>
  <c r="CI84" i="6" s="1"/>
  <c r="BO84" i="6"/>
  <c r="BT84" i="6"/>
  <c r="AX84" i="6"/>
  <c r="BR84" i="6"/>
  <c r="CL84" i="6" a="1"/>
  <c r="CL84" i="6" s="1"/>
  <c r="BN84" i="6"/>
  <c r="CH84" i="6" a="1"/>
  <c r="CH84" i="6" s="1"/>
  <c r="BM84" i="6"/>
  <c r="BS84" i="6"/>
  <c r="CK84" i="6" a="1"/>
  <c r="CK84" i="6" s="1"/>
  <c r="AY84" i="6"/>
  <c r="CJ84" i="6" a="1"/>
  <c r="CJ84" i="6" s="1"/>
  <c r="AV84" i="6"/>
  <c r="AW84" i="6"/>
  <c r="CF84" i="6" a="1"/>
  <c r="CF84" i="6" s="1"/>
  <c r="AU84" i="6"/>
  <c r="AZ84" i="6"/>
  <c r="BA84" i="6"/>
  <c r="AT84" i="6"/>
  <c r="K91" i="12"/>
  <c r="A93" i="12"/>
  <c r="C94" i="5"/>
  <c r="AE93" i="5" a="1"/>
  <c r="AE93" i="5" s="1"/>
  <c r="W93" i="5" a="1"/>
  <c r="W93" i="5" s="1"/>
  <c r="H93" i="12" s="1" a="1"/>
  <c r="H93" i="12" s="1"/>
  <c r="H93" i="5"/>
  <c r="G93" i="5"/>
  <c r="F93" i="5"/>
  <c r="AD93" i="5"/>
  <c r="N93" i="5"/>
  <c r="D93" i="6" s="1"/>
  <c r="E93" i="5"/>
  <c r="B93" i="5"/>
  <c r="AF93" i="5" a="1"/>
  <c r="AF93" i="5" s="1"/>
  <c r="D92" i="6"/>
  <c r="BL84" i="6"/>
  <c r="BG84" i="6"/>
  <c r="AN84" i="6"/>
  <c r="CA84" i="6" a="1"/>
  <c r="CA84" i="6" s="1"/>
  <c r="BE84" i="6"/>
  <c r="BV84" i="6" a="1"/>
  <c r="BV84" i="6" s="1"/>
  <c r="BF84" i="6"/>
  <c r="BJ84" i="6"/>
  <c r="AO84" i="6"/>
  <c r="BK84" i="6"/>
  <c r="BW84" i="6" a="1"/>
  <c r="BW84" i="6" s="1"/>
  <c r="AK84" i="6"/>
  <c r="AP84" i="6"/>
  <c r="BZ84" i="6" a="1"/>
  <c r="BZ84" i="6" s="1"/>
  <c r="CD84" i="6" a="1"/>
  <c r="CD84" i="6" s="1"/>
  <c r="CC84" i="6" a="1"/>
  <c r="CC84" i="6" s="1"/>
  <c r="CE84" i="6" a="1"/>
  <c r="CE84" i="6" s="1"/>
  <c r="BX84" i="6" a="1"/>
  <c r="BX84" i="6" s="1"/>
  <c r="BI84" i="6"/>
  <c r="AM84" i="6"/>
  <c r="AJ84" i="6"/>
  <c r="CB84" i="6" a="1"/>
  <c r="CB84" i="6" s="1"/>
  <c r="BC84" i="6"/>
  <c r="BY84" i="6" a="1"/>
  <c r="BY84" i="6" s="1"/>
  <c r="BH84" i="6"/>
  <c r="BD84" i="6"/>
  <c r="AS84" i="6"/>
  <c r="AR84" i="6"/>
  <c r="AL84" i="6"/>
  <c r="AQ84" i="6"/>
  <c r="C25" i="7" a="1"/>
  <c r="C25" i="7" s="1"/>
  <c r="B24" i="7"/>
  <c r="J92" i="12" a="1"/>
  <c r="J92" i="12" s="1"/>
  <c r="L92" i="12" a="1"/>
  <c r="L92" i="12" s="1"/>
  <c r="B93" i="6"/>
  <c r="L94" i="6"/>
  <c r="B25" i="10"/>
  <c r="H91" i="6" a="1"/>
  <c r="H91" i="6" s="1"/>
  <c r="H15" i="7"/>
  <c r="E15" i="7"/>
  <c r="T91" i="5" l="1"/>
  <c r="G91" i="12" s="1" a="1"/>
  <c r="G91" i="12" s="1"/>
  <c r="E93" i="12"/>
  <c r="K92" i="12"/>
  <c r="H93" i="6" a="1"/>
  <c r="H93" i="6" s="1"/>
  <c r="T93" i="5" s="1"/>
  <c r="G93" i="12" s="1" a="1"/>
  <c r="G93" i="12" s="1"/>
  <c r="A86" i="6"/>
  <c r="H92" i="6" a="1"/>
  <c r="H92" i="6" s="1"/>
  <c r="B94" i="6"/>
  <c r="L95" i="6"/>
  <c r="B25" i="7"/>
  <c r="C26" i="7" a="1"/>
  <c r="C26" i="7" s="1"/>
  <c r="B26" i="10"/>
  <c r="AG93" i="5" a="1"/>
  <c r="AG93" i="5" s="1"/>
  <c r="F93" i="12" a="1"/>
  <c r="F93" i="12" s="1"/>
  <c r="A94" i="12"/>
  <c r="AD94" i="5"/>
  <c r="G94" i="5"/>
  <c r="AE94" i="5" a="1"/>
  <c r="AE94" i="5" s="1"/>
  <c r="B94" i="5"/>
  <c r="J94" i="5"/>
  <c r="N94" i="5"/>
  <c r="D94" i="6" s="1"/>
  <c r="K94" i="5"/>
  <c r="H94" i="5"/>
  <c r="F94" i="5"/>
  <c r="C95" i="5"/>
  <c r="E94" i="5"/>
  <c r="D94" i="5"/>
  <c r="B94" i="12" s="1"/>
  <c r="W94" i="5" a="1"/>
  <c r="W94" i="5" s="1"/>
  <c r="H94" i="12" s="1" a="1"/>
  <c r="H94" i="12" s="1"/>
  <c r="J93" i="6" a="1"/>
  <c r="J93" i="6" s="1"/>
  <c r="T92" i="5" l="1"/>
  <c r="G92" i="12" s="1" a="1"/>
  <c r="G92" i="12" s="1"/>
  <c r="I84" i="5"/>
  <c r="F93" i="6"/>
  <c r="H94" i="6" a="1"/>
  <c r="H94" i="6" s="1"/>
  <c r="T94" i="5" s="1"/>
  <c r="G94" i="12" s="1" a="1"/>
  <c r="G94" i="12" s="1"/>
  <c r="G93" i="6"/>
  <c r="A95" i="12"/>
  <c r="B95" i="5"/>
  <c r="C96" i="5" s="1"/>
  <c r="J95" i="5"/>
  <c r="E95" i="5"/>
  <c r="K95" i="5"/>
  <c r="H95" i="5"/>
  <c r="G95" i="5"/>
  <c r="F95" i="5"/>
  <c r="D95" i="5"/>
  <c r="B95" i="12" s="1"/>
  <c r="W95" i="5" a="1"/>
  <c r="W95" i="5" s="1"/>
  <c r="H95" i="12" s="1" a="1"/>
  <c r="H95" i="12" s="1"/>
  <c r="AE95" i="5" a="1"/>
  <c r="AE95" i="5" s="1"/>
  <c r="AD95" i="5"/>
  <c r="N95" i="5"/>
  <c r="D95" i="6" s="1"/>
  <c r="B26" i="7"/>
  <c r="C27" i="7" a="1"/>
  <c r="C27" i="7" s="1"/>
  <c r="L96" i="6"/>
  <c r="B95" i="6"/>
  <c r="L94" i="12" a="1"/>
  <c r="L94" i="12" s="1"/>
  <c r="J94" i="12" a="1"/>
  <c r="J94" i="12" s="1"/>
  <c r="M86" i="6"/>
  <c r="B27" i="10"/>
  <c r="CM86" i="6" l="1" a="1"/>
  <c r="CM86" i="6" s="1"/>
  <c r="BQ86" i="6"/>
  <c r="CI86" i="6" a="1"/>
  <c r="CI86" i="6" s="1"/>
  <c r="BO86" i="6"/>
  <c r="CL86" i="6" a="1"/>
  <c r="CL86" i="6" s="1"/>
  <c r="BN86" i="6"/>
  <c r="CH86" i="6" a="1"/>
  <c r="CH86" i="6" s="1"/>
  <c r="BM86" i="6"/>
  <c r="CF86" i="6" a="1"/>
  <c r="CF86" i="6" s="1"/>
  <c r="BP86" i="6"/>
  <c r="AW86" i="6"/>
  <c r="CK86" i="6" a="1"/>
  <c r="CK86" i="6" s="1"/>
  <c r="BT86" i="6"/>
  <c r="CG86" i="6" a="1"/>
  <c r="CG86" i="6" s="1"/>
  <c r="BS86" i="6"/>
  <c r="CJ86" i="6" a="1"/>
  <c r="CJ86" i="6" s="1"/>
  <c r="BR86" i="6"/>
  <c r="AX86" i="6"/>
  <c r="AY86" i="6"/>
  <c r="AZ86" i="6"/>
  <c r="BA86" i="6"/>
  <c r="AT86" i="6"/>
  <c r="AU86" i="6"/>
  <c r="AV86" i="6"/>
  <c r="K94" i="12"/>
  <c r="H95" i="6" a="1"/>
  <c r="H95" i="6" s="1"/>
  <c r="T95" i="5" s="1"/>
  <c r="G95" i="12" s="1" a="1"/>
  <c r="G95" i="12" s="1"/>
  <c r="A96" i="12"/>
  <c r="E96" i="5"/>
  <c r="G96" i="5"/>
  <c r="N96" i="5"/>
  <c r="D96" i="6" s="1"/>
  <c r="H96" i="5"/>
  <c r="C97" i="5"/>
  <c r="F96" i="5"/>
  <c r="W96" i="5" a="1"/>
  <c r="W96" i="5" s="1"/>
  <c r="H96" i="12" s="1" a="1"/>
  <c r="H96" i="12" s="1"/>
  <c r="B96" i="5"/>
  <c r="AE96" i="5" a="1"/>
  <c r="AE96" i="5" s="1"/>
  <c r="AD96" i="5"/>
  <c r="AF96" i="5" a="1"/>
  <c r="AF96" i="5" s="1"/>
  <c r="J95" i="12" a="1"/>
  <c r="J95" i="12" s="1"/>
  <c r="L95" i="12" a="1"/>
  <c r="L95" i="12" s="1"/>
  <c r="BH86" i="6"/>
  <c r="CD86" i="6" a="1"/>
  <c r="CD86" i="6" s="1"/>
  <c r="CE86" i="6" a="1"/>
  <c r="CE86" i="6" s="1"/>
  <c r="BJ86" i="6"/>
  <c r="BZ86" i="6" a="1"/>
  <c r="BZ86" i="6" s="1"/>
  <c r="BI86" i="6"/>
  <c r="BY86" i="6" a="1"/>
  <c r="BY86" i="6" s="1"/>
  <c r="BX86" i="6" a="1"/>
  <c r="BX86" i="6" s="1"/>
  <c r="BF86" i="6"/>
  <c r="CB86" i="6" a="1"/>
  <c r="CB86" i="6" s="1"/>
  <c r="BV86" i="6" a="1"/>
  <c r="BV86" i="6" s="1"/>
  <c r="BL86" i="6"/>
  <c r="BD86" i="6"/>
  <c r="BC86" i="6"/>
  <c r="BW86" i="6" a="1"/>
  <c r="BW86" i="6" s="1"/>
  <c r="BE86" i="6"/>
  <c r="CA86" i="6" a="1"/>
  <c r="CA86" i="6" s="1"/>
  <c r="BK86" i="6"/>
  <c r="BG86" i="6"/>
  <c r="CC86" i="6" a="1"/>
  <c r="CC86" i="6" s="1"/>
  <c r="AP86" i="6"/>
  <c r="AL86" i="6"/>
  <c r="AJ86" i="6"/>
  <c r="AO86" i="6"/>
  <c r="AQ86" i="6"/>
  <c r="AR86" i="6"/>
  <c r="AS86" i="6"/>
  <c r="AN86" i="6"/>
  <c r="AM86" i="6"/>
  <c r="AK86" i="6"/>
  <c r="B28" i="10"/>
  <c r="B96" i="6"/>
  <c r="L97" i="6"/>
  <c r="B27" i="7"/>
  <c r="C28" i="7" a="1"/>
  <c r="C28" i="7" s="1"/>
  <c r="F96" i="12" l="1" a="1"/>
  <c r="F96" i="12" s="1"/>
  <c r="E96" i="12"/>
  <c r="K95" i="12"/>
  <c r="B29" i="10"/>
  <c r="AG96" i="5" a="1"/>
  <c r="AG96" i="5" s="1"/>
  <c r="A97" i="12"/>
  <c r="D97" i="5"/>
  <c r="B97" i="12" s="1"/>
  <c r="AD97" i="5"/>
  <c r="B97" i="5"/>
  <c r="C98" i="5"/>
  <c r="E97" i="5"/>
  <c r="W97" i="5" a="1"/>
  <c r="W97" i="5" s="1"/>
  <c r="H97" i="12" s="1" a="1"/>
  <c r="H97" i="12" s="1"/>
  <c r="N97" i="5"/>
  <c r="D97" i="6" s="1"/>
  <c r="H97" i="5"/>
  <c r="G97" i="5"/>
  <c r="F97" i="5"/>
  <c r="AE97" i="5" a="1"/>
  <c r="AE97" i="5" s="1"/>
  <c r="K97" i="5"/>
  <c r="J97" i="5"/>
  <c r="B97" i="6"/>
  <c r="L98" i="6"/>
  <c r="H96" i="6" a="1"/>
  <c r="H96" i="6" s="1"/>
  <c r="T96" i="5" s="1"/>
  <c r="G96" i="12" s="1" a="1"/>
  <c r="G96" i="12" s="1"/>
  <c r="C29" i="7" a="1"/>
  <c r="C29" i="7" s="1"/>
  <c r="B28" i="7"/>
  <c r="J96" i="6" a="1"/>
  <c r="J96" i="6" s="1"/>
  <c r="F96" i="6" l="1"/>
  <c r="I86" i="5"/>
  <c r="G96" i="6"/>
  <c r="B98" i="6"/>
  <c r="L99" i="6"/>
  <c r="B30" i="10"/>
  <c r="H97" i="6" a="1"/>
  <c r="H97" i="6" s="1"/>
  <c r="T97" i="5" s="1"/>
  <c r="G97" i="12" s="1" a="1"/>
  <c r="G97" i="12" s="1"/>
  <c r="C30" i="7" a="1"/>
  <c r="C30" i="7" s="1"/>
  <c r="B29" i="7"/>
  <c r="L97" i="12" a="1"/>
  <c r="L97" i="12" s="1"/>
  <c r="J97" i="12" a="1"/>
  <c r="J97" i="12" s="1"/>
  <c r="A98" i="12"/>
  <c r="K98" i="5"/>
  <c r="AD98" i="5"/>
  <c r="G98" i="5"/>
  <c r="D98" i="5"/>
  <c r="B98" i="12" s="1"/>
  <c r="AE98" i="5" a="1"/>
  <c r="AE98" i="5" s="1"/>
  <c r="W98" i="5" a="1"/>
  <c r="W98" i="5" s="1"/>
  <c r="H98" i="12" s="1" a="1"/>
  <c r="H98" i="12" s="1"/>
  <c r="N98" i="5"/>
  <c r="D98" i="6" s="1"/>
  <c r="J98" i="5"/>
  <c r="C99" i="5"/>
  <c r="F98" i="5"/>
  <c r="E98" i="5"/>
  <c r="B98" i="5"/>
  <c r="H98" i="5"/>
  <c r="O15" i="12" a="1"/>
  <c r="O15" i="12" s="1"/>
  <c r="M15" i="12" a="1"/>
  <c r="M15" i="12" s="1"/>
  <c r="J14" i="6" a="1"/>
  <c r="J14" i="6" s="1"/>
  <c r="K97" i="12" l="1"/>
  <c r="H98" i="6" a="1"/>
  <c r="H98" i="6" s="1"/>
  <c r="T98" i="5" s="1"/>
  <c r="G98" i="12" s="1" a="1"/>
  <c r="G98" i="12" s="1"/>
  <c r="A99" i="12"/>
  <c r="F99" i="5"/>
  <c r="B99" i="5"/>
  <c r="C100" i="5" s="1"/>
  <c r="N99" i="5"/>
  <c r="D99" i="6" s="1"/>
  <c r="G99" i="5"/>
  <c r="W99" i="5" a="1"/>
  <c r="W99" i="5" s="1"/>
  <c r="H99" i="12" s="1" a="1"/>
  <c r="H99" i="12" s="1"/>
  <c r="E99" i="5"/>
  <c r="AE99" i="5" a="1"/>
  <c r="AE99" i="5" s="1"/>
  <c r="AD99" i="5"/>
  <c r="K99" i="5"/>
  <c r="J99" i="5"/>
  <c r="H99" i="5"/>
  <c r="D99" i="5"/>
  <c r="B99" i="12" s="1"/>
  <c r="B31" i="10"/>
  <c r="L100" i="6"/>
  <c r="B99" i="6"/>
  <c r="L98" i="12" a="1"/>
  <c r="L98" i="12" s="1"/>
  <c r="J98" i="12" a="1"/>
  <c r="J98" i="12" s="1"/>
  <c r="C31" i="7" a="1"/>
  <c r="C31" i="7" s="1"/>
  <c r="B30" i="7"/>
  <c r="I15" i="12" a="1"/>
  <c r="I15" i="12" s="1"/>
  <c r="J15" i="12" a="1"/>
  <c r="J15" i="12" s="1"/>
  <c r="L15" i="12" a="1"/>
  <c r="L15" i="12" s="1"/>
  <c r="K98" i="12" l="1"/>
  <c r="J99" i="12" a="1"/>
  <c r="J99" i="12" s="1"/>
  <c r="L99" i="12" a="1"/>
  <c r="L99" i="12" s="1"/>
  <c r="H99" i="6" a="1"/>
  <c r="H99" i="6" s="1"/>
  <c r="T99" i="5" s="1"/>
  <c r="G99" i="12" s="1" a="1"/>
  <c r="G99" i="12" s="1"/>
  <c r="A100" i="12"/>
  <c r="N100" i="5"/>
  <c r="D100" i="6" s="1"/>
  <c r="G100" i="5"/>
  <c r="W100" i="5" a="1"/>
  <c r="W100" i="5" s="1"/>
  <c r="H100" i="12" s="1" a="1"/>
  <c r="H100" i="12" s="1"/>
  <c r="F100" i="5"/>
  <c r="AD100" i="5"/>
  <c r="H100" i="5"/>
  <c r="E100" i="5"/>
  <c r="AE100" i="5" a="1"/>
  <c r="AE100" i="5" s="1"/>
  <c r="B100" i="5"/>
  <c r="B100" i="6"/>
  <c r="C32" i="7" a="1"/>
  <c r="C32" i="7" s="1"/>
  <c r="B31" i="7"/>
  <c r="B32" i="10"/>
  <c r="K15" i="12"/>
  <c r="N15" i="12"/>
  <c r="P10" i="12"/>
  <c r="O10" i="12" s="1"/>
  <c r="K99" i="12" l="1"/>
  <c r="H100" i="6" a="1"/>
  <c r="H100" i="6" s="1"/>
  <c r="T100" i="5" s="1"/>
  <c r="G100" i="12" s="1" a="1"/>
  <c r="G100" i="12" s="1"/>
  <c r="A93" i="6"/>
  <c r="B33" i="10"/>
  <c r="C33" i="7" a="1"/>
  <c r="C33" i="7" s="1"/>
  <c r="B32" i="7"/>
  <c r="L101" i="6"/>
  <c r="C101" i="5"/>
  <c r="M14" i="6"/>
  <c r="BN14" i="6" l="1"/>
  <c r="BT14" i="6"/>
  <c r="CK14" i="6" a="1"/>
  <c r="CK14" i="6" s="1"/>
  <c r="BP14" i="6"/>
  <c r="CM14" i="6" a="1"/>
  <c r="CM14" i="6" s="1"/>
  <c r="CG14" i="6" a="1"/>
  <c r="CG14" i="6" s="1"/>
  <c r="BS14" i="6"/>
  <c r="BQ14" i="6"/>
  <c r="CJ14" i="6" a="1"/>
  <c r="CJ14" i="6" s="1"/>
  <c r="BM14" i="6"/>
  <c r="CH14" i="6" a="1"/>
  <c r="CH14" i="6" s="1"/>
  <c r="CI14" i="6" a="1"/>
  <c r="CI14" i="6" s="1"/>
  <c r="BO14" i="6"/>
  <c r="CL14" i="6" a="1"/>
  <c r="CL14" i="6" s="1"/>
  <c r="CF14" i="6" a="1"/>
  <c r="CF14" i="6" s="1"/>
  <c r="BR14" i="6"/>
  <c r="AT14" i="6"/>
  <c r="AU14" i="6"/>
  <c r="AV14" i="6"/>
  <c r="AW14" i="6"/>
  <c r="AX14" i="6"/>
  <c r="AY14" i="6"/>
  <c r="BA14" i="6"/>
  <c r="AZ14" i="6"/>
  <c r="B34" i="10"/>
  <c r="M93" i="6"/>
  <c r="B101" i="6"/>
  <c r="L102" i="6"/>
  <c r="C34" i="7" a="1"/>
  <c r="C34" i="7" s="1"/>
  <c r="B33" i="7"/>
  <c r="A101" i="12"/>
  <c r="E101" i="5"/>
  <c r="G101" i="5"/>
  <c r="C102" i="5"/>
  <c r="F101" i="5"/>
  <c r="B101" i="5"/>
  <c r="W101" i="5" a="1"/>
  <c r="W101" i="5" s="1"/>
  <c r="H101" i="12" s="1" a="1"/>
  <c r="H101" i="12" s="1"/>
  <c r="AD101" i="5"/>
  <c r="N101" i="5"/>
  <c r="D101" i="6" s="1"/>
  <c r="H101" i="5"/>
  <c r="AE101" i="5" a="1"/>
  <c r="AE101" i="5" s="1"/>
  <c r="AF101" i="5" a="1"/>
  <c r="AF101" i="5" s="1"/>
  <c r="BV14" i="6" a="1"/>
  <c r="BV14" i="6" s="1"/>
  <c r="BJ14" i="6"/>
  <c r="CA14" i="6" a="1"/>
  <c r="CA14" i="6" s="1"/>
  <c r="AJ14" i="6"/>
  <c r="BC14" i="6"/>
  <c r="BD14" i="6"/>
  <c r="AL14" i="6"/>
  <c r="CD14" i="6" a="1"/>
  <c r="CD14" i="6" s="1"/>
  <c r="CE14" i="6" a="1"/>
  <c r="CE14" i="6" s="1"/>
  <c r="BE14" i="6"/>
  <c r="CC14" i="6" a="1"/>
  <c r="CC14" i="6" s="1"/>
  <c r="AM14" i="6"/>
  <c r="BY14" i="6" a="1"/>
  <c r="BY14" i="6" s="1"/>
  <c r="BZ14" i="6" a="1"/>
  <c r="BZ14" i="6" s="1"/>
  <c r="BF14" i="6"/>
  <c r="BG14" i="6"/>
  <c r="AP14" i="6"/>
  <c r="BW14" i="6" a="1"/>
  <c r="BW14" i="6" s="1"/>
  <c r="BH14" i="6"/>
  <c r="BK14" i="6"/>
  <c r="AS14" i="6"/>
  <c r="CB14" i="6" a="1"/>
  <c r="CB14" i="6" s="1"/>
  <c r="AQ14" i="6"/>
  <c r="AO14" i="6"/>
  <c r="BI14" i="6"/>
  <c r="AR14" i="6"/>
  <c r="BL14" i="6"/>
  <c r="AK14" i="6"/>
  <c r="BX14" i="6" a="1"/>
  <c r="BX14" i="6" s="1"/>
  <c r="AN14" i="6"/>
  <c r="CI93" i="6" l="1" a="1"/>
  <c r="CI93" i="6" s="1"/>
  <c r="BN93" i="6"/>
  <c r="BO93" i="6"/>
  <c r="CL93" i="6" a="1"/>
  <c r="CL93" i="6" s="1"/>
  <c r="BM93" i="6"/>
  <c r="CH93" i="6" a="1"/>
  <c r="CH93" i="6" s="1"/>
  <c r="BT93" i="6"/>
  <c r="AV93" i="6"/>
  <c r="CK93" i="6" a="1"/>
  <c r="CK93" i="6" s="1"/>
  <c r="CJ93" i="6" a="1"/>
  <c r="CJ93" i="6" s="1"/>
  <c r="CG93" i="6" a="1"/>
  <c r="CG93" i="6" s="1"/>
  <c r="BS93" i="6"/>
  <c r="AW93" i="6"/>
  <c r="CF93" i="6" a="1"/>
  <c r="CF93" i="6" s="1"/>
  <c r="BR93" i="6"/>
  <c r="BQ93" i="6"/>
  <c r="BP93" i="6"/>
  <c r="AY93" i="6"/>
  <c r="CM93" i="6" a="1"/>
  <c r="CM93" i="6" s="1"/>
  <c r="AX93" i="6"/>
  <c r="AT93" i="6"/>
  <c r="AU93" i="6"/>
  <c r="AZ93" i="6"/>
  <c r="BA93" i="6"/>
  <c r="F101" i="12" a="1"/>
  <c r="F101" i="12" s="1"/>
  <c r="E101" i="12"/>
  <c r="L103" i="6"/>
  <c r="B102" i="6"/>
  <c r="J101" i="6" a="1"/>
  <c r="J101" i="6" s="1"/>
  <c r="AG101" i="5" a="1"/>
  <c r="AG101" i="5" s="1"/>
  <c r="C35" i="7" a="1"/>
  <c r="C35" i="7" s="1"/>
  <c r="B34" i="7"/>
  <c r="A102" i="12"/>
  <c r="J102" i="5"/>
  <c r="F102" i="5"/>
  <c r="G102" i="5"/>
  <c r="N102" i="5"/>
  <c r="D102" i="5"/>
  <c r="B102" i="12" s="1"/>
  <c r="W102" i="5" a="1"/>
  <c r="W102" i="5" s="1"/>
  <c r="H102" i="12" s="1" a="1"/>
  <c r="H102" i="12" s="1"/>
  <c r="B102" i="5"/>
  <c r="AE102" i="5" a="1"/>
  <c r="AE102" i="5" s="1"/>
  <c r="C103" i="5"/>
  <c r="H102" i="5"/>
  <c r="E102" i="5"/>
  <c r="AD102" i="5"/>
  <c r="K102" i="5"/>
  <c r="BK93" i="6"/>
  <c r="CE93" i="6" a="1"/>
  <c r="CE93" i="6" s="1"/>
  <c r="AM93" i="6"/>
  <c r="AS93" i="6"/>
  <c r="BF93" i="6"/>
  <c r="BJ93" i="6"/>
  <c r="BI93" i="6"/>
  <c r="AL93" i="6"/>
  <c r="AQ93" i="6"/>
  <c r="AJ93" i="6"/>
  <c r="CA93" i="6" a="1"/>
  <c r="CA93" i="6" s="1"/>
  <c r="CC93" i="6" a="1"/>
  <c r="CC93" i="6" s="1"/>
  <c r="CD93" i="6" a="1"/>
  <c r="CD93" i="6" s="1"/>
  <c r="BH93" i="6"/>
  <c r="BX93" i="6" a="1"/>
  <c r="BX93" i="6" s="1"/>
  <c r="BE93" i="6"/>
  <c r="BZ93" i="6" a="1"/>
  <c r="BZ93" i="6" s="1"/>
  <c r="BV93" i="6" a="1"/>
  <c r="BV93" i="6" s="1"/>
  <c r="BL93" i="6"/>
  <c r="BC93" i="6"/>
  <c r="BY93" i="6" a="1"/>
  <c r="BY93" i="6" s="1"/>
  <c r="BW93" i="6" a="1"/>
  <c r="BW93" i="6" s="1"/>
  <c r="CB93" i="6" a="1"/>
  <c r="CB93" i="6" s="1"/>
  <c r="BD93" i="6"/>
  <c r="BG93" i="6"/>
  <c r="AR93" i="6"/>
  <c r="AK93" i="6"/>
  <c r="AO93" i="6"/>
  <c r="AN93" i="6"/>
  <c r="AP93" i="6"/>
  <c r="H101" i="6" a="1"/>
  <c r="H101" i="6" s="1"/>
  <c r="T101" i="5" s="1"/>
  <c r="G101" i="12" s="1" a="1"/>
  <c r="G101" i="12" s="1"/>
  <c r="B35" i="10"/>
  <c r="X14" i="5" a="1"/>
  <c r="X14" i="5" s="1"/>
  <c r="F101" i="6" l="1"/>
  <c r="C36" i="7" a="1"/>
  <c r="C36" i="7" s="1"/>
  <c r="B35" i="7"/>
  <c r="G101" i="6"/>
  <c r="A96" i="6"/>
  <c r="D102" i="6"/>
  <c r="A103" i="12"/>
  <c r="E103" i="5"/>
  <c r="N103" i="5"/>
  <c r="H103" i="5"/>
  <c r="C104" i="5"/>
  <c r="AE103" i="5" a="1"/>
  <c r="AE103" i="5" s="1"/>
  <c r="K103" i="5"/>
  <c r="AD103" i="5"/>
  <c r="J103" i="5"/>
  <c r="G103" i="5"/>
  <c r="D103" i="5"/>
  <c r="B103" i="12" s="1"/>
  <c r="W103" i="5" a="1"/>
  <c r="W103" i="5" s="1"/>
  <c r="H103" i="12" s="1" a="1"/>
  <c r="H103" i="12" s="1"/>
  <c r="B103" i="5"/>
  <c r="F103" i="5"/>
  <c r="B103" i="6"/>
  <c r="L104" i="6"/>
  <c r="B36" i="10"/>
  <c r="J102" i="12" a="1"/>
  <c r="J102" i="12" s="1"/>
  <c r="L102" i="12" a="1"/>
  <c r="L102" i="12" s="1"/>
  <c r="I14" i="5"/>
  <c r="I14" i="12"/>
  <c r="L14" i="5"/>
  <c r="AM14" i="5"/>
  <c r="Z14" i="5"/>
  <c r="K102" i="12" l="1"/>
  <c r="I93" i="5"/>
  <c r="B104" i="6"/>
  <c r="L105" i="6"/>
  <c r="H102" i="6" a="1"/>
  <c r="H102" i="6" s="1"/>
  <c r="M96" i="6"/>
  <c r="C37" i="7" a="1"/>
  <c r="C37" i="7" s="1"/>
  <c r="B36" i="7"/>
  <c r="J103" i="12" a="1"/>
  <c r="J103" i="12" s="1"/>
  <c r="L103" i="12" a="1"/>
  <c r="L103" i="12" s="1"/>
  <c r="A104" i="12"/>
  <c r="C105" i="5"/>
  <c r="AE104" i="5" a="1"/>
  <c r="AE104" i="5" s="1"/>
  <c r="W104" i="5" a="1"/>
  <c r="W104" i="5" s="1"/>
  <c r="H104" i="12" s="1" a="1"/>
  <c r="H104" i="12" s="1"/>
  <c r="H104" i="5"/>
  <c r="J104" i="5"/>
  <c r="AD104" i="5"/>
  <c r="B104" i="5"/>
  <c r="N104" i="5"/>
  <c r="D104" i="6" s="1"/>
  <c r="K104" i="5"/>
  <c r="G104" i="5"/>
  <c r="F104" i="5"/>
  <c r="E104" i="5"/>
  <c r="D104" i="5"/>
  <c r="B104" i="12" s="1"/>
  <c r="B37" i="10"/>
  <c r="D103" i="6"/>
  <c r="O14" i="5"/>
  <c r="AA14" i="5" a="1"/>
  <c r="AA14" i="5" s="1"/>
  <c r="AB14" i="5" a="1"/>
  <c r="AB14" i="5" s="1"/>
  <c r="AO14" i="12" a="1"/>
  <c r="AO14" i="12" s="1"/>
  <c r="C14" i="12"/>
  <c r="M14" i="12" a="1"/>
  <c r="M14" i="12" s="1"/>
  <c r="O14" i="12" a="1"/>
  <c r="O14" i="12" s="1"/>
  <c r="CI96" i="6" l="1" a="1"/>
  <c r="CI96" i="6" s="1"/>
  <c r="BN96" i="6"/>
  <c r="CL96" i="6" a="1"/>
  <c r="CL96" i="6" s="1"/>
  <c r="BM96" i="6"/>
  <c r="CH96" i="6" a="1"/>
  <c r="CH96" i="6" s="1"/>
  <c r="BT96" i="6"/>
  <c r="CK96" i="6" a="1"/>
  <c r="CK96" i="6" s="1"/>
  <c r="CF96" i="6" a="1"/>
  <c r="CF96" i="6" s="1"/>
  <c r="CG96" i="6" a="1"/>
  <c r="CG96" i="6" s="1"/>
  <c r="BS96" i="6"/>
  <c r="CJ96" i="6" a="1"/>
  <c r="CJ96" i="6" s="1"/>
  <c r="BR96" i="6"/>
  <c r="BQ96" i="6"/>
  <c r="BP96" i="6"/>
  <c r="CM96" i="6" a="1"/>
  <c r="CM96" i="6" s="1"/>
  <c r="BO96" i="6"/>
  <c r="AV96" i="6"/>
  <c r="AX96" i="6"/>
  <c r="AW96" i="6"/>
  <c r="AU96" i="6"/>
  <c r="AZ96" i="6"/>
  <c r="BA96" i="6"/>
  <c r="AY96" i="6"/>
  <c r="AT96" i="6"/>
  <c r="T102" i="5"/>
  <c r="G102" i="12" s="1" a="1"/>
  <c r="G102" i="12" s="1"/>
  <c r="K103" i="12"/>
  <c r="C38" i="7" a="1"/>
  <c r="C38" i="7" s="1"/>
  <c r="B37" i="7"/>
  <c r="B38" i="10"/>
  <c r="B105" i="6"/>
  <c r="L106" i="6"/>
  <c r="BH96" i="6"/>
  <c r="BI96" i="6"/>
  <c r="BV96" i="6" a="1"/>
  <c r="BV96" i="6" s="1"/>
  <c r="AL96" i="6"/>
  <c r="BW96" i="6" a="1"/>
  <c r="BW96" i="6" s="1"/>
  <c r="CD96" i="6" a="1"/>
  <c r="CD96" i="6" s="1"/>
  <c r="BZ96" i="6" a="1"/>
  <c r="BZ96" i="6" s="1"/>
  <c r="BG96" i="6"/>
  <c r="BE96" i="6"/>
  <c r="BL96" i="6"/>
  <c r="BJ96" i="6"/>
  <c r="BF96" i="6"/>
  <c r="BD96" i="6"/>
  <c r="BY96" i="6" a="1"/>
  <c r="BY96" i="6" s="1"/>
  <c r="CA96" i="6" a="1"/>
  <c r="CA96" i="6" s="1"/>
  <c r="BC96" i="6"/>
  <c r="BK96" i="6"/>
  <c r="CE96" i="6" a="1"/>
  <c r="CE96" i="6" s="1"/>
  <c r="CC96" i="6" a="1"/>
  <c r="CC96" i="6" s="1"/>
  <c r="BX96" i="6" a="1"/>
  <c r="BX96" i="6" s="1"/>
  <c r="CB96" i="6" a="1"/>
  <c r="CB96" i="6" s="1"/>
  <c r="AN96" i="6"/>
  <c r="AP96" i="6"/>
  <c r="AM96" i="6"/>
  <c r="AO96" i="6"/>
  <c r="AR96" i="6"/>
  <c r="AQ96" i="6"/>
  <c r="AJ96" i="6"/>
  <c r="AS96" i="6"/>
  <c r="AK96" i="6"/>
  <c r="H104" i="6" a="1"/>
  <c r="H104" i="6" s="1"/>
  <c r="T104" i="5" s="1"/>
  <c r="G104" i="12" s="1" a="1"/>
  <c r="G104" i="12" s="1"/>
  <c r="H103" i="6" a="1"/>
  <c r="H103" i="6" s="1"/>
  <c r="A105" i="12"/>
  <c r="AD105" i="5"/>
  <c r="G105" i="5"/>
  <c r="H105" i="5"/>
  <c r="W105" i="5" a="1"/>
  <c r="W105" i="5" s="1"/>
  <c r="H105" i="12" s="1" a="1"/>
  <c r="H105" i="12" s="1"/>
  <c r="E105" i="5"/>
  <c r="D105" i="5"/>
  <c r="B105" i="12" s="1"/>
  <c r="N105" i="5"/>
  <c r="D105" i="6" s="1"/>
  <c r="AE105" i="5" a="1"/>
  <c r="AE105" i="5" s="1"/>
  <c r="K105" i="5"/>
  <c r="J105" i="5"/>
  <c r="F105" i="5"/>
  <c r="B105" i="5"/>
  <c r="C106" i="5" s="1"/>
  <c r="L104" i="12" a="1"/>
  <c r="L104" i="12" s="1"/>
  <c r="J104" i="12" a="1"/>
  <c r="J104" i="12" s="1"/>
  <c r="N14" i="12"/>
  <c r="Y14" i="12"/>
  <c r="D14" i="12"/>
  <c r="T103" i="5" l="1"/>
  <c r="G103" i="12" s="1" a="1"/>
  <c r="G103" i="12" s="1"/>
  <c r="C39" i="7" a="1"/>
  <c r="C39" i="7" s="1"/>
  <c r="B38" i="7"/>
  <c r="K104" i="12"/>
  <c r="L105" i="12" a="1"/>
  <c r="L105" i="12" s="1"/>
  <c r="J105" i="12" a="1"/>
  <c r="J105" i="12" s="1"/>
  <c r="A106" i="12"/>
  <c r="B106" i="5"/>
  <c r="G106" i="5"/>
  <c r="W106" i="5" a="1"/>
  <c r="W106" i="5" s="1"/>
  <c r="H106" i="12" s="1" a="1"/>
  <c r="H106" i="12" s="1"/>
  <c r="F106" i="5"/>
  <c r="N106" i="5"/>
  <c r="D106" i="6" s="1"/>
  <c r="AE106" i="5" a="1"/>
  <c r="AE106" i="5" s="1"/>
  <c r="AD106" i="5"/>
  <c r="H106" i="5"/>
  <c r="E106" i="5"/>
  <c r="C107" i="5"/>
  <c r="AF106" i="5" a="1"/>
  <c r="AF106" i="5" s="1"/>
  <c r="H105" i="6" a="1"/>
  <c r="H105" i="6" s="1"/>
  <c r="T105" i="5" s="1"/>
  <c r="G105" i="12" s="1" a="1"/>
  <c r="G105" i="12" s="1"/>
  <c r="L107" i="6"/>
  <c r="B106" i="6"/>
  <c r="B39" i="10"/>
  <c r="W14" i="12" a="1"/>
  <c r="W14" i="12" s="1"/>
  <c r="X14" i="12" a="1"/>
  <c r="X14" i="12" s="1"/>
  <c r="I96" i="5" l="1"/>
  <c r="E106" i="12"/>
  <c r="K105" i="12"/>
  <c r="J106" i="6" a="1"/>
  <c r="J106" i="6" s="1"/>
  <c r="H106" i="6" a="1"/>
  <c r="H106" i="6" s="1"/>
  <c r="T106" i="5" s="1"/>
  <c r="G106" i="12" s="1" a="1"/>
  <c r="G106" i="12" s="1"/>
  <c r="B40" i="10"/>
  <c r="AG106" i="5" a="1"/>
  <c r="AG106" i="5" s="1"/>
  <c r="F106" i="12" a="1"/>
  <c r="F106" i="12" s="1"/>
  <c r="B39" i="7"/>
  <c r="C40" i="7" a="1"/>
  <c r="C40" i="7" s="1"/>
  <c r="B107" i="6"/>
  <c r="L108" i="6"/>
  <c r="A107" i="12"/>
  <c r="E107" i="5"/>
  <c r="AD107" i="5"/>
  <c r="B107" i="5"/>
  <c r="J107" i="5"/>
  <c r="H107" i="5"/>
  <c r="N107" i="5"/>
  <c r="AE107" i="5" a="1"/>
  <c r="AE107" i="5" s="1"/>
  <c r="K107" i="5"/>
  <c r="G107" i="5"/>
  <c r="F107" i="5"/>
  <c r="C108" i="5"/>
  <c r="W107" i="5" a="1"/>
  <c r="W107" i="5" s="1"/>
  <c r="H107" i="12" s="1" a="1"/>
  <c r="H107" i="12" s="1"/>
  <c r="D107" i="5"/>
  <c r="B107" i="12" s="1"/>
  <c r="U14" i="12"/>
  <c r="V14" i="12" a="1"/>
  <c r="V14" i="12" s="1"/>
  <c r="T14" i="12"/>
  <c r="F106" i="6" l="1"/>
  <c r="B40" i="7"/>
  <c r="C41" i="7" a="1"/>
  <c r="C41" i="7" s="1"/>
  <c r="L109" i="6"/>
  <c r="B108" i="6"/>
  <c r="G106" i="6"/>
  <c r="A108" i="12"/>
  <c r="D108" i="5"/>
  <c r="B108" i="12" s="1"/>
  <c r="E108" i="5"/>
  <c r="K108" i="5"/>
  <c r="J108" i="5"/>
  <c r="W108" i="5" a="1"/>
  <c r="W108" i="5" s="1"/>
  <c r="H108" i="12" s="1" a="1"/>
  <c r="H108" i="12" s="1"/>
  <c r="N108" i="5"/>
  <c r="AE108" i="5" a="1"/>
  <c r="AE108" i="5" s="1"/>
  <c r="AD108" i="5"/>
  <c r="H108" i="5"/>
  <c r="F108" i="5"/>
  <c r="B108" i="5"/>
  <c r="C109" i="5" s="1"/>
  <c r="G108" i="5"/>
  <c r="B41" i="10"/>
  <c r="J107" i="12" a="1"/>
  <c r="J107" i="12" s="1"/>
  <c r="L107" i="12" a="1"/>
  <c r="L107" i="12" s="1"/>
  <c r="D107" i="6"/>
  <c r="AG14" i="5" a="1"/>
  <c r="AG14" i="5" s="1"/>
  <c r="S14" i="5" a="1"/>
  <c r="S14" i="5" s="1"/>
  <c r="F14" i="12" s="1" a="1"/>
  <c r="F14" i="12" s="1"/>
  <c r="L108" i="12" l="1" a="1"/>
  <c r="L108" i="12" s="1"/>
  <c r="J108" i="12" a="1"/>
  <c r="J108" i="12" s="1"/>
  <c r="H107" i="6" a="1"/>
  <c r="H107" i="6" s="1"/>
  <c r="A109" i="12"/>
  <c r="C110" i="5"/>
  <c r="AE109" i="5" a="1"/>
  <c r="AE109" i="5" s="1"/>
  <c r="AD109" i="5"/>
  <c r="G109" i="5"/>
  <c r="F109" i="5"/>
  <c r="B109" i="5"/>
  <c r="N109" i="5"/>
  <c r="D109" i="6" s="1"/>
  <c r="W109" i="5" a="1"/>
  <c r="W109" i="5" s="1"/>
  <c r="H109" i="12" s="1" a="1"/>
  <c r="H109" i="12" s="1"/>
  <c r="H109" i="5"/>
  <c r="E109" i="5"/>
  <c r="AF109" i="5" a="1"/>
  <c r="AF109" i="5" s="1"/>
  <c r="B109" i="6"/>
  <c r="L110" i="6"/>
  <c r="A101" i="6"/>
  <c r="C42" i="7" a="1"/>
  <c r="C42" i="7" s="1"/>
  <c r="B41" i="7"/>
  <c r="D108" i="6"/>
  <c r="B42" i="10"/>
  <c r="K107" i="12"/>
  <c r="E14" i="12"/>
  <c r="AC14" i="5" a="1"/>
  <c r="AC14" i="5" s="1"/>
  <c r="T107" i="5" l="1"/>
  <c r="G107" i="12" s="1" a="1"/>
  <c r="G107" i="12" s="1"/>
  <c r="J109" i="6" a="1"/>
  <c r="J109" i="6" s="1"/>
  <c r="F109" i="12" a="1"/>
  <c r="F109" i="12" s="1"/>
  <c r="AG109" i="5" a="1"/>
  <c r="AG109" i="5" s="1"/>
  <c r="K108" i="12"/>
  <c r="M101" i="6"/>
  <c r="H108" i="6" a="1"/>
  <c r="H108" i="6" s="1"/>
  <c r="A110" i="12"/>
  <c r="F110" i="5"/>
  <c r="B110" i="5"/>
  <c r="K110" i="5"/>
  <c r="G110" i="5"/>
  <c r="E110" i="5"/>
  <c r="W110" i="5" a="1"/>
  <c r="W110" i="5" s="1"/>
  <c r="H110" i="12" s="1" a="1"/>
  <c r="H110" i="12" s="1"/>
  <c r="D110" i="5"/>
  <c r="B110" i="12" s="1"/>
  <c r="J110" i="5"/>
  <c r="AE110" i="5" a="1"/>
  <c r="AE110" i="5" s="1"/>
  <c r="H110" i="5"/>
  <c r="AD110" i="5"/>
  <c r="C111" i="5"/>
  <c r="N110" i="5"/>
  <c r="D110" i="6" s="1"/>
  <c r="L111" i="6"/>
  <c r="B110" i="6"/>
  <c r="H109" i="6" a="1"/>
  <c r="H109" i="6" s="1"/>
  <c r="T109" i="5" s="1"/>
  <c r="G109" i="12" s="1" a="1"/>
  <c r="G109" i="12" s="1"/>
  <c r="C43" i="7" a="1"/>
  <c r="C43" i="7" s="1"/>
  <c r="C44" i="7" s="1" a="1"/>
  <c r="C44" i="7" s="1"/>
  <c r="B42" i="7"/>
  <c r="B43" i="10"/>
  <c r="B44" i="10" s="1"/>
  <c r="CL101" i="6" l="1" a="1"/>
  <c r="CL101" i="6" s="1"/>
  <c r="BO101" i="6"/>
  <c r="CH101" i="6" a="1"/>
  <c r="CH101" i="6" s="1"/>
  <c r="CI101" i="6" a="1"/>
  <c r="CI101" i="6" s="1"/>
  <c r="CK101" i="6" a="1"/>
  <c r="CK101" i="6" s="1"/>
  <c r="BN101" i="6"/>
  <c r="CJ101" i="6" a="1"/>
  <c r="CJ101" i="6" s="1"/>
  <c r="BM101" i="6"/>
  <c r="CF101" i="6" a="1"/>
  <c r="CF101" i="6" s="1"/>
  <c r="BT101" i="6"/>
  <c r="CG101" i="6" a="1"/>
  <c r="CG101" i="6" s="1"/>
  <c r="BS101" i="6"/>
  <c r="CM101" i="6" a="1"/>
  <c r="CM101" i="6" s="1"/>
  <c r="BR101" i="6"/>
  <c r="BQ101" i="6"/>
  <c r="BP101" i="6"/>
  <c r="AY101" i="6"/>
  <c r="AX101" i="6"/>
  <c r="AW101" i="6"/>
  <c r="AZ101" i="6"/>
  <c r="BA101" i="6"/>
  <c r="AT101" i="6"/>
  <c r="AU101" i="6"/>
  <c r="AV101" i="6"/>
  <c r="B45" i="10"/>
  <c r="B44" i="7"/>
  <c r="C45" i="7" a="1"/>
  <c r="C45" i="7" s="1"/>
  <c r="T108" i="5"/>
  <c r="G108" i="12" s="1" a="1"/>
  <c r="G108" i="12" s="1"/>
  <c r="G109" i="6"/>
  <c r="A111" i="12"/>
  <c r="N111" i="5"/>
  <c r="D111" i="6" s="1"/>
  <c r="J111" i="5"/>
  <c r="AE111" i="5" a="1"/>
  <c r="AE111" i="5" s="1"/>
  <c r="B111" i="5"/>
  <c r="K111" i="5"/>
  <c r="H111" i="5"/>
  <c r="G111" i="5"/>
  <c r="W111" i="5" a="1"/>
  <c r="W111" i="5" s="1"/>
  <c r="H111" i="12" s="1" a="1"/>
  <c r="H111" i="12" s="1"/>
  <c r="F111" i="5"/>
  <c r="E111" i="5"/>
  <c r="AD111" i="5"/>
  <c r="D111" i="5"/>
  <c r="B111" i="12" s="1"/>
  <c r="BK101" i="6"/>
  <c r="BX101" i="6" a="1"/>
  <c r="BX101" i="6" s="1"/>
  <c r="CB101" i="6" a="1"/>
  <c r="CB101" i="6" s="1"/>
  <c r="BW101" i="6" a="1"/>
  <c r="BW101" i="6" s="1"/>
  <c r="AR101" i="6"/>
  <c r="AM101" i="6"/>
  <c r="AL101" i="6"/>
  <c r="BJ101" i="6"/>
  <c r="BF101" i="6"/>
  <c r="BZ101" i="6" a="1"/>
  <c r="BZ101" i="6" s="1"/>
  <c r="BY101" i="6" a="1"/>
  <c r="BY101" i="6" s="1"/>
  <c r="BG101" i="6"/>
  <c r="AJ101" i="6"/>
  <c r="CD101" i="6" a="1"/>
  <c r="CD101" i="6" s="1"/>
  <c r="BI101" i="6"/>
  <c r="BE101" i="6"/>
  <c r="AO101" i="6"/>
  <c r="BH101" i="6"/>
  <c r="BD101" i="6"/>
  <c r="AQ101" i="6"/>
  <c r="BC101" i="6"/>
  <c r="AK101" i="6"/>
  <c r="CC101" i="6" a="1"/>
  <c r="CC101" i="6" s="1"/>
  <c r="BV101" i="6" a="1"/>
  <c r="BV101" i="6" s="1"/>
  <c r="CA101" i="6" a="1"/>
  <c r="CA101" i="6" s="1"/>
  <c r="BL101" i="6"/>
  <c r="CE101" i="6" a="1"/>
  <c r="CE101" i="6" s="1"/>
  <c r="AS101" i="6"/>
  <c r="AN101" i="6"/>
  <c r="AP101" i="6"/>
  <c r="B43" i="7"/>
  <c r="E109" i="12"/>
  <c r="F109" i="6"/>
  <c r="J110" i="12" a="1"/>
  <c r="J110" i="12" s="1"/>
  <c r="L110" i="12" a="1"/>
  <c r="L110" i="12" s="1"/>
  <c r="H110" i="6" a="1"/>
  <c r="H110" i="6" s="1"/>
  <c r="T110" i="5" s="1"/>
  <c r="G110" i="12" s="1" a="1"/>
  <c r="G110" i="12" s="1"/>
  <c r="B111" i="6"/>
  <c r="B45" i="7" l="1"/>
  <c r="K110" i="12"/>
  <c r="J111" i="12" a="1"/>
  <c r="J111" i="12" s="1"/>
  <c r="L111" i="12" a="1"/>
  <c r="L111" i="12" s="1"/>
  <c r="L112" i="6"/>
  <c r="H111" i="6" a="1"/>
  <c r="H111" i="6" s="1"/>
  <c r="T111" i="5" s="1"/>
  <c r="G111" i="12" s="1" a="1"/>
  <c r="G111" i="12" s="1"/>
  <c r="C112" i="5"/>
  <c r="B46" i="10" l="1"/>
  <c r="C46" i="7" a="1"/>
  <c r="C46" i="7" s="1"/>
  <c r="K111" i="12"/>
  <c r="B112" i="6"/>
  <c r="L113" i="6"/>
  <c r="A112" i="12"/>
  <c r="N112" i="5"/>
  <c r="AD112" i="5"/>
  <c r="H112" i="5"/>
  <c r="G112" i="5"/>
  <c r="F112" i="5"/>
  <c r="AE112" i="5" a="1"/>
  <c r="AE112" i="5" s="1"/>
  <c r="W112" i="5" a="1"/>
  <c r="W112" i="5" s="1"/>
  <c r="H112" i="12" s="1" a="1"/>
  <c r="H112" i="12" s="1"/>
  <c r="C113" i="5"/>
  <c r="E112" i="5"/>
  <c r="B112" i="5"/>
  <c r="AF112" i="5" a="1"/>
  <c r="AF112" i="5" s="1"/>
  <c r="C47" i="7" l="1" a="1"/>
  <c r="C47" i="7" s="1"/>
  <c r="B46" i="7"/>
  <c r="B47" i="10"/>
  <c r="F112" i="12" a="1"/>
  <c r="F112" i="12" s="1"/>
  <c r="E112" i="12"/>
  <c r="L114" i="6"/>
  <c r="B113" i="6"/>
  <c r="A113" i="12"/>
  <c r="J113" i="5"/>
  <c r="C114" i="5"/>
  <c r="AE113" i="5" a="1"/>
  <c r="AE113" i="5" s="1"/>
  <c r="W113" i="5" a="1"/>
  <c r="W113" i="5" s="1"/>
  <c r="H113" i="12" s="1" a="1"/>
  <c r="H113" i="12" s="1"/>
  <c r="H113" i="5"/>
  <c r="AD113" i="5"/>
  <c r="G113" i="5"/>
  <c r="F113" i="5"/>
  <c r="K113" i="5"/>
  <c r="E113" i="5"/>
  <c r="D113" i="5"/>
  <c r="B113" i="12" s="1"/>
  <c r="B113" i="5"/>
  <c r="N113" i="5"/>
  <c r="D112" i="6"/>
  <c r="J112" i="6" a="1"/>
  <c r="J112" i="6" s="1"/>
  <c r="A106" i="6"/>
  <c r="AG112" i="5" a="1"/>
  <c r="AG112" i="5" s="1"/>
  <c r="B48" i="10" l="1"/>
  <c r="B49" i="10" s="1"/>
  <c r="B47" i="7"/>
  <c r="C48" i="7" a="1"/>
  <c r="C48" i="7" s="1"/>
  <c r="F112" i="6"/>
  <c r="M106" i="6"/>
  <c r="D113" i="6"/>
  <c r="B114" i="6"/>
  <c r="L115" i="6"/>
  <c r="A114" i="12"/>
  <c r="E114" i="5"/>
  <c r="D114" i="5"/>
  <c r="B114" i="12" s="1"/>
  <c r="B114" i="5"/>
  <c r="N114" i="5"/>
  <c r="AD114" i="5"/>
  <c r="AE114" i="5" a="1"/>
  <c r="AE114" i="5" s="1"/>
  <c r="H114" i="5"/>
  <c r="G114" i="5"/>
  <c r="F114" i="5"/>
  <c r="C115" i="5"/>
  <c r="K114" i="5"/>
  <c r="J114" i="5"/>
  <c r="W114" i="5" a="1"/>
  <c r="W114" i="5" s="1"/>
  <c r="H114" i="12" s="1" a="1"/>
  <c r="H114" i="12" s="1"/>
  <c r="L113" i="12" a="1"/>
  <c r="L113" i="12" s="1"/>
  <c r="J113" i="12" a="1"/>
  <c r="J113" i="12" s="1"/>
  <c r="H112" i="6" a="1"/>
  <c r="H112" i="6" s="1"/>
  <c r="T112" i="5" s="1"/>
  <c r="G112" i="6"/>
  <c r="CK106" i="6" l="1" a="1"/>
  <c r="CK106" i="6" s="1"/>
  <c r="BN106" i="6"/>
  <c r="CG106" i="6" a="1"/>
  <c r="CG106" i="6" s="1"/>
  <c r="BM106" i="6"/>
  <c r="CJ106" i="6" a="1"/>
  <c r="CJ106" i="6" s="1"/>
  <c r="BT106" i="6"/>
  <c r="BP106" i="6"/>
  <c r="CF106" i="6" a="1"/>
  <c r="CF106" i="6" s="1"/>
  <c r="BS106" i="6"/>
  <c r="CI106" i="6" a="1"/>
  <c r="CI106" i="6" s="1"/>
  <c r="BR106" i="6"/>
  <c r="CM106" i="6" a="1"/>
  <c r="CM106" i="6" s="1"/>
  <c r="CL106" i="6" a="1"/>
  <c r="CL106" i="6" s="1"/>
  <c r="BQ106" i="6"/>
  <c r="AU106" i="6"/>
  <c r="CH106" i="6" a="1"/>
  <c r="CH106" i="6" s="1"/>
  <c r="BO106" i="6"/>
  <c r="AT106" i="6"/>
  <c r="AY106" i="6"/>
  <c r="AV106" i="6"/>
  <c r="AW106" i="6"/>
  <c r="AX106" i="6"/>
  <c r="AZ106" i="6"/>
  <c r="BA106" i="6"/>
  <c r="C49" i="7" a="1"/>
  <c r="C49" i="7" s="1"/>
  <c r="B50" i="10"/>
  <c r="B48" i="7"/>
  <c r="J114" i="12" a="1"/>
  <c r="J114" i="12" s="1"/>
  <c r="L114" i="12" a="1"/>
  <c r="L114" i="12" s="1"/>
  <c r="K113" i="12"/>
  <c r="L116" i="6"/>
  <c r="B115" i="6"/>
  <c r="D114" i="6"/>
  <c r="H113" i="6" a="1"/>
  <c r="H113" i="6" s="1"/>
  <c r="A115" i="12"/>
  <c r="K115" i="5"/>
  <c r="J115" i="5"/>
  <c r="C116" i="5"/>
  <c r="AE115" i="5" a="1"/>
  <c r="AE115" i="5" s="1"/>
  <c r="W115" i="5" a="1"/>
  <c r="W115" i="5" s="1"/>
  <c r="H115" i="12" s="1" a="1"/>
  <c r="H115" i="12" s="1"/>
  <c r="H115" i="5"/>
  <c r="B115" i="5"/>
  <c r="N115" i="5"/>
  <c r="D115" i="6" s="1"/>
  <c r="G115" i="5"/>
  <c r="D115" i="5"/>
  <c r="B115" i="12" s="1"/>
  <c r="F115" i="5"/>
  <c r="E115" i="5"/>
  <c r="AD115" i="5"/>
  <c r="G112" i="12" a="1"/>
  <c r="G112" i="12" s="1"/>
  <c r="BC106" i="6"/>
  <c r="CA106" i="6" a="1"/>
  <c r="CA106" i="6" s="1"/>
  <c r="BG106" i="6"/>
  <c r="BK106" i="6"/>
  <c r="CB106" i="6" a="1"/>
  <c r="CB106" i="6" s="1"/>
  <c r="AR106" i="6"/>
  <c r="BL106" i="6"/>
  <c r="AO106" i="6"/>
  <c r="AN106" i="6"/>
  <c r="AM106" i="6"/>
  <c r="CE106" i="6" a="1"/>
  <c r="CE106" i="6" s="1"/>
  <c r="AL106" i="6"/>
  <c r="BJ106" i="6"/>
  <c r="BF106" i="6"/>
  <c r="BD106" i="6"/>
  <c r="BZ106" i="6" a="1"/>
  <c r="BZ106" i="6" s="1"/>
  <c r="BV106" i="6" a="1"/>
  <c r="BV106" i="6" s="1"/>
  <c r="BI106" i="6"/>
  <c r="AK106" i="6"/>
  <c r="BW106" i="6" a="1"/>
  <c r="BW106" i="6" s="1"/>
  <c r="CD106" i="6" a="1"/>
  <c r="CD106" i="6" s="1"/>
  <c r="AS106" i="6"/>
  <c r="BX106" i="6" a="1"/>
  <c r="BX106" i="6" s="1"/>
  <c r="CC106" i="6" a="1"/>
  <c r="CC106" i="6" s="1"/>
  <c r="BE106" i="6"/>
  <c r="BH106" i="6"/>
  <c r="BY106" i="6" a="1"/>
  <c r="BY106" i="6" s="1"/>
  <c r="AP106" i="6"/>
  <c r="AJ106" i="6"/>
  <c r="AQ106" i="6"/>
  <c r="J10" i="13"/>
  <c r="B51" i="10" l="1"/>
  <c r="B49" i="7"/>
  <c r="C50" i="7" a="1"/>
  <c r="C50" i="7" s="1"/>
  <c r="T113" i="5"/>
  <c r="G113" i="12" s="1" a="1"/>
  <c r="G113" i="12" s="1"/>
  <c r="K114" i="12"/>
  <c r="B116" i="6"/>
  <c r="L117" i="6"/>
  <c r="L115" i="12" a="1"/>
  <c r="L115" i="12" s="1"/>
  <c r="J115" i="12" a="1"/>
  <c r="J115" i="12" s="1"/>
  <c r="H114" i="6" a="1"/>
  <c r="H114" i="6" s="1"/>
  <c r="A109" i="6"/>
  <c r="A116" i="12"/>
  <c r="AD116" i="5"/>
  <c r="G116" i="5"/>
  <c r="F116" i="5"/>
  <c r="E116" i="5"/>
  <c r="D116" i="5"/>
  <c r="B116" i="12" s="1"/>
  <c r="J116" i="5"/>
  <c r="K116" i="5"/>
  <c r="AE116" i="5" a="1"/>
  <c r="AE116" i="5" s="1"/>
  <c r="C117" i="5"/>
  <c r="W116" i="5" a="1"/>
  <c r="W116" i="5" s="1"/>
  <c r="H116" i="12" s="1" a="1"/>
  <c r="H116" i="12" s="1"/>
  <c r="N116" i="5"/>
  <c r="D116" i="6" s="1"/>
  <c r="H116" i="5"/>
  <c r="B116" i="5"/>
  <c r="H115" i="6" a="1"/>
  <c r="H115" i="6" s="1"/>
  <c r="T115" i="5" s="1"/>
  <c r="G115" i="12" s="1" a="1"/>
  <c r="G115" i="12" s="1"/>
  <c r="B50" i="7" l="1"/>
  <c r="C51" i="7" a="1"/>
  <c r="C51" i="7" s="1"/>
  <c r="B52" i="10"/>
  <c r="T114" i="5"/>
  <c r="G114" i="12" s="1" a="1"/>
  <c r="G114" i="12" s="1"/>
  <c r="H116" i="6" a="1"/>
  <c r="H116" i="6" s="1"/>
  <c r="T116" i="5" s="1"/>
  <c r="G116" i="12" s="1" a="1"/>
  <c r="G116" i="12" s="1"/>
  <c r="K115" i="12"/>
  <c r="L116" i="12" a="1"/>
  <c r="L116" i="12" s="1"/>
  <c r="J116" i="12" a="1"/>
  <c r="J116" i="12" s="1"/>
  <c r="L118" i="6"/>
  <c r="B117" i="6"/>
  <c r="A117" i="12"/>
  <c r="B117" i="5"/>
  <c r="N117" i="5"/>
  <c r="K117" i="5"/>
  <c r="J117" i="5"/>
  <c r="E117" i="5"/>
  <c r="D117" i="5"/>
  <c r="B117" i="12" s="1"/>
  <c r="C118" i="5"/>
  <c r="H117" i="5"/>
  <c r="AD117" i="5"/>
  <c r="AE117" i="5" a="1"/>
  <c r="AE117" i="5" s="1"/>
  <c r="W117" i="5" a="1"/>
  <c r="W117" i="5" s="1"/>
  <c r="H117" i="12" s="1" a="1"/>
  <c r="H117" i="12" s="1"/>
  <c r="F117" i="5"/>
  <c r="G117" i="5"/>
  <c r="M109" i="6"/>
  <c r="CF109" i="6" l="1" a="1"/>
  <c r="CF109" i="6" s="1"/>
  <c r="BS109" i="6"/>
  <c r="CM109" i="6" a="1"/>
  <c r="CM109" i="6" s="1"/>
  <c r="BR109" i="6"/>
  <c r="CI109" i="6" a="1"/>
  <c r="CI109" i="6" s="1"/>
  <c r="BP109" i="6"/>
  <c r="CL109" i="6" a="1"/>
  <c r="CL109" i="6" s="1"/>
  <c r="BQ109" i="6"/>
  <c r="CH109" i="6" a="1"/>
  <c r="CH109" i="6" s="1"/>
  <c r="BO109" i="6"/>
  <c r="CK109" i="6" a="1"/>
  <c r="CK109" i="6" s="1"/>
  <c r="BN109" i="6"/>
  <c r="CG109" i="6" a="1"/>
  <c r="CG109" i="6" s="1"/>
  <c r="BM109" i="6"/>
  <c r="BA109" i="6"/>
  <c r="CJ109" i="6" a="1"/>
  <c r="CJ109" i="6" s="1"/>
  <c r="BT109" i="6"/>
  <c r="AV109" i="6"/>
  <c r="AZ109" i="6"/>
  <c r="AY109" i="6"/>
  <c r="AX109" i="6"/>
  <c r="AT109" i="6"/>
  <c r="AW109" i="6"/>
  <c r="AU109" i="6"/>
  <c r="C52" i="7" a="1"/>
  <c r="C52" i="7" s="1"/>
  <c r="B51" i="7"/>
  <c r="B118" i="6"/>
  <c r="L119" i="6"/>
  <c r="K116" i="12"/>
  <c r="BC109" i="6"/>
  <c r="CD109" i="6" a="1"/>
  <c r="CD109" i="6" s="1"/>
  <c r="BJ109" i="6"/>
  <c r="BE109" i="6"/>
  <c r="BH109" i="6"/>
  <c r="BX109" i="6" a="1"/>
  <c r="BX109" i="6" s="1"/>
  <c r="BI109" i="6"/>
  <c r="AN109" i="6"/>
  <c r="BF109" i="6"/>
  <c r="CB109" i="6" a="1"/>
  <c r="CB109" i="6" s="1"/>
  <c r="BL109" i="6"/>
  <c r="AQ109" i="6"/>
  <c r="BV109" i="6" a="1"/>
  <c r="BV109" i="6" s="1"/>
  <c r="BD109" i="6"/>
  <c r="CA109" i="6" a="1"/>
  <c r="CA109" i="6" s="1"/>
  <c r="CC109" i="6" a="1"/>
  <c r="CC109" i="6" s="1"/>
  <c r="BG109" i="6"/>
  <c r="BZ109" i="6" a="1"/>
  <c r="BZ109" i="6" s="1"/>
  <c r="BK109" i="6"/>
  <c r="AP109" i="6"/>
  <c r="CE109" i="6" a="1"/>
  <c r="CE109" i="6" s="1"/>
  <c r="BY109" i="6" a="1"/>
  <c r="BY109" i="6" s="1"/>
  <c r="AM109" i="6"/>
  <c r="BW109" i="6" a="1"/>
  <c r="BW109" i="6" s="1"/>
  <c r="AL109" i="6"/>
  <c r="AK109" i="6"/>
  <c r="AR109" i="6"/>
  <c r="AJ109" i="6"/>
  <c r="AS109" i="6"/>
  <c r="AO109" i="6"/>
  <c r="A118" i="12"/>
  <c r="C119" i="5"/>
  <c r="AE118" i="5" a="1"/>
  <c r="AE118" i="5" s="1"/>
  <c r="W118" i="5" a="1"/>
  <c r="W118" i="5" s="1"/>
  <c r="H118" i="12" s="1" a="1"/>
  <c r="H118" i="12" s="1"/>
  <c r="H118" i="5"/>
  <c r="AD118" i="5"/>
  <c r="G118" i="5"/>
  <c r="F118" i="5"/>
  <c r="E118" i="5"/>
  <c r="K118" i="5"/>
  <c r="N118" i="5"/>
  <c r="B118" i="5"/>
  <c r="J118" i="5"/>
  <c r="D118" i="5"/>
  <c r="B118" i="12" s="1"/>
  <c r="J117" i="12" a="1"/>
  <c r="J117" i="12" s="1"/>
  <c r="L117" i="12" a="1"/>
  <c r="L117" i="12" s="1"/>
  <c r="D117" i="6"/>
  <c r="B53" i="10" l="1"/>
  <c r="B52" i="7"/>
  <c r="K117" i="12"/>
  <c r="L120" i="6"/>
  <c r="B119" i="6"/>
  <c r="A119" i="12"/>
  <c r="D119" i="5"/>
  <c r="B119" i="12" s="1"/>
  <c r="B119" i="5"/>
  <c r="N119" i="5"/>
  <c r="AD119" i="5"/>
  <c r="G119" i="5"/>
  <c r="F119" i="5"/>
  <c r="W119" i="5" a="1"/>
  <c r="W119" i="5" s="1"/>
  <c r="H119" i="12" s="1" a="1"/>
  <c r="H119" i="12" s="1"/>
  <c r="C120" i="5"/>
  <c r="K119" i="5"/>
  <c r="J119" i="5"/>
  <c r="H119" i="5"/>
  <c r="E119" i="5"/>
  <c r="AE119" i="5" a="1"/>
  <c r="AE119" i="5" s="1"/>
  <c r="L118" i="12" a="1"/>
  <c r="L118" i="12" s="1"/>
  <c r="J118" i="12" a="1"/>
  <c r="J118" i="12" s="1"/>
  <c r="H117" i="6" a="1"/>
  <c r="H117" i="6" s="1"/>
  <c r="D118" i="6"/>
  <c r="C53" i="7" l="1" a="1"/>
  <c r="C53" i="7" s="1"/>
  <c r="B54" i="10"/>
  <c r="T117" i="5"/>
  <c r="G117" i="12" s="1" a="1"/>
  <c r="G117" i="12" s="1"/>
  <c r="B120" i="6"/>
  <c r="L121" i="6"/>
  <c r="K118" i="12"/>
  <c r="A120" i="12"/>
  <c r="K120" i="5"/>
  <c r="J120" i="5"/>
  <c r="C121" i="5"/>
  <c r="AE120" i="5" a="1"/>
  <c r="AE120" i="5" s="1"/>
  <c r="W120" i="5" a="1"/>
  <c r="W120" i="5" s="1"/>
  <c r="H120" i="12" s="1" a="1"/>
  <c r="H120" i="12" s="1"/>
  <c r="H120" i="5"/>
  <c r="AD120" i="5"/>
  <c r="G120" i="5"/>
  <c r="B120" i="5"/>
  <c r="N120" i="5"/>
  <c r="D120" i="6" s="1"/>
  <c r="F120" i="5"/>
  <c r="D120" i="5"/>
  <c r="B120" i="12" s="1"/>
  <c r="E120" i="5"/>
  <c r="L119" i="12" a="1"/>
  <c r="L119" i="12" s="1"/>
  <c r="J119" i="12" a="1"/>
  <c r="J119" i="12" s="1"/>
  <c r="H118" i="6" a="1"/>
  <c r="H118" i="6" s="1"/>
  <c r="A112" i="6"/>
  <c r="D119" i="6"/>
  <c r="B55" i="10" l="1"/>
  <c r="B53" i="7"/>
  <c r="C54" i="7" a="1"/>
  <c r="C54" i="7" s="1"/>
  <c r="T118" i="5"/>
  <c r="G118" i="12" s="1" a="1"/>
  <c r="G118" i="12" s="1"/>
  <c r="K119" i="12"/>
  <c r="H120" i="6" a="1"/>
  <c r="H120" i="6" s="1"/>
  <c r="T120" i="5" s="1"/>
  <c r="G120" i="12" s="1" a="1"/>
  <c r="G120" i="12" s="1"/>
  <c r="H119" i="6" a="1"/>
  <c r="H119" i="6" s="1"/>
  <c r="M112" i="6"/>
  <c r="A121" i="12"/>
  <c r="F121" i="5"/>
  <c r="E121" i="5"/>
  <c r="D121" i="5"/>
  <c r="B121" i="12" s="1"/>
  <c r="B121" i="5"/>
  <c r="C122" i="5" s="1"/>
  <c r="AE121" i="5" a="1"/>
  <c r="AE121" i="5" s="1"/>
  <c r="W121" i="5" a="1"/>
  <c r="W121" i="5" s="1"/>
  <c r="H121" i="12" s="1" a="1"/>
  <c r="H121" i="12" s="1"/>
  <c r="H121" i="5"/>
  <c r="AD121" i="5"/>
  <c r="N121" i="5"/>
  <c r="D121" i="6" s="1"/>
  <c r="J121" i="5"/>
  <c r="G121" i="5"/>
  <c r="K121" i="5"/>
  <c r="J120" i="12" a="1"/>
  <c r="J120" i="12" s="1"/>
  <c r="L120" i="12" a="1"/>
  <c r="L120" i="12" s="1"/>
  <c r="L122" i="6"/>
  <c r="B121" i="6"/>
  <c r="CL112" i="6" l="1" a="1"/>
  <c r="CL112" i="6" s="1"/>
  <c r="BQ112" i="6"/>
  <c r="CH112" i="6" a="1"/>
  <c r="CH112" i="6" s="1"/>
  <c r="BO112" i="6"/>
  <c r="CK112" i="6" a="1"/>
  <c r="CK112" i="6" s="1"/>
  <c r="BN112" i="6"/>
  <c r="CG112" i="6" a="1"/>
  <c r="CG112" i="6" s="1"/>
  <c r="BM112" i="6"/>
  <c r="BA112" i="6"/>
  <c r="CJ112" i="6" a="1"/>
  <c r="CJ112" i="6" s="1"/>
  <c r="BT112" i="6"/>
  <c r="AZ112" i="6"/>
  <c r="CF112" i="6" a="1"/>
  <c r="CF112" i="6" s="1"/>
  <c r="BS112" i="6"/>
  <c r="AW112" i="6"/>
  <c r="CM112" i="6" a="1"/>
  <c r="CM112" i="6" s="1"/>
  <c r="BR112" i="6"/>
  <c r="AY112" i="6"/>
  <c r="CI112" i="6" a="1"/>
  <c r="CI112" i="6" s="1"/>
  <c r="BP112" i="6"/>
  <c r="AX112" i="6"/>
  <c r="AT112" i="6"/>
  <c r="AU112" i="6"/>
  <c r="AV112" i="6"/>
  <c r="B54" i="7"/>
  <c r="C55" i="7" a="1"/>
  <c r="C55" i="7" s="1"/>
  <c r="B56" i="10"/>
  <c r="T119" i="5"/>
  <c r="G119" i="12" s="1" a="1"/>
  <c r="G119" i="12" s="1"/>
  <c r="K120" i="12"/>
  <c r="L123" i="6"/>
  <c r="B122" i="6"/>
  <c r="A122" i="12"/>
  <c r="N122" i="5"/>
  <c r="H122" i="5"/>
  <c r="AE122" i="5" a="1"/>
  <c r="AE122" i="5" s="1"/>
  <c r="F122" i="5"/>
  <c r="AD122" i="5"/>
  <c r="E122" i="5"/>
  <c r="B122" i="5"/>
  <c r="W122" i="5" a="1"/>
  <c r="W122" i="5" s="1"/>
  <c r="H122" i="12" s="1" a="1"/>
  <c r="H122" i="12" s="1"/>
  <c r="G122" i="5"/>
  <c r="C123" i="5"/>
  <c r="AF122" i="5" a="1"/>
  <c r="AF122" i="5" s="1"/>
  <c r="BL112" i="6"/>
  <c r="BD112" i="6"/>
  <c r="CA112" i="6" a="1"/>
  <c r="CA112" i="6" s="1"/>
  <c r="BZ112" i="6" a="1"/>
  <c r="BZ112" i="6" s="1"/>
  <c r="BK112" i="6"/>
  <c r="AN112" i="6"/>
  <c r="CC112" i="6" a="1"/>
  <c r="CC112" i="6" s="1"/>
  <c r="AP112" i="6"/>
  <c r="BJ112" i="6"/>
  <c r="BG112" i="6"/>
  <c r="BW112" i="6" a="1"/>
  <c r="BW112" i="6" s="1"/>
  <c r="CE112" i="6" a="1"/>
  <c r="CE112" i="6" s="1"/>
  <c r="BI112" i="6"/>
  <c r="BY112" i="6" a="1"/>
  <c r="BY112" i="6" s="1"/>
  <c r="BH112" i="6"/>
  <c r="BC112" i="6"/>
  <c r="CB112" i="6" a="1"/>
  <c r="CB112" i="6" s="1"/>
  <c r="CD112" i="6" a="1"/>
  <c r="CD112" i="6" s="1"/>
  <c r="AK112" i="6"/>
  <c r="AL112" i="6"/>
  <c r="BV112" i="6" a="1"/>
  <c r="BV112" i="6" s="1"/>
  <c r="BX112" i="6" a="1"/>
  <c r="BX112" i="6" s="1"/>
  <c r="BF112" i="6"/>
  <c r="AR112" i="6"/>
  <c r="BE112" i="6"/>
  <c r="AO112" i="6"/>
  <c r="AS112" i="6"/>
  <c r="AM112" i="6"/>
  <c r="AJ112" i="6"/>
  <c r="AQ112" i="6"/>
  <c r="H121" i="6" a="1"/>
  <c r="H121" i="6" s="1"/>
  <c r="T121" i="5" s="1"/>
  <c r="G121" i="12" s="1" a="1"/>
  <c r="G121" i="12" s="1"/>
  <c r="J121" i="12" a="1"/>
  <c r="J121" i="12" s="1"/>
  <c r="L121" i="12" a="1"/>
  <c r="L121" i="12" s="1"/>
  <c r="B57" i="10" l="1"/>
  <c r="B55" i="7"/>
  <c r="C56" i="7" a="1"/>
  <c r="C56" i="7" s="1"/>
  <c r="F122" i="6"/>
  <c r="K121" i="12"/>
  <c r="J122" i="6" a="1"/>
  <c r="J122" i="6" s="1"/>
  <c r="D122" i="6"/>
  <c r="L124" i="6"/>
  <c r="B123" i="6"/>
  <c r="AG122" i="5" a="1"/>
  <c r="AG122" i="5" s="1"/>
  <c r="F122" i="12" a="1"/>
  <c r="F122" i="12" s="1"/>
  <c r="A123" i="12"/>
  <c r="C124" i="5"/>
  <c r="AE123" i="5" a="1"/>
  <c r="AE123" i="5" s="1"/>
  <c r="W123" i="5" a="1"/>
  <c r="W123" i="5" s="1"/>
  <c r="H123" i="12" s="1" a="1"/>
  <c r="H123" i="12" s="1"/>
  <c r="H123" i="5"/>
  <c r="AD123" i="5"/>
  <c r="G123" i="5"/>
  <c r="F123" i="5"/>
  <c r="E123" i="5"/>
  <c r="D123" i="5"/>
  <c r="B123" i="12" s="1"/>
  <c r="K123" i="5"/>
  <c r="J123" i="5"/>
  <c r="B123" i="5"/>
  <c r="N123" i="5"/>
  <c r="D123" i="6" s="1"/>
  <c r="B56" i="7" l="1"/>
  <c r="C57" i="7" a="1"/>
  <c r="C57" i="7" s="1"/>
  <c r="E122" i="12"/>
  <c r="H123" i="6" a="1"/>
  <c r="H123" i="6" s="1"/>
  <c r="T123" i="5" s="1"/>
  <c r="G123" i="12" s="1" a="1"/>
  <c r="G123" i="12" s="1"/>
  <c r="L125" i="6"/>
  <c r="B124" i="6"/>
  <c r="A124" i="12"/>
  <c r="B124" i="5"/>
  <c r="C125" i="5" s="1"/>
  <c r="N124" i="5"/>
  <c r="D124" i="6" s="1"/>
  <c r="K124" i="5"/>
  <c r="F124" i="5"/>
  <c r="E124" i="5"/>
  <c r="J124" i="5"/>
  <c r="H124" i="5"/>
  <c r="G124" i="5"/>
  <c r="AE124" i="5" a="1"/>
  <c r="AE124" i="5" s="1"/>
  <c r="D124" i="5"/>
  <c r="B124" i="12" s="1"/>
  <c r="AD124" i="5"/>
  <c r="W124" i="5" a="1"/>
  <c r="W124" i="5" s="1"/>
  <c r="H124" i="12" s="1" a="1"/>
  <c r="H124" i="12" s="1"/>
  <c r="J123" i="12" a="1"/>
  <c r="J123" i="12" s="1"/>
  <c r="L123" i="12" a="1"/>
  <c r="L123" i="12" s="1"/>
  <c r="H122" i="6" a="1"/>
  <c r="H122" i="6" s="1"/>
  <c r="T122" i="5" s="1"/>
  <c r="G122" i="6"/>
  <c r="A223" i="6" l="1"/>
  <c r="A224" i="6"/>
  <c r="A45" i="6"/>
  <c r="N45" i="6" s="1"/>
  <c r="A222" i="6"/>
  <c r="A41" i="6"/>
  <c r="N41" i="6" s="1"/>
  <c r="A36" i="6"/>
  <c r="A110" i="6"/>
  <c r="A50" i="6"/>
  <c r="A111" i="6"/>
  <c r="A107" i="6"/>
  <c r="B57" i="7"/>
  <c r="A94" i="6"/>
  <c r="A95" i="6" s="1"/>
  <c r="A43" i="6"/>
  <c r="A44" i="6" s="1"/>
  <c r="A46" i="6" s="1"/>
  <c r="A47" i="6" s="1"/>
  <c r="A48" i="6" s="1"/>
  <c r="A49" i="6" s="1"/>
  <c r="A72" i="6"/>
  <c r="A73" i="6" s="1"/>
  <c r="A74" i="6" s="1"/>
  <c r="A75" i="6" s="1"/>
  <c r="A88" i="6"/>
  <c r="A89" i="6" s="1"/>
  <c r="A90" i="6" s="1"/>
  <c r="A91" i="6" s="1"/>
  <c r="A92" i="6" s="1"/>
  <c r="A87" i="6"/>
  <c r="A113" i="6"/>
  <c r="A114" i="6" s="1"/>
  <c r="A115" i="6" s="1"/>
  <c r="A116" i="6" s="1"/>
  <c r="A117" i="6" s="1"/>
  <c r="A77" i="6"/>
  <c r="A32" i="6"/>
  <c r="A33" i="6" s="1"/>
  <c r="A34" i="6" s="1"/>
  <c r="A35" i="6" s="1"/>
  <c r="A37" i="6" s="1"/>
  <c r="A38" i="6" s="1"/>
  <c r="A39" i="6" s="1"/>
  <c r="A40" i="6" s="1"/>
  <c r="A67" i="6"/>
  <c r="A108" i="6"/>
  <c r="A85" i="6"/>
  <c r="A69" i="6"/>
  <c r="A70" i="6" s="1"/>
  <c r="A102" i="6"/>
  <c r="A103" i="6" s="1"/>
  <c r="A104" i="6" s="1"/>
  <c r="A105" i="6" s="1"/>
  <c r="A56" i="6"/>
  <c r="A57" i="6" s="1"/>
  <c r="A58" i="6" s="1"/>
  <c r="A59" i="6" s="1"/>
  <c r="A60" i="6" s="1"/>
  <c r="A61" i="6" s="1"/>
  <c r="A62" i="6" s="1"/>
  <c r="A63" i="6" s="1"/>
  <c r="A64" i="6" s="1"/>
  <c r="A65" i="6" s="1"/>
  <c r="A52" i="6"/>
  <c r="A53" i="6" s="1"/>
  <c r="A54" i="6" s="1"/>
  <c r="A79" i="6"/>
  <c r="A80" i="6" s="1"/>
  <c r="A81" i="6" s="1"/>
  <c r="A82" i="6" s="1"/>
  <c r="A83" i="6" s="1"/>
  <c r="A97" i="6"/>
  <c r="A98" i="6" s="1"/>
  <c r="A99" i="6" s="1"/>
  <c r="A100" i="6" s="1"/>
  <c r="K123" i="12"/>
  <c r="H124" i="6" a="1"/>
  <c r="H124" i="6" s="1"/>
  <c r="T124" i="5" s="1"/>
  <c r="G124" i="12" s="1" a="1"/>
  <c r="G124" i="12" s="1"/>
  <c r="J124" i="12" a="1"/>
  <c r="J124" i="12" s="1"/>
  <c r="L124" i="12" a="1"/>
  <c r="L124" i="12" s="1"/>
  <c r="A125" i="12"/>
  <c r="C126" i="5"/>
  <c r="AE125" i="5" a="1"/>
  <c r="AE125" i="5" s="1"/>
  <c r="W125" i="5" a="1"/>
  <c r="W125" i="5" s="1"/>
  <c r="H125" i="12" s="1" a="1"/>
  <c r="H125" i="12" s="1"/>
  <c r="H125" i="5"/>
  <c r="AD125" i="5"/>
  <c r="G125" i="5"/>
  <c r="F125" i="5"/>
  <c r="N125" i="5"/>
  <c r="B125" i="5"/>
  <c r="E125" i="5"/>
  <c r="AF125" i="5" a="1"/>
  <c r="AF125" i="5" s="1"/>
  <c r="G122" i="12" a="1"/>
  <c r="G122" i="12" s="1"/>
  <c r="L126" i="6"/>
  <c r="B125" i="6"/>
  <c r="M45" i="6" l="1"/>
  <c r="BH45" i="6" s="1"/>
  <c r="M41" i="6"/>
  <c r="CB41" i="6" s="1" a="1"/>
  <c r="CB41" i="6" s="1"/>
  <c r="N36" i="6"/>
  <c r="M36" i="6"/>
  <c r="N50" i="6"/>
  <c r="M50" i="6"/>
  <c r="K124" i="12"/>
  <c r="AG125" i="5" a="1"/>
  <c r="AG125" i="5" s="1"/>
  <c r="F125" i="12" a="1"/>
  <c r="F125" i="12" s="1"/>
  <c r="J125" i="6" a="1"/>
  <c r="J125" i="6" s="1"/>
  <c r="A118" i="6"/>
  <c r="A126" i="12"/>
  <c r="E126" i="5"/>
  <c r="D126" i="5"/>
  <c r="B126" i="12" s="1"/>
  <c r="B126" i="5"/>
  <c r="N126" i="5"/>
  <c r="C127" i="5"/>
  <c r="AE126" i="5" a="1"/>
  <c r="AE126" i="5" s="1"/>
  <c r="W126" i="5" a="1"/>
  <c r="W126" i="5" s="1"/>
  <c r="H126" i="12" s="1" a="1"/>
  <c r="H126" i="12" s="1"/>
  <c r="H126" i="5"/>
  <c r="AD126" i="5"/>
  <c r="G126" i="5"/>
  <c r="K126" i="5"/>
  <c r="J126" i="5"/>
  <c r="F126" i="5"/>
  <c r="B126" i="6"/>
  <c r="L127" i="6"/>
  <c r="D125" i="6"/>
  <c r="AW45" i="6" l="1"/>
  <c r="AX45" i="6"/>
  <c r="AS45" i="6"/>
  <c r="AJ45" i="6"/>
  <c r="CG45" i="6" a="1"/>
  <c r="CG45" i="6" s="1"/>
  <c r="CD45" i="6" a="1"/>
  <c r="CD45" i="6" s="1"/>
  <c r="CF45" i="6" a="1"/>
  <c r="CF45" i="6" s="1"/>
  <c r="CC45" i="6" a="1"/>
  <c r="CC45" i="6" s="1"/>
  <c r="BQ45" i="6"/>
  <c r="AU45" i="6"/>
  <c r="AZ45" i="6"/>
  <c r="CH45" i="6" a="1"/>
  <c r="CH45" i="6" s="1"/>
  <c r="BC45" i="6"/>
  <c r="AM45" i="6"/>
  <c r="AR45" i="6"/>
  <c r="BP45" i="6"/>
  <c r="BG45" i="6"/>
  <c r="AL45" i="6"/>
  <c r="CB45" i="6" a="1"/>
  <c r="CB45" i="6" s="1"/>
  <c r="CJ45" i="6" a="1"/>
  <c r="CJ45" i="6" s="1"/>
  <c r="CM45" i="6" a="1"/>
  <c r="CM45" i="6" s="1"/>
  <c r="BD45" i="6"/>
  <c r="AO45" i="6"/>
  <c r="AP45" i="6"/>
  <c r="BY45" i="6" a="1"/>
  <c r="BY45" i="6" s="1"/>
  <c r="AV45" i="6"/>
  <c r="BA45" i="6"/>
  <c r="BS45" i="6"/>
  <c r="BF45" i="6"/>
  <c r="BZ45" i="6" a="1"/>
  <c r="BZ45" i="6" s="1"/>
  <c r="AN45" i="6"/>
  <c r="AK45" i="6"/>
  <c r="CI45" i="6" a="1"/>
  <c r="CI45" i="6" s="1"/>
  <c r="BR45" i="6"/>
  <c r="CL45" i="6" a="1"/>
  <c r="CL45" i="6" s="1"/>
  <c r="AY45" i="6"/>
  <c r="BX45" i="6" a="1"/>
  <c r="BX45" i="6" s="1"/>
  <c r="BE45" i="6"/>
  <c r="BJ45" i="6"/>
  <c r="BN45" i="6"/>
  <c r="AQ45" i="6"/>
  <c r="BT45" i="6"/>
  <c r="BW45" i="6" a="1"/>
  <c r="BW45" i="6" s="1"/>
  <c r="CE45" i="6" a="1"/>
  <c r="CE45" i="6" s="1"/>
  <c r="BM45" i="6"/>
  <c r="AT45" i="6"/>
  <c r="CK45" i="6" a="1"/>
  <c r="CK45" i="6" s="1"/>
  <c r="BL45" i="6"/>
  <c r="BK45" i="6"/>
  <c r="BO45" i="6"/>
  <c r="BV45" i="6" a="1"/>
  <c r="BV45" i="6" s="1"/>
  <c r="BI45" i="6"/>
  <c r="CA45" i="6" a="1"/>
  <c r="CA45" i="6" s="1"/>
  <c r="AW41" i="6"/>
  <c r="AL41" i="6"/>
  <c r="AY41" i="6"/>
  <c r="BX41" i="6" a="1"/>
  <c r="BX41" i="6" s="1"/>
  <c r="BQ41" i="6"/>
  <c r="CA41" i="6" a="1"/>
  <c r="CA41" i="6" s="1"/>
  <c r="AN41" i="6"/>
  <c r="AT41" i="6"/>
  <c r="BZ41" i="6" a="1"/>
  <c r="BZ41" i="6" s="1"/>
  <c r="BW41" i="6" a="1"/>
  <c r="BW41" i="6" s="1"/>
  <c r="CJ41" i="6" a="1"/>
  <c r="CJ41" i="6" s="1"/>
  <c r="BE41" i="6"/>
  <c r="BY41" i="6" a="1"/>
  <c r="BY41" i="6" s="1"/>
  <c r="BA41" i="6"/>
  <c r="BS41" i="6"/>
  <c r="AO41" i="6"/>
  <c r="AK41" i="6"/>
  <c r="BP41" i="6"/>
  <c r="BR41" i="6"/>
  <c r="BO41" i="6"/>
  <c r="BH41" i="6"/>
  <c r="CI41" i="6" a="1"/>
  <c r="CI41" i="6" s="1"/>
  <c r="CG41" i="6" a="1"/>
  <c r="CG41" i="6" s="1"/>
  <c r="AV41" i="6"/>
  <c r="BI41" i="6"/>
  <c r="BF41" i="6"/>
  <c r="AU41" i="6"/>
  <c r="AP41" i="6"/>
  <c r="CL41" i="6" a="1"/>
  <c r="CL41" i="6" s="1"/>
  <c r="CD41" i="6" a="1"/>
  <c r="CD41" i="6" s="1"/>
  <c r="BM41" i="6"/>
  <c r="CK41" i="6" a="1"/>
  <c r="CK41" i="6" s="1"/>
  <c r="CE41" i="6" a="1"/>
  <c r="CE41" i="6" s="1"/>
  <c r="BT41" i="6"/>
  <c r="AM41" i="6"/>
  <c r="AZ41" i="6"/>
  <c r="BJ41" i="6"/>
  <c r="BL41" i="6"/>
  <c r="BK41" i="6"/>
  <c r="BG41" i="6"/>
  <c r="CF41" i="6" a="1"/>
  <c r="CF41" i="6" s="1"/>
  <c r="AQ41" i="6"/>
  <c r="AX41" i="6"/>
  <c r="AR41" i="6"/>
  <c r="BV41" i="6" a="1"/>
  <c r="BV41" i="6" s="1"/>
  <c r="BN41" i="6"/>
  <c r="CM41" i="6" a="1"/>
  <c r="CM41" i="6" s="1"/>
  <c r="CC41" i="6" a="1"/>
  <c r="CC41" i="6" s="1"/>
  <c r="BL36" i="6"/>
  <c r="CG36" i="6" a="1"/>
  <c r="CG36" i="6" s="1"/>
  <c r="BN36" i="6"/>
  <c r="BY36" i="6" a="1"/>
  <c r="BY36" i="6" s="1"/>
  <c r="CL36" i="6" a="1"/>
  <c r="CL36" i="6" s="1"/>
  <c r="CE36" i="6" a="1"/>
  <c r="CE36" i="6" s="1"/>
  <c r="BX36" i="6" a="1"/>
  <c r="BX36" i="6" s="1"/>
  <c r="BV36" i="6" a="1"/>
  <c r="BV36" i="6" s="1"/>
  <c r="BO36" i="6"/>
  <c r="CI36" i="6" a="1"/>
  <c r="CI36" i="6" s="1"/>
  <c r="BR36" i="6"/>
  <c r="BH36" i="6"/>
  <c r="CC36" i="6" a="1"/>
  <c r="CC36" i="6" s="1"/>
  <c r="BE36" i="6"/>
  <c r="BP36" i="6"/>
  <c r="BJ36" i="6"/>
  <c r="BZ36" i="6" a="1"/>
  <c r="BZ36" i="6" s="1"/>
  <c r="BS36" i="6"/>
  <c r="BG36" i="6"/>
  <c r="CB36" i="6" a="1"/>
  <c r="CB36" i="6" s="1"/>
  <c r="CM36" i="6" a="1"/>
  <c r="CM36" i="6" s="1"/>
  <c r="BD36" i="6"/>
  <c r="BI36" i="6"/>
  <c r="CJ36" i="6" a="1"/>
  <c r="CJ36" i="6" s="1"/>
  <c r="CH36" i="6" a="1"/>
  <c r="CH36" i="6" s="1"/>
  <c r="BK36" i="6"/>
  <c r="BW36" i="6" a="1"/>
  <c r="BW36" i="6" s="1"/>
  <c r="CF36" i="6" a="1"/>
  <c r="CF36" i="6" s="1"/>
  <c r="CD36" i="6" a="1"/>
  <c r="CD36" i="6" s="1"/>
  <c r="BQ36" i="6"/>
  <c r="BF36" i="6"/>
  <c r="BT36" i="6"/>
  <c r="CK36" i="6" a="1"/>
  <c r="CK36" i="6" s="1"/>
  <c r="CA36" i="6" a="1"/>
  <c r="CA36" i="6" s="1"/>
  <c r="BM36" i="6"/>
  <c r="BC36" i="6"/>
  <c r="AQ36" i="6"/>
  <c r="AY36" i="6"/>
  <c r="AJ36" i="6"/>
  <c r="AR36" i="6"/>
  <c r="AZ36" i="6"/>
  <c r="AP36" i="6"/>
  <c r="AK36" i="6"/>
  <c r="AT36" i="6"/>
  <c r="BA36" i="6"/>
  <c r="AL36" i="6"/>
  <c r="AS36" i="6"/>
  <c r="AM36" i="6"/>
  <c r="AU36" i="6"/>
  <c r="AN36" i="6"/>
  <c r="AV36" i="6"/>
  <c r="AO36" i="6"/>
  <c r="AW36" i="6"/>
  <c r="AX36" i="6"/>
  <c r="AS41" i="6"/>
  <c r="AJ41" i="6"/>
  <c r="BD41" i="6"/>
  <c r="CH41" i="6" a="1"/>
  <c r="CH41" i="6" s="1"/>
  <c r="BC41" i="6"/>
  <c r="BO50" i="6"/>
  <c r="BE50" i="6"/>
  <c r="CL50" i="6" a="1"/>
  <c r="CL50" i="6" s="1"/>
  <c r="BM50" i="6"/>
  <c r="CK50" i="6" a="1"/>
  <c r="CK50" i="6" s="1"/>
  <c r="CI50" i="6" a="1"/>
  <c r="CI50" i="6" s="1"/>
  <c r="BC50" i="6"/>
  <c r="CC50" i="6" a="1"/>
  <c r="CC50" i="6" s="1"/>
  <c r="BF50" i="6"/>
  <c r="BP50" i="6"/>
  <c r="BV50" i="6" a="1"/>
  <c r="BV50" i="6" s="1"/>
  <c r="BL50" i="6"/>
  <c r="CH50" i="6" a="1"/>
  <c r="CH50" i="6" s="1"/>
  <c r="CA50" i="6" a="1"/>
  <c r="CA50" i="6" s="1"/>
  <c r="CB50" i="6" a="1"/>
  <c r="CB50" i="6" s="1"/>
  <c r="CJ50" i="6" a="1"/>
  <c r="CJ50" i="6" s="1"/>
  <c r="CG50" i="6" a="1"/>
  <c r="CG50" i="6" s="1"/>
  <c r="BT50" i="6"/>
  <c r="BQ50" i="6"/>
  <c r="BK50" i="6"/>
  <c r="BD50" i="6"/>
  <c r="CD50" i="6" a="1"/>
  <c r="CD50" i="6" s="1"/>
  <c r="BX50" i="6" a="1"/>
  <c r="BX50" i="6" s="1"/>
  <c r="BI50" i="6"/>
  <c r="BN50" i="6"/>
  <c r="CM50" i="6" a="1"/>
  <c r="CM50" i="6" s="1"/>
  <c r="BY50" i="6" a="1"/>
  <c r="BY50" i="6" s="1"/>
  <c r="BJ50" i="6"/>
  <c r="CE50" i="6" a="1"/>
  <c r="CE50" i="6" s="1"/>
  <c r="CF50" i="6" a="1"/>
  <c r="CF50" i="6" s="1"/>
  <c r="BZ50" i="6" a="1"/>
  <c r="BZ50" i="6" s="1"/>
  <c r="BR50" i="6"/>
  <c r="BW50" i="6" a="1"/>
  <c r="BW50" i="6" s="1"/>
  <c r="BH50" i="6"/>
  <c r="BS50" i="6"/>
  <c r="BG50" i="6"/>
  <c r="AN50" i="6"/>
  <c r="AV50" i="6"/>
  <c r="AK50" i="6"/>
  <c r="AO50" i="6"/>
  <c r="AW50" i="6"/>
  <c r="AP50" i="6"/>
  <c r="AX50" i="6"/>
  <c r="AT50" i="6"/>
  <c r="AQ50" i="6"/>
  <c r="AY50" i="6"/>
  <c r="AJ50" i="6"/>
  <c r="AR50" i="6"/>
  <c r="AZ50" i="6"/>
  <c r="BA50" i="6"/>
  <c r="AL50" i="6"/>
  <c r="AS50" i="6"/>
  <c r="AM50" i="6"/>
  <c r="AU50" i="6"/>
  <c r="H125" i="6" a="1"/>
  <c r="H125" i="6" s="1"/>
  <c r="T125" i="5" s="1"/>
  <c r="G125" i="12" s="1" a="1"/>
  <c r="G125" i="12" s="1"/>
  <c r="G125" i="6"/>
  <c r="E125" i="12"/>
  <c r="F125" i="6"/>
  <c r="L126" i="12" a="1"/>
  <c r="L126" i="12" s="1"/>
  <c r="J126" i="12" a="1"/>
  <c r="J126" i="12" s="1"/>
  <c r="L128" i="6"/>
  <c r="B127" i="6"/>
  <c r="A127" i="12"/>
  <c r="K127" i="5"/>
  <c r="J127" i="5"/>
  <c r="C128" i="5"/>
  <c r="AE127" i="5" a="1"/>
  <c r="AE127" i="5" s="1"/>
  <c r="W127" i="5" a="1"/>
  <c r="W127" i="5" s="1"/>
  <c r="H127" i="12" s="1" a="1"/>
  <c r="H127" i="12" s="1"/>
  <c r="H127" i="5"/>
  <c r="AD127" i="5"/>
  <c r="G127" i="5"/>
  <c r="B127" i="5"/>
  <c r="F127" i="5"/>
  <c r="E127" i="5"/>
  <c r="D127" i="5"/>
  <c r="B127" i="12" s="1"/>
  <c r="N127" i="5"/>
  <c r="A119" i="6"/>
  <c r="D126" i="6"/>
  <c r="X45" i="5" l="1" a="1"/>
  <c r="X45" i="5" s="1"/>
  <c r="AM45" i="5" s="1"/>
  <c r="X41" i="5" a="1"/>
  <c r="X41" i="5" s="1"/>
  <c r="AM41" i="5" s="1"/>
  <c r="X36" i="5" a="1"/>
  <c r="X36" i="5" s="1"/>
  <c r="X50" i="5" a="1"/>
  <c r="X50" i="5" s="1"/>
  <c r="K126" i="12"/>
  <c r="B128" i="6"/>
  <c r="A128" i="12"/>
  <c r="AD128" i="5"/>
  <c r="G128" i="5"/>
  <c r="F128" i="5"/>
  <c r="E128" i="5"/>
  <c r="D128" i="5"/>
  <c r="B128" i="12" s="1"/>
  <c r="B128" i="5"/>
  <c r="J128" i="5"/>
  <c r="AE128" i="5" a="1"/>
  <c r="AE128" i="5" s="1"/>
  <c r="W128" i="5" a="1"/>
  <c r="W128" i="5" s="1"/>
  <c r="H128" i="12" s="1" a="1"/>
  <c r="H128" i="12" s="1"/>
  <c r="K128" i="5"/>
  <c r="H128" i="5"/>
  <c r="N128" i="5"/>
  <c r="H126" i="6" a="1"/>
  <c r="H126" i="6" s="1"/>
  <c r="A120" i="6"/>
  <c r="D127" i="6"/>
  <c r="J127" i="12" a="1"/>
  <c r="J127" i="12" s="1"/>
  <c r="L127" i="12" a="1"/>
  <c r="L127" i="12" s="1"/>
  <c r="Z45" i="5" l="1"/>
  <c r="AB45" i="5" s="1" a="1"/>
  <c r="AB45" i="5" s="1"/>
  <c r="L45" i="5"/>
  <c r="C45" i="6" s="1"/>
  <c r="I45" i="12"/>
  <c r="C45" i="12" s="1"/>
  <c r="Z41" i="5"/>
  <c r="AB41" i="5" s="1" a="1"/>
  <c r="AB41" i="5" s="1"/>
  <c r="I41" i="12"/>
  <c r="M41" i="12" s="1" a="1"/>
  <c r="M41" i="12" s="1"/>
  <c r="L41" i="5"/>
  <c r="C41" i="6" s="1"/>
  <c r="AM36" i="5"/>
  <c r="L36" i="5"/>
  <c r="Z36" i="5"/>
  <c r="I36" i="12"/>
  <c r="AM50" i="5"/>
  <c r="L50" i="5"/>
  <c r="I50" i="12"/>
  <c r="Z50" i="5"/>
  <c r="T126" i="5"/>
  <c r="G126" i="12" s="1" a="1"/>
  <c r="G126" i="12" s="1"/>
  <c r="K127" i="12"/>
  <c r="H127" i="6" a="1"/>
  <c r="H127" i="6" s="1"/>
  <c r="L129" i="6"/>
  <c r="A121" i="6"/>
  <c r="C129" i="5"/>
  <c r="D128" i="6"/>
  <c r="J128" i="12" a="1"/>
  <c r="J128" i="12" s="1"/>
  <c r="L128" i="12" a="1"/>
  <c r="L128" i="12" s="1"/>
  <c r="M45" i="12" l="1" a="1"/>
  <c r="M45" i="12" s="1"/>
  <c r="AO45" i="12" a="1"/>
  <c r="AO45" i="12" s="1"/>
  <c r="O45" i="12" a="1"/>
  <c r="O45" i="12" s="1"/>
  <c r="O41" i="12" a="1"/>
  <c r="O41" i="12" s="1"/>
  <c r="N41" i="12" s="1"/>
  <c r="AO41" i="12" a="1"/>
  <c r="AO41" i="12" s="1"/>
  <c r="C41" i="12"/>
  <c r="C36" i="12"/>
  <c r="AO36" i="12" a="1"/>
  <c r="AO36" i="12" s="1"/>
  <c r="O36" i="12" a="1"/>
  <c r="O36" i="12" s="1"/>
  <c r="M36" i="12" a="1"/>
  <c r="M36" i="12" s="1"/>
  <c r="AB36" i="5" a="1"/>
  <c r="AB36" i="5" s="1"/>
  <c r="C36" i="6"/>
  <c r="AB50" i="5" a="1"/>
  <c r="AB50" i="5" s="1"/>
  <c r="C50" i="12"/>
  <c r="AO50" i="12" a="1"/>
  <c r="AO50" i="12" s="1"/>
  <c r="M50" i="12" a="1"/>
  <c r="M50" i="12" s="1"/>
  <c r="O50" i="12" a="1"/>
  <c r="O50" i="12" s="1"/>
  <c r="C50" i="6"/>
  <c r="T127" i="5"/>
  <c r="G127" i="12" s="1" a="1"/>
  <c r="G127" i="12" s="1"/>
  <c r="H128" i="6" a="1"/>
  <c r="H128" i="6" s="1"/>
  <c r="A30" i="6"/>
  <c r="A122" i="6"/>
  <c r="B129" i="6"/>
  <c r="K128" i="12"/>
  <c r="A129" i="12"/>
  <c r="AE129" i="5" a="1"/>
  <c r="AE129" i="5" s="1"/>
  <c r="W129" i="5" a="1"/>
  <c r="W129" i="5" s="1"/>
  <c r="H129" i="12" s="1" a="1"/>
  <c r="H129" i="12" s="1"/>
  <c r="H129" i="5"/>
  <c r="AD129" i="5"/>
  <c r="G129" i="5"/>
  <c r="F129" i="5"/>
  <c r="E129" i="5"/>
  <c r="N129" i="5"/>
  <c r="B129" i="5"/>
  <c r="AF129" i="5" a="1"/>
  <c r="AF129" i="5" s="1"/>
  <c r="N45" i="12" l="1"/>
  <c r="Y45" i="12"/>
  <c r="X45" i="12" s="1" a="1"/>
  <c r="X45" i="12" s="1"/>
  <c r="Y41" i="12"/>
  <c r="X41" i="12" s="1" a="1"/>
  <c r="X41" i="12" s="1"/>
  <c r="N36" i="12"/>
  <c r="Y36" i="12"/>
  <c r="N50" i="12"/>
  <c r="Y50" i="12"/>
  <c r="A24" i="6"/>
  <c r="N24" i="6" s="1"/>
  <c r="A18" i="6"/>
  <c r="A19" i="6" s="1"/>
  <c r="A20" i="6" s="1"/>
  <c r="T128" i="5"/>
  <c r="G128" i="12" s="1" a="1"/>
  <c r="G128" i="12" s="1"/>
  <c r="E129" i="12"/>
  <c r="C130" i="5"/>
  <c r="C10" i="7"/>
  <c r="L130" i="6"/>
  <c r="M122" i="6"/>
  <c r="A123" i="6"/>
  <c r="F129" i="12" a="1"/>
  <c r="F129" i="12" s="1"/>
  <c r="AG129" i="5" a="1"/>
  <c r="AG129" i="5" s="1"/>
  <c r="J129" i="6" a="1"/>
  <c r="J129" i="6" s="1"/>
  <c r="D129" i="6"/>
  <c r="W45" i="12" l="1" a="1"/>
  <c r="W45" i="12" s="1"/>
  <c r="V45" i="12" s="1" a="1"/>
  <c r="V45" i="12" s="1"/>
  <c r="W41" i="12" a="1"/>
  <c r="W41" i="12" s="1"/>
  <c r="V41" i="12" s="1" a="1"/>
  <c r="V41" i="12" s="1"/>
  <c r="X36" i="12" a="1"/>
  <c r="X36" i="12" s="1"/>
  <c r="W36" i="12" a="1"/>
  <c r="W36" i="12" s="1"/>
  <c r="X50" i="12" a="1"/>
  <c r="X50" i="12" s="1"/>
  <c r="W50" i="12" a="1"/>
  <c r="W50" i="12" s="1"/>
  <c r="CL122" i="6" a="1"/>
  <c r="CL122" i="6" s="1"/>
  <c r="BQ122" i="6"/>
  <c r="CH122" i="6" a="1"/>
  <c r="CH122" i="6" s="1"/>
  <c r="BO122" i="6"/>
  <c r="CK122" i="6" a="1"/>
  <c r="CK122" i="6" s="1"/>
  <c r="BN122" i="6"/>
  <c r="CG122" i="6" a="1"/>
  <c r="CG122" i="6" s="1"/>
  <c r="BM122" i="6"/>
  <c r="CJ122" i="6" a="1"/>
  <c r="CJ122" i="6" s="1"/>
  <c r="BT122" i="6"/>
  <c r="BP122" i="6"/>
  <c r="CF122" i="6" a="1"/>
  <c r="CF122" i="6" s="1"/>
  <c r="BS122" i="6"/>
  <c r="CI122" i="6" a="1"/>
  <c r="CI122" i="6" s="1"/>
  <c r="BR122" i="6"/>
  <c r="CM122" i="6" a="1"/>
  <c r="CM122" i="6" s="1"/>
  <c r="AY122" i="6"/>
  <c r="AZ122" i="6"/>
  <c r="AV122" i="6"/>
  <c r="BA122" i="6"/>
  <c r="AW122" i="6"/>
  <c r="AT122" i="6"/>
  <c r="AX122" i="6"/>
  <c r="AU122" i="6"/>
  <c r="N20" i="6"/>
  <c r="A21" i="6"/>
  <c r="N18" i="6"/>
  <c r="A25" i="6"/>
  <c r="A26" i="6" s="1"/>
  <c r="M18" i="6"/>
  <c r="N19" i="6"/>
  <c r="F129" i="6"/>
  <c r="A130" i="12"/>
  <c r="K130" i="5"/>
  <c r="J130" i="5"/>
  <c r="C131" i="5"/>
  <c r="AE130" i="5" a="1"/>
  <c r="AE130" i="5" s="1"/>
  <c r="W130" i="5" a="1"/>
  <c r="W130" i="5" s="1"/>
  <c r="H130" i="12" s="1" a="1"/>
  <c r="H130" i="12" s="1"/>
  <c r="H130" i="5"/>
  <c r="AD130" i="5"/>
  <c r="G130" i="5"/>
  <c r="F130" i="5"/>
  <c r="B130" i="5"/>
  <c r="N130" i="5"/>
  <c r="D130" i="6" s="1"/>
  <c r="E130" i="5"/>
  <c r="D130" i="5"/>
  <c r="B130" i="12" s="1"/>
  <c r="B130" i="6"/>
  <c r="L131" i="6"/>
  <c r="H129" i="6" a="1"/>
  <c r="H129" i="6" s="1"/>
  <c r="T129" i="5" s="1"/>
  <c r="G129" i="6"/>
  <c r="A124" i="6"/>
  <c r="CE122" i="6" a="1"/>
  <c r="CE122" i="6" s="1"/>
  <c r="BE122" i="6"/>
  <c r="CB122" i="6" a="1"/>
  <c r="CB122" i="6" s="1"/>
  <c r="CA122" i="6" a="1"/>
  <c r="CA122" i="6" s="1"/>
  <c r="BL122" i="6"/>
  <c r="BK122" i="6"/>
  <c r="BX122" i="6" a="1"/>
  <c r="BX122" i="6" s="1"/>
  <c r="BJ122" i="6"/>
  <c r="BW122" i="6" a="1"/>
  <c r="BW122" i="6" s="1"/>
  <c r="BG122" i="6"/>
  <c r="AK122" i="6"/>
  <c r="BD122" i="6"/>
  <c r="AN122" i="6"/>
  <c r="BZ122" i="6" a="1"/>
  <c r="BZ122" i="6" s="1"/>
  <c r="AL122" i="6"/>
  <c r="BI122" i="6"/>
  <c r="AM122" i="6"/>
  <c r="CD122" i="6" a="1"/>
  <c r="CD122" i="6" s="1"/>
  <c r="BH122" i="6"/>
  <c r="BC122" i="6"/>
  <c r="AO122" i="6"/>
  <c r="AR122" i="6"/>
  <c r="CC122" i="6" a="1"/>
  <c r="CC122" i="6" s="1"/>
  <c r="BY122" i="6" a="1"/>
  <c r="BY122" i="6" s="1"/>
  <c r="AS122" i="6"/>
  <c r="BV122" i="6" a="1"/>
  <c r="BV122" i="6" s="1"/>
  <c r="BF122" i="6"/>
  <c r="AQ122" i="6"/>
  <c r="AJ122" i="6"/>
  <c r="AP122" i="6"/>
  <c r="T45" i="12" l="1"/>
  <c r="U45" i="12"/>
  <c r="T41" i="12"/>
  <c r="U41" i="12"/>
  <c r="V36" i="12" a="1"/>
  <c r="V36" i="12" s="1"/>
  <c r="U36" i="12"/>
  <c r="T36" i="12"/>
  <c r="V50" i="12" a="1"/>
  <c r="V50" i="12" s="1"/>
  <c r="U50" i="12"/>
  <c r="T50" i="12"/>
  <c r="CK18" i="6" a="1"/>
  <c r="CK18" i="6" s="1"/>
  <c r="BS18" i="6"/>
  <c r="BP18" i="6"/>
  <c r="CI18" i="6" a="1"/>
  <c r="CI18" i="6" s="1"/>
  <c r="BQ18" i="6"/>
  <c r="BR18" i="6"/>
  <c r="BN18" i="6"/>
  <c r="CL18" i="6" a="1"/>
  <c r="CL18" i="6" s="1"/>
  <c r="CM18" i="6" a="1"/>
  <c r="CM18" i="6" s="1"/>
  <c r="BT18" i="6"/>
  <c r="CJ18" i="6" a="1"/>
  <c r="CJ18" i="6" s="1"/>
  <c r="CF18" i="6" a="1"/>
  <c r="CF18" i="6" s="1"/>
  <c r="BO18" i="6"/>
  <c r="CH18" i="6" a="1"/>
  <c r="CH18" i="6" s="1"/>
  <c r="BM18" i="6"/>
  <c r="CG18" i="6" a="1"/>
  <c r="CG18" i="6" s="1"/>
  <c r="AT18" i="6"/>
  <c r="AU18" i="6"/>
  <c r="AV18" i="6"/>
  <c r="AW18" i="6"/>
  <c r="AZ18" i="6"/>
  <c r="AX18" i="6"/>
  <c r="AY18" i="6"/>
  <c r="BA18" i="6"/>
  <c r="N21" i="6"/>
  <c r="A22" i="6"/>
  <c r="BC18" i="6"/>
  <c r="M20" i="6"/>
  <c r="N25" i="6"/>
  <c r="M19" i="6"/>
  <c r="N26" i="6"/>
  <c r="A27" i="6"/>
  <c r="M21" i="6"/>
  <c r="AS18" i="6"/>
  <c r="BF18" i="6"/>
  <c r="AP18" i="6"/>
  <c r="AR18" i="6"/>
  <c r="BE18" i="6"/>
  <c r="AL18" i="6"/>
  <c r="BY18" i="6" a="1"/>
  <c r="BY18" i="6" s="1"/>
  <c r="CC18" i="6" a="1"/>
  <c r="CC18" i="6" s="1"/>
  <c r="CB18" i="6" a="1"/>
  <c r="CB18" i="6" s="1"/>
  <c r="BJ18" i="6"/>
  <c r="AQ18" i="6"/>
  <c r="AK18" i="6"/>
  <c r="BI18" i="6"/>
  <c r="BW18" i="6" a="1"/>
  <c r="BW18" i="6" s="1"/>
  <c r="AM18" i="6"/>
  <c r="BX18" i="6" a="1"/>
  <c r="BX18" i="6" s="1"/>
  <c r="AJ18" i="6"/>
  <c r="CE18" i="6" a="1"/>
  <c r="CE18" i="6" s="1"/>
  <c r="CA18" i="6" a="1"/>
  <c r="CA18" i="6" s="1"/>
  <c r="BD18" i="6"/>
  <c r="BL18" i="6"/>
  <c r="AO18" i="6"/>
  <c r="CD18" i="6" a="1"/>
  <c r="CD18" i="6" s="1"/>
  <c r="BZ18" i="6" a="1"/>
  <c r="BZ18" i="6" s="1"/>
  <c r="BV18" i="6" a="1"/>
  <c r="BV18" i="6" s="1"/>
  <c r="BH18" i="6"/>
  <c r="AN18" i="6"/>
  <c r="BK18" i="6"/>
  <c r="BG18" i="6"/>
  <c r="A131" i="12"/>
  <c r="F131" i="5"/>
  <c r="E131" i="5"/>
  <c r="D131" i="5"/>
  <c r="B131" i="12" s="1"/>
  <c r="B131" i="5"/>
  <c r="N131" i="5"/>
  <c r="C132" i="5"/>
  <c r="AE131" i="5" a="1"/>
  <c r="AE131" i="5" s="1"/>
  <c r="W131" i="5" a="1"/>
  <c r="W131" i="5" s="1"/>
  <c r="H131" i="12" s="1" a="1"/>
  <c r="H131" i="12" s="1"/>
  <c r="H131" i="5"/>
  <c r="AD131" i="5"/>
  <c r="K131" i="5"/>
  <c r="J131" i="5"/>
  <c r="G131" i="5"/>
  <c r="L132" i="6"/>
  <c r="B131" i="6"/>
  <c r="L130" i="12" a="1"/>
  <c r="L130" i="12" s="1"/>
  <c r="J130" i="12" a="1"/>
  <c r="J130" i="12" s="1"/>
  <c r="H130" i="6" a="1"/>
  <c r="H130" i="6" s="1"/>
  <c r="T130" i="5" s="1"/>
  <c r="G130" i="12" s="1" a="1"/>
  <c r="G130" i="12" s="1"/>
  <c r="A125" i="6"/>
  <c r="G129" i="12" a="1"/>
  <c r="G129" i="12" s="1"/>
  <c r="BF19" i="6" l="1"/>
  <c r="CH19" i="6" a="1"/>
  <c r="CH19" i="6" s="1"/>
  <c r="CJ19" i="6" a="1"/>
  <c r="CJ19" i="6" s="1"/>
  <c r="CM19" i="6" a="1"/>
  <c r="CM19" i="6" s="1"/>
  <c r="BO19" i="6"/>
  <c r="CL19" i="6" a="1"/>
  <c r="CL19" i="6" s="1"/>
  <c r="CF19" i="6" a="1"/>
  <c r="CF19" i="6" s="1"/>
  <c r="CI19" i="6" a="1"/>
  <c r="CI19" i="6" s="1"/>
  <c r="BQ19" i="6"/>
  <c r="BS19" i="6"/>
  <c r="BM19" i="6"/>
  <c r="BR19" i="6"/>
  <c r="CK19" i="6" a="1"/>
  <c r="CK19" i="6" s="1"/>
  <c r="BP19" i="6"/>
  <c r="CG19" i="6" a="1"/>
  <c r="CG19" i="6" s="1"/>
  <c r="BN19" i="6"/>
  <c r="BT19" i="6"/>
  <c r="AZ19" i="6"/>
  <c r="BA19" i="6"/>
  <c r="AT19" i="6"/>
  <c r="AU19" i="6"/>
  <c r="AV19" i="6"/>
  <c r="AW19" i="6"/>
  <c r="AX19" i="6"/>
  <c r="AY19" i="6"/>
  <c r="BY20" i="6" a="1"/>
  <c r="BY20" i="6" s="1"/>
  <c r="BO20" i="6"/>
  <c r="BQ20" i="6"/>
  <c r="CJ20" i="6" a="1"/>
  <c r="CJ20" i="6" s="1"/>
  <c r="CG20" i="6" a="1"/>
  <c r="CG20" i="6" s="1"/>
  <c r="BM20" i="6"/>
  <c r="CF20" i="6" a="1"/>
  <c r="CF20" i="6" s="1"/>
  <c r="BR20" i="6"/>
  <c r="CI20" i="6" a="1"/>
  <c r="CI20" i="6" s="1"/>
  <c r="BS20" i="6"/>
  <c r="CL20" i="6" a="1"/>
  <c r="CL20" i="6" s="1"/>
  <c r="CM20" i="6" a="1"/>
  <c r="CM20" i="6" s="1"/>
  <c r="BP20" i="6"/>
  <c r="CK20" i="6" a="1"/>
  <c r="CK20" i="6" s="1"/>
  <c r="CH20" i="6" a="1"/>
  <c r="CH20" i="6" s="1"/>
  <c r="BN20" i="6"/>
  <c r="BT20" i="6"/>
  <c r="AZ20" i="6"/>
  <c r="BA20" i="6"/>
  <c r="AT20" i="6"/>
  <c r="AU20" i="6"/>
  <c r="AV20" i="6"/>
  <c r="AW20" i="6"/>
  <c r="AX20" i="6"/>
  <c r="AY20" i="6"/>
  <c r="BS21" i="6"/>
  <c r="CG21" i="6" a="1"/>
  <c r="CG21" i="6" s="1"/>
  <c r="CM21" i="6" a="1"/>
  <c r="CM21" i="6" s="1"/>
  <c r="BM21" i="6"/>
  <c r="CJ21" i="6" a="1"/>
  <c r="CJ21" i="6" s="1"/>
  <c r="CF21" i="6" a="1"/>
  <c r="CF21" i="6" s="1"/>
  <c r="BT21" i="6"/>
  <c r="BQ21" i="6"/>
  <c r="CI21" i="6" a="1"/>
  <c r="CI21" i="6" s="1"/>
  <c r="BR21" i="6"/>
  <c r="CL21" i="6" a="1"/>
  <c r="CL21" i="6" s="1"/>
  <c r="CH21" i="6" a="1"/>
  <c r="CH21" i="6" s="1"/>
  <c r="BO21" i="6"/>
  <c r="BN21" i="6"/>
  <c r="BP21" i="6"/>
  <c r="CK21" i="6" a="1"/>
  <c r="CK21" i="6" s="1"/>
  <c r="AY21" i="6"/>
  <c r="BA21" i="6"/>
  <c r="AX21" i="6"/>
  <c r="AZ21" i="6"/>
  <c r="AT21" i="6"/>
  <c r="AU21" i="6"/>
  <c r="AV21" i="6"/>
  <c r="AW21" i="6"/>
  <c r="N22" i="6"/>
  <c r="M22" i="6"/>
  <c r="AO19" i="6"/>
  <c r="CE19" i="6" a="1"/>
  <c r="CE19" i="6" s="1"/>
  <c r="CA19" i="6" a="1"/>
  <c r="CA19" i="6" s="1"/>
  <c r="BZ19" i="6" a="1"/>
  <c r="BZ19" i="6" s="1"/>
  <c r="AN19" i="6"/>
  <c r="BW19" i="6" a="1"/>
  <c r="BW19" i="6" s="1"/>
  <c r="AR19" i="6"/>
  <c r="BC19" i="6"/>
  <c r="AQ19" i="6"/>
  <c r="BV19" i="6" a="1"/>
  <c r="BV19" i="6" s="1"/>
  <c r="CD19" i="6" a="1"/>
  <c r="CD19" i="6" s="1"/>
  <c r="BX20" i="6" a="1"/>
  <c r="BX20" i="6" s="1"/>
  <c r="BI19" i="6"/>
  <c r="AO20" i="6"/>
  <c r="AJ21" i="6"/>
  <c r="AP19" i="6"/>
  <c r="CC19" i="6" a="1"/>
  <c r="CC19" i="6" s="1"/>
  <c r="BD19" i="6"/>
  <c r="BJ20" i="6"/>
  <c r="AK20" i="6"/>
  <c r="BV20" i="6" a="1"/>
  <c r="BV20" i="6" s="1"/>
  <c r="BH20" i="6"/>
  <c r="BI20" i="6"/>
  <c r="AK19" i="6"/>
  <c r="BJ19" i="6"/>
  <c r="BX19" i="6" a="1"/>
  <c r="BX19" i="6" s="1"/>
  <c r="AL20" i="6"/>
  <c r="CD20" i="6" a="1"/>
  <c r="CD20" i="6" s="1"/>
  <c r="AL19" i="6"/>
  <c r="AM19" i="6"/>
  <c r="CB19" i="6" a="1"/>
  <c r="CB19" i="6" s="1"/>
  <c r="BE19" i="6"/>
  <c r="CC20" i="6" a="1"/>
  <c r="CC20" i="6" s="1"/>
  <c r="BF20" i="6"/>
  <c r="AN20" i="6"/>
  <c r="AS19" i="6"/>
  <c r="BL19" i="6"/>
  <c r="BH19" i="6"/>
  <c r="BY19" i="6" a="1"/>
  <c r="BY19" i="6" s="1"/>
  <c r="AQ20" i="6"/>
  <c r="BZ20" i="6" a="1"/>
  <c r="BZ20" i="6" s="1"/>
  <c r="AP20" i="6"/>
  <c r="AR20" i="6"/>
  <c r="CA20" i="6" a="1"/>
  <c r="CA20" i="6" s="1"/>
  <c r="AJ19" i="6"/>
  <c r="BK19" i="6"/>
  <c r="BG19" i="6"/>
  <c r="AM21" i="6"/>
  <c r="BW20" i="6" a="1"/>
  <c r="BW20" i="6" s="1"/>
  <c r="BD20" i="6"/>
  <c r="CD21" i="6" a="1"/>
  <c r="CD21" i="6" s="1"/>
  <c r="BG21" i="6"/>
  <c r="BL20" i="6"/>
  <c r="AJ20" i="6"/>
  <c r="AM20" i="6"/>
  <c r="AS20" i="6"/>
  <c r="BJ21" i="6"/>
  <c r="BK20" i="6"/>
  <c r="BC20" i="6"/>
  <c r="CB20" i="6" a="1"/>
  <c r="CB20" i="6" s="1"/>
  <c r="AO21" i="6"/>
  <c r="BK21" i="6"/>
  <c r="BD21" i="6"/>
  <c r="AQ21" i="6"/>
  <c r="CC21" i="6" a="1"/>
  <c r="CC21" i="6" s="1"/>
  <c r="BY21" i="6" a="1"/>
  <c r="BY21" i="6" s="1"/>
  <c r="AN21" i="6"/>
  <c r="BI21" i="6"/>
  <c r="BW21" i="6" a="1"/>
  <c r="BW21" i="6" s="1"/>
  <c r="BE21" i="6"/>
  <c r="AP21" i="6"/>
  <c r="BH21" i="6"/>
  <c r="BX21" i="6" a="1"/>
  <c r="BX21" i="6" s="1"/>
  <c r="AS21" i="6"/>
  <c r="BL21" i="6"/>
  <c r="CA21" i="6" a="1"/>
  <c r="CA21" i="6" s="1"/>
  <c r="BV21" i="6" a="1"/>
  <c r="BV21" i="6" s="1"/>
  <c r="AR21" i="6"/>
  <c r="CE21" i="6" a="1"/>
  <c r="CE21" i="6" s="1"/>
  <c r="BZ21" i="6" a="1"/>
  <c r="BZ21" i="6" s="1"/>
  <c r="BF21" i="6"/>
  <c r="AK21" i="6"/>
  <c r="AL21" i="6"/>
  <c r="CB21" i="6" a="1"/>
  <c r="CB21" i="6" s="1"/>
  <c r="BC21" i="6"/>
  <c r="BG20" i="6"/>
  <c r="CE20" i="6" a="1"/>
  <c r="CE20" i="6" s="1"/>
  <c r="BE20" i="6"/>
  <c r="A28" i="6"/>
  <c r="N27" i="6"/>
  <c r="X18" i="5" a="1"/>
  <c r="X18" i="5" s="1"/>
  <c r="I18" i="5" s="1"/>
  <c r="K130" i="12"/>
  <c r="A126" i="6"/>
  <c r="M125" i="6"/>
  <c r="L133" i="6"/>
  <c r="B132" i="6"/>
  <c r="J131" i="12" a="1"/>
  <c r="J131" i="12" s="1"/>
  <c r="L131" i="12" a="1"/>
  <c r="L131" i="12" s="1"/>
  <c r="A132" i="12"/>
  <c r="N132" i="5"/>
  <c r="K132" i="5"/>
  <c r="J132" i="5"/>
  <c r="C133" i="5"/>
  <c r="AE132" i="5" a="1"/>
  <c r="AE132" i="5" s="1"/>
  <c r="W132" i="5" a="1"/>
  <c r="W132" i="5" s="1"/>
  <c r="H132" i="12" s="1" a="1"/>
  <c r="H132" i="12" s="1"/>
  <c r="H132" i="5"/>
  <c r="D132" i="5"/>
  <c r="B132" i="12" s="1"/>
  <c r="G132" i="5"/>
  <c r="E132" i="5"/>
  <c r="B132" i="5"/>
  <c r="AD132" i="5"/>
  <c r="F132" i="5"/>
  <c r="D131" i="6"/>
  <c r="CK22" i="6" l="1" a="1"/>
  <c r="CK22" i="6" s="1"/>
  <c r="CL22" i="6" a="1"/>
  <c r="CL22" i="6" s="1"/>
  <c r="BN22" i="6"/>
  <c r="BO22" i="6"/>
  <c r="BT22" i="6"/>
  <c r="BS22" i="6"/>
  <c r="BQ22" i="6"/>
  <c r="CF22" i="6" a="1"/>
  <c r="CF22" i="6" s="1"/>
  <c r="CM22" i="6" a="1"/>
  <c r="CM22" i="6" s="1"/>
  <c r="CH22" i="6" a="1"/>
  <c r="CH22" i="6" s="1"/>
  <c r="BR22" i="6"/>
  <c r="CG22" i="6" a="1"/>
  <c r="CG22" i="6" s="1"/>
  <c r="BM22" i="6"/>
  <c r="BP22" i="6"/>
  <c r="CJ22" i="6" a="1"/>
  <c r="CJ22" i="6" s="1"/>
  <c r="CI22" i="6" a="1"/>
  <c r="CI22" i="6" s="1"/>
  <c r="AW22" i="6"/>
  <c r="AX22" i="6"/>
  <c r="AY22" i="6"/>
  <c r="AZ22" i="6"/>
  <c r="BA22" i="6"/>
  <c r="AT22" i="6"/>
  <c r="AV22" i="6"/>
  <c r="AU22" i="6"/>
  <c r="CJ125" i="6" a="1"/>
  <c r="CJ125" i="6" s="1"/>
  <c r="BQ125" i="6"/>
  <c r="CI125" i="6" a="1"/>
  <c r="CI125" i="6" s="1"/>
  <c r="BO125" i="6"/>
  <c r="BT125" i="6"/>
  <c r="AZ125" i="6"/>
  <c r="CM125" i="6" a="1"/>
  <c r="CM125" i="6" s="1"/>
  <c r="BN125" i="6"/>
  <c r="CH125" i="6" a="1"/>
  <c r="CH125" i="6" s="1"/>
  <c r="BM125" i="6"/>
  <c r="BA125" i="6"/>
  <c r="CL125" i="6" a="1"/>
  <c r="CL125" i="6" s="1"/>
  <c r="CG125" i="6" a="1"/>
  <c r="CG125" i="6" s="1"/>
  <c r="BS125" i="6"/>
  <c r="AW125" i="6"/>
  <c r="CF125" i="6" a="1"/>
  <c r="CF125" i="6" s="1"/>
  <c r="BR125" i="6"/>
  <c r="AX125" i="6"/>
  <c r="CK125" i="6" a="1"/>
  <c r="CK125" i="6" s="1"/>
  <c r="BP125" i="6"/>
  <c r="AY125" i="6"/>
  <c r="AT125" i="6"/>
  <c r="AU125" i="6"/>
  <c r="AV125" i="6"/>
  <c r="M24" i="6"/>
  <c r="BD22" i="6"/>
  <c r="BI22" i="6"/>
  <c r="CD22" i="6" a="1"/>
  <c r="CD22" i="6" s="1"/>
  <c r="BW22" i="6" a="1"/>
  <c r="BW22" i="6" s="1"/>
  <c r="BK22" i="6"/>
  <c r="BF22" i="6"/>
  <c r="BX22" i="6" a="1"/>
  <c r="BX22" i="6" s="1"/>
  <c r="BV22" i="6" a="1"/>
  <c r="BV22" i="6" s="1"/>
  <c r="BL22" i="6"/>
  <c r="BJ22" i="6"/>
  <c r="CE22" i="6" a="1"/>
  <c r="CE22" i="6" s="1"/>
  <c r="CA22" i="6" a="1"/>
  <c r="CA22" i="6" s="1"/>
  <c r="CC22" i="6" a="1"/>
  <c r="CC22" i="6" s="1"/>
  <c r="BC22" i="6"/>
  <c r="BH22" i="6"/>
  <c r="BG22" i="6"/>
  <c r="BE22" i="6"/>
  <c r="CB22" i="6" a="1"/>
  <c r="CB22" i="6" s="1"/>
  <c r="BZ22" i="6" a="1"/>
  <c r="BZ22" i="6" s="1"/>
  <c r="BY22" i="6" a="1"/>
  <c r="BY22" i="6" s="1"/>
  <c r="AQ22" i="6"/>
  <c r="AJ22" i="6"/>
  <c r="AR22" i="6"/>
  <c r="AK22" i="6"/>
  <c r="AS22" i="6"/>
  <c r="AL22" i="6"/>
  <c r="AM22" i="6"/>
  <c r="AN22" i="6"/>
  <c r="AO22" i="6"/>
  <c r="AP22" i="6"/>
  <c r="M27" i="6"/>
  <c r="M26" i="6"/>
  <c r="M25" i="6"/>
  <c r="X20" i="5" a="1"/>
  <c r="X20" i="5" s="1"/>
  <c r="L20" i="5" s="1"/>
  <c r="C20" i="6" s="1"/>
  <c r="X19" i="5" a="1"/>
  <c r="X19" i="5" s="1"/>
  <c r="I19" i="5" s="1"/>
  <c r="X21" i="5" a="1"/>
  <c r="X21" i="5" s="1"/>
  <c r="Z21" i="5" s="1"/>
  <c r="AB21" i="5" s="1" a="1"/>
  <c r="AB21" i="5" s="1"/>
  <c r="N28" i="6"/>
  <c r="M28" i="6"/>
  <c r="L18" i="5"/>
  <c r="C18" i="6" s="1"/>
  <c r="AM18" i="5"/>
  <c r="I18" i="12"/>
  <c r="C18" i="12" s="1"/>
  <c r="Z18" i="5"/>
  <c r="AB18" i="5" s="1" a="1"/>
  <c r="AB18" i="5" s="1"/>
  <c r="I29" i="5"/>
  <c r="K131" i="12"/>
  <c r="A127" i="6"/>
  <c r="L134" i="6"/>
  <c r="B133" i="6"/>
  <c r="L132" i="12" a="1"/>
  <c r="L132" i="12" s="1"/>
  <c r="J132" i="12" a="1"/>
  <c r="J132" i="12" s="1"/>
  <c r="D132" i="6"/>
  <c r="A133" i="12"/>
  <c r="C134" i="5"/>
  <c r="AE133" i="5" a="1"/>
  <c r="AE133" i="5" s="1"/>
  <c r="W133" i="5" a="1"/>
  <c r="W133" i="5" s="1"/>
  <c r="H133" i="12" s="1" a="1"/>
  <c r="H133" i="12" s="1"/>
  <c r="H133" i="5"/>
  <c r="AD133" i="5"/>
  <c r="G133" i="5"/>
  <c r="F133" i="5"/>
  <c r="E133" i="5"/>
  <c r="D133" i="5"/>
  <c r="B133" i="12" s="1"/>
  <c r="K133" i="5"/>
  <c r="J133" i="5"/>
  <c r="N133" i="5"/>
  <c r="B133" i="5"/>
  <c r="H131" i="6" a="1"/>
  <c r="H131" i="6" s="1"/>
  <c r="BV125" i="6" a="1"/>
  <c r="BV125" i="6" s="1"/>
  <c r="BI125" i="6"/>
  <c r="BY125" i="6" a="1"/>
  <c r="BY125" i="6" s="1"/>
  <c r="CE125" i="6" a="1"/>
  <c r="CE125" i="6" s="1"/>
  <c r="BX125" i="6" a="1"/>
  <c r="BX125" i="6" s="1"/>
  <c r="CB125" i="6" a="1"/>
  <c r="CB125" i="6" s="1"/>
  <c r="BZ125" i="6" a="1"/>
  <c r="BZ125" i="6" s="1"/>
  <c r="BF125" i="6"/>
  <c r="BL125" i="6"/>
  <c r="BG125" i="6"/>
  <c r="BE125" i="6"/>
  <c r="AK125" i="6"/>
  <c r="AP125" i="6"/>
  <c r="CD125" i="6" a="1"/>
  <c r="CD125" i="6" s="1"/>
  <c r="BK125" i="6"/>
  <c r="BC125" i="6"/>
  <c r="BD125" i="6"/>
  <c r="BW125" i="6" a="1"/>
  <c r="BW125" i="6" s="1"/>
  <c r="AM125" i="6"/>
  <c r="AS125" i="6"/>
  <c r="CA125" i="6" a="1"/>
  <c r="CA125" i="6" s="1"/>
  <c r="CC125" i="6" a="1"/>
  <c r="CC125" i="6" s="1"/>
  <c r="AN125" i="6"/>
  <c r="BH125" i="6"/>
  <c r="BJ125" i="6"/>
  <c r="AR125" i="6"/>
  <c r="AQ125" i="6"/>
  <c r="AJ125" i="6"/>
  <c r="AO125" i="6"/>
  <c r="AL125" i="6"/>
  <c r="BY27" i="6" l="1" a="1"/>
  <c r="BY27" i="6" s="1"/>
  <c r="CL27" i="6" a="1"/>
  <c r="CL27" i="6" s="1"/>
  <c r="BP27" i="6"/>
  <c r="CH27" i="6" a="1"/>
  <c r="CH27" i="6" s="1"/>
  <c r="BO27" i="6"/>
  <c r="CK27" i="6" a="1"/>
  <c r="CK27" i="6" s="1"/>
  <c r="BN27" i="6"/>
  <c r="CG27" i="6" a="1"/>
  <c r="CG27" i="6" s="1"/>
  <c r="BM27" i="6"/>
  <c r="CJ27" i="6" a="1"/>
  <c r="CJ27" i="6" s="1"/>
  <c r="BT27" i="6"/>
  <c r="CF27" i="6" a="1"/>
  <c r="CF27" i="6" s="1"/>
  <c r="BS27" i="6"/>
  <c r="CM27" i="6" a="1"/>
  <c r="CM27" i="6" s="1"/>
  <c r="BR27" i="6"/>
  <c r="CI27" i="6" a="1"/>
  <c r="CI27" i="6" s="1"/>
  <c r="BQ27" i="6"/>
  <c r="AT27" i="6"/>
  <c r="AU27" i="6"/>
  <c r="AV27" i="6"/>
  <c r="AW27" i="6"/>
  <c r="AZ27" i="6"/>
  <c r="AX27" i="6"/>
  <c r="AY27" i="6"/>
  <c r="BA27" i="6"/>
  <c r="AP26" i="6"/>
  <c r="CL26" i="6" a="1"/>
  <c r="CL26" i="6" s="1"/>
  <c r="BP26" i="6"/>
  <c r="BQ26" i="6"/>
  <c r="CK26" i="6" a="1"/>
  <c r="CK26" i="6" s="1"/>
  <c r="BO26" i="6"/>
  <c r="CJ26" i="6" a="1"/>
  <c r="CJ26" i="6" s="1"/>
  <c r="BN26" i="6"/>
  <c r="BS26" i="6"/>
  <c r="CM26" i="6" a="1"/>
  <c r="CM26" i="6" s="1"/>
  <c r="BM26" i="6"/>
  <c r="CI26" i="6" a="1"/>
  <c r="CI26" i="6" s="1"/>
  <c r="BT26" i="6"/>
  <c r="CH26" i="6" a="1"/>
  <c r="CH26" i="6" s="1"/>
  <c r="CF26" i="6" a="1"/>
  <c r="CF26" i="6" s="1"/>
  <c r="BR26" i="6"/>
  <c r="CG26" i="6" a="1"/>
  <c r="CG26" i="6" s="1"/>
  <c r="AZ26" i="6"/>
  <c r="AT26" i="6"/>
  <c r="AU26" i="6"/>
  <c r="BA26" i="6"/>
  <c r="AV26" i="6"/>
  <c r="AW26" i="6"/>
  <c r="AX26" i="6"/>
  <c r="AY26" i="6"/>
  <c r="CL28" i="6" a="1"/>
  <c r="CL28" i="6" s="1"/>
  <c r="BP28" i="6"/>
  <c r="BO28" i="6"/>
  <c r="CH28" i="6" a="1"/>
  <c r="CH28" i="6" s="1"/>
  <c r="CJ28" i="6" a="1"/>
  <c r="CJ28" i="6" s="1"/>
  <c r="BS28" i="6"/>
  <c r="CM28" i="6" a="1"/>
  <c r="CM28" i="6" s="1"/>
  <c r="BQ28" i="6"/>
  <c r="CK28" i="6" a="1"/>
  <c r="CK28" i="6" s="1"/>
  <c r="BN28" i="6"/>
  <c r="BM28" i="6"/>
  <c r="BT28" i="6"/>
  <c r="CG28" i="6" a="1"/>
  <c r="CG28" i="6" s="1"/>
  <c r="BR28" i="6"/>
  <c r="CF28" i="6" a="1"/>
  <c r="CF28" i="6" s="1"/>
  <c r="CI28" i="6" a="1"/>
  <c r="CI28" i="6" s="1"/>
  <c r="BA28" i="6"/>
  <c r="AZ28" i="6"/>
  <c r="AT28" i="6"/>
  <c r="AU28" i="6"/>
  <c r="AV28" i="6"/>
  <c r="AW28" i="6"/>
  <c r="AX28" i="6"/>
  <c r="AY28" i="6"/>
  <c r="CA24" i="6" a="1"/>
  <c r="CA24" i="6" s="1"/>
  <c r="BT24" i="6"/>
  <c r="CF24" i="6" a="1"/>
  <c r="CF24" i="6" s="1"/>
  <c r="BS24" i="6"/>
  <c r="CG24" i="6" a="1"/>
  <c r="CG24" i="6" s="1"/>
  <c r="BR24" i="6"/>
  <c r="CM24" i="6" a="1"/>
  <c r="CM24" i="6" s="1"/>
  <c r="CL24" i="6" a="1"/>
  <c r="CL24" i="6" s="1"/>
  <c r="BQ24" i="6"/>
  <c r="CJ24" i="6" a="1"/>
  <c r="CJ24" i="6" s="1"/>
  <c r="BM24" i="6"/>
  <c r="CH24" i="6" a="1"/>
  <c r="CH24" i="6" s="1"/>
  <c r="BN24" i="6"/>
  <c r="BO24" i="6"/>
  <c r="CI24" i="6" a="1"/>
  <c r="CI24" i="6" s="1"/>
  <c r="BP24" i="6"/>
  <c r="CK24" i="6" a="1"/>
  <c r="CK24" i="6" s="1"/>
  <c r="AY24" i="6"/>
  <c r="BA24" i="6"/>
  <c r="AZ24" i="6"/>
  <c r="AT24" i="6"/>
  <c r="AU24" i="6"/>
  <c r="AX24" i="6"/>
  <c r="AV24" i="6"/>
  <c r="AW24" i="6"/>
  <c r="CG25" i="6" a="1"/>
  <c r="CG25" i="6" s="1"/>
  <c r="BM25" i="6"/>
  <c r="CF25" i="6" a="1"/>
  <c r="CF25" i="6" s="1"/>
  <c r="BT25" i="6"/>
  <c r="CH25" i="6" a="1"/>
  <c r="CH25" i="6" s="1"/>
  <c r="CK25" i="6" a="1"/>
  <c r="CK25" i="6" s="1"/>
  <c r="BS25" i="6"/>
  <c r="CJ25" i="6" a="1"/>
  <c r="CJ25" i="6" s="1"/>
  <c r="BQ25" i="6"/>
  <c r="BP25" i="6"/>
  <c r="CI25" i="6" a="1"/>
  <c r="CI25" i="6" s="1"/>
  <c r="CM25" i="6" a="1"/>
  <c r="CM25" i="6" s="1"/>
  <c r="BO25" i="6"/>
  <c r="CL25" i="6" a="1"/>
  <c r="CL25" i="6" s="1"/>
  <c r="BN25" i="6"/>
  <c r="BR25" i="6"/>
  <c r="BA25" i="6"/>
  <c r="AY25" i="6"/>
  <c r="AZ25" i="6"/>
  <c r="AT25" i="6"/>
  <c r="AU25" i="6"/>
  <c r="AV25" i="6"/>
  <c r="AW25" i="6"/>
  <c r="AX25" i="6"/>
  <c r="BK24" i="6"/>
  <c r="BH24" i="6"/>
  <c r="BG24" i="6"/>
  <c r="AO24" i="6"/>
  <c r="BV24" i="6" a="1"/>
  <c r="BV24" i="6" s="1"/>
  <c r="BC24" i="6"/>
  <c r="AP24" i="6"/>
  <c r="AR24" i="6"/>
  <c r="AJ24" i="6"/>
  <c r="CB24" i="6" a="1"/>
  <c r="CB24" i="6" s="1"/>
  <c r="CD24" i="6" a="1"/>
  <c r="CD24" i="6" s="1"/>
  <c r="CE24" i="6" a="1"/>
  <c r="CE24" i="6" s="1"/>
  <c r="BX24" i="6" a="1"/>
  <c r="BX24" i="6" s="1"/>
  <c r="BJ24" i="6"/>
  <c r="BY24" i="6" a="1"/>
  <c r="BY24" i="6" s="1"/>
  <c r="AL24" i="6"/>
  <c r="AQ24" i="6"/>
  <c r="AM24" i="6"/>
  <c r="BL24" i="6"/>
  <c r="AK24" i="6"/>
  <c r="BE24" i="6"/>
  <c r="BZ24" i="6" a="1"/>
  <c r="BZ24" i="6" s="1"/>
  <c r="BW24" i="6" a="1"/>
  <c r="BW24" i="6" s="1"/>
  <c r="BI24" i="6"/>
  <c r="BF24" i="6"/>
  <c r="AN24" i="6"/>
  <c r="AS24" i="6"/>
  <c r="BD24" i="6"/>
  <c r="CC24" i="6" a="1"/>
  <c r="CC24" i="6" s="1"/>
  <c r="X22" i="5" a="1"/>
  <c r="X22" i="5" s="1"/>
  <c r="BG26" i="6"/>
  <c r="CE26" i="6" a="1"/>
  <c r="CE26" i="6" s="1"/>
  <c r="AS26" i="6"/>
  <c r="BC26" i="6"/>
  <c r="BX26" i="6" a="1"/>
  <c r="BX26" i="6" s="1"/>
  <c r="BV26" i="6" a="1"/>
  <c r="BV26" i="6" s="1"/>
  <c r="CA26" i="6" a="1"/>
  <c r="CA26" i="6" s="1"/>
  <c r="BL26" i="6"/>
  <c r="CB26" i="6" a="1"/>
  <c r="CB26" i="6" s="1"/>
  <c r="AO26" i="6"/>
  <c r="BE26" i="6"/>
  <c r="BW27" i="6" a="1"/>
  <c r="BW27" i="6" s="1"/>
  <c r="BL25" i="6"/>
  <c r="BI26" i="6"/>
  <c r="CC26" i="6" a="1"/>
  <c r="CC26" i="6" s="1"/>
  <c r="AK26" i="6"/>
  <c r="AQ26" i="6"/>
  <c r="CD26" i="6" a="1"/>
  <c r="CD26" i="6" s="1"/>
  <c r="BF26" i="6"/>
  <c r="AN26" i="6"/>
  <c r="BY26" i="6" a="1"/>
  <c r="BY26" i="6" s="1"/>
  <c r="AL26" i="6"/>
  <c r="AR26" i="6"/>
  <c r="BK26" i="6"/>
  <c r="BW26" i="6" a="1"/>
  <c r="BW26" i="6" s="1"/>
  <c r="BZ26" i="6" a="1"/>
  <c r="BZ26" i="6" s="1"/>
  <c r="BD26" i="6"/>
  <c r="BH26" i="6"/>
  <c r="BJ26" i="6"/>
  <c r="AM26" i="6"/>
  <c r="AJ26" i="6"/>
  <c r="AM27" i="6"/>
  <c r="BF27" i="6"/>
  <c r="BX27" i="6" a="1"/>
  <c r="BX27" i="6" s="1"/>
  <c r="AP27" i="6"/>
  <c r="AJ27" i="6"/>
  <c r="CB27" i="6" a="1"/>
  <c r="CB27" i="6" s="1"/>
  <c r="BV27" i="6" a="1"/>
  <c r="BV27" i="6" s="1"/>
  <c r="AK27" i="6"/>
  <c r="BI27" i="6"/>
  <c r="CE27" i="6" a="1"/>
  <c r="CE27" i="6" s="1"/>
  <c r="BJ27" i="6"/>
  <c r="AO27" i="6"/>
  <c r="BH27" i="6"/>
  <c r="BC27" i="6"/>
  <c r="CC27" i="6" a="1"/>
  <c r="CC27" i="6" s="1"/>
  <c r="AS27" i="6"/>
  <c r="CD27" i="6" a="1"/>
  <c r="CD27" i="6" s="1"/>
  <c r="AN27" i="6"/>
  <c r="BL27" i="6"/>
  <c r="BG27" i="6"/>
  <c r="BE27" i="6"/>
  <c r="AL27" i="6"/>
  <c r="AR27" i="6"/>
  <c r="BZ27" i="6" a="1"/>
  <c r="BZ27" i="6" s="1"/>
  <c r="BD27" i="6"/>
  <c r="BK27" i="6"/>
  <c r="CA27" i="6" a="1"/>
  <c r="CA27" i="6" s="1"/>
  <c r="AQ27" i="6"/>
  <c r="I21" i="12"/>
  <c r="AO21" i="12" s="1" a="1"/>
  <c r="AO21" i="12" s="1"/>
  <c r="CC25" i="6" a="1"/>
  <c r="CC25" i="6" s="1"/>
  <c r="BI25" i="6"/>
  <c r="BY25" i="6" a="1"/>
  <c r="BY25" i="6" s="1"/>
  <c r="AM20" i="5"/>
  <c r="AM25" i="6"/>
  <c r="BX25" i="6" a="1"/>
  <c r="BX25" i="6" s="1"/>
  <c r="BE25" i="6"/>
  <c r="BZ25" i="6" a="1"/>
  <c r="BZ25" i="6" s="1"/>
  <c r="BC25" i="6"/>
  <c r="AP25" i="6"/>
  <c r="CE25" i="6" a="1"/>
  <c r="CE25" i="6" s="1"/>
  <c r="AR25" i="6"/>
  <c r="AM21" i="5"/>
  <c r="Z20" i="5"/>
  <c r="AB20" i="5" s="1" a="1"/>
  <c r="AB20" i="5" s="1"/>
  <c r="CD25" i="6" a="1"/>
  <c r="CD25" i="6" s="1"/>
  <c r="AQ25" i="6"/>
  <c r="AK25" i="6"/>
  <c r="I20" i="5"/>
  <c r="I21" i="5" s="1"/>
  <c r="I23" i="5" s="1"/>
  <c r="BF25" i="6"/>
  <c r="L21" i="5"/>
  <c r="C21" i="6" s="1"/>
  <c r="AJ25" i="6"/>
  <c r="BV25" i="6" a="1"/>
  <c r="BV25" i="6" s="1"/>
  <c r="BH25" i="6"/>
  <c r="BG25" i="6"/>
  <c r="BD25" i="6"/>
  <c r="BJ25" i="6"/>
  <c r="CB25" i="6" a="1"/>
  <c r="CB25" i="6" s="1"/>
  <c r="BK25" i="6"/>
  <c r="CA25" i="6" a="1"/>
  <c r="CA25" i="6" s="1"/>
  <c r="AO25" i="6"/>
  <c r="AN25" i="6"/>
  <c r="I20" i="12"/>
  <c r="M20" i="12" s="1" a="1"/>
  <c r="M20" i="12" s="1"/>
  <c r="BW25" i="6" a="1"/>
  <c r="BW25" i="6" s="1"/>
  <c r="AL25" i="6"/>
  <c r="AS25" i="6"/>
  <c r="AM19" i="5"/>
  <c r="L19" i="5"/>
  <c r="C19" i="6" s="1"/>
  <c r="I19" i="12"/>
  <c r="O19" i="12" s="1" a="1"/>
  <c r="O19" i="12" s="1"/>
  <c r="Z19" i="5"/>
  <c r="AB19" i="5" s="1" a="1"/>
  <c r="AB19" i="5" s="1"/>
  <c r="BX28" i="6" a="1"/>
  <c r="BX28" i="6" s="1"/>
  <c r="BG28" i="6"/>
  <c r="CD28" i="6" a="1"/>
  <c r="CD28" i="6" s="1"/>
  <c r="AK28" i="6"/>
  <c r="BC28" i="6"/>
  <c r="BW28" i="6" a="1"/>
  <c r="BW28" i="6" s="1"/>
  <c r="BK28" i="6"/>
  <c r="AS28" i="6"/>
  <c r="BZ28" i="6" a="1"/>
  <c r="BZ28" i="6" s="1"/>
  <c r="AL28" i="6"/>
  <c r="CA28" i="6" a="1"/>
  <c r="CA28" i="6" s="1"/>
  <c r="AQ28" i="6"/>
  <c r="M30" i="6"/>
  <c r="BD28" i="6"/>
  <c r="BH28" i="6"/>
  <c r="BL28" i="6"/>
  <c r="AM28" i="6"/>
  <c r="BE28" i="6"/>
  <c r="CE28" i="6" a="1"/>
  <c r="CE28" i="6" s="1"/>
  <c r="CB28" i="6" a="1"/>
  <c r="CB28" i="6" s="1"/>
  <c r="AO28" i="6"/>
  <c r="CC28" i="6" a="1"/>
  <c r="CC28" i="6" s="1"/>
  <c r="AP28" i="6"/>
  <c r="BF28" i="6"/>
  <c r="BI28" i="6"/>
  <c r="AN28" i="6"/>
  <c r="BV28" i="6" a="1"/>
  <c r="BV28" i="6" s="1"/>
  <c r="BJ28" i="6"/>
  <c r="AJ28" i="6"/>
  <c r="BY28" i="6" a="1"/>
  <c r="BY28" i="6" s="1"/>
  <c r="AR28" i="6"/>
  <c r="AO18" i="12" a="1"/>
  <c r="AO18" i="12" s="1"/>
  <c r="M18" i="12" a="1"/>
  <c r="M18" i="12" s="1"/>
  <c r="O18" i="12" a="1"/>
  <c r="O18" i="12" s="1"/>
  <c r="T131" i="5"/>
  <c r="G131" i="12" s="1" a="1"/>
  <c r="G131" i="12" s="1"/>
  <c r="K132" i="12"/>
  <c r="J133" i="12" a="1"/>
  <c r="J133" i="12" s="1"/>
  <c r="L133" i="12" a="1"/>
  <c r="L133" i="12" s="1"/>
  <c r="A128" i="6"/>
  <c r="D133" i="6"/>
  <c r="A134" i="12"/>
  <c r="B134" i="5"/>
  <c r="N134" i="5"/>
  <c r="D134" i="6" s="1"/>
  <c r="K134" i="5"/>
  <c r="J134" i="5"/>
  <c r="F134" i="5"/>
  <c r="E134" i="5"/>
  <c r="C135" i="5"/>
  <c r="H134" i="5"/>
  <c r="G134" i="5"/>
  <c r="D134" i="5"/>
  <c r="B134" i="12" s="1"/>
  <c r="AE134" i="5" a="1"/>
  <c r="AE134" i="5" s="1"/>
  <c r="W134" i="5" a="1"/>
  <c r="W134" i="5" s="1"/>
  <c r="H134" i="12" s="1" a="1"/>
  <c r="H134" i="12" s="1"/>
  <c r="AD134" i="5"/>
  <c r="H132" i="6" a="1"/>
  <c r="H132" i="6" s="1"/>
  <c r="B134" i="6"/>
  <c r="L135" i="6"/>
  <c r="M32" i="6" l="1"/>
  <c r="BD32" i="6" s="1"/>
  <c r="CL30" i="6" a="1"/>
  <c r="CL30" i="6" s="1"/>
  <c r="BP30" i="6"/>
  <c r="CH30" i="6" a="1"/>
  <c r="CH30" i="6" s="1"/>
  <c r="BO30" i="6"/>
  <c r="BT30" i="6"/>
  <c r="CK30" i="6" a="1"/>
  <c r="CK30" i="6" s="1"/>
  <c r="BN30" i="6"/>
  <c r="CG30" i="6" a="1"/>
  <c r="CG30" i="6" s="1"/>
  <c r="BM30" i="6"/>
  <c r="CJ30" i="6" a="1"/>
  <c r="CJ30" i="6" s="1"/>
  <c r="BQ30" i="6"/>
  <c r="CF30" i="6" a="1"/>
  <c r="CF30" i="6" s="1"/>
  <c r="BS30" i="6"/>
  <c r="CM30" i="6" a="1"/>
  <c r="CM30" i="6" s="1"/>
  <c r="BR30" i="6"/>
  <c r="CI30" i="6" a="1"/>
  <c r="CI30" i="6" s="1"/>
  <c r="AT30" i="6"/>
  <c r="AU30" i="6"/>
  <c r="BA30" i="6"/>
  <c r="AV30" i="6"/>
  <c r="AW30" i="6"/>
  <c r="AX30" i="6"/>
  <c r="AY30" i="6"/>
  <c r="AZ30" i="6"/>
  <c r="X24" i="5" a="1"/>
  <c r="X24" i="5" s="1"/>
  <c r="Z24" i="5" s="1"/>
  <c r="AB24" i="5" s="1" a="1"/>
  <c r="AB24" i="5" s="1"/>
  <c r="L22" i="5"/>
  <c r="I22" i="12"/>
  <c r="AM22" i="5"/>
  <c r="Z22" i="5"/>
  <c r="I22" i="5"/>
  <c r="X26" i="5" a="1"/>
  <c r="X26" i="5" s="1"/>
  <c r="AM26" i="5" s="1"/>
  <c r="X27" i="5" a="1"/>
  <c r="X27" i="5" s="1"/>
  <c r="L27" i="5" s="1"/>
  <c r="C27" i="6" s="1"/>
  <c r="M21" i="12" a="1"/>
  <c r="M21" i="12" s="1"/>
  <c r="O21" i="12" a="1"/>
  <c r="O21" i="12" s="1"/>
  <c r="C21" i="12"/>
  <c r="X25" i="5" a="1"/>
  <c r="X25" i="5" s="1"/>
  <c r="L25" i="5" s="1"/>
  <c r="C25" i="6" s="1"/>
  <c r="C20" i="12"/>
  <c r="AO19" i="12" a="1"/>
  <c r="AO19" i="12" s="1"/>
  <c r="Y19" i="12" s="1"/>
  <c r="W19" i="12" s="1" a="1"/>
  <c r="W19" i="12" s="1"/>
  <c r="O20" i="12" a="1"/>
  <c r="O20" i="12" s="1"/>
  <c r="N20" i="12" s="1"/>
  <c r="AO20" i="12" a="1"/>
  <c r="AO20" i="12" s="1"/>
  <c r="C19" i="12"/>
  <c r="M19" i="12" a="1"/>
  <c r="M19" i="12" s="1"/>
  <c r="N19" i="12" s="1"/>
  <c r="X28" i="5" a="1"/>
  <c r="X28" i="5" s="1"/>
  <c r="M38" i="6"/>
  <c r="M39" i="6"/>
  <c r="M40" i="6"/>
  <c r="M37" i="6"/>
  <c r="M34" i="6"/>
  <c r="M33" i="6"/>
  <c r="M35" i="6"/>
  <c r="CB30" i="6" a="1"/>
  <c r="CB30" i="6" s="1"/>
  <c r="BY30" i="6" a="1"/>
  <c r="BY30" i="6" s="1"/>
  <c r="AS30" i="6"/>
  <c r="BH30" i="6"/>
  <c r="BE30" i="6"/>
  <c r="BK30" i="6"/>
  <c r="AL30" i="6"/>
  <c r="BD30" i="6"/>
  <c r="BW30" i="6" a="1"/>
  <c r="BW30" i="6" s="1"/>
  <c r="CD30" i="6" a="1"/>
  <c r="CD30" i="6" s="1"/>
  <c r="AN30" i="6"/>
  <c r="BV30" i="6" a="1"/>
  <c r="BV30" i="6" s="1"/>
  <c r="BX30" i="6" a="1"/>
  <c r="BX30" i="6" s="1"/>
  <c r="BL30" i="6"/>
  <c r="AM30" i="6"/>
  <c r="BJ30" i="6"/>
  <c r="CA30" i="6" a="1"/>
  <c r="CA30" i="6" s="1"/>
  <c r="BC30" i="6"/>
  <c r="CE30" i="6" a="1"/>
  <c r="CE30" i="6" s="1"/>
  <c r="AP30" i="6"/>
  <c r="BI30" i="6"/>
  <c r="BG30" i="6"/>
  <c r="BF30" i="6"/>
  <c r="AJ30" i="6"/>
  <c r="AO30" i="6"/>
  <c r="AK30" i="6"/>
  <c r="BZ30" i="6" a="1"/>
  <c r="BZ30" i="6" s="1"/>
  <c r="CC30" i="6" a="1"/>
  <c r="CC30" i="6" s="1"/>
  <c r="AR30" i="6"/>
  <c r="AQ30" i="6"/>
  <c r="Y18" i="12"/>
  <c r="X18" i="12" s="1" a="1"/>
  <c r="X18" i="12" s="1"/>
  <c r="N18" i="12"/>
  <c r="T132" i="5"/>
  <c r="G132" i="12" s="1" a="1"/>
  <c r="G132" i="12" s="1"/>
  <c r="K133" i="12"/>
  <c r="L136" i="6"/>
  <c r="B135" i="6"/>
  <c r="J134" i="12" a="1"/>
  <c r="J134" i="12" s="1"/>
  <c r="L134" i="12" a="1"/>
  <c r="L134" i="12" s="1"/>
  <c r="A135" i="12"/>
  <c r="J135" i="5"/>
  <c r="C136" i="5"/>
  <c r="AE135" i="5" a="1"/>
  <c r="AE135" i="5" s="1"/>
  <c r="W135" i="5" a="1"/>
  <c r="W135" i="5" s="1"/>
  <c r="H135" i="12" s="1" a="1"/>
  <c r="H135" i="12" s="1"/>
  <c r="H135" i="5"/>
  <c r="AD135" i="5"/>
  <c r="G135" i="5"/>
  <c r="F135" i="5"/>
  <c r="E135" i="5"/>
  <c r="N135" i="5"/>
  <c r="D135" i="6" s="1"/>
  <c r="K135" i="5"/>
  <c r="D135" i="5"/>
  <c r="B135" i="12" s="1"/>
  <c r="B135" i="5"/>
  <c r="H133" i="6" a="1"/>
  <c r="H133" i="6" s="1"/>
  <c r="H134" i="6" a="1"/>
  <c r="H134" i="6" s="1"/>
  <c r="T134" i="5" s="1"/>
  <c r="G134" i="12" s="1" a="1"/>
  <c r="G134" i="12" s="1"/>
  <c r="CA32" i="6" l="1" a="1"/>
  <c r="CA32" i="6" s="1"/>
  <c r="BG32" i="6"/>
  <c r="BZ32" i="6" a="1"/>
  <c r="BZ32" i="6" s="1"/>
  <c r="BI32" i="6"/>
  <c r="BW32" i="6" a="1"/>
  <c r="BW32" i="6" s="1"/>
  <c r="AP32" i="6"/>
  <c r="AS32" i="6"/>
  <c r="AJ32" i="6"/>
  <c r="AM32" i="6"/>
  <c r="BF32" i="6"/>
  <c r="CE32" i="6" a="1"/>
  <c r="CE32" i="6" s="1"/>
  <c r="CC32" i="6" a="1"/>
  <c r="CC32" i="6" s="1"/>
  <c r="AO32" i="6"/>
  <c r="BL32" i="6"/>
  <c r="CB32" i="6" a="1"/>
  <c r="CB32" i="6" s="1"/>
  <c r="BX32" i="6" a="1"/>
  <c r="BX32" i="6" s="1"/>
  <c r="AL32" i="6"/>
  <c r="BJ32" i="6"/>
  <c r="CD32" i="6" a="1"/>
  <c r="CD32" i="6" s="1"/>
  <c r="BV32" i="6" a="1"/>
  <c r="BV32" i="6" s="1"/>
  <c r="AK32" i="6"/>
  <c r="BY32" i="6" a="1"/>
  <c r="BY32" i="6" s="1"/>
  <c r="BC32" i="6"/>
  <c r="AN32" i="6"/>
  <c r="BE32" i="6"/>
  <c r="BK32" i="6"/>
  <c r="AQ32" i="6"/>
  <c r="AR32" i="6"/>
  <c r="BH32" i="6"/>
  <c r="CL32" i="6" a="1"/>
  <c r="CL32" i="6" s="1"/>
  <c r="BP32" i="6"/>
  <c r="BS32" i="6"/>
  <c r="BQ32" i="6"/>
  <c r="CH32" i="6" a="1"/>
  <c r="CH32" i="6" s="1"/>
  <c r="BO32" i="6"/>
  <c r="CK32" i="6" a="1"/>
  <c r="CK32" i="6" s="1"/>
  <c r="BN32" i="6"/>
  <c r="BT32" i="6"/>
  <c r="CG32" i="6" a="1"/>
  <c r="CG32" i="6" s="1"/>
  <c r="BM32" i="6"/>
  <c r="CF32" i="6" a="1"/>
  <c r="CF32" i="6" s="1"/>
  <c r="CJ32" i="6" a="1"/>
  <c r="CJ32" i="6" s="1"/>
  <c r="BR32" i="6"/>
  <c r="CM32" i="6" a="1"/>
  <c r="CM32" i="6" s="1"/>
  <c r="CI32" i="6" a="1"/>
  <c r="CI32" i="6" s="1"/>
  <c r="AY32" i="6"/>
  <c r="AX32" i="6"/>
  <c r="BA32" i="6"/>
  <c r="AZ32" i="6"/>
  <c r="AT32" i="6"/>
  <c r="AU32" i="6"/>
  <c r="AV32" i="6"/>
  <c r="AW32" i="6"/>
  <c r="CL40" i="6" a="1"/>
  <c r="CL40" i="6" s="1"/>
  <c r="BP40" i="6"/>
  <c r="CH40" i="6" a="1"/>
  <c r="CH40" i="6" s="1"/>
  <c r="BO40" i="6"/>
  <c r="CI40" i="6" a="1"/>
  <c r="CI40" i="6" s="1"/>
  <c r="CK40" i="6" a="1"/>
  <c r="CK40" i="6" s="1"/>
  <c r="BN40" i="6"/>
  <c r="CG40" i="6" a="1"/>
  <c r="CG40" i="6" s="1"/>
  <c r="BM40" i="6"/>
  <c r="BQ40" i="6"/>
  <c r="CJ40" i="6" a="1"/>
  <c r="CJ40" i="6" s="1"/>
  <c r="BT40" i="6"/>
  <c r="CF40" i="6" a="1"/>
  <c r="CF40" i="6" s="1"/>
  <c r="BS40" i="6"/>
  <c r="CM40" i="6" a="1"/>
  <c r="CM40" i="6" s="1"/>
  <c r="BR40" i="6"/>
  <c r="AW40" i="6"/>
  <c r="AX40" i="6"/>
  <c r="AY40" i="6"/>
  <c r="BA40" i="6"/>
  <c r="AZ40" i="6"/>
  <c r="AV40" i="6"/>
  <c r="AT40" i="6"/>
  <c r="AU40" i="6"/>
  <c r="CL34" i="6" a="1"/>
  <c r="CL34" i="6" s="1"/>
  <c r="BP34" i="6"/>
  <c r="CJ34" i="6" a="1"/>
  <c r="CJ34" i="6" s="1"/>
  <c r="BQ34" i="6"/>
  <c r="CH34" i="6" a="1"/>
  <c r="CH34" i="6" s="1"/>
  <c r="BO34" i="6"/>
  <c r="CK34" i="6" a="1"/>
  <c r="CK34" i="6" s="1"/>
  <c r="BN34" i="6"/>
  <c r="BM34" i="6"/>
  <c r="BT34" i="6"/>
  <c r="CI34" i="6" a="1"/>
  <c r="CI34" i="6" s="1"/>
  <c r="CG34" i="6" a="1"/>
  <c r="CG34" i="6" s="1"/>
  <c r="BR34" i="6"/>
  <c r="CF34" i="6" a="1"/>
  <c r="CF34" i="6" s="1"/>
  <c r="BS34" i="6"/>
  <c r="CM34" i="6" a="1"/>
  <c r="CM34" i="6" s="1"/>
  <c r="AZ34" i="6"/>
  <c r="AT34" i="6"/>
  <c r="AU34" i="6"/>
  <c r="AV34" i="6"/>
  <c r="AW34" i="6"/>
  <c r="AX34" i="6"/>
  <c r="BA34" i="6"/>
  <c r="AY34" i="6"/>
  <c r="CL39" i="6" a="1"/>
  <c r="CL39" i="6" s="1"/>
  <c r="BP39" i="6"/>
  <c r="BT39" i="6"/>
  <c r="CH39" i="6" a="1"/>
  <c r="CH39" i="6" s="1"/>
  <c r="BO39" i="6"/>
  <c r="BM39" i="6"/>
  <c r="CK39" i="6" a="1"/>
  <c r="CK39" i="6" s="1"/>
  <c r="BN39" i="6"/>
  <c r="CG39" i="6" a="1"/>
  <c r="CG39" i="6" s="1"/>
  <c r="BQ39" i="6"/>
  <c r="CJ39" i="6" a="1"/>
  <c r="CJ39" i="6" s="1"/>
  <c r="CF39" i="6" a="1"/>
  <c r="CF39" i="6" s="1"/>
  <c r="BS39" i="6"/>
  <c r="CM39" i="6" a="1"/>
  <c r="CM39" i="6" s="1"/>
  <c r="BR39" i="6"/>
  <c r="CI39" i="6" a="1"/>
  <c r="CI39" i="6" s="1"/>
  <c r="AY39" i="6"/>
  <c r="BA39" i="6"/>
  <c r="AZ39" i="6"/>
  <c r="AX39" i="6"/>
  <c r="AT39" i="6"/>
  <c r="AU39" i="6"/>
  <c r="AV39" i="6"/>
  <c r="AW39" i="6"/>
  <c r="CL35" i="6" a="1"/>
  <c r="CL35" i="6" s="1"/>
  <c r="BP35" i="6"/>
  <c r="CH35" i="6" a="1"/>
  <c r="CH35" i="6" s="1"/>
  <c r="BO35" i="6"/>
  <c r="BQ35" i="6"/>
  <c r="CK35" i="6" a="1"/>
  <c r="CK35" i="6" s="1"/>
  <c r="BN35" i="6"/>
  <c r="CG35" i="6" a="1"/>
  <c r="CG35" i="6" s="1"/>
  <c r="BM35" i="6"/>
  <c r="CI35" i="6" a="1"/>
  <c r="CI35" i="6" s="1"/>
  <c r="CJ35" i="6" a="1"/>
  <c r="CJ35" i="6" s="1"/>
  <c r="BT35" i="6"/>
  <c r="CF35" i="6" a="1"/>
  <c r="CF35" i="6" s="1"/>
  <c r="BS35" i="6"/>
  <c r="CM35" i="6" a="1"/>
  <c r="CM35" i="6" s="1"/>
  <c r="BR35" i="6"/>
  <c r="AT35" i="6"/>
  <c r="AZ35" i="6"/>
  <c r="AU35" i="6"/>
  <c r="AV35" i="6"/>
  <c r="AW35" i="6"/>
  <c r="AX35" i="6"/>
  <c r="AY35" i="6"/>
  <c r="BA35" i="6"/>
  <c r="CL38" i="6" a="1"/>
  <c r="CL38" i="6" s="1"/>
  <c r="BP38" i="6"/>
  <c r="BT38" i="6"/>
  <c r="CH38" i="6" a="1"/>
  <c r="CH38" i="6" s="1"/>
  <c r="BO38" i="6"/>
  <c r="BM38" i="6"/>
  <c r="CK38" i="6" a="1"/>
  <c r="CK38" i="6" s="1"/>
  <c r="BN38" i="6"/>
  <c r="BQ38" i="6"/>
  <c r="CG38" i="6" a="1"/>
  <c r="CG38" i="6" s="1"/>
  <c r="CJ38" i="6" a="1"/>
  <c r="CJ38" i="6" s="1"/>
  <c r="CF38" i="6" a="1"/>
  <c r="CF38" i="6" s="1"/>
  <c r="BS38" i="6"/>
  <c r="CM38" i="6" a="1"/>
  <c r="CM38" i="6" s="1"/>
  <c r="BR38" i="6"/>
  <c r="CI38" i="6" a="1"/>
  <c r="CI38" i="6" s="1"/>
  <c r="AT38" i="6"/>
  <c r="AU38" i="6"/>
  <c r="AV38" i="6"/>
  <c r="AW38" i="6"/>
  <c r="AX38" i="6"/>
  <c r="AY38" i="6"/>
  <c r="BA38" i="6"/>
  <c r="AZ38" i="6"/>
  <c r="CL37" i="6" a="1"/>
  <c r="CL37" i="6" s="1"/>
  <c r="BP37" i="6"/>
  <c r="CH37" i="6" a="1"/>
  <c r="CH37" i="6" s="1"/>
  <c r="BO37" i="6"/>
  <c r="CM37" i="6" a="1"/>
  <c r="CM37" i="6" s="1"/>
  <c r="CK37" i="6" a="1"/>
  <c r="CK37" i="6" s="1"/>
  <c r="BN37" i="6"/>
  <c r="CG37" i="6" a="1"/>
  <c r="CG37" i="6" s="1"/>
  <c r="BM37" i="6"/>
  <c r="CJ37" i="6" a="1"/>
  <c r="CJ37" i="6" s="1"/>
  <c r="BT37" i="6"/>
  <c r="CF37" i="6" a="1"/>
  <c r="CF37" i="6" s="1"/>
  <c r="BS37" i="6"/>
  <c r="CI37" i="6" a="1"/>
  <c r="CI37" i="6" s="1"/>
  <c r="BQ37" i="6"/>
  <c r="BR37" i="6"/>
  <c r="AT37" i="6"/>
  <c r="AU37" i="6"/>
  <c r="AV37" i="6"/>
  <c r="AW37" i="6"/>
  <c r="AX37" i="6"/>
  <c r="AY37" i="6"/>
  <c r="BA37" i="6"/>
  <c r="AZ37" i="6"/>
  <c r="CL33" i="6" a="1"/>
  <c r="CL33" i="6" s="1"/>
  <c r="BP33" i="6"/>
  <c r="CH33" i="6" a="1"/>
  <c r="CH33" i="6" s="1"/>
  <c r="BO33" i="6"/>
  <c r="BR33" i="6"/>
  <c r="CK33" i="6" a="1"/>
  <c r="CK33" i="6" s="1"/>
  <c r="BN33" i="6"/>
  <c r="BT33" i="6"/>
  <c r="CG33" i="6" a="1"/>
  <c r="CG33" i="6" s="1"/>
  <c r="BM33" i="6"/>
  <c r="CJ33" i="6" a="1"/>
  <c r="CJ33" i="6" s="1"/>
  <c r="CF33" i="6" a="1"/>
  <c r="CF33" i="6" s="1"/>
  <c r="BS33" i="6"/>
  <c r="CI33" i="6" a="1"/>
  <c r="CI33" i="6" s="1"/>
  <c r="BQ33" i="6"/>
  <c r="CM33" i="6" a="1"/>
  <c r="CM33" i="6" s="1"/>
  <c r="BA33" i="6"/>
  <c r="AZ33" i="6"/>
  <c r="AT33" i="6"/>
  <c r="AY33" i="6"/>
  <c r="AU33" i="6"/>
  <c r="AV33" i="6"/>
  <c r="AW33" i="6"/>
  <c r="AX33" i="6"/>
  <c r="I24" i="12"/>
  <c r="C24" i="12" s="1"/>
  <c r="L24" i="5"/>
  <c r="C24" i="6" s="1"/>
  <c r="AM24" i="5"/>
  <c r="I24" i="5"/>
  <c r="I25" i="5" s="1"/>
  <c r="I26" i="5" s="1"/>
  <c r="I27" i="5" s="1"/>
  <c r="I28" i="5" s="1"/>
  <c r="AB22" i="5" a="1"/>
  <c r="AB22" i="5" s="1"/>
  <c r="C22" i="12"/>
  <c r="M22" i="12" a="1"/>
  <c r="M22" i="12" s="1"/>
  <c r="O22" i="12" a="1"/>
  <c r="O22" i="12" s="1"/>
  <c r="AO22" i="12" a="1"/>
  <c r="AO22" i="12" s="1"/>
  <c r="C22" i="6"/>
  <c r="I26" i="12"/>
  <c r="AO26" i="12" s="1" a="1"/>
  <c r="AO26" i="12" s="1"/>
  <c r="L26" i="5"/>
  <c r="C26" i="6" s="1"/>
  <c r="Z27" i="5"/>
  <c r="AB27" i="5" s="1" a="1"/>
  <c r="AB27" i="5" s="1"/>
  <c r="Z26" i="5"/>
  <c r="AB26" i="5" s="1" a="1"/>
  <c r="AB26" i="5" s="1"/>
  <c r="I27" i="12"/>
  <c r="M27" i="12" s="1" a="1"/>
  <c r="M27" i="12" s="1"/>
  <c r="AM27" i="5"/>
  <c r="N21" i="12"/>
  <c r="Y21" i="12"/>
  <c r="W21" i="12" s="1" a="1"/>
  <c r="W21" i="12" s="1"/>
  <c r="AM25" i="5"/>
  <c r="Z25" i="5"/>
  <c r="AB25" i="5" s="1" a="1"/>
  <c r="AB25" i="5" s="1"/>
  <c r="I25" i="12"/>
  <c r="O25" i="12" s="1" a="1"/>
  <c r="O25" i="12" s="1"/>
  <c r="Y20" i="12"/>
  <c r="X20" i="12" s="1" a="1"/>
  <c r="X20" i="12" s="1"/>
  <c r="BL35" i="6"/>
  <c r="BE35" i="6"/>
  <c r="BX35" i="6" a="1"/>
  <c r="BX35" i="6" s="1"/>
  <c r="CA35" i="6" a="1"/>
  <c r="CA35" i="6" s="1"/>
  <c r="BY35" i="6" a="1"/>
  <c r="BY35" i="6" s="1"/>
  <c r="CC35" i="6" a="1"/>
  <c r="CC35" i="6" s="1"/>
  <c r="BI35" i="6"/>
  <c r="BH35" i="6"/>
  <c r="CB35" i="6" a="1"/>
  <c r="CB35" i="6" s="1"/>
  <c r="CD35" i="6" a="1"/>
  <c r="CD35" i="6" s="1"/>
  <c r="BW35" i="6" a="1"/>
  <c r="BW35" i="6" s="1"/>
  <c r="BZ35" i="6" a="1"/>
  <c r="BZ35" i="6" s="1"/>
  <c r="BK35" i="6"/>
  <c r="BD35" i="6"/>
  <c r="BJ35" i="6"/>
  <c r="BF35" i="6"/>
  <c r="BG35" i="6"/>
  <c r="CE35" i="6" a="1"/>
  <c r="CE35" i="6" s="1"/>
  <c r="BV35" i="6" a="1"/>
  <c r="BV35" i="6" s="1"/>
  <c r="BC35" i="6"/>
  <c r="AK35" i="6"/>
  <c r="AS35" i="6"/>
  <c r="AL35" i="6"/>
  <c r="AR35" i="6"/>
  <c r="AN35" i="6"/>
  <c r="AM35" i="6"/>
  <c r="AO35" i="6"/>
  <c r="AJ35" i="6"/>
  <c r="AP35" i="6"/>
  <c r="AQ35" i="6"/>
  <c r="BL33" i="6"/>
  <c r="CA33" i="6" a="1"/>
  <c r="CA33" i="6" s="1"/>
  <c r="CE33" i="6" a="1"/>
  <c r="CE33" i="6" s="1"/>
  <c r="BW33" i="6" a="1"/>
  <c r="BW33" i="6" s="1"/>
  <c r="CD33" i="6" a="1"/>
  <c r="CD33" i="6" s="1"/>
  <c r="CB33" i="6" a="1"/>
  <c r="CB33" i="6" s="1"/>
  <c r="BE33" i="6"/>
  <c r="BY33" i="6" a="1"/>
  <c r="BY33" i="6" s="1"/>
  <c r="BK33" i="6"/>
  <c r="CC33" i="6" a="1"/>
  <c r="CC33" i="6" s="1"/>
  <c r="BC33" i="6"/>
  <c r="BG33" i="6"/>
  <c r="BI33" i="6"/>
  <c r="BZ33" i="6" a="1"/>
  <c r="BZ33" i="6" s="1"/>
  <c r="BJ33" i="6"/>
  <c r="BD33" i="6"/>
  <c r="BF33" i="6"/>
  <c r="BH33" i="6"/>
  <c r="BV33" i="6" a="1"/>
  <c r="BV33" i="6" s="1"/>
  <c r="BX33" i="6" a="1"/>
  <c r="BX33" i="6" s="1"/>
  <c r="AO33" i="6"/>
  <c r="AP33" i="6"/>
  <c r="AQ33" i="6"/>
  <c r="AJ33" i="6"/>
  <c r="AR33" i="6"/>
  <c r="AK33" i="6"/>
  <c r="AS33" i="6"/>
  <c r="AM33" i="6"/>
  <c r="AL33" i="6"/>
  <c r="AN33" i="6"/>
  <c r="CE34" i="6" a="1"/>
  <c r="CE34" i="6" s="1"/>
  <c r="BV34" i="6" a="1"/>
  <c r="BV34" i="6" s="1"/>
  <c r="BH34" i="6"/>
  <c r="CC34" i="6" a="1"/>
  <c r="CC34" i="6" s="1"/>
  <c r="BI34" i="6"/>
  <c r="BJ34" i="6"/>
  <c r="CD34" i="6" a="1"/>
  <c r="CD34" i="6" s="1"/>
  <c r="CA34" i="6" a="1"/>
  <c r="CA34" i="6" s="1"/>
  <c r="BE34" i="6"/>
  <c r="BF34" i="6"/>
  <c r="BK34" i="6"/>
  <c r="BG34" i="6"/>
  <c r="BX34" i="6" a="1"/>
  <c r="BX34" i="6" s="1"/>
  <c r="BC34" i="6"/>
  <c r="BY34" i="6" a="1"/>
  <c r="BY34" i="6" s="1"/>
  <c r="BL34" i="6"/>
  <c r="BD34" i="6"/>
  <c r="BW34" i="6" a="1"/>
  <c r="BW34" i="6" s="1"/>
  <c r="CB34" i="6" a="1"/>
  <c r="CB34" i="6" s="1"/>
  <c r="BZ34" i="6" a="1"/>
  <c r="BZ34" i="6" s="1"/>
  <c r="AQ34" i="6"/>
  <c r="AP34" i="6"/>
  <c r="AJ34" i="6"/>
  <c r="AR34" i="6"/>
  <c r="AK34" i="6"/>
  <c r="AS34" i="6"/>
  <c r="AL34" i="6"/>
  <c r="AM34" i="6"/>
  <c r="AN34" i="6"/>
  <c r="AO34" i="6"/>
  <c r="BL37" i="6"/>
  <c r="BY37" i="6" a="1"/>
  <c r="BY37" i="6" s="1"/>
  <c r="BX37" i="6" a="1"/>
  <c r="BX37" i="6" s="1"/>
  <c r="BZ37" i="6" a="1"/>
  <c r="BZ37" i="6" s="1"/>
  <c r="CA37" i="6" a="1"/>
  <c r="CA37" i="6" s="1"/>
  <c r="BW37" i="6" a="1"/>
  <c r="BW37" i="6" s="1"/>
  <c r="BC37" i="6"/>
  <c r="BJ37" i="6"/>
  <c r="BI37" i="6"/>
  <c r="BF37" i="6"/>
  <c r="BD37" i="6"/>
  <c r="CB37" i="6" a="1"/>
  <c r="CB37" i="6" s="1"/>
  <c r="CE37" i="6" a="1"/>
  <c r="CE37" i="6" s="1"/>
  <c r="BE37" i="6"/>
  <c r="BG37" i="6"/>
  <c r="BH37" i="6"/>
  <c r="BV37" i="6" a="1"/>
  <c r="BV37" i="6" s="1"/>
  <c r="CC37" i="6" a="1"/>
  <c r="CC37" i="6" s="1"/>
  <c r="BK37" i="6"/>
  <c r="CD37" i="6" a="1"/>
  <c r="CD37" i="6" s="1"/>
  <c r="AK37" i="6"/>
  <c r="AS37" i="6"/>
  <c r="AL37" i="6"/>
  <c r="AN37" i="6"/>
  <c r="AR37" i="6"/>
  <c r="AM37" i="6"/>
  <c r="AO37" i="6"/>
  <c r="AP37" i="6"/>
  <c r="AJ37" i="6"/>
  <c r="AQ37" i="6"/>
  <c r="BL38" i="6"/>
  <c r="BC38" i="6"/>
  <c r="CD38" i="6" a="1"/>
  <c r="CD38" i="6" s="1"/>
  <c r="BH38" i="6"/>
  <c r="BK38" i="6"/>
  <c r="BI38" i="6"/>
  <c r="CB38" i="6" a="1"/>
  <c r="CB38" i="6" s="1"/>
  <c r="BF38" i="6"/>
  <c r="BD38" i="6"/>
  <c r="BW38" i="6" a="1"/>
  <c r="BW38" i="6" s="1"/>
  <c r="BE38" i="6"/>
  <c r="BY38" i="6" a="1"/>
  <c r="BY38" i="6" s="1"/>
  <c r="CE38" i="6" a="1"/>
  <c r="CE38" i="6" s="1"/>
  <c r="CA38" i="6" a="1"/>
  <c r="CA38" i="6" s="1"/>
  <c r="BV38" i="6" a="1"/>
  <c r="BV38" i="6" s="1"/>
  <c r="BG38" i="6"/>
  <c r="CC38" i="6" a="1"/>
  <c r="CC38" i="6" s="1"/>
  <c r="BZ38" i="6" a="1"/>
  <c r="BZ38" i="6" s="1"/>
  <c r="BJ38" i="6"/>
  <c r="BX38" i="6" a="1"/>
  <c r="BX38" i="6" s="1"/>
  <c r="AN38" i="6"/>
  <c r="AL38" i="6"/>
  <c r="AM38" i="6"/>
  <c r="AP38" i="6"/>
  <c r="AO38" i="6"/>
  <c r="AQ38" i="6"/>
  <c r="AR38" i="6"/>
  <c r="AJ38" i="6"/>
  <c r="AK38" i="6"/>
  <c r="AS38" i="6"/>
  <c r="BL40" i="6"/>
  <c r="BE40" i="6"/>
  <c r="BG40" i="6"/>
  <c r="CA40" i="6" a="1"/>
  <c r="CA40" i="6" s="1"/>
  <c r="BJ40" i="6"/>
  <c r="CE40" i="6" a="1"/>
  <c r="CE40" i="6" s="1"/>
  <c r="BH40" i="6"/>
  <c r="BI40" i="6"/>
  <c r="BK40" i="6"/>
  <c r="CC40" i="6" a="1"/>
  <c r="CC40" i="6" s="1"/>
  <c r="BW40" i="6" a="1"/>
  <c r="BW40" i="6" s="1"/>
  <c r="CD40" i="6" a="1"/>
  <c r="CD40" i="6" s="1"/>
  <c r="BF40" i="6"/>
  <c r="BD40" i="6"/>
  <c r="BY40" i="6" a="1"/>
  <c r="BY40" i="6" s="1"/>
  <c r="BX40" i="6" a="1"/>
  <c r="BX40" i="6" s="1"/>
  <c r="CB40" i="6" a="1"/>
  <c r="CB40" i="6" s="1"/>
  <c r="BZ40" i="6" a="1"/>
  <c r="BZ40" i="6" s="1"/>
  <c r="BC40" i="6"/>
  <c r="BV40" i="6" a="1"/>
  <c r="BV40" i="6" s="1"/>
  <c r="AK40" i="6"/>
  <c r="AS40" i="6"/>
  <c r="AL40" i="6"/>
  <c r="AN40" i="6"/>
  <c r="AP40" i="6"/>
  <c r="AJ40" i="6"/>
  <c r="AM40" i="6"/>
  <c r="AR40" i="6"/>
  <c r="AO40" i="6"/>
  <c r="AQ40" i="6"/>
  <c r="M43" i="6"/>
  <c r="BL39" i="6"/>
  <c r="BI39" i="6"/>
  <c r="BG39" i="6"/>
  <c r="BJ39" i="6"/>
  <c r="BE39" i="6"/>
  <c r="BZ39" i="6" a="1"/>
  <c r="BZ39" i="6" s="1"/>
  <c r="BY39" i="6" a="1"/>
  <c r="BY39" i="6" s="1"/>
  <c r="CA39" i="6" a="1"/>
  <c r="CA39" i="6" s="1"/>
  <c r="BW39" i="6" a="1"/>
  <c r="BW39" i="6" s="1"/>
  <c r="BD39" i="6"/>
  <c r="CC39" i="6" a="1"/>
  <c r="CC39" i="6" s="1"/>
  <c r="BH39" i="6"/>
  <c r="BV39" i="6" a="1"/>
  <c r="BV39" i="6" s="1"/>
  <c r="CD39" i="6" a="1"/>
  <c r="CD39" i="6" s="1"/>
  <c r="BF39" i="6"/>
  <c r="CE39" i="6" a="1"/>
  <c r="CE39" i="6" s="1"/>
  <c r="BX39" i="6" a="1"/>
  <c r="BX39" i="6" s="1"/>
  <c r="CB39" i="6" a="1"/>
  <c r="CB39" i="6" s="1"/>
  <c r="BK39" i="6"/>
  <c r="BC39" i="6"/>
  <c r="AJ39" i="6"/>
  <c r="AR39" i="6"/>
  <c r="AK39" i="6"/>
  <c r="AS39" i="6"/>
  <c r="AL39" i="6"/>
  <c r="AQ39" i="6"/>
  <c r="AM39" i="6"/>
  <c r="AN39" i="6"/>
  <c r="AO39" i="6"/>
  <c r="AP39" i="6"/>
  <c r="AM28" i="5"/>
  <c r="L28" i="5"/>
  <c r="C28" i="6" s="1"/>
  <c r="I28" i="12"/>
  <c r="Z28" i="5"/>
  <c r="AB28" i="5" s="1" a="1"/>
  <c r="AB28" i="5" s="1"/>
  <c r="W18" i="12" a="1"/>
  <c r="W18" i="12" s="1"/>
  <c r="V18" i="12" s="1" a="1"/>
  <c r="V18" i="12" s="1"/>
  <c r="X19" i="12" a="1"/>
  <c r="X19" i="12" s="1"/>
  <c r="V19" i="12" a="1"/>
  <c r="V19" i="12" s="1"/>
  <c r="U19" i="12"/>
  <c r="T19" i="12"/>
  <c r="T133" i="5"/>
  <c r="G133" i="12" s="1" a="1"/>
  <c r="G133" i="12" s="1"/>
  <c r="K134" i="12"/>
  <c r="J135" i="12" a="1"/>
  <c r="J135" i="12" s="1"/>
  <c r="L135" i="12" a="1"/>
  <c r="L135" i="12" s="1"/>
  <c r="A129" i="6"/>
  <c r="H135" i="6" a="1"/>
  <c r="H135" i="6" s="1"/>
  <c r="T135" i="5" s="1"/>
  <c r="G135" i="12" s="1" a="1"/>
  <c r="G135" i="12" s="1"/>
  <c r="A136" i="12"/>
  <c r="E136" i="5"/>
  <c r="D136" i="5"/>
  <c r="B136" i="12" s="1"/>
  <c r="B136" i="5"/>
  <c r="C137" i="5" s="1"/>
  <c r="N136" i="5"/>
  <c r="AE136" i="5" a="1"/>
  <c r="AE136" i="5" s="1"/>
  <c r="W136" i="5" a="1"/>
  <c r="W136" i="5" s="1"/>
  <c r="H136" i="12" s="1" a="1"/>
  <c r="H136" i="12" s="1"/>
  <c r="H136" i="5"/>
  <c r="AD136" i="5"/>
  <c r="G136" i="5"/>
  <c r="J136" i="5"/>
  <c r="F136" i="5"/>
  <c r="K136" i="5"/>
  <c r="L137" i="6"/>
  <c r="B136" i="6"/>
  <c r="X32" i="5" l="1" a="1"/>
  <c r="X32" i="5" s="1"/>
  <c r="Z32" i="5" s="1"/>
  <c r="AB32" i="5" s="1" a="1"/>
  <c r="AB32" i="5" s="1"/>
  <c r="CL43" i="6" a="1"/>
  <c r="CL43" i="6" s="1"/>
  <c r="BO43" i="6"/>
  <c r="BP43" i="6"/>
  <c r="CH43" i="6" a="1"/>
  <c r="CH43" i="6" s="1"/>
  <c r="BN43" i="6"/>
  <c r="CK43" i="6" a="1"/>
  <c r="CK43" i="6" s="1"/>
  <c r="BM43" i="6"/>
  <c r="CG43" i="6" a="1"/>
  <c r="CG43" i="6" s="1"/>
  <c r="BT43" i="6"/>
  <c r="BQ43" i="6"/>
  <c r="CJ43" i="6" a="1"/>
  <c r="CJ43" i="6" s="1"/>
  <c r="CI43" i="6" a="1"/>
  <c r="CI43" i="6" s="1"/>
  <c r="CF43" i="6" a="1"/>
  <c r="CF43" i="6" s="1"/>
  <c r="BS43" i="6"/>
  <c r="CM43" i="6" a="1"/>
  <c r="CM43" i="6" s="1"/>
  <c r="BR43" i="6"/>
  <c r="AT43" i="6"/>
  <c r="AU43" i="6"/>
  <c r="AZ43" i="6"/>
  <c r="AV43" i="6"/>
  <c r="AW43" i="6"/>
  <c r="AX43" i="6"/>
  <c r="AY43" i="6"/>
  <c r="BA43" i="6"/>
  <c r="O24" i="12" a="1"/>
  <c r="O24" i="12" s="1"/>
  <c r="M24" i="12" a="1"/>
  <c r="M24" i="12" s="1"/>
  <c r="AO24" i="12" a="1"/>
  <c r="AO24" i="12" s="1"/>
  <c r="M26" i="12" a="1"/>
  <c r="M26" i="12" s="1"/>
  <c r="O26" i="12" a="1"/>
  <c r="O26" i="12" s="1"/>
  <c r="Y22" i="12"/>
  <c r="W22" i="12" s="1" a="1"/>
  <c r="W22" i="12" s="1"/>
  <c r="N22" i="12"/>
  <c r="C26" i="12"/>
  <c r="X21" i="12" a="1"/>
  <c r="X21" i="12" s="1"/>
  <c r="AO27" i="12" a="1"/>
  <c r="AO27" i="12" s="1"/>
  <c r="C27" i="12"/>
  <c r="O27" i="12" a="1"/>
  <c r="O27" i="12" s="1"/>
  <c r="N27" i="12" s="1"/>
  <c r="W20" i="12" a="1"/>
  <c r="W20" i="12" s="1"/>
  <c r="T20" i="12" s="1"/>
  <c r="C25" i="12"/>
  <c r="AO25" i="12" a="1"/>
  <c r="AO25" i="12" s="1"/>
  <c r="Y25" i="12" s="1"/>
  <c r="M25" i="12" a="1"/>
  <c r="M25" i="12" s="1"/>
  <c r="N25" i="12" s="1"/>
  <c r="X37" i="5" a="1"/>
  <c r="X37" i="5" s="1"/>
  <c r="I37" i="12" s="1"/>
  <c r="X38" i="5" a="1"/>
  <c r="X38" i="5" s="1"/>
  <c r="X40" i="5" a="1"/>
  <c r="X40" i="5" s="1"/>
  <c r="C28" i="12"/>
  <c r="AO28" i="12" a="1"/>
  <c r="AO28" i="12" s="1"/>
  <c r="O28" i="12" a="1"/>
  <c r="O28" i="12" s="1"/>
  <c r="M28" i="12" a="1"/>
  <c r="M28" i="12" s="1"/>
  <c r="BL43" i="6"/>
  <c r="BK43" i="6"/>
  <c r="BI43" i="6"/>
  <c r="BY43" i="6" a="1"/>
  <c r="BY43" i="6" s="1"/>
  <c r="BD43" i="6"/>
  <c r="BX43" i="6" a="1"/>
  <c r="BX43" i="6" s="1"/>
  <c r="CE43" i="6" a="1"/>
  <c r="CE43" i="6" s="1"/>
  <c r="BC43" i="6"/>
  <c r="BW43" i="6" a="1"/>
  <c r="BW43" i="6" s="1"/>
  <c r="BJ43" i="6"/>
  <c r="CD43" i="6" a="1"/>
  <c r="CD43" i="6" s="1"/>
  <c r="BV43" i="6" a="1"/>
  <c r="BV43" i="6" s="1"/>
  <c r="CA43" i="6" a="1"/>
  <c r="CA43" i="6" s="1"/>
  <c r="CC43" i="6" a="1"/>
  <c r="CC43" i="6" s="1"/>
  <c r="BF43" i="6"/>
  <c r="BG43" i="6"/>
  <c r="BE43" i="6"/>
  <c r="BH43" i="6"/>
  <c r="CB43" i="6" a="1"/>
  <c r="CB43" i="6" s="1"/>
  <c r="BZ43" i="6" a="1"/>
  <c r="BZ43" i="6" s="1"/>
  <c r="AN43" i="6"/>
  <c r="AM43" i="6"/>
  <c r="AO43" i="6"/>
  <c r="AL43" i="6"/>
  <c r="AP43" i="6"/>
  <c r="AQ43" i="6"/>
  <c r="AJ43" i="6"/>
  <c r="AR43" i="6"/>
  <c r="AK43" i="6"/>
  <c r="AS43" i="6"/>
  <c r="M47" i="6"/>
  <c r="M46" i="6"/>
  <c r="M48" i="6"/>
  <c r="M49" i="6"/>
  <c r="M44" i="6"/>
  <c r="X35" i="5" a="1"/>
  <c r="X35" i="5" s="1"/>
  <c r="X34" i="5" a="1"/>
  <c r="X34" i="5" s="1"/>
  <c r="X33" i="5" a="1"/>
  <c r="X33" i="5" s="1"/>
  <c r="X39" i="5" a="1"/>
  <c r="X39" i="5" s="1"/>
  <c r="T18" i="12"/>
  <c r="U18" i="12"/>
  <c r="V21" i="12" a="1"/>
  <c r="V21" i="12" s="1"/>
  <c r="U21" i="12"/>
  <c r="T21" i="12"/>
  <c r="K135" i="12"/>
  <c r="M129" i="6"/>
  <c r="D136" i="6"/>
  <c r="L136" i="12" a="1"/>
  <c r="L136" i="12" s="1"/>
  <c r="J136" i="12" a="1"/>
  <c r="J136" i="12" s="1"/>
  <c r="L138" i="6"/>
  <c r="B137" i="6"/>
  <c r="A137" i="12"/>
  <c r="C138" i="5"/>
  <c r="AE137" i="5" a="1"/>
  <c r="AE137" i="5" s="1"/>
  <c r="W137" i="5" a="1"/>
  <c r="W137" i="5" s="1"/>
  <c r="H137" i="12" s="1" a="1"/>
  <c r="H137" i="12" s="1"/>
  <c r="H137" i="5"/>
  <c r="AD137" i="5"/>
  <c r="G137" i="5"/>
  <c r="B137" i="5"/>
  <c r="N137" i="5"/>
  <c r="D137" i="6" s="1"/>
  <c r="E137" i="5"/>
  <c r="F137" i="5"/>
  <c r="AF137" i="5" a="1"/>
  <c r="AF137" i="5" s="1"/>
  <c r="AM32" i="5" l="1"/>
  <c r="I32" i="12"/>
  <c r="C32" i="12" s="1"/>
  <c r="L32" i="5"/>
  <c r="C32" i="6" s="1"/>
  <c r="CL46" i="6" a="1"/>
  <c r="CL46" i="6" s="1"/>
  <c r="BP46" i="6"/>
  <c r="CH46" i="6" a="1"/>
  <c r="CH46" i="6" s="1"/>
  <c r="BO46" i="6"/>
  <c r="BM46" i="6"/>
  <c r="CK46" i="6" a="1"/>
  <c r="CK46" i="6" s="1"/>
  <c r="BN46" i="6"/>
  <c r="CG46" i="6" a="1"/>
  <c r="CG46" i="6" s="1"/>
  <c r="BS46" i="6"/>
  <c r="CJ46" i="6" a="1"/>
  <c r="CJ46" i="6" s="1"/>
  <c r="BT46" i="6"/>
  <c r="CF46" i="6" a="1"/>
  <c r="CF46" i="6" s="1"/>
  <c r="CM46" i="6" a="1"/>
  <c r="CM46" i="6" s="1"/>
  <c r="BR46" i="6"/>
  <c r="CI46" i="6" a="1"/>
  <c r="CI46" i="6" s="1"/>
  <c r="BQ46" i="6"/>
  <c r="AW46" i="6"/>
  <c r="AX46" i="6"/>
  <c r="AY46" i="6"/>
  <c r="AZ46" i="6"/>
  <c r="BA46" i="6"/>
  <c r="AT46" i="6"/>
  <c r="AU46" i="6"/>
  <c r="AV46" i="6"/>
  <c r="CL47" i="6" a="1"/>
  <c r="CL47" i="6" s="1"/>
  <c r="BO47" i="6"/>
  <c r="CH47" i="6" a="1"/>
  <c r="CH47" i="6" s="1"/>
  <c r="CI47" i="6" a="1"/>
  <c r="CI47" i="6" s="1"/>
  <c r="BT47" i="6"/>
  <c r="CK47" i="6" a="1"/>
  <c r="CK47" i="6" s="1"/>
  <c r="BN47" i="6"/>
  <c r="BM47" i="6"/>
  <c r="BQ47" i="6"/>
  <c r="CG47" i="6" a="1"/>
  <c r="CG47" i="6" s="1"/>
  <c r="BP47" i="6"/>
  <c r="CJ47" i="6" a="1"/>
  <c r="CJ47" i="6" s="1"/>
  <c r="CF47" i="6" a="1"/>
  <c r="CF47" i="6" s="1"/>
  <c r="BS47" i="6"/>
  <c r="CM47" i="6" a="1"/>
  <c r="CM47" i="6" s="1"/>
  <c r="BR47" i="6"/>
  <c r="AY47" i="6"/>
  <c r="BA47" i="6"/>
  <c r="AZ47" i="6"/>
  <c r="AT47" i="6"/>
  <c r="AU47" i="6"/>
  <c r="AV47" i="6"/>
  <c r="AX47" i="6"/>
  <c r="AW47" i="6"/>
  <c r="CL44" i="6" a="1"/>
  <c r="CL44" i="6" s="1"/>
  <c r="BO44" i="6"/>
  <c r="BS44" i="6"/>
  <c r="BR44" i="6"/>
  <c r="CH44" i="6" a="1"/>
  <c r="CH44" i="6" s="1"/>
  <c r="BN44" i="6"/>
  <c r="BT44" i="6"/>
  <c r="CF44" i="6" a="1"/>
  <c r="CF44" i="6" s="1"/>
  <c r="CK44" i="6" a="1"/>
  <c r="CK44" i="6" s="1"/>
  <c r="BM44" i="6"/>
  <c r="CG44" i="6" a="1"/>
  <c r="CG44" i="6" s="1"/>
  <c r="CI44" i="6" a="1"/>
  <c r="CI44" i="6" s="1"/>
  <c r="CJ44" i="6" a="1"/>
  <c r="CJ44" i="6" s="1"/>
  <c r="CM44" i="6" a="1"/>
  <c r="CM44" i="6" s="1"/>
  <c r="BP44" i="6"/>
  <c r="BQ44" i="6"/>
  <c r="AT44" i="6"/>
  <c r="AU44" i="6"/>
  <c r="AV44" i="6"/>
  <c r="AZ44" i="6"/>
  <c r="AW44" i="6"/>
  <c r="AX44" i="6"/>
  <c r="AY44" i="6"/>
  <c r="BA44" i="6"/>
  <c r="CL48" i="6" a="1"/>
  <c r="CL48" i="6" s="1"/>
  <c r="BP48" i="6"/>
  <c r="CH48" i="6" a="1"/>
  <c r="CH48" i="6" s="1"/>
  <c r="BO48" i="6"/>
  <c r="CK48" i="6" a="1"/>
  <c r="CK48" i="6" s="1"/>
  <c r="BN48" i="6"/>
  <c r="CG48" i="6" a="1"/>
  <c r="CG48" i="6" s="1"/>
  <c r="BM48" i="6"/>
  <c r="CJ48" i="6" a="1"/>
  <c r="CJ48" i="6" s="1"/>
  <c r="BT48" i="6"/>
  <c r="CF48" i="6" a="1"/>
  <c r="CF48" i="6" s="1"/>
  <c r="BS48" i="6"/>
  <c r="CM48" i="6" a="1"/>
  <c r="CM48" i="6" s="1"/>
  <c r="BR48" i="6"/>
  <c r="CI48" i="6" a="1"/>
  <c r="CI48" i="6" s="1"/>
  <c r="BQ48" i="6"/>
  <c r="AZ48" i="6"/>
  <c r="AT48" i="6"/>
  <c r="AU48" i="6"/>
  <c r="BA48" i="6"/>
  <c r="AV48" i="6"/>
  <c r="AW48" i="6"/>
  <c r="AX48" i="6"/>
  <c r="AY48" i="6"/>
  <c r="CL129" i="6" a="1"/>
  <c r="CL129" i="6" s="1"/>
  <c r="BQ129" i="6"/>
  <c r="BP129" i="6"/>
  <c r="CG129" i="6" a="1"/>
  <c r="CG129" i="6" s="1"/>
  <c r="BO129" i="6"/>
  <c r="CH129" i="6" a="1"/>
  <c r="CH129" i="6" s="1"/>
  <c r="CF129" i="6" a="1"/>
  <c r="CF129" i="6" s="1"/>
  <c r="BN129" i="6"/>
  <c r="CI129" i="6" a="1"/>
  <c r="CI129" i="6" s="1"/>
  <c r="BM129" i="6"/>
  <c r="CK129" i="6" a="1"/>
  <c r="CK129" i="6" s="1"/>
  <c r="BT129" i="6"/>
  <c r="CJ129" i="6" a="1"/>
  <c r="CJ129" i="6" s="1"/>
  <c r="BS129" i="6"/>
  <c r="CM129" i="6" a="1"/>
  <c r="CM129" i="6" s="1"/>
  <c r="BR129" i="6"/>
  <c r="AX129" i="6"/>
  <c r="AY129" i="6"/>
  <c r="AZ129" i="6"/>
  <c r="BA129" i="6"/>
  <c r="AW129" i="6"/>
  <c r="AT129" i="6"/>
  <c r="AU129" i="6"/>
  <c r="AV129" i="6"/>
  <c r="CL49" i="6" a="1"/>
  <c r="CL49" i="6" s="1"/>
  <c r="BP49" i="6"/>
  <c r="CH49" i="6" a="1"/>
  <c r="CH49" i="6" s="1"/>
  <c r="BO49" i="6"/>
  <c r="BR49" i="6"/>
  <c r="CK49" i="6" a="1"/>
  <c r="CK49" i="6" s="1"/>
  <c r="BN49" i="6"/>
  <c r="CG49" i="6" a="1"/>
  <c r="CG49" i="6" s="1"/>
  <c r="BM49" i="6"/>
  <c r="CJ49" i="6" a="1"/>
  <c r="CJ49" i="6" s="1"/>
  <c r="BT49" i="6"/>
  <c r="CF49" i="6" a="1"/>
  <c r="CF49" i="6" s="1"/>
  <c r="BS49" i="6"/>
  <c r="CI49" i="6" a="1"/>
  <c r="CI49" i="6" s="1"/>
  <c r="BQ49" i="6"/>
  <c r="CM49" i="6" a="1"/>
  <c r="CM49" i="6" s="1"/>
  <c r="BA49" i="6"/>
  <c r="AY49" i="6"/>
  <c r="AZ49" i="6"/>
  <c r="AT49" i="6"/>
  <c r="AU49" i="6"/>
  <c r="AV49" i="6"/>
  <c r="AW49" i="6"/>
  <c r="AX49" i="6"/>
  <c r="Y24" i="12"/>
  <c r="W24" i="12" s="1" a="1"/>
  <c r="W24" i="12" s="1"/>
  <c r="T24" i="12" s="1"/>
  <c r="N24" i="12"/>
  <c r="X22" i="12" a="1"/>
  <c r="X22" i="12" s="1"/>
  <c r="N26" i="12"/>
  <c r="Y26" i="12"/>
  <c r="W26" i="12" s="1" a="1"/>
  <c r="W26" i="12" s="1"/>
  <c r="T26" i="12" s="1"/>
  <c r="T22" i="12"/>
  <c r="V22" i="12" a="1"/>
  <c r="V22" i="12" s="1"/>
  <c r="U22" i="12"/>
  <c r="Y27" i="12"/>
  <c r="W27" i="12" s="1" a="1"/>
  <c r="W27" i="12" s="1"/>
  <c r="U20" i="12"/>
  <c r="V20" i="12" a="1"/>
  <c r="V20" i="12" s="1"/>
  <c r="Z37" i="5"/>
  <c r="AB37" i="5" s="1" a="1"/>
  <c r="AB37" i="5" s="1"/>
  <c r="L37" i="5"/>
  <c r="C37" i="6" s="1"/>
  <c r="AM37" i="5"/>
  <c r="N28" i="12"/>
  <c r="Y28" i="12"/>
  <c r="I39" i="12"/>
  <c r="AM39" i="5"/>
  <c r="L39" i="5"/>
  <c r="C39" i="6" s="1"/>
  <c r="Z39" i="5"/>
  <c r="AB39" i="5" s="1" a="1"/>
  <c r="AB39" i="5" s="1"/>
  <c r="Z33" i="5"/>
  <c r="AB33" i="5" s="1" a="1"/>
  <c r="AB33" i="5" s="1"/>
  <c r="I33" i="12"/>
  <c r="L33" i="5"/>
  <c r="C33" i="6" s="1"/>
  <c r="AM33" i="5"/>
  <c r="CD44" i="6" a="1"/>
  <c r="CD44" i="6" s="1"/>
  <c r="CB44" i="6" a="1"/>
  <c r="CB44" i="6" s="1"/>
  <c r="CE44" i="6" a="1"/>
  <c r="CE44" i="6" s="1"/>
  <c r="CC44" i="6" a="1"/>
  <c r="CC44" i="6" s="1"/>
  <c r="BK44" i="6"/>
  <c r="BD44" i="6"/>
  <c r="BI44" i="6"/>
  <c r="BF44" i="6"/>
  <c r="BY44" i="6" a="1"/>
  <c r="BY44" i="6" s="1"/>
  <c r="BE44" i="6"/>
  <c r="BH44" i="6"/>
  <c r="BZ44" i="6" a="1"/>
  <c r="BZ44" i="6" s="1"/>
  <c r="BV44" i="6" a="1"/>
  <c r="BV44" i="6" s="1"/>
  <c r="BJ44" i="6"/>
  <c r="BG44" i="6"/>
  <c r="BX44" i="6" a="1"/>
  <c r="BX44" i="6" s="1"/>
  <c r="BL44" i="6"/>
  <c r="CA44" i="6" a="1"/>
  <c r="CA44" i="6" s="1"/>
  <c r="BC44" i="6"/>
  <c r="BW44" i="6" a="1"/>
  <c r="BW44" i="6" s="1"/>
  <c r="AM44" i="6"/>
  <c r="AN44" i="6"/>
  <c r="AR44" i="6"/>
  <c r="AO44" i="6"/>
  <c r="AJ44" i="6"/>
  <c r="AL44" i="6"/>
  <c r="AP44" i="6"/>
  <c r="AQ44" i="6"/>
  <c r="AK44" i="6"/>
  <c r="AS44" i="6"/>
  <c r="BC47" i="6"/>
  <c r="BD47" i="6"/>
  <c r="BX47" i="6" a="1"/>
  <c r="BX47" i="6" s="1"/>
  <c r="BE47" i="6"/>
  <c r="BV47" i="6" a="1"/>
  <c r="BV47" i="6" s="1"/>
  <c r="CB47" i="6" a="1"/>
  <c r="CB47" i="6" s="1"/>
  <c r="BJ47" i="6"/>
  <c r="CA47" i="6" a="1"/>
  <c r="CA47" i="6" s="1"/>
  <c r="CD47" i="6" a="1"/>
  <c r="CD47" i="6" s="1"/>
  <c r="CE47" i="6" a="1"/>
  <c r="CE47" i="6" s="1"/>
  <c r="BK47" i="6"/>
  <c r="BH47" i="6"/>
  <c r="BF47" i="6"/>
  <c r="BI47" i="6"/>
  <c r="BG47" i="6"/>
  <c r="BZ47" i="6" a="1"/>
  <c r="BZ47" i="6" s="1"/>
  <c r="BW47" i="6" a="1"/>
  <c r="BW47" i="6" s="1"/>
  <c r="BY47" i="6" a="1"/>
  <c r="BY47" i="6" s="1"/>
  <c r="CC47" i="6" a="1"/>
  <c r="CC47" i="6" s="1"/>
  <c r="BL47" i="6"/>
  <c r="AP47" i="6"/>
  <c r="AQ47" i="6"/>
  <c r="AJ47" i="6"/>
  <c r="AR47" i="6"/>
  <c r="AK47" i="6"/>
  <c r="AS47" i="6"/>
  <c r="AL47" i="6"/>
  <c r="AN47" i="6"/>
  <c r="AM47" i="6"/>
  <c r="AO47" i="6"/>
  <c r="L34" i="5"/>
  <c r="C34" i="6" s="1"/>
  <c r="Z34" i="5"/>
  <c r="AB34" i="5" s="1" a="1"/>
  <c r="AB34" i="5" s="1"/>
  <c r="AM34" i="5"/>
  <c r="I34" i="12"/>
  <c r="M52" i="6"/>
  <c r="BV49" i="6" a="1"/>
  <c r="BV49" i="6" s="1"/>
  <c r="CE49" i="6" a="1"/>
  <c r="CE49" i="6" s="1"/>
  <c r="BD49" i="6"/>
  <c r="BX49" i="6" a="1"/>
  <c r="BX49" i="6" s="1"/>
  <c r="BC49" i="6"/>
  <c r="BY49" i="6" a="1"/>
  <c r="BY49" i="6" s="1"/>
  <c r="CA49" i="6" a="1"/>
  <c r="CA49" i="6" s="1"/>
  <c r="BK49" i="6"/>
  <c r="CC49" i="6" a="1"/>
  <c r="CC49" i="6" s="1"/>
  <c r="BF49" i="6"/>
  <c r="CD49" i="6" a="1"/>
  <c r="CD49" i="6" s="1"/>
  <c r="BJ49" i="6"/>
  <c r="BW49" i="6" a="1"/>
  <c r="BW49" i="6" s="1"/>
  <c r="CB49" i="6" a="1"/>
  <c r="CB49" i="6" s="1"/>
  <c r="BH49" i="6"/>
  <c r="BL49" i="6"/>
  <c r="BZ49" i="6" a="1"/>
  <c r="BZ49" i="6" s="1"/>
  <c r="BG49" i="6"/>
  <c r="BE49" i="6"/>
  <c r="BI49" i="6"/>
  <c r="AL49" i="6"/>
  <c r="AS49" i="6"/>
  <c r="AN49" i="6"/>
  <c r="AM49" i="6"/>
  <c r="AO49" i="6"/>
  <c r="AK49" i="6"/>
  <c r="AP49" i="6"/>
  <c r="AQ49" i="6"/>
  <c r="AJ49" i="6"/>
  <c r="AR49" i="6"/>
  <c r="X43" i="5" a="1"/>
  <c r="X43" i="5" s="1"/>
  <c r="AM40" i="5"/>
  <c r="Z40" i="5"/>
  <c r="AB40" i="5" s="1" a="1"/>
  <c r="AB40" i="5" s="1"/>
  <c r="L40" i="5"/>
  <c r="C40" i="6" s="1"/>
  <c r="I40" i="12"/>
  <c r="BE48" i="6"/>
  <c r="BW48" i="6" a="1"/>
  <c r="BW48" i="6" s="1"/>
  <c r="BK48" i="6"/>
  <c r="BZ48" i="6" a="1"/>
  <c r="BZ48" i="6" s="1"/>
  <c r="BL48" i="6"/>
  <c r="CA48" i="6" a="1"/>
  <c r="CA48" i="6" s="1"/>
  <c r="BV48" i="6" a="1"/>
  <c r="BV48" i="6" s="1"/>
  <c r="BC48" i="6"/>
  <c r="BD48" i="6"/>
  <c r="CB48" i="6" a="1"/>
  <c r="CB48" i="6" s="1"/>
  <c r="BH48" i="6"/>
  <c r="BX48" i="6" a="1"/>
  <c r="BX48" i="6" s="1"/>
  <c r="BI48" i="6"/>
  <c r="CC48" i="6" a="1"/>
  <c r="CC48" i="6" s="1"/>
  <c r="CD48" i="6" a="1"/>
  <c r="CD48" i="6" s="1"/>
  <c r="BF48" i="6"/>
  <c r="BG48" i="6"/>
  <c r="CE48" i="6" a="1"/>
  <c r="CE48" i="6" s="1"/>
  <c r="BY48" i="6" a="1"/>
  <c r="BY48" i="6" s="1"/>
  <c r="BJ48" i="6"/>
  <c r="AM48" i="6"/>
  <c r="AO48" i="6"/>
  <c r="AP48" i="6"/>
  <c r="AQ48" i="6"/>
  <c r="AN48" i="6"/>
  <c r="AJ48" i="6"/>
  <c r="AR48" i="6"/>
  <c r="AK48" i="6"/>
  <c r="AS48" i="6"/>
  <c r="AL48" i="6"/>
  <c r="I35" i="12"/>
  <c r="L35" i="5"/>
  <c r="C35" i="6" s="1"/>
  <c r="AM35" i="5"/>
  <c r="Z35" i="5"/>
  <c r="AB35" i="5" s="1" a="1"/>
  <c r="AB35" i="5" s="1"/>
  <c r="O37" i="12" a="1"/>
  <c r="O37" i="12" s="1"/>
  <c r="AO37" i="12" a="1"/>
  <c r="AO37" i="12" s="1"/>
  <c r="M37" i="12" a="1"/>
  <c r="M37" i="12" s="1"/>
  <c r="C37" i="12"/>
  <c r="CA46" i="6" a="1"/>
  <c r="CA46" i="6" s="1"/>
  <c r="BW46" i="6" a="1"/>
  <c r="BW46" i="6" s="1"/>
  <c r="BI46" i="6"/>
  <c r="BX46" i="6" a="1"/>
  <c r="BX46" i="6" s="1"/>
  <c r="BC46" i="6"/>
  <c r="BH46" i="6"/>
  <c r="BD46" i="6"/>
  <c r="BG46" i="6"/>
  <c r="BF46" i="6"/>
  <c r="BV46" i="6" a="1"/>
  <c r="BV46" i="6" s="1"/>
  <c r="CB46" i="6" a="1"/>
  <c r="CB46" i="6" s="1"/>
  <c r="BY46" i="6" a="1"/>
  <c r="BY46" i="6" s="1"/>
  <c r="BE46" i="6"/>
  <c r="BJ46" i="6"/>
  <c r="CD46" i="6" a="1"/>
  <c r="CD46" i="6" s="1"/>
  <c r="CE46" i="6" a="1"/>
  <c r="CE46" i="6" s="1"/>
  <c r="BZ46" i="6" a="1"/>
  <c r="BZ46" i="6" s="1"/>
  <c r="BK46" i="6"/>
  <c r="BL46" i="6"/>
  <c r="CC46" i="6" a="1"/>
  <c r="CC46" i="6" s="1"/>
  <c r="AN46" i="6"/>
  <c r="AL46" i="6"/>
  <c r="AM46" i="6"/>
  <c r="AO46" i="6"/>
  <c r="AP46" i="6"/>
  <c r="AQ46" i="6"/>
  <c r="AJ46" i="6"/>
  <c r="AR46" i="6"/>
  <c r="AK46" i="6"/>
  <c r="AS46" i="6"/>
  <c r="X25" i="12" a="1"/>
  <c r="X25" i="12" s="1"/>
  <c r="W25" i="12" a="1"/>
  <c r="W25" i="12" s="1"/>
  <c r="I38" i="12"/>
  <c r="Z38" i="5"/>
  <c r="AB38" i="5" s="1" a="1"/>
  <c r="AB38" i="5" s="1"/>
  <c r="AM38" i="5"/>
  <c r="L38" i="5"/>
  <c r="C38" i="6" s="1"/>
  <c r="E137" i="12"/>
  <c r="H137" i="6" a="1"/>
  <c r="H137" i="6" s="1"/>
  <c r="T137" i="5" s="1"/>
  <c r="G137" i="12" s="1" a="1"/>
  <c r="G137" i="12" s="1"/>
  <c r="H136" i="6" a="1"/>
  <c r="H136" i="6" s="1"/>
  <c r="A130" i="6"/>
  <c r="A138" i="12"/>
  <c r="AD138" i="5"/>
  <c r="G138" i="5"/>
  <c r="F138" i="5"/>
  <c r="E138" i="5"/>
  <c r="D138" i="5"/>
  <c r="B138" i="12" s="1"/>
  <c r="B138" i="5"/>
  <c r="J138" i="5"/>
  <c r="C139" i="5"/>
  <c r="AE138" i="5" a="1"/>
  <c r="AE138" i="5" s="1"/>
  <c r="W138" i="5" a="1"/>
  <c r="W138" i="5" s="1"/>
  <c r="H138" i="12" s="1" a="1"/>
  <c r="H138" i="12" s="1"/>
  <c r="H138" i="5"/>
  <c r="K138" i="5"/>
  <c r="N138" i="5"/>
  <c r="B138" i="6"/>
  <c r="L139" i="6"/>
  <c r="BX129" i="6" a="1"/>
  <c r="BX129" i="6" s="1"/>
  <c r="AO129" i="6"/>
  <c r="AL129" i="6"/>
  <c r="CB129" i="6" a="1"/>
  <c r="CB129" i="6" s="1"/>
  <c r="AP129" i="6"/>
  <c r="BD129" i="6"/>
  <c r="BH129" i="6"/>
  <c r="AN129" i="6"/>
  <c r="BC129" i="6"/>
  <c r="BG129" i="6"/>
  <c r="AM129" i="6"/>
  <c r="BI129" i="6"/>
  <c r="CD129" i="6" a="1"/>
  <c r="CD129" i="6" s="1"/>
  <c r="AK129" i="6"/>
  <c r="BW129" i="6" a="1"/>
  <c r="BW129" i="6" s="1"/>
  <c r="BY129" i="6" a="1"/>
  <c r="BY129" i="6" s="1"/>
  <c r="AR129" i="6"/>
  <c r="BF129" i="6"/>
  <c r="AS129" i="6"/>
  <c r="BV129" i="6" a="1"/>
  <c r="BV129" i="6" s="1"/>
  <c r="AJ129" i="6"/>
  <c r="BZ129" i="6" a="1"/>
  <c r="BZ129" i="6" s="1"/>
  <c r="AQ129" i="6"/>
  <c r="CA129" i="6" a="1"/>
  <c r="CA129" i="6" s="1"/>
  <c r="BE129" i="6"/>
  <c r="CC129" i="6" a="1"/>
  <c r="CC129" i="6" s="1"/>
  <c r="BK129" i="6"/>
  <c r="BJ129" i="6"/>
  <c r="BL129" i="6"/>
  <c r="CE129" i="6" a="1"/>
  <c r="CE129" i="6" s="1"/>
  <c r="J137" i="6" a="1"/>
  <c r="J137" i="6" s="1"/>
  <c r="AG137" i="5" a="1"/>
  <c r="AG137" i="5" s="1"/>
  <c r="F137" i="12" a="1"/>
  <c r="F137" i="12" s="1"/>
  <c r="K136" i="12"/>
  <c r="M32" i="12" l="1" a="1"/>
  <c r="M32" i="12" s="1"/>
  <c r="O32" i="12" a="1"/>
  <c r="O32" i="12" s="1"/>
  <c r="AO32" i="12" a="1"/>
  <c r="AO32" i="12" s="1"/>
  <c r="CM52" i="6" a="1"/>
  <c r="CM52" i="6" s="1"/>
  <c r="BR52" i="6"/>
  <c r="CI52" i="6" a="1"/>
  <c r="CI52" i="6" s="1"/>
  <c r="BQ52" i="6"/>
  <c r="CL52" i="6" a="1"/>
  <c r="CL52" i="6" s="1"/>
  <c r="BP52" i="6"/>
  <c r="CH52" i="6" a="1"/>
  <c r="CH52" i="6" s="1"/>
  <c r="BO52" i="6"/>
  <c r="CK52" i="6" a="1"/>
  <c r="CK52" i="6" s="1"/>
  <c r="BN52" i="6"/>
  <c r="CF52" i="6" a="1"/>
  <c r="CF52" i="6" s="1"/>
  <c r="CG52" i="6" a="1"/>
  <c r="CG52" i="6" s="1"/>
  <c r="BM52" i="6"/>
  <c r="BS52" i="6"/>
  <c r="CJ52" i="6" a="1"/>
  <c r="CJ52" i="6" s="1"/>
  <c r="BT52" i="6"/>
  <c r="BA52" i="6"/>
  <c r="AZ52" i="6"/>
  <c r="AT52" i="6"/>
  <c r="AU52" i="6"/>
  <c r="AY52" i="6"/>
  <c r="AV52" i="6"/>
  <c r="AW52" i="6"/>
  <c r="AX52" i="6"/>
  <c r="V24" i="12" a="1"/>
  <c r="V24" i="12" s="1"/>
  <c r="U24" i="12"/>
  <c r="X24" i="12" a="1"/>
  <c r="X24" i="12" s="1"/>
  <c r="U26" i="12"/>
  <c r="V26" i="12" a="1"/>
  <c r="V26" i="12" s="1"/>
  <c r="X27" i="12" a="1"/>
  <c r="X27" i="12" s="1"/>
  <c r="X26" i="12" a="1"/>
  <c r="X26" i="12" s="1"/>
  <c r="U27" i="12"/>
  <c r="V27" i="12" a="1"/>
  <c r="V27" i="12" s="1"/>
  <c r="T27" i="12"/>
  <c r="O35" i="12" a="1"/>
  <c r="O35" i="12" s="1"/>
  <c r="C35" i="12"/>
  <c r="AO35" i="12" a="1"/>
  <c r="AO35" i="12" s="1"/>
  <c r="M35" i="12" a="1"/>
  <c r="M35" i="12" s="1"/>
  <c r="AO33" i="12" a="1"/>
  <c r="AO33" i="12" s="1"/>
  <c r="M33" i="12" a="1"/>
  <c r="M33" i="12" s="1"/>
  <c r="O33" i="12" a="1"/>
  <c r="O33" i="12" s="1"/>
  <c r="C33" i="12"/>
  <c r="V25" i="12" a="1"/>
  <c r="V25" i="12" s="1"/>
  <c r="U25" i="12"/>
  <c r="T25" i="12"/>
  <c r="M34" i="12" a="1"/>
  <c r="M34" i="12" s="1"/>
  <c r="O34" i="12" a="1"/>
  <c r="O34" i="12" s="1"/>
  <c r="C34" i="12"/>
  <c r="AO34" i="12" a="1"/>
  <c r="AO34" i="12" s="1"/>
  <c r="X44" i="5" a="1"/>
  <c r="X44" i="5" s="1"/>
  <c r="M38" i="12" a="1"/>
  <c r="M38" i="12" s="1"/>
  <c r="C38" i="12"/>
  <c r="O38" i="12" a="1"/>
  <c r="O38" i="12" s="1"/>
  <c r="AO38" i="12" a="1"/>
  <c r="AO38" i="12" s="1"/>
  <c r="I43" i="12"/>
  <c r="AM43" i="5"/>
  <c r="L43" i="5"/>
  <c r="C43" i="6" s="1"/>
  <c r="Z43" i="5"/>
  <c r="AB43" i="5" s="1" a="1"/>
  <c r="AB43" i="5" s="1"/>
  <c r="Y37" i="12"/>
  <c r="N37" i="12"/>
  <c r="X49" i="5" a="1"/>
  <c r="X49" i="5" s="1"/>
  <c r="X48" i="5" a="1"/>
  <c r="X48" i="5" s="1"/>
  <c r="X47" i="5" a="1"/>
  <c r="X47" i="5" s="1"/>
  <c r="C39" i="12"/>
  <c r="M39" i="12" a="1"/>
  <c r="M39" i="12" s="1"/>
  <c r="O39" i="12" a="1"/>
  <c r="O39" i="12" s="1"/>
  <c r="AO39" i="12" a="1"/>
  <c r="AO39" i="12" s="1"/>
  <c r="X46" i="5" a="1"/>
  <c r="X46" i="5" s="1"/>
  <c r="C40" i="12"/>
  <c r="AO40" i="12" a="1"/>
  <c r="AO40" i="12" s="1"/>
  <c r="O40" i="12" a="1"/>
  <c r="O40" i="12" s="1"/>
  <c r="M40" i="12" a="1"/>
  <c r="M40" i="12" s="1"/>
  <c r="BE52" i="6"/>
  <c r="CC52" i="6" a="1"/>
  <c r="CC52" i="6" s="1"/>
  <c r="BX52" i="6" a="1"/>
  <c r="BX52" i="6" s="1"/>
  <c r="BW52" i="6" a="1"/>
  <c r="BW52" i="6" s="1"/>
  <c r="BG52" i="6"/>
  <c r="CA52" i="6" a="1"/>
  <c r="CA52" i="6" s="1"/>
  <c r="BY52" i="6" a="1"/>
  <c r="BY52" i="6" s="1"/>
  <c r="BD52" i="6"/>
  <c r="CB52" i="6" a="1"/>
  <c r="CB52" i="6" s="1"/>
  <c r="BH52" i="6"/>
  <c r="CD52" i="6" a="1"/>
  <c r="CD52" i="6" s="1"/>
  <c r="BK52" i="6"/>
  <c r="BV52" i="6" a="1"/>
  <c r="BV52" i="6" s="1"/>
  <c r="CE52" i="6" a="1"/>
  <c r="CE52" i="6" s="1"/>
  <c r="BF52" i="6"/>
  <c r="BI52" i="6"/>
  <c r="BJ52" i="6"/>
  <c r="BZ52" i="6" a="1"/>
  <c r="BZ52" i="6" s="1"/>
  <c r="BC52" i="6"/>
  <c r="BL52" i="6"/>
  <c r="AP52" i="6"/>
  <c r="AQ52" i="6"/>
  <c r="AK52" i="6"/>
  <c r="AR52" i="6"/>
  <c r="AJ52" i="6"/>
  <c r="AS52" i="6"/>
  <c r="AO52" i="6"/>
  <c r="AL52" i="6"/>
  <c r="AM52" i="6"/>
  <c r="AN52" i="6"/>
  <c r="M53" i="6"/>
  <c r="M54" i="6"/>
  <c r="X28" i="12" a="1"/>
  <c r="X28" i="12" s="1"/>
  <c r="W28" i="12" a="1"/>
  <c r="W28" i="12" s="1"/>
  <c r="T136" i="5"/>
  <c r="G136" i="12" s="1" a="1"/>
  <c r="G136" i="12" s="1"/>
  <c r="F137" i="6"/>
  <c r="L140" i="6"/>
  <c r="B139" i="6"/>
  <c r="G137" i="6"/>
  <c r="A139" i="12"/>
  <c r="B139" i="5"/>
  <c r="N139" i="5"/>
  <c r="K139" i="5"/>
  <c r="J139" i="5"/>
  <c r="E139" i="5"/>
  <c r="D139" i="5"/>
  <c r="B139" i="12" s="1"/>
  <c r="F139" i="5"/>
  <c r="C140" i="5"/>
  <c r="AE139" i="5" a="1"/>
  <c r="AE139" i="5" s="1"/>
  <c r="AD139" i="5"/>
  <c r="W139" i="5" a="1"/>
  <c r="W139" i="5" s="1"/>
  <c r="H139" i="12" s="1" a="1"/>
  <c r="H139" i="12" s="1"/>
  <c r="H139" i="5"/>
  <c r="G139" i="5"/>
  <c r="L138" i="12" a="1"/>
  <c r="L138" i="12" s="1"/>
  <c r="J138" i="12" a="1"/>
  <c r="J138" i="12" s="1"/>
  <c r="A131" i="6"/>
  <c r="D138" i="6"/>
  <c r="N32" i="12" l="1"/>
  <c r="Y32" i="12"/>
  <c r="X32" i="12" s="1" a="1"/>
  <c r="X32" i="12" s="1"/>
  <c r="CI54" i="6" a="1"/>
  <c r="CI54" i="6" s="1"/>
  <c r="CL54" i="6" a="1"/>
  <c r="CL54" i="6" s="1"/>
  <c r="BP54" i="6"/>
  <c r="CH54" i="6" a="1"/>
  <c r="CH54" i="6" s="1"/>
  <c r="BO54" i="6"/>
  <c r="CK54" i="6" a="1"/>
  <c r="CK54" i="6" s="1"/>
  <c r="BN54" i="6"/>
  <c r="CG54" i="6" a="1"/>
  <c r="CG54" i="6" s="1"/>
  <c r="BM54" i="6"/>
  <c r="CJ54" i="6" a="1"/>
  <c r="CJ54" i="6" s="1"/>
  <c r="BT54" i="6"/>
  <c r="CF54" i="6" a="1"/>
  <c r="CF54" i="6" s="1"/>
  <c r="BS54" i="6"/>
  <c r="BQ54" i="6"/>
  <c r="CM54" i="6" a="1"/>
  <c r="CM54" i="6" s="1"/>
  <c r="BR54" i="6"/>
  <c r="AY54" i="6"/>
  <c r="AZ54" i="6"/>
  <c r="BA54" i="6"/>
  <c r="AT54" i="6"/>
  <c r="AX54" i="6"/>
  <c r="AU54" i="6"/>
  <c r="AV54" i="6"/>
  <c r="AW54" i="6"/>
  <c r="CL53" i="6" a="1"/>
  <c r="CL53" i="6" s="1"/>
  <c r="BP53" i="6"/>
  <c r="CH53" i="6" a="1"/>
  <c r="CH53" i="6" s="1"/>
  <c r="BO53" i="6"/>
  <c r="CK53" i="6" a="1"/>
  <c r="CK53" i="6" s="1"/>
  <c r="BN53" i="6"/>
  <c r="CM53" i="6" a="1"/>
  <c r="CM53" i="6" s="1"/>
  <c r="CG53" i="6" a="1"/>
  <c r="CG53" i="6" s="1"/>
  <c r="BM53" i="6"/>
  <c r="CJ53" i="6" a="1"/>
  <c r="CJ53" i="6" s="1"/>
  <c r="BT53" i="6"/>
  <c r="CF53" i="6" a="1"/>
  <c r="CF53" i="6" s="1"/>
  <c r="BS53" i="6"/>
  <c r="BR53" i="6"/>
  <c r="CI53" i="6" a="1"/>
  <c r="CI53" i="6" s="1"/>
  <c r="BQ53" i="6"/>
  <c r="AW53" i="6"/>
  <c r="AX53" i="6"/>
  <c r="AY53" i="6"/>
  <c r="AV53" i="6"/>
  <c r="BA53" i="6"/>
  <c r="AZ53" i="6"/>
  <c r="AT53" i="6"/>
  <c r="AU53" i="6"/>
  <c r="Y35" i="12"/>
  <c r="W35" i="12" s="1" a="1"/>
  <c r="W35" i="12" s="1"/>
  <c r="N38" i="12"/>
  <c r="Y38" i="12"/>
  <c r="W38" i="12" s="1" a="1"/>
  <c r="W38" i="12" s="1"/>
  <c r="Y40" i="12"/>
  <c r="X40" i="12" s="1" a="1"/>
  <c r="X40" i="12" s="1"/>
  <c r="Y39" i="12"/>
  <c r="W39" i="12" s="1" a="1"/>
  <c r="W39" i="12" s="1"/>
  <c r="N33" i="12"/>
  <c r="Y33" i="12"/>
  <c r="W33" i="12" s="1" a="1"/>
  <c r="W33" i="12" s="1"/>
  <c r="Y34" i="12"/>
  <c r="X34" i="12" s="1" a="1"/>
  <c r="X34" i="12" s="1"/>
  <c r="L46" i="5"/>
  <c r="C46" i="6" s="1"/>
  <c r="Z46" i="5"/>
  <c r="AB46" i="5" s="1" a="1"/>
  <c r="AB46" i="5" s="1"/>
  <c r="AM46" i="5"/>
  <c r="I46" i="12"/>
  <c r="I47" i="12"/>
  <c r="L47" i="5"/>
  <c r="C47" i="6" s="1"/>
  <c r="AM47" i="5"/>
  <c r="Z47" i="5"/>
  <c r="AB47" i="5" s="1" a="1"/>
  <c r="AB47" i="5" s="1"/>
  <c r="AM49" i="5"/>
  <c r="Z49" i="5"/>
  <c r="AB49" i="5" s="1" a="1"/>
  <c r="AB49" i="5" s="1"/>
  <c r="L49" i="5"/>
  <c r="C49" i="6" s="1"/>
  <c r="I49" i="12"/>
  <c r="V28" i="12" a="1"/>
  <c r="V28" i="12" s="1"/>
  <c r="U28" i="12"/>
  <c r="T28" i="12"/>
  <c r="N39" i="12"/>
  <c r="C43" i="12"/>
  <c r="AO43" i="12" a="1"/>
  <c r="AO43" i="12" s="1"/>
  <c r="O43" i="12" a="1"/>
  <c r="O43" i="12" s="1"/>
  <c r="M43" i="12" a="1"/>
  <c r="M43" i="12" s="1"/>
  <c r="N34" i="12"/>
  <c r="X52" i="5" a="1"/>
  <c r="X52" i="5" s="1"/>
  <c r="BK54" i="6"/>
  <c r="BH54" i="6"/>
  <c r="BV54" i="6" a="1"/>
  <c r="BV54" i="6" s="1"/>
  <c r="BI54" i="6"/>
  <c r="CE54" i="6" a="1"/>
  <c r="CE54" i="6" s="1"/>
  <c r="BZ54" i="6" a="1"/>
  <c r="BZ54" i="6" s="1"/>
  <c r="BD54" i="6"/>
  <c r="BE54" i="6"/>
  <c r="BL54" i="6"/>
  <c r="CD54" i="6" a="1"/>
  <c r="CD54" i="6" s="1"/>
  <c r="BY54" i="6" a="1"/>
  <c r="BY54" i="6" s="1"/>
  <c r="BX54" i="6" a="1"/>
  <c r="BX54" i="6" s="1"/>
  <c r="BW54" i="6" a="1"/>
  <c r="BW54" i="6" s="1"/>
  <c r="CA54" i="6" a="1"/>
  <c r="CA54" i="6" s="1"/>
  <c r="BC54" i="6"/>
  <c r="CC54" i="6" a="1"/>
  <c r="CC54" i="6" s="1"/>
  <c r="CB54" i="6" a="1"/>
  <c r="CB54" i="6" s="1"/>
  <c r="BF54" i="6"/>
  <c r="BJ54" i="6"/>
  <c r="BG54" i="6"/>
  <c r="AL54" i="6"/>
  <c r="AK54" i="6"/>
  <c r="AR54" i="6"/>
  <c r="AN54" i="6"/>
  <c r="AS54" i="6"/>
  <c r="AP54" i="6"/>
  <c r="AM54" i="6"/>
  <c r="AJ54" i="6"/>
  <c r="AQ54" i="6"/>
  <c r="AO54" i="6"/>
  <c r="M56" i="6"/>
  <c r="X37" i="12" a="1"/>
  <c r="X37" i="12" s="1"/>
  <c r="W37" i="12" a="1"/>
  <c r="W37" i="12" s="1"/>
  <c r="CB53" i="6" a="1"/>
  <c r="CB53" i="6" s="1"/>
  <c r="BH53" i="6"/>
  <c r="BF53" i="6"/>
  <c r="CE53" i="6" a="1"/>
  <c r="CE53" i="6" s="1"/>
  <c r="BV53" i="6" a="1"/>
  <c r="BV53" i="6" s="1"/>
  <c r="BI53" i="6"/>
  <c r="BY53" i="6" a="1"/>
  <c r="BY53" i="6" s="1"/>
  <c r="BW53" i="6" a="1"/>
  <c r="BW53" i="6" s="1"/>
  <c r="CC53" i="6" a="1"/>
  <c r="CC53" i="6" s="1"/>
  <c r="BX53" i="6" a="1"/>
  <c r="BX53" i="6" s="1"/>
  <c r="BG53" i="6"/>
  <c r="BD53" i="6"/>
  <c r="BE53" i="6"/>
  <c r="BJ53" i="6"/>
  <c r="BK53" i="6"/>
  <c r="BC53" i="6"/>
  <c r="BL53" i="6"/>
  <c r="BZ53" i="6" a="1"/>
  <c r="BZ53" i="6" s="1"/>
  <c r="CD53" i="6" a="1"/>
  <c r="CD53" i="6" s="1"/>
  <c r="CA53" i="6" a="1"/>
  <c r="CA53" i="6" s="1"/>
  <c r="AP53" i="6"/>
  <c r="AQ53" i="6"/>
  <c r="AN53" i="6"/>
  <c r="AR53" i="6"/>
  <c r="AL53" i="6"/>
  <c r="AS53" i="6"/>
  <c r="AK53" i="6"/>
  <c r="AO53" i="6"/>
  <c r="AJ53" i="6"/>
  <c r="AM53" i="6"/>
  <c r="N40" i="12"/>
  <c r="I48" i="12"/>
  <c r="AM48" i="5"/>
  <c r="L48" i="5"/>
  <c r="C48" i="6" s="1"/>
  <c r="Z48" i="5"/>
  <c r="AB48" i="5" s="1" a="1"/>
  <c r="AB48" i="5" s="1"/>
  <c r="L44" i="5"/>
  <c r="C44" i="6" s="1"/>
  <c r="AM44" i="5"/>
  <c r="Z44" i="5"/>
  <c r="AB44" i="5" s="1" a="1"/>
  <c r="AB44" i="5" s="1"/>
  <c r="I44" i="12"/>
  <c r="N35" i="12"/>
  <c r="H138" i="6" a="1"/>
  <c r="H138" i="6" s="1"/>
  <c r="K138" i="12"/>
  <c r="D139" i="6"/>
  <c r="A140" i="12"/>
  <c r="C141" i="5"/>
  <c r="AE140" i="5" a="1"/>
  <c r="AE140" i="5" s="1"/>
  <c r="W140" i="5" a="1"/>
  <c r="W140" i="5" s="1"/>
  <c r="H140" i="12" s="1" a="1"/>
  <c r="H140" i="12" s="1"/>
  <c r="H140" i="5"/>
  <c r="AD140" i="5"/>
  <c r="G140" i="5"/>
  <c r="F140" i="5"/>
  <c r="E140" i="5"/>
  <c r="D140" i="5"/>
  <c r="B140" i="12" s="1"/>
  <c r="K140" i="5"/>
  <c r="J140" i="5"/>
  <c r="N140" i="5"/>
  <c r="B140" i="5"/>
  <c r="A132" i="6"/>
  <c r="L141" i="6"/>
  <c r="B140" i="6"/>
  <c r="J139" i="12" a="1"/>
  <c r="J139" i="12" s="1"/>
  <c r="L139" i="12" a="1"/>
  <c r="L139" i="12" s="1"/>
  <c r="W32" i="12" l="1" a="1"/>
  <c r="W32" i="12" s="1"/>
  <c r="V32" i="12" s="1" a="1"/>
  <c r="V32" i="12" s="1"/>
  <c r="CL56" i="6" a="1"/>
  <c r="CL56" i="6" s="1"/>
  <c r="CI56" i="6" a="1"/>
  <c r="CI56" i="6" s="1"/>
  <c r="CH56" i="6" a="1"/>
  <c r="CH56" i="6" s="1"/>
  <c r="BR56" i="6"/>
  <c r="BQ56" i="6"/>
  <c r="CK56" i="6" a="1"/>
  <c r="CK56" i="6" s="1"/>
  <c r="BP56" i="6"/>
  <c r="CG56" i="6" a="1"/>
  <c r="CG56" i="6" s="1"/>
  <c r="BO56" i="6"/>
  <c r="CM56" i="6" a="1"/>
  <c r="CM56" i="6" s="1"/>
  <c r="CJ56" i="6" a="1"/>
  <c r="CJ56" i="6" s="1"/>
  <c r="BN56" i="6"/>
  <c r="BS56" i="6"/>
  <c r="CF56" i="6" a="1"/>
  <c r="CF56" i="6" s="1"/>
  <c r="BM56" i="6"/>
  <c r="BT56" i="6"/>
  <c r="AZ56" i="6"/>
  <c r="BA56" i="6"/>
  <c r="AT56" i="6"/>
  <c r="AU56" i="6"/>
  <c r="AV56" i="6"/>
  <c r="AW56" i="6"/>
  <c r="AX56" i="6"/>
  <c r="AY56" i="6"/>
  <c r="W40" i="12" a="1"/>
  <c r="W40" i="12" s="1"/>
  <c r="T40" i="12" s="1"/>
  <c r="X38" i="12" a="1"/>
  <c r="X38" i="12" s="1"/>
  <c r="X39" i="12" a="1"/>
  <c r="X39" i="12" s="1"/>
  <c r="X35" i="12" a="1"/>
  <c r="X35" i="12" s="1"/>
  <c r="X33" i="12" a="1"/>
  <c r="X33" i="12" s="1"/>
  <c r="W34" i="12" a="1"/>
  <c r="W34" i="12" s="1"/>
  <c r="V34" i="12" s="1" a="1"/>
  <c r="V34" i="12" s="1"/>
  <c r="N43" i="12"/>
  <c r="BF56" i="6"/>
  <c r="BY56" i="6" a="1"/>
  <c r="BY56" i="6" s="1"/>
  <c r="BZ56" i="6" a="1"/>
  <c r="BZ56" i="6" s="1"/>
  <c r="BL56" i="6"/>
  <c r="BJ56" i="6"/>
  <c r="BK56" i="6"/>
  <c r="BC56" i="6"/>
  <c r="CD56" i="6" a="1"/>
  <c r="CD56" i="6" s="1"/>
  <c r="CE56" i="6" a="1"/>
  <c r="CE56" i="6" s="1"/>
  <c r="CC56" i="6" a="1"/>
  <c r="CC56" i="6" s="1"/>
  <c r="BG56" i="6"/>
  <c r="CB56" i="6" a="1"/>
  <c r="CB56" i="6" s="1"/>
  <c r="BH56" i="6"/>
  <c r="BI56" i="6"/>
  <c r="BX56" i="6" a="1"/>
  <c r="BX56" i="6" s="1"/>
  <c r="BW56" i="6" a="1"/>
  <c r="BW56" i="6" s="1"/>
  <c r="BD56" i="6"/>
  <c r="CA56" i="6" a="1"/>
  <c r="CA56" i="6" s="1"/>
  <c r="BV56" i="6" a="1"/>
  <c r="BV56" i="6" s="1"/>
  <c r="BE56" i="6"/>
  <c r="AQ56" i="6"/>
  <c r="AN56" i="6"/>
  <c r="AL56" i="6"/>
  <c r="AS56" i="6"/>
  <c r="AK56" i="6"/>
  <c r="AJ56" i="6"/>
  <c r="AP56" i="6"/>
  <c r="AO56" i="6"/>
  <c r="AM56" i="6"/>
  <c r="AR56" i="6"/>
  <c r="M61" i="6"/>
  <c r="M57" i="6"/>
  <c r="M62" i="6"/>
  <c r="M59" i="6"/>
  <c r="M65" i="6"/>
  <c r="M60" i="6"/>
  <c r="M63" i="6"/>
  <c r="M64" i="6"/>
  <c r="M58" i="6"/>
  <c r="T38" i="12"/>
  <c r="U38" i="12"/>
  <c r="V38" i="12" a="1"/>
  <c r="V38" i="12" s="1"/>
  <c r="V35" i="12" a="1"/>
  <c r="V35" i="12" s="1"/>
  <c r="U35" i="12"/>
  <c r="T35" i="12"/>
  <c r="V33" i="12" a="1"/>
  <c r="V33" i="12" s="1"/>
  <c r="U33" i="12"/>
  <c r="T33" i="12"/>
  <c r="U39" i="12"/>
  <c r="T39" i="12"/>
  <c r="V39" i="12" a="1"/>
  <c r="V39" i="12" s="1"/>
  <c r="M44" i="12" a="1"/>
  <c r="M44" i="12" s="1"/>
  <c r="AO44" i="12" a="1"/>
  <c r="AO44" i="12" s="1"/>
  <c r="O44" i="12" a="1"/>
  <c r="O44" i="12" s="1"/>
  <c r="C44" i="12"/>
  <c r="C48" i="12"/>
  <c r="M48" i="12" a="1"/>
  <c r="M48" i="12" s="1"/>
  <c r="O48" i="12" a="1"/>
  <c r="O48" i="12" s="1"/>
  <c r="AO48" i="12" a="1"/>
  <c r="AO48" i="12" s="1"/>
  <c r="X54" i="5" a="1"/>
  <c r="X54" i="5" s="1"/>
  <c r="C49" i="12"/>
  <c r="O49" i="12" a="1"/>
  <c r="O49" i="12" s="1"/>
  <c r="AO49" i="12" a="1"/>
  <c r="AO49" i="12" s="1"/>
  <c r="M49" i="12" a="1"/>
  <c r="M49" i="12" s="1"/>
  <c r="V37" i="12" a="1"/>
  <c r="V37" i="12" s="1"/>
  <c r="U37" i="12"/>
  <c r="T37" i="12"/>
  <c r="I52" i="12"/>
  <c r="L52" i="5"/>
  <c r="C52" i="6" s="1"/>
  <c r="AM52" i="5"/>
  <c r="Z52" i="5"/>
  <c r="AB52" i="5" s="1" a="1"/>
  <c r="AB52" i="5" s="1"/>
  <c r="AO46" i="12" a="1"/>
  <c r="AO46" i="12" s="1"/>
  <c r="O46" i="12" a="1"/>
  <c r="O46" i="12" s="1"/>
  <c r="M46" i="12" a="1"/>
  <c r="M46" i="12" s="1"/>
  <c r="C46" i="12"/>
  <c r="Y43" i="12"/>
  <c r="X53" i="5" a="1"/>
  <c r="X53" i="5" s="1"/>
  <c r="M47" i="12" a="1"/>
  <c r="M47" i="12" s="1"/>
  <c r="C47" i="12"/>
  <c r="AO47" i="12" a="1"/>
  <c r="AO47" i="12" s="1"/>
  <c r="O47" i="12" a="1"/>
  <c r="O47" i="12" s="1"/>
  <c r="T138" i="5"/>
  <c r="G138" i="12" s="1" a="1"/>
  <c r="G138" i="12" s="1"/>
  <c r="K139" i="12"/>
  <c r="H139" i="6" a="1"/>
  <c r="H139" i="6" s="1"/>
  <c r="L142" i="6"/>
  <c r="B141" i="6"/>
  <c r="A141" i="12"/>
  <c r="D141" i="5"/>
  <c r="B141" i="12" s="1"/>
  <c r="B141" i="5"/>
  <c r="N141" i="5"/>
  <c r="D141" i="6" s="1"/>
  <c r="K141" i="5"/>
  <c r="C142" i="5"/>
  <c r="AD141" i="5"/>
  <c r="G141" i="5"/>
  <c r="F141" i="5"/>
  <c r="E141" i="5"/>
  <c r="J141" i="5"/>
  <c r="H141" i="5"/>
  <c r="W141" i="5" a="1"/>
  <c r="W141" i="5" s="1"/>
  <c r="H141" i="12" s="1" a="1"/>
  <c r="H141" i="12" s="1"/>
  <c r="AE141" i="5" a="1"/>
  <c r="AE141" i="5" s="1"/>
  <c r="A133" i="6"/>
  <c r="L140" i="12" a="1"/>
  <c r="L140" i="12" s="1"/>
  <c r="J140" i="12" a="1"/>
  <c r="J140" i="12" s="1"/>
  <c r="D140" i="6"/>
  <c r="T32" i="12" l="1"/>
  <c r="U32" i="12"/>
  <c r="CF60" i="6" a="1"/>
  <c r="CF60" i="6" s="1"/>
  <c r="BP60" i="6"/>
  <c r="CM60" i="6" a="1"/>
  <c r="CM60" i="6" s="1"/>
  <c r="BO60" i="6"/>
  <c r="BQ60" i="6"/>
  <c r="BN60" i="6"/>
  <c r="CL60" i="6" a="1"/>
  <c r="CL60" i="6" s="1"/>
  <c r="CI60" i="6" a="1"/>
  <c r="CI60" i="6" s="1"/>
  <c r="CH60" i="6" a="1"/>
  <c r="CH60" i="6" s="1"/>
  <c r="BM60" i="6"/>
  <c r="CK60" i="6" a="1"/>
  <c r="CK60" i="6" s="1"/>
  <c r="BT60" i="6"/>
  <c r="CG60" i="6" a="1"/>
  <c r="CG60" i="6" s="1"/>
  <c r="BS60" i="6"/>
  <c r="CJ60" i="6" a="1"/>
  <c r="CJ60" i="6" s="1"/>
  <c r="BR60" i="6"/>
  <c r="AW60" i="6"/>
  <c r="AT60" i="6"/>
  <c r="AX60" i="6"/>
  <c r="AY60" i="6"/>
  <c r="BA60" i="6"/>
  <c r="AZ60" i="6"/>
  <c r="AV60" i="6"/>
  <c r="AU60" i="6"/>
  <c r="BQ63" i="6"/>
  <c r="BT63" i="6"/>
  <c r="CM63" i="6" a="1"/>
  <c r="CM63" i="6" s="1"/>
  <c r="CI63" i="6" a="1"/>
  <c r="CI63" i="6" s="1"/>
  <c r="BS63" i="6"/>
  <c r="CH63" i="6" a="1"/>
  <c r="CH63" i="6" s="1"/>
  <c r="BO63" i="6"/>
  <c r="CK63" i="6" a="1"/>
  <c r="CK63" i="6" s="1"/>
  <c r="BR63" i="6"/>
  <c r="CG63" i="6" a="1"/>
  <c r="CG63" i="6" s="1"/>
  <c r="BP63" i="6"/>
  <c r="CJ63" i="6" a="1"/>
  <c r="CJ63" i="6" s="1"/>
  <c r="BN63" i="6"/>
  <c r="CF63" i="6" a="1"/>
  <c r="CF63" i="6" s="1"/>
  <c r="BM63" i="6"/>
  <c r="CL63" i="6" a="1"/>
  <c r="CL63" i="6" s="1"/>
  <c r="AY63" i="6"/>
  <c r="BA63" i="6"/>
  <c r="AX63" i="6"/>
  <c r="AV63" i="6"/>
  <c r="AU63" i="6"/>
  <c r="AT63" i="6"/>
  <c r="AW63" i="6"/>
  <c r="AZ63" i="6"/>
  <c r="CG65" i="6" a="1"/>
  <c r="CG65" i="6" s="1"/>
  <c r="BN65" i="6"/>
  <c r="BP65" i="6"/>
  <c r="CF65" i="6" a="1"/>
  <c r="CF65" i="6" s="1"/>
  <c r="BQ65" i="6"/>
  <c r="CJ65" i="6" a="1"/>
  <c r="CJ65" i="6" s="1"/>
  <c r="BO65" i="6"/>
  <c r="BS65" i="6"/>
  <c r="CM65" i="6" a="1"/>
  <c r="CM65" i="6" s="1"/>
  <c r="BM65" i="6"/>
  <c r="BT65" i="6"/>
  <c r="CI65" i="6" a="1"/>
  <c r="CI65" i="6" s="1"/>
  <c r="BR65" i="6"/>
  <c r="CK65" i="6" a="1"/>
  <c r="CK65" i="6" s="1"/>
  <c r="CH65" i="6" a="1"/>
  <c r="CH65" i="6" s="1"/>
  <c r="CL65" i="6" a="1"/>
  <c r="CL65" i="6" s="1"/>
  <c r="AV65" i="6"/>
  <c r="AT65" i="6"/>
  <c r="AU65" i="6"/>
  <c r="AZ65" i="6"/>
  <c r="AW65" i="6"/>
  <c r="BA65" i="6"/>
  <c r="AY65" i="6"/>
  <c r="AX65" i="6"/>
  <c r="CG59" i="6" a="1"/>
  <c r="CG59" i="6" s="1"/>
  <c r="BR59" i="6"/>
  <c r="CJ59" i="6" a="1"/>
  <c r="CJ59" i="6" s="1"/>
  <c r="BP59" i="6"/>
  <c r="CF59" i="6" a="1"/>
  <c r="CF59" i="6" s="1"/>
  <c r="BO59" i="6"/>
  <c r="CM59" i="6" a="1"/>
  <c r="CM59" i="6" s="1"/>
  <c r="BN59" i="6"/>
  <c r="BQ59" i="6"/>
  <c r="CL59" i="6" a="1"/>
  <c r="CL59" i="6" s="1"/>
  <c r="CI59" i="6" a="1"/>
  <c r="CI59" i="6" s="1"/>
  <c r="CH59" i="6" a="1"/>
  <c r="CH59" i="6" s="1"/>
  <c r="BT59" i="6"/>
  <c r="CK59" i="6" a="1"/>
  <c r="CK59" i="6" s="1"/>
  <c r="BS59" i="6"/>
  <c r="BM59" i="6"/>
  <c r="AW59" i="6"/>
  <c r="AX59" i="6"/>
  <c r="AY59" i="6"/>
  <c r="BA59" i="6"/>
  <c r="AU59" i="6"/>
  <c r="AZ59" i="6"/>
  <c r="AT59" i="6"/>
  <c r="AV59" i="6"/>
  <c r="CG62" i="6" a="1"/>
  <c r="CG62" i="6" s="1"/>
  <c r="BM62" i="6"/>
  <c r="CJ62" i="6" a="1"/>
  <c r="CJ62" i="6" s="1"/>
  <c r="BT62" i="6"/>
  <c r="CF62" i="6" a="1"/>
  <c r="CF62" i="6" s="1"/>
  <c r="BS62" i="6"/>
  <c r="CM62" i="6" a="1"/>
  <c r="CM62" i="6" s="1"/>
  <c r="BP62" i="6"/>
  <c r="CI62" i="6" a="1"/>
  <c r="CI62" i="6" s="1"/>
  <c r="CL62" i="6" a="1"/>
  <c r="CL62" i="6" s="1"/>
  <c r="BQ62" i="6"/>
  <c r="BR62" i="6"/>
  <c r="CH62" i="6" a="1"/>
  <c r="CH62" i="6" s="1"/>
  <c r="BO62" i="6"/>
  <c r="CK62" i="6" a="1"/>
  <c r="CK62" i="6" s="1"/>
  <c r="BN62" i="6"/>
  <c r="BA62" i="6"/>
  <c r="AZ62" i="6"/>
  <c r="AT62" i="6"/>
  <c r="AV62" i="6"/>
  <c r="AX62" i="6"/>
  <c r="AY62" i="6"/>
  <c r="AU62" i="6"/>
  <c r="AW62" i="6"/>
  <c r="CI57" i="6" a="1"/>
  <c r="CI57" i="6" s="1"/>
  <c r="BM57" i="6"/>
  <c r="BQ57" i="6"/>
  <c r="BT57" i="6"/>
  <c r="CM57" i="6" a="1"/>
  <c r="CM57" i="6" s="1"/>
  <c r="CL57" i="6" a="1"/>
  <c r="CL57" i="6" s="1"/>
  <c r="BS57" i="6"/>
  <c r="CF57" i="6" a="1"/>
  <c r="CF57" i="6" s="1"/>
  <c r="CH57" i="6" a="1"/>
  <c r="CH57" i="6" s="1"/>
  <c r="BR57" i="6"/>
  <c r="CK57" i="6" a="1"/>
  <c r="CK57" i="6" s="1"/>
  <c r="BP57" i="6"/>
  <c r="CG57" i="6" a="1"/>
  <c r="CG57" i="6" s="1"/>
  <c r="BO57" i="6"/>
  <c r="CJ57" i="6" a="1"/>
  <c r="CJ57" i="6" s="1"/>
  <c r="BN57" i="6"/>
  <c r="AT57" i="6"/>
  <c r="AZ57" i="6"/>
  <c r="AU57" i="6"/>
  <c r="AV57" i="6"/>
  <c r="AW57" i="6"/>
  <c r="AX57" i="6"/>
  <c r="AY57" i="6"/>
  <c r="BA57" i="6"/>
  <c r="CL58" i="6" a="1"/>
  <c r="CL58" i="6" s="1"/>
  <c r="BQ58" i="6"/>
  <c r="CH58" i="6" a="1"/>
  <c r="CH58" i="6" s="1"/>
  <c r="BT58" i="6"/>
  <c r="CK58" i="6" a="1"/>
  <c r="CK58" i="6" s="1"/>
  <c r="BS58" i="6"/>
  <c r="BM58" i="6"/>
  <c r="CG58" i="6" a="1"/>
  <c r="CG58" i="6" s="1"/>
  <c r="BR58" i="6"/>
  <c r="CJ58" i="6" a="1"/>
  <c r="CJ58" i="6" s="1"/>
  <c r="BP58" i="6"/>
  <c r="CF58" i="6" a="1"/>
  <c r="CF58" i="6" s="1"/>
  <c r="BO58" i="6"/>
  <c r="CI58" i="6" a="1"/>
  <c r="CI58" i="6" s="1"/>
  <c r="CM58" i="6" a="1"/>
  <c r="CM58" i="6" s="1"/>
  <c r="BN58" i="6"/>
  <c r="AU58" i="6"/>
  <c r="AZ58" i="6"/>
  <c r="AT58" i="6"/>
  <c r="AV58" i="6"/>
  <c r="AW58" i="6"/>
  <c r="AX58" i="6"/>
  <c r="AY58" i="6"/>
  <c r="BA58" i="6"/>
  <c r="CF61" i="6" a="1"/>
  <c r="CF61" i="6" s="1"/>
  <c r="BR61" i="6"/>
  <c r="CI61" i="6" a="1"/>
  <c r="CI61" i="6" s="1"/>
  <c r="BP61" i="6"/>
  <c r="BQ61" i="6"/>
  <c r="BO61" i="6"/>
  <c r="CL61" i="6" a="1"/>
  <c r="CL61" i="6" s="1"/>
  <c r="BN61" i="6"/>
  <c r="CH61" i="6" a="1"/>
  <c r="CH61" i="6" s="1"/>
  <c r="BM61" i="6"/>
  <c r="CK61" i="6" a="1"/>
  <c r="CK61" i="6" s="1"/>
  <c r="CM61" i="6" a="1"/>
  <c r="CM61" i="6" s="1"/>
  <c r="CG61" i="6" a="1"/>
  <c r="CG61" i="6" s="1"/>
  <c r="BT61" i="6"/>
  <c r="CJ61" i="6" a="1"/>
  <c r="CJ61" i="6" s="1"/>
  <c r="BS61" i="6"/>
  <c r="AU61" i="6"/>
  <c r="AT61" i="6"/>
  <c r="AV61" i="6"/>
  <c r="AY61" i="6"/>
  <c r="AZ61" i="6"/>
  <c r="BA61" i="6"/>
  <c r="AW61" i="6"/>
  <c r="AX61" i="6"/>
  <c r="CI64" i="6" a="1"/>
  <c r="CI64" i="6" s="1"/>
  <c r="BO64" i="6"/>
  <c r="CH64" i="6" a="1"/>
  <c r="CH64" i="6" s="1"/>
  <c r="BM64" i="6"/>
  <c r="CL64" i="6" a="1"/>
  <c r="CL64" i="6" s="1"/>
  <c r="BT64" i="6"/>
  <c r="CG64" i="6" a="1"/>
  <c r="CG64" i="6" s="1"/>
  <c r="CM64" i="6" a="1"/>
  <c r="CM64" i="6" s="1"/>
  <c r="CK64" i="6" a="1"/>
  <c r="CK64" i="6" s="1"/>
  <c r="BS64" i="6"/>
  <c r="CF64" i="6" a="1"/>
  <c r="CF64" i="6" s="1"/>
  <c r="BR64" i="6"/>
  <c r="BQ64" i="6"/>
  <c r="BP64" i="6"/>
  <c r="CJ64" i="6" a="1"/>
  <c r="CJ64" i="6" s="1"/>
  <c r="BN64" i="6"/>
  <c r="AY64" i="6"/>
  <c r="AU64" i="6"/>
  <c r="AT64" i="6"/>
  <c r="BA64" i="6"/>
  <c r="AZ64" i="6"/>
  <c r="AX64" i="6"/>
  <c r="AW64" i="6"/>
  <c r="AV64" i="6"/>
  <c r="V40" i="12" a="1"/>
  <c r="V40" i="12" s="1"/>
  <c r="U40" i="12"/>
  <c r="T34" i="12"/>
  <c r="U34" i="12"/>
  <c r="Y49" i="12"/>
  <c r="X49" i="12" s="1" a="1"/>
  <c r="X49" i="12" s="1"/>
  <c r="N48" i="12"/>
  <c r="N44" i="12"/>
  <c r="Y48" i="12"/>
  <c r="X48" i="12" s="1" a="1"/>
  <c r="X48" i="12" s="1"/>
  <c r="N46" i="12"/>
  <c r="CE58" i="6" a="1"/>
  <c r="CE58" i="6" s="1"/>
  <c r="BF58" i="6"/>
  <c r="CB58" i="6" a="1"/>
  <c r="CB58" i="6" s="1"/>
  <c r="BX58" i="6" a="1"/>
  <c r="BX58" i="6" s="1"/>
  <c r="BC58" i="6"/>
  <c r="CC58" i="6" a="1"/>
  <c r="CC58" i="6" s="1"/>
  <c r="BI58" i="6"/>
  <c r="BZ58" i="6" a="1"/>
  <c r="BZ58" i="6" s="1"/>
  <c r="CD58" i="6" a="1"/>
  <c r="CD58" i="6" s="1"/>
  <c r="BY58" i="6" a="1"/>
  <c r="BY58" i="6" s="1"/>
  <c r="CA58" i="6" a="1"/>
  <c r="CA58" i="6" s="1"/>
  <c r="BW58" i="6" a="1"/>
  <c r="BW58" i="6" s="1"/>
  <c r="BE58" i="6"/>
  <c r="BD58" i="6"/>
  <c r="BK58" i="6"/>
  <c r="BH58" i="6"/>
  <c r="BV58" i="6" a="1"/>
  <c r="BV58" i="6" s="1"/>
  <c r="BL58" i="6"/>
  <c r="BG58" i="6"/>
  <c r="BJ58" i="6"/>
  <c r="AK58" i="6"/>
  <c r="AO58" i="6"/>
  <c r="AQ58" i="6"/>
  <c r="AR58" i="6"/>
  <c r="AP58" i="6"/>
  <c r="AN58" i="6"/>
  <c r="AS58" i="6"/>
  <c r="AM58" i="6"/>
  <c r="AL58" i="6"/>
  <c r="AJ58" i="6"/>
  <c r="BE61" i="6"/>
  <c r="BY61" i="6" a="1"/>
  <c r="BY61" i="6" s="1"/>
  <c r="BK61" i="6"/>
  <c r="CD61" i="6" a="1"/>
  <c r="CD61" i="6" s="1"/>
  <c r="BG61" i="6"/>
  <c r="BW61" i="6" a="1"/>
  <c r="BW61" i="6" s="1"/>
  <c r="BV61" i="6" a="1"/>
  <c r="BV61" i="6" s="1"/>
  <c r="BH61" i="6"/>
  <c r="CA61" i="6" a="1"/>
  <c r="CA61" i="6" s="1"/>
  <c r="BX61" i="6" a="1"/>
  <c r="BX61" i="6" s="1"/>
  <c r="CB61" i="6" a="1"/>
  <c r="CB61" i="6" s="1"/>
  <c r="BF61" i="6"/>
  <c r="BC61" i="6"/>
  <c r="BJ61" i="6"/>
  <c r="BL61" i="6"/>
  <c r="CC61" i="6" a="1"/>
  <c r="CC61" i="6" s="1"/>
  <c r="BD61" i="6"/>
  <c r="BI61" i="6"/>
  <c r="BZ61" i="6" a="1"/>
  <c r="BZ61" i="6" s="1"/>
  <c r="CE61" i="6" a="1"/>
  <c r="CE61" i="6" s="1"/>
  <c r="AJ61" i="6"/>
  <c r="AQ61" i="6"/>
  <c r="AK61" i="6"/>
  <c r="AO61" i="6"/>
  <c r="AM61" i="6"/>
  <c r="AR61" i="6"/>
  <c r="AP61" i="6"/>
  <c r="AS61" i="6"/>
  <c r="AN61" i="6"/>
  <c r="AL61" i="6"/>
  <c r="X43" i="12" a="1"/>
  <c r="X43" i="12" s="1"/>
  <c r="W43" i="12" a="1"/>
  <c r="W43" i="12" s="1"/>
  <c r="C52" i="12"/>
  <c r="AO52" i="12" a="1"/>
  <c r="AO52" i="12" s="1"/>
  <c r="M52" i="12" a="1"/>
  <c r="M52" i="12" s="1"/>
  <c r="O52" i="12" a="1"/>
  <c r="O52" i="12" s="1"/>
  <c r="Y44" i="12"/>
  <c r="CB64" i="6" a="1"/>
  <c r="CB64" i="6" s="1"/>
  <c r="CA64" i="6" a="1"/>
  <c r="CA64" i="6" s="1"/>
  <c r="CE64" i="6" a="1"/>
  <c r="CE64" i="6" s="1"/>
  <c r="BI64" i="6"/>
  <c r="BE64" i="6"/>
  <c r="CC64" i="6" a="1"/>
  <c r="CC64" i="6" s="1"/>
  <c r="BV64" i="6" a="1"/>
  <c r="BV64" i="6" s="1"/>
  <c r="BK64" i="6"/>
  <c r="BG64" i="6"/>
  <c r="BY64" i="6" a="1"/>
  <c r="BY64" i="6" s="1"/>
  <c r="BX64" i="6" a="1"/>
  <c r="BX64" i="6" s="1"/>
  <c r="BC64" i="6"/>
  <c r="BF64" i="6"/>
  <c r="BD64" i="6"/>
  <c r="BZ64" i="6" a="1"/>
  <c r="BZ64" i="6" s="1"/>
  <c r="BW64" i="6" a="1"/>
  <c r="BW64" i="6" s="1"/>
  <c r="BL64" i="6"/>
  <c r="BH64" i="6"/>
  <c r="CD64" i="6" a="1"/>
  <c r="CD64" i="6" s="1"/>
  <c r="BJ64" i="6"/>
  <c r="AR64" i="6"/>
  <c r="AN64" i="6"/>
  <c r="AM64" i="6"/>
  <c r="AQ64" i="6"/>
  <c r="AL64" i="6"/>
  <c r="AK64" i="6"/>
  <c r="AJ64" i="6"/>
  <c r="AS64" i="6"/>
  <c r="AP64" i="6"/>
  <c r="AO64" i="6"/>
  <c r="N49" i="12"/>
  <c r="BD63" i="6"/>
  <c r="BG63" i="6"/>
  <c r="CD63" i="6" a="1"/>
  <c r="CD63" i="6" s="1"/>
  <c r="BZ63" i="6" a="1"/>
  <c r="BZ63" i="6" s="1"/>
  <c r="BC63" i="6"/>
  <c r="BX63" i="6" a="1"/>
  <c r="BX63" i="6" s="1"/>
  <c r="CC63" i="6" a="1"/>
  <c r="CC63" i="6" s="1"/>
  <c r="BH63" i="6"/>
  <c r="BI63" i="6"/>
  <c r="BV63" i="6" a="1"/>
  <c r="BV63" i="6" s="1"/>
  <c r="CB63" i="6" a="1"/>
  <c r="CB63" i="6" s="1"/>
  <c r="BF63" i="6"/>
  <c r="CE63" i="6" a="1"/>
  <c r="CE63" i="6" s="1"/>
  <c r="BL63" i="6"/>
  <c r="BW63" i="6" a="1"/>
  <c r="BW63" i="6" s="1"/>
  <c r="BE63" i="6"/>
  <c r="CA63" i="6" a="1"/>
  <c r="CA63" i="6" s="1"/>
  <c r="BJ63" i="6"/>
  <c r="BY63" i="6" a="1"/>
  <c r="BY63" i="6" s="1"/>
  <c r="BK63" i="6"/>
  <c r="AN63" i="6"/>
  <c r="AL63" i="6"/>
  <c r="AS63" i="6"/>
  <c r="AM63" i="6"/>
  <c r="AK63" i="6"/>
  <c r="AO63" i="6"/>
  <c r="AR63" i="6"/>
  <c r="AP63" i="6"/>
  <c r="AJ63" i="6"/>
  <c r="AQ63" i="6"/>
  <c r="I54" i="12"/>
  <c r="L54" i="5"/>
  <c r="C54" i="6" s="1"/>
  <c r="AM54" i="5"/>
  <c r="Z54" i="5"/>
  <c r="AB54" i="5" s="1" a="1"/>
  <c r="AB54" i="5" s="1"/>
  <c r="CB60" i="6" a="1"/>
  <c r="CB60" i="6" s="1"/>
  <c r="BX60" i="6" a="1"/>
  <c r="BX60" i="6" s="1"/>
  <c r="BH60" i="6"/>
  <c r="BI60" i="6"/>
  <c r="CA60" i="6" a="1"/>
  <c r="CA60" i="6" s="1"/>
  <c r="CE60" i="6" a="1"/>
  <c r="CE60" i="6" s="1"/>
  <c r="BV60" i="6" a="1"/>
  <c r="BV60" i="6" s="1"/>
  <c r="BE60" i="6"/>
  <c r="BW60" i="6" a="1"/>
  <c r="BW60" i="6" s="1"/>
  <c r="BD60" i="6"/>
  <c r="BJ60" i="6"/>
  <c r="CC60" i="6" a="1"/>
  <c r="CC60" i="6" s="1"/>
  <c r="BG60" i="6"/>
  <c r="BZ60" i="6" a="1"/>
  <c r="BZ60" i="6" s="1"/>
  <c r="BL60" i="6"/>
  <c r="BK60" i="6"/>
  <c r="BY60" i="6" a="1"/>
  <c r="BY60" i="6" s="1"/>
  <c r="BC60" i="6"/>
  <c r="CD60" i="6" a="1"/>
  <c r="CD60" i="6" s="1"/>
  <c r="BF60" i="6"/>
  <c r="AJ60" i="6"/>
  <c r="AP60" i="6"/>
  <c r="AK60" i="6"/>
  <c r="AS60" i="6"/>
  <c r="AM60" i="6"/>
  <c r="AN60" i="6"/>
  <c r="AO60" i="6"/>
  <c r="AR60" i="6"/>
  <c r="AQ60" i="6"/>
  <c r="AL60" i="6"/>
  <c r="I53" i="12"/>
  <c r="AM53" i="5"/>
  <c r="L53" i="5"/>
  <c r="C53" i="6" s="1"/>
  <c r="Z53" i="5"/>
  <c r="AB53" i="5" s="1" a="1"/>
  <c r="AB53" i="5" s="1"/>
  <c r="CE65" i="6" a="1"/>
  <c r="CE65" i="6" s="1"/>
  <c r="BV65" i="6" a="1"/>
  <c r="BV65" i="6" s="1"/>
  <c r="AS65" i="6"/>
  <c r="CC65" i="6" a="1"/>
  <c r="CC65" i="6" s="1"/>
  <c r="BK65" i="6"/>
  <c r="AM65" i="6"/>
  <c r="AO65" i="6"/>
  <c r="BY65" i="6" a="1"/>
  <c r="BY65" i="6" s="1"/>
  <c r="BL65" i="6"/>
  <c r="AN65" i="6"/>
  <c r="AJ65" i="6"/>
  <c r="BW65" i="6" a="1"/>
  <c r="BW65" i="6" s="1"/>
  <c r="CD65" i="6" a="1"/>
  <c r="CD65" i="6" s="1"/>
  <c r="AR65" i="6"/>
  <c r="BE65" i="6"/>
  <c r="AP65" i="6"/>
  <c r="BH65" i="6"/>
  <c r="BG65" i="6"/>
  <c r="BX65" i="6" a="1"/>
  <c r="BX65" i="6" s="1"/>
  <c r="AL65" i="6"/>
  <c r="BI65" i="6"/>
  <c r="BD65" i="6"/>
  <c r="BC65" i="6"/>
  <c r="BJ65" i="6"/>
  <c r="AQ65" i="6"/>
  <c r="BZ65" i="6" a="1"/>
  <c r="BZ65" i="6" s="1"/>
  <c r="BF65" i="6"/>
  <c r="CB65" i="6" a="1"/>
  <c r="CB65" i="6" s="1"/>
  <c r="AK65" i="6"/>
  <c r="CA65" i="6" a="1"/>
  <c r="CA65" i="6" s="1"/>
  <c r="M67" i="6"/>
  <c r="BZ57" i="6" a="1"/>
  <c r="BZ57" i="6" s="1"/>
  <c r="BW57" i="6" a="1"/>
  <c r="BW57" i="6" s="1"/>
  <c r="BE57" i="6"/>
  <c r="BV57" i="6" a="1"/>
  <c r="BV57" i="6" s="1"/>
  <c r="BG57" i="6"/>
  <c r="BC57" i="6"/>
  <c r="BL57" i="6"/>
  <c r="BF57" i="6"/>
  <c r="CB57" i="6" a="1"/>
  <c r="CB57" i="6" s="1"/>
  <c r="BI57" i="6"/>
  <c r="CE57" i="6" a="1"/>
  <c r="CE57" i="6" s="1"/>
  <c r="BK57" i="6"/>
  <c r="BY57" i="6" a="1"/>
  <c r="BY57" i="6" s="1"/>
  <c r="CD57" i="6" a="1"/>
  <c r="CD57" i="6" s="1"/>
  <c r="BJ57" i="6"/>
  <c r="CC57" i="6" a="1"/>
  <c r="CC57" i="6" s="1"/>
  <c r="CA57" i="6" a="1"/>
  <c r="CA57" i="6" s="1"/>
  <c r="BX57" i="6" a="1"/>
  <c r="BX57" i="6" s="1"/>
  <c r="BH57" i="6"/>
  <c r="BD57" i="6"/>
  <c r="AM57" i="6"/>
  <c r="AS57" i="6"/>
  <c r="AL57" i="6"/>
  <c r="AK57" i="6"/>
  <c r="AJ57" i="6"/>
  <c r="AN57" i="6"/>
  <c r="AQ57" i="6"/>
  <c r="AO57" i="6"/>
  <c r="AR57" i="6"/>
  <c r="AP57" i="6"/>
  <c r="N47" i="12"/>
  <c r="Y46" i="12"/>
  <c r="CA59" i="6" a="1"/>
  <c r="CA59" i="6" s="1"/>
  <c r="BW59" i="6" a="1"/>
  <c r="BW59" i="6" s="1"/>
  <c r="BJ59" i="6"/>
  <c r="BG59" i="6"/>
  <c r="BV59" i="6" a="1"/>
  <c r="BV59" i="6" s="1"/>
  <c r="BZ59" i="6" a="1"/>
  <c r="BZ59" i="6" s="1"/>
  <c r="BY59" i="6" a="1"/>
  <c r="BY59" i="6" s="1"/>
  <c r="BH59" i="6"/>
  <c r="BI59" i="6"/>
  <c r="BK59" i="6"/>
  <c r="BL59" i="6"/>
  <c r="CC59" i="6" a="1"/>
  <c r="CC59" i="6" s="1"/>
  <c r="BF59" i="6"/>
  <c r="BD59" i="6"/>
  <c r="BC59" i="6"/>
  <c r="CB59" i="6" a="1"/>
  <c r="CB59" i="6" s="1"/>
  <c r="CE59" i="6" a="1"/>
  <c r="CE59" i="6" s="1"/>
  <c r="CD59" i="6" a="1"/>
  <c r="CD59" i="6" s="1"/>
  <c r="BX59" i="6" a="1"/>
  <c r="BX59" i="6" s="1"/>
  <c r="BE59" i="6"/>
  <c r="AJ59" i="6"/>
  <c r="AS59" i="6"/>
  <c r="AM59" i="6"/>
  <c r="AR59" i="6"/>
  <c r="AN59" i="6"/>
  <c r="AO59" i="6"/>
  <c r="AL59" i="6"/>
  <c r="AP59" i="6"/>
  <c r="AQ59" i="6"/>
  <c r="AK59" i="6"/>
  <c r="X56" i="5" a="1"/>
  <c r="X56" i="5" s="1"/>
  <c r="Y47" i="12"/>
  <c r="BH62" i="6"/>
  <c r="CA62" i="6" a="1"/>
  <c r="CA62" i="6" s="1"/>
  <c r="BC62" i="6"/>
  <c r="BE62" i="6"/>
  <c r="BL62" i="6"/>
  <c r="CD62" i="6" a="1"/>
  <c r="CD62" i="6" s="1"/>
  <c r="CB62" i="6" a="1"/>
  <c r="CB62" i="6" s="1"/>
  <c r="BI62" i="6"/>
  <c r="BY62" i="6" a="1"/>
  <c r="BY62" i="6" s="1"/>
  <c r="BV62" i="6" a="1"/>
  <c r="BV62" i="6" s="1"/>
  <c r="CE62" i="6" a="1"/>
  <c r="CE62" i="6" s="1"/>
  <c r="BG62" i="6"/>
  <c r="BX62" i="6" a="1"/>
  <c r="BX62" i="6" s="1"/>
  <c r="BF62" i="6"/>
  <c r="BJ62" i="6"/>
  <c r="BK62" i="6"/>
  <c r="CC62" i="6" a="1"/>
  <c r="CC62" i="6" s="1"/>
  <c r="BW62" i="6" a="1"/>
  <c r="BW62" i="6" s="1"/>
  <c r="BZ62" i="6" a="1"/>
  <c r="BZ62" i="6" s="1"/>
  <c r="BD62" i="6"/>
  <c r="AK62" i="6"/>
  <c r="AN62" i="6"/>
  <c r="AO62" i="6"/>
  <c r="AR62" i="6"/>
  <c r="AS62" i="6"/>
  <c r="AQ62" i="6"/>
  <c r="AM62" i="6"/>
  <c r="AJ62" i="6"/>
  <c r="AP62" i="6"/>
  <c r="AL62" i="6"/>
  <c r="T139" i="5"/>
  <c r="G139" i="12" s="1" a="1"/>
  <c r="G139" i="12" s="1"/>
  <c r="K140" i="12"/>
  <c r="H141" i="6" a="1"/>
  <c r="H141" i="6" s="1"/>
  <c r="T141" i="5" s="1"/>
  <c r="G141" i="12" s="1" a="1"/>
  <c r="G141" i="12" s="1"/>
  <c r="L141" i="12" a="1"/>
  <c r="L141" i="12" s="1"/>
  <c r="J141" i="12" a="1"/>
  <c r="J141" i="12" s="1"/>
  <c r="A142" i="12"/>
  <c r="AD142" i="5"/>
  <c r="G142" i="5"/>
  <c r="N142" i="5"/>
  <c r="D142" i="6" s="1"/>
  <c r="K142" i="5"/>
  <c r="J142" i="5"/>
  <c r="H142" i="5"/>
  <c r="C143" i="5"/>
  <c r="B142" i="5"/>
  <c r="F142" i="5"/>
  <c r="E142" i="5"/>
  <c r="D142" i="5"/>
  <c r="B142" i="12" s="1"/>
  <c r="AE142" i="5" a="1"/>
  <c r="AE142" i="5" s="1"/>
  <c r="W142" i="5" a="1"/>
  <c r="W142" i="5" s="1"/>
  <c r="H142" i="12" s="1" a="1"/>
  <c r="H142" i="12" s="1"/>
  <c r="B142" i="6"/>
  <c r="L143" i="6"/>
  <c r="H140" i="6" a="1"/>
  <c r="H140" i="6" s="1"/>
  <c r="A134" i="6"/>
  <c r="CM67" i="6" l="1" a="1"/>
  <c r="CM67" i="6" s="1"/>
  <c r="CL67" i="6" a="1"/>
  <c r="CL67" i="6" s="1"/>
  <c r="CH67" i="6" a="1"/>
  <c r="CH67" i="6" s="1"/>
  <c r="BO67" i="6"/>
  <c r="BP67" i="6"/>
  <c r="CK67" i="6" a="1"/>
  <c r="CK67" i="6" s="1"/>
  <c r="BN67" i="6"/>
  <c r="CF67" i="6" a="1"/>
  <c r="CF67" i="6" s="1"/>
  <c r="BM67" i="6"/>
  <c r="CJ67" i="6" a="1"/>
  <c r="CJ67" i="6" s="1"/>
  <c r="BT67" i="6"/>
  <c r="BQ67" i="6"/>
  <c r="CI67" i="6" a="1"/>
  <c r="CI67" i="6" s="1"/>
  <c r="BS67" i="6"/>
  <c r="CG67" i="6" a="1"/>
  <c r="CG67" i="6" s="1"/>
  <c r="BR67" i="6"/>
  <c r="AW67" i="6"/>
  <c r="AV67" i="6"/>
  <c r="AU67" i="6"/>
  <c r="AX67" i="6"/>
  <c r="BA67" i="6"/>
  <c r="AZ67" i="6"/>
  <c r="AY67" i="6"/>
  <c r="AT67" i="6"/>
  <c r="W49" i="12" a="1"/>
  <c r="W49" i="12" s="1"/>
  <c r="V49" i="12" s="1" a="1"/>
  <c r="V49" i="12" s="1"/>
  <c r="W48" i="12" a="1"/>
  <c r="W48" i="12" s="1"/>
  <c r="U48" i="12" s="1"/>
  <c r="N52" i="12"/>
  <c r="X65" i="5" a="1"/>
  <c r="X65" i="5" s="1"/>
  <c r="L65" i="5" s="1"/>
  <c r="C65" i="6" s="1"/>
  <c r="X62" i="5" a="1"/>
  <c r="X62" i="5" s="1"/>
  <c r="Z62" i="5" s="1"/>
  <c r="AB62" i="5" s="1" a="1"/>
  <c r="AB62" i="5" s="1"/>
  <c r="X58" i="5" a="1"/>
  <c r="X58" i="5" s="1"/>
  <c r="Z58" i="5" s="1"/>
  <c r="AB58" i="5" s="1" a="1"/>
  <c r="AB58" i="5" s="1"/>
  <c r="X60" i="5" a="1"/>
  <c r="X60" i="5" s="1"/>
  <c r="M54" i="12" a="1"/>
  <c r="M54" i="12" s="1"/>
  <c r="O54" i="12" a="1"/>
  <c r="O54" i="12" s="1"/>
  <c r="AO54" i="12" a="1"/>
  <c r="AO54" i="12" s="1"/>
  <c r="C54" i="12"/>
  <c r="X57" i="5" a="1"/>
  <c r="X57" i="5" s="1"/>
  <c r="X61" i="5" a="1"/>
  <c r="X61" i="5" s="1"/>
  <c r="O53" i="12" a="1"/>
  <c r="O53" i="12" s="1"/>
  <c r="AO53" i="12" a="1"/>
  <c r="AO53" i="12" s="1"/>
  <c r="C53" i="12"/>
  <c r="M53" i="12" a="1"/>
  <c r="M53" i="12" s="1"/>
  <c r="W44" i="12" a="1"/>
  <c r="W44" i="12" s="1"/>
  <c r="X44" i="12" a="1"/>
  <c r="X44" i="12" s="1"/>
  <c r="W47" i="12" a="1"/>
  <c r="W47" i="12" s="1"/>
  <c r="X47" i="12" a="1"/>
  <c r="X47" i="12" s="1"/>
  <c r="X46" i="12" a="1"/>
  <c r="X46" i="12" s="1"/>
  <c r="W46" i="12" a="1"/>
  <c r="W46" i="12" s="1"/>
  <c r="CA67" i="6" a="1"/>
  <c r="CA67" i="6" s="1"/>
  <c r="BJ67" i="6"/>
  <c r="BD67" i="6"/>
  <c r="AO67" i="6"/>
  <c r="BX67" i="6" a="1"/>
  <c r="BX67" i="6" s="1"/>
  <c r="BC67" i="6"/>
  <c r="BW67" i="6" a="1"/>
  <c r="BW67" i="6" s="1"/>
  <c r="BL67" i="6"/>
  <c r="AS67" i="6"/>
  <c r="AP67" i="6"/>
  <c r="BZ67" i="6" a="1"/>
  <c r="BZ67" i="6" s="1"/>
  <c r="BY67" i="6" a="1"/>
  <c r="BY67" i="6" s="1"/>
  <c r="BE67" i="6"/>
  <c r="AJ67" i="6"/>
  <c r="CC67" i="6" a="1"/>
  <c r="CC67" i="6" s="1"/>
  <c r="CD67" i="6" a="1"/>
  <c r="CD67" i="6" s="1"/>
  <c r="BH67" i="6"/>
  <c r="AQ67" i="6"/>
  <c r="AM67" i="6"/>
  <c r="CE67" i="6" a="1"/>
  <c r="CE67" i="6" s="1"/>
  <c r="BG67" i="6"/>
  <c r="BV67" i="6" a="1"/>
  <c r="BV67" i="6" s="1"/>
  <c r="AR67" i="6"/>
  <c r="AK67" i="6"/>
  <c r="BF67" i="6"/>
  <c r="BI67" i="6"/>
  <c r="BK67" i="6"/>
  <c r="CB67" i="6" a="1"/>
  <c r="CB67" i="6" s="1"/>
  <c r="AL67" i="6"/>
  <c r="AN67" i="6"/>
  <c r="M69" i="6"/>
  <c r="X63" i="5" a="1"/>
  <c r="X63" i="5" s="1"/>
  <c r="Z56" i="5"/>
  <c r="AB56" i="5" s="1" a="1"/>
  <c r="AB56" i="5" s="1"/>
  <c r="L56" i="5"/>
  <c r="C56" i="6" s="1"/>
  <c r="I56" i="12"/>
  <c r="AM56" i="5"/>
  <c r="X64" i="5" a="1"/>
  <c r="X64" i="5" s="1"/>
  <c r="Y52" i="12"/>
  <c r="X59" i="5" a="1"/>
  <c r="X59" i="5" s="1"/>
  <c r="V43" i="12" a="1"/>
  <c r="V43" i="12" s="1"/>
  <c r="U43" i="12"/>
  <c r="T43" i="12"/>
  <c r="T140" i="5"/>
  <c r="G140" i="12" s="1" a="1"/>
  <c r="G140" i="12" s="1"/>
  <c r="K141" i="12"/>
  <c r="L142" i="12" a="1"/>
  <c r="L142" i="12" s="1"/>
  <c r="J142" i="12" a="1"/>
  <c r="J142" i="12" s="1"/>
  <c r="A143" i="12"/>
  <c r="AD143" i="5"/>
  <c r="G143" i="5"/>
  <c r="B143" i="5"/>
  <c r="N143" i="5"/>
  <c r="K143" i="5"/>
  <c r="J143" i="5"/>
  <c r="H143" i="5"/>
  <c r="AE143" i="5" a="1"/>
  <c r="AE143" i="5" s="1"/>
  <c r="C144" i="5"/>
  <c r="W143" i="5" a="1"/>
  <c r="W143" i="5" s="1"/>
  <c r="H143" i="12" s="1" a="1"/>
  <c r="H143" i="12" s="1"/>
  <c r="F143" i="5"/>
  <c r="E143" i="5"/>
  <c r="D143" i="5"/>
  <c r="B143" i="12" s="1"/>
  <c r="L144" i="6"/>
  <c r="B143" i="6"/>
  <c r="A135" i="6"/>
  <c r="H142" i="6" a="1"/>
  <c r="H142" i="6" s="1"/>
  <c r="T142" i="5" s="1"/>
  <c r="G142" i="12" s="1" a="1"/>
  <c r="G142" i="12" s="1"/>
  <c r="CF69" i="6" l="1" a="1"/>
  <c r="CF69" i="6" s="1"/>
  <c r="BO69" i="6"/>
  <c r="CJ69" i="6" a="1"/>
  <c r="CJ69" i="6" s="1"/>
  <c r="BN69" i="6"/>
  <c r="CI69" i="6" a="1"/>
  <c r="CI69" i="6" s="1"/>
  <c r="BM69" i="6"/>
  <c r="BQ69" i="6"/>
  <c r="CM69" i="6" a="1"/>
  <c r="CM69" i="6" s="1"/>
  <c r="BT69" i="6"/>
  <c r="CH69" i="6" a="1"/>
  <c r="CH69" i="6" s="1"/>
  <c r="CG69" i="6" a="1"/>
  <c r="CG69" i="6" s="1"/>
  <c r="CL69" i="6" a="1"/>
  <c r="CL69" i="6" s="1"/>
  <c r="BS69" i="6"/>
  <c r="CK69" i="6" a="1"/>
  <c r="CK69" i="6" s="1"/>
  <c r="BR69" i="6"/>
  <c r="BP69" i="6"/>
  <c r="AW69" i="6"/>
  <c r="AV69" i="6"/>
  <c r="AU69" i="6"/>
  <c r="BA69" i="6"/>
  <c r="AZ69" i="6"/>
  <c r="AY69" i="6"/>
  <c r="AX69" i="6"/>
  <c r="AT69" i="6"/>
  <c r="V48" i="12" a="1"/>
  <c r="V48" i="12" s="1"/>
  <c r="T49" i="12"/>
  <c r="I65" i="12"/>
  <c r="C65" i="12" s="1"/>
  <c r="AM65" i="5"/>
  <c r="Z65" i="5"/>
  <c r="AB65" i="5" s="1" a="1"/>
  <c r="AB65" i="5" s="1"/>
  <c r="Y54" i="12"/>
  <c r="X54" i="12" s="1" a="1"/>
  <c r="X54" i="12" s="1"/>
  <c r="U49" i="12"/>
  <c r="T48" i="12"/>
  <c r="Y53" i="12"/>
  <c r="W53" i="12" s="1" a="1"/>
  <c r="W53" i="12" s="1"/>
  <c r="L62" i="5"/>
  <c r="C62" i="6" s="1"/>
  <c r="N53" i="12"/>
  <c r="AM62" i="5"/>
  <c r="L58" i="5"/>
  <c r="C58" i="6" s="1"/>
  <c r="I62" i="12"/>
  <c r="O62" i="12" s="1" a="1"/>
  <c r="O62" i="12" s="1"/>
  <c r="I58" i="12"/>
  <c r="M58" i="12" s="1" a="1"/>
  <c r="M58" i="12" s="1"/>
  <c r="AM58" i="5"/>
  <c r="U46" i="12"/>
  <c r="V46" i="12" a="1"/>
  <c r="V46" i="12" s="1"/>
  <c r="T46" i="12"/>
  <c r="N54" i="12"/>
  <c r="BF69" i="6"/>
  <c r="BL69" i="6"/>
  <c r="BH69" i="6"/>
  <c r="AO69" i="6"/>
  <c r="BW69" i="6" a="1"/>
  <c r="BW69" i="6" s="1"/>
  <c r="BV69" i="6" a="1"/>
  <c r="BV69" i="6" s="1"/>
  <c r="AR69" i="6"/>
  <c r="AJ69" i="6"/>
  <c r="BY69" i="6" a="1"/>
  <c r="BY69" i="6" s="1"/>
  <c r="CB69" i="6" a="1"/>
  <c r="CB69" i="6" s="1"/>
  <c r="AM69" i="6"/>
  <c r="AN69" i="6"/>
  <c r="CA69" i="6" a="1"/>
  <c r="CA69" i="6" s="1"/>
  <c r="BX69" i="6" a="1"/>
  <c r="BX69" i="6" s="1"/>
  <c r="AL69" i="6"/>
  <c r="BD69" i="6"/>
  <c r="BE69" i="6"/>
  <c r="AQ69" i="6"/>
  <c r="CD69" i="6" a="1"/>
  <c r="CD69" i="6" s="1"/>
  <c r="BG69" i="6"/>
  <c r="BZ69" i="6" a="1"/>
  <c r="BZ69" i="6" s="1"/>
  <c r="AS69" i="6"/>
  <c r="BK69" i="6"/>
  <c r="BJ69" i="6"/>
  <c r="BI69" i="6"/>
  <c r="AP69" i="6"/>
  <c r="BC69" i="6"/>
  <c r="CC69" i="6" a="1"/>
  <c r="CC69" i="6" s="1"/>
  <c r="CE69" i="6" a="1"/>
  <c r="CE69" i="6" s="1"/>
  <c r="AK69" i="6"/>
  <c r="M70" i="6"/>
  <c r="I64" i="12"/>
  <c r="AM64" i="5"/>
  <c r="L64" i="5"/>
  <c r="C64" i="6" s="1"/>
  <c r="Z64" i="5"/>
  <c r="AB64" i="5" s="1" a="1"/>
  <c r="AB64" i="5" s="1"/>
  <c r="X67" i="5" a="1"/>
  <c r="X67" i="5" s="1"/>
  <c r="AM60" i="5"/>
  <c r="Z60" i="5"/>
  <c r="AB60" i="5" s="1" a="1"/>
  <c r="AB60" i="5" s="1"/>
  <c r="L60" i="5"/>
  <c r="C60" i="6" s="1"/>
  <c r="I60" i="12"/>
  <c r="C56" i="12"/>
  <c r="M56" i="12" a="1"/>
  <c r="M56" i="12" s="1"/>
  <c r="AO56" i="12" a="1"/>
  <c r="AO56" i="12" s="1"/>
  <c r="O56" i="12" a="1"/>
  <c r="O56" i="12" s="1"/>
  <c r="V47" i="12" a="1"/>
  <c r="V47" i="12" s="1"/>
  <c r="U47" i="12"/>
  <c r="T47" i="12"/>
  <c r="I63" i="12"/>
  <c r="AM63" i="5"/>
  <c r="L63" i="5"/>
  <c r="C63" i="6" s="1"/>
  <c r="Z63" i="5"/>
  <c r="AB63" i="5" s="1" a="1"/>
  <c r="AB63" i="5" s="1"/>
  <c r="L57" i="5"/>
  <c r="C57" i="6" s="1"/>
  <c r="Z57" i="5"/>
  <c r="AB57" i="5" s="1" a="1"/>
  <c r="AB57" i="5" s="1"/>
  <c r="AM57" i="5"/>
  <c r="I57" i="12"/>
  <c r="T44" i="12"/>
  <c r="V44" i="12" a="1"/>
  <c r="V44" i="12" s="1"/>
  <c r="U44" i="12"/>
  <c r="I59" i="12"/>
  <c r="AM59" i="5"/>
  <c r="L59" i="5"/>
  <c r="C59" i="6" s="1"/>
  <c r="Z59" i="5"/>
  <c r="AB59" i="5" s="1" a="1"/>
  <c r="AB59" i="5" s="1"/>
  <c r="W52" i="12" a="1"/>
  <c r="W52" i="12" s="1"/>
  <c r="X52" i="12" a="1"/>
  <c r="X52" i="12" s="1"/>
  <c r="I61" i="12"/>
  <c r="AM61" i="5"/>
  <c r="L61" i="5"/>
  <c r="C61" i="6" s="1"/>
  <c r="Z61" i="5"/>
  <c r="AB61" i="5" s="1" a="1"/>
  <c r="AB61" i="5" s="1"/>
  <c r="K142" i="12"/>
  <c r="A136" i="6"/>
  <c r="L145" i="6"/>
  <c r="B144" i="6"/>
  <c r="A144" i="12"/>
  <c r="B144" i="5"/>
  <c r="C145" i="5"/>
  <c r="N144" i="5"/>
  <c r="D144" i="6" s="1"/>
  <c r="K144" i="5"/>
  <c r="J144" i="5"/>
  <c r="E144" i="5"/>
  <c r="AE144" i="5" a="1"/>
  <c r="AE144" i="5" s="1"/>
  <c r="D144" i="5"/>
  <c r="B144" i="12" s="1"/>
  <c r="AD144" i="5"/>
  <c r="W144" i="5" a="1"/>
  <c r="W144" i="5" s="1"/>
  <c r="H144" i="12" s="1" a="1"/>
  <c r="H144" i="12" s="1"/>
  <c r="H144" i="5"/>
  <c r="G144" i="5"/>
  <c r="F144" i="5"/>
  <c r="J143" i="12" a="1"/>
  <c r="J143" i="12" s="1"/>
  <c r="L143" i="12" a="1"/>
  <c r="L143" i="12" s="1"/>
  <c r="D143" i="6"/>
  <c r="CL70" i="6" l="1" a="1"/>
  <c r="CL70" i="6" s="1"/>
  <c r="BO70" i="6"/>
  <c r="CG70" i="6" a="1"/>
  <c r="CG70" i="6" s="1"/>
  <c r="CM70" i="6" a="1"/>
  <c r="CM70" i="6" s="1"/>
  <c r="BM70" i="6"/>
  <c r="BT70" i="6"/>
  <c r="CK70" i="6" a="1"/>
  <c r="CK70" i="6" s="1"/>
  <c r="BN70" i="6"/>
  <c r="CJ70" i="6" a="1"/>
  <c r="CJ70" i="6" s="1"/>
  <c r="BS70" i="6"/>
  <c r="CI70" i="6" a="1"/>
  <c r="CI70" i="6" s="1"/>
  <c r="BR70" i="6"/>
  <c r="CH70" i="6" a="1"/>
  <c r="CH70" i="6" s="1"/>
  <c r="CF70" i="6" a="1"/>
  <c r="CF70" i="6" s="1"/>
  <c r="BQ70" i="6"/>
  <c r="BP70" i="6"/>
  <c r="AX70" i="6"/>
  <c r="BA70" i="6"/>
  <c r="AW70" i="6"/>
  <c r="AY70" i="6"/>
  <c r="AV70" i="6"/>
  <c r="AT70" i="6"/>
  <c r="AU70" i="6"/>
  <c r="AZ70" i="6"/>
  <c r="M65" i="12" a="1"/>
  <c r="M65" i="12" s="1"/>
  <c r="O65" i="12" a="1"/>
  <c r="O65" i="12" s="1"/>
  <c r="AO65" i="12" a="1"/>
  <c r="AO65" i="12" s="1"/>
  <c r="W54" i="12" a="1"/>
  <c r="W54" i="12" s="1"/>
  <c r="T54" i="12" s="1"/>
  <c r="AO62" i="12" a="1"/>
  <c r="AO62" i="12" s="1"/>
  <c r="Y62" i="12" s="1"/>
  <c r="W62" i="12" s="1" a="1"/>
  <c r="W62" i="12" s="1"/>
  <c r="C62" i="12"/>
  <c r="M62" i="12" a="1"/>
  <c r="M62" i="12" s="1"/>
  <c r="N62" i="12" s="1"/>
  <c r="X53" i="12" a="1"/>
  <c r="X53" i="12" s="1"/>
  <c r="O58" i="12" a="1"/>
  <c r="O58" i="12" s="1"/>
  <c r="N58" i="12" s="1"/>
  <c r="C58" i="12"/>
  <c r="AO58" i="12" a="1"/>
  <c r="AO58" i="12" s="1"/>
  <c r="N56" i="12"/>
  <c r="Y56" i="12"/>
  <c r="X56" i="12" s="1" a="1"/>
  <c r="X56" i="12" s="1"/>
  <c r="BG70" i="6"/>
  <c r="CA70" i="6" a="1"/>
  <c r="CA70" i="6" s="1"/>
  <c r="BC70" i="6"/>
  <c r="AO70" i="6"/>
  <c r="BX70" i="6" a="1"/>
  <c r="BX70" i="6" s="1"/>
  <c r="BF70" i="6"/>
  <c r="BI70" i="6"/>
  <c r="AQ70" i="6"/>
  <c r="AK70" i="6"/>
  <c r="BZ70" i="6" a="1"/>
  <c r="BZ70" i="6" s="1"/>
  <c r="BW70" i="6" a="1"/>
  <c r="BW70" i="6" s="1"/>
  <c r="AM70" i="6"/>
  <c r="BL70" i="6"/>
  <c r="CE70" i="6" a="1"/>
  <c r="CE70" i="6" s="1"/>
  <c r="CC70" i="6" a="1"/>
  <c r="CC70" i="6" s="1"/>
  <c r="BK70" i="6"/>
  <c r="AN70" i="6"/>
  <c r="CB70" i="6" a="1"/>
  <c r="CB70" i="6" s="1"/>
  <c r="BH70" i="6"/>
  <c r="BE70" i="6"/>
  <c r="AJ70" i="6"/>
  <c r="AR70" i="6"/>
  <c r="CD70" i="6" a="1"/>
  <c r="CD70" i="6" s="1"/>
  <c r="BY70" i="6" a="1"/>
  <c r="BY70" i="6" s="1"/>
  <c r="BV70" i="6" a="1"/>
  <c r="BV70" i="6" s="1"/>
  <c r="AL70" i="6"/>
  <c r="AS70" i="6"/>
  <c r="BD70" i="6"/>
  <c r="BJ70" i="6"/>
  <c r="AP70" i="6"/>
  <c r="M72" i="6"/>
  <c r="O63" i="12" a="1"/>
  <c r="O63" i="12" s="1"/>
  <c r="AO63" i="12" a="1"/>
  <c r="AO63" i="12" s="1"/>
  <c r="M63" i="12" a="1"/>
  <c r="M63" i="12" s="1"/>
  <c r="C63" i="12"/>
  <c r="U52" i="12"/>
  <c r="T52" i="12"/>
  <c r="V52" i="12" a="1"/>
  <c r="V52" i="12" s="1"/>
  <c r="C57" i="12"/>
  <c r="O57" i="12" a="1"/>
  <c r="O57" i="12" s="1"/>
  <c r="AO57" i="12" a="1"/>
  <c r="AO57" i="12" s="1"/>
  <c r="M57" i="12" a="1"/>
  <c r="M57" i="12" s="1"/>
  <c r="C61" i="12"/>
  <c r="M61" i="12" a="1"/>
  <c r="M61" i="12" s="1"/>
  <c r="AO61" i="12" a="1"/>
  <c r="AO61" i="12" s="1"/>
  <c r="O61" i="12" a="1"/>
  <c r="O61" i="12" s="1"/>
  <c r="T53" i="12"/>
  <c r="U53" i="12"/>
  <c r="V53" i="12" a="1"/>
  <c r="V53" i="12" s="1"/>
  <c r="C59" i="12"/>
  <c r="M59" i="12" a="1"/>
  <c r="M59" i="12" s="1"/>
  <c r="AO59" i="12" a="1"/>
  <c r="AO59" i="12" s="1"/>
  <c r="O59" i="12" a="1"/>
  <c r="O59" i="12" s="1"/>
  <c r="AO60" i="12" a="1"/>
  <c r="AO60" i="12" s="1"/>
  <c r="C60" i="12"/>
  <c r="O60" i="12" a="1"/>
  <c r="O60" i="12" s="1"/>
  <c r="M60" i="12" a="1"/>
  <c r="M60" i="12" s="1"/>
  <c r="L67" i="5"/>
  <c r="C67" i="6" s="1"/>
  <c r="I67" i="5"/>
  <c r="Z67" i="5"/>
  <c r="AB67" i="5" s="1" a="1"/>
  <c r="AB67" i="5" s="1"/>
  <c r="I67" i="12"/>
  <c r="AM67" i="5"/>
  <c r="O64" i="12" a="1"/>
  <c r="O64" i="12" s="1"/>
  <c r="C64" i="12"/>
  <c r="AO64" i="12" a="1"/>
  <c r="AO64" i="12" s="1"/>
  <c r="M64" i="12" a="1"/>
  <c r="M64" i="12" s="1"/>
  <c r="X69" i="5" a="1"/>
  <c r="X69" i="5" s="1"/>
  <c r="K143" i="12"/>
  <c r="L144" i="12" a="1"/>
  <c r="L144" i="12" s="1"/>
  <c r="J144" i="12" a="1"/>
  <c r="J144" i="12" s="1"/>
  <c r="L146" i="6"/>
  <c r="B145" i="6"/>
  <c r="A137" i="6"/>
  <c r="H144" i="6" a="1"/>
  <c r="H144" i="6" s="1"/>
  <c r="T144" i="5" s="1"/>
  <c r="G144" i="12" s="1" a="1"/>
  <c r="G144" i="12" s="1"/>
  <c r="A145" i="12"/>
  <c r="D145" i="5"/>
  <c r="B145" i="12" s="1"/>
  <c r="AE145" i="5" a="1"/>
  <c r="AE145" i="5" s="1"/>
  <c r="AD145" i="5"/>
  <c r="B145" i="5"/>
  <c r="C146" i="5"/>
  <c r="N145" i="5"/>
  <c r="D145" i="6" s="1"/>
  <c r="G145" i="5"/>
  <c r="W145" i="5" a="1"/>
  <c r="W145" i="5" s="1"/>
  <c r="H145" i="12" s="1" a="1"/>
  <c r="H145" i="12" s="1"/>
  <c r="F145" i="5"/>
  <c r="E145" i="5"/>
  <c r="J145" i="5"/>
  <c r="H145" i="5"/>
  <c r="K145" i="5"/>
  <c r="H143" i="6" a="1"/>
  <c r="H143" i="6" s="1"/>
  <c r="CM72" i="6" l="1" a="1"/>
  <c r="CM72" i="6" s="1"/>
  <c r="CF72" i="6" a="1"/>
  <c r="CF72" i="6" s="1"/>
  <c r="CK72" i="6" a="1"/>
  <c r="CK72" i="6" s="1"/>
  <c r="BO72" i="6"/>
  <c r="BQ72" i="6"/>
  <c r="CI72" i="6" a="1"/>
  <c r="CI72" i="6" s="1"/>
  <c r="BN72" i="6"/>
  <c r="CH72" i="6" a="1"/>
  <c r="CH72" i="6" s="1"/>
  <c r="BM72" i="6"/>
  <c r="CG72" i="6" a="1"/>
  <c r="CG72" i="6" s="1"/>
  <c r="BT72" i="6"/>
  <c r="BP72" i="6"/>
  <c r="CL72" i="6" a="1"/>
  <c r="CL72" i="6" s="1"/>
  <c r="BS72" i="6"/>
  <c r="AY72" i="6"/>
  <c r="CJ72" i="6" a="1"/>
  <c r="CJ72" i="6" s="1"/>
  <c r="BR72" i="6"/>
  <c r="AT72" i="6"/>
  <c r="AW72" i="6"/>
  <c r="AX72" i="6"/>
  <c r="AZ72" i="6"/>
  <c r="BA72" i="6"/>
  <c r="AU72" i="6"/>
  <c r="AV72" i="6"/>
  <c r="Y65" i="12"/>
  <c r="X65" i="12" s="1" a="1"/>
  <c r="X65" i="12" s="1"/>
  <c r="N65" i="12"/>
  <c r="V54" i="12" a="1"/>
  <c r="V54" i="12" s="1"/>
  <c r="U54" i="12"/>
  <c r="Y58" i="12"/>
  <c r="W58" i="12" s="1" a="1"/>
  <c r="W58" i="12" s="1"/>
  <c r="X62" i="12" a="1"/>
  <c r="X62" i="12" s="1"/>
  <c r="Y60" i="12"/>
  <c r="X60" i="12" s="1" a="1"/>
  <c r="X60" i="12" s="1"/>
  <c r="W56" i="12" a="1"/>
  <c r="W56" i="12" s="1"/>
  <c r="V56" i="12" s="1" a="1"/>
  <c r="V56" i="12" s="1"/>
  <c r="Y63" i="12"/>
  <c r="W63" i="12" s="1" a="1"/>
  <c r="W63" i="12" s="1"/>
  <c r="N61" i="12"/>
  <c r="Y57" i="12"/>
  <c r="W57" i="12" s="1" a="1"/>
  <c r="W57" i="12" s="1"/>
  <c r="Y59" i="12"/>
  <c r="W59" i="12" s="1" a="1"/>
  <c r="W59" i="12" s="1"/>
  <c r="Y64" i="12"/>
  <c r="X64" i="12" s="1" a="1"/>
  <c r="X64" i="12" s="1"/>
  <c r="Y61" i="12"/>
  <c r="W61" i="12" s="1" a="1"/>
  <c r="W61" i="12" s="1"/>
  <c r="Z69" i="5"/>
  <c r="AB69" i="5" s="1" a="1"/>
  <c r="AB69" i="5" s="1"/>
  <c r="I69" i="12"/>
  <c r="AM69" i="5"/>
  <c r="L69" i="5"/>
  <c r="C69" i="6" s="1"/>
  <c r="I69" i="5"/>
  <c r="V62" i="12" a="1"/>
  <c r="V62" i="12" s="1"/>
  <c r="T62" i="12"/>
  <c r="U62" i="12"/>
  <c r="BC72" i="6"/>
  <c r="BV72" i="6" a="1"/>
  <c r="BV72" i="6" s="1"/>
  <c r="CA72" i="6" a="1"/>
  <c r="CA72" i="6" s="1"/>
  <c r="BX72" i="6" a="1"/>
  <c r="BX72" i="6" s="1"/>
  <c r="BH72" i="6"/>
  <c r="AK72" i="6"/>
  <c r="BJ72" i="6"/>
  <c r="BZ72" i="6" a="1"/>
  <c r="BZ72" i="6" s="1"/>
  <c r="BL72" i="6"/>
  <c r="AQ72" i="6"/>
  <c r="CD72" i="6" a="1"/>
  <c r="CD72" i="6" s="1"/>
  <c r="BD72" i="6"/>
  <c r="CC72" i="6" a="1"/>
  <c r="CC72" i="6" s="1"/>
  <c r="CE72" i="6" a="1"/>
  <c r="CE72" i="6" s="1"/>
  <c r="AN72" i="6"/>
  <c r="BE72" i="6"/>
  <c r="AL72" i="6"/>
  <c r="BY72" i="6" a="1"/>
  <c r="BY72" i="6" s="1"/>
  <c r="BI72" i="6"/>
  <c r="AJ72" i="6"/>
  <c r="BW72" i="6" a="1"/>
  <c r="BW72" i="6" s="1"/>
  <c r="AR72" i="6"/>
  <c r="AO72" i="6"/>
  <c r="AS72" i="6"/>
  <c r="BF72" i="6"/>
  <c r="CB72" i="6" a="1"/>
  <c r="CB72" i="6" s="1"/>
  <c r="BK72" i="6"/>
  <c r="AM72" i="6"/>
  <c r="BG72" i="6"/>
  <c r="AP72" i="6"/>
  <c r="M74" i="6"/>
  <c r="M73" i="6"/>
  <c r="M75" i="6"/>
  <c r="X70" i="5" a="1"/>
  <c r="X70" i="5" s="1"/>
  <c r="N60" i="12"/>
  <c r="N64" i="12"/>
  <c r="O67" i="12" a="1"/>
  <c r="O67" i="12" s="1"/>
  <c r="AO67" i="12" a="1"/>
  <c r="AO67" i="12" s="1"/>
  <c r="C67" i="12"/>
  <c r="M67" i="12" a="1"/>
  <c r="M67" i="12" s="1"/>
  <c r="N59" i="12"/>
  <c r="N57" i="12"/>
  <c r="N63" i="12"/>
  <c r="T143" i="5"/>
  <c r="G143" i="12" s="1" a="1"/>
  <c r="G143" i="12" s="1"/>
  <c r="H145" i="6" a="1"/>
  <c r="H145" i="6" s="1"/>
  <c r="T145" i="5" s="1"/>
  <c r="G145" i="12" s="1" a="1"/>
  <c r="G145" i="12" s="1"/>
  <c r="B146" i="6"/>
  <c r="L147" i="6"/>
  <c r="L145" i="12" a="1"/>
  <c r="L145" i="12" s="1"/>
  <c r="J145" i="12" a="1"/>
  <c r="J145" i="12" s="1"/>
  <c r="M137" i="6"/>
  <c r="A138" i="6"/>
  <c r="A146" i="12"/>
  <c r="D146" i="5"/>
  <c r="B146" i="12" s="1"/>
  <c r="K146" i="5"/>
  <c r="W146" i="5" a="1"/>
  <c r="W146" i="5" s="1"/>
  <c r="H146" i="12" s="1" a="1"/>
  <c r="H146" i="12" s="1"/>
  <c r="F146" i="5"/>
  <c r="E146" i="5"/>
  <c r="AE146" i="5" a="1"/>
  <c r="AE146" i="5" s="1"/>
  <c r="AD146" i="5"/>
  <c r="B146" i="5"/>
  <c r="C147" i="5"/>
  <c r="H146" i="5"/>
  <c r="G146" i="5"/>
  <c r="J146" i="5"/>
  <c r="N146" i="5"/>
  <c r="D146" i="6" s="1"/>
  <c r="K144" i="12"/>
  <c r="CL137" i="6" l="1" a="1"/>
  <c r="CL137" i="6" s="1"/>
  <c r="BQ137" i="6"/>
  <c r="BP137" i="6"/>
  <c r="CG137" i="6" a="1"/>
  <c r="CG137" i="6" s="1"/>
  <c r="BO137" i="6"/>
  <c r="CK137" i="6" a="1"/>
  <c r="CK137" i="6" s="1"/>
  <c r="BN137" i="6"/>
  <c r="CF137" i="6" a="1"/>
  <c r="CF137" i="6" s="1"/>
  <c r="BM137" i="6"/>
  <c r="CI137" i="6" a="1"/>
  <c r="CI137" i="6" s="1"/>
  <c r="BT137" i="6"/>
  <c r="CM137" i="6" a="1"/>
  <c r="CM137" i="6" s="1"/>
  <c r="CJ137" i="6" a="1"/>
  <c r="CJ137" i="6" s="1"/>
  <c r="BS137" i="6"/>
  <c r="CH137" i="6" a="1"/>
  <c r="CH137" i="6" s="1"/>
  <c r="BR137" i="6"/>
  <c r="BA137" i="6"/>
  <c r="AX137" i="6"/>
  <c r="AT137" i="6"/>
  <c r="AW137" i="6"/>
  <c r="AY137" i="6"/>
  <c r="AU137" i="6"/>
  <c r="AZ137" i="6"/>
  <c r="AV137" i="6"/>
  <c r="CM75" i="6" a="1"/>
  <c r="CM75" i="6" s="1"/>
  <c r="BO75" i="6"/>
  <c r="CI75" i="6" a="1"/>
  <c r="CI75" i="6" s="1"/>
  <c r="BN75" i="6"/>
  <c r="CL75" i="6" a="1"/>
  <c r="CL75" i="6" s="1"/>
  <c r="BM75" i="6"/>
  <c r="CH75" i="6" a="1"/>
  <c r="CH75" i="6" s="1"/>
  <c r="CF75" i="6" a="1"/>
  <c r="CF75" i="6" s="1"/>
  <c r="CK75" i="6" a="1"/>
  <c r="CK75" i="6" s="1"/>
  <c r="BT75" i="6"/>
  <c r="CG75" i="6" a="1"/>
  <c r="CG75" i="6" s="1"/>
  <c r="BS75" i="6"/>
  <c r="CJ75" i="6" a="1"/>
  <c r="CJ75" i="6" s="1"/>
  <c r="BR75" i="6"/>
  <c r="BQ75" i="6"/>
  <c r="BP75" i="6"/>
  <c r="AV75" i="6"/>
  <c r="AT75" i="6"/>
  <c r="AY75" i="6"/>
  <c r="AZ75" i="6"/>
  <c r="AW75" i="6"/>
  <c r="BA75" i="6"/>
  <c r="AU75" i="6"/>
  <c r="AX75" i="6"/>
  <c r="CM73" i="6" a="1"/>
  <c r="CM73" i="6" s="1"/>
  <c r="BQ73" i="6"/>
  <c r="AV73" i="6"/>
  <c r="CI73" i="6" a="1"/>
  <c r="CI73" i="6" s="1"/>
  <c r="BO73" i="6"/>
  <c r="CL73" i="6" a="1"/>
  <c r="CL73" i="6" s="1"/>
  <c r="BN73" i="6"/>
  <c r="CH73" i="6" a="1"/>
  <c r="CH73" i="6" s="1"/>
  <c r="BM73" i="6"/>
  <c r="CK73" i="6" a="1"/>
  <c r="CK73" i="6" s="1"/>
  <c r="BT73" i="6"/>
  <c r="AX73" i="6"/>
  <c r="CF73" i="6" a="1"/>
  <c r="CF73" i="6" s="1"/>
  <c r="CG73" i="6" a="1"/>
  <c r="CG73" i="6" s="1"/>
  <c r="BR73" i="6"/>
  <c r="CJ73" i="6" a="1"/>
  <c r="CJ73" i="6" s="1"/>
  <c r="BP73" i="6"/>
  <c r="BS73" i="6"/>
  <c r="AU73" i="6"/>
  <c r="BA73" i="6"/>
  <c r="AT73" i="6"/>
  <c r="AW73" i="6"/>
  <c r="AY73" i="6"/>
  <c r="AZ73" i="6"/>
  <c r="CM74" i="6" a="1"/>
  <c r="CM74" i="6" s="1"/>
  <c r="BO74" i="6"/>
  <c r="BQ74" i="6"/>
  <c r="CI74" i="6" a="1"/>
  <c r="CI74" i="6" s="1"/>
  <c r="BN74" i="6"/>
  <c r="AT74" i="6"/>
  <c r="CL74" i="6" a="1"/>
  <c r="CL74" i="6" s="1"/>
  <c r="BM74" i="6"/>
  <c r="CH74" i="6" a="1"/>
  <c r="CH74" i="6" s="1"/>
  <c r="BT74" i="6"/>
  <c r="BP74" i="6"/>
  <c r="CK74" i="6" a="1"/>
  <c r="CK74" i="6" s="1"/>
  <c r="CJ74" i="6" a="1"/>
  <c r="CJ74" i="6" s="1"/>
  <c r="AX74" i="6"/>
  <c r="CG74" i="6" a="1"/>
  <c r="CG74" i="6" s="1"/>
  <c r="BS74" i="6"/>
  <c r="AV74" i="6"/>
  <c r="CF74" i="6" a="1"/>
  <c r="CF74" i="6" s="1"/>
  <c r="BR74" i="6"/>
  <c r="BA74" i="6"/>
  <c r="AY74" i="6"/>
  <c r="AU74" i="6"/>
  <c r="AW74" i="6"/>
  <c r="AZ74" i="6"/>
  <c r="W65" i="12" a="1"/>
  <c r="W65" i="12" s="1"/>
  <c r="T65" i="12" s="1"/>
  <c r="X58" i="12" a="1"/>
  <c r="X58" i="12" s="1"/>
  <c r="T56" i="12"/>
  <c r="U56" i="12"/>
  <c r="X61" i="12" a="1"/>
  <c r="X61" i="12" s="1"/>
  <c r="X63" i="12" a="1"/>
  <c r="X63" i="12" s="1"/>
  <c r="W60" i="12" a="1"/>
  <c r="W60" i="12" s="1"/>
  <c r="U60" i="12" s="1"/>
  <c r="X59" i="12" a="1"/>
  <c r="X59" i="12" s="1"/>
  <c r="X57" i="12" a="1"/>
  <c r="X57" i="12" s="1"/>
  <c r="N67" i="12"/>
  <c r="W64" i="12" a="1"/>
  <c r="W64" i="12" s="1"/>
  <c r="T64" i="12" s="1"/>
  <c r="Y67" i="12"/>
  <c r="X72" i="5" a="1"/>
  <c r="X72" i="5" s="1"/>
  <c r="T58" i="12"/>
  <c r="U58" i="12"/>
  <c r="V58" i="12" a="1"/>
  <c r="V58" i="12" s="1"/>
  <c r="T63" i="12"/>
  <c r="U63" i="12"/>
  <c r="V63" i="12" a="1"/>
  <c r="V63" i="12" s="1"/>
  <c r="C69" i="12"/>
  <c r="O69" i="12" a="1"/>
  <c r="O69" i="12" s="1"/>
  <c r="AO69" i="12" a="1"/>
  <c r="AO69" i="12" s="1"/>
  <c r="M69" i="12" a="1"/>
  <c r="M69" i="12" s="1"/>
  <c r="L70" i="5"/>
  <c r="C70" i="6" s="1"/>
  <c r="AM70" i="5"/>
  <c r="I70" i="5"/>
  <c r="Z70" i="5"/>
  <c r="AB70" i="5" s="1" a="1"/>
  <c r="AB70" i="5" s="1"/>
  <c r="I70" i="12"/>
  <c r="BZ75" i="6" a="1"/>
  <c r="BZ75" i="6" s="1"/>
  <c r="BF75" i="6"/>
  <c r="BD75" i="6"/>
  <c r="AO75" i="6"/>
  <c r="CA75" i="6" a="1"/>
  <c r="CA75" i="6" s="1"/>
  <c r="AJ75" i="6"/>
  <c r="BL75" i="6"/>
  <c r="AL75" i="6"/>
  <c r="CD75" i="6" a="1"/>
  <c r="CD75" i="6" s="1"/>
  <c r="BY75" i="6" a="1"/>
  <c r="BY75" i="6" s="1"/>
  <c r="AP75" i="6"/>
  <c r="BV75" i="6" a="1"/>
  <c r="BV75" i="6" s="1"/>
  <c r="BH75" i="6"/>
  <c r="BW75" i="6" a="1"/>
  <c r="BW75" i="6" s="1"/>
  <c r="CC75" i="6" a="1"/>
  <c r="CC75" i="6" s="1"/>
  <c r="AK75" i="6"/>
  <c r="BI75" i="6"/>
  <c r="AS75" i="6"/>
  <c r="AQ75" i="6"/>
  <c r="BC75" i="6"/>
  <c r="AN75" i="6"/>
  <c r="BG75" i="6"/>
  <c r="BX75" i="6" a="1"/>
  <c r="BX75" i="6" s="1"/>
  <c r="BK75" i="6"/>
  <c r="CB75" i="6" a="1"/>
  <c r="CB75" i="6" s="1"/>
  <c r="BE75" i="6"/>
  <c r="AM75" i="6"/>
  <c r="AR75" i="6"/>
  <c r="BJ75" i="6"/>
  <c r="CE75" i="6" a="1"/>
  <c r="CE75" i="6" s="1"/>
  <c r="M77" i="6"/>
  <c r="U57" i="12"/>
  <c r="V57" i="12" a="1"/>
  <c r="V57" i="12" s="1"/>
  <c r="T57" i="12"/>
  <c r="CC73" i="6" a="1"/>
  <c r="CC73" i="6" s="1"/>
  <c r="BX73" i="6" a="1"/>
  <c r="BX73" i="6" s="1"/>
  <c r="AK73" i="6"/>
  <c r="BG73" i="6"/>
  <c r="AN73" i="6"/>
  <c r="AJ73" i="6"/>
  <c r="BV73" i="6" a="1"/>
  <c r="BV73" i="6" s="1"/>
  <c r="AM73" i="6"/>
  <c r="BE73" i="6"/>
  <c r="BK73" i="6"/>
  <c r="CB73" i="6" a="1"/>
  <c r="CB73" i="6" s="1"/>
  <c r="CA73" i="6" a="1"/>
  <c r="CA73" i="6" s="1"/>
  <c r="BI73" i="6"/>
  <c r="BF73" i="6"/>
  <c r="BH73" i="6"/>
  <c r="AP73" i="6"/>
  <c r="AS73" i="6"/>
  <c r="CE73" i="6" a="1"/>
  <c r="CE73" i="6" s="1"/>
  <c r="BZ73" i="6" a="1"/>
  <c r="BZ73" i="6" s="1"/>
  <c r="BL73" i="6"/>
  <c r="BJ73" i="6"/>
  <c r="BC73" i="6"/>
  <c r="BW73" i="6" a="1"/>
  <c r="BW73" i="6" s="1"/>
  <c r="AL73" i="6"/>
  <c r="AO73" i="6"/>
  <c r="BY73" i="6" a="1"/>
  <c r="BY73" i="6" s="1"/>
  <c r="BD73" i="6"/>
  <c r="AR73" i="6"/>
  <c r="CD73" i="6" a="1"/>
  <c r="CD73" i="6" s="1"/>
  <c r="AQ73" i="6"/>
  <c r="V59" i="12" a="1"/>
  <c r="V59" i="12" s="1"/>
  <c r="T59" i="12"/>
  <c r="U59" i="12"/>
  <c r="V61" i="12" a="1"/>
  <c r="V61" i="12" s="1"/>
  <c r="U61" i="12"/>
  <c r="T61" i="12"/>
  <c r="BG74" i="6"/>
  <c r="CB74" i="6" a="1"/>
  <c r="CB74" i="6" s="1"/>
  <c r="BD74" i="6"/>
  <c r="CC74" i="6" a="1"/>
  <c r="CC74" i="6" s="1"/>
  <c r="BZ74" i="6" a="1"/>
  <c r="BZ74" i="6" s="1"/>
  <c r="BV74" i="6" a="1"/>
  <c r="BV74" i="6" s="1"/>
  <c r="BE74" i="6"/>
  <c r="CD74" i="6" a="1"/>
  <c r="CD74" i="6" s="1"/>
  <c r="BF74" i="6"/>
  <c r="BK74" i="6"/>
  <c r="CE74" i="6" a="1"/>
  <c r="CE74" i="6" s="1"/>
  <c r="AR74" i="6"/>
  <c r="CA74" i="6" a="1"/>
  <c r="CA74" i="6" s="1"/>
  <c r="BH74" i="6"/>
  <c r="BJ74" i="6"/>
  <c r="AL74" i="6"/>
  <c r="AP74" i="6"/>
  <c r="AN74" i="6"/>
  <c r="AS74" i="6"/>
  <c r="AO74" i="6"/>
  <c r="BL74" i="6"/>
  <c r="AQ74" i="6"/>
  <c r="BX74" i="6" a="1"/>
  <c r="BX74" i="6" s="1"/>
  <c r="AM74" i="6"/>
  <c r="AJ74" i="6"/>
  <c r="BW74" i="6" a="1"/>
  <c r="BW74" i="6" s="1"/>
  <c r="BY74" i="6" a="1"/>
  <c r="BY74" i="6" s="1"/>
  <c r="BI74" i="6"/>
  <c r="AK74" i="6"/>
  <c r="BC74" i="6"/>
  <c r="K145" i="12"/>
  <c r="H146" i="6" a="1"/>
  <c r="H146" i="6" s="1"/>
  <c r="T146" i="5" s="1"/>
  <c r="G146" i="12" s="1" a="1"/>
  <c r="G146" i="12" s="1"/>
  <c r="L146" i="12" a="1"/>
  <c r="L146" i="12" s="1"/>
  <c r="J146" i="12" a="1"/>
  <c r="J146" i="12" s="1"/>
  <c r="L148" i="6"/>
  <c r="B147" i="6"/>
  <c r="BH137" i="6"/>
  <c r="BE137" i="6"/>
  <c r="BI137" i="6"/>
  <c r="BD137" i="6"/>
  <c r="CC137" i="6" a="1"/>
  <c r="CC137" i="6" s="1"/>
  <c r="CE137" i="6" a="1"/>
  <c r="CE137" i="6" s="1"/>
  <c r="BW137" i="6" a="1"/>
  <c r="BW137" i="6" s="1"/>
  <c r="BX137" i="6" a="1"/>
  <c r="BX137" i="6" s="1"/>
  <c r="BC137" i="6"/>
  <c r="BG137" i="6"/>
  <c r="CB137" i="6" a="1"/>
  <c r="CB137" i="6" s="1"/>
  <c r="CD137" i="6" a="1"/>
  <c r="CD137" i="6" s="1"/>
  <c r="BK137" i="6"/>
  <c r="BV137" i="6" a="1"/>
  <c r="BV137" i="6" s="1"/>
  <c r="BY137" i="6" a="1"/>
  <c r="BY137" i="6" s="1"/>
  <c r="BZ137" i="6" a="1"/>
  <c r="BZ137" i="6" s="1"/>
  <c r="AN137" i="6"/>
  <c r="BL137" i="6"/>
  <c r="AL137" i="6"/>
  <c r="CA137" i="6" a="1"/>
  <c r="CA137" i="6" s="1"/>
  <c r="BF137" i="6"/>
  <c r="BJ137" i="6"/>
  <c r="AQ137" i="6"/>
  <c r="AK137" i="6"/>
  <c r="AM137" i="6"/>
  <c r="AS137" i="6"/>
  <c r="AP137" i="6"/>
  <c r="AR137" i="6"/>
  <c r="AJ137" i="6"/>
  <c r="AO137" i="6"/>
  <c r="A147" i="12"/>
  <c r="K147" i="5"/>
  <c r="F147" i="5"/>
  <c r="H147" i="5"/>
  <c r="G147" i="5"/>
  <c r="W147" i="5" a="1"/>
  <c r="W147" i="5" s="1"/>
  <c r="H147" i="12" s="1" a="1"/>
  <c r="H147" i="12" s="1"/>
  <c r="E147" i="5"/>
  <c r="D147" i="5"/>
  <c r="B147" i="12" s="1"/>
  <c r="AE147" i="5" a="1"/>
  <c r="AE147" i="5" s="1"/>
  <c r="C148" i="5"/>
  <c r="AD147" i="5"/>
  <c r="B147" i="5"/>
  <c r="J147" i="5"/>
  <c r="N147" i="5"/>
  <c r="A139" i="6"/>
  <c r="CM77" i="6" l="1" a="1"/>
  <c r="CM77" i="6" s="1"/>
  <c r="BO77" i="6"/>
  <c r="CI77" i="6" a="1"/>
  <c r="CI77" i="6" s="1"/>
  <c r="CJ77" i="6" a="1"/>
  <c r="CJ77" i="6" s="1"/>
  <c r="BP77" i="6"/>
  <c r="AT77" i="6"/>
  <c r="CL77" i="6" a="1"/>
  <c r="CL77" i="6" s="1"/>
  <c r="BN77" i="6"/>
  <c r="BM77" i="6"/>
  <c r="CH77" i="6" a="1"/>
  <c r="CH77" i="6" s="1"/>
  <c r="BQ77" i="6"/>
  <c r="CK77" i="6" a="1"/>
  <c r="CK77" i="6" s="1"/>
  <c r="BT77" i="6"/>
  <c r="CG77" i="6" a="1"/>
  <c r="CG77" i="6" s="1"/>
  <c r="BS77" i="6"/>
  <c r="CF77" i="6" a="1"/>
  <c r="CF77" i="6" s="1"/>
  <c r="BR77" i="6"/>
  <c r="AV77" i="6"/>
  <c r="AW77" i="6"/>
  <c r="AX77" i="6"/>
  <c r="AY77" i="6"/>
  <c r="BA77" i="6"/>
  <c r="AZ77" i="6"/>
  <c r="AU77" i="6"/>
  <c r="U65" i="12"/>
  <c r="V65" i="12" a="1"/>
  <c r="V65" i="12" s="1"/>
  <c r="V60" i="12" a="1"/>
  <c r="V60" i="12" s="1"/>
  <c r="T60" i="12"/>
  <c r="V64" i="12" a="1"/>
  <c r="V64" i="12" s="1"/>
  <c r="U64" i="12"/>
  <c r="Y69" i="12"/>
  <c r="W69" i="12" s="1" a="1"/>
  <c r="W69" i="12" s="1"/>
  <c r="X75" i="5" a="1"/>
  <c r="X75" i="5" s="1"/>
  <c r="I72" i="12"/>
  <c r="L72" i="5"/>
  <c r="C72" i="6" s="1"/>
  <c r="Z72" i="5"/>
  <c r="AB72" i="5" s="1" a="1"/>
  <c r="AB72" i="5" s="1"/>
  <c r="AM72" i="5"/>
  <c r="I72" i="5"/>
  <c r="N69" i="12"/>
  <c r="X73" i="5" a="1"/>
  <c r="X73" i="5" s="1"/>
  <c r="C70" i="12"/>
  <c r="O70" i="12" a="1"/>
  <c r="O70" i="12" s="1"/>
  <c r="M70" i="12" a="1"/>
  <c r="M70" i="12" s="1"/>
  <c r="AO70" i="12" a="1"/>
  <c r="AO70" i="12" s="1"/>
  <c r="X74" i="5" a="1"/>
  <c r="X74" i="5" s="1"/>
  <c r="AR77" i="6"/>
  <c r="BK77" i="6"/>
  <c r="BW77" i="6" a="1"/>
  <c r="BW77" i="6" s="1"/>
  <c r="AP77" i="6"/>
  <c r="CC77" i="6" a="1"/>
  <c r="CC77" i="6" s="1"/>
  <c r="AL77" i="6"/>
  <c r="BH77" i="6"/>
  <c r="BF77" i="6"/>
  <c r="BY77" i="6" a="1"/>
  <c r="BY77" i="6" s="1"/>
  <c r="AK77" i="6"/>
  <c r="AJ77" i="6"/>
  <c r="BL77" i="6"/>
  <c r="AS77" i="6"/>
  <c r="CE77" i="6" a="1"/>
  <c r="CE77" i="6" s="1"/>
  <c r="BC77" i="6"/>
  <c r="BI77" i="6"/>
  <c r="CD77" i="6" a="1"/>
  <c r="CD77" i="6" s="1"/>
  <c r="CB77" i="6" a="1"/>
  <c r="CB77" i="6" s="1"/>
  <c r="BX77" i="6" a="1"/>
  <c r="BX77" i="6" s="1"/>
  <c r="AQ77" i="6"/>
  <c r="CA77" i="6" a="1"/>
  <c r="CA77" i="6" s="1"/>
  <c r="BG77" i="6"/>
  <c r="BE77" i="6"/>
  <c r="AO77" i="6"/>
  <c r="AM77" i="6"/>
  <c r="BD77" i="6"/>
  <c r="BZ77" i="6" a="1"/>
  <c r="BZ77" i="6" s="1"/>
  <c r="BV77" i="6" a="1"/>
  <c r="BV77" i="6" s="1"/>
  <c r="BJ77" i="6"/>
  <c r="AN77" i="6"/>
  <c r="M79" i="6"/>
  <c r="W67" i="12" a="1"/>
  <c r="W67" i="12" s="1"/>
  <c r="X67" i="12" a="1"/>
  <c r="X67" i="12" s="1"/>
  <c r="K146" i="12"/>
  <c r="D147" i="6"/>
  <c r="B148" i="6"/>
  <c r="L149" i="6"/>
  <c r="A140" i="6"/>
  <c r="J147" i="12" a="1"/>
  <c r="J147" i="12" s="1"/>
  <c r="L147" i="12" a="1"/>
  <c r="L147" i="12" s="1"/>
  <c r="A148" i="12"/>
  <c r="F148" i="5"/>
  <c r="N148" i="5"/>
  <c r="D148" i="6" s="1"/>
  <c r="H148" i="5"/>
  <c r="G148" i="5"/>
  <c r="W148" i="5" a="1"/>
  <c r="W148" i="5" s="1"/>
  <c r="H148" i="12" s="1" a="1"/>
  <c r="H148" i="12" s="1"/>
  <c r="E148" i="5"/>
  <c r="D148" i="5"/>
  <c r="B148" i="12" s="1"/>
  <c r="AE148" i="5" a="1"/>
  <c r="AE148" i="5" s="1"/>
  <c r="K148" i="5"/>
  <c r="J148" i="5"/>
  <c r="AD148" i="5"/>
  <c r="B148" i="5"/>
  <c r="C149" i="5"/>
  <c r="CM79" i="6" l="1" a="1"/>
  <c r="CM79" i="6" s="1"/>
  <c r="BQ79" i="6"/>
  <c r="CI79" i="6" a="1"/>
  <c r="CI79" i="6" s="1"/>
  <c r="BO79" i="6"/>
  <c r="BP79" i="6"/>
  <c r="BR79" i="6"/>
  <c r="CL79" i="6" a="1"/>
  <c r="CL79" i="6" s="1"/>
  <c r="BN79" i="6"/>
  <c r="AT79" i="6"/>
  <c r="CH79" i="6" a="1"/>
  <c r="CH79" i="6" s="1"/>
  <c r="BM79" i="6"/>
  <c r="CF79" i="6" a="1"/>
  <c r="CF79" i="6" s="1"/>
  <c r="CK79" i="6" a="1"/>
  <c r="CK79" i="6" s="1"/>
  <c r="BT79" i="6"/>
  <c r="CG79" i="6" a="1"/>
  <c r="CG79" i="6" s="1"/>
  <c r="BS79" i="6"/>
  <c r="CJ79" i="6" a="1"/>
  <c r="CJ79" i="6" s="1"/>
  <c r="AW79" i="6"/>
  <c r="AV79" i="6"/>
  <c r="AX79" i="6"/>
  <c r="AY79" i="6"/>
  <c r="AZ79" i="6"/>
  <c r="BA79" i="6"/>
  <c r="AU79" i="6"/>
  <c r="Y70" i="12"/>
  <c r="X70" i="12" s="1" a="1"/>
  <c r="X70" i="12" s="1"/>
  <c r="X69" i="12" a="1"/>
  <c r="X69" i="12" s="1"/>
  <c r="N70" i="12"/>
  <c r="V67" i="12" a="1"/>
  <c r="V67" i="12" s="1"/>
  <c r="U67" i="12"/>
  <c r="T67" i="12"/>
  <c r="Z74" i="5"/>
  <c r="AB74" i="5" s="1" a="1"/>
  <c r="AB74" i="5" s="1"/>
  <c r="I74" i="12"/>
  <c r="AM74" i="5"/>
  <c r="L74" i="5"/>
  <c r="C74" i="6" s="1"/>
  <c r="V69" i="12" a="1"/>
  <c r="V69" i="12" s="1"/>
  <c r="U69" i="12"/>
  <c r="T69" i="12"/>
  <c r="BC79" i="6"/>
  <c r="AL79" i="6"/>
  <c r="AP79" i="6"/>
  <c r="BF79" i="6"/>
  <c r="BI79" i="6"/>
  <c r="BW79" i="6" a="1"/>
  <c r="BW79" i="6" s="1"/>
  <c r="BZ79" i="6" a="1"/>
  <c r="BZ79" i="6" s="1"/>
  <c r="AS79" i="6"/>
  <c r="CB79" i="6" a="1"/>
  <c r="CB79" i="6" s="1"/>
  <c r="BX79" i="6" a="1"/>
  <c r="BX79" i="6" s="1"/>
  <c r="CC79" i="6" a="1"/>
  <c r="CC79" i="6" s="1"/>
  <c r="BE79" i="6"/>
  <c r="AM79" i="6"/>
  <c r="BJ79" i="6"/>
  <c r="BY79" i="6" a="1"/>
  <c r="BY79" i="6" s="1"/>
  <c r="BG79" i="6"/>
  <c r="AK79" i="6"/>
  <c r="CA79" i="6" a="1"/>
  <c r="CA79" i="6" s="1"/>
  <c r="AQ79" i="6"/>
  <c r="CD79" i="6" a="1"/>
  <c r="CD79" i="6" s="1"/>
  <c r="BL79" i="6"/>
  <c r="AR79" i="6"/>
  <c r="AN79" i="6"/>
  <c r="BD79" i="6"/>
  <c r="AJ79" i="6"/>
  <c r="BV79" i="6" a="1"/>
  <c r="BV79" i="6" s="1"/>
  <c r="BK79" i="6"/>
  <c r="AO79" i="6"/>
  <c r="BH79" i="6"/>
  <c r="CE79" i="6" a="1"/>
  <c r="CE79" i="6" s="1"/>
  <c r="M81" i="6"/>
  <c r="M82" i="6"/>
  <c r="M83" i="6"/>
  <c r="M80" i="6"/>
  <c r="X77" i="5" a="1"/>
  <c r="X77" i="5" s="1"/>
  <c r="I73" i="12"/>
  <c r="AM73" i="5"/>
  <c r="Z73" i="5"/>
  <c r="AB73" i="5" s="1" a="1"/>
  <c r="AB73" i="5" s="1"/>
  <c r="I73" i="5"/>
  <c r="I74" i="5" s="1"/>
  <c r="I75" i="5" s="1"/>
  <c r="L73" i="5"/>
  <c r="C73" i="6" s="1"/>
  <c r="C72" i="12"/>
  <c r="AO72" i="12" a="1"/>
  <c r="AO72" i="12" s="1"/>
  <c r="M72" i="12" a="1"/>
  <c r="M72" i="12" s="1"/>
  <c r="O72" i="12" a="1"/>
  <c r="O72" i="12" s="1"/>
  <c r="L75" i="5"/>
  <c r="C75" i="6" s="1"/>
  <c r="Z75" i="5"/>
  <c r="AB75" i="5" s="1" a="1"/>
  <c r="AB75" i="5" s="1"/>
  <c r="I75" i="12"/>
  <c r="AM75" i="5"/>
  <c r="K147" i="12"/>
  <c r="L148" i="12" a="1"/>
  <c r="L148" i="12" s="1"/>
  <c r="J148" i="12" a="1"/>
  <c r="J148" i="12" s="1"/>
  <c r="H148" i="6" a="1"/>
  <c r="H148" i="6" s="1"/>
  <c r="T148" i="5" s="1"/>
  <c r="G148" i="12" s="1" a="1"/>
  <c r="G148" i="12" s="1"/>
  <c r="H147" i="6" a="1"/>
  <c r="H147" i="6" s="1"/>
  <c r="A149" i="12"/>
  <c r="N149" i="5"/>
  <c r="D149" i="6" s="1"/>
  <c r="C150" i="5"/>
  <c r="AE149" i="5" a="1"/>
  <c r="AE149" i="5" s="1"/>
  <c r="W149" i="5" a="1"/>
  <c r="W149" i="5" s="1"/>
  <c r="H149" i="12" s="1" a="1"/>
  <c r="H149" i="12" s="1"/>
  <c r="H149" i="5"/>
  <c r="J149" i="5"/>
  <c r="G149" i="5"/>
  <c r="F149" i="5"/>
  <c r="E149" i="5"/>
  <c r="D149" i="5"/>
  <c r="B149" i="12" s="1"/>
  <c r="K149" i="5"/>
  <c r="AD149" i="5"/>
  <c r="B149" i="5"/>
  <c r="B149" i="6"/>
  <c r="L150" i="6"/>
  <c r="A141" i="6"/>
  <c r="CM83" i="6" l="1" a="1"/>
  <c r="CM83" i="6" s="1"/>
  <c r="BO83" i="6"/>
  <c r="CI83" i="6" a="1"/>
  <c r="CI83" i="6" s="1"/>
  <c r="BN83" i="6"/>
  <c r="CL83" i="6" a="1"/>
  <c r="CL83" i="6" s="1"/>
  <c r="BM83" i="6"/>
  <c r="CF83" i="6" a="1"/>
  <c r="CF83" i="6" s="1"/>
  <c r="CH83" i="6" a="1"/>
  <c r="CH83" i="6" s="1"/>
  <c r="BT83" i="6"/>
  <c r="CJ83" i="6" a="1"/>
  <c r="CJ83" i="6" s="1"/>
  <c r="BQ83" i="6"/>
  <c r="CK83" i="6" a="1"/>
  <c r="CK83" i="6" s="1"/>
  <c r="BS83" i="6"/>
  <c r="BP83" i="6"/>
  <c r="CG83" i="6" a="1"/>
  <c r="CG83" i="6" s="1"/>
  <c r="BR83" i="6"/>
  <c r="AY83" i="6"/>
  <c r="AX83" i="6"/>
  <c r="AZ83" i="6"/>
  <c r="BA83" i="6"/>
  <c r="AT83" i="6"/>
  <c r="AU83" i="6"/>
  <c r="AW83" i="6"/>
  <c r="AV83" i="6"/>
  <c r="CL80" i="6" a="1"/>
  <c r="CL80" i="6" s="1"/>
  <c r="BN80" i="6"/>
  <c r="CH80" i="6" a="1"/>
  <c r="CH80" i="6" s="1"/>
  <c r="BM80" i="6"/>
  <c r="CK80" i="6" a="1"/>
  <c r="CK80" i="6" s="1"/>
  <c r="BT80" i="6"/>
  <c r="CG80" i="6" a="1"/>
  <c r="CG80" i="6" s="1"/>
  <c r="BS80" i="6"/>
  <c r="CJ80" i="6" a="1"/>
  <c r="CJ80" i="6" s="1"/>
  <c r="BR80" i="6"/>
  <c r="BO80" i="6"/>
  <c r="BQ80" i="6"/>
  <c r="BP80" i="6"/>
  <c r="CI80" i="6" a="1"/>
  <c r="CI80" i="6" s="1"/>
  <c r="CM80" i="6" a="1"/>
  <c r="CM80" i="6" s="1"/>
  <c r="CF80" i="6" a="1"/>
  <c r="CF80" i="6" s="1"/>
  <c r="AU80" i="6"/>
  <c r="AV80" i="6"/>
  <c r="AT80" i="6"/>
  <c r="AY80" i="6"/>
  <c r="AW80" i="6"/>
  <c r="BA80" i="6"/>
  <c r="AX80" i="6"/>
  <c r="AZ80" i="6"/>
  <c r="CM82" i="6" a="1"/>
  <c r="CM82" i="6" s="1"/>
  <c r="BQ82" i="6"/>
  <c r="CI82" i="6" a="1"/>
  <c r="CI82" i="6" s="1"/>
  <c r="BO82" i="6"/>
  <c r="CL82" i="6" a="1"/>
  <c r="CL82" i="6" s="1"/>
  <c r="BN82" i="6"/>
  <c r="CH82" i="6" a="1"/>
  <c r="CH82" i="6" s="1"/>
  <c r="BM82" i="6"/>
  <c r="CK82" i="6" a="1"/>
  <c r="CK82" i="6" s="1"/>
  <c r="BT82" i="6"/>
  <c r="CG82" i="6" a="1"/>
  <c r="CG82" i="6" s="1"/>
  <c r="BS82" i="6"/>
  <c r="CJ82" i="6" a="1"/>
  <c r="CJ82" i="6" s="1"/>
  <c r="AV82" i="6"/>
  <c r="BP82" i="6"/>
  <c r="CF82" i="6" a="1"/>
  <c r="CF82" i="6" s="1"/>
  <c r="BR82" i="6"/>
  <c r="AX82" i="6"/>
  <c r="AY82" i="6"/>
  <c r="AZ82" i="6"/>
  <c r="AT82" i="6"/>
  <c r="BA82" i="6"/>
  <c r="AU82" i="6"/>
  <c r="AW82" i="6"/>
  <c r="CM81" i="6" a="1"/>
  <c r="CM81" i="6" s="1"/>
  <c r="BQ81" i="6"/>
  <c r="CI81" i="6" a="1"/>
  <c r="CI81" i="6" s="1"/>
  <c r="BO81" i="6"/>
  <c r="BS81" i="6"/>
  <c r="CL81" i="6" a="1"/>
  <c r="CL81" i="6" s="1"/>
  <c r="BN81" i="6"/>
  <c r="CH81" i="6" a="1"/>
  <c r="CH81" i="6" s="1"/>
  <c r="BM81" i="6"/>
  <c r="CK81" i="6" a="1"/>
  <c r="CK81" i="6" s="1"/>
  <c r="BT81" i="6"/>
  <c r="CG81" i="6" a="1"/>
  <c r="CG81" i="6" s="1"/>
  <c r="BR81" i="6"/>
  <c r="AT81" i="6"/>
  <c r="CJ81" i="6" a="1"/>
  <c r="CJ81" i="6" s="1"/>
  <c r="BP81" i="6"/>
  <c r="CF81" i="6" a="1"/>
  <c r="CF81" i="6" s="1"/>
  <c r="AV81" i="6"/>
  <c r="AX81" i="6"/>
  <c r="AU81" i="6"/>
  <c r="AW81" i="6"/>
  <c r="BA81" i="6"/>
  <c r="AY81" i="6"/>
  <c r="AZ81" i="6"/>
  <c r="W70" i="12" a="1"/>
  <c r="W70" i="12" s="1"/>
  <c r="V70" i="12" s="1" a="1"/>
  <c r="V70" i="12" s="1"/>
  <c r="Y72" i="12"/>
  <c r="X72" i="12" s="1" a="1"/>
  <c r="X72" i="12" s="1"/>
  <c r="AM77" i="5"/>
  <c r="Z77" i="5"/>
  <c r="AB77" i="5" s="1" a="1"/>
  <c r="AB77" i="5" s="1"/>
  <c r="L77" i="5"/>
  <c r="C77" i="6" s="1"/>
  <c r="I77" i="12"/>
  <c r="I77" i="5"/>
  <c r="O74" i="12" a="1"/>
  <c r="O74" i="12" s="1"/>
  <c r="C74" i="12"/>
  <c r="AO74" i="12" a="1"/>
  <c r="AO74" i="12" s="1"/>
  <c r="M74" i="12" a="1"/>
  <c r="M74" i="12" s="1"/>
  <c r="AO75" i="12" a="1"/>
  <c r="AO75" i="12" s="1"/>
  <c r="O75" i="12" a="1"/>
  <c r="O75" i="12" s="1"/>
  <c r="M75" i="12" a="1"/>
  <c r="M75" i="12" s="1"/>
  <c r="C75" i="12"/>
  <c r="BX80" i="6" a="1"/>
  <c r="BX80" i="6" s="1"/>
  <c r="BZ80" i="6" a="1"/>
  <c r="BZ80" i="6" s="1"/>
  <c r="BK80" i="6"/>
  <c r="AQ80" i="6"/>
  <c r="CB80" i="6" a="1"/>
  <c r="CB80" i="6" s="1"/>
  <c r="BI80" i="6"/>
  <c r="BL80" i="6"/>
  <c r="AJ80" i="6"/>
  <c r="BG80" i="6"/>
  <c r="AK80" i="6"/>
  <c r="CA80" i="6" a="1"/>
  <c r="CA80" i="6" s="1"/>
  <c r="AP80" i="6"/>
  <c r="BJ80" i="6"/>
  <c r="CD80" i="6" a="1"/>
  <c r="CD80" i="6" s="1"/>
  <c r="CE80" i="6" a="1"/>
  <c r="CE80" i="6" s="1"/>
  <c r="AO80" i="6"/>
  <c r="BV80" i="6" a="1"/>
  <c r="BV80" i="6" s="1"/>
  <c r="BY80" i="6" a="1"/>
  <c r="BY80" i="6" s="1"/>
  <c r="BH80" i="6"/>
  <c r="AR80" i="6"/>
  <c r="BF80" i="6"/>
  <c r="BD80" i="6"/>
  <c r="AM80" i="6"/>
  <c r="AS80" i="6"/>
  <c r="CC80" i="6" a="1"/>
  <c r="CC80" i="6" s="1"/>
  <c r="BE80" i="6"/>
  <c r="AL80" i="6"/>
  <c r="BW80" i="6" a="1"/>
  <c r="BW80" i="6" s="1"/>
  <c r="BC80" i="6"/>
  <c r="AN80" i="6"/>
  <c r="CE83" i="6" a="1"/>
  <c r="CE83" i="6" s="1"/>
  <c r="BC83" i="6"/>
  <c r="BJ83" i="6"/>
  <c r="AJ83" i="6"/>
  <c r="CD83" i="6" a="1"/>
  <c r="CD83" i="6" s="1"/>
  <c r="AN83" i="6"/>
  <c r="CB83" i="6" a="1"/>
  <c r="CB83" i="6" s="1"/>
  <c r="AL83" i="6"/>
  <c r="BE83" i="6"/>
  <c r="BH83" i="6"/>
  <c r="AR83" i="6"/>
  <c r="AO83" i="6"/>
  <c r="CA83" i="6" a="1"/>
  <c r="CA83" i="6" s="1"/>
  <c r="BW83" i="6" a="1"/>
  <c r="BW83" i="6" s="1"/>
  <c r="BD83" i="6"/>
  <c r="AP83" i="6"/>
  <c r="BV83" i="6" a="1"/>
  <c r="BV83" i="6" s="1"/>
  <c r="BF83" i="6"/>
  <c r="BZ83" i="6" a="1"/>
  <c r="BZ83" i="6" s="1"/>
  <c r="AM83" i="6"/>
  <c r="BI83" i="6"/>
  <c r="BL83" i="6"/>
  <c r="AQ83" i="6"/>
  <c r="BK83" i="6"/>
  <c r="BG83" i="6"/>
  <c r="AK83" i="6"/>
  <c r="BY83" i="6" a="1"/>
  <c r="BY83" i="6" s="1"/>
  <c r="CC83" i="6" a="1"/>
  <c r="CC83" i="6" s="1"/>
  <c r="BX83" i="6" a="1"/>
  <c r="BX83" i="6" s="1"/>
  <c r="AS83" i="6"/>
  <c r="M85" i="6"/>
  <c r="X79" i="5" a="1"/>
  <c r="X79" i="5" s="1"/>
  <c r="AM82" i="6"/>
  <c r="AK82" i="6"/>
  <c r="AQ82" i="6"/>
  <c r="AO82" i="6"/>
  <c r="BV82" i="6" a="1"/>
  <c r="BV82" i="6" s="1"/>
  <c r="BE82" i="6"/>
  <c r="BD82" i="6"/>
  <c r="AP82" i="6"/>
  <c r="CC82" i="6" a="1"/>
  <c r="CC82" i="6" s="1"/>
  <c r="BL82" i="6"/>
  <c r="CB82" i="6" a="1"/>
  <c r="CB82" i="6" s="1"/>
  <c r="BZ82" i="6" a="1"/>
  <c r="BZ82" i="6" s="1"/>
  <c r="BF82" i="6"/>
  <c r="AL82" i="6"/>
  <c r="AR82" i="6"/>
  <c r="AS82" i="6"/>
  <c r="CA82" i="6" a="1"/>
  <c r="CA82" i="6" s="1"/>
  <c r="BW82" i="6" a="1"/>
  <c r="BW82" i="6" s="1"/>
  <c r="BI82" i="6"/>
  <c r="BJ82" i="6"/>
  <c r="BY82" i="6" a="1"/>
  <c r="BY82" i="6" s="1"/>
  <c r="BX82" i="6" a="1"/>
  <c r="BX82" i="6" s="1"/>
  <c r="BG82" i="6"/>
  <c r="CE82" i="6" a="1"/>
  <c r="CE82" i="6" s="1"/>
  <c r="CD82" i="6" a="1"/>
  <c r="CD82" i="6" s="1"/>
  <c r="BC82" i="6"/>
  <c r="BH82" i="6"/>
  <c r="AJ82" i="6"/>
  <c r="AN82" i="6"/>
  <c r="BK82" i="6"/>
  <c r="BH81" i="6"/>
  <c r="CA81" i="6" a="1"/>
  <c r="CA81" i="6" s="1"/>
  <c r="BV81" i="6" a="1"/>
  <c r="BV81" i="6" s="1"/>
  <c r="CB81" i="6" a="1"/>
  <c r="CB81" i="6" s="1"/>
  <c r="BG81" i="6"/>
  <c r="BX81" i="6" a="1"/>
  <c r="BX81" i="6" s="1"/>
  <c r="BC81" i="6"/>
  <c r="AO81" i="6"/>
  <c r="AJ81" i="6"/>
  <c r="BZ81" i="6" a="1"/>
  <c r="BZ81" i="6" s="1"/>
  <c r="BI81" i="6"/>
  <c r="AQ81" i="6"/>
  <c r="AN81" i="6"/>
  <c r="CE81" i="6" a="1"/>
  <c r="CE81" i="6" s="1"/>
  <c r="AP81" i="6"/>
  <c r="AM81" i="6"/>
  <c r="BF81" i="6"/>
  <c r="AR81" i="6"/>
  <c r="BD81" i="6"/>
  <c r="BK81" i="6"/>
  <c r="AL81" i="6"/>
  <c r="CC81" i="6" a="1"/>
  <c r="CC81" i="6" s="1"/>
  <c r="BJ81" i="6"/>
  <c r="AS81" i="6"/>
  <c r="CD81" i="6" a="1"/>
  <c r="CD81" i="6" s="1"/>
  <c r="AK81" i="6"/>
  <c r="BY81" i="6" a="1"/>
  <c r="BY81" i="6" s="1"/>
  <c r="BL81" i="6"/>
  <c r="BW81" i="6" a="1"/>
  <c r="BW81" i="6" s="1"/>
  <c r="BE81" i="6"/>
  <c r="N72" i="12"/>
  <c r="M73" i="12" a="1"/>
  <c r="M73" i="12" s="1"/>
  <c r="C73" i="12"/>
  <c r="AO73" i="12" a="1"/>
  <c r="AO73" i="12" s="1"/>
  <c r="O73" i="12" a="1"/>
  <c r="O73" i="12" s="1"/>
  <c r="T147" i="5"/>
  <c r="G147" i="12" s="1" a="1"/>
  <c r="G147" i="12" s="1"/>
  <c r="K148" i="12"/>
  <c r="A150" i="12"/>
  <c r="C151" i="5"/>
  <c r="AE150" i="5" a="1"/>
  <c r="AE150" i="5" s="1"/>
  <c r="W150" i="5" a="1"/>
  <c r="W150" i="5" s="1"/>
  <c r="H150" i="12" s="1" a="1"/>
  <c r="H150" i="12" s="1"/>
  <c r="H150" i="5"/>
  <c r="K150" i="5"/>
  <c r="J150" i="5"/>
  <c r="G150" i="5"/>
  <c r="F150" i="5"/>
  <c r="N150" i="5"/>
  <c r="D150" i="6" s="1"/>
  <c r="E150" i="5"/>
  <c r="D150" i="5"/>
  <c r="B150" i="12" s="1"/>
  <c r="B150" i="5"/>
  <c r="AD150" i="5"/>
  <c r="H149" i="6" a="1"/>
  <c r="H149" i="6" s="1"/>
  <c r="T149" i="5" s="1"/>
  <c r="G149" i="12" s="1" a="1"/>
  <c r="G149" i="12" s="1"/>
  <c r="L149" i="12" a="1"/>
  <c r="L149" i="12" s="1"/>
  <c r="J149" i="12" a="1"/>
  <c r="J149" i="12" s="1"/>
  <c r="A142" i="6"/>
  <c r="B150" i="6"/>
  <c r="L151" i="6"/>
  <c r="BQ85" i="6" l="1"/>
  <c r="BP85" i="6"/>
  <c r="CF85" i="6" a="1"/>
  <c r="CF85" i="6" s="1"/>
  <c r="CM85" i="6" a="1"/>
  <c r="CM85" i="6" s="1"/>
  <c r="BO85" i="6"/>
  <c r="CI85" i="6" a="1"/>
  <c r="CI85" i="6" s="1"/>
  <c r="BN85" i="6"/>
  <c r="BR85" i="6"/>
  <c r="CL85" i="6" a="1"/>
  <c r="CL85" i="6" s="1"/>
  <c r="BM85" i="6"/>
  <c r="CH85" i="6" a="1"/>
  <c r="CH85" i="6" s="1"/>
  <c r="CJ85" i="6" a="1"/>
  <c r="CJ85" i="6" s="1"/>
  <c r="CK85" i="6" a="1"/>
  <c r="CK85" i="6" s="1"/>
  <c r="BT85" i="6"/>
  <c r="CG85" i="6" a="1"/>
  <c r="CG85" i="6" s="1"/>
  <c r="BS85" i="6"/>
  <c r="AY85" i="6"/>
  <c r="AX85" i="6"/>
  <c r="AW85" i="6"/>
  <c r="AZ85" i="6"/>
  <c r="BA85" i="6"/>
  <c r="AT85" i="6"/>
  <c r="AU85" i="6"/>
  <c r="AV85" i="6"/>
  <c r="T70" i="12"/>
  <c r="U70" i="12"/>
  <c r="Y74" i="12"/>
  <c r="X74" i="12" s="1" a="1"/>
  <c r="X74" i="12" s="1"/>
  <c r="W72" i="12" a="1"/>
  <c r="W72" i="12" s="1"/>
  <c r="V72" i="12" s="1" a="1"/>
  <c r="V72" i="12" s="1"/>
  <c r="X81" i="5" a="1"/>
  <c r="X81" i="5" s="1"/>
  <c r="L81" i="5" s="1"/>
  <c r="C81" i="6" s="1"/>
  <c r="Y73" i="12"/>
  <c r="W73" i="12" s="1" a="1"/>
  <c r="W73" i="12" s="1"/>
  <c r="N75" i="12"/>
  <c r="I79" i="12"/>
  <c r="I79" i="5"/>
  <c r="L79" i="5"/>
  <c r="C79" i="6" s="1"/>
  <c r="AM79" i="5"/>
  <c r="Z79" i="5"/>
  <c r="AB79" i="5" s="1" a="1"/>
  <c r="AB79" i="5" s="1"/>
  <c r="BX85" i="6" a="1"/>
  <c r="BX85" i="6" s="1"/>
  <c r="AJ85" i="6"/>
  <c r="BG85" i="6"/>
  <c r="AO85" i="6"/>
  <c r="BF85" i="6"/>
  <c r="BV85" i="6" a="1"/>
  <c r="BV85" i="6" s="1"/>
  <c r="BY85" i="6" a="1"/>
  <c r="BY85" i="6" s="1"/>
  <c r="AS85" i="6"/>
  <c r="BI85" i="6"/>
  <c r="AQ85" i="6"/>
  <c r="BZ85" i="6" a="1"/>
  <c r="BZ85" i="6" s="1"/>
  <c r="CC85" i="6" a="1"/>
  <c r="CC85" i="6" s="1"/>
  <c r="CA85" i="6" a="1"/>
  <c r="CA85" i="6" s="1"/>
  <c r="AL85" i="6"/>
  <c r="BH85" i="6"/>
  <c r="AN85" i="6"/>
  <c r="CD85" i="6" a="1"/>
  <c r="CD85" i="6" s="1"/>
  <c r="AK85" i="6"/>
  <c r="BW85" i="6" a="1"/>
  <c r="BW85" i="6" s="1"/>
  <c r="BJ85" i="6"/>
  <c r="BK85" i="6"/>
  <c r="AP85" i="6"/>
  <c r="BE85" i="6"/>
  <c r="CE85" i="6" a="1"/>
  <c r="CE85" i="6" s="1"/>
  <c r="CB85" i="6" a="1"/>
  <c r="CB85" i="6" s="1"/>
  <c r="AM85" i="6"/>
  <c r="BL85" i="6"/>
  <c r="BC85" i="6"/>
  <c r="BD85" i="6"/>
  <c r="AR85" i="6"/>
  <c r="M87" i="6"/>
  <c r="Y75" i="12"/>
  <c r="X82" i="5" a="1"/>
  <c r="X82" i="5" s="1"/>
  <c r="X83" i="5" a="1"/>
  <c r="X83" i="5" s="1"/>
  <c r="O77" i="12" a="1"/>
  <c r="O77" i="12" s="1"/>
  <c r="C77" i="12"/>
  <c r="M77" i="12" a="1"/>
  <c r="M77" i="12" s="1"/>
  <c r="AO77" i="12" a="1"/>
  <c r="AO77" i="12" s="1"/>
  <c r="N74" i="12"/>
  <c r="X80" i="5" a="1"/>
  <c r="X80" i="5" s="1"/>
  <c r="N73" i="12"/>
  <c r="H150" i="6" a="1"/>
  <c r="H150" i="6" s="1"/>
  <c r="T150" i="5" s="1"/>
  <c r="G150" i="12" s="1" a="1"/>
  <c r="G150" i="12" s="1"/>
  <c r="L152" i="6"/>
  <c r="B151" i="6"/>
  <c r="A151" i="12"/>
  <c r="J151" i="5"/>
  <c r="N151" i="5"/>
  <c r="D151" i="6" s="1"/>
  <c r="K151" i="5"/>
  <c r="H151" i="5"/>
  <c r="AE151" i="5" a="1"/>
  <c r="AE151" i="5" s="1"/>
  <c r="D151" i="5"/>
  <c r="B151" i="12" s="1"/>
  <c r="AD151" i="5"/>
  <c r="B151" i="5"/>
  <c r="C152" i="5" s="1"/>
  <c r="W151" i="5" a="1"/>
  <c r="W151" i="5" s="1"/>
  <c r="H151" i="12" s="1" a="1"/>
  <c r="H151" i="12" s="1"/>
  <c r="G151" i="5"/>
  <c r="F151" i="5"/>
  <c r="E151" i="5"/>
  <c r="A143" i="6"/>
  <c r="J150" i="12" a="1"/>
  <c r="J150" i="12" s="1"/>
  <c r="L150" i="12" a="1"/>
  <c r="L150" i="12" s="1"/>
  <c r="K149" i="12"/>
  <c r="CF87" i="6" l="1" a="1"/>
  <c r="CF87" i="6" s="1"/>
  <c r="CM87" i="6" a="1"/>
  <c r="CM87" i="6" s="1"/>
  <c r="BQ87" i="6"/>
  <c r="CI87" i="6" a="1"/>
  <c r="CI87" i="6" s="1"/>
  <c r="BO87" i="6"/>
  <c r="BR87" i="6"/>
  <c r="CJ87" i="6" a="1"/>
  <c r="CJ87" i="6" s="1"/>
  <c r="CL87" i="6" a="1"/>
  <c r="CL87" i="6" s="1"/>
  <c r="BN87" i="6"/>
  <c r="CH87" i="6" a="1"/>
  <c r="CH87" i="6" s="1"/>
  <c r="BM87" i="6"/>
  <c r="BP87" i="6"/>
  <c r="AV87" i="6"/>
  <c r="AX87" i="6"/>
  <c r="CK87" i="6" a="1"/>
  <c r="CK87" i="6" s="1"/>
  <c r="BT87" i="6"/>
  <c r="CG87" i="6" a="1"/>
  <c r="CG87" i="6" s="1"/>
  <c r="BS87" i="6"/>
  <c r="AU87" i="6"/>
  <c r="AY87" i="6"/>
  <c r="AT87" i="6"/>
  <c r="AZ87" i="6"/>
  <c r="AW87" i="6"/>
  <c r="BA87" i="6"/>
  <c r="T72" i="12"/>
  <c r="U72" i="12"/>
  <c r="W74" i="12" a="1"/>
  <c r="W74" i="12" s="1"/>
  <c r="V74" i="12" s="1" a="1"/>
  <c r="V74" i="12" s="1"/>
  <c r="Y77" i="12"/>
  <c r="X77" i="12" s="1" a="1"/>
  <c r="X77" i="12" s="1"/>
  <c r="X73" i="12" a="1"/>
  <c r="X73" i="12" s="1"/>
  <c r="I81" i="12"/>
  <c r="C81" i="12" s="1"/>
  <c r="Z81" i="5"/>
  <c r="AB81" i="5" s="1" a="1"/>
  <c r="AB81" i="5" s="1"/>
  <c r="AM81" i="5"/>
  <c r="N77" i="12"/>
  <c r="X85" i="5" a="1"/>
  <c r="X85" i="5" s="1"/>
  <c r="X75" i="12" a="1"/>
  <c r="X75" i="12" s="1"/>
  <c r="W75" i="12" a="1"/>
  <c r="W75" i="12" s="1"/>
  <c r="I83" i="12"/>
  <c r="AM83" i="5"/>
  <c r="L83" i="5"/>
  <c r="C83" i="6" s="1"/>
  <c r="Z83" i="5"/>
  <c r="AB83" i="5" s="1" a="1"/>
  <c r="AB83" i="5" s="1"/>
  <c r="BI87" i="6"/>
  <c r="BC87" i="6"/>
  <c r="BH87" i="6"/>
  <c r="AP87" i="6"/>
  <c r="BW87" i="6" a="1"/>
  <c r="BW87" i="6" s="1"/>
  <c r="AQ87" i="6"/>
  <c r="CB87" i="6" a="1"/>
  <c r="CB87" i="6" s="1"/>
  <c r="BY87" i="6" a="1"/>
  <c r="BY87" i="6" s="1"/>
  <c r="AJ87" i="6"/>
  <c r="BE87" i="6"/>
  <c r="AS87" i="6"/>
  <c r="BK87" i="6"/>
  <c r="AK87" i="6"/>
  <c r="BZ87" i="6" a="1"/>
  <c r="BZ87" i="6" s="1"/>
  <c r="BG87" i="6"/>
  <c r="BF87" i="6"/>
  <c r="CE87" i="6" a="1"/>
  <c r="CE87" i="6" s="1"/>
  <c r="BJ87" i="6"/>
  <c r="AO87" i="6"/>
  <c r="BV87" i="6" a="1"/>
  <c r="BV87" i="6" s="1"/>
  <c r="AL87" i="6"/>
  <c r="CA87" i="6" a="1"/>
  <c r="CA87" i="6" s="1"/>
  <c r="BL87" i="6"/>
  <c r="CC87" i="6" a="1"/>
  <c r="CC87" i="6" s="1"/>
  <c r="BD87" i="6"/>
  <c r="AM87" i="6"/>
  <c r="CD87" i="6" a="1"/>
  <c r="CD87" i="6" s="1"/>
  <c r="AR87" i="6"/>
  <c r="AN87" i="6"/>
  <c r="BX87" i="6" a="1"/>
  <c r="BX87" i="6" s="1"/>
  <c r="M90" i="6"/>
  <c r="M91" i="6"/>
  <c r="M92" i="6"/>
  <c r="M89" i="6"/>
  <c r="M88" i="6"/>
  <c r="O79" i="12" a="1"/>
  <c r="O79" i="12" s="1"/>
  <c r="C79" i="12"/>
  <c r="M79" i="12" a="1"/>
  <c r="M79" i="12" s="1"/>
  <c r="AO79" i="12" a="1"/>
  <c r="AO79" i="12" s="1"/>
  <c r="AM82" i="5"/>
  <c r="Z82" i="5"/>
  <c r="AB82" i="5" s="1" a="1"/>
  <c r="AB82" i="5" s="1"/>
  <c r="I82" i="12"/>
  <c r="L82" i="5"/>
  <c r="C82" i="6" s="1"/>
  <c r="L80" i="5"/>
  <c r="C80" i="6" s="1"/>
  <c r="Z80" i="5"/>
  <c r="AB80" i="5" s="1" a="1"/>
  <c r="AB80" i="5" s="1"/>
  <c r="AM80" i="5"/>
  <c r="I80" i="5"/>
  <c r="I81" i="5" s="1"/>
  <c r="I82" i="5" s="1"/>
  <c r="I83" i="5" s="1"/>
  <c r="I80" i="12"/>
  <c r="T73" i="12"/>
  <c r="V73" i="12" a="1"/>
  <c r="V73" i="12" s="1"/>
  <c r="U73" i="12"/>
  <c r="B152" i="6"/>
  <c r="L153" i="6"/>
  <c r="H151" i="6" a="1"/>
  <c r="H151" i="6" s="1"/>
  <c r="T151" i="5" s="1"/>
  <c r="G151" i="12" s="1" a="1"/>
  <c r="G151" i="12" s="1"/>
  <c r="K150" i="12"/>
  <c r="A152" i="12"/>
  <c r="E152" i="5"/>
  <c r="AD152" i="5"/>
  <c r="B152" i="5"/>
  <c r="C153" i="5"/>
  <c r="N152" i="5"/>
  <c r="W152" i="5" a="1"/>
  <c r="W152" i="5" s="1"/>
  <c r="H152" i="12" s="1" a="1"/>
  <c r="H152" i="12" s="1"/>
  <c r="F152" i="5"/>
  <c r="AE152" i="5" a="1"/>
  <c r="AE152" i="5" s="1"/>
  <c r="H152" i="5"/>
  <c r="G152" i="5"/>
  <c r="AF152" i="5" a="1"/>
  <c r="AF152" i="5" s="1"/>
  <c r="A144" i="6"/>
  <c r="J151" i="12" a="1"/>
  <c r="J151" i="12" s="1"/>
  <c r="L151" i="12" a="1"/>
  <c r="L151" i="12" s="1"/>
  <c r="CF89" i="6" l="1" a="1"/>
  <c r="CF89" i="6" s="1"/>
  <c r="CM89" i="6" a="1"/>
  <c r="CM89" i="6" s="1"/>
  <c r="BQ89" i="6"/>
  <c r="CI89" i="6" a="1"/>
  <c r="CI89" i="6" s="1"/>
  <c r="BO89" i="6"/>
  <c r="BS89" i="6"/>
  <c r="CL89" i="6" a="1"/>
  <c r="CL89" i="6" s="1"/>
  <c r="BN89" i="6"/>
  <c r="CH89" i="6" a="1"/>
  <c r="CH89" i="6" s="1"/>
  <c r="BM89" i="6"/>
  <c r="CK89" i="6" a="1"/>
  <c r="CK89" i="6" s="1"/>
  <c r="BT89" i="6"/>
  <c r="CG89" i="6" a="1"/>
  <c r="CG89" i="6" s="1"/>
  <c r="BR89" i="6"/>
  <c r="AY89" i="6"/>
  <c r="CJ89" i="6" a="1"/>
  <c r="CJ89" i="6" s="1"/>
  <c r="BP89" i="6"/>
  <c r="AX89" i="6"/>
  <c r="AZ89" i="6"/>
  <c r="BA89" i="6"/>
  <c r="AW89" i="6"/>
  <c r="AT89" i="6"/>
  <c r="AU89" i="6"/>
  <c r="AV89" i="6"/>
  <c r="CG92" i="6" a="1"/>
  <c r="CG92" i="6" s="1"/>
  <c r="BP92" i="6"/>
  <c r="CJ92" i="6" a="1"/>
  <c r="CJ92" i="6" s="1"/>
  <c r="BR92" i="6"/>
  <c r="BS92" i="6"/>
  <c r="CF92" i="6" a="1"/>
  <c r="CF92" i="6" s="1"/>
  <c r="CM92" i="6" a="1"/>
  <c r="CM92" i="6" s="1"/>
  <c r="BQ92" i="6"/>
  <c r="CI92" i="6" a="1"/>
  <c r="CI92" i="6" s="1"/>
  <c r="BO92" i="6"/>
  <c r="CL92" i="6" a="1"/>
  <c r="CL92" i="6" s="1"/>
  <c r="BN92" i="6"/>
  <c r="CK92" i="6" a="1"/>
  <c r="CK92" i="6" s="1"/>
  <c r="CH92" i="6" a="1"/>
  <c r="CH92" i="6" s="1"/>
  <c r="BM92" i="6"/>
  <c r="BT92" i="6"/>
  <c r="AY92" i="6"/>
  <c r="AX92" i="6"/>
  <c r="AW92" i="6"/>
  <c r="AZ92" i="6"/>
  <c r="AV92" i="6"/>
  <c r="BA92" i="6"/>
  <c r="AT92" i="6"/>
  <c r="AU92" i="6"/>
  <c r="CM91" i="6" a="1"/>
  <c r="CM91" i="6" s="1"/>
  <c r="CF91" i="6" a="1"/>
  <c r="CF91" i="6" s="1"/>
  <c r="CI91" i="6" a="1"/>
  <c r="CI91" i="6" s="1"/>
  <c r="BO91" i="6"/>
  <c r="CL91" i="6" a="1"/>
  <c r="CL91" i="6" s="1"/>
  <c r="BN91" i="6"/>
  <c r="CH91" i="6" a="1"/>
  <c r="CH91" i="6" s="1"/>
  <c r="BM91" i="6"/>
  <c r="CK91" i="6" a="1"/>
  <c r="CK91" i="6" s="1"/>
  <c r="BT91" i="6"/>
  <c r="CG91" i="6" a="1"/>
  <c r="CG91" i="6" s="1"/>
  <c r="BS91" i="6"/>
  <c r="CJ91" i="6" a="1"/>
  <c r="CJ91" i="6" s="1"/>
  <c r="BR91" i="6"/>
  <c r="BQ91" i="6"/>
  <c r="BP91" i="6"/>
  <c r="AV91" i="6"/>
  <c r="AW91" i="6"/>
  <c r="AX91" i="6"/>
  <c r="AY91" i="6"/>
  <c r="AZ91" i="6"/>
  <c r="BA91" i="6"/>
  <c r="AU91" i="6"/>
  <c r="AT91" i="6"/>
  <c r="BQ90" i="6"/>
  <c r="CM90" i="6" a="1"/>
  <c r="CM90" i="6" s="1"/>
  <c r="CJ90" i="6" a="1"/>
  <c r="CJ90" i="6" s="1"/>
  <c r="BP90" i="6"/>
  <c r="BM90" i="6"/>
  <c r="BR90" i="6"/>
  <c r="CI90" i="6" a="1"/>
  <c r="CI90" i="6" s="1"/>
  <c r="BO90" i="6"/>
  <c r="CL90" i="6" a="1"/>
  <c r="CL90" i="6" s="1"/>
  <c r="BN90" i="6"/>
  <c r="CH90" i="6" a="1"/>
  <c r="CH90" i="6" s="1"/>
  <c r="CK90" i="6" a="1"/>
  <c r="CK90" i="6" s="1"/>
  <c r="BT90" i="6"/>
  <c r="CF90" i="6" a="1"/>
  <c r="CF90" i="6" s="1"/>
  <c r="CG90" i="6" a="1"/>
  <c r="CG90" i="6" s="1"/>
  <c r="BS90" i="6"/>
  <c r="AX90" i="6"/>
  <c r="AZ90" i="6"/>
  <c r="AT90" i="6"/>
  <c r="AU90" i="6"/>
  <c r="AV90" i="6"/>
  <c r="BA90" i="6"/>
  <c r="AW90" i="6"/>
  <c r="AY90" i="6"/>
  <c r="CG88" i="6" a="1"/>
  <c r="CG88" i="6" s="1"/>
  <c r="BS88" i="6"/>
  <c r="CJ88" i="6" a="1"/>
  <c r="CJ88" i="6" s="1"/>
  <c r="BR88" i="6"/>
  <c r="BQ88" i="6"/>
  <c r="BP88" i="6"/>
  <c r="AZ88" i="6"/>
  <c r="CM88" i="6" a="1"/>
  <c r="CM88" i="6" s="1"/>
  <c r="BO88" i="6"/>
  <c r="CI88" i="6" a="1"/>
  <c r="CI88" i="6" s="1"/>
  <c r="BN88" i="6"/>
  <c r="CL88" i="6" a="1"/>
  <c r="CL88" i="6" s="1"/>
  <c r="CF88" i="6" a="1"/>
  <c r="CF88" i="6" s="1"/>
  <c r="BT88" i="6"/>
  <c r="CH88" i="6" a="1"/>
  <c r="CH88" i="6" s="1"/>
  <c r="BM88" i="6"/>
  <c r="CK88" i="6" a="1"/>
  <c r="CK88" i="6" s="1"/>
  <c r="AX88" i="6"/>
  <c r="BA88" i="6"/>
  <c r="AY88" i="6"/>
  <c r="AT88" i="6"/>
  <c r="AW88" i="6"/>
  <c r="AU88" i="6"/>
  <c r="AV88" i="6"/>
  <c r="M81" i="12" a="1"/>
  <c r="M81" i="12" s="1"/>
  <c r="AO81" i="12" a="1"/>
  <c r="AO81" i="12" s="1"/>
  <c r="O81" i="12" a="1"/>
  <c r="O81" i="12" s="1"/>
  <c r="T74" i="12"/>
  <c r="U74" i="12"/>
  <c r="W77" i="12" a="1"/>
  <c r="W77" i="12" s="1"/>
  <c r="V77" i="12" s="1" a="1"/>
  <c r="V77" i="12" s="1"/>
  <c r="Y79" i="12"/>
  <c r="X79" i="12" s="1" a="1"/>
  <c r="X79" i="12" s="1"/>
  <c r="N79" i="12"/>
  <c r="C80" i="12"/>
  <c r="O80" i="12" a="1"/>
  <c r="O80" i="12" s="1"/>
  <c r="M80" i="12" a="1"/>
  <c r="M80" i="12" s="1"/>
  <c r="AO80" i="12" a="1"/>
  <c r="AO80" i="12" s="1"/>
  <c r="O83" i="12" a="1"/>
  <c r="O83" i="12" s="1"/>
  <c r="M83" i="12" a="1"/>
  <c r="M83" i="12" s="1"/>
  <c r="AO83" i="12" a="1"/>
  <c r="AO83" i="12" s="1"/>
  <c r="C83" i="12"/>
  <c r="BF88" i="6"/>
  <c r="BD88" i="6"/>
  <c r="BK88" i="6"/>
  <c r="BZ88" i="6" a="1"/>
  <c r="BZ88" i="6" s="1"/>
  <c r="BG88" i="6"/>
  <c r="CE88" i="6" a="1"/>
  <c r="CE88" i="6" s="1"/>
  <c r="CD88" i="6" a="1"/>
  <c r="CD88" i="6" s="1"/>
  <c r="AK88" i="6"/>
  <c r="BY88" i="6" a="1"/>
  <c r="BY88" i="6" s="1"/>
  <c r="BX88" i="6" a="1"/>
  <c r="BX88" i="6" s="1"/>
  <c r="BV88" i="6" a="1"/>
  <c r="BV88" i="6" s="1"/>
  <c r="BI88" i="6"/>
  <c r="CC88" i="6" a="1"/>
  <c r="CC88" i="6" s="1"/>
  <c r="CB88" i="6" a="1"/>
  <c r="CB88" i="6" s="1"/>
  <c r="BL88" i="6"/>
  <c r="AP88" i="6"/>
  <c r="AQ88" i="6"/>
  <c r="BC88" i="6"/>
  <c r="BW88" i="6" a="1"/>
  <c r="BW88" i="6" s="1"/>
  <c r="AN88" i="6"/>
  <c r="BJ88" i="6"/>
  <c r="AR88" i="6"/>
  <c r="AM88" i="6"/>
  <c r="BE88" i="6"/>
  <c r="CA88" i="6" a="1"/>
  <c r="CA88" i="6" s="1"/>
  <c r="AL88" i="6"/>
  <c r="AO88" i="6"/>
  <c r="AS88" i="6"/>
  <c r="AJ88" i="6"/>
  <c r="BH88" i="6"/>
  <c r="U75" i="12"/>
  <c r="T75" i="12"/>
  <c r="V75" i="12" a="1"/>
  <c r="V75" i="12" s="1"/>
  <c r="BY89" i="6" a="1"/>
  <c r="BY89" i="6" s="1"/>
  <c r="BX89" i="6" a="1"/>
  <c r="BX89" i="6" s="1"/>
  <c r="BL89" i="6"/>
  <c r="BG89" i="6"/>
  <c r="AP89" i="6"/>
  <c r="BE89" i="6"/>
  <c r="CA89" i="6" a="1"/>
  <c r="CA89" i="6" s="1"/>
  <c r="BV89" i="6" a="1"/>
  <c r="BV89" i="6" s="1"/>
  <c r="CE89" i="6" a="1"/>
  <c r="CE89" i="6" s="1"/>
  <c r="AQ89" i="6"/>
  <c r="BD89" i="6"/>
  <c r="AK89" i="6"/>
  <c r="AO89" i="6"/>
  <c r="BK89" i="6"/>
  <c r="BH89" i="6"/>
  <c r="BJ89" i="6"/>
  <c r="BF89" i="6"/>
  <c r="AM89" i="6"/>
  <c r="AN89" i="6"/>
  <c r="CC89" i="6" a="1"/>
  <c r="CC89" i="6" s="1"/>
  <c r="AJ89" i="6"/>
  <c r="BW89" i="6" a="1"/>
  <c r="BW89" i="6" s="1"/>
  <c r="CB89" i="6" a="1"/>
  <c r="CB89" i="6" s="1"/>
  <c r="BC89" i="6"/>
  <c r="BI89" i="6"/>
  <c r="BZ89" i="6" a="1"/>
  <c r="BZ89" i="6" s="1"/>
  <c r="AR89" i="6"/>
  <c r="CD89" i="6" a="1"/>
  <c r="CD89" i="6" s="1"/>
  <c r="AS89" i="6"/>
  <c r="AL89" i="6"/>
  <c r="BD92" i="6"/>
  <c r="CB92" i="6" a="1"/>
  <c r="CB92" i="6" s="1"/>
  <c r="BK92" i="6"/>
  <c r="BV92" i="6" a="1"/>
  <c r="BV92" i="6" s="1"/>
  <c r="AS92" i="6"/>
  <c r="BY92" i="6" a="1"/>
  <c r="BY92" i="6" s="1"/>
  <c r="BI92" i="6"/>
  <c r="BZ92" i="6" a="1"/>
  <c r="BZ92" i="6" s="1"/>
  <c r="BL92" i="6"/>
  <c r="BW92" i="6" a="1"/>
  <c r="BW92" i="6" s="1"/>
  <c r="CD92" i="6" a="1"/>
  <c r="CD92" i="6" s="1"/>
  <c r="AL92" i="6"/>
  <c r="BH92" i="6"/>
  <c r="AO92" i="6"/>
  <c r="BF92" i="6"/>
  <c r="CE92" i="6" a="1"/>
  <c r="CE92" i="6" s="1"/>
  <c r="BX92" i="6" a="1"/>
  <c r="BX92" i="6" s="1"/>
  <c r="BG92" i="6"/>
  <c r="BE92" i="6"/>
  <c r="AM92" i="6"/>
  <c r="CC92" i="6" a="1"/>
  <c r="CC92" i="6" s="1"/>
  <c r="BJ92" i="6"/>
  <c r="BC92" i="6"/>
  <c r="AR92" i="6"/>
  <c r="AQ92" i="6"/>
  <c r="AP92" i="6"/>
  <c r="AK92" i="6"/>
  <c r="AN92" i="6"/>
  <c r="CA92" i="6" a="1"/>
  <c r="CA92" i="6" s="1"/>
  <c r="AJ92" i="6"/>
  <c r="M94" i="6"/>
  <c r="X87" i="5" a="1"/>
  <c r="X87" i="5" s="1"/>
  <c r="I85" i="12"/>
  <c r="Z85" i="5"/>
  <c r="AB85" i="5" s="1" a="1"/>
  <c r="AB85" i="5" s="1"/>
  <c r="L85" i="5"/>
  <c r="C85" i="6" s="1"/>
  <c r="AM85" i="5"/>
  <c r="I85" i="5"/>
  <c r="BD91" i="6"/>
  <c r="CE91" i="6" a="1"/>
  <c r="CE91" i="6" s="1"/>
  <c r="BE91" i="6"/>
  <c r="AJ91" i="6"/>
  <c r="BW91" i="6" a="1"/>
  <c r="BW91" i="6" s="1"/>
  <c r="AS91" i="6"/>
  <c r="AP91" i="6"/>
  <c r="BG91" i="6"/>
  <c r="BK91" i="6"/>
  <c r="CB91" i="6" a="1"/>
  <c r="CB91" i="6" s="1"/>
  <c r="AN91" i="6"/>
  <c r="BV91" i="6" a="1"/>
  <c r="BV91" i="6" s="1"/>
  <c r="AO91" i="6"/>
  <c r="BC91" i="6"/>
  <c r="BF91" i="6"/>
  <c r="AK91" i="6"/>
  <c r="AM91" i="6"/>
  <c r="BZ91" i="6" a="1"/>
  <c r="BZ91" i="6" s="1"/>
  <c r="CD91" i="6" a="1"/>
  <c r="CD91" i="6" s="1"/>
  <c r="AL91" i="6"/>
  <c r="BY91" i="6" a="1"/>
  <c r="BY91" i="6" s="1"/>
  <c r="BI91" i="6"/>
  <c r="CC91" i="6" a="1"/>
  <c r="CC91" i="6" s="1"/>
  <c r="AQ91" i="6"/>
  <c r="BX91" i="6" a="1"/>
  <c r="BX91" i="6" s="1"/>
  <c r="CA91" i="6" a="1"/>
  <c r="CA91" i="6" s="1"/>
  <c r="BJ91" i="6"/>
  <c r="BL91" i="6"/>
  <c r="AR91" i="6"/>
  <c r="BH91" i="6"/>
  <c r="C82" i="12"/>
  <c r="AO82" i="12" a="1"/>
  <c r="AO82" i="12" s="1"/>
  <c r="O82" i="12" a="1"/>
  <c r="O82" i="12" s="1"/>
  <c r="M82" i="12" a="1"/>
  <c r="M82" i="12" s="1"/>
  <c r="AJ90" i="6"/>
  <c r="CB90" i="6" a="1"/>
  <c r="CB90" i="6" s="1"/>
  <c r="BE90" i="6"/>
  <c r="BG90" i="6"/>
  <c r="BW90" i="6" a="1"/>
  <c r="BW90" i="6" s="1"/>
  <c r="BC90" i="6"/>
  <c r="BY90" i="6" a="1"/>
  <c r="BY90" i="6" s="1"/>
  <c r="AM90" i="6"/>
  <c r="BZ90" i="6" a="1"/>
  <c r="BZ90" i="6" s="1"/>
  <c r="AS90" i="6"/>
  <c r="CE90" i="6" a="1"/>
  <c r="CE90" i="6" s="1"/>
  <c r="CC90" i="6" a="1"/>
  <c r="CC90" i="6" s="1"/>
  <c r="CA90" i="6" a="1"/>
  <c r="CA90" i="6" s="1"/>
  <c r="AR90" i="6"/>
  <c r="AL90" i="6"/>
  <c r="BJ90" i="6"/>
  <c r="BX90" i="6" a="1"/>
  <c r="BX90" i="6" s="1"/>
  <c r="BL90" i="6"/>
  <c r="BH90" i="6"/>
  <c r="AN90" i="6"/>
  <c r="BD90" i="6"/>
  <c r="BF90" i="6"/>
  <c r="AQ90" i="6"/>
  <c r="AO90" i="6"/>
  <c r="BV90" i="6" a="1"/>
  <c r="BV90" i="6" s="1"/>
  <c r="BK90" i="6"/>
  <c r="CD90" i="6" a="1"/>
  <c r="CD90" i="6" s="1"/>
  <c r="AP90" i="6"/>
  <c r="BI90" i="6"/>
  <c r="AK90" i="6"/>
  <c r="K151" i="12"/>
  <c r="F152" i="12" a="1"/>
  <c r="F152" i="12" s="1"/>
  <c r="AG152" i="5" a="1"/>
  <c r="AG152" i="5" s="1"/>
  <c r="A145" i="6"/>
  <c r="A153" i="12"/>
  <c r="E153" i="5"/>
  <c r="D153" i="5"/>
  <c r="B153" i="12" s="1"/>
  <c r="AE153" i="5" a="1"/>
  <c r="AE153" i="5" s="1"/>
  <c r="AD153" i="5"/>
  <c r="B153" i="5"/>
  <c r="C154" i="5"/>
  <c r="N153" i="5"/>
  <c r="D153" i="6" s="1"/>
  <c r="H153" i="5"/>
  <c r="G153" i="5"/>
  <c r="W153" i="5" a="1"/>
  <c r="W153" i="5" s="1"/>
  <c r="H153" i="12" s="1" a="1"/>
  <c r="H153" i="12" s="1"/>
  <c r="F153" i="5"/>
  <c r="K153" i="5"/>
  <c r="J153" i="5"/>
  <c r="D152" i="6"/>
  <c r="B153" i="6"/>
  <c r="L154" i="6"/>
  <c r="J152" i="6" a="1"/>
  <c r="J152" i="6" s="1"/>
  <c r="CH94" i="6" l="1" a="1"/>
  <c r="CH94" i="6" s="1"/>
  <c r="BM94" i="6"/>
  <c r="CK94" i="6" a="1"/>
  <c r="CK94" i="6" s="1"/>
  <c r="BT94" i="6"/>
  <c r="CG94" i="6" a="1"/>
  <c r="CG94" i="6" s="1"/>
  <c r="BS94" i="6"/>
  <c r="CJ94" i="6" a="1"/>
  <c r="CJ94" i="6" s="1"/>
  <c r="BR94" i="6"/>
  <c r="CF94" i="6" a="1"/>
  <c r="CF94" i="6" s="1"/>
  <c r="BP94" i="6"/>
  <c r="CM94" i="6" a="1"/>
  <c r="CM94" i="6" s="1"/>
  <c r="BQ94" i="6"/>
  <c r="CI94" i="6" a="1"/>
  <c r="CI94" i="6" s="1"/>
  <c r="BO94" i="6"/>
  <c r="CL94" i="6" a="1"/>
  <c r="CL94" i="6" s="1"/>
  <c r="BN94" i="6"/>
  <c r="AT94" i="6"/>
  <c r="AU94" i="6"/>
  <c r="AV94" i="6"/>
  <c r="AW94" i="6"/>
  <c r="AY94" i="6"/>
  <c r="AX94" i="6"/>
  <c r="AZ94" i="6"/>
  <c r="BA94" i="6"/>
  <c r="N81" i="12"/>
  <c r="T77" i="12"/>
  <c r="Y81" i="12"/>
  <c r="X81" i="12" s="1" a="1"/>
  <c r="X81" i="12" s="1"/>
  <c r="U77" i="12"/>
  <c r="N82" i="12"/>
  <c r="W79" i="12" a="1"/>
  <c r="W79" i="12" s="1"/>
  <c r="V79" i="12" s="1" a="1"/>
  <c r="V79" i="12" s="1"/>
  <c r="Y80" i="12"/>
  <c r="W80" i="12" s="1" a="1"/>
  <c r="W80" i="12" s="1"/>
  <c r="Y83" i="12"/>
  <c r="W83" i="12" s="1" a="1"/>
  <c r="W83" i="12" s="1"/>
  <c r="N83" i="12"/>
  <c r="Y82" i="12"/>
  <c r="W82" i="12" s="1" a="1"/>
  <c r="W82" i="12" s="1"/>
  <c r="X92" i="5" a="1"/>
  <c r="X92" i="5" s="1"/>
  <c r="I92" i="12" s="1"/>
  <c r="X88" i="5" a="1"/>
  <c r="X88" i="5" s="1"/>
  <c r="L88" i="5" s="1"/>
  <c r="C88" i="6" s="1"/>
  <c r="X91" i="5" a="1"/>
  <c r="X91" i="5" s="1"/>
  <c r="X90" i="5" a="1"/>
  <c r="X90" i="5" s="1"/>
  <c r="C85" i="12"/>
  <c r="O85" i="12" a="1"/>
  <c r="O85" i="12" s="1"/>
  <c r="M85" i="12" a="1"/>
  <c r="M85" i="12" s="1"/>
  <c r="AO85" i="12" a="1"/>
  <c r="AO85" i="12" s="1"/>
  <c r="AM87" i="5"/>
  <c r="I87" i="12"/>
  <c r="L87" i="5"/>
  <c r="C87" i="6" s="1"/>
  <c r="Z87" i="5"/>
  <c r="AB87" i="5" s="1" a="1"/>
  <c r="AB87" i="5" s="1"/>
  <c r="I87" i="5"/>
  <c r="N80" i="12"/>
  <c r="CD94" i="6" a="1"/>
  <c r="CD94" i="6" s="1"/>
  <c r="AL94" i="6"/>
  <c r="CC94" i="6" a="1"/>
  <c r="CC94" i="6" s="1"/>
  <c r="AO94" i="6"/>
  <c r="BF94" i="6"/>
  <c r="BX94" i="6" a="1"/>
  <c r="BX94" i="6" s="1"/>
  <c r="CB94" i="6" a="1"/>
  <c r="CB94" i="6" s="1"/>
  <c r="BY94" i="6" a="1"/>
  <c r="BY94" i="6" s="1"/>
  <c r="AN94" i="6"/>
  <c r="CA94" i="6" a="1"/>
  <c r="CA94" i="6" s="1"/>
  <c r="BC94" i="6"/>
  <c r="AR94" i="6"/>
  <c r="AM94" i="6"/>
  <c r="BL94" i="6"/>
  <c r="BZ94" i="6" a="1"/>
  <c r="BZ94" i="6" s="1"/>
  <c r="AP94" i="6"/>
  <c r="BG94" i="6"/>
  <c r="BW94" i="6" a="1"/>
  <c r="BW94" i="6" s="1"/>
  <c r="AK94" i="6"/>
  <c r="BE94" i="6"/>
  <c r="BD94" i="6"/>
  <c r="BI94" i="6"/>
  <c r="BJ94" i="6"/>
  <c r="AS94" i="6"/>
  <c r="AQ94" i="6"/>
  <c r="BV94" i="6" a="1"/>
  <c r="BV94" i="6" s="1"/>
  <c r="BK94" i="6"/>
  <c r="CE94" i="6" a="1"/>
  <c r="CE94" i="6" s="1"/>
  <c r="AJ94" i="6"/>
  <c r="BH94" i="6"/>
  <c r="M95" i="6"/>
  <c r="X89" i="5" a="1"/>
  <c r="X89" i="5" s="1"/>
  <c r="H153" i="6" a="1"/>
  <c r="H153" i="6" s="1"/>
  <c r="T153" i="5" s="1"/>
  <c r="G153" i="12" s="1" a="1"/>
  <c r="G153" i="12" s="1"/>
  <c r="B154" i="6"/>
  <c r="L155" i="6"/>
  <c r="L153" i="12" a="1"/>
  <c r="L153" i="12" s="1"/>
  <c r="J153" i="12" a="1"/>
  <c r="J153" i="12" s="1"/>
  <c r="A146" i="6"/>
  <c r="E152" i="12"/>
  <c r="F152" i="6"/>
  <c r="A154" i="12"/>
  <c r="AD154" i="5"/>
  <c r="G154" i="5"/>
  <c r="F154" i="5"/>
  <c r="W154" i="5" a="1"/>
  <c r="W154" i="5" s="1"/>
  <c r="H154" i="12" s="1" a="1"/>
  <c r="H154" i="12" s="1"/>
  <c r="E154" i="5"/>
  <c r="D154" i="5"/>
  <c r="B154" i="12" s="1"/>
  <c r="AE154" i="5" a="1"/>
  <c r="AE154" i="5" s="1"/>
  <c r="B154" i="5"/>
  <c r="C155" i="5"/>
  <c r="J154" i="5"/>
  <c r="H154" i="5"/>
  <c r="N154" i="5"/>
  <c r="K154" i="5"/>
  <c r="H152" i="6" a="1"/>
  <c r="H152" i="6" s="1"/>
  <c r="T152" i="5" s="1"/>
  <c r="G152" i="12" s="1" a="1"/>
  <c r="G152" i="12" s="1"/>
  <c r="G152" i="6"/>
  <c r="CJ95" i="6" l="1" a="1"/>
  <c r="CJ95" i="6" s="1"/>
  <c r="BP95" i="6"/>
  <c r="CH95" i="6" a="1"/>
  <c r="CH95" i="6" s="1"/>
  <c r="CF95" i="6" a="1"/>
  <c r="CF95" i="6" s="1"/>
  <c r="CM95" i="6" a="1"/>
  <c r="CM95" i="6" s="1"/>
  <c r="BQ95" i="6"/>
  <c r="CI95" i="6" a="1"/>
  <c r="CI95" i="6" s="1"/>
  <c r="BO95" i="6"/>
  <c r="BM95" i="6"/>
  <c r="CL95" i="6" a="1"/>
  <c r="CL95" i="6" s="1"/>
  <c r="BN95" i="6"/>
  <c r="BR95" i="6"/>
  <c r="CK95" i="6" a="1"/>
  <c r="CK95" i="6" s="1"/>
  <c r="BT95" i="6"/>
  <c r="CG95" i="6" a="1"/>
  <c r="CG95" i="6" s="1"/>
  <c r="BS95" i="6"/>
  <c r="AX95" i="6"/>
  <c r="AY95" i="6"/>
  <c r="AZ95" i="6"/>
  <c r="BA95" i="6"/>
  <c r="AT95" i="6"/>
  <c r="AW95" i="6"/>
  <c r="AU95" i="6"/>
  <c r="AV95" i="6"/>
  <c r="X80" i="12" a="1"/>
  <c r="X80" i="12" s="1"/>
  <c r="W81" i="12" a="1"/>
  <c r="W81" i="12" s="1"/>
  <c r="T81" i="12" s="1"/>
  <c r="T79" i="12"/>
  <c r="U79" i="12"/>
  <c r="X82" i="12" a="1"/>
  <c r="X82" i="12" s="1"/>
  <c r="L92" i="5"/>
  <c r="C92" i="6" s="1"/>
  <c r="Z92" i="5"/>
  <c r="AB92" i="5" s="1" a="1"/>
  <c r="AB92" i="5" s="1"/>
  <c r="Z88" i="5"/>
  <c r="AB88" i="5" s="1" a="1"/>
  <c r="AB88" i="5" s="1"/>
  <c r="AM88" i="5"/>
  <c r="I88" i="5"/>
  <c r="I89" i="5" s="1"/>
  <c r="I90" i="5" s="1"/>
  <c r="I91" i="5" s="1"/>
  <c r="I92" i="5" s="1"/>
  <c r="I88" i="12"/>
  <c r="C88" i="12" s="1"/>
  <c r="X83" i="12" a="1"/>
  <c r="X83" i="12" s="1"/>
  <c r="AM92" i="5"/>
  <c r="N85" i="12"/>
  <c r="X94" i="5" a="1"/>
  <c r="X94" i="5" s="1"/>
  <c r="L94" i="5" s="1"/>
  <c r="C94" i="6" s="1"/>
  <c r="I91" i="12"/>
  <c r="L91" i="5"/>
  <c r="C91" i="6" s="1"/>
  <c r="AM91" i="5"/>
  <c r="Z91" i="5"/>
  <c r="AB91" i="5" s="1" a="1"/>
  <c r="AB91" i="5" s="1"/>
  <c r="O92" i="12" a="1"/>
  <c r="O92" i="12" s="1"/>
  <c r="AO92" i="12" a="1"/>
  <c r="AO92" i="12" s="1"/>
  <c r="M92" i="12" a="1"/>
  <c r="M92" i="12" s="1"/>
  <c r="C92" i="12"/>
  <c r="C87" i="12"/>
  <c r="M87" i="12" a="1"/>
  <c r="M87" i="12" s="1"/>
  <c r="AO87" i="12" a="1"/>
  <c r="AO87" i="12" s="1"/>
  <c r="O87" i="12" a="1"/>
  <c r="O87" i="12" s="1"/>
  <c r="U83" i="12"/>
  <c r="V83" i="12" a="1"/>
  <c r="V83" i="12" s="1"/>
  <c r="T83" i="12"/>
  <c r="U80" i="12"/>
  <c r="V80" i="12" a="1"/>
  <c r="V80" i="12" s="1"/>
  <c r="T80" i="12"/>
  <c r="I89" i="12"/>
  <c r="L89" i="5"/>
  <c r="C89" i="6" s="1"/>
  <c r="Z89" i="5"/>
  <c r="AB89" i="5" s="1" a="1"/>
  <c r="AB89" i="5" s="1"/>
  <c r="AM89" i="5"/>
  <c r="U82" i="12"/>
  <c r="T82" i="12"/>
  <c r="V82" i="12" a="1"/>
  <c r="V82" i="12" s="1"/>
  <c r="Y85" i="12"/>
  <c r="BK95" i="6"/>
  <c r="BE95" i="6"/>
  <c r="CB95" i="6" a="1"/>
  <c r="CB95" i="6" s="1"/>
  <c r="AQ95" i="6"/>
  <c r="BV95" i="6" a="1"/>
  <c r="BV95" i="6" s="1"/>
  <c r="BC95" i="6"/>
  <c r="CD95" i="6" a="1"/>
  <c r="CD95" i="6" s="1"/>
  <c r="AR95" i="6"/>
  <c r="AL95" i="6"/>
  <c r="CE95" i="6" a="1"/>
  <c r="CE95" i="6" s="1"/>
  <c r="AM95" i="6"/>
  <c r="AP95" i="6"/>
  <c r="CA95" i="6" a="1"/>
  <c r="CA95" i="6" s="1"/>
  <c r="BJ95" i="6"/>
  <c r="BL95" i="6"/>
  <c r="BH95" i="6"/>
  <c r="AJ95" i="6"/>
  <c r="BY95" i="6" a="1"/>
  <c r="BY95" i="6" s="1"/>
  <c r="BZ95" i="6" a="1"/>
  <c r="BZ95" i="6" s="1"/>
  <c r="BG95" i="6"/>
  <c r="BX95" i="6" a="1"/>
  <c r="BX95" i="6" s="1"/>
  <c r="BD95" i="6"/>
  <c r="AK95" i="6"/>
  <c r="BW95" i="6" a="1"/>
  <c r="BW95" i="6" s="1"/>
  <c r="AO95" i="6"/>
  <c r="BF95" i="6"/>
  <c r="CC95" i="6" a="1"/>
  <c r="CC95" i="6" s="1"/>
  <c r="AN95" i="6"/>
  <c r="AS95" i="6"/>
  <c r="BI95" i="6"/>
  <c r="M97" i="6"/>
  <c r="I90" i="12"/>
  <c r="AM90" i="5"/>
  <c r="L90" i="5"/>
  <c r="C90" i="6" s="1"/>
  <c r="Z90" i="5"/>
  <c r="AB90" i="5" s="1" a="1"/>
  <c r="AB90" i="5" s="1"/>
  <c r="K153" i="12"/>
  <c r="A147" i="6"/>
  <c r="D154" i="6"/>
  <c r="A155" i="12"/>
  <c r="AD155" i="5"/>
  <c r="G155" i="5"/>
  <c r="B155" i="5"/>
  <c r="H155" i="5"/>
  <c r="F155" i="5"/>
  <c r="W155" i="5" a="1"/>
  <c r="W155" i="5" s="1"/>
  <c r="H155" i="12" s="1" a="1"/>
  <c r="H155" i="12" s="1"/>
  <c r="E155" i="5"/>
  <c r="D155" i="5"/>
  <c r="B155" i="12" s="1"/>
  <c r="AE155" i="5" a="1"/>
  <c r="AE155" i="5" s="1"/>
  <c r="K155" i="5"/>
  <c r="J155" i="5"/>
  <c r="N155" i="5"/>
  <c r="D155" i="6" s="1"/>
  <c r="C156" i="5"/>
  <c r="J154" i="12" a="1"/>
  <c r="J154" i="12" s="1"/>
  <c r="L154" i="12" a="1"/>
  <c r="L154" i="12" s="1"/>
  <c r="L156" i="6"/>
  <c r="L157" i="6" s="1"/>
  <c r="B155" i="6"/>
  <c r="CG97" i="6" l="1" a="1"/>
  <c r="CG97" i="6" s="1"/>
  <c r="BR97" i="6"/>
  <c r="CJ97" i="6" a="1"/>
  <c r="CJ97" i="6" s="1"/>
  <c r="BP97" i="6"/>
  <c r="CF97" i="6" a="1"/>
  <c r="CF97" i="6" s="1"/>
  <c r="CM97" i="6" a="1"/>
  <c r="CM97" i="6" s="1"/>
  <c r="BQ97" i="6"/>
  <c r="CI97" i="6" a="1"/>
  <c r="CI97" i="6" s="1"/>
  <c r="BO97" i="6"/>
  <c r="CK97" i="6" a="1"/>
  <c r="CK97" i="6" s="1"/>
  <c r="CL97" i="6" a="1"/>
  <c r="CL97" i="6" s="1"/>
  <c r="BN97" i="6"/>
  <c r="BT97" i="6"/>
  <c r="CH97" i="6" a="1"/>
  <c r="CH97" i="6" s="1"/>
  <c r="BM97" i="6"/>
  <c r="BS97" i="6"/>
  <c r="AZ97" i="6"/>
  <c r="BA97" i="6"/>
  <c r="AT97" i="6"/>
  <c r="AU97" i="6"/>
  <c r="AY97" i="6"/>
  <c r="AW97" i="6"/>
  <c r="AV97" i="6"/>
  <c r="AX97" i="6"/>
  <c r="V81" i="12" a="1"/>
  <c r="V81" i="12" s="1"/>
  <c r="U81" i="12"/>
  <c r="M88" i="12" a="1"/>
  <c r="M88" i="12" s="1"/>
  <c r="AO88" i="12" a="1"/>
  <c r="AO88" i="12" s="1"/>
  <c r="O88" i="12" a="1"/>
  <c r="O88" i="12" s="1"/>
  <c r="Y87" i="12"/>
  <c r="X87" i="12" s="1" a="1"/>
  <c r="X87" i="12" s="1"/>
  <c r="C157" i="5"/>
  <c r="Z94" i="5"/>
  <c r="AB94" i="5" s="1" a="1"/>
  <c r="AB94" i="5" s="1"/>
  <c r="AM94" i="5"/>
  <c r="I94" i="12"/>
  <c r="C94" i="12" s="1"/>
  <c r="Y92" i="12"/>
  <c r="X92" i="12" s="1" a="1"/>
  <c r="X92" i="12" s="1"/>
  <c r="I94" i="5"/>
  <c r="CD97" i="6" a="1"/>
  <c r="CD97" i="6" s="1"/>
  <c r="BZ97" i="6" a="1"/>
  <c r="BZ97" i="6" s="1"/>
  <c r="BK97" i="6"/>
  <c r="AO97" i="6"/>
  <c r="CA97" i="6" a="1"/>
  <c r="CA97" i="6" s="1"/>
  <c r="CB97" i="6" a="1"/>
  <c r="CB97" i="6" s="1"/>
  <c r="CE97" i="6" a="1"/>
  <c r="CE97" i="6" s="1"/>
  <c r="BH97" i="6"/>
  <c r="AJ97" i="6"/>
  <c r="BY97" i="6" a="1"/>
  <c r="BY97" i="6" s="1"/>
  <c r="AL97" i="6"/>
  <c r="BE97" i="6"/>
  <c r="BC97" i="6"/>
  <c r="BF97" i="6"/>
  <c r="BG97" i="6"/>
  <c r="AM97" i="6"/>
  <c r="AK97" i="6"/>
  <c r="AR97" i="6"/>
  <c r="BX97" i="6" a="1"/>
  <c r="BX97" i="6" s="1"/>
  <c r="AP97" i="6"/>
  <c r="BD97" i="6"/>
  <c r="AS97" i="6"/>
  <c r="BI97" i="6"/>
  <c r="CC97" i="6" a="1"/>
  <c r="CC97" i="6" s="1"/>
  <c r="BL97" i="6"/>
  <c r="BJ97" i="6"/>
  <c r="AN97" i="6"/>
  <c r="BV97" i="6" a="1"/>
  <c r="BV97" i="6" s="1"/>
  <c r="BW97" i="6" a="1"/>
  <c r="BW97" i="6" s="1"/>
  <c r="AQ97" i="6"/>
  <c r="M100" i="6"/>
  <c r="M98" i="6"/>
  <c r="M99" i="6"/>
  <c r="N92" i="12"/>
  <c r="X95" i="5" a="1"/>
  <c r="X95" i="5" s="1"/>
  <c r="N87" i="12"/>
  <c r="C91" i="12"/>
  <c r="M91" i="12" a="1"/>
  <c r="M91" i="12" s="1"/>
  <c r="O91" i="12" a="1"/>
  <c r="O91" i="12" s="1"/>
  <c r="AO91" i="12" a="1"/>
  <c r="AO91" i="12" s="1"/>
  <c r="O90" i="12" a="1"/>
  <c r="O90" i="12" s="1"/>
  <c r="M90" i="12" a="1"/>
  <c r="M90" i="12" s="1"/>
  <c r="AO90" i="12" a="1"/>
  <c r="AO90" i="12" s="1"/>
  <c r="C90" i="12"/>
  <c r="W85" i="12" a="1"/>
  <c r="W85" i="12" s="1"/>
  <c r="X85" i="12" a="1"/>
  <c r="X85" i="12" s="1"/>
  <c r="C89" i="12"/>
  <c r="AO89" i="12" a="1"/>
  <c r="AO89" i="12" s="1"/>
  <c r="M89" i="12" a="1"/>
  <c r="M89" i="12" s="1"/>
  <c r="O89" i="12" a="1"/>
  <c r="O89" i="12" s="1"/>
  <c r="K154" i="12"/>
  <c r="A148" i="6"/>
  <c r="H154" i="6" a="1"/>
  <c r="H154" i="6" s="1"/>
  <c r="J155" i="12" a="1"/>
  <c r="J155" i="12" s="1"/>
  <c r="L155" i="12" a="1"/>
  <c r="L155" i="12" s="1"/>
  <c r="H155" i="6" a="1"/>
  <c r="H155" i="6" s="1"/>
  <c r="T155" i="5" s="1"/>
  <c r="G155" i="12" s="1" a="1"/>
  <c r="G155" i="12" s="1"/>
  <c r="A156" i="12"/>
  <c r="B156" i="5"/>
  <c r="K156" i="5"/>
  <c r="J156" i="5"/>
  <c r="H156" i="5"/>
  <c r="G156" i="5"/>
  <c r="W156" i="5" a="1"/>
  <c r="W156" i="5" s="1"/>
  <c r="H156" i="12" s="1" a="1"/>
  <c r="H156" i="12" s="1"/>
  <c r="F156" i="5"/>
  <c r="E156" i="5"/>
  <c r="N156" i="5"/>
  <c r="D156" i="6" s="1"/>
  <c r="AD156" i="5"/>
  <c r="D156" i="5"/>
  <c r="B156" i="12" s="1"/>
  <c r="AE156" i="5" a="1"/>
  <c r="AE156" i="5" s="1"/>
  <c r="B156" i="6"/>
  <c r="L158" i="6"/>
  <c r="CF99" i="6" l="1" a="1"/>
  <c r="CF99" i="6" s="1"/>
  <c r="BO99" i="6"/>
  <c r="CK99" i="6" a="1"/>
  <c r="CK99" i="6" s="1"/>
  <c r="BN99" i="6"/>
  <c r="CH99" i="6" a="1"/>
  <c r="CH99" i="6" s="1"/>
  <c r="BS99" i="6"/>
  <c r="AY99" i="6"/>
  <c r="CJ99" i="6" a="1"/>
  <c r="CJ99" i="6" s="1"/>
  <c r="CL99" i="6" a="1"/>
  <c r="CL99" i="6" s="1"/>
  <c r="CI99" i="6" a="1"/>
  <c r="CI99" i="6" s="1"/>
  <c r="BM99" i="6"/>
  <c r="CM99" i="6" a="1"/>
  <c r="CM99" i="6" s="1"/>
  <c r="BT99" i="6"/>
  <c r="CG99" i="6" a="1"/>
  <c r="CG99" i="6" s="1"/>
  <c r="BR99" i="6"/>
  <c r="BQ99" i="6"/>
  <c r="BP99" i="6"/>
  <c r="AW99" i="6"/>
  <c r="AX99" i="6"/>
  <c r="AT99" i="6"/>
  <c r="AV99" i="6"/>
  <c r="AZ99" i="6"/>
  <c r="BA99" i="6"/>
  <c r="AU99" i="6"/>
  <c r="CK98" i="6" a="1"/>
  <c r="CK98" i="6" s="1"/>
  <c r="BT98" i="6"/>
  <c r="CG98" i="6" a="1"/>
  <c r="CG98" i="6" s="1"/>
  <c r="BS98" i="6"/>
  <c r="CF98" i="6" a="1"/>
  <c r="CF98" i="6" s="1"/>
  <c r="BR98" i="6"/>
  <c r="CJ98" i="6" a="1"/>
  <c r="CJ98" i="6" s="1"/>
  <c r="CM98" i="6" a="1"/>
  <c r="CM98" i="6" s="1"/>
  <c r="BQ98" i="6"/>
  <c r="CI98" i="6" a="1"/>
  <c r="CI98" i="6" s="1"/>
  <c r="BO98" i="6"/>
  <c r="CL98" i="6" a="1"/>
  <c r="CL98" i="6" s="1"/>
  <c r="BN98" i="6"/>
  <c r="BP98" i="6"/>
  <c r="CH98" i="6" a="1"/>
  <c r="CH98" i="6" s="1"/>
  <c r="BM98" i="6"/>
  <c r="BA98" i="6"/>
  <c r="AT98" i="6"/>
  <c r="AU98" i="6"/>
  <c r="AX98" i="6"/>
  <c r="AY98" i="6"/>
  <c r="AV98" i="6"/>
  <c r="AW98" i="6"/>
  <c r="AZ98" i="6"/>
  <c r="CK100" i="6" a="1"/>
  <c r="CK100" i="6" s="1"/>
  <c r="CI100" i="6" a="1"/>
  <c r="CI100" i="6" s="1"/>
  <c r="BS100" i="6"/>
  <c r="BN100" i="6"/>
  <c r="BT100" i="6"/>
  <c r="CF100" i="6" a="1"/>
  <c r="CF100" i="6" s="1"/>
  <c r="BP100" i="6"/>
  <c r="AY100" i="6"/>
  <c r="CL100" i="6" a="1"/>
  <c r="CL100" i="6" s="1"/>
  <c r="BQ100" i="6"/>
  <c r="BO100" i="6"/>
  <c r="BR100" i="6"/>
  <c r="CJ100" i="6" a="1"/>
  <c r="CJ100" i="6" s="1"/>
  <c r="CH100" i="6" a="1"/>
  <c r="CH100" i="6" s="1"/>
  <c r="CM100" i="6" a="1"/>
  <c r="CM100" i="6" s="1"/>
  <c r="BM100" i="6"/>
  <c r="CG100" i="6" a="1"/>
  <c r="CG100" i="6" s="1"/>
  <c r="BA100" i="6"/>
  <c r="AU100" i="6"/>
  <c r="AZ100" i="6"/>
  <c r="AT100" i="6"/>
  <c r="AW100" i="6"/>
  <c r="AX100" i="6"/>
  <c r="AV100" i="6"/>
  <c r="B157" i="6"/>
  <c r="W157" i="5" a="1"/>
  <c r="W157" i="5" s="1"/>
  <c r="H157" i="12" s="1" a="1"/>
  <c r="H157" i="12" s="1"/>
  <c r="A157" i="12"/>
  <c r="J157" i="12" s="1" a="1"/>
  <c r="J157" i="12" s="1"/>
  <c r="F157" i="5"/>
  <c r="H157" i="5"/>
  <c r="C158" i="5"/>
  <c r="B157" i="5"/>
  <c r="J157" i="5"/>
  <c r="AD157" i="5"/>
  <c r="AE157" i="5" a="1"/>
  <c r="AE157" i="5" s="1"/>
  <c r="E157" i="5"/>
  <c r="K157" i="5"/>
  <c r="N157" i="5"/>
  <c r="D157" i="6" s="1"/>
  <c r="D157" i="5"/>
  <c r="B157" i="12" s="1"/>
  <c r="G157" i="5"/>
  <c r="N88" i="12"/>
  <c r="W87" i="12" a="1"/>
  <c r="W87" i="12" s="1"/>
  <c r="U87" i="12" s="1"/>
  <c r="Y88" i="12"/>
  <c r="W88" i="12" s="1" a="1"/>
  <c r="W88" i="12" s="1"/>
  <c r="Y90" i="12"/>
  <c r="W90" i="12" s="1" a="1"/>
  <c r="W90" i="12" s="1"/>
  <c r="W92" i="12" a="1"/>
  <c r="W92" i="12" s="1"/>
  <c r="U92" i="12" s="1"/>
  <c r="O94" i="12" a="1"/>
  <c r="O94" i="12" s="1"/>
  <c r="M94" i="12" a="1"/>
  <c r="M94" i="12" s="1"/>
  <c r="N89" i="12"/>
  <c r="AO94" i="12" a="1"/>
  <c r="AO94" i="12" s="1"/>
  <c r="N91" i="12"/>
  <c r="V85" i="12" a="1"/>
  <c r="V85" i="12" s="1"/>
  <c r="U85" i="12"/>
  <c r="T85" i="12"/>
  <c r="BX99" i="6" a="1"/>
  <c r="BX99" i="6" s="1"/>
  <c r="BL99" i="6"/>
  <c r="AS99" i="6"/>
  <c r="BI99" i="6"/>
  <c r="AK99" i="6"/>
  <c r="BJ99" i="6"/>
  <c r="CC99" i="6" a="1"/>
  <c r="CC99" i="6" s="1"/>
  <c r="BW99" i="6" a="1"/>
  <c r="BW99" i="6" s="1"/>
  <c r="BE99" i="6"/>
  <c r="BD99" i="6"/>
  <c r="AP99" i="6"/>
  <c r="BZ99" i="6" a="1"/>
  <c r="BZ99" i="6" s="1"/>
  <c r="BV99" i="6" a="1"/>
  <c r="BV99" i="6" s="1"/>
  <c r="BC99" i="6"/>
  <c r="AJ99" i="6"/>
  <c r="CD99" i="6" a="1"/>
  <c r="CD99" i="6" s="1"/>
  <c r="AM99" i="6"/>
  <c r="BH99" i="6"/>
  <c r="CE99" i="6" a="1"/>
  <c r="CE99" i="6" s="1"/>
  <c r="BG99" i="6"/>
  <c r="AL99" i="6"/>
  <c r="CA99" i="6" a="1"/>
  <c r="CA99" i="6" s="1"/>
  <c r="AR99" i="6"/>
  <c r="BK99" i="6"/>
  <c r="AO99" i="6"/>
  <c r="BF99" i="6"/>
  <c r="AN99" i="6"/>
  <c r="CB99" i="6" a="1"/>
  <c r="CB99" i="6" s="1"/>
  <c r="AQ99" i="6"/>
  <c r="BY99" i="6" a="1"/>
  <c r="BY99" i="6" s="1"/>
  <c r="X97" i="5" a="1"/>
  <c r="X97" i="5" s="1"/>
  <c r="BC98" i="6"/>
  <c r="BY98" i="6" a="1"/>
  <c r="BY98" i="6" s="1"/>
  <c r="AM98" i="6"/>
  <c r="AJ98" i="6"/>
  <c r="AO98" i="6"/>
  <c r="AP98" i="6"/>
  <c r="BI98" i="6"/>
  <c r="AK98" i="6"/>
  <c r="CA98" i="6" a="1"/>
  <c r="CA98" i="6" s="1"/>
  <c r="CB98" i="6" a="1"/>
  <c r="CB98" i="6" s="1"/>
  <c r="BF98" i="6"/>
  <c r="AR98" i="6"/>
  <c r="BL98" i="6"/>
  <c r="BZ98" i="6" a="1"/>
  <c r="BZ98" i="6" s="1"/>
  <c r="CD98" i="6" a="1"/>
  <c r="CD98" i="6" s="1"/>
  <c r="CE98" i="6" a="1"/>
  <c r="CE98" i="6" s="1"/>
  <c r="CC98" i="6" a="1"/>
  <c r="CC98" i="6" s="1"/>
  <c r="AL98" i="6"/>
  <c r="BD98" i="6"/>
  <c r="BK98" i="6"/>
  <c r="BW98" i="6" a="1"/>
  <c r="BW98" i="6" s="1"/>
  <c r="AS98" i="6"/>
  <c r="BV98" i="6" a="1"/>
  <c r="BV98" i="6" s="1"/>
  <c r="AN98" i="6"/>
  <c r="BJ98" i="6"/>
  <c r="AQ98" i="6"/>
  <c r="BE98" i="6"/>
  <c r="BX98" i="6" a="1"/>
  <c r="BX98" i="6" s="1"/>
  <c r="BG98" i="6"/>
  <c r="BH98" i="6"/>
  <c r="I95" i="12"/>
  <c r="I95" i="5"/>
  <c r="L95" i="5"/>
  <c r="C95" i="6" s="1"/>
  <c r="AM95" i="5"/>
  <c r="Z95" i="5"/>
  <c r="AB95" i="5" s="1" a="1"/>
  <c r="AB95" i="5" s="1"/>
  <c r="BH100" i="6"/>
  <c r="AP100" i="6"/>
  <c r="AO100" i="6"/>
  <c r="BE100" i="6"/>
  <c r="AS100" i="6"/>
  <c r="BX100" i="6" a="1"/>
  <c r="BX100" i="6" s="1"/>
  <c r="AJ100" i="6"/>
  <c r="AM100" i="6"/>
  <c r="AR100" i="6"/>
  <c r="BV100" i="6" a="1"/>
  <c r="BV100" i="6" s="1"/>
  <c r="CD100" i="6" a="1"/>
  <c r="CD100" i="6" s="1"/>
  <c r="BG100" i="6"/>
  <c r="AL100" i="6"/>
  <c r="AQ100" i="6"/>
  <c r="BF100" i="6"/>
  <c r="BL100" i="6"/>
  <c r="CA100" i="6" a="1"/>
  <c r="CA100" i="6" s="1"/>
  <c r="AN100" i="6"/>
  <c r="AK100" i="6"/>
  <c r="CB100" i="6" a="1"/>
  <c r="CB100" i="6" s="1"/>
  <c r="BC100" i="6"/>
  <c r="BK100" i="6"/>
  <c r="BW100" i="6" a="1"/>
  <c r="BW100" i="6" s="1"/>
  <c r="BD100" i="6"/>
  <c r="BI100" i="6"/>
  <c r="CE100" i="6" a="1"/>
  <c r="CE100" i="6" s="1"/>
  <c r="BZ100" i="6" a="1"/>
  <c r="BZ100" i="6" s="1"/>
  <c r="BY100" i="6" a="1"/>
  <c r="BY100" i="6" s="1"/>
  <c r="CC100" i="6" a="1"/>
  <c r="CC100" i="6" s="1"/>
  <c r="BJ100" i="6"/>
  <c r="M102" i="6"/>
  <c r="N90" i="12"/>
  <c r="Y89" i="12"/>
  <c r="Y91" i="12"/>
  <c r="T154" i="5"/>
  <c r="G154" i="12" s="1" a="1"/>
  <c r="G154" i="12" s="1"/>
  <c r="K155" i="12"/>
  <c r="H156" i="6" a="1"/>
  <c r="H156" i="6" s="1"/>
  <c r="T156" i="5" s="1"/>
  <c r="G156" i="12" s="1" a="1"/>
  <c r="G156" i="12" s="1"/>
  <c r="A149" i="6"/>
  <c r="L159" i="6"/>
  <c r="L156" i="12" a="1"/>
  <c r="L156" i="12" s="1"/>
  <c r="J156" i="12" a="1"/>
  <c r="J156" i="12" s="1"/>
  <c r="CL102" i="6" l="1" a="1"/>
  <c r="CL102" i="6" s="1"/>
  <c r="BQ102" i="6"/>
  <c r="BS102" i="6"/>
  <c r="CH102" i="6" a="1"/>
  <c r="CH102" i="6" s="1"/>
  <c r="BO102" i="6"/>
  <c r="CF102" i="6" a="1"/>
  <c r="CF102" i="6" s="1"/>
  <c r="CK102" i="6" a="1"/>
  <c r="CK102" i="6" s="1"/>
  <c r="BN102" i="6"/>
  <c r="CG102" i="6" a="1"/>
  <c r="CG102" i="6" s="1"/>
  <c r="BM102" i="6"/>
  <c r="CJ102" i="6" a="1"/>
  <c r="CJ102" i="6" s="1"/>
  <c r="BT102" i="6"/>
  <c r="CI102" i="6" a="1"/>
  <c r="CI102" i="6" s="1"/>
  <c r="BR102" i="6"/>
  <c r="CM102" i="6" a="1"/>
  <c r="CM102" i="6" s="1"/>
  <c r="BP102" i="6"/>
  <c r="AV102" i="6"/>
  <c r="AW102" i="6"/>
  <c r="AX102" i="6"/>
  <c r="AZ102" i="6"/>
  <c r="BA102" i="6"/>
  <c r="AY102" i="6"/>
  <c r="AU102" i="6"/>
  <c r="AT102" i="6"/>
  <c r="H157" i="6" a="1"/>
  <c r="H157" i="6" s="1"/>
  <c r="T157" i="5" s="1"/>
  <c r="G157" i="12" s="1" a="1"/>
  <c r="G157" i="12" s="1"/>
  <c r="A158" i="12"/>
  <c r="J158" i="12" s="1" a="1"/>
  <c r="J158" i="12" s="1"/>
  <c r="L157" i="12" a="1"/>
  <c r="L157" i="12" s="1"/>
  <c r="K157" i="12" s="1"/>
  <c r="N158" i="5"/>
  <c r="D158" i="6" s="1"/>
  <c r="D158" i="5"/>
  <c r="B158" i="12" s="1"/>
  <c r="AE158" i="5" a="1"/>
  <c r="AE158" i="5" s="1"/>
  <c r="C159" i="5"/>
  <c r="B158" i="5"/>
  <c r="B158" i="6"/>
  <c r="H158" i="5"/>
  <c r="E158" i="5"/>
  <c r="AD158" i="5"/>
  <c r="J158" i="5"/>
  <c r="F158" i="5"/>
  <c r="K158" i="5"/>
  <c r="W158" i="5" a="1"/>
  <c r="W158" i="5" s="1"/>
  <c r="H158" i="12" s="1" a="1"/>
  <c r="H158" i="12" s="1"/>
  <c r="G158" i="5"/>
  <c r="X90" i="12" a="1"/>
  <c r="X90" i="12" s="1"/>
  <c r="V87" i="12" a="1"/>
  <c r="V87" i="12" s="1"/>
  <c r="T87" i="12"/>
  <c r="X88" i="12" a="1"/>
  <c r="X88" i="12" s="1"/>
  <c r="V88" i="12" a="1"/>
  <c r="V88" i="12" s="1"/>
  <c r="U88" i="12"/>
  <c r="T88" i="12"/>
  <c r="Y94" i="12"/>
  <c r="X94" i="12" s="1" a="1"/>
  <c r="X94" i="12" s="1"/>
  <c r="V92" i="12" a="1"/>
  <c r="V92" i="12" s="1"/>
  <c r="T92" i="12"/>
  <c r="N94" i="12"/>
  <c r="U90" i="12"/>
  <c r="T90" i="12"/>
  <c r="V90" i="12" a="1"/>
  <c r="V90" i="12" s="1"/>
  <c r="I97" i="12"/>
  <c r="Z97" i="5"/>
  <c r="AB97" i="5" s="1" a="1"/>
  <c r="AB97" i="5" s="1"/>
  <c r="I97" i="5"/>
  <c r="L97" i="5"/>
  <c r="C97" i="6" s="1"/>
  <c r="AM97" i="5"/>
  <c r="X99" i="5" a="1"/>
  <c r="X99" i="5" s="1"/>
  <c r="AS102" i="6"/>
  <c r="AQ102" i="6"/>
  <c r="BK102" i="6"/>
  <c r="AO102" i="6"/>
  <c r="AR102" i="6"/>
  <c r="AK102" i="6"/>
  <c r="CD102" i="6" a="1"/>
  <c r="CD102" i="6" s="1"/>
  <c r="BY102" i="6" a="1"/>
  <c r="BY102" i="6" s="1"/>
  <c r="BJ102" i="6"/>
  <c r="BF102" i="6"/>
  <c r="BL102" i="6"/>
  <c r="BE102" i="6"/>
  <c r="BC102" i="6"/>
  <c r="BW102" i="6" a="1"/>
  <c r="BW102" i="6" s="1"/>
  <c r="BX102" i="6" a="1"/>
  <c r="BX102" i="6" s="1"/>
  <c r="BI102" i="6"/>
  <c r="CA102" i="6" a="1"/>
  <c r="CA102" i="6" s="1"/>
  <c r="BZ102" i="6" a="1"/>
  <c r="BZ102" i="6" s="1"/>
  <c r="CC102" i="6" a="1"/>
  <c r="CC102" i="6" s="1"/>
  <c r="BD102" i="6"/>
  <c r="CE102" i="6" a="1"/>
  <c r="CE102" i="6" s="1"/>
  <c r="AN102" i="6"/>
  <c r="BH102" i="6"/>
  <c r="BG102" i="6"/>
  <c r="AJ102" i="6"/>
  <c r="AM102" i="6"/>
  <c r="CB102" i="6" a="1"/>
  <c r="CB102" i="6" s="1"/>
  <c r="BV102" i="6" a="1"/>
  <c r="BV102" i="6" s="1"/>
  <c r="AP102" i="6"/>
  <c r="AL102" i="6"/>
  <c r="M105" i="6"/>
  <c r="M104" i="6"/>
  <c r="M103" i="6"/>
  <c r="X98" i="5" a="1"/>
  <c r="X98" i="5" s="1"/>
  <c r="X91" i="12" a="1"/>
  <c r="X91" i="12" s="1"/>
  <c r="W91" i="12" a="1"/>
  <c r="W91" i="12" s="1"/>
  <c r="W89" i="12" a="1"/>
  <c r="W89" i="12" s="1"/>
  <c r="X89" i="12" a="1"/>
  <c r="X89" i="12" s="1"/>
  <c r="AO95" i="12" a="1"/>
  <c r="AO95" i="12" s="1"/>
  <c r="C95" i="12"/>
  <c r="M95" i="12" a="1"/>
  <c r="M95" i="12" s="1"/>
  <c r="O95" i="12" a="1"/>
  <c r="O95" i="12" s="1"/>
  <c r="K156" i="12"/>
  <c r="A150" i="6"/>
  <c r="L160" i="6"/>
  <c r="CH103" i="6" l="1" a="1"/>
  <c r="CH103" i="6" s="1"/>
  <c r="BO103" i="6"/>
  <c r="AU103" i="6"/>
  <c r="CK103" i="6" a="1"/>
  <c r="CK103" i="6" s="1"/>
  <c r="BN103" i="6"/>
  <c r="CG103" i="6" a="1"/>
  <c r="CG103" i="6" s="1"/>
  <c r="BM103" i="6"/>
  <c r="BQ103" i="6"/>
  <c r="CJ103" i="6" a="1"/>
  <c r="CJ103" i="6" s="1"/>
  <c r="BT103" i="6"/>
  <c r="CF103" i="6" a="1"/>
  <c r="CF103" i="6" s="1"/>
  <c r="BS103" i="6"/>
  <c r="BR103" i="6"/>
  <c r="CM103" i="6" a="1"/>
  <c r="CM103" i="6" s="1"/>
  <c r="BP103" i="6"/>
  <c r="CI103" i="6" a="1"/>
  <c r="CI103" i="6" s="1"/>
  <c r="CL103" i="6" a="1"/>
  <c r="CL103" i="6" s="1"/>
  <c r="AT103" i="6"/>
  <c r="AY103" i="6"/>
  <c r="AW103" i="6"/>
  <c r="AZ103" i="6"/>
  <c r="AV103" i="6"/>
  <c r="BA103" i="6"/>
  <c r="AX103" i="6"/>
  <c r="CK104" i="6" a="1"/>
  <c r="CK104" i="6" s="1"/>
  <c r="BN104" i="6"/>
  <c r="CG104" i="6" a="1"/>
  <c r="CG104" i="6" s="1"/>
  <c r="BM104" i="6"/>
  <c r="CJ104" i="6" a="1"/>
  <c r="CJ104" i="6" s="1"/>
  <c r="BT104" i="6"/>
  <c r="CH104" i="6" a="1"/>
  <c r="CH104" i="6" s="1"/>
  <c r="CF104" i="6" a="1"/>
  <c r="CF104" i="6" s="1"/>
  <c r="BS104" i="6"/>
  <c r="CM104" i="6" a="1"/>
  <c r="CM104" i="6" s="1"/>
  <c r="BR104" i="6"/>
  <c r="CI104" i="6" a="1"/>
  <c r="CI104" i="6" s="1"/>
  <c r="BP104" i="6"/>
  <c r="CL104" i="6" a="1"/>
  <c r="CL104" i="6" s="1"/>
  <c r="BQ104" i="6"/>
  <c r="BO104" i="6"/>
  <c r="AY104" i="6"/>
  <c r="AZ104" i="6"/>
  <c r="AV104" i="6"/>
  <c r="BA104" i="6"/>
  <c r="AX104" i="6"/>
  <c r="AU104" i="6"/>
  <c r="AW104" i="6"/>
  <c r="AT104" i="6"/>
  <c r="CJ105" i="6" a="1"/>
  <c r="CJ105" i="6" s="1"/>
  <c r="BT105" i="6"/>
  <c r="BS105" i="6"/>
  <c r="BM105" i="6"/>
  <c r="CF105" i="6" a="1"/>
  <c r="CF105" i="6" s="1"/>
  <c r="BR105" i="6"/>
  <c r="CM105" i="6" a="1"/>
  <c r="CM105" i="6" s="1"/>
  <c r="BP105" i="6"/>
  <c r="CI105" i="6" a="1"/>
  <c r="CI105" i="6" s="1"/>
  <c r="CL105" i="6" a="1"/>
  <c r="CL105" i="6" s="1"/>
  <c r="BQ105" i="6"/>
  <c r="CH105" i="6" a="1"/>
  <c r="CH105" i="6" s="1"/>
  <c r="BO105" i="6"/>
  <c r="CG105" i="6" a="1"/>
  <c r="CG105" i="6" s="1"/>
  <c r="CK105" i="6" a="1"/>
  <c r="CK105" i="6" s="1"/>
  <c r="BN105" i="6"/>
  <c r="AZ105" i="6"/>
  <c r="BA105" i="6"/>
  <c r="AT105" i="6"/>
  <c r="AU105" i="6"/>
  <c r="AW105" i="6"/>
  <c r="AV105" i="6"/>
  <c r="AX105" i="6"/>
  <c r="AY105" i="6"/>
  <c r="H158" i="6" a="1"/>
  <c r="H158" i="6" s="1"/>
  <c r="T158" i="5" s="1"/>
  <c r="G158" i="12" s="1" a="1"/>
  <c r="G158" i="12" s="1"/>
  <c r="L158" i="12" a="1"/>
  <c r="L158" i="12" s="1"/>
  <c r="K158" i="12" s="1"/>
  <c r="N159" i="5"/>
  <c r="D159" i="6" s="1"/>
  <c r="W159" i="5" a="1"/>
  <c r="W159" i="5" s="1"/>
  <c r="H159" i="12" s="1" a="1"/>
  <c r="H159" i="12" s="1"/>
  <c r="C160" i="5"/>
  <c r="F159" i="5"/>
  <c r="D159" i="5"/>
  <c r="B159" i="12" s="1"/>
  <c r="A159" i="12"/>
  <c r="J159" i="12" s="1" a="1"/>
  <c r="J159" i="12" s="1"/>
  <c r="E159" i="5"/>
  <c r="K159" i="5"/>
  <c r="B159" i="5"/>
  <c r="AD159" i="5"/>
  <c r="AE159" i="5" a="1"/>
  <c r="AE159" i="5" s="1"/>
  <c r="J159" i="5"/>
  <c r="G159" i="5"/>
  <c r="H159" i="5"/>
  <c r="B159" i="6"/>
  <c r="W94" i="12" a="1"/>
  <c r="W94" i="12" s="1"/>
  <c r="T94" i="12" s="1"/>
  <c r="Y95" i="12"/>
  <c r="W95" i="12" s="1" a="1"/>
  <c r="W95" i="12" s="1"/>
  <c r="V89" i="12" a="1"/>
  <c r="V89" i="12" s="1"/>
  <c r="U89" i="12"/>
  <c r="T89" i="12"/>
  <c r="T91" i="12"/>
  <c r="U91" i="12"/>
  <c r="V91" i="12" a="1"/>
  <c r="V91" i="12" s="1"/>
  <c r="N95" i="12"/>
  <c r="I98" i="12"/>
  <c r="I98" i="5"/>
  <c r="I99" i="5" s="1"/>
  <c r="Z98" i="5"/>
  <c r="AB98" i="5" s="1" a="1"/>
  <c r="AB98" i="5" s="1"/>
  <c r="AM98" i="5"/>
  <c r="L98" i="5"/>
  <c r="C98" i="6" s="1"/>
  <c r="BV103" i="6" a="1"/>
  <c r="BV103" i="6" s="1"/>
  <c r="BE103" i="6"/>
  <c r="BJ103" i="6"/>
  <c r="AR103" i="6"/>
  <c r="BL103" i="6"/>
  <c r="BY103" i="6" a="1"/>
  <c r="BY103" i="6" s="1"/>
  <c r="CB103" i="6" a="1"/>
  <c r="CB103" i="6" s="1"/>
  <c r="BF103" i="6"/>
  <c r="AP103" i="6"/>
  <c r="AO103" i="6"/>
  <c r="BI103" i="6"/>
  <c r="AN103" i="6"/>
  <c r="BK103" i="6"/>
  <c r="AK103" i="6"/>
  <c r="BG103" i="6"/>
  <c r="AM103" i="6"/>
  <c r="CE103" i="6" a="1"/>
  <c r="CE103" i="6" s="1"/>
  <c r="BX103" i="6" a="1"/>
  <c r="BX103" i="6" s="1"/>
  <c r="AQ103" i="6"/>
  <c r="CA103" i="6" a="1"/>
  <c r="CA103" i="6" s="1"/>
  <c r="BC103" i="6"/>
  <c r="AL103" i="6"/>
  <c r="BW103" i="6" a="1"/>
  <c r="BW103" i="6" s="1"/>
  <c r="CC103" i="6" a="1"/>
  <c r="CC103" i="6" s="1"/>
  <c r="CD103" i="6" a="1"/>
  <c r="CD103" i="6" s="1"/>
  <c r="BH103" i="6"/>
  <c r="BZ103" i="6" a="1"/>
  <c r="BZ103" i="6" s="1"/>
  <c r="AJ103" i="6"/>
  <c r="BD103" i="6"/>
  <c r="AS103" i="6"/>
  <c r="X102" i="5" a="1"/>
  <c r="X102" i="5" s="1"/>
  <c r="AO97" i="12" a="1"/>
  <c r="AO97" i="12" s="1"/>
  <c r="O97" i="12" a="1"/>
  <c r="O97" i="12" s="1"/>
  <c r="C97" i="12"/>
  <c r="M97" i="12" a="1"/>
  <c r="M97" i="12" s="1"/>
  <c r="CE104" i="6" a="1"/>
  <c r="CE104" i="6" s="1"/>
  <c r="CA104" i="6" a="1"/>
  <c r="CA104" i="6" s="1"/>
  <c r="AM104" i="6"/>
  <c r="BE104" i="6"/>
  <c r="AK104" i="6"/>
  <c r="BX104" i="6" a="1"/>
  <c r="BX104" i="6" s="1"/>
  <c r="BG104" i="6"/>
  <c r="BK104" i="6"/>
  <c r="AJ104" i="6"/>
  <c r="AR104" i="6"/>
  <c r="BJ104" i="6"/>
  <c r="AS104" i="6"/>
  <c r="AQ104" i="6"/>
  <c r="AL104" i="6"/>
  <c r="CB104" i="6" a="1"/>
  <c r="CB104" i="6" s="1"/>
  <c r="CC104" i="6" a="1"/>
  <c r="CC104" i="6" s="1"/>
  <c r="BD104" i="6"/>
  <c r="BY104" i="6" a="1"/>
  <c r="BY104" i="6" s="1"/>
  <c r="BF104" i="6"/>
  <c r="AP104" i="6"/>
  <c r="BW104" i="6" a="1"/>
  <c r="BW104" i="6" s="1"/>
  <c r="CD104" i="6" a="1"/>
  <c r="CD104" i="6" s="1"/>
  <c r="BH104" i="6"/>
  <c r="AO104" i="6"/>
  <c r="BZ104" i="6" a="1"/>
  <c r="BZ104" i="6" s="1"/>
  <c r="BV104" i="6" a="1"/>
  <c r="BV104" i="6" s="1"/>
  <c r="AN104" i="6"/>
  <c r="BL104" i="6"/>
  <c r="BC104" i="6"/>
  <c r="BI104" i="6"/>
  <c r="CB105" i="6" a="1"/>
  <c r="CB105" i="6" s="1"/>
  <c r="BF105" i="6"/>
  <c r="BH105" i="6"/>
  <c r="BJ105" i="6"/>
  <c r="BD105" i="6"/>
  <c r="BK105" i="6"/>
  <c r="AL105" i="6"/>
  <c r="AK105" i="6"/>
  <c r="BC105" i="6"/>
  <c r="AM105" i="6"/>
  <c r="BI105" i="6"/>
  <c r="AS105" i="6"/>
  <c r="AJ105" i="6"/>
  <c r="BW105" i="6" a="1"/>
  <c r="BW105" i="6" s="1"/>
  <c r="AN105" i="6"/>
  <c r="CD105" i="6" a="1"/>
  <c r="CD105" i="6" s="1"/>
  <c r="BG105" i="6"/>
  <c r="BZ105" i="6" a="1"/>
  <c r="BZ105" i="6" s="1"/>
  <c r="AQ105" i="6"/>
  <c r="CE105" i="6" a="1"/>
  <c r="CE105" i="6" s="1"/>
  <c r="CC105" i="6" a="1"/>
  <c r="CC105" i="6" s="1"/>
  <c r="BV105" i="6" a="1"/>
  <c r="BV105" i="6" s="1"/>
  <c r="AP105" i="6"/>
  <c r="CA105" i="6" a="1"/>
  <c r="CA105" i="6" s="1"/>
  <c r="BX105" i="6" a="1"/>
  <c r="BX105" i="6" s="1"/>
  <c r="AR105" i="6"/>
  <c r="BE105" i="6"/>
  <c r="BY105" i="6" a="1"/>
  <c r="BY105" i="6" s="1"/>
  <c r="AO105" i="6"/>
  <c r="BL105" i="6"/>
  <c r="M107" i="6"/>
  <c r="I99" i="12"/>
  <c r="L99" i="5"/>
  <c r="C99" i="6" s="1"/>
  <c r="AM99" i="5"/>
  <c r="Z99" i="5"/>
  <c r="AB99" i="5" s="1" a="1"/>
  <c r="AB99" i="5" s="1"/>
  <c r="L161" i="6"/>
  <c r="A151" i="6"/>
  <c r="CL107" i="6" l="1" a="1"/>
  <c r="CL107" i="6" s="1"/>
  <c r="BQ107" i="6"/>
  <c r="CH107" i="6" a="1"/>
  <c r="CH107" i="6" s="1"/>
  <c r="BO107" i="6"/>
  <c r="CI107" i="6" a="1"/>
  <c r="CI107" i="6" s="1"/>
  <c r="CK107" i="6" a="1"/>
  <c r="CK107" i="6" s="1"/>
  <c r="BN107" i="6"/>
  <c r="CG107" i="6" a="1"/>
  <c r="CG107" i="6" s="1"/>
  <c r="BM107" i="6"/>
  <c r="CJ107" i="6" a="1"/>
  <c r="CJ107" i="6" s="1"/>
  <c r="BT107" i="6"/>
  <c r="BP107" i="6"/>
  <c r="AW107" i="6"/>
  <c r="CF107" i="6" a="1"/>
  <c r="CF107" i="6" s="1"/>
  <c r="BS107" i="6"/>
  <c r="AY107" i="6"/>
  <c r="CM107" i="6" a="1"/>
  <c r="CM107" i="6" s="1"/>
  <c r="BR107" i="6"/>
  <c r="AX107" i="6"/>
  <c r="AV107" i="6"/>
  <c r="AZ107" i="6"/>
  <c r="BA107" i="6"/>
  <c r="AT107" i="6"/>
  <c r="AU107" i="6"/>
  <c r="L159" i="12" a="1"/>
  <c r="L159" i="12" s="1"/>
  <c r="K159" i="12" s="1"/>
  <c r="AD160" i="5"/>
  <c r="N160" i="5"/>
  <c r="D160" i="6" s="1"/>
  <c r="B160" i="6"/>
  <c r="B160" i="5"/>
  <c r="AE160" i="5" a="1"/>
  <c r="AE160" i="5" s="1"/>
  <c r="A160" i="12"/>
  <c r="L160" i="12" s="1" a="1"/>
  <c r="L160" i="12" s="1"/>
  <c r="J160" i="5"/>
  <c r="H160" i="5"/>
  <c r="W160" i="5" a="1"/>
  <c r="W160" i="5" s="1"/>
  <c r="H160" i="12" s="1" a="1"/>
  <c r="H160" i="12" s="1"/>
  <c r="C161" i="5"/>
  <c r="F160" i="5"/>
  <c r="D160" i="5"/>
  <c r="B160" i="12" s="1"/>
  <c r="E160" i="5"/>
  <c r="K160" i="5"/>
  <c r="G160" i="5"/>
  <c r="X95" i="12" a="1"/>
  <c r="X95" i="12" s="1"/>
  <c r="V94" i="12" a="1"/>
  <c r="V94" i="12" s="1"/>
  <c r="U94" i="12"/>
  <c r="Y97" i="12"/>
  <c r="X97" i="12" s="1" a="1"/>
  <c r="X97" i="12" s="1"/>
  <c r="X104" i="5" a="1"/>
  <c r="X104" i="5" s="1"/>
  <c r="I104" i="12" s="1"/>
  <c r="X103" i="5" a="1"/>
  <c r="X103" i="5" s="1"/>
  <c r="Z103" i="5" s="1"/>
  <c r="AB103" i="5" s="1" a="1"/>
  <c r="AB103" i="5" s="1"/>
  <c r="N97" i="12"/>
  <c r="BE107" i="6"/>
  <c r="BF107" i="6"/>
  <c r="CB107" i="6" a="1"/>
  <c r="CB107" i="6" s="1"/>
  <c r="BY107" i="6" a="1"/>
  <c r="BY107" i="6" s="1"/>
  <c r="AN107" i="6"/>
  <c r="AQ107" i="6"/>
  <c r="BI107" i="6"/>
  <c r="BV107" i="6" a="1"/>
  <c r="BV107" i="6" s="1"/>
  <c r="AP107" i="6"/>
  <c r="AR107" i="6"/>
  <c r="CA107" i="6" a="1"/>
  <c r="CA107" i="6" s="1"/>
  <c r="CC107" i="6" a="1"/>
  <c r="CC107" i="6" s="1"/>
  <c r="BD107" i="6"/>
  <c r="AL107" i="6"/>
  <c r="BH107" i="6"/>
  <c r="BJ107" i="6"/>
  <c r="BG107" i="6"/>
  <c r="AK107" i="6"/>
  <c r="AS107" i="6"/>
  <c r="BK107" i="6"/>
  <c r="CE107" i="6" a="1"/>
  <c r="CE107" i="6" s="1"/>
  <c r="BZ107" i="6" a="1"/>
  <c r="BZ107" i="6" s="1"/>
  <c r="BW107" i="6" a="1"/>
  <c r="BW107" i="6" s="1"/>
  <c r="BC107" i="6"/>
  <c r="AO107" i="6"/>
  <c r="AM107" i="6"/>
  <c r="AJ107" i="6"/>
  <c r="CD107" i="6" a="1"/>
  <c r="CD107" i="6" s="1"/>
  <c r="BX107" i="6" a="1"/>
  <c r="BX107" i="6" s="1"/>
  <c r="BL107" i="6"/>
  <c r="M108" i="6"/>
  <c r="AO98" i="12" a="1"/>
  <c r="AO98" i="12" s="1"/>
  <c r="C98" i="12"/>
  <c r="M98" i="12" a="1"/>
  <c r="M98" i="12" s="1"/>
  <c r="O98" i="12" a="1"/>
  <c r="O98" i="12" s="1"/>
  <c r="X105" i="5" a="1"/>
  <c r="X105" i="5" s="1"/>
  <c r="Z102" i="5"/>
  <c r="AB102" i="5" s="1" a="1"/>
  <c r="AB102" i="5" s="1"/>
  <c r="L102" i="5"/>
  <c r="C102" i="6" s="1"/>
  <c r="AM102" i="5"/>
  <c r="I102" i="12"/>
  <c r="M99" i="12" a="1"/>
  <c r="M99" i="12" s="1"/>
  <c r="C99" i="12"/>
  <c r="O99" i="12" a="1"/>
  <c r="O99" i="12" s="1"/>
  <c r="AO99" i="12" a="1"/>
  <c r="AO99" i="12" s="1"/>
  <c r="V95" i="12" a="1"/>
  <c r="V95" i="12" s="1"/>
  <c r="U95" i="12"/>
  <c r="T95" i="12"/>
  <c r="H159" i="6" a="1"/>
  <c r="H159" i="6" s="1"/>
  <c r="A152" i="6"/>
  <c r="L162" i="6"/>
  <c r="CI108" i="6" l="1" a="1"/>
  <c r="CI108" i="6" s="1"/>
  <c r="CL108" i="6" a="1"/>
  <c r="CL108" i="6" s="1"/>
  <c r="BQ108" i="6"/>
  <c r="CH108" i="6" a="1"/>
  <c r="CH108" i="6" s="1"/>
  <c r="BO108" i="6"/>
  <c r="BS108" i="6"/>
  <c r="CK108" i="6" a="1"/>
  <c r="CK108" i="6" s="1"/>
  <c r="BN108" i="6"/>
  <c r="CG108" i="6" a="1"/>
  <c r="CG108" i="6" s="1"/>
  <c r="BM108" i="6"/>
  <c r="BR108" i="6"/>
  <c r="CJ108" i="6" a="1"/>
  <c r="CJ108" i="6" s="1"/>
  <c r="BT108" i="6"/>
  <c r="CF108" i="6" a="1"/>
  <c r="CF108" i="6" s="1"/>
  <c r="BP108" i="6"/>
  <c r="CM108" i="6" a="1"/>
  <c r="CM108" i="6" s="1"/>
  <c r="AU108" i="6"/>
  <c r="BA108" i="6"/>
  <c r="AX108" i="6"/>
  <c r="AV108" i="6"/>
  <c r="AY108" i="6"/>
  <c r="AT108" i="6"/>
  <c r="AZ108" i="6"/>
  <c r="AW108" i="6"/>
  <c r="D161" i="5"/>
  <c r="B161" i="12" s="1"/>
  <c r="A161" i="12"/>
  <c r="L161" i="12" s="1" a="1"/>
  <c r="L161" i="12" s="1"/>
  <c r="N161" i="5"/>
  <c r="D161" i="6" s="1"/>
  <c r="B161" i="5"/>
  <c r="C162" i="5" s="1"/>
  <c r="N162" i="5" s="1"/>
  <c r="D162" i="6" s="1"/>
  <c r="E161" i="5"/>
  <c r="J160" i="12" a="1"/>
  <c r="J160" i="12" s="1"/>
  <c r="K160" i="12" s="1"/>
  <c r="H161" i="5"/>
  <c r="W161" i="5" a="1"/>
  <c r="W161" i="5" s="1"/>
  <c r="H161" i="12" s="1" a="1"/>
  <c r="H161" i="12" s="1"/>
  <c r="G161" i="5"/>
  <c r="F161" i="5"/>
  <c r="B161" i="6"/>
  <c r="AD161" i="5"/>
  <c r="J161" i="5"/>
  <c r="AE161" i="5" a="1"/>
  <c r="AE161" i="5" s="1"/>
  <c r="K161" i="5"/>
  <c r="Z104" i="5"/>
  <c r="AB104" i="5" s="1" a="1"/>
  <c r="AB104" i="5" s="1"/>
  <c r="L104" i="5"/>
  <c r="C104" i="6" s="1"/>
  <c r="AM104" i="5"/>
  <c r="W97" i="12" a="1"/>
  <c r="W97" i="12" s="1"/>
  <c r="U97" i="12" s="1"/>
  <c r="L103" i="5"/>
  <c r="C103" i="6" s="1"/>
  <c r="AM103" i="5"/>
  <c r="I103" i="12"/>
  <c r="AO103" i="12" s="1" a="1"/>
  <c r="AO103" i="12" s="1"/>
  <c r="Y99" i="12"/>
  <c r="X99" i="12" s="1" a="1"/>
  <c r="X99" i="12" s="1"/>
  <c r="N98" i="12"/>
  <c r="X107" i="5" a="1"/>
  <c r="X107" i="5" s="1"/>
  <c r="I107" i="12" s="1"/>
  <c r="BE108" i="6"/>
  <c r="BV108" i="6" a="1"/>
  <c r="BV108" i="6" s="1"/>
  <c r="AS108" i="6"/>
  <c r="AN108" i="6"/>
  <c r="AO108" i="6"/>
  <c r="CE108" i="6" a="1"/>
  <c r="CE108" i="6" s="1"/>
  <c r="BF108" i="6"/>
  <c r="AM108" i="6"/>
  <c r="BW108" i="6" a="1"/>
  <c r="BW108" i="6" s="1"/>
  <c r="BL108" i="6"/>
  <c r="AJ108" i="6"/>
  <c r="BK108" i="6"/>
  <c r="AK108" i="6"/>
  <c r="BY108" i="6" a="1"/>
  <c r="BY108" i="6" s="1"/>
  <c r="CC108" i="6" a="1"/>
  <c r="CC108" i="6" s="1"/>
  <c r="AP108" i="6"/>
  <c r="BJ108" i="6"/>
  <c r="BZ108" i="6" a="1"/>
  <c r="BZ108" i="6" s="1"/>
  <c r="BG108" i="6"/>
  <c r="CD108" i="6" a="1"/>
  <c r="CD108" i="6" s="1"/>
  <c r="BI108" i="6"/>
  <c r="BX108" i="6" a="1"/>
  <c r="BX108" i="6" s="1"/>
  <c r="CB108" i="6" a="1"/>
  <c r="CB108" i="6" s="1"/>
  <c r="CA108" i="6" a="1"/>
  <c r="CA108" i="6" s="1"/>
  <c r="AQ108" i="6"/>
  <c r="BH108" i="6"/>
  <c r="BC108" i="6"/>
  <c r="BD108" i="6"/>
  <c r="AR108" i="6"/>
  <c r="AL108" i="6"/>
  <c r="M110" i="6"/>
  <c r="I105" i="12"/>
  <c r="AM105" i="5"/>
  <c r="L105" i="5"/>
  <c r="C105" i="6" s="1"/>
  <c r="Z105" i="5"/>
  <c r="AB105" i="5" s="1" a="1"/>
  <c r="AB105" i="5" s="1"/>
  <c r="C104" i="12"/>
  <c r="O104" i="12" a="1"/>
  <c r="O104" i="12" s="1"/>
  <c r="M104" i="12" a="1"/>
  <c r="M104" i="12" s="1"/>
  <c r="AO104" i="12" a="1"/>
  <c r="AO104" i="12" s="1"/>
  <c r="N99" i="12"/>
  <c r="Y98" i="12"/>
  <c r="O102" i="12" a="1"/>
  <c r="O102" i="12" s="1"/>
  <c r="AO102" i="12" a="1"/>
  <c r="AO102" i="12" s="1"/>
  <c r="C102" i="12"/>
  <c r="M102" i="12" a="1"/>
  <c r="M102" i="12" s="1"/>
  <c r="T159" i="5"/>
  <c r="G159" i="12" s="1" a="1"/>
  <c r="G159" i="12" s="1"/>
  <c r="H160" i="6" a="1"/>
  <c r="H160" i="6" s="1"/>
  <c r="M152" i="6"/>
  <c r="A153" i="6"/>
  <c r="CK152" i="6" l="1" a="1"/>
  <c r="CK152" i="6" s="1"/>
  <c r="BN152" i="6"/>
  <c r="CG152" i="6" a="1"/>
  <c r="CG152" i="6" s="1"/>
  <c r="BM152" i="6"/>
  <c r="BO152" i="6"/>
  <c r="CJ152" i="6" a="1"/>
  <c r="CJ152" i="6" s="1"/>
  <c r="BT152" i="6"/>
  <c r="CH152" i="6" a="1"/>
  <c r="CH152" i="6" s="1"/>
  <c r="CF152" i="6" a="1"/>
  <c r="CF152" i="6" s="1"/>
  <c r="BS152" i="6"/>
  <c r="CI152" i="6" a="1"/>
  <c r="CI152" i="6" s="1"/>
  <c r="BR152" i="6"/>
  <c r="CM152" i="6" a="1"/>
  <c r="CM152" i="6" s="1"/>
  <c r="BQ152" i="6"/>
  <c r="CL152" i="6" a="1"/>
  <c r="CL152" i="6" s="1"/>
  <c r="BP152" i="6"/>
  <c r="AX152" i="6"/>
  <c r="AW152" i="6"/>
  <c r="AT152" i="6"/>
  <c r="AY152" i="6"/>
  <c r="AU152" i="6"/>
  <c r="AZ152" i="6"/>
  <c r="AV152" i="6"/>
  <c r="BA152" i="6"/>
  <c r="CF110" i="6" a="1"/>
  <c r="CF110" i="6" s="1"/>
  <c r="BS110" i="6"/>
  <c r="CI110" i="6" a="1"/>
  <c r="CI110" i="6" s="1"/>
  <c r="BR110" i="6"/>
  <c r="CM110" i="6" a="1"/>
  <c r="CM110" i="6" s="1"/>
  <c r="BP110" i="6"/>
  <c r="CL110" i="6" a="1"/>
  <c r="CL110" i="6" s="1"/>
  <c r="BQ110" i="6"/>
  <c r="CH110" i="6" a="1"/>
  <c r="CH110" i="6" s="1"/>
  <c r="BO110" i="6"/>
  <c r="CK110" i="6" a="1"/>
  <c r="CK110" i="6" s="1"/>
  <c r="BN110" i="6"/>
  <c r="CG110" i="6" a="1"/>
  <c r="CG110" i="6" s="1"/>
  <c r="BM110" i="6"/>
  <c r="CJ110" i="6" a="1"/>
  <c r="CJ110" i="6" s="1"/>
  <c r="BT110" i="6"/>
  <c r="AZ110" i="6"/>
  <c r="AU110" i="6"/>
  <c r="BA110" i="6"/>
  <c r="AV110" i="6"/>
  <c r="AX110" i="6"/>
  <c r="AY110" i="6"/>
  <c r="AT110" i="6"/>
  <c r="AW110" i="6"/>
  <c r="AD162" i="5"/>
  <c r="AF162" i="5" a="1"/>
  <c r="AF162" i="5" s="1"/>
  <c r="F162" i="12" s="1" a="1"/>
  <c r="F162" i="12" s="1"/>
  <c r="A162" i="12"/>
  <c r="B162" i="6"/>
  <c r="J162" i="6" s="1" a="1"/>
  <c r="J162" i="6" s="1"/>
  <c r="G162" i="5"/>
  <c r="B162" i="5"/>
  <c r="H162" i="5"/>
  <c r="J161" i="12" a="1"/>
  <c r="J161" i="12" s="1"/>
  <c r="K161" i="12" s="1"/>
  <c r="W162" i="5" a="1"/>
  <c r="W162" i="5" s="1"/>
  <c r="H162" i="12" s="1" a="1"/>
  <c r="H162" i="12" s="1"/>
  <c r="AE162" i="5" a="1"/>
  <c r="AE162" i="5" s="1"/>
  <c r="F162" i="5"/>
  <c r="E162" i="5"/>
  <c r="M103" i="12" a="1"/>
  <c r="M103" i="12" s="1"/>
  <c r="W99" i="12" a="1"/>
  <c r="W99" i="12" s="1"/>
  <c r="U99" i="12" s="1"/>
  <c r="O103" i="12" a="1"/>
  <c r="O103" i="12" s="1"/>
  <c r="V97" i="12" a="1"/>
  <c r="V97" i="12" s="1"/>
  <c r="C103" i="12"/>
  <c r="T97" i="12"/>
  <c r="Z107" i="5"/>
  <c r="AB107" i="5" s="1" a="1"/>
  <c r="AB107" i="5" s="1"/>
  <c r="L107" i="5"/>
  <c r="C107" i="6" s="1"/>
  <c r="AM107" i="5"/>
  <c r="Y102" i="12"/>
  <c r="X102" i="12" s="1" a="1"/>
  <c r="X102" i="12" s="1"/>
  <c r="N102" i="12"/>
  <c r="M107" i="12" a="1"/>
  <c r="M107" i="12" s="1"/>
  <c r="O107" i="12" a="1"/>
  <c r="O107" i="12" s="1"/>
  <c r="AO107" i="12" a="1"/>
  <c r="AO107" i="12" s="1"/>
  <c r="C107" i="12"/>
  <c r="N104" i="12"/>
  <c r="BG110" i="6"/>
  <c r="AK110" i="6"/>
  <c r="CA110" i="6" a="1"/>
  <c r="CA110" i="6" s="1"/>
  <c r="CD110" i="6" a="1"/>
  <c r="CD110" i="6" s="1"/>
  <c r="BJ110" i="6"/>
  <c r="BV110" i="6" a="1"/>
  <c r="BV110" i="6" s="1"/>
  <c r="BL110" i="6"/>
  <c r="BC110" i="6"/>
  <c r="BD110" i="6"/>
  <c r="BY110" i="6" a="1"/>
  <c r="BY110" i="6" s="1"/>
  <c r="AM110" i="6"/>
  <c r="BH110" i="6"/>
  <c r="AN110" i="6"/>
  <c r="BI110" i="6"/>
  <c r="AS110" i="6"/>
  <c r="CE110" i="6" a="1"/>
  <c r="CE110" i="6" s="1"/>
  <c r="BX110" i="6" a="1"/>
  <c r="BX110" i="6" s="1"/>
  <c r="BZ110" i="6" a="1"/>
  <c r="BZ110" i="6" s="1"/>
  <c r="BK110" i="6"/>
  <c r="BE110" i="6"/>
  <c r="AR110" i="6"/>
  <c r="AQ110" i="6"/>
  <c r="CC110" i="6" a="1"/>
  <c r="CC110" i="6" s="1"/>
  <c r="AP110" i="6"/>
  <c r="AJ110" i="6"/>
  <c r="CB110" i="6" a="1"/>
  <c r="CB110" i="6" s="1"/>
  <c r="BW110" i="6" a="1"/>
  <c r="BW110" i="6" s="1"/>
  <c r="AL110" i="6"/>
  <c r="BF110" i="6"/>
  <c r="AO110" i="6"/>
  <c r="M111" i="6"/>
  <c r="X98" i="12" a="1"/>
  <c r="X98" i="12" s="1"/>
  <c r="W98" i="12" a="1"/>
  <c r="W98" i="12" s="1"/>
  <c r="X108" i="5" a="1"/>
  <c r="X108" i="5" s="1"/>
  <c r="M105" i="12" a="1"/>
  <c r="M105" i="12" s="1"/>
  <c r="O105" i="12" a="1"/>
  <c r="O105" i="12" s="1"/>
  <c r="AO105" i="12" a="1"/>
  <c r="AO105" i="12" s="1"/>
  <c r="C105" i="12"/>
  <c r="Y104" i="12"/>
  <c r="T160" i="5"/>
  <c r="G160" i="12" s="1" a="1"/>
  <c r="G160" i="12" s="1"/>
  <c r="E162" i="12"/>
  <c r="A154" i="6"/>
  <c r="H162" i="6" a="1"/>
  <c r="H162" i="6" s="1"/>
  <c r="T162" i="5" s="1"/>
  <c r="G162" i="12" s="1" a="1"/>
  <c r="G162" i="12" s="1"/>
  <c r="BJ152" i="6"/>
  <c r="BX152" i="6" a="1"/>
  <c r="BX152" i="6" s="1"/>
  <c r="BF152" i="6"/>
  <c r="BL152" i="6"/>
  <c r="BY152" i="6" a="1"/>
  <c r="BY152" i="6" s="1"/>
  <c r="CD152" i="6" a="1"/>
  <c r="CD152" i="6" s="1"/>
  <c r="BG152" i="6"/>
  <c r="AQ152" i="6"/>
  <c r="CA152" i="6" a="1"/>
  <c r="CA152" i="6" s="1"/>
  <c r="BI152" i="6"/>
  <c r="BE152" i="6"/>
  <c r="BW152" i="6" a="1"/>
  <c r="BW152" i="6" s="1"/>
  <c r="BK152" i="6"/>
  <c r="CC152" i="6" a="1"/>
  <c r="CC152" i="6" s="1"/>
  <c r="BH152" i="6"/>
  <c r="CE152" i="6" a="1"/>
  <c r="CE152" i="6" s="1"/>
  <c r="BC152" i="6"/>
  <c r="BZ152" i="6" a="1"/>
  <c r="BZ152" i="6" s="1"/>
  <c r="AL152" i="6"/>
  <c r="BV152" i="6" a="1"/>
  <c r="BV152" i="6" s="1"/>
  <c r="AP152" i="6"/>
  <c r="CB152" i="6" a="1"/>
  <c r="CB152" i="6" s="1"/>
  <c r="BD152" i="6"/>
  <c r="AM152" i="6"/>
  <c r="AK152" i="6"/>
  <c r="AS152" i="6"/>
  <c r="AO152" i="6"/>
  <c r="AN152" i="6"/>
  <c r="AR152" i="6"/>
  <c r="AJ152" i="6"/>
  <c r="H161" i="6" a="1"/>
  <c r="H161" i="6" s="1"/>
  <c r="L163" i="6"/>
  <c r="CM111" i="6" l="1" a="1"/>
  <c r="CM111" i="6" s="1"/>
  <c r="CI111" i="6" a="1"/>
  <c r="CI111" i="6" s="1"/>
  <c r="BR111" i="6"/>
  <c r="BP111" i="6"/>
  <c r="BN111" i="6"/>
  <c r="BT111" i="6"/>
  <c r="CF111" i="6" a="1"/>
  <c r="CF111" i="6" s="1"/>
  <c r="BS111" i="6"/>
  <c r="CL111" i="6" a="1"/>
  <c r="CL111" i="6" s="1"/>
  <c r="BQ111" i="6"/>
  <c r="CH111" i="6" a="1"/>
  <c r="CH111" i="6" s="1"/>
  <c r="BO111" i="6"/>
  <c r="CK111" i="6" a="1"/>
  <c r="CK111" i="6" s="1"/>
  <c r="CG111" i="6" a="1"/>
  <c r="CG111" i="6" s="1"/>
  <c r="BM111" i="6"/>
  <c r="CJ111" i="6" a="1"/>
  <c r="CJ111" i="6" s="1"/>
  <c r="BA111" i="6"/>
  <c r="AU111" i="6"/>
  <c r="AV111" i="6"/>
  <c r="AY111" i="6"/>
  <c r="AZ111" i="6"/>
  <c r="AW111" i="6"/>
  <c r="AT111" i="6"/>
  <c r="AX111" i="6"/>
  <c r="AG162" i="5" a="1"/>
  <c r="AG162" i="5" s="1"/>
  <c r="C163" i="5"/>
  <c r="N103" i="12"/>
  <c r="T99" i="12"/>
  <c r="V99" i="12" a="1"/>
  <c r="V99" i="12" s="1"/>
  <c r="Y103" i="12"/>
  <c r="N105" i="12"/>
  <c r="N107" i="12"/>
  <c r="W102" i="12" a="1"/>
  <c r="W102" i="12" s="1"/>
  <c r="T102" i="12" s="1"/>
  <c r="Y107" i="12"/>
  <c r="W107" i="12" s="1" a="1"/>
  <c r="W107" i="12" s="1"/>
  <c r="Y105" i="12"/>
  <c r="X105" i="12" s="1" a="1"/>
  <c r="X105" i="12" s="1"/>
  <c r="V98" i="12" a="1"/>
  <c r="V98" i="12" s="1"/>
  <c r="U98" i="12"/>
  <c r="T98" i="12"/>
  <c r="X110" i="5" a="1"/>
  <c r="X110" i="5" s="1"/>
  <c r="BD111" i="6"/>
  <c r="AM111" i="6"/>
  <c r="CB111" i="6" a="1"/>
  <c r="CB111" i="6" s="1"/>
  <c r="AO111" i="6"/>
  <c r="AL111" i="6"/>
  <c r="CA111" i="6" a="1"/>
  <c r="CA111" i="6" s="1"/>
  <c r="BW111" i="6" a="1"/>
  <c r="BW111" i="6" s="1"/>
  <c r="CD111" i="6" a="1"/>
  <c r="CD111" i="6" s="1"/>
  <c r="AQ111" i="6"/>
  <c r="CC111" i="6" a="1"/>
  <c r="CC111" i="6" s="1"/>
  <c r="BZ111" i="6" a="1"/>
  <c r="BZ111" i="6" s="1"/>
  <c r="CE111" i="6" a="1"/>
  <c r="CE111" i="6" s="1"/>
  <c r="AK111" i="6"/>
  <c r="AR111" i="6"/>
  <c r="BJ111" i="6"/>
  <c r="AP111" i="6"/>
  <c r="BI111" i="6"/>
  <c r="AS111" i="6"/>
  <c r="AJ111" i="6"/>
  <c r="BG111" i="6"/>
  <c r="BC111" i="6"/>
  <c r="BV111" i="6" a="1"/>
  <c r="BV111" i="6" s="1"/>
  <c r="BE111" i="6"/>
  <c r="AN111" i="6"/>
  <c r="BY111" i="6" a="1"/>
  <c r="BY111" i="6" s="1"/>
  <c r="BX111" i="6" a="1"/>
  <c r="BX111" i="6" s="1"/>
  <c r="BL111" i="6"/>
  <c r="BK111" i="6"/>
  <c r="BH111" i="6"/>
  <c r="BF111" i="6"/>
  <c r="M113" i="6"/>
  <c r="I108" i="12"/>
  <c r="AM108" i="5"/>
  <c r="L108" i="5"/>
  <c r="C108" i="6" s="1"/>
  <c r="Z108" i="5"/>
  <c r="AB108" i="5" s="1" a="1"/>
  <c r="AB108" i="5" s="1"/>
  <c r="X104" i="12" a="1"/>
  <c r="X104" i="12" s="1"/>
  <c r="W104" i="12" a="1"/>
  <c r="W104" i="12" s="1"/>
  <c r="T161" i="5"/>
  <c r="G161" i="12" s="1" a="1"/>
  <c r="G161" i="12" s="1"/>
  <c r="F162" i="6"/>
  <c r="L164" i="6"/>
  <c r="G162" i="6"/>
  <c r="A155" i="6"/>
  <c r="CL113" i="6" l="1" a="1"/>
  <c r="CL113" i="6" s="1"/>
  <c r="BQ113" i="6"/>
  <c r="CH113" i="6" a="1"/>
  <c r="CH113" i="6" s="1"/>
  <c r="BO113" i="6"/>
  <c r="BP113" i="6"/>
  <c r="CK113" i="6" a="1"/>
  <c r="CK113" i="6" s="1"/>
  <c r="BN113" i="6"/>
  <c r="CG113" i="6" a="1"/>
  <c r="CG113" i="6" s="1"/>
  <c r="BM113" i="6"/>
  <c r="CJ113" i="6" a="1"/>
  <c r="CJ113" i="6" s="1"/>
  <c r="BT113" i="6"/>
  <c r="CF113" i="6" a="1"/>
  <c r="CF113" i="6" s="1"/>
  <c r="BS113" i="6"/>
  <c r="CI113" i="6" a="1"/>
  <c r="CI113" i="6" s="1"/>
  <c r="CM113" i="6" a="1"/>
  <c r="CM113" i="6" s="1"/>
  <c r="BR113" i="6"/>
  <c r="AW113" i="6"/>
  <c r="AV113" i="6"/>
  <c r="AX113" i="6"/>
  <c r="AY113" i="6"/>
  <c r="AZ113" i="6"/>
  <c r="BA113" i="6"/>
  <c r="AT113" i="6"/>
  <c r="AU113" i="6"/>
  <c r="E163" i="5"/>
  <c r="AE163" i="5" a="1"/>
  <c r="AE163" i="5" s="1"/>
  <c r="B163" i="5"/>
  <c r="F163" i="5"/>
  <c r="AD163" i="5"/>
  <c r="K163" i="5"/>
  <c r="H163" i="5"/>
  <c r="W163" i="5" a="1"/>
  <c r="W163" i="5" s="1"/>
  <c r="H163" i="12" s="1" a="1"/>
  <c r="H163" i="12" s="1"/>
  <c r="B163" i="6"/>
  <c r="C164" i="5"/>
  <c r="G163" i="5"/>
  <c r="D163" i="5"/>
  <c r="B163" i="12" s="1"/>
  <c r="A163" i="12"/>
  <c r="J163" i="12" s="1" a="1"/>
  <c r="J163" i="12" s="1"/>
  <c r="N163" i="5"/>
  <c r="D163" i="6" s="1"/>
  <c r="J163" i="5"/>
  <c r="X107" i="12" a="1"/>
  <c r="X107" i="12" s="1"/>
  <c r="X103" i="12" a="1"/>
  <c r="X103" i="12" s="1"/>
  <c r="W103" i="12" a="1"/>
  <c r="W103" i="12" s="1"/>
  <c r="V102" i="12" a="1"/>
  <c r="V102" i="12" s="1"/>
  <c r="U102" i="12"/>
  <c r="W105" i="12" a="1"/>
  <c r="W105" i="12" s="1"/>
  <c r="T105" i="12" s="1"/>
  <c r="T107" i="12"/>
  <c r="U107" i="12"/>
  <c r="V107" i="12" a="1"/>
  <c r="V107" i="12" s="1"/>
  <c r="X111" i="5" a="1"/>
  <c r="X111" i="5" s="1"/>
  <c r="BH113" i="6"/>
  <c r="BJ113" i="6"/>
  <c r="BX113" i="6" a="1"/>
  <c r="BX113" i="6" s="1"/>
  <c r="AM113" i="6"/>
  <c r="CB113" i="6" a="1"/>
  <c r="CB113" i="6" s="1"/>
  <c r="CA113" i="6" a="1"/>
  <c r="CA113" i="6" s="1"/>
  <c r="BD113" i="6"/>
  <c r="AS113" i="6"/>
  <c r="CC113" i="6" a="1"/>
  <c r="CC113" i="6" s="1"/>
  <c r="AO113" i="6"/>
  <c r="CD113" i="6" a="1"/>
  <c r="CD113" i="6" s="1"/>
  <c r="BG113" i="6"/>
  <c r="BV113" i="6" a="1"/>
  <c r="BV113" i="6" s="1"/>
  <c r="BF113" i="6"/>
  <c r="BE113" i="6"/>
  <c r="AJ113" i="6"/>
  <c r="CE113" i="6" a="1"/>
  <c r="CE113" i="6" s="1"/>
  <c r="BC113" i="6"/>
  <c r="AL113" i="6"/>
  <c r="AP113" i="6"/>
  <c r="AQ113" i="6"/>
  <c r="BI113" i="6"/>
  <c r="BK113" i="6"/>
  <c r="BZ113" i="6" a="1"/>
  <c r="BZ113" i="6" s="1"/>
  <c r="BY113" i="6" a="1"/>
  <c r="BY113" i="6" s="1"/>
  <c r="AK113" i="6"/>
  <c r="AR113" i="6"/>
  <c r="BL113" i="6"/>
  <c r="BW113" i="6" a="1"/>
  <c r="BW113" i="6" s="1"/>
  <c r="AN113" i="6"/>
  <c r="M115" i="6"/>
  <c r="M116" i="6"/>
  <c r="M114" i="6"/>
  <c r="M121" i="6"/>
  <c r="M119" i="6"/>
  <c r="M118" i="6"/>
  <c r="M117" i="6"/>
  <c r="M120" i="6"/>
  <c r="T104" i="12"/>
  <c r="U104" i="12"/>
  <c r="V104" i="12" a="1"/>
  <c r="V104" i="12" s="1"/>
  <c r="M108" i="12" a="1"/>
  <c r="M108" i="12" s="1"/>
  <c r="C108" i="12"/>
  <c r="AO108" i="12" a="1"/>
  <c r="AO108" i="12" s="1"/>
  <c r="O108" i="12" a="1"/>
  <c r="O108" i="12" s="1"/>
  <c r="AM110" i="5"/>
  <c r="L110" i="5"/>
  <c r="C110" i="6" s="1"/>
  <c r="Z110" i="5"/>
  <c r="AB110" i="5" s="1" a="1"/>
  <c r="AB110" i="5" s="1"/>
  <c r="I110" i="12"/>
  <c r="A156" i="6"/>
  <c r="A157" i="6" s="1"/>
  <c r="L165" i="6"/>
  <c r="CL120" i="6" l="1" a="1"/>
  <c r="CL120" i="6" s="1"/>
  <c r="BQ120" i="6"/>
  <c r="BS120" i="6"/>
  <c r="CH120" i="6" a="1"/>
  <c r="CH120" i="6" s="1"/>
  <c r="BO120" i="6"/>
  <c r="CK120" i="6" a="1"/>
  <c r="CK120" i="6" s="1"/>
  <c r="BN120" i="6"/>
  <c r="CG120" i="6" a="1"/>
  <c r="CG120" i="6" s="1"/>
  <c r="BM120" i="6"/>
  <c r="BP120" i="6"/>
  <c r="CJ120" i="6" a="1"/>
  <c r="CJ120" i="6" s="1"/>
  <c r="BT120" i="6"/>
  <c r="CF120" i="6" a="1"/>
  <c r="CF120" i="6" s="1"/>
  <c r="CM120" i="6" a="1"/>
  <c r="CM120" i="6" s="1"/>
  <c r="BR120" i="6"/>
  <c r="CI120" i="6" a="1"/>
  <c r="CI120" i="6" s="1"/>
  <c r="AT120" i="6"/>
  <c r="AY120" i="6"/>
  <c r="AX120" i="6"/>
  <c r="AW120" i="6"/>
  <c r="AZ120" i="6"/>
  <c r="AU120" i="6"/>
  <c r="BA120" i="6"/>
  <c r="AV120" i="6"/>
  <c r="H163" i="6" a="1"/>
  <c r="H163" i="6" s="1"/>
  <c r="T163" i="5" s="1"/>
  <c r="G163" i="12" s="1" a="1"/>
  <c r="G163" i="12" s="1"/>
  <c r="CI118" i="6" a="1"/>
  <c r="CI118" i="6" s="1"/>
  <c r="BR118" i="6"/>
  <c r="BT118" i="6"/>
  <c r="CF118" i="6" a="1"/>
  <c r="CF118" i="6" s="1"/>
  <c r="CM118" i="6" a="1"/>
  <c r="CM118" i="6" s="1"/>
  <c r="BP118" i="6"/>
  <c r="BS118" i="6"/>
  <c r="CL118" i="6" a="1"/>
  <c r="CL118" i="6" s="1"/>
  <c r="BQ118" i="6"/>
  <c r="CJ118" i="6" a="1"/>
  <c r="CJ118" i="6" s="1"/>
  <c r="CH118" i="6" a="1"/>
  <c r="CH118" i="6" s="1"/>
  <c r="BO118" i="6"/>
  <c r="CK118" i="6" a="1"/>
  <c r="CK118" i="6" s="1"/>
  <c r="BN118" i="6"/>
  <c r="CG118" i="6" a="1"/>
  <c r="CG118" i="6" s="1"/>
  <c r="BM118" i="6"/>
  <c r="AX118" i="6"/>
  <c r="BA118" i="6"/>
  <c r="AT118" i="6"/>
  <c r="AU118" i="6"/>
  <c r="AZ118" i="6"/>
  <c r="AV118" i="6"/>
  <c r="AY118" i="6"/>
  <c r="AW118" i="6"/>
  <c r="CL119" i="6" a="1"/>
  <c r="CL119" i="6" s="1"/>
  <c r="BQ119" i="6"/>
  <c r="BR119" i="6"/>
  <c r="CH119" i="6" a="1"/>
  <c r="CH119" i="6" s="1"/>
  <c r="BO119" i="6"/>
  <c r="AV119" i="6"/>
  <c r="CK119" i="6" a="1"/>
  <c r="CK119" i="6" s="1"/>
  <c r="BN119" i="6"/>
  <c r="CG119" i="6" a="1"/>
  <c r="CG119" i="6" s="1"/>
  <c r="BM119" i="6"/>
  <c r="CI119" i="6" a="1"/>
  <c r="CI119" i="6" s="1"/>
  <c r="CJ119" i="6" a="1"/>
  <c r="CJ119" i="6" s="1"/>
  <c r="BT119" i="6"/>
  <c r="CF119" i="6" a="1"/>
  <c r="CF119" i="6" s="1"/>
  <c r="BP119" i="6"/>
  <c r="CM119" i="6" a="1"/>
  <c r="CM119" i="6" s="1"/>
  <c r="BS119" i="6"/>
  <c r="AU119" i="6"/>
  <c r="BA119" i="6"/>
  <c r="AW119" i="6"/>
  <c r="AX119" i="6"/>
  <c r="AZ119" i="6"/>
  <c r="AY119" i="6"/>
  <c r="AT119" i="6"/>
  <c r="CM115" i="6" a="1"/>
  <c r="CM115" i="6" s="1"/>
  <c r="BR115" i="6"/>
  <c r="CI115" i="6" a="1"/>
  <c r="CI115" i="6" s="1"/>
  <c r="BP115" i="6"/>
  <c r="CL115" i="6" a="1"/>
  <c r="CL115" i="6" s="1"/>
  <c r="BQ115" i="6"/>
  <c r="CH115" i="6" a="1"/>
  <c r="CH115" i="6" s="1"/>
  <c r="BO115" i="6"/>
  <c r="BS115" i="6"/>
  <c r="CK115" i="6" a="1"/>
  <c r="CK115" i="6" s="1"/>
  <c r="BN115" i="6"/>
  <c r="CG115" i="6" a="1"/>
  <c r="CG115" i="6" s="1"/>
  <c r="BM115" i="6"/>
  <c r="CF115" i="6" a="1"/>
  <c r="CF115" i="6" s="1"/>
  <c r="CJ115" i="6" a="1"/>
  <c r="CJ115" i="6" s="1"/>
  <c r="BT115" i="6"/>
  <c r="AU115" i="6"/>
  <c r="AZ115" i="6"/>
  <c r="AV115" i="6"/>
  <c r="AW115" i="6"/>
  <c r="AY115" i="6"/>
  <c r="BA115" i="6"/>
  <c r="AT115" i="6"/>
  <c r="AX115" i="6"/>
  <c r="CJ121" i="6" a="1"/>
  <c r="CJ121" i="6" s="1"/>
  <c r="BT121" i="6"/>
  <c r="CF121" i="6" a="1"/>
  <c r="CF121" i="6" s="1"/>
  <c r="BS121" i="6"/>
  <c r="CM121" i="6" a="1"/>
  <c r="CM121" i="6" s="1"/>
  <c r="BR121" i="6"/>
  <c r="CI121" i="6" a="1"/>
  <c r="CI121" i="6" s="1"/>
  <c r="BP121" i="6"/>
  <c r="CG121" i="6" a="1"/>
  <c r="CG121" i="6" s="1"/>
  <c r="CL121" i="6" a="1"/>
  <c r="CL121" i="6" s="1"/>
  <c r="BQ121" i="6"/>
  <c r="BA121" i="6"/>
  <c r="CH121" i="6" a="1"/>
  <c r="CH121" i="6" s="1"/>
  <c r="BO121" i="6"/>
  <c r="BM121" i="6"/>
  <c r="CK121" i="6" a="1"/>
  <c r="CK121" i="6" s="1"/>
  <c r="BN121" i="6"/>
  <c r="AT121" i="6"/>
  <c r="AU121" i="6"/>
  <c r="AV121" i="6"/>
  <c r="AW121" i="6"/>
  <c r="AX121" i="6"/>
  <c r="AY121" i="6"/>
  <c r="AZ121" i="6"/>
  <c r="CL117" i="6" a="1"/>
  <c r="CL117" i="6" s="1"/>
  <c r="BQ117" i="6"/>
  <c r="CH117" i="6" a="1"/>
  <c r="CH117" i="6" s="1"/>
  <c r="BO117" i="6"/>
  <c r="CK117" i="6" a="1"/>
  <c r="CK117" i="6" s="1"/>
  <c r="BN117" i="6"/>
  <c r="CG117" i="6" a="1"/>
  <c r="CG117" i="6" s="1"/>
  <c r="BM117" i="6"/>
  <c r="CI117" i="6" a="1"/>
  <c r="CI117" i="6" s="1"/>
  <c r="CJ117" i="6" a="1"/>
  <c r="CJ117" i="6" s="1"/>
  <c r="BT117" i="6"/>
  <c r="CF117" i="6" a="1"/>
  <c r="CF117" i="6" s="1"/>
  <c r="BS117" i="6"/>
  <c r="BP117" i="6"/>
  <c r="CM117" i="6" a="1"/>
  <c r="CM117" i="6" s="1"/>
  <c r="BR117" i="6"/>
  <c r="AV117" i="6"/>
  <c r="AU117" i="6"/>
  <c r="AY117" i="6"/>
  <c r="AX117" i="6"/>
  <c r="AT117" i="6"/>
  <c r="AW117" i="6"/>
  <c r="AZ117" i="6"/>
  <c r="BA117" i="6"/>
  <c r="CJ114" i="6" a="1"/>
  <c r="CJ114" i="6" s="1"/>
  <c r="BT114" i="6"/>
  <c r="CF114" i="6" a="1"/>
  <c r="CF114" i="6" s="1"/>
  <c r="BS114" i="6"/>
  <c r="CG114" i="6" a="1"/>
  <c r="CG114" i="6" s="1"/>
  <c r="CI114" i="6" a="1"/>
  <c r="CI114" i="6" s="1"/>
  <c r="BR114" i="6"/>
  <c r="CM114" i="6" a="1"/>
  <c r="CM114" i="6" s="1"/>
  <c r="BP114" i="6"/>
  <c r="BM114" i="6"/>
  <c r="CL114" i="6" a="1"/>
  <c r="CL114" i="6" s="1"/>
  <c r="BQ114" i="6"/>
  <c r="CH114" i="6" a="1"/>
  <c r="CH114" i="6" s="1"/>
  <c r="BO114" i="6"/>
  <c r="BA114" i="6"/>
  <c r="CK114" i="6" a="1"/>
  <c r="CK114" i="6" s="1"/>
  <c r="BN114" i="6"/>
  <c r="AZ114" i="6"/>
  <c r="AT114" i="6"/>
  <c r="AW114" i="6"/>
  <c r="AU114" i="6"/>
  <c r="AX114" i="6"/>
  <c r="AV114" i="6"/>
  <c r="AY114" i="6"/>
  <c r="CF116" i="6" a="1"/>
  <c r="CF116" i="6" s="1"/>
  <c r="BR116" i="6"/>
  <c r="CM116" i="6" a="1"/>
  <c r="CM116" i="6" s="1"/>
  <c r="BP116" i="6"/>
  <c r="CI116" i="6" a="1"/>
  <c r="CI116" i="6" s="1"/>
  <c r="BS116" i="6"/>
  <c r="CL116" i="6" a="1"/>
  <c r="CL116" i="6" s="1"/>
  <c r="BQ116" i="6"/>
  <c r="CH116" i="6" a="1"/>
  <c r="CH116" i="6" s="1"/>
  <c r="BO116" i="6"/>
  <c r="CK116" i="6" a="1"/>
  <c r="CK116" i="6" s="1"/>
  <c r="BN116" i="6"/>
  <c r="BA116" i="6"/>
  <c r="CG116" i="6" a="1"/>
  <c r="CG116" i="6" s="1"/>
  <c r="BM116" i="6"/>
  <c r="CJ116" i="6" a="1"/>
  <c r="CJ116" i="6" s="1"/>
  <c r="BT116" i="6"/>
  <c r="AY116" i="6"/>
  <c r="AZ116" i="6"/>
  <c r="AW116" i="6"/>
  <c r="AT116" i="6"/>
  <c r="AU116" i="6"/>
  <c r="AV116" i="6"/>
  <c r="AX116" i="6"/>
  <c r="J164" i="5"/>
  <c r="L163" i="12" a="1"/>
  <c r="L163" i="12" s="1"/>
  <c r="K163" i="12" s="1"/>
  <c r="A164" i="12"/>
  <c r="L164" i="12" s="1" a="1"/>
  <c r="L164" i="12" s="1"/>
  <c r="C165" i="5"/>
  <c r="N164" i="5"/>
  <c r="D164" i="6" s="1"/>
  <c r="E164" i="5"/>
  <c r="F164" i="5"/>
  <c r="B164" i="6"/>
  <c r="AE164" i="5" a="1"/>
  <c r="AE164" i="5" s="1"/>
  <c r="G164" i="5"/>
  <c r="W164" i="5" a="1"/>
  <c r="W164" i="5" s="1"/>
  <c r="H164" i="12" s="1" a="1"/>
  <c r="H164" i="12" s="1"/>
  <c r="AD164" i="5"/>
  <c r="H164" i="5"/>
  <c r="B164" i="5"/>
  <c r="K164" i="5"/>
  <c r="D164" i="5"/>
  <c r="B164" i="12" s="1"/>
  <c r="U103" i="12"/>
  <c r="T103" i="12"/>
  <c r="V103" i="12" a="1"/>
  <c r="V103" i="12" s="1"/>
  <c r="V105" i="12" a="1"/>
  <c r="V105" i="12" s="1"/>
  <c r="U105" i="12"/>
  <c r="N108" i="12"/>
  <c r="BY119" i="6" a="1"/>
  <c r="BY119" i="6" s="1"/>
  <c r="AM119" i="6"/>
  <c r="CC119" i="6" a="1"/>
  <c r="CC119" i="6" s="1"/>
  <c r="BG119" i="6"/>
  <c r="BW119" i="6" a="1"/>
  <c r="BW119" i="6" s="1"/>
  <c r="AO119" i="6"/>
  <c r="BL119" i="6"/>
  <c r="CE119" i="6" a="1"/>
  <c r="CE119" i="6" s="1"/>
  <c r="BJ119" i="6"/>
  <c r="AQ119" i="6"/>
  <c r="BF119" i="6"/>
  <c r="BK119" i="6"/>
  <c r="AR119" i="6"/>
  <c r="BX119" i="6" a="1"/>
  <c r="BX119" i="6" s="1"/>
  <c r="AK119" i="6"/>
  <c r="AN119" i="6"/>
  <c r="CD119" i="6" a="1"/>
  <c r="CD119" i="6" s="1"/>
  <c r="BZ119" i="6" a="1"/>
  <c r="BZ119" i="6" s="1"/>
  <c r="CB119" i="6" a="1"/>
  <c r="CB119" i="6" s="1"/>
  <c r="AS119" i="6"/>
  <c r="BH119" i="6"/>
  <c r="BI119" i="6"/>
  <c r="AL119" i="6"/>
  <c r="BV119" i="6" a="1"/>
  <c r="BV119" i="6" s="1"/>
  <c r="AP119" i="6"/>
  <c r="BD119" i="6"/>
  <c r="CA119" i="6" a="1"/>
  <c r="CA119" i="6" s="1"/>
  <c r="AJ119" i="6"/>
  <c r="BE119" i="6"/>
  <c r="BC119" i="6"/>
  <c r="BF121" i="6"/>
  <c r="BZ121" i="6" a="1"/>
  <c r="BZ121" i="6" s="1"/>
  <c r="BY121" i="6" a="1"/>
  <c r="BY121" i="6" s="1"/>
  <c r="AL121" i="6"/>
  <c r="BV121" i="6" a="1"/>
  <c r="BV121" i="6" s="1"/>
  <c r="BH121" i="6"/>
  <c r="AJ121" i="6"/>
  <c r="BX121" i="6" a="1"/>
  <c r="BX121" i="6" s="1"/>
  <c r="BC121" i="6"/>
  <c r="AR121" i="6"/>
  <c r="BJ121" i="6"/>
  <c r="AQ121" i="6"/>
  <c r="CE121" i="6" a="1"/>
  <c r="CE121" i="6" s="1"/>
  <c r="BI121" i="6"/>
  <c r="BW121" i="6" a="1"/>
  <c r="BW121" i="6" s="1"/>
  <c r="AO121" i="6"/>
  <c r="CA121" i="6" a="1"/>
  <c r="CA121" i="6" s="1"/>
  <c r="BK121" i="6"/>
  <c r="AS121" i="6"/>
  <c r="AN121" i="6"/>
  <c r="CD121" i="6" a="1"/>
  <c r="CD121" i="6" s="1"/>
  <c r="AP121" i="6"/>
  <c r="CC121" i="6" a="1"/>
  <c r="CC121" i="6" s="1"/>
  <c r="BL121" i="6"/>
  <c r="AM121" i="6"/>
  <c r="BD121" i="6"/>
  <c r="CB121" i="6" a="1"/>
  <c r="CB121" i="6" s="1"/>
  <c r="BE121" i="6"/>
  <c r="BG121" i="6"/>
  <c r="AK121" i="6"/>
  <c r="M123" i="6"/>
  <c r="AO110" i="12" a="1"/>
  <c r="AO110" i="12" s="1"/>
  <c r="M110" i="12" a="1"/>
  <c r="M110" i="12" s="1"/>
  <c r="C110" i="12"/>
  <c r="O110" i="12" a="1"/>
  <c r="O110" i="12" s="1"/>
  <c r="CE114" i="6" a="1"/>
  <c r="CE114" i="6" s="1"/>
  <c r="BY114" i="6" a="1"/>
  <c r="BY114" i="6" s="1"/>
  <c r="BV114" i="6" a="1"/>
  <c r="BV114" i="6" s="1"/>
  <c r="AL114" i="6"/>
  <c r="BZ114" i="6" a="1"/>
  <c r="BZ114" i="6" s="1"/>
  <c r="CA114" i="6" a="1"/>
  <c r="CA114" i="6" s="1"/>
  <c r="BE114" i="6"/>
  <c r="BK114" i="6"/>
  <c r="BF114" i="6"/>
  <c r="BC114" i="6"/>
  <c r="CD114" i="6" a="1"/>
  <c r="CD114" i="6" s="1"/>
  <c r="BD114" i="6"/>
  <c r="AQ114" i="6"/>
  <c r="AN114" i="6"/>
  <c r="BL114" i="6"/>
  <c r="AJ114" i="6"/>
  <c r="AP114" i="6"/>
  <c r="BW114" i="6" a="1"/>
  <c r="BW114" i="6" s="1"/>
  <c r="AM114" i="6"/>
  <c r="BG114" i="6"/>
  <c r="AO114" i="6"/>
  <c r="BJ114" i="6"/>
  <c r="AS114" i="6"/>
  <c r="CC114" i="6" a="1"/>
  <c r="CC114" i="6" s="1"/>
  <c r="AK114" i="6"/>
  <c r="BX114" i="6" a="1"/>
  <c r="BX114" i="6" s="1"/>
  <c r="BI114" i="6"/>
  <c r="BH114" i="6"/>
  <c r="AR114" i="6"/>
  <c r="CB114" i="6" a="1"/>
  <c r="CB114" i="6" s="1"/>
  <c r="BK116" i="6"/>
  <c r="BC116" i="6"/>
  <c r="BV116" i="6" a="1"/>
  <c r="BV116" i="6" s="1"/>
  <c r="AR116" i="6"/>
  <c r="CC116" i="6" a="1"/>
  <c r="CC116" i="6" s="1"/>
  <c r="BY116" i="6" a="1"/>
  <c r="BY116" i="6" s="1"/>
  <c r="CD116" i="6" a="1"/>
  <c r="CD116" i="6" s="1"/>
  <c r="AJ116" i="6"/>
  <c r="BG116" i="6"/>
  <c r="BJ116" i="6"/>
  <c r="BZ116" i="6" a="1"/>
  <c r="BZ116" i="6" s="1"/>
  <c r="CA116" i="6" a="1"/>
  <c r="CA116" i="6" s="1"/>
  <c r="BH116" i="6"/>
  <c r="AM116" i="6"/>
  <c r="AQ116" i="6"/>
  <c r="AS116" i="6"/>
  <c r="AP116" i="6"/>
  <c r="BI116" i="6"/>
  <c r="AN116" i="6"/>
  <c r="BL116" i="6"/>
  <c r="BF116" i="6"/>
  <c r="BD116" i="6"/>
  <c r="AO116" i="6"/>
  <c r="AL116" i="6"/>
  <c r="BX116" i="6" a="1"/>
  <c r="BX116" i="6" s="1"/>
  <c r="BE116" i="6"/>
  <c r="BW116" i="6" a="1"/>
  <c r="BW116" i="6" s="1"/>
  <c r="CB116" i="6" a="1"/>
  <c r="CB116" i="6" s="1"/>
  <c r="CE116" i="6" a="1"/>
  <c r="CE116" i="6" s="1"/>
  <c r="AK116" i="6"/>
  <c r="X113" i="5" a="1"/>
  <c r="X113" i="5" s="1"/>
  <c r="AM111" i="5"/>
  <c r="Z111" i="5"/>
  <c r="AB111" i="5" s="1" a="1"/>
  <c r="AB111" i="5" s="1"/>
  <c r="L111" i="5"/>
  <c r="C111" i="6" s="1"/>
  <c r="I111" i="12"/>
  <c r="Y108" i="12"/>
  <c r="CB115" i="6" a="1"/>
  <c r="CB115" i="6" s="1"/>
  <c r="BD115" i="6"/>
  <c r="AL115" i="6"/>
  <c r="BH115" i="6"/>
  <c r="AQ115" i="6"/>
  <c r="CC115" i="6" a="1"/>
  <c r="CC115" i="6" s="1"/>
  <c r="AR115" i="6"/>
  <c r="AS115" i="6"/>
  <c r="BY115" i="6" a="1"/>
  <c r="BY115" i="6" s="1"/>
  <c r="BF115" i="6"/>
  <c r="AJ115" i="6"/>
  <c r="CD115" i="6" a="1"/>
  <c r="CD115" i="6" s="1"/>
  <c r="BL115" i="6"/>
  <c r="BI115" i="6"/>
  <c r="BK115" i="6"/>
  <c r="BC115" i="6"/>
  <c r="BX115" i="6" a="1"/>
  <c r="BX115" i="6" s="1"/>
  <c r="BV115" i="6" a="1"/>
  <c r="BV115" i="6" s="1"/>
  <c r="BZ115" i="6" a="1"/>
  <c r="BZ115" i="6" s="1"/>
  <c r="AK115" i="6"/>
  <c r="CA115" i="6" a="1"/>
  <c r="CA115" i="6" s="1"/>
  <c r="BE115" i="6"/>
  <c r="BW115" i="6" a="1"/>
  <c r="BW115" i="6" s="1"/>
  <c r="AO115" i="6"/>
  <c r="AM115" i="6"/>
  <c r="BJ115" i="6"/>
  <c r="BG115" i="6"/>
  <c r="AN115" i="6"/>
  <c r="AP115" i="6"/>
  <c r="CE115" i="6" a="1"/>
  <c r="CE115" i="6" s="1"/>
  <c r="BD118" i="6"/>
  <c r="AQ118" i="6"/>
  <c r="BG118" i="6"/>
  <c r="BI118" i="6"/>
  <c r="BV118" i="6" a="1"/>
  <c r="BV118" i="6" s="1"/>
  <c r="CD118" i="6" a="1"/>
  <c r="CD118" i="6" s="1"/>
  <c r="AR118" i="6"/>
  <c r="AK118" i="6"/>
  <c r="AM118" i="6"/>
  <c r="CB118" i="6" a="1"/>
  <c r="CB118" i="6" s="1"/>
  <c r="AP118" i="6"/>
  <c r="BC118" i="6"/>
  <c r="AL118" i="6"/>
  <c r="AS118" i="6"/>
  <c r="BY118" i="6" a="1"/>
  <c r="BY118" i="6" s="1"/>
  <c r="BH118" i="6"/>
  <c r="BK118" i="6"/>
  <c r="CC118" i="6" a="1"/>
  <c r="CC118" i="6" s="1"/>
  <c r="CE118" i="6" a="1"/>
  <c r="CE118" i="6" s="1"/>
  <c r="AO118" i="6"/>
  <c r="CA118" i="6" a="1"/>
  <c r="CA118" i="6" s="1"/>
  <c r="BE118" i="6"/>
  <c r="AJ118" i="6"/>
  <c r="BL118" i="6"/>
  <c r="BX118" i="6" a="1"/>
  <c r="BX118" i="6" s="1"/>
  <c r="BF118" i="6"/>
  <c r="AN118" i="6"/>
  <c r="BZ118" i="6" a="1"/>
  <c r="BZ118" i="6" s="1"/>
  <c r="BW118" i="6" a="1"/>
  <c r="BW118" i="6" s="1"/>
  <c r="BJ118" i="6"/>
  <c r="BD120" i="6"/>
  <c r="AO120" i="6"/>
  <c r="CE120" i="6" a="1"/>
  <c r="CE120" i="6" s="1"/>
  <c r="AM120" i="6"/>
  <c r="BZ120" i="6" a="1"/>
  <c r="BZ120" i="6" s="1"/>
  <c r="BY120" i="6" a="1"/>
  <c r="BY120" i="6" s="1"/>
  <c r="CA120" i="6" a="1"/>
  <c r="CA120" i="6" s="1"/>
  <c r="BJ120" i="6"/>
  <c r="AL120" i="6"/>
  <c r="BF120" i="6"/>
  <c r="BG120" i="6"/>
  <c r="AR120" i="6"/>
  <c r="BV120" i="6" a="1"/>
  <c r="BV120" i="6" s="1"/>
  <c r="BH120" i="6"/>
  <c r="BC120" i="6"/>
  <c r="BL120" i="6"/>
  <c r="CB120" i="6" a="1"/>
  <c r="CB120" i="6" s="1"/>
  <c r="BX120" i="6" a="1"/>
  <c r="BX120" i="6" s="1"/>
  <c r="CC120" i="6" a="1"/>
  <c r="CC120" i="6" s="1"/>
  <c r="BW120" i="6" a="1"/>
  <c r="BW120" i="6" s="1"/>
  <c r="BE120" i="6"/>
  <c r="AQ120" i="6"/>
  <c r="AK120" i="6"/>
  <c r="AN120" i="6"/>
  <c r="AJ120" i="6"/>
  <c r="AS120" i="6"/>
  <c r="AP120" i="6"/>
  <c r="CD120" i="6" a="1"/>
  <c r="CD120" i="6" s="1"/>
  <c r="BK120" i="6"/>
  <c r="BI120" i="6"/>
  <c r="CE117" i="6" a="1"/>
  <c r="CE117" i="6" s="1"/>
  <c r="CA117" i="6" a="1"/>
  <c r="CA117" i="6" s="1"/>
  <c r="BC117" i="6"/>
  <c r="BI117" i="6"/>
  <c r="AL117" i="6"/>
  <c r="AR117" i="6"/>
  <c r="AN117" i="6"/>
  <c r="BZ117" i="6" a="1"/>
  <c r="BZ117" i="6" s="1"/>
  <c r="BL117" i="6"/>
  <c r="BX117" i="6" a="1"/>
  <c r="BX117" i="6" s="1"/>
  <c r="AS117" i="6"/>
  <c r="CC117" i="6" a="1"/>
  <c r="CC117" i="6" s="1"/>
  <c r="AO117" i="6"/>
  <c r="BE117" i="6"/>
  <c r="BK117" i="6"/>
  <c r="BY117" i="6" a="1"/>
  <c r="BY117" i="6" s="1"/>
  <c r="BD117" i="6"/>
  <c r="BH117" i="6"/>
  <c r="AP117" i="6"/>
  <c r="AJ117" i="6"/>
  <c r="AK117" i="6"/>
  <c r="BJ117" i="6"/>
  <c r="BF117" i="6"/>
  <c r="CB117" i="6" a="1"/>
  <c r="CB117" i="6" s="1"/>
  <c r="BG117" i="6"/>
  <c r="BW117" i="6" a="1"/>
  <c r="BW117" i="6" s="1"/>
  <c r="AM117" i="6"/>
  <c r="AQ117" i="6"/>
  <c r="CD117" i="6" a="1"/>
  <c r="CD117" i="6" s="1"/>
  <c r="BV117" i="6" a="1"/>
  <c r="BV117" i="6" s="1"/>
  <c r="N157" i="6"/>
  <c r="A158" i="6"/>
  <c r="L166" i="6"/>
  <c r="H164" i="6" l="1" a="1"/>
  <c r="H164" i="6" s="1"/>
  <c r="T164" i="5" s="1"/>
  <c r="G164" i="12" s="1" a="1"/>
  <c r="G164" i="12" s="1"/>
  <c r="CH123" i="6" a="1"/>
  <c r="CH123" i="6" s="1"/>
  <c r="BQ123" i="6"/>
  <c r="CK123" i="6" a="1"/>
  <c r="CK123" i="6" s="1"/>
  <c r="BO123" i="6"/>
  <c r="CG123" i="6" a="1"/>
  <c r="CG123" i="6" s="1"/>
  <c r="BN123" i="6"/>
  <c r="CJ123" i="6" a="1"/>
  <c r="CJ123" i="6" s="1"/>
  <c r="BM123" i="6"/>
  <c r="CF123" i="6" a="1"/>
  <c r="CF123" i="6" s="1"/>
  <c r="BT123" i="6"/>
  <c r="CM123" i="6" a="1"/>
  <c r="CM123" i="6" s="1"/>
  <c r="BS123" i="6"/>
  <c r="CL123" i="6" a="1"/>
  <c r="CL123" i="6" s="1"/>
  <c r="BR123" i="6"/>
  <c r="CI123" i="6" a="1"/>
  <c r="CI123" i="6" s="1"/>
  <c r="BP123" i="6"/>
  <c r="AW123" i="6"/>
  <c r="BA123" i="6"/>
  <c r="AT123" i="6"/>
  <c r="AX123" i="6"/>
  <c r="AU123" i="6"/>
  <c r="AY123" i="6"/>
  <c r="AV123" i="6"/>
  <c r="AZ123" i="6"/>
  <c r="AE165" i="5" a="1"/>
  <c r="AE165" i="5" s="1"/>
  <c r="C166" i="5"/>
  <c r="K165" i="5"/>
  <c r="B165" i="6"/>
  <c r="N165" i="5"/>
  <c r="D165" i="6" s="1"/>
  <c r="H165" i="6" s="1" a="1"/>
  <c r="H165" i="6" s="1"/>
  <c r="T165" i="5" s="1"/>
  <c r="G165" i="12" s="1" a="1"/>
  <c r="G165" i="12" s="1"/>
  <c r="D165" i="5"/>
  <c r="B165" i="12" s="1"/>
  <c r="E165" i="5"/>
  <c r="J165" i="5"/>
  <c r="W165" i="5" a="1"/>
  <c r="W165" i="5" s="1"/>
  <c r="H165" i="12" s="1" a="1"/>
  <c r="H165" i="12" s="1"/>
  <c r="A165" i="12"/>
  <c r="L165" i="12" s="1" a="1"/>
  <c r="L165" i="12" s="1"/>
  <c r="AD165" i="5"/>
  <c r="B165" i="5"/>
  <c r="J164" i="12" a="1"/>
  <c r="J164" i="12" s="1"/>
  <c r="K164" i="12" s="1"/>
  <c r="F165" i="5"/>
  <c r="G165" i="5"/>
  <c r="H165" i="5"/>
  <c r="Y110" i="12"/>
  <c r="W110" i="12" s="1" a="1"/>
  <c r="W110" i="12" s="1"/>
  <c r="X120" i="5" a="1"/>
  <c r="X120" i="5" s="1"/>
  <c r="I120" i="12" s="1"/>
  <c r="X118" i="5" a="1"/>
  <c r="X118" i="5" s="1"/>
  <c r="L118" i="5" s="1"/>
  <c r="C118" i="6" s="1"/>
  <c r="N110" i="12"/>
  <c r="X116" i="5" a="1"/>
  <c r="X116" i="5" s="1"/>
  <c r="X115" i="5" a="1"/>
  <c r="X115" i="5" s="1"/>
  <c r="L113" i="5"/>
  <c r="C113" i="6" s="1"/>
  <c r="I113" i="12"/>
  <c r="AM113" i="5"/>
  <c r="Z113" i="5"/>
  <c r="AB113" i="5" s="1" a="1"/>
  <c r="AB113" i="5" s="1"/>
  <c r="BL123" i="6"/>
  <c r="BC123" i="6"/>
  <c r="AL123" i="6"/>
  <c r="AP123" i="6"/>
  <c r="BV123" i="6" a="1"/>
  <c r="BV123" i="6" s="1"/>
  <c r="BX123" i="6" a="1"/>
  <c r="BX123" i="6" s="1"/>
  <c r="BZ123" i="6" a="1"/>
  <c r="BZ123" i="6" s="1"/>
  <c r="AK123" i="6"/>
  <c r="AJ123" i="6"/>
  <c r="CC123" i="6" a="1"/>
  <c r="CC123" i="6" s="1"/>
  <c r="BH123" i="6"/>
  <c r="BW123" i="6" a="1"/>
  <c r="BW123" i="6" s="1"/>
  <c r="AR123" i="6"/>
  <c r="BJ123" i="6"/>
  <c r="AM123" i="6"/>
  <c r="AN123" i="6"/>
  <c r="BD123" i="6"/>
  <c r="CE123" i="6" a="1"/>
  <c r="CE123" i="6" s="1"/>
  <c r="BF123" i="6"/>
  <c r="CD123" i="6" a="1"/>
  <c r="CD123" i="6" s="1"/>
  <c r="AS123" i="6"/>
  <c r="BG123" i="6"/>
  <c r="AO123" i="6"/>
  <c r="BK123" i="6"/>
  <c r="BY123" i="6" a="1"/>
  <c r="BY123" i="6" s="1"/>
  <c r="AQ123" i="6"/>
  <c r="CB123" i="6" a="1"/>
  <c r="CB123" i="6" s="1"/>
  <c r="CA123" i="6" a="1"/>
  <c r="CA123" i="6" s="1"/>
  <c r="BI123" i="6"/>
  <c r="BE123" i="6"/>
  <c r="M124" i="6"/>
  <c r="X121" i="5" a="1"/>
  <c r="X121" i="5" s="1"/>
  <c r="X119" i="5" a="1"/>
  <c r="X119" i="5" s="1"/>
  <c r="W108" i="12" a="1"/>
  <c r="W108" i="12" s="1"/>
  <c r="X108" i="12" a="1"/>
  <c r="X108" i="12" s="1"/>
  <c r="C111" i="12"/>
  <c r="AO111" i="12" a="1"/>
  <c r="AO111" i="12" s="1"/>
  <c r="M111" i="12" a="1"/>
  <c r="M111" i="12" s="1"/>
  <c r="O111" i="12" a="1"/>
  <c r="O111" i="12" s="1"/>
  <c r="X117" i="5" a="1"/>
  <c r="X117" i="5" s="1"/>
  <c r="X114" i="5" a="1"/>
  <c r="X114" i="5" s="1"/>
  <c r="A159" i="6"/>
  <c r="L167" i="6"/>
  <c r="CL124" i="6" l="1" a="1"/>
  <c r="CL124" i="6" s="1"/>
  <c r="BN124" i="6"/>
  <c r="CG124" i="6" a="1"/>
  <c r="CG124" i="6" s="1"/>
  <c r="BM124" i="6"/>
  <c r="BS124" i="6"/>
  <c r="CK124" i="6" a="1"/>
  <c r="CK124" i="6" s="1"/>
  <c r="BT124" i="6"/>
  <c r="CF124" i="6" a="1"/>
  <c r="CF124" i="6" s="1"/>
  <c r="BR124" i="6"/>
  <c r="CM124" i="6" a="1"/>
  <c r="CM124" i="6" s="1"/>
  <c r="BP124" i="6"/>
  <c r="CJ124" i="6" a="1"/>
  <c r="CJ124" i="6" s="1"/>
  <c r="CI124" i="6" a="1"/>
  <c r="CI124" i="6" s="1"/>
  <c r="BQ124" i="6"/>
  <c r="CH124" i="6" a="1"/>
  <c r="CH124" i="6" s="1"/>
  <c r="BO124" i="6"/>
  <c r="AT124" i="6"/>
  <c r="AU124" i="6"/>
  <c r="BA124" i="6"/>
  <c r="AW124" i="6"/>
  <c r="AV124" i="6"/>
  <c r="AX124" i="6"/>
  <c r="AY124" i="6"/>
  <c r="AZ124" i="6"/>
  <c r="K166" i="5"/>
  <c r="H166" i="5"/>
  <c r="B166" i="5"/>
  <c r="G166" i="5"/>
  <c r="E166" i="5"/>
  <c r="N166" i="5"/>
  <c r="D166" i="6" s="1"/>
  <c r="B166" i="6"/>
  <c r="A166" i="12"/>
  <c r="L166" i="12" s="1" a="1"/>
  <c r="L166" i="12" s="1"/>
  <c r="F166" i="5"/>
  <c r="C167" i="5"/>
  <c r="AE166" i="5" a="1"/>
  <c r="AE166" i="5" s="1"/>
  <c r="D166" i="5"/>
  <c r="B166" i="12" s="1"/>
  <c r="W166" i="5" a="1"/>
  <c r="W166" i="5" s="1"/>
  <c r="H166" i="12" s="1" a="1"/>
  <c r="H166" i="12" s="1"/>
  <c r="J166" i="5"/>
  <c r="AD166" i="5"/>
  <c r="J165" i="12" a="1"/>
  <c r="J165" i="12" s="1"/>
  <c r="K165" i="12" s="1"/>
  <c r="Z118" i="5"/>
  <c r="AB118" i="5" s="1" a="1"/>
  <c r="AB118" i="5" s="1"/>
  <c r="AM118" i="5"/>
  <c r="I118" i="12"/>
  <c r="C118" i="12" s="1"/>
  <c r="X110" i="12" a="1"/>
  <c r="X110" i="12" s="1"/>
  <c r="Y111" i="12"/>
  <c r="W111" i="12" s="1" a="1"/>
  <c r="W111" i="12" s="1"/>
  <c r="AM120" i="5"/>
  <c r="Z120" i="5"/>
  <c r="AB120" i="5" s="1" a="1"/>
  <c r="AB120" i="5" s="1"/>
  <c r="L120" i="5"/>
  <c r="C120" i="6" s="1"/>
  <c r="N111" i="12"/>
  <c r="V108" i="12" a="1"/>
  <c r="V108" i="12" s="1"/>
  <c r="U108" i="12"/>
  <c r="T108" i="12"/>
  <c r="L115" i="5"/>
  <c r="C115" i="6" s="1"/>
  <c r="AM115" i="5"/>
  <c r="Z115" i="5"/>
  <c r="AB115" i="5" s="1" a="1"/>
  <c r="AB115" i="5" s="1"/>
  <c r="I115" i="12"/>
  <c r="I119" i="12"/>
  <c r="Z119" i="5"/>
  <c r="AB119" i="5" s="1" a="1"/>
  <c r="AB119" i="5" s="1"/>
  <c r="AM119" i="5"/>
  <c r="L119" i="5"/>
  <c r="C119" i="6" s="1"/>
  <c r="X123" i="5" a="1"/>
  <c r="X123" i="5" s="1"/>
  <c r="I116" i="12"/>
  <c r="AM116" i="5"/>
  <c r="L116" i="5"/>
  <c r="C116" i="6" s="1"/>
  <c r="Z116" i="5"/>
  <c r="AB116" i="5" s="1" a="1"/>
  <c r="AB116" i="5" s="1"/>
  <c r="Z121" i="5"/>
  <c r="AB121" i="5" s="1" a="1"/>
  <c r="AB121" i="5" s="1"/>
  <c r="L121" i="5"/>
  <c r="C121" i="6" s="1"/>
  <c r="I121" i="12"/>
  <c r="AM121" i="5"/>
  <c r="CB124" i="6" a="1"/>
  <c r="CB124" i="6" s="1"/>
  <c r="BZ124" i="6" a="1"/>
  <c r="BZ124" i="6" s="1"/>
  <c r="AK124" i="6"/>
  <c r="AJ124" i="6"/>
  <c r="AQ124" i="6"/>
  <c r="CC124" i="6" a="1"/>
  <c r="CC124" i="6" s="1"/>
  <c r="BL124" i="6"/>
  <c r="AS124" i="6"/>
  <c r="BW124" i="6" a="1"/>
  <c r="BW124" i="6" s="1"/>
  <c r="BG124" i="6"/>
  <c r="BC124" i="6"/>
  <c r="BJ124" i="6"/>
  <c r="AO124" i="6"/>
  <c r="AL124" i="6"/>
  <c r="CD124" i="6" a="1"/>
  <c r="CD124" i="6" s="1"/>
  <c r="BY124" i="6" a="1"/>
  <c r="BY124" i="6" s="1"/>
  <c r="BE124" i="6"/>
  <c r="AP124" i="6"/>
  <c r="CA124" i="6" a="1"/>
  <c r="CA124" i="6" s="1"/>
  <c r="BV124" i="6" a="1"/>
  <c r="BV124" i="6" s="1"/>
  <c r="BX124" i="6" a="1"/>
  <c r="BX124" i="6" s="1"/>
  <c r="AM124" i="6"/>
  <c r="BF124" i="6"/>
  <c r="BI124" i="6"/>
  <c r="AR124" i="6"/>
  <c r="BK124" i="6"/>
  <c r="CE124" i="6" a="1"/>
  <c r="CE124" i="6" s="1"/>
  <c r="BH124" i="6"/>
  <c r="AN124" i="6"/>
  <c r="BD124" i="6"/>
  <c r="M126" i="6"/>
  <c r="U110" i="12"/>
  <c r="V110" i="12" a="1"/>
  <c r="V110" i="12" s="1"/>
  <c r="T110" i="12"/>
  <c r="I117" i="12"/>
  <c r="L117" i="5"/>
  <c r="C117" i="6" s="1"/>
  <c r="AM117" i="5"/>
  <c r="Z117" i="5"/>
  <c r="AB117" i="5" s="1" a="1"/>
  <c r="AB117" i="5" s="1"/>
  <c r="AO113" i="12" a="1"/>
  <c r="AO113" i="12" s="1"/>
  <c r="M113" i="12" a="1"/>
  <c r="M113" i="12" s="1"/>
  <c r="O113" i="12" a="1"/>
  <c r="O113" i="12" s="1"/>
  <c r="C113" i="12"/>
  <c r="I114" i="12"/>
  <c r="AM114" i="5"/>
  <c r="L114" i="5"/>
  <c r="C114" i="6" s="1"/>
  <c r="Z114" i="5"/>
  <c r="AB114" i="5" s="1" a="1"/>
  <c r="AB114" i="5" s="1"/>
  <c r="M120" i="12" a="1"/>
  <c r="M120" i="12" s="1"/>
  <c r="C120" i="12"/>
  <c r="O120" i="12" a="1"/>
  <c r="O120" i="12" s="1"/>
  <c r="AO120" i="12" a="1"/>
  <c r="AO120" i="12" s="1"/>
  <c r="A160" i="6"/>
  <c r="L168" i="6"/>
  <c r="CJ126" i="6" l="1" a="1"/>
  <c r="CJ126" i="6" s="1"/>
  <c r="BQ126" i="6"/>
  <c r="BT126" i="6"/>
  <c r="CH126" i="6" a="1"/>
  <c r="CH126" i="6" s="1"/>
  <c r="CL126" i="6" a="1"/>
  <c r="CL126" i="6" s="1"/>
  <c r="BO126" i="6"/>
  <c r="BN126" i="6"/>
  <c r="CI126" i="6" a="1"/>
  <c r="CI126" i="6" s="1"/>
  <c r="CM126" i="6" a="1"/>
  <c r="CM126" i="6" s="1"/>
  <c r="BM126" i="6"/>
  <c r="CK126" i="6" a="1"/>
  <c r="CK126" i="6" s="1"/>
  <c r="BS126" i="6"/>
  <c r="CG126" i="6" a="1"/>
  <c r="CG126" i="6" s="1"/>
  <c r="BR126" i="6"/>
  <c r="CF126" i="6" a="1"/>
  <c r="CF126" i="6" s="1"/>
  <c r="BP126" i="6"/>
  <c r="AV126" i="6"/>
  <c r="AW126" i="6"/>
  <c r="AY126" i="6"/>
  <c r="BA126" i="6"/>
  <c r="AX126" i="6"/>
  <c r="AT126" i="6"/>
  <c r="AU126" i="6"/>
  <c r="AZ126" i="6"/>
  <c r="B167" i="6"/>
  <c r="G167" i="5"/>
  <c r="AD167" i="5"/>
  <c r="W167" i="5" a="1"/>
  <c r="W167" i="5" s="1"/>
  <c r="H167" i="12" s="1" a="1"/>
  <c r="H167" i="12" s="1"/>
  <c r="J167" i="5"/>
  <c r="N167" i="5"/>
  <c r="D167" i="6" s="1"/>
  <c r="AE167" i="5" a="1"/>
  <c r="AE167" i="5" s="1"/>
  <c r="B167" i="5"/>
  <c r="H167" i="5"/>
  <c r="K167" i="5"/>
  <c r="A167" i="12"/>
  <c r="J167" i="12" s="1" a="1"/>
  <c r="J167" i="12" s="1"/>
  <c r="D167" i="5"/>
  <c r="B167" i="12" s="1"/>
  <c r="F167" i="5"/>
  <c r="E167" i="5"/>
  <c r="C168" i="5"/>
  <c r="J166" i="12" a="1"/>
  <c r="J166" i="12" s="1"/>
  <c r="K166" i="12" s="1"/>
  <c r="M118" i="12" a="1"/>
  <c r="M118" i="12" s="1"/>
  <c r="O118" i="12" a="1"/>
  <c r="O118" i="12" s="1"/>
  <c r="AO118" i="12" a="1"/>
  <c r="AO118" i="12" s="1"/>
  <c r="X111" i="12" a="1"/>
  <c r="X111" i="12" s="1"/>
  <c r="Y113" i="12"/>
  <c r="X113" i="12" s="1" a="1"/>
  <c r="X113" i="12" s="1"/>
  <c r="Y120" i="12"/>
  <c r="W120" i="12" s="1" a="1"/>
  <c r="W120" i="12" s="1"/>
  <c r="T111" i="12"/>
  <c r="U111" i="12"/>
  <c r="V111" i="12" a="1"/>
  <c r="V111" i="12" s="1"/>
  <c r="C116" i="12"/>
  <c r="AO116" i="12" a="1"/>
  <c r="AO116" i="12" s="1"/>
  <c r="M116" i="12" a="1"/>
  <c r="M116" i="12" s="1"/>
  <c r="O116" i="12" a="1"/>
  <c r="O116" i="12" s="1"/>
  <c r="M115" i="12" a="1"/>
  <c r="M115" i="12" s="1"/>
  <c r="O115" i="12" a="1"/>
  <c r="O115" i="12" s="1"/>
  <c r="AO115" i="12" a="1"/>
  <c r="AO115" i="12" s="1"/>
  <c r="C115" i="12"/>
  <c r="L123" i="5"/>
  <c r="C123" i="6" s="1"/>
  <c r="AM123" i="5"/>
  <c r="Z123" i="5"/>
  <c r="AB123" i="5" s="1" a="1"/>
  <c r="AB123" i="5" s="1"/>
  <c r="I123" i="12"/>
  <c r="C114" i="12"/>
  <c r="AO114" i="12" a="1"/>
  <c r="AO114" i="12" s="1"/>
  <c r="O114" i="12" a="1"/>
  <c r="O114" i="12" s="1"/>
  <c r="M114" i="12" a="1"/>
  <c r="M114" i="12" s="1"/>
  <c r="AL126" i="6"/>
  <c r="BF126" i="6"/>
  <c r="BW126" i="6" a="1"/>
  <c r="BW126" i="6" s="1"/>
  <c r="BL126" i="6"/>
  <c r="BX126" i="6" a="1"/>
  <c r="BX126" i="6" s="1"/>
  <c r="BD126" i="6"/>
  <c r="M127" i="6"/>
  <c r="BV126" i="6" a="1"/>
  <c r="BV126" i="6" s="1"/>
  <c r="AS126" i="6"/>
  <c r="BI126" i="6"/>
  <c r="AN126" i="6"/>
  <c r="CA126" i="6" a="1"/>
  <c r="CA126" i="6" s="1"/>
  <c r="BC126" i="6"/>
  <c r="BG126" i="6"/>
  <c r="CE126" i="6" a="1"/>
  <c r="CE126" i="6" s="1"/>
  <c r="AR126" i="6"/>
  <c r="BZ126" i="6" a="1"/>
  <c r="BZ126" i="6" s="1"/>
  <c r="AP126" i="6"/>
  <c r="AO126" i="6"/>
  <c r="CC126" i="6" a="1"/>
  <c r="CC126" i="6" s="1"/>
  <c r="BK126" i="6"/>
  <c r="AJ126" i="6"/>
  <c r="AQ126" i="6"/>
  <c r="BH126" i="6"/>
  <c r="BY126" i="6" a="1"/>
  <c r="BY126" i="6" s="1"/>
  <c r="BE126" i="6"/>
  <c r="AK126" i="6"/>
  <c r="CB126" i="6" a="1"/>
  <c r="CB126" i="6" s="1"/>
  <c r="CD126" i="6" a="1"/>
  <c r="CD126" i="6" s="1"/>
  <c r="BJ126" i="6"/>
  <c r="AM126" i="6"/>
  <c r="M128" i="6"/>
  <c r="M121" i="12" a="1"/>
  <c r="M121" i="12" s="1"/>
  <c r="O121" i="12" a="1"/>
  <c r="O121" i="12" s="1"/>
  <c r="C121" i="12"/>
  <c r="AO121" i="12" a="1"/>
  <c r="AO121" i="12" s="1"/>
  <c r="N120" i="12"/>
  <c r="N113" i="12"/>
  <c r="X124" i="5" a="1"/>
  <c r="X124" i="5" s="1"/>
  <c r="M119" i="12" a="1"/>
  <c r="M119" i="12" s="1"/>
  <c r="O119" i="12" a="1"/>
  <c r="O119" i="12" s="1"/>
  <c r="C119" i="12"/>
  <c r="AO119" i="12" a="1"/>
  <c r="AO119" i="12" s="1"/>
  <c r="C117" i="12"/>
  <c r="O117" i="12" a="1"/>
  <c r="O117" i="12" s="1"/>
  <c r="AO117" i="12" a="1"/>
  <c r="AO117" i="12" s="1"/>
  <c r="M117" i="12" a="1"/>
  <c r="M117" i="12" s="1"/>
  <c r="A161" i="6"/>
  <c r="H166" i="6" a="1"/>
  <c r="H166" i="6" s="1"/>
  <c r="L169" i="6"/>
  <c r="H167" i="6" l="1" a="1"/>
  <c r="H167" i="6" s="1"/>
  <c r="T167" i="5" s="1"/>
  <c r="G167" i="12" s="1" a="1"/>
  <c r="G167" i="12" s="1"/>
  <c r="CH127" i="6" a="1"/>
  <c r="CH127" i="6" s="1"/>
  <c r="BT127" i="6"/>
  <c r="CG127" i="6" a="1"/>
  <c r="CG127" i="6" s="1"/>
  <c r="BP127" i="6"/>
  <c r="BS127" i="6"/>
  <c r="BN127" i="6"/>
  <c r="CK127" i="6" a="1"/>
  <c r="CK127" i="6" s="1"/>
  <c r="BQ127" i="6"/>
  <c r="CM127" i="6" a="1"/>
  <c r="CM127" i="6" s="1"/>
  <c r="BO127" i="6"/>
  <c r="CJ127" i="6" a="1"/>
  <c r="CJ127" i="6" s="1"/>
  <c r="CF127" i="6" a="1"/>
  <c r="CF127" i="6" s="1"/>
  <c r="BR127" i="6"/>
  <c r="BA127" i="6"/>
  <c r="CL127" i="6" a="1"/>
  <c r="CL127" i="6" s="1"/>
  <c r="CI127" i="6" a="1"/>
  <c r="CI127" i="6" s="1"/>
  <c r="BM127" i="6"/>
  <c r="AZ127" i="6"/>
  <c r="AT127" i="6"/>
  <c r="AV127" i="6"/>
  <c r="AU127" i="6"/>
  <c r="AW127" i="6"/>
  <c r="AX127" i="6"/>
  <c r="AY127" i="6"/>
  <c r="CH128" i="6" a="1"/>
  <c r="CH128" i="6" s="1"/>
  <c r="BM128" i="6"/>
  <c r="AV128" i="6"/>
  <c r="CM128" i="6" a="1"/>
  <c r="CM128" i="6" s="1"/>
  <c r="BT128" i="6"/>
  <c r="CJ128" i="6" a="1"/>
  <c r="CJ128" i="6" s="1"/>
  <c r="BS128" i="6"/>
  <c r="BR128" i="6"/>
  <c r="BP128" i="6"/>
  <c r="AX128" i="6"/>
  <c r="CL128" i="6" a="1"/>
  <c r="CL128" i="6" s="1"/>
  <c r="BQ128" i="6"/>
  <c r="CG128" i="6" a="1"/>
  <c r="CG128" i="6" s="1"/>
  <c r="CK128" i="6" a="1"/>
  <c r="CK128" i="6" s="1"/>
  <c r="AT128" i="6"/>
  <c r="CF128" i="6" a="1"/>
  <c r="CF128" i="6" s="1"/>
  <c r="BO128" i="6"/>
  <c r="AU128" i="6"/>
  <c r="CI128" i="6" a="1"/>
  <c r="CI128" i="6" s="1"/>
  <c r="BN128" i="6"/>
  <c r="BA128" i="6"/>
  <c r="AY128" i="6"/>
  <c r="AW128" i="6"/>
  <c r="AZ128" i="6"/>
  <c r="B168" i="5"/>
  <c r="C169" i="5" s="1"/>
  <c r="B169" i="5" s="1"/>
  <c r="L167" i="12" a="1"/>
  <c r="L167" i="12" s="1"/>
  <c r="K167" i="12" s="1"/>
  <c r="B168" i="6"/>
  <c r="D168" i="5"/>
  <c r="B168" i="12" s="1"/>
  <c r="AE168" i="5" a="1"/>
  <c r="AE168" i="5" s="1"/>
  <c r="E168" i="5"/>
  <c r="K168" i="5"/>
  <c r="W168" i="5" a="1"/>
  <c r="W168" i="5" s="1"/>
  <c r="H168" i="12" s="1" a="1"/>
  <c r="H168" i="12" s="1"/>
  <c r="F168" i="5"/>
  <c r="N168" i="5"/>
  <c r="D168" i="6" s="1"/>
  <c r="G168" i="5"/>
  <c r="A168" i="12"/>
  <c r="L168" i="12" s="1" a="1"/>
  <c r="L168" i="12" s="1"/>
  <c r="J168" i="5"/>
  <c r="AD168" i="5"/>
  <c r="H168" i="5"/>
  <c r="Y118" i="12"/>
  <c r="X118" i="12" s="1" a="1"/>
  <c r="X118" i="12" s="1"/>
  <c r="N118" i="12"/>
  <c r="Y114" i="12"/>
  <c r="X114" i="12" s="1" a="1"/>
  <c r="X114" i="12" s="1"/>
  <c r="W113" i="12" a="1"/>
  <c r="W113" i="12" s="1"/>
  <c r="T113" i="12" s="1"/>
  <c r="Y116" i="12"/>
  <c r="X116" i="12" s="1" a="1"/>
  <c r="X116" i="12" s="1"/>
  <c r="X120" i="12" a="1"/>
  <c r="X120" i="12" s="1"/>
  <c r="N119" i="12"/>
  <c r="Y121" i="12"/>
  <c r="W121" i="12" s="1" a="1"/>
  <c r="W121" i="12" s="1"/>
  <c r="N114" i="12"/>
  <c r="Y115" i="12"/>
  <c r="X115" i="12" s="1" a="1"/>
  <c r="X115" i="12" s="1"/>
  <c r="Y117" i="12"/>
  <c r="X117" i="12" s="1" a="1"/>
  <c r="X117" i="12" s="1"/>
  <c r="N116" i="12"/>
  <c r="N117" i="12"/>
  <c r="L124" i="5"/>
  <c r="C124" i="6" s="1"/>
  <c r="Z124" i="5"/>
  <c r="AB124" i="5" s="1" a="1"/>
  <c r="AB124" i="5" s="1"/>
  <c r="I124" i="12"/>
  <c r="AM124" i="5"/>
  <c r="N121" i="12"/>
  <c r="AO123" i="12" a="1"/>
  <c r="AO123" i="12" s="1"/>
  <c r="M123" i="12" a="1"/>
  <c r="M123" i="12" s="1"/>
  <c r="O123" i="12" a="1"/>
  <c r="O123" i="12" s="1"/>
  <c r="C123" i="12"/>
  <c r="BE128" i="6"/>
  <c r="AM128" i="6"/>
  <c r="BW128" i="6" a="1"/>
  <c r="BW128" i="6" s="1"/>
  <c r="BK128" i="6"/>
  <c r="AN128" i="6"/>
  <c r="BZ128" i="6" a="1"/>
  <c r="BZ128" i="6" s="1"/>
  <c r="BL128" i="6"/>
  <c r="BY128" i="6" a="1"/>
  <c r="BY128" i="6" s="1"/>
  <c r="CE128" i="6" a="1"/>
  <c r="CE128" i="6" s="1"/>
  <c r="BD128" i="6"/>
  <c r="BJ128" i="6"/>
  <c r="CC128" i="6" a="1"/>
  <c r="CC128" i="6" s="1"/>
  <c r="BC128" i="6"/>
  <c r="AO128" i="6"/>
  <c r="AP128" i="6"/>
  <c r="BH128" i="6"/>
  <c r="BV128" i="6" a="1"/>
  <c r="BV128" i="6" s="1"/>
  <c r="AJ128" i="6"/>
  <c r="BX128" i="6" a="1"/>
  <c r="BX128" i="6" s="1"/>
  <c r="AK128" i="6"/>
  <c r="AQ128" i="6"/>
  <c r="BI128" i="6"/>
  <c r="CB128" i="6" a="1"/>
  <c r="CB128" i="6" s="1"/>
  <c r="AR128" i="6"/>
  <c r="AL128" i="6"/>
  <c r="BG128" i="6"/>
  <c r="AS128" i="6"/>
  <c r="BF128" i="6"/>
  <c r="CA128" i="6" a="1"/>
  <c r="CA128" i="6" s="1"/>
  <c r="CD128" i="6" a="1"/>
  <c r="CD128" i="6" s="1"/>
  <c r="M130" i="6"/>
  <c r="BH127" i="6"/>
  <c r="AN127" i="6"/>
  <c r="BV127" i="6" a="1"/>
  <c r="BV127" i="6" s="1"/>
  <c r="AJ127" i="6"/>
  <c r="BF127" i="6"/>
  <c r="AQ127" i="6"/>
  <c r="CE127" i="6" a="1"/>
  <c r="CE127" i="6" s="1"/>
  <c r="BX127" i="6" a="1"/>
  <c r="BX127" i="6" s="1"/>
  <c r="AS127" i="6"/>
  <c r="AP127" i="6"/>
  <c r="BK127" i="6"/>
  <c r="CC127" i="6" a="1"/>
  <c r="CC127" i="6" s="1"/>
  <c r="BG127" i="6"/>
  <c r="AM127" i="6"/>
  <c r="BD127" i="6"/>
  <c r="BE127" i="6"/>
  <c r="AL127" i="6"/>
  <c r="BI127" i="6"/>
  <c r="CD127" i="6" a="1"/>
  <c r="CD127" i="6" s="1"/>
  <c r="CA127" i="6" a="1"/>
  <c r="CA127" i="6" s="1"/>
  <c r="AK127" i="6"/>
  <c r="BY127" i="6" a="1"/>
  <c r="BY127" i="6" s="1"/>
  <c r="BW127" i="6" a="1"/>
  <c r="BW127" i="6" s="1"/>
  <c r="BZ127" i="6" a="1"/>
  <c r="BZ127" i="6" s="1"/>
  <c r="CB127" i="6" a="1"/>
  <c r="CB127" i="6" s="1"/>
  <c r="BL127" i="6"/>
  <c r="AO127" i="6"/>
  <c r="BC127" i="6"/>
  <c r="AR127" i="6"/>
  <c r="BJ127" i="6"/>
  <c r="Y119" i="12"/>
  <c r="X126" i="5" a="1"/>
  <c r="X126" i="5" s="1"/>
  <c r="V120" i="12" a="1"/>
  <c r="V120" i="12" s="1"/>
  <c r="T120" i="12"/>
  <c r="U120" i="12"/>
  <c r="N115" i="12"/>
  <c r="T166" i="5"/>
  <c r="G166" i="12" s="1" a="1"/>
  <c r="G166" i="12" s="1"/>
  <c r="A162" i="6"/>
  <c r="L170" i="6"/>
  <c r="CF130" i="6" l="1" a="1"/>
  <c r="CF130" i="6" s="1"/>
  <c r="BM130" i="6"/>
  <c r="CL130" i="6" a="1"/>
  <c r="CL130" i="6" s="1"/>
  <c r="BT130" i="6"/>
  <c r="CK130" i="6" a="1"/>
  <c r="CK130" i="6" s="1"/>
  <c r="BS130" i="6"/>
  <c r="CJ130" i="6" a="1"/>
  <c r="CJ130" i="6" s="1"/>
  <c r="BR130" i="6"/>
  <c r="CI130" i="6" a="1"/>
  <c r="CI130" i="6" s="1"/>
  <c r="CM130" i="6" a="1"/>
  <c r="CM130" i="6" s="1"/>
  <c r="BQ130" i="6"/>
  <c r="CH130" i="6" a="1"/>
  <c r="CH130" i="6" s="1"/>
  <c r="BO130" i="6"/>
  <c r="BP130" i="6"/>
  <c r="CG130" i="6" a="1"/>
  <c r="CG130" i="6" s="1"/>
  <c r="BN130" i="6"/>
  <c r="AT130" i="6"/>
  <c r="BA130" i="6"/>
  <c r="AV130" i="6"/>
  <c r="AW130" i="6"/>
  <c r="AU130" i="6"/>
  <c r="AX130" i="6"/>
  <c r="AY130" i="6"/>
  <c r="AZ130" i="6"/>
  <c r="H168" i="6" a="1"/>
  <c r="H168" i="6" s="1"/>
  <c r="T168" i="5" s="1"/>
  <c r="G168" i="12" s="1" a="1"/>
  <c r="G168" i="12" s="1"/>
  <c r="J168" i="12" a="1"/>
  <c r="J168" i="12" s="1"/>
  <c r="K168" i="12" s="1"/>
  <c r="F169" i="5"/>
  <c r="AD169" i="5"/>
  <c r="AF169" i="5" a="1"/>
  <c r="AF169" i="5" s="1"/>
  <c r="F169" i="12" s="1" a="1"/>
  <c r="F169" i="12" s="1"/>
  <c r="E169" i="5"/>
  <c r="AE169" i="5" a="1"/>
  <c r="AE169" i="5" s="1"/>
  <c r="G169" i="5"/>
  <c r="B169" i="6"/>
  <c r="J169" i="6" s="1" a="1"/>
  <c r="J169" i="6" s="1"/>
  <c r="W169" i="5" a="1"/>
  <c r="W169" i="5" s="1"/>
  <c r="H169" i="12" s="1" a="1"/>
  <c r="H169" i="12" s="1"/>
  <c r="C170" i="5"/>
  <c r="H169" i="5"/>
  <c r="N169" i="5"/>
  <c r="D169" i="6" s="1"/>
  <c r="A169" i="12"/>
  <c r="W118" i="12" a="1"/>
  <c r="W118" i="12" s="1"/>
  <c r="T118" i="12" s="1"/>
  <c r="V113" i="12" a="1"/>
  <c r="V113" i="12" s="1"/>
  <c r="W114" i="12" a="1"/>
  <c r="W114" i="12" s="1"/>
  <c r="V114" i="12" s="1" a="1"/>
  <c r="V114" i="12" s="1"/>
  <c r="U113" i="12"/>
  <c r="W115" i="12" a="1"/>
  <c r="W115" i="12" s="1"/>
  <c r="V115" i="12" s="1" a="1"/>
  <c r="V115" i="12" s="1"/>
  <c r="W116" i="12" a="1"/>
  <c r="W116" i="12" s="1"/>
  <c r="T116" i="12" s="1"/>
  <c r="X121" i="12" a="1"/>
  <c r="X121" i="12" s="1"/>
  <c r="W117" i="12" a="1"/>
  <c r="W117" i="12" s="1"/>
  <c r="T117" i="12" s="1"/>
  <c r="X127" i="5" a="1"/>
  <c r="X127" i="5" s="1"/>
  <c r="AM127" i="5" s="1"/>
  <c r="X128" i="5" a="1"/>
  <c r="X128" i="5" s="1"/>
  <c r="I128" i="12" s="1"/>
  <c r="C124" i="12"/>
  <c r="M124" i="12" a="1"/>
  <c r="M124" i="12" s="1"/>
  <c r="AO124" i="12" a="1"/>
  <c r="AO124" i="12" s="1"/>
  <c r="O124" i="12" a="1"/>
  <c r="O124" i="12" s="1"/>
  <c r="BZ130" i="6" a="1"/>
  <c r="BZ130" i="6" s="1"/>
  <c r="BX130" i="6" a="1"/>
  <c r="BX130" i="6" s="1"/>
  <c r="AL130" i="6"/>
  <c r="AJ130" i="6"/>
  <c r="CD130" i="6" a="1"/>
  <c r="CD130" i="6" s="1"/>
  <c r="BE130" i="6"/>
  <c r="BG130" i="6"/>
  <c r="AM130" i="6"/>
  <c r="BW130" i="6" a="1"/>
  <c r="BW130" i="6" s="1"/>
  <c r="CA130" i="6" a="1"/>
  <c r="CA130" i="6" s="1"/>
  <c r="AN130" i="6"/>
  <c r="CC130" i="6" a="1"/>
  <c r="CC130" i="6" s="1"/>
  <c r="BC130" i="6"/>
  <c r="BI130" i="6"/>
  <c r="BD130" i="6"/>
  <c r="AR130" i="6"/>
  <c r="AQ130" i="6"/>
  <c r="AS130" i="6"/>
  <c r="BY130" i="6" a="1"/>
  <c r="BY130" i="6" s="1"/>
  <c r="AO130" i="6"/>
  <c r="M131" i="6"/>
  <c r="BL130" i="6"/>
  <c r="CE130" i="6" a="1"/>
  <c r="CE130" i="6" s="1"/>
  <c r="AK130" i="6"/>
  <c r="BH130" i="6"/>
  <c r="CB130" i="6" a="1"/>
  <c r="CB130" i="6" s="1"/>
  <c r="BF130" i="6"/>
  <c r="BJ130" i="6"/>
  <c r="BV130" i="6" a="1"/>
  <c r="BV130" i="6" s="1"/>
  <c r="AP130" i="6"/>
  <c r="BK130" i="6"/>
  <c r="M132" i="6"/>
  <c r="M133" i="6"/>
  <c r="M134" i="6"/>
  <c r="M135" i="6"/>
  <c r="M136" i="6"/>
  <c r="N123" i="12"/>
  <c r="T121" i="12"/>
  <c r="U121" i="12"/>
  <c r="V121" i="12" a="1"/>
  <c r="V121" i="12" s="1"/>
  <c r="L126" i="5"/>
  <c r="C126" i="6" s="1"/>
  <c r="Z126" i="5"/>
  <c r="AB126" i="5" s="1" a="1"/>
  <c r="AB126" i="5" s="1"/>
  <c r="I126" i="12"/>
  <c r="AM126" i="5"/>
  <c r="X119" i="12" a="1"/>
  <c r="X119" i="12" s="1"/>
  <c r="W119" i="12" a="1"/>
  <c r="W119" i="12" s="1"/>
  <c r="Y123" i="12"/>
  <c r="M162" i="6"/>
  <c r="L171" i="6"/>
  <c r="CH131" i="6" l="1" a="1"/>
  <c r="CH131" i="6" s="1"/>
  <c r="BN131" i="6"/>
  <c r="BQ131" i="6"/>
  <c r="CI131" i="6" a="1"/>
  <c r="CI131" i="6" s="1"/>
  <c r="CG131" i="6" a="1"/>
  <c r="CG131" i="6" s="1"/>
  <c r="BM131" i="6"/>
  <c r="CF131" i="6" a="1"/>
  <c r="CF131" i="6" s="1"/>
  <c r="BT131" i="6"/>
  <c r="CM131" i="6" a="1"/>
  <c r="CM131" i="6" s="1"/>
  <c r="BS131" i="6"/>
  <c r="CJ131" i="6" a="1"/>
  <c r="CJ131" i="6" s="1"/>
  <c r="CL131" i="6" a="1"/>
  <c r="CL131" i="6" s="1"/>
  <c r="BR131" i="6"/>
  <c r="CK131" i="6" a="1"/>
  <c r="CK131" i="6" s="1"/>
  <c r="BP131" i="6"/>
  <c r="BO131" i="6"/>
  <c r="AT131" i="6"/>
  <c r="AV131" i="6"/>
  <c r="AU131" i="6"/>
  <c r="AZ131" i="6"/>
  <c r="AW131" i="6"/>
  <c r="BA131" i="6"/>
  <c r="AX131" i="6"/>
  <c r="AY131" i="6"/>
  <c r="CK136" i="6" a="1"/>
  <c r="CK136" i="6" s="1"/>
  <c r="BQ136" i="6"/>
  <c r="CF136" i="6" a="1"/>
  <c r="CF136" i="6" s="1"/>
  <c r="BO136" i="6"/>
  <c r="CJ136" i="6" a="1"/>
  <c r="CJ136" i="6" s="1"/>
  <c r="BN136" i="6"/>
  <c r="CL136" i="6" a="1"/>
  <c r="CL136" i="6" s="1"/>
  <c r="CI136" i="6" a="1"/>
  <c r="CI136" i="6" s="1"/>
  <c r="BM136" i="6"/>
  <c r="CH136" i="6" a="1"/>
  <c r="CH136" i="6" s="1"/>
  <c r="BT136" i="6"/>
  <c r="CG136" i="6" a="1"/>
  <c r="CG136" i="6" s="1"/>
  <c r="BS136" i="6"/>
  <c r="BP136" i="6"/>
  <c r="CM136" i="6" a="1"/>
  <c r="CM136" i="6" s="1"/>
  <c r="BR136" i="6"/>
  <c r="AX136" i="6"/>
  <c r="AV136" i="6"/>
  <c r="BA136" i="6"/>
  <c r="AZ136" i="6"/>
  <c r="AY136" i="6"/>
  <c r="AT136" i="6"/>
  <c r="AW136" i="6"/>
  <c r="AU136" i="6"/>
  <c r="CH135" i="6" a="1"/>
  <c r="CH135" i="6" s="1"/>
  <c r="BT135" i="6"/>
  <c r="CG135" i="6" a="1"/>
  <c r="CG135" i="6" s="1"/>
  <c r="CF135" i="6" a="1"/>
  <c r="CF135" i="6" s="1"/>
  <c r="CM135" i="6" a="1"/>
  <c r="CM135" i="6" s="1"/>
  <c r="CL135" i="6" a="1"/>
  <c r="CL135" i="6" s="1"/>
  <c r="BP135" i="6"/>
  <c r="CK135" i="6" a="1"/>
  <c r="CK135" i="6" s="1"/>
  <c r="BS135" i="6"/>
  <c r="BQ135" i="6"/>
  <c r="BR135" i="6"/>
  <c r="BM135" i="6"/>
  <c r="CJ135" i="6" a="1"/>
  <c r="CJ135" i="6" s="1"/>
  <c r="BO135" i="6"/>
  <c r="CI135" i="6" a="1"/>
  <c r="CI135" i="6" s="1"/>
  <c r="BN135" i="6"/>
  <c r="AT135" i="6"/>
  <c r="AU135" i="6"/>
  <c r="AV135" i="6"/>
  <c r="AW135" i="6"/>
  <c r="AX135" i="6"/>
  <c r="AY135" i="6"/>
  <c r="AZ135" i="6"/>
  <c r="BA135" i="6"/>
  <c r="CM134" i="6" a="1"/>
  <c r="CM134" i="6" s="1"/>
  <c r="BQ134" i="6"/>
  <c r="CH134" i="6" a="1"/>
  <c r="CH134" i="6" s="1"/>
  <c r="BO134" i="6"/>
  <c r="BR134" i="6"/>
  <c r="BP134" i="6"/>
  <c r="CL134" i="6" a="1"/>
  <c r="CL134" i="6" s="1"/>
  <c r="BN134" i="6"/>
  <c r="CG134" i="6" a="1"/>
  <c r="CG134" i="6" s="1"/>
  <c r="BM134" i="6"/>
  <c r="CJ134" i="6" a="1"/>
  <c r="CJ134" i="6" s="1"/>
  <c r="CF134" i="6" a="1"/>
  <c r="CF134" i="6" s="1"/>
  <c r="BT134" i="6"/>
  <c r="CI134" i="6" a="1"/>
  <c r="CI134" i="6" s="1"/>
  <c r="CK134" i="6" a="1"/>
  <c r="CK134" i="6" s="1"/>
  <c r="BS134" i="6"/>
  <c r="AT134" i="6"/>
  <c r="AY134" i="6"/>
  <c r="AW134" i="6"/>
  <c r="BA134" i="6"/>
  <c r="AX134" i="6"/>
  <c r="AZ134" i="6"/>
  <c r="AU134" i="6"/>
  <c r="AV134" i="6"/>
  <c r="CH133" i="6" a="1"/>
  <c r="CH133" i="6" s="1"/>
  <c r="BR133" i="6"/>
  <c r="CM133" i="6" a="1"/>
  <c r="CM133" i="6" s="1"/>
  <c r="BP133" i="6"/>
  <c r="BT133" i="6"/>
  <c r="CJ133" i="6" a="1"/>
  <c r="CJ133" i="6" s="1"/>
  <c r="CL133" i="6" a="1"/>
  <c r="CL133" i="6" s="1"/>
  <c r="BQ133" i="6"/>
  <c r="CG133" i="6" a="1"/>
  <c r="CG133" i="6" s="1"/>
  <c r="BO133" i="6"/>
  <c r="CI133" i="6" a="1"/>
  <c r="CI133" i="6" s="1"/>
  <c r="BS133" i="6"/>
  <c r="CK133" i="6" a="1"/>
  <c r="CK133" i="6" s="1"/>
  <c r="BN133" i="6"/>
  <c r="CF133" i="6" a="1"/>
  <c r="CF133" i="6" s="1"/>
  <c r="BM133" i="6"/>
  <c r="AX133" i="6"/>
  <c r="AU133" i="6"/>
  <c r="AZ133" i="6"/>
  <c r="AV133" i="6"/>
  <c r="BA133" i="6"/>
  <c r="AW133" i="6"/>
  <c r="AT133" i="6"/>
  <c r="AY133" i="6"/>
  <c r="H169" i="6" a="1"/>
  <c r="H169" i="6" s="1"/>
  <c r="T169" i="5" s="1"/>
  <c r="G169" i="12" s="1" a="1"/>
  <c r="G169" i="12" s="1"/>
  <c r="CK162" i="6" a="1"/>
  <c r="CK162" i="6" s="1"/>
  <c r="BO162" i="6"/>
  <c r="CG162" i="6" a="1"/>
  <c r="CG162" i="6" s="1"/>
  <c r="BN162" i="6"/>
  <c r="BR162" i="6"/>
  <c r="BQ162" i="6"/>
  <c r="CJ162" i="6" a="1"/>
  <c r="CJ162" i="6" s="1"/>
  <c r="BP162" i="6"/>
  <c r="CI162" i="6" a="1"/>
  <c r="CI162" i="6" s="1"/>
  <c r="CF162" i="6" a="1"/>
  <c r="CF162" i="6" s="1"/>
  <c r="BM162" i="6"/>
  <c r="AY162" i="6"/>
  <c r="CH162" i="6" a="1"/>
  <c r="CH162" i="6" s="1"/>
  <c r="BT162" i="6"/>
  <c r="CM162" i="6" a="1"/>
  <c r="CM162" i="6" s="1"/>
  <c r="BS162" i="6"/>
  <c r="CL162" i="6" a="1"/>
  <c r="CL162" i="6" s="1"/>
  <c r="AW162" i="6"/>
  <c r="AT162" i="6"/>
  <c r="AX162" i="6"/>
  <c r="AU162" i="6"/>
  <c r="AZ162" i="6"/>
  <c r="AV162" i="6"/>
  <c r="BA162" i="6"/>
  <c r="CG132" i="6" a="1"/>
  <c r="CG132" i="6" s="1"/>
  <c r="BT132" i="6"/>
  <c r="CM132" i="6" a="1"/>
  <c r="CM132" i="6" s="1"/>
  <c r="BR132" i="6"/>
  <c r="BA132" i="6"/>
  <c r="CL132" i="6" a="1"/>
  <c r="CL132" i="6" s="1"/>
  <c r="BP132" i="6"/>
  <c r="CH132" i="6" a="1"/>
  <c r="CH132" i="6" s="1"/>
  <c r="CJ132" i="6" a="1"/>
  <c r="CJ132" i="6" s="1"/>
  <c r="CK132" i="6" a="1"/>
  <c r="CK132" i="6" s="1"/>
  <c r="BQ132" i="6"/>
  <c r="BS132" i="6"/>
  <c r="CF132" i="6" a="1"/>
  <c r="CF132" i="6" s="1"/>
  <c r="BO132" i="6"/>
  <c r="CI132" i="6" a="1"/>
  <c r="CI132" i="6" s="1"/>
  <c r="BN132" i="6"/>
  <c r="BM132" i="6"/>
  <c r="AZ132" i="6"/>
  <c r="AT132" i="6"/>
  <c r="AX132" i="6"/>
  <c r="AY132" i="6"/>
  <c r="AU132" i="6"/>
  <c r="AW132" i="6"/>
  <c r="AV132" i="6"/>
  <c r="J170" i="5"/>
  <c r="W170" i="5" a="1"/>
  <c r="W170" i="5" s="1"/>
  <c r="H170" i="12" s="1" a="1"/>
  <c r="H170" i="12" s="1"/>
  <c r="F170" i="5"/>
  <c r="G170" i="5"/>
  <c r="K170" i="5"/>
  <c r="B170" i="6"/>
  <c r="D170" i="5"/>
  <c r="B170" i="12" s="1"/>
  <c r="B170" i="5"/>
  <c r="AE170" i="5" a="1"/>
  <c r="AE170" i="5" s="1"/>
  <c r="N170" i="5"/>
  <c r="D170" i="6" s="1"/>
  <c r="AD170" i="5"/>
  <c r="A170" i="12"/>
  <c r="L170" i="12" s="1" a="1"/>
  <c r="L170" i="12" s="1"/>
  <c r="C171" i="5"/>
  <c r="E170" i="5"/>
  <c r="H170" i="5"/>
  <c r="AG169" i="5" a="1"/>
  <c r="AG169" i="5" s="1"/>
  <c r="M138" i="6"/>
  <c r="U115" i="12"/>
  <c r="U116" i="12"/>
  <c r="V116" i="12" a="1"/>
  <c r="V116" i="12" s="1"/>
  <c r="V118" i="12" a="1"/>
  <c r="V118" i="12" s="1"/>
  <c r="U118" i="12"/>
  <c r="T115" i="12"/>
  <c r="T114" i="12"/>
  <c r="U114" i="12"/>
  <c r="U117" i="12"/>
  <c r="L127" i="5"/>
  <c r="C127" i="6" s="1"/>
  <c r="Z127" i="5"/>
  <c r="AB127" i="5" s="1" a="1"/>
  <c r="AB127" i="5" s="1"/>
  <c r="I127" i="12"/>
  <c r="C127" i="12" s="1"/>
  <c r="V117" i="12" a="1"/>
  <c r="V117" i="12" s="1"/>
  <c r="N124" i="12"/>
  <c r="Y124" i="12"/>
  <c r="X124" i="12" s="1" a="1"/>
  <c r="X124" i="12" s="1"/>
  <c r="AM128" i="5"/>
  <c r="L128" i="5"/>
  <c r="C128" i="6" s="1"/>
  <c r="Z128" i="5"/>
  <c r="AB128" i="5" s="1" a="1"/>
  <c r="AB128" i="5" s="1"/>
  <c r="C126" i="12"/>
  <c r="AO126" i="12" a="1"/>
  <c r="AO126" i="12" s="1"/>
  <c r="O126" i="12" a="1"/>
  <c r="O126" i="12" s="1"/>
  <c r="M126" i="12" a="1"/>
  <c r="M126" i="12" s="1"/>
  <c r="BI136" i="6"/>
  <c r="BD136" i="6"/>
  <c r="AM136" i="6"/>
  <c r="AO136" i="6"/>
  <c r="BV136" i="6" a="1"/>
  <c r="BV136" i="6" s="1"/>
  <c r="BL136" i="6"/>
  <c r="BF136" i="6"/>
  <c r="AL136" i="6"/>
  <c r="AN136" i="6"/>
  <c r="BJ136" i="6"/>
  <c r="BK136" i="6"/>
  <c r="AP136" i="6"/>
  <c r="BC136" i="6"/>
  <c r="AS136" i="6"/>
  <c r="AR136" i="6"/>
  <c r="BW136" i="6" a="1"/>
  <c r="BW136" i="6" s="1"/>
  <c r="AK136" i="6"/>
  <c r="CE136" i="6" a="1"/>
  <c r="CE136" i="6" s="1"/>
  <c r="AJ136" i="6"/>
  <c r="BY136" i="6" a="1"/>
  <c r="BY136" i="6" s="1"/>
  <c r="CD136" i="6" a="1"/>
  <c r="CD136" i="6" s="1"/>
  <c r="BH136" i="6"/>
  <c r="CA136" i="6" a="1"/>
  <c r="CA136" i="6" s="1"/>
  <c r="BE136" i="6"/>
  <c r="BX136" i="6" a="1"/>
  <c r="BX136" i="6" s="1"/>
  <c r="AQ136" i="6"/>
  <c r="BZ136" i="6" a="1"/>
  <c r="BZ136" i="6" s="1"/>
  <c r="CB136" i="6" a="1"/>
  <c r="CB136" i="6" s="1"/>
  <c r="CC136" i="6" a="1"/>
  <c r="CC136" i="6" s="1"/>
  <c r="BG136" i="6"/>
  <c r="X130" i="5" a="1"/>
  <c r="X130" i="5" s="1"/>
  <c r="BY131" i="6" a="1"/>
  <c r="BY131" i="6" s="1"/>
  <c r="BH131" i="6"/>
  <c r="AS131" i="6"/>
  <c r="BL131" i="6"/>
  <c r="BF131" i="6"/>
  <c r="BD131" i="6"/>
  <c r="AJ131" i="6"/>
  <c r="AR131" i="6"/>
  <c r="BJ131" i="6"/>
  <c r="AO131" i="6"/>
  <c r="CC131" i="6" a="1"/>
  <c r="CC131" i="6" s="1"/>
  <c r="BG131" i="6"/>
  <c r="BX131" i="6" a="1"/>
  <c r="BX131" i="6" s="1"/>
  <c r="AN131" i="6"/>
  <c r="CB131" i="6" a="1"/>
  <c r="CB131" i="6" s="1"/>
  <c r="BC131" i="6"/>
  <c r="BI131" i="6"/>
  <c r="AM131" i="6"/>
  <c r="BW131" i="6" a="1"/>
  <c r="BW131" i="6" s="1"/>
  <c r="BE131" i="6"/>
  <c r="CE131" i="6" a="1"/>
  <c r="CE131" i="6" s="1"/>
  <c r="AQ131" i="6"/>
  <c r="BZ131" i="6" a="1"/>
  <c r="BZ131" i="6" s="1"/>
  <c r="BV131" i="6" a="1"/>
  <c r="BV131" i="6" s="1"/>
  <c r="AK131" i="6"/>
  <c r="BK131" i="6"/>
  <c r="CA131" i="6" a="1"/>
  <c r="CA131" i="6" s="1"/>
  <c r="CD131" i="6" a="1"/>
  <c r="CD131" i="6" s="1"/>
  <c r="AL131" i="6"/>
  <c r="AP131" i="6"/>
  <c r="BI135" i="6"/>
  <c r="CD135" i="6" a="1"/>
  <c r="CD135" i="6" s="1"/>
  <c r="BL135" i="6"/>
  <c r="AP135" i="6"/>
  <c r="BY135" i="6" a="1"/>
  <c r="BY135" i="6" s="1"/>
  <c r="BX135" i="6" a="1"/>
  <c r="BX135" i="6" s="1"/>
  <c r="BW135" i="6" a="1"/>
  <c r="BW135" i="6" s="1"/>
  <c r="AQ135" i="6"/>
  <c r="BE135" i="6"/>
  <c r="AR135" i="6"/>
  <c r="CA135" i="6" a="1"/>
  <c r="CA135" i="6" s="1"/>
  <c r="AN135" i="6"/>
  <c r="BK135" i="6"/>
  <c r="BV135" i="6" a="1"/>
  <c r="BV135" i="6" s="1"/>
  <c r="AS135" i="6"/>
  <c r="BG135" i="6"/>
  <c r="AO135" i="6"/>
  <c r="CB135" i="6" a="1"/>
  <c r="CB135" i="6" s="1"/>
  <c r="CE135" i="6" a="1"/>
  <c r="CE135" i="6" s="1"/>
  <c r="AL135" i="6"/>
  <c r="BC135" i="6"/>
  <c r="BJ135" i="6"/>
  <c r="AM135" i="6"/>
  <c r="BH135" i="6"/>
  <c r="CC135" i="6" a="1"/>
  <c r="CC135" i="6" s="1"/>
  <c r="BZ135" i="6" a="1"/>
  <c r="BZ135" i="6" s="1"/>
  <c r="BD135" i="6"/>
  <c r="AJ135" i="6"/>
  <c r="AK135" i="6"/>
  <c r="BF135" i="6"/>
  <c r="AK134" i="6"/>
  <c r="BH134" i="6"/>
  <c r="CB134" i="6" a="1"/>
  <c r="CB134" i="6" s="1"/>
  <c r="AL134" i="6"/>
  <c r="BV134" i="6" a="1"/>
  <c r="BV134" i="6" s="1"/>
  <c r="BI134" i="6"/>
  <c r="BE134" i="6"/>
  <c r="BW134" i="6" a="1"/>
  <c r="BW134" i="6" s="1"/>
  <c r="BD134" i="6"/>
  <c r="BY134" i="6" a="1"/>
  <c r="BY134" i="6" s="1"/>
  <c r="CC134" i="6" a="1"/>
  <c r="CC134" i="6" s="1"/>
  <c r="AN134" i="6"/>
  <c r="AR134" i="6"/>
  <c r="AM134" i="6"/>
  <c r="BZ134" i="6" a="1"/>
  <c r="BZ134" i="6" s="1"/>
  <c r="BF134" i="6"/>
  <c r="AQ134" i="6"/>
  <c r="AP134" i="6"/>
  <c r="AJ134" i="6"/>
  <c r="BC134" i="6"/>
  <c r="BG134" i="6"/>
  <c r="BL134" i="6"/>
  <c r="BJ134" i="6"/>
  <c r="AS134" i="6"/>
  <c r="BX134" i="6" a="1"/>
  <c r="BX134" i="6" s="1"/>
  <c r="AO134" i="6"/>
  <c r="CA134" i="6" a="1"/>
  <c r="CA134" i="6" s="1"/>
  <c r="CD134" i="6" a="1"/>
  <c r="CD134" i="6" s="1"/>
  <c r="CE134" i="6" a="1"/>
  <c r="CE134" i="6" s="1"/>
  <c r="BK134" i="6"/>
  <c r="BE133" i="6"/>
  <c r="BL133" i="6"/>
  <c r="BW133" i="6" a="1"/>
  <c r="BW133" i="6" s="1"/>
  <c r="AR133" i="6"/>
  <c r="CE133" i="6" a="1"/>
  <c r="CE133" i="6" s="1"/>
  <c r="BI133" i="6"/>
  <c r="BY133" i="6" a="1"/>
  <c r="BY133" i="6" s="1"/>
  <c r="BX133" i="6" a="1"/>
  <c r="BX133" i="6" s="1"/>
  <c r="BC133" i="6"/>
  <c r="BJ133" i="6"/>
  <c r="CA133" i="6" a="1"/>
  <c r="CA133" i="6" s="1"/>
  <c r="CC133" i="6" a="1"/>
  <c r="CC133" i="6" s="1"/>
  <c r="AM133" i="6"/>
  <c r="BF133" i="6"/>
  <c r="CD133" i="6" a="1"/>
  <c r="CD133" i="6" s="1"/>
  <c r="AS133" i="6"/>
  <c r="BV133" i="6" a="1"/>
  <c r="BV133" i="6" s="1"/>
  <c r="AJ133" i="6"/>
  <c r="AN133" i="6"/>
  <c r="CB133" i="6" a="1"/>
  <c r="CB133" i="6" s="1"/>
  <c r="AO133" i="6"/>
  <c r="BZ133" i="6" a="1"/>
  <c r="BZ133" i="6" s="1"/>
  <c r="AP133" i="6"/>
  <c r="AK133" i="6"/>
  <c r="AL133" i="6"/>
  <c r="BG133" i="6"/>
  <c r="AQ133" i="6"/>
  <c r="BD133" i="6"/>
  <c r="BK133" i="6"/>
  <c r="BH133" i="6"/>
  <c r="X123" i="12" a="1"/>
  <c r="X123" i="12" s="1"/>
  <c r="W123" i="12" a="1"/>
  <c r="W123" i="12" s="1"/>
  <c r="BC132" i="6"/>
  <c r="BD132" i="6"/>
  <c r="AN132" i="6"/>
  <c r="AR132" i="6"/>
  <c r="AM132" i="6"/>
  <c r="CA132" i="6" a="1"/>
  <c r="CA132" i="6" s="1"/>
  <c r="BK132" i="6"/>
  <c r="CC132" i="6" a="1"/>
  <c r="CC132" i="6" s="1"/>
  <c r="AJ132" i="6"/>
  <c r="BL132" i="6"/>
  <c r="BZ132" i="6" a="1"/>
  <c r="BZ132" i="6" s="1"/>
  <c r="CE132" i="6" a="1"/>
  <c r="CE132" i="6" s="1"/>
  <c r="AK132" i="6"/>
  <c r="AO132" i="6"/>
  <c r="BY132" i="6" a="1"/>
  <c r="BY132" i="6" s="1"/>
  <c r="BF132" i="6"/>
  <c r="BJ132" i="6"/>
  <c r="AQ132" i="6"/>
  <c r="CB132" i="6" a="1"/>
  <c r="CB132" i="6" s="1"/>
  <c r="BE132" i="6"/>
  <c r="BH132" i="6"/>
  <c r="CD132" i="6" a="1"/>
  <c r="CD132" i="6" s="1"/>
  <c r="BI132" i="6"/>
  <c r="AL132" i="6"/>
  <c r="AS132" i="6"/>
  <c r="BW132" i="6" a="1"/>
  <c r="BW132" i="6" s="1"/>
  <c r="BV132" i="6" a="1"/>
  <c r="BV132" i="6" s="1"/>
  <c r="BX132" i="6" a="1"/>
  <c r="BX132" i="6" s="1"/>
  <c r="AP132" i="6"/>
  <c r="BG132" i="6"/>
  <c r="U119" i="12"/>
  <c r="V119" i="12" a="1"/>
  <c r="V119" i="12" s="1"/>
  <c r="T119" i="12"/>
  <c r="C128" i="12"/>
  <c r="O128" i="12" a="1"/>
  <c r="O128" i="12" s="1"/>
  <c r="M128" i="12" a="1"/>
  <c r="M128" i="12" s="1"/>
  <c r="AO128" i="12" a="1"/>
  <c r="AO128" i="12" s="1"/>
  <c r="BZ162" i="6" a="1"/>
  <c r="BZ162" i="6" s="1"/>
  <c r="CD162" i="6" a="1"/>
  <c r="CD162" i="6" s="1"/>
  <c r="AJ162" i="6"/>
  <c r="BX162" i="6" a="1"/>
  <c r="BX162" i="6" s="1"/>
  <c r="CB162" i="6" a="1"/>
  <c r="CB162" i="6" s="1"/>
  <c r="BV162" i="6" a="1"/>
  <c r="BV162" i="6" s="1"/>
  <c r="BW162" i="6" a="1"/>
  <c r="BW162" i="6" s="1"/>
  <c r="AP162" i="6"/>
  <c r="BG162" i="6"/>
  <c r="AQ162" i="6"/>
  <c r="CC162" i="6" a="1"/>
  <c r="CC162" i="6" s="1"/>
  <c r="BL162" i="6"/>
  <c r="CE162" i="6" a="1"/>
  <c r="CE162" i="6" s="1"/>
  <c r="AN162" i="6"/>
  <c r="BY162" i="6" a="1"/>
  <c r="BY162" i="6" s="1"/>
  <c r="AL162" i="6"/>
  <c r="BK162" i="6"/>
  <c r="BC162" i="6"/>
  <c r="AM162" i="6"/>
  <c r="AS162" i="6"/>
  <c r="BI162" i="6"/>
  <c r="AR162" i="6"/>
  <c r="CA162" i="6" a="1"/>
  <c r="CA162" i="6" s="1"/>
  <c r="BF162" i="6"/>
  <c r="BJ162" i="6"/>
  <c r="BH162" i="6"/>
  <c r="BE162" i="6"/>
  <c r="AO162" i="6"/>
  <c r="AK162" i="6"/>
  <c r="BD162" i="6"/>
  <c r="J170" i="12" a="1"/>
  <c r="J170" i="12" s="1"/>
  <c r="G169" i="6"/>
  <c r="L172" i="6"/>
  <c r="E169" i="12"/>
  <c r="F169" i="6"/>
  <c r="A163" i="6"/>
  <c r="M143" i="6" l="1"/>
  <c r="BK143" i="6" s="1"/>
  <c r="CM138" i="6" a="1"/>
  <c r="CM138" i="6" s="1"/>
  <c r="BQ138" i="6"/>
  <c r="CH138" i="6" a="1"/>
  <c r="CH138" i="6" s="1"/>
  <c r="BO138" i="6"/>
  <c r="CL138" i="6" a="1"/>
  <c r="CL138" i="6" s="1"/>
  <c r="BN138" i="6"/>
  <c r="CG138" i="6" a="1"/>
  <c r="CG138" i="6" s="1"/>
  <c r="BM138" i="6"/>
  <c r="CF138" i="6" a="1"/>
  <c r="CF138" i="6" s="1"/>
  <c r="BT138" i="6"/>
  <c r="CK138" i="6" a="1"/>
  <c r="CK138" i="6" s="1"/>
  <c r="BS138" i="6"/>
  <c r="BP138" i="6"/>
  <c r="CJ138" i="6" a="1"/>
  <c r="CJ138" i="6" s="1"/>
  <c r="BR138" i="6"/>
  <c r="CI138" i="6" a="1"/>
  <c r="CI138" i="6" s="1"/>
  <c r="AU138" i="6"/>
  <c r="AY138" i="6"/>
  <c r="AV138" i="6"/>
  <c r="AW138" i="6"/>
  <c r="AX138" i="6"/>
  <c r="AZ138" i="6"/>
  <c r="BA138" i="6"/>
  <c r="AT138" i="6"/>
  <c r="H170" i="6" a="1"/>
  <c r="H170" i="6" s="1"/>
  <c r="T170" i="5" s="1"/>
  <c r="G170" i="12" s="1" a="1"/>
  <c r="G170" i="12" s="1"/>
  <c r="N171" i="5"/>
  <c r="D171" i="6" s="1"/>
  <c r="D171" i="5"/>
  <c r="B171" i="12" s="1"/>
  <c r="AD171" i="5"/>
  <c r="F171" i="5"/>
  <c r="E171" i="5"/>
  <c r="J171" i="5"/>
  <c r="W171" i="5" a="1"/>
  <c r="W171" i="5" s="1"/>
  <c r="H171" i="12" s="1" a="1"/>
  <c r="H171" i="12" s="1"/>
  <c r="K171" i="5"/>
  <c r="AE171" i="5" a="1"/>
  <c r="AE171" i="5" s="1"/>
  <c r="A171" i="12"/>
  <c r="J171" i="12" s="1" a="1"/>
  <c r="J171" i="12" s="1"/>
  <c r="G171" i="5"/>
  <c r="C172" i="5"/>
  <c r="B171" i="6"/>
  <c r="B171" i="5"/>
  <c r="H171" i="5"/>
  <c r="AJ138" i="6"/>
  <c r="BX138" i="6" a="1"/>
  <c r="BX138" i="6" s="1"/>
  <c r="BD138" i="6"/>
  <c r="AK138" i="6"/>
  <c r="AQ138" i="6"/>
  <c r="AR138" i="6"/>
  <c r="BG138" i="6"/>
  <c r="BW138" i="6" a="1"/>
  <c r="BW138" i="6" s="1"/>
  <c r="AN138" i="6"/>
  <c r="CE138" i="6" a="1"/>
  <c r="CE138" i="6" s="1"/>
  <c r="AS138" i="6"/>
  <c r="CA138" i="6" a="1"/>
  <c r="CA138" i="6" s="1"/>
  <c r="CC138" i="6" a="1"/>
  <c r="CC138" i="6" s="1"/>
  <c r="AM138" i="6"/>
  <c r="CB138" i="6" a="1"/>
  <c r="CB138" i="6" s="1"/>
  <c r="BC138" i="6"/>
  <c r="BK138" i="6"/>
  <c r="BY138" i="6" a="1"/>
  <c r="BY138" i="6" s="1"/>
  <c r="BF138" i="6"/>
  <c r="AP138" i="6"/>
  <c r="BJ138" i="6"/>
  <c r="BE138" i="6"/>
  <c r="BH138" i="6"/>
  <c r="BZ138" i="6" a="1"/>
  <c r="BZ138" i="6" s="1"/>
  <c r="BL138" i="6"/>
  <c r="BI138" i="6"/>
  <c r="CD138" i="6" a="1"/>
  <c r="CD138" i="6" s="1"/>
  <c r="AO138" i="6"/>
  <c r="BV138" i="6" a="1"/>
  <c r="BV138" i="6" s="1"/>
  <c r="M150" i="6"/>
  <c r="M149" i="6"/>
  <c r="M148" i="6"/>
  <c r="AL138" i="6"/>
  <c r="M141" i="6"/>
  <c r="M142" i="6"/>
  <c r="M140" i="6"/>
  <c r="M147" i="6"/>
  <c r="M146" i="6"/>
  <c r="M145" i="6"/>
  <c r="M139" i="6"/>
  <c r="M144" i="6"/>
  <c r="M151" i="6"/>
  <c r="M127" i="12" a="1"/>
  <c r="M127" i="12" s="1"/>
  <c r="AO127" i="12" a="1"/>
  <c r="AO127" i="12" s="1"/>
  <c r="O127" i="12" a="1"/>
  <c r="O127" i="12" s="1"/>
  <c r="W124" i="12" a="1"/>
  <c r="W124" i="12" s="1"/>
  <c r="V124" i="12" s="1" a="1"/>
  <c r="V124" i="12" s="1"/>
  <c r="Y126" i="12"/>
  <c r="X126" i="12" s="1" a="1"/>
  <c r="X126" i="12" s="1"/>
  <c r="N128" i="12"/>
  <c r="U123" i="12"/>
  <c r="V123" i="12" a="1"/>
  <c r="V123" i="12" s="1"/>
  <c r="T123" i="12"/>
  <c r="X135" i="5" a="1"/>
  <c r="X135" i="5" s="1"/>
  <c r="L130" i="5"/>
  <c r="C130" i="6" s="1"/>
  <c r="Z130" i="5"/>
  <c r="AB130" i="5" s="1" a="1"/>
  <c r="AB130" i="5" s="1"/>
  <c r="AM130" i="5"/>
  <c r="I130" i="12"/>
  <c r="Y128" i="12"/>
  <c r="X134" i="5" a="1"/>
  <c r="X134" i="5" s="1"/>
  <c r="X131" i="5" a="1"/>
  <c r="X131" i="5" s="1"/>
  <c r="X132" i="5" a="1"/>
  <c r="X132" i="5" s="1"/>
  <c r="X133" i="5" a="1"/>
  <c r="X133" i="5" s="1"/>
  <c r="X136" i="5" a="1"/>
  <c r="X136" i="5" s="1"/>
  <c r="N126" i="12"/>
  <c r="K170" i="12"/>
  <c r="L173" i="6"/>
  <c r="A164" i="6"/>
  <c r="BD143" i="6" l="1"/>
  <c r="AJ143" i="6"/>
  <c r="BZ143" i="6" a="1"/>
  <c r="BZ143" i="6" s="1"/>
  <c r="BW143" i="6" a="1"/>
  <c r="BW143" i="6" s="1"/>
  <c r="AQ143" i="6"/>
  <c r="BI143" i="6"/>
  <c r="CC143" i="6" a="1"/>
  <c r="CC143" i="6" s="1"/>
  <c r="AR143" i="6"/>
  <c r="AK143" i="6"/>
  <c r="CD143" i="6" a="1"/>
  <c r="CD143" i="6" s="1"/>
  <c r="BY143" i="6" a="1"/>
  <c r="BY143" i="6" s="1"/>
  <c r="CE143" i="6" a="1"/>
  <c r="CE143" i="6" s="1"/>
  <c r="AP143" i="6"/>
  <c r="BX143" i="6" a="1"/>
  <c r="BX143" i="6" s="1"/>
  <c r="AL143" i="6"/>
  <c r="BJ143" i="6"/>
  <c r="CA143" i="6" a="1"/>
  <c r="CA143" i="6" s="1"/>
  <c r="BC143" i="6"/>
  <c r="AS143" i="6"/>
  <c r="BG143" i="6"/>
  <c r="BV143" i="6" a="1"/>
  <c r="BV143" i="6" s="1"/>
  <c r="AM143" i="6"/>
  <c r="AO143" i="6"/>
  <c r="CB143" i="6" a="1"/>
  <c r="CB143" i="6" s="1"/>
  <c r="BH143" i="6"/>
  <c r="BF143" i="6"/>
  <c r="BL143" i="6"/>
  <c r="AN143" i="6"/>
  <c r="BE143" i="6"/>
  <c r="H171" i="6" a="1"/>
  <c r="H171" i="6" s="1"/>
  <c r="T171" i="5" s="1"/>
  <c r="G171" i="12" s="1" a="1"/>
  <c r="G171" i="12" s="1"/>
  <c r="CK144" i="6" a="1"/>
  <c r="CK144" i="6" s="1"/>
  <c r="BN144" i="6"/>
  <c r="CF144" i="6" a="1"/>
  <c r="CF144" i="6" s="1"/>
  <c r="BM144" i="6"/>
  <c r="CJ144" i="6" a="1"/>
  <c r="CJ144" i="6" s="1"/>
  <c r="BT144" i="6"/>
  <c r="CG144" i="6" a="1"/>
  <c r="CG144" i="6" s="1"/>
  <c r="CI144" i="6" a="1"/>
  <c r="CI144" i="6" s="1"/>
  <c r="BS144" i="6"/>
  <c r="BO144" i="6"/>
  <c r="CM144" i="6" a="1"/>
  <c r="CM144" i="6" s="1"/>
  <c r="BR144" i="6"/>
  <c r="AX144" i="6"/>
  <c r="CH144" i="6" a="1"/>
  <c r="CH144" i="6" s="1"/>
  <c r="BQ144" i="6"/>
  <c r="CL144" i="6" a="1"/>
  <c r="CL144" i="6" s="1"/>
  <c r="BP144" i="6"/>
  <c r="AY144" i="6"/>
  <c r="AT144" i="6"/>
  <c r="AW144" i="6"/>
  <c r="AU144" i="6"/>
  <c r="AZ144" i="6"/>
  <c r="AV144" i="6"/>
  <c r="BA144" i="6"/>
  <c r="CH145" i="6" a="1"/>
  <c r="CH145" i="6" s="1"/>
  <c r="BR145" i="6"/>
  <c r="CM145" i="6" a="1"/>
  <c r="CM145" i="6" s="1"/>
  <c r="BP145" i="6"/>
  <c r="CL145" i="6" a="1"/>
  <c r="CL145" i="6" s="1"/>
  <c r="CI145" i="6" a="1"/>
  <c r="CI145" i="6" s="1"/>
  <c r="CK145" i="6" a="1"/>
  <c r="CK145" i="6" s="1"/>
  <c r="BN145" i="6"/>
  <c r="CG145" i="6" a="1"/>
  <c r="CG145" i="6" s="1"/>
  <c r="BO145" i="6"/>
  <c r="CJ145" i="6" a="1"/>
  <c r="CJ145" i="6" s="1"/>
  <c r="BM145" i="6"/>
  <c r="BS145" i="6"/>
  <c r="CF145" i="6" a="1"/>
  <c r="CF145" i="6" s="1"/>
  <c r="BT145" i="6"/>
  <c r="BQ145" i="6"/>
  <c r="AZ145" i="6"/>
  <c r="BA145" i="6"/>
  <c r="AT145" i="6"/>
  <c r="AU145" i="6"/>
  <c r="AW145" i="6"/>
  <c r="AV145" i="6"/>
  <c r="AX145" i="6"/>
  <c r="AY145" i="6"/>
  <c r="BK149" i="6"/>
  <c r="CG149" i="6" a="1"/>
  <c r="CG149" i="6" s="1"/>
  <c r="BS149" i="6"/>
  <c r="CJ149" i="6" a="1"/>
  <c r="CJ149" i="6" s="1"/>
  <c r="BR149" i="6"/>
  <c r="CK149" i="6" a="1"/>
  <c r="CK149" i="6" s="1"/>
  <c r="AV149" i="6"/>
  <c r="CF149" i="6" a="1"/>
  <c r="CF149" i="6" s="1"/>
  <c r="BQ149" i="6"/>
  <c r="BN149" i="6"/>
  <c r="CI149" i="6" a="1"/>
  <c r="CI149" i="6" s="1"/>
  <c r="BP149" i="6"/>
  <c r="CH149" i="6" a="1"/>
  <c r="CH149" i="6" s="1"/>
  <c r="BO149" i="6"/>
  <c r="CM149" i="6" a="1"/>
  <c r="CM149" i="6" s="1"/>
  <c r="BM149" i="6"/>
  <c r="CL149" i="6" a="1"/>
  <c r="CL149" i="6" s="1"/>
  <c r="BT149" i="6"/>
  <c r="AY149" i="6"/>
  <c r="AX149" i="6"/>
  <c r="AW149" i="6"/>
  <c r="AZ149" i="6"/>
  <c r="BA149" i="6"/>
  <c r="AT149" i="6"/>
  <c r="AU149" i="6"/>
  <c r="CL139" i="6" a="1"/>
  <c r="CL139" i="6" s="1"/>
  <c r="BP139" i="6"/>
  <c r="CF139" i="6" a="1"/>
  <c r="CF139" i="6" s="1"/>
  <c r="CJ139" i="6" a="1"/>
  <c r="CJ139" i="6" s="1"/>
  <c r="BQ139" i="6"/>
  <c r="BR139" i="6"/>
  <c r="CI139" i="6" a="1"/>
  <c r="CI139" i="6" s="1"/>
  <c r="BO139" i="6"/>
  <c r="AX139" i="6"/>
  <c r="CM139" i="6" a="1"/>
  <c r="CM139" i="6" s="1"/>
  <c r="BN139" i="6"/>
  <c r="CH139" i="6" a="1"/>
  <c r="CH139" i="6" s="1"/>
  <c r="BM139" i="6"/>
  <c r="CG139" i="6" a="1"/>
  <c r="CG139" i="6" s="1"/>
  <c r="BT139" i="6"/>
  <c r="CK139" i="6" a="1"/>
  <c r="CK139" i="6" s="1"/>
  <c r="BS139" i="6"/>
  <c r="AW139" i="6"/>
  <c r="AY139" i="6"/>
  <c r="AZ139" i="6"/>
  <c r="BA139" i="6"/>
  <c r="AT139" i="6"/>
  <c r="AU139" i="6"/>
  <c r="AV139" i="6"/>
  <c r="CI146" i="6" a="1"/>
  <c r="CI146" i="6" s="1"/>
  <c r="BQ146" i="6"/>
  <c r="CL146" i="6" a="1"/>
  <c r="CL146" i="6" s="1"/>
  <c r="CK146" i="6" a="1"/>
  <c r="CK146" i="6" s="1"/>
  <c r="BN146" i="6"/>
  <c r="CG146" i="6" a="1"/>
  <c r="CG146" i="6" s="1"/>
  <c r="BP146" i="6"/>
  <c r="BR146" i="6"/>
  <c r="CJ146" i="6" a="1"/>
  <c r="CJ146" i="6" s="1"/>
  <c r="BO146" i="6"/>
  <c r="CF146" i="6" a="1"/>
  <c r="CF146" i="6" s="1"/>
  <c r="BM146" i="6"/>
  <c r="CH146" i="6" a="1"/>
  <c r="CH146" i="6" s="1"/>
  <c r="BT146" i="6"/>
  <c r="AW146" i="6"/>
  <c r="CM146" i="6" a="1"/>
  <c r="CM146" i="6" s="1"/>
  <c r="BS146" i="6"/>
  <c r="AX146" i="6"/>
  <c r="AZ146" i="6"/>
  <c r="BA146" i="6"/>
  <c r="AT146" i="6"/>
  <c r="AU146" i="6"/>
  <c r="AV146" i="6"/>
  <c r="AY146" i="6"/>
  <c r="CJ150" i="6" a="1"/>
  <c r="CJ150" i="6" s="1"/>
  <c r="BS150" i="6"/>
  <c r="BN150" i="6"/>
  <c r="CF150" i="6" a="1"/>
  <c r="CF150" i="6" s="1"/>
  <c r="BR150" i="6"/>
  <c r="BM150" i="6"/>
  <c r="CK150" i="6" a="1"/>
  <c r="CK150" i="6" s="1"/>
  <c r="CG150" i="6" a="1"/>
  <c r="CG150" i="6" s="1"/>
  <c r="CH150" i="6" a="1"/>
  <c r="CH150" i="6" s="1"/>
  <c r="BQ150" i="6"/>
  <c r="CM150" i="6" a="1"/>
  <c r="CM150" i="6" s="1"/>
  <c r="BP150" i="6"/>
  <c r="AU150" i="6"/>
  <c r="BT150" i="6"/>
  <c r="AT150" i="6"/>
  <c r="CL150" i="6" a="1"/>
  <c r="CL150" i="6" s="1"/>
  <c r="BO150" i="6"/>
  <c r="CI150" i="6" a="1"/>
  <c r="CI150" i="6" s="1"/>
  <c r="AW150" i="6"/>
  <c r="AV150" i="6"/>
  <c r="AX150" i="6"/>
  <c r="AY150" i="6"/>
  <c r="AZ150" i="6"/>
  <c r="BA150" i="6"/>
  <c r="CF141" i="6" a="1"/>
  <c r="CF141" i="6" s="1"/>
  <c r="BQ141" i="6"/>
  <c r="CI141" i="6" a="1"/>
  <c r="CI141" i="6" s="1"/>
  <c r="BP141" i="6"/>
  <c r="CH141" i="6" a="1"/>
  <c r="CH141" i="6" s="1"/>
  <c r="BO141" i="6"/>
  <c r="CM141" i="6" a="1"/>
  <c r="CM141" i="6" s="1"/>
  <c r="BM141" i="6"/>
  <c r="CJ141" i="6" a="1"/>
  <c r="CJ141" i="6" s="1"/>
  <c r="BT141" i="6"/>
  <c r="BR141" i="6"/>
  <c r="CL141" i="6" a="1"/>
  <c r="CL141" i="6" s="1"/>
  <c r="BN141" i="6"/>
  <c r="CG141" i="6" a="1"/>
  <c r="CG141" i="6" s="1"/>
  <c r="BS141" i="6"/>
  <c r="CK141" i="6" a="1"/>
  <c r="CK141" i="6" s="1"/>
  <c r="AT141" i="6"/>
  <c r="AX141" i="6"/>
  <c r="AU141" i="6"/>
  <c r="AW141" i="6"/>
  <c r="AV141" i="6"/>
  <c r="AZ141" i="6"/>
  <c r="BA141" i="6"/>
  <c r="AY141" i="6"/>
  <c r="CF151" i="6" a="1"/>
  <c r="CF151" i="6" s="1"/>
  <c r="BR151" i="6"/>
  <c r="CL151" i="6" a="1"/>
  <c r="CL151" i="6" s="1"/>
  <c r="BQ151" i="6"/>
  <c r="CM151" i="6" a="1"/>
  <c r="CM151" i="6" s="1"/>
  <c r="BP151" i="6"/>
  <c r="CI151" i="6" a="1"/>
  <c r="CI151" i="6" s="1"/>
  <c r="BO151" i="6"/>
  <c r="CH151" i="6" a="1"/>
  <c r="CH151" i="6" s="1"/>
  <c r="BM151" i="6"/>
  <c r="CK151" i="6" a="1"/>
  <c r="CK151" i="6" s="1"/>
  <c r="BN151" i="6"/>
  <c r="CG151" i="6" a="1"/>
  <c r="CG151" i="6" s="1"/>
  <c r="BT151" i="6"/>
  <c r="CJ151" i="6" a="1"/>
  <c r="CJ151" i="6" s="1"/>
  <c r="BS151" i="6"/>
  <c r="AT151" i="6"/>
  <c r="AU151" i="6"/>
  <c r="AV151" i="6"/>
  <c r="AW151" i="6"/>
  <c r="AX151" i="6"/>
  <c r="AY151" i="6"/>
  <c r="AZ151" i="6"/>
  <c r="BA151" i="6"/>
  <c r="CK148" i="6" a="1"/>
  <c r="CK148" i="6" s="1"/>
  <c r="BN148" i="6"/>
  <c r="CL148" i="6" a="1"/>
  <c r="CL148" i="6" s="1"/>
  <c r="CG148" i="6" a="1"/>
  <c r="CG148" i="6" s="1"/>
  <c r="BR148" i="6"/>
  <c r="CJ148" i="6" a="1"/>
  <c r="CJ148" i="6" s="1"/>
  <c r="BQ148" i="6"/>
  <c r="CF148" i="6" a="1"/>
  <c r="CF148" i="6" s="1"/>
  <c r="BP148" i="6"/>
  <c r="BS148" i="6"/>
  <c r="CI148" i="6" a="1"/>
  <c r="CI148" i="6" s="1"/>
  <c r="BO148" i="6"/>
  <c r="CM148" i="6" a="1"/>
  <c r="CM148" i="6" s="1"/>
  <c r="BM148" i="6"/>
  <c r="CH148" i="6" a="1"/>
  <c r="CH148" i="6" s="1"/>
  <c r="BT148" i="6"/>
  <c r="AW148" i="6"/>
  <c r="AX148" i="6"/>
  <c r="AT148" i="6"/>
  <c r="BA148" i="6"/>
  <c r="AY148" i="6"/>
  <c r="AU148" i="6"/>
  <c r="AZ148" i="6"/>
  <c r="AV148" i="6"/>
  <c r="AQ147" i="6"/>
  <c r="CK147" i="6" a="1"/>
  <c r="CK147" i="6" s="1"/>
  <c r="BN147" i="6"/>
  <c r="CG147" i="6" a="1"/>
  <c r="CG147" i="6" s="1"/>
  <c r="BQ147" i="6"/>
  <c r="BR147" i="6"/>
  <c r="CJ147" i="6" a="1"/>
  <c r="CJ147" i="6" s="1"/>
  <c r="BP147" i="6"/>
  <c r="AW147" i="6"/>
  <c r="CF147" i="6" a="1"/>
  <c r="CF147" i="6" s="1"/>
  <c r="BO147" i="6"/>
  <c r="CH147" i="6" a="1"/>
  <c r="CH147" i="6" s="1"/>
  <c r="CL147" i="6" a="1"/>
  <c r="CL147" i="6" s="1"/>
  <c r="BM147" i="6"/>
  <c r="CM147" i="6" a="1"/>
  <c r="CM147" i="6" s="1"/>
  <c r="BT147" i="6"/>
  <c r="CI147" i="6" a="1"/>
  <c r="CI147" i="6" s="1"/>
  <c r="BS147" i="6"/>
  <c r="AV147" i="6"/>
  <c r="BA147" i="6"/>
  <c r="AX147" i="6"/>
  <c r="AT147" i="6"/>
  <c r="AY147" i="6"/>
  <c r="AU147" i="6"/>
  <c r="AZ147" i="6"/>
  <c r="CF140" i="6" a="1"/>
  <c r="CF140" i="6" s="1"/>
  <c r="BR140" i="6"/>
  <c r="CJ140" i="6" a="1"/>
  <c r="CJ140" i="6" s="1"/>
  <c r="BP140" i="6"/>
  <c r="CI140" i="6" a="1"/>
  <c r="CI140" i="6" s="1"/>
  <c r="BO140" i="6"/>
  <c r="BN140" i="6"/>
  <c r="CH140" i="6" a="1"/>
  <c r="CH140" i="6" s="1"/>
  <c r="BM140" i="6"/>
  <c r="AU140" i="6"/>
  <c r="CL140" i="6" a="1"/>
  <c r="CL140" i="6" s="1"/>
  <c r="BS140" i="6"/>
  <c r="CM140" i="6" a="1"/>
  <c r="CM140" i="6" s="1"/>
  <c r="BQ140" i="6"/>
  <c r="CG140" i="6" a="1"/>
  <c r="CG140" i="6" s="1"/>
  <c r="BT140" i="6"/>
  <c r="CK140" i="6" a="1"/>
  <c r="CK140" i="6" s="1"/>
  <c r="AT140" i="6"/>
  <c r="AV140" i="6"/>
  <c r="AZ140" i="6"/>
  <c r="AW140" i="6"/>
  <c r="BA140" i="6"/>
  <c r="AY140" i="6"/>
  <c r="AX140" i="6"/>
  <c r="CJ142" i="6" a="1"/>
  <c r="CJ142" i="6" s="1"/>
  <c r="BM142" i="6"/>
  <c r="CM142" i="6" a="1"/>
  <c r="CM142" i="6" s="1"/>
  <c r="BN142" i="6"/>
  <c r="CH142" i="6" a="1"/>
  <c r="CH142" i="6" s="1"/>
  <c r="BT142" i="6"/>
  <c r="CL142" i="6" a="1"/>
  <c r="CL142" i="6" s="1"/>
  <c r="BS142" i="6"/>
  <c r="CG142" i="6" a="1"/>
  <c r="CG142" i="6" s="1"/>
  <c r="BR142" i="6"/>
  <c r="CF142" i="6" a="1"/>
  <c r="CF142" i="6" s="1"/>
  <c r="BQ142" i="6"/>
  <c r="CK142" i="6" a="1"/>
  <c r="CK142" i="6" s="1"/>
  <c r="BP142" i="6"/>
  <c r="CI142" i="6" a="1"/>
  <c r="CI142" i="6" s="1"/>
  <c r="BO142" i="6"/>
  <c r="AY142" i="6"/>
  <c r="AZ142" i="6"/>
  <c r="BA142" i="6"/>
  <c r="AT142" i="6"/>
  <c r="AU142" i="6"/>
  <c r="AV142" i="6"/>
  <c r="AW142" i="6"/>
  <c r="AX142" i="6"/>
  <c r="CJ143" i="6" a="1"/>
  <c r="CJ143" i="6" s="1"/>
  <c r="BN143" i="6"/>
  <c r="CI143" i="6" a="1"/>
  <c r="CI143" i="6" s="1"/>
  <c r="BT143" i="6"/>
  <c r="BM143" i="6"/>
  <c r="CM143" i="6" a="1"/>
  <c r="CM143" i="6" s="1"/>
  <c r="BS143" i="6"/>
  <c r="CH143" i="6" a="1"/>
  <c r="CH143" i="6" s="1"/>
  <c r="BR143" i="6"/>
  <c r="CG143" i="6" a="1"/>
  <c r="CG143" i="6" s="1"/>
  <c r="BQ143" i="6"/>
  <c r="CF143" i="6" a="1"/>
  <c r="CF143" i="6" s="1"/>
  <c r="CL143" i="6" a="1"/>
  <c r="CL143" i="6" s="1"/>
  <c r="BP143" i="6"/>
  <c r="CK143" i="6" a="1"/>
  <c r="CK143" i="6" s="1"/>
  <c r="BO143" i="6"/>
  <c r="AV143" i="6"/>
  <c r="BA143" i="6"/>
  <c r="AW143" i="6"/>
  <c r="AX143" i="6"/>
  <c r="AT143" i="6"/>
  <c r="AY143" i="6"/>
  <c r="AU143" i="6"/>
  <c r="AZ143" i="6"/>
  <c r="W172" i="5" a="1"/>
  <c r="W172" i="5" s="1"/>
  <c r="H172" i="12" s="1" a="1"/>
  <c r="H172" i="12" s="1"/>
  <c r="L171" i="12" a="1"/>
  <c r="L171" i="12" s="1"/>
  <c r="K171" i="12" s="1"/>
  <c r="A172" i="12"/>
  <c r="L172" i="12" s="1" a="1"/>
  <c r="L172" i="12" s="1"/>
  <c r="B172" i="6"/>
  <c r="C173" i="5"/>
  <c r="AE172" i="5" a="1"/>
  <c r="AE172" i="5" s="1"/>
  <c r="H172" i="5"/>
  <c r="J172" i="5"/>
  <c r="B172" i="5"/>
  <c r="G172" i="5"/>
  <c r="N172" i="5"/>
  <c r="D172" i="6" s="1"/>
  <c r="E172" i="5"/>
  <c r="K172" i="5"/>
  <c r="D172" i="5"/>
  <c r="B172" i="12" s="1"/>
  <c r="F172" i="5"/>
  <c r="AD172" i="5"/>
  <c r="X138" i="5" a="1"/>
  <c r="X138" i="5" s="1"/>
  <c r="L138" i="5" s="1"/>
  <c r="C138" i="6" s="1"/>
  <c r="CC149" i="6" a="1"/>
  <c r="CC149" i="6" s="1"/>
  <c r="AN149" i="6"/>
  <c r="BZ149" i="6" a="1"/>
  <c r="BZ149" i="6" s="1"/>
  <c r="BI147" i="6"/>
  <c r="BD149" i="6"/>
  <c r="AM147" i="6"/>
  <c r="BC149" i="6"/>
  <c r="AP149" i="6"/>
  <c r="AO149" i="6"/>
  <c r="BF149" i="6"/>
  <c r="CA149" i="6" a="1"/>
  <c r="CA149" i="6" s="1"/>
  <c r="BI149" i="6"/>
  <c r="BL149" i="6"/>
  <c r="BH149" i="6"/>
  <c r="AR149" i="6"/>
  <c r="BJ149" i="6"/>
  <c r="BE147" i="6"/>
  <c r="BG149" i="6"/>
  <c r="CD149" i="6" a="1"/>
  <c r="CD149" i="6" s="1"/>
  <c r="AJ149" i="6"/>
  <c r="BY149" i="6" a="1"/>
  <c r="BY149" i="6" s="1"/>
  <c r="AS149" i="6"/>
  <c r="AP147" i="6"/>
  <c r="AL149" i="6"/>
  <c r="AK149" i="6"/>
  <c r="BX149" i="6" a="1"/>
  <c r="BX149" i="6" s="1"/>
  <c r="AQ149" i="6"/>
  <c r="AM148" i="6"/>
  <c r="AN148" i="6"/>
  <c r="BW148" i="6" a="1"/>
  <c r="BW148" i="6" s="1"/>
  <c r="CE148" i="6" a="1"/>
  <c r="CE148" i="6" s="1"/>
  <c r="BX148" i="6" a="1"/>
  <c r="BX148" i="6" s="1"/>
  <c r="AK148" i="6"/>
  <c r="BL148" i="6"/>
  <c r="AR148" i="6"/>
  <c r="BH148" i="6"/>
  <c r="BG148" i="6"/>
  <c r="BI148" i="6"/>
  <c r="CA148" i="6" a="1"/>
  <c r="CA148" i="6" s="1"/>
  <c r="BF148" i="6"/>
  <c r="CD148" i="6" a="1"/>
  <c r="CD148" i="6" s="1"/>
  <c r="BC148" i="6"/>
  <c r="BY148" i="6" a="1"/>
  <c r="BY148" i="6" s="1"/>
  <c r="BK148" i="6"/>
  <c r="AQ148" i="6"/>
  <c r="BD148" i="6"/>
  <c r="AJ148" i="6"/>
  <c r="CC148" i="6" a="1"/>
  <c r="CC148" i="6" s="1"/>
  <c r="BE148" i="6"/>
  <c r="AO148" i="6"/>
  <c r="CB148" i="6" a="1"/>
  <c r="CB148" i="6" s="1"/>
  <c r="BJ148" i="6"/>
  <c r="AP148" i="6"/>
  <c r="BV148" i="6" a="1"/>
  <c r="BV148" i="6" s="1"/>
  <c r="BZ148" i="6" a="1"/>
  <c r="BZ148" i="6" s="1"/>
  <c r="AS148" i="6"/>
  <c r="AL148" i="6"/>
  <c r="CD147" i="6" a="1"/>
  <c r="CD147" i="6" s="1"/>
  <c r="CC147" i="6" a="1"/>
  <c r="CC147" i="6" s="1"/>
  <c r="CE149" i="6" a="1"/>
  <c r="CE149" i="6" s="1"/>
  <c r="BH150" i="6"/>
  <c r="CD150" i="6" a="1"/>
  <c r="CD150" i="6" s="1"/>
  <c r="BI150" i="6"/>
  <c r="CB150" i="6" a="1"/>
  <c r="CB150" i="6" s="1"/>
  <c r="AP150" i="6"/>
  <c r="CE150" i="6" a="1"/>
  <c r="CE150" i="6" s="1"/>
  <c r="AS150" i="6"/>
  <c r="BW150" i="6" a="1"/>
  <c r="BW150" i="6" s="1"/>
  <c r="CC150" i="6" a="1"/>
  <c r="CC150" i="6" s="1"/>
  <c r="BF150" i="6"/>
  <c r="AL150" i="6"/>
  <c r="BL150" i="6"/>
  <c r="BJ150" i="6"/>
  <c r="AQ150" i="6"/>
  <c r="BV150" i="6" a="1"/>
  <c r="BV150" i="6" s="1"/>
  <c r="AK150" i="6"/>
  <c r="AO150" i="6"/>
  <c r="AM150" i="6"/>
  <c r="BC150" i="6"/>
  <c r="AJ150" i="6"/>
  <c r="BG150" i="6"/>
  <c r="CA150" i="6" a="1"/>
  <c r="CA150" i="6" s="1"/>
  <c r="BD150" i="6"/>
  <c r="AN150" i="6"/>
  <c r="BY150" i="6" a="1"/>
  <c r="BY150" i="6" s="1"/>
  <c r="BX150" i="6" a="1"/>
  <c r="BX150" i="6" s="1"/>
  <c r="AR150" i="6"/>
  <c r="BE150" i="6"/>
  <c r="BK150" i="6"/>
  <c r="BZ150" i="6" a="1"/>
  <c r="BZ150" i="6" s="1"/>
  <c r="CB149" i="6" a="1"/>
  <c r="CB149" i="6" s="1"/>
  <c r="AM149" i="6"/>
  <c r="BW149" i="6" a="1"/>
  <c r="BW149" i="6" s="1"/>
  <c r="BE149" i="6"/>
  <c r="BV149" i="6" a="1"/>
  <c r="BV149" i="6" s="1"/>
  <c r="BV147" i="6" a="1"/>
  <c r="BV147" i="6" s="1"/>
  <c r="AS147" i="6"/>
  <c r="AR147" i="6"/>
  <c r="AN147" i="6"/>
  <c r="BL147" i="6"/>
  <c r="BY147" i="6" a="1"/>
  <c r="BY147" i="6" s="1"/>
  <c r="BJ147" i="6"/>
  <c r="BX147" i="6" a="1"/>
  <c r="BX147" i="6" s="1"/>
  <c r="CA147" i="6" a="1"/>
  <c r="CA147" i="6" s="1"/>
  <c r="AJ147" i="6"/>
  <c r="BD147" i="6"/>
  <c r="BG147" i="6"/>
  <c r="BH147" i="6"/>
  <c r="BK147" i="6"/>
  <c r="AO147" i="6"/>
  <c r="CE147" i="6" a="1"/>
  <c r="CE147" i="6" s="1"/>
  <c r="BC147" i="6"/>
  <c r="BW147" i="6" a="1"/>
  <c r="BW147" i="6" s="1"/>
  <c r="CB147" i="6" a="1"/>
  <c r="CB147" i="6" s="1"/>
  <c r="CC141" i="6" a="1"/>
  <c r="CC141" i="6" s="1"/>
  <c r="BI141" i="6"/>
  <c r="BK141" i="6"/>
  <c r="BE141" i="6"/>
  <c r="CE141" i="6" a="1"/>
  <c r="CE141" i="6" s="1"/>
  <c r="BF141" i="6"/>
  <c r="AP141" i="6"/>
  <c r="BC141" i="6"/>
  <c r="CD141" i="6" a="1"/>
  <c r="CD141" i="6" s="1"/>
  <c r="BZ141" i="6" a="1"/>
  <c r="BZ141" i="6" s="1"/>
  <c r="BV141" i="6" a="1"/>
  <c r="BV141" i="6" s="1"/>
  <c r="BD141" i="6"/>
  <c r="AK141" i="6"/>
  <c r="BH141" i="6"/>
  <c r="AS141" i="6"/>
  <c r="BY141" i="6" a="1"/>
  <c r="BY141" i="6" s="1"/>
  <c r="BW141" i="6" a="1"/>
  <c r="BW141" i="6" s="1"/>
  <c r="CA141" i="6" a="1"/>
  <c r="CA141" i="6" s="1"/>
  <c r="AM141" i="6"/>
  <c r="AR141" i="6"/>
  <c r="BX141" i="6" a="1"/>
  <c r="BX141" i="6" s="1"/>
  <c r="BG141" i="6"/>
  <c r="AN141" i="6"/>
  <c r="AL141" i="6"/>
  <c r="BJ141" i="6"/>
  <c r="AO141" i="6"/>
  <c r="CB141" i="6" a="1"/>
  <c r="CB141" i="6" s="1"/>
  <c r="BL141" i="6"/>
  <c r="AJ141" i="6"/>
  <c r="AQ141" i="6"/>
  <c r="AK147" i="6"/>
  <c r="BF147" i="6"/>
  <c r="AL147" i="6"/>
  <c r="BZ147" i="6" a="1"/>
  <c r="BZ147" i="6" s="1"/>
  <c r="CA146" i="6" a="1"/>
  <c r="CA146" i="6" s="1"/>
  <c r="AM146" i="6"/>
  <c r="CB146" i="6" a="1"/>
  <c r="CB146" i="6" s="1"/>
  <c r="CE146" i="6" a="1"/>
  <c r="CE146" i="6" s="1"/>
  <c r="AK146" i="6"/>
  <c r="BF146" i="6"/>
  <c r="BX146" i="6" a="1"/>
  <c r="BX146" i="6" s="1"/>
  <c r="AN146" i="6"/>
  <c r="AQ146" i="6"/>
  <c r="AO146" i="6"/>
  <c r="BJ146" i="6"/>
  <c r="AJ146" i="6"/>
  <c r="BC146" i="6"/>
  <c r="AP146" i="6"/>
  <c r="BG146" i="6"/>
  <c r="AR146" i="6"/>
  <c r="BW146" i="6" a="1"/>
  <c r="BW146" i="6" s="1"/>
  <c r="BY146" i="6" a="1"/>
  <c r="BY146" i="6" s="1"/>
  <c r="CC146" i="6" a="1"/>
  <c r="CC146" i="6" s="1"/>
  <c r="BE146" i="6"/>
  <c r="BV146" i="6" a="1"/>
  <c r="BV146" i="6" s="1"/>
  <c r="AS146" i="6"/>
  <c r="AL146" i="6"/>
  <c r="BH146" i="6"/>
  <c r="BD146" i="6"/>
  <c r="CD146" i="6" a="1"/>
  <c r="CD146" i="6" s="1"/>
  <c r="BK146" i="6"/>
  <c r="BL146" i="6"/>
  <c r="BZ146" i="6" a="1"/>
  <c r="BZ146" i="6" s="1"/>
  <c r="BI146" i="6"/>
  <c r="BY142" i="6" a="1"/>
  <c r="BY142" i="6" s="1"/>
  <c r="BC142" i="6"/>
  <c r="BD142" i="6"/>
  <c r="BV142" i="6" a="1"/>
  <c r="BV142" i="6" s="1"/>
  <c r="BH142" i="6"/>
  <c r="CC142" i="6" a="1"/>
  <c r="CC142" i="6" s="1"/>
  <c r="BJ142" i="6"/>
  <c r="AM142" i="6"/>
  <c r="AN142" i="6"/>
  <c r="AL142" i="6"/>
  <c r="AK142" i="6"/>
  <c r="BL142" i="6"/>
  <c r="BI142" i="6"/>
  <c r="CA142" i="6" a="1"/>
  <c r="CA142" i="6" s="1"/>
  <c r="BZ142" i="6" a="1"/>
  <c r="BZ142" i="6" s="1"/>
  <c r="CB142" i="6" a="1"/>
  <c r="CB142" i="6" s="1"/>
  <c r="CE142" i="6" a="1"/>
  <c r="CE142" i="6" s="1"/>
  <c r="BE142" i="6"/>
  <c r="AQ142" i="6"/>
  <c r="BX142" i="6" a="1"/>
  <c r="BX142" i="6" s="1"/>
  <c r="CD142" i="6" a="1"/>
  <c r="CD142" i="6" s="1"/>
  <c r="AS142" i="6"/>
  <c r="AJ142" i="6"/>
  <c r="AR142" i="6"/>
  <c r="AP142" i="6"/>
  <c r="BW142" i="6" a="1"/>
  <c r="BW142" i="6" s="1"/>
  <c r="BF142" i="6"/>
  <c r="BG142" i="6"/>
  <c r="AO142" i="6"/>
  <c r="BK142" i="6"/>
  <c r="AS145" i="6"/>
  <c r="BI145" i="6"/>
  <c r="BC145" i="6"/>
  <c r="AK145" i="6"/>
  <c r="BJ145" i="6"/>
  <c r="BL145" i="6"/>
  <c r="AL145" i="6"/>
  <c r="BY145" i="6" a="1"/>
  <c r="BY145" i="6" s="1"/>
  <c r="BE145" i="6"/>
  <c r="CB145" i="6" a="1"/>
  <c r="CB145" i="6" s="1"/>
  <c r="BD145" i="6"/>
  <c r="CA145" i="6" a="1"/>
  <c r="CA145" i="6" s="1"/>
  <c r="AR145" i="6"/>
  <c r="BK145" i="6"/>
  <c r="BV145" i="6" a="1"/>
  <c r="BV145" i="6" s="1"/>
  <c r="AP145" i="6"/>
  <c r="AO145" i="6"/>
  <c r="AJ145" i="6"/>
  <c r="CD145" i="6" a="1"/>
  <c r="CD145" i="6" s="1"/>
  <c r="CE145" i="6" a="1"/>
  <c r="CE145" i="6" s="1"/>
  <c r="BF145" i="6"/>
  <c r="BG145" i="6"/>
  <c r="AN145" i="6"/>
  <c r="AQ145" i="6"/>
  <c r="BH145" i="6"/>
  <c r="AM145" i="6"/>
  <c r="BW145" i="6" a="1"/>
  <c r="BW145" i="6" s="1"/>
  <c r="BX145" i="6" a="1"/>
  <c r="BX145" i="6" s="1"/>
  <c r="BZ145" i="6" a="1"/>
  <c r="BZ145" i="6" s="1"/>
  <c r="CC145" i="6" a="1"/>
  <c r="CC145" i="6" s="1"/>
  <c r="AR140" i="6"/>
  <c r="BV140" i="6" a="1"/>
  <c r="BV140" i="6" s="1"/>
  <c r="BK140" i="6"/>
  <c r="AN140" i="6"/>
  <c r="BL140" i="6"/>
  <c r="AS140" i="6"/>
  <c r="CC140" i="6" a="1"/>
  <c r="CC140" i="6" s="1"/>
  <c r="AL140" i="6"/>
  <c r="BW140" i="6" a="1"/>
  <c r="BW140" i="6" s="1"/>
  <c r="BG140" i="6"/>
  <c r="BH140" i="6"/>
  <c r="AJ140" i="6"/>
  <c r="AM140" i="6"/>
  <c r="BY140" i="6" a="1"/>
  <c r="BY140" i="6" s="1"/>
  <c r="CB140" i="6" a="1"/>
  <c r="CB140" i="6" s="1"/>
  <c r="BZ140" i="6" a="1"/>
  <c r="BZ140" i="6" s="1"/>
  <c r="AO140" i="6"/>
  <c r="CD140" i="6" a="1"/>
  <c r="CD140" i="6" s="1"/>
  <c r="AP140" i="6"/>
  <c r="BJ140" i="6"/>
  <c r="BI140" i="6"/>
  <c r="BX140" i="6" a="1"/>
  <c r="BX140" i="6" s="1"/>
  <c r="AK140" i="6"/>
  <c r="BE140" i="6"/>
  <c r="CE140" i="6" a="1"/>
  <c r="CE140" i="6" s="1"/>
  <c r="BF140" i="6"/>
  <c r="AQ140" i="6"/>
  <c r="BD140" i="6"/>
  <c r="CA140" i="6" a="1"/>
  <c r="CA140" i="6" s="1"/>
  <c r="BC140" i="6"/>
  <c r="BH144" i="6"/>
  <c r="BI144" i="6"/>
  <c r="BK144" i="6"/>
  <c r="BZ144" i="6" a="1"/>
  <c r="BZ144" i="6" s="1"/>
  <c r="AJ144" i="6"/>
  <c r="BL144" i="6"/>
  <c r="AP144" i="6"/>
  <c r="AL144" i="6"/>
  <c r="CA144" i="6" a="1"/>
  <c r="CA144" i="6" s="1"/>
  <c r="CB144" i="6" a="1"/>
  <c r="CB144" i="6" s="1"/>
  <c r="BX144" i="6" a="1"/>
  <c r="BX144" i="6" s="1"/>
  <c r="BG144" i="6"/>
  <c r="AO144" i="6"/>
  <c r="AQ144" i="6"/>
  <c r="CC144" i="6" a="1"/>
  <c r="CC144" i="6" s="1"/>
  <c r="CD144" i="6" a="1"/>
  <c r="CD144" i="6" s="1"/>
  <c r="AK144" i="6"/>
  <c r="BV144" i="6" a="1"/>
  <c r="BV144" i="6" s="1"/>
  <c r="BF144" i="6"/>
  <c r="BD144" i="6"/>
  <c r="AS144" i="6"/>
  <c r="AR144" i="6"/>
  <c r="BY144" i="6" a="1"/>
  <c r="BY144" i="6" s="1"/>
  <c r="AM144" i="6"/>
  <c r="BE144" i="6"/>
  <c r="BC144" i="6"/>
  <c r="BW144" i="6" a="1"/>
  <c r="BW144" i="6" s="1"/>
  <c r="CE144" i="6" a="1"/>
  <c r="CE144" i="6" s="1"/>
  <c r="AN144" i="6"/>
  <c r="BJ144" i="6"/>
  <c r="AJ139" i="6"/>
  <c r="BW139" i="6" a="1"/>
  <c r="BW139" i="6" s="1"/>
  <c r="BF139" i="6"/>
  <c r="AN139" i="6"/>
  <c r="BX139" i="6" a="1"/>
  <c r="BX139" i="6" s="1"/>
  <c r="BV139" i="6" a="1"/>
  <c r="BV139" i="6" s="1"/>
  <c r="BL139" i="6"/>
  <c r="CB139" i="6" a="1"/>
  <c r="CB139" i="6" s="1"/>
  <c r="CA139" i="6" a="1"/>
  <c r="CA139" i="6" s="1"/>
  <c r="CD139" i="6" a="1"/>
  <c r="CD139" i="6" s="1"/>
  <c r="BI139" i="6"/>
  <c r="AO139" i="6"/>
  <c r="CE139" i="6" a="1"/>
  <c r="CE139" i="6" s="1"/>
  <c r="AQ139" i="6"/>
  <c r="AP139" i="6"/>
  <c r="AM139" i="6"/>
  <c r="AS139" i="6"/>
  <c r="BY139" i="6" a="1"/>
  <c r="BY139" i="6" s="1"/>
  <c r="BG139" i="6"/>
  <c r="BK139" i="6"/>
  <c r="BH139" i="6"/>
  <c r="BJ139" i="6"/>
  <c r="AK139" i="6"/>
  <c r="AR139" i="6"/>
  <c r="BZ139" i="6" a="1"/>
  <c r="BZ139" i="6" s="1"/>
  <c r="BC139" i="6"/>
  <c r="CC139" i="6" a="1"/>
  <c r="CC139" i="6" s="1"/>
  <c r="BD139" i="6"/>
  <c r="BE139" i="6"/>
  <c r="AL139" i="6"/>
  <c r="M153" i="6"/>
  <c r="AR151" i="6"/>
  <c r="BL151" i="6"/>
  <c r="CC151" i="6" a="1"/>
  <c r="CC151" i="6" s="1"/>
  <c r="BG151" i="6"/>
  <c r="CE151" i="6" a="1"/>
  <c r="CE151" i="6" s="1"/>
  <c r="AM151" i="6"/>
  <c r="CD151" i="6" a="1"/>
  <c r="CD151" i="6" s="1"/>
  <c r="BF151" i="6"/>
  <c r="BK151" i="6"/>
  <c r="BC151" i="6"/>
  <c r="AN151" i="6"/>
  <c r="CB151" i="6" a="1"/>
  <c r="CB151" i="6" s="1"/>
  <c r="BZ151" i="6" a="1"/>
  <c r="BZ151" i="6" s="1"/>
  <c r="BY151" i="6" a="1"/>
  <c r="BY151" i="6" s="1"/>
  <c r="BX151" i="6" a="1"/>
  <c r="BX151" i="6" s="1"/>
  <c r="AQ151" i="6"/>
  <c r="AO151" i="6"/>
  <c r="AJ151" i="6"/>
  <c r="AK151" i="6"/>
  <c r="BJ151" i="6"/>
  <c r="CA151" i="6" a="1"/>
  <c r="CA151" i="6" s="1"/>
  <c r="BW151" i="6" a="1"/>
  <c r="BW151" i="6" s="1"/>
  <c r="BH151" i="6"/>
  <c r="BV151" i="6" a="1"/>
  <c r="BV151" i="6" s="1"/>
  <c r="BE151" i="6"/>
  <c r="AL151" i="6"/>
  <c r="AP151" i="6"/>
  <c r="AS151" i="6"/>
  <c r="BD151" i="6"/>
  <c r="BI151" i="6"/>
  <c r="T124" i="12"/>
  <c r="U124" i="12"/>
  <c r="N127" i="12"/>
  <c r="Y127" i="12"/>
  <c r="X127" i="12" s="1" a="1"/>
  <c r="X127" i="12" s="1"/>
  <c r="W126" i="12" a="1"/>
  <c r="W126" i="12" s="1"/>
  <c r="V126" i="12" s="1" a="1"/>
  <c r="V126" i="12" s="1"/>
  <c r="O130" i="12" a="1"/>
  <c r="O130" i="12" s="1"/>
  <c r="C130" i="12"/>
  <c r="AO130" i="12" a="1"/>
  <c r="AO130" i="12" s="1"/>
  <c r="M130" i="12" a="1"/>
  <c r="M130" i="12" s="1"/>
  <c r="I132" i="12"/>
  <c r="Z132" i="5"/>
  <c r="AB132" i="5" s="1" a="1"/>
  <c r="AB132" i="5" s="1"/>
  <c r="L132" i="5"/>
  <c r="C132" i="6" s="1"/>
  <c r="AM132" i="5"/>
  <c r="Z131" i="5"/>
  <c r="AB131" i="5" s="1" a="1"/>
  <c r="AB131" i="5" s="1"/>
  <c r="AM131" i="5"/>
  <c r="L131" i="5"/>
  <c r="C131" i="6" s="1"/>
  <c r="I131" i="12"/>
  <c r="AM133" i="5"/>
  <c r="Z133" i="5"/>
  <c r="AB133" i="5" s="1" a="1"/>
  <c r="AB133" i="5" s="1"/>
  <c r="I133" i="12"/>
  <c r="L133" i="5"/>
  <c r="C133" i="6" s="1"/>
  <c r="AM134" i="5"/>
  <c r="L134" i="5"/>
  <c r="C134" i="6" s="1"/>
  <c r="Z134" i="5"/>
  <c r="AB134" i="5" s="1" a="1"/>
  <c r="AB134" i="5" s="1"/>
  <c r="I134" i="12"/>
  <c r="W128" i="12" a="1"/>
  <c r="W128" i="12" s="1"/>
  <c r="X128" i="12" a="1"/>
  <c r="X128" i="12" s="1"/>
  <c r="Z136" i="5"/>
  <c r="AB136" i="5" s="1" a="1"/>
  <c r="AB136" i="5" s="1"/>
  <c r="AM136" i="5"/>
  <c r="I136" i="12"/>
  <c r="L136" i="5"/>
  <c r="C136" i="6" s="1"/>
  <c r="Z135" i="5"/>
  <c r="AB135" i="5" s="1" a="1"/>
  <c r="AB135" i="5" s="1"/>
  <c r="L135" i="5"/>
  <c r="C135" i="6" s="1"/>
  <c r="I135" i="12"/>
  <c r="AM135" i="5"/>
  <c r="L174" i="6"/>
  <c r="A165" i="6"/>
  <c r="A173" i="12" l="1"/>
  <c r="J173" i="12" s="1" a="1"/>
  <c r="J173" i="12" s="1"/>
  <c r="X143" i="5" a="1"/>
  <c r="X143" i="5" s="1"/>
  <c r="AM143" i="5" s="1"/>
  <c r="CK153" i="6" a="1"/>
  <c r="CK153" i="6" s="1"/>
  <c r="BN153" i="6"/>
  <c r="CG153" i="6" a="1"/>
  <c r="CG153" i="6" s="1"/>
  <c r="BO153" i="6"/>
  <c r="BP153" i="6"/>
  <c r="CJ153" i="6" a="1"/>
  <c r="CJ153" i="6" s="1"/>
  <c r="BM153" i="6"/>
  <c r="AW153" i="6"/>
  <c r="CF153" i="6" a="1"/>
  <c r="CF153" i="6" s="1"/>
  <c r="BT153" i="6"/>
  <c r="CI153" i="6" a="1"/>
  <c r="CI153" i="6" s="1"/>
  <c r="BS153" i="6"/>
  <c r="CH153" i="6" a="1"/>
  <c r="CH153" i="6" s="1"/>
  <c r="BR153" i="6"/>
  <c r="CM153" i="6" a="1"/>
  <c r="CM153" i="6" s="1"/>
  <c r="BQ153" i="6"/>
  <c r="CL153" i="6" a="1"/>
  <c r="CL153" i="6" s="1"/>
  <c r="AX153" i="6"/>
  <c r="AT153" i="6"/>
  <c r="AY153" i="6"/>
  <c r="AU153" i="6"/>
  <c r="BA153" i="6"/>
  <c r="AZ153" i="6"/>
  <c r="AV153" i="6"/>
  <c r="H172" i="6" a="1"/>
  <c r="H172" i="6" s="1"/>
  <c r="T172" i="5" s="1"/>
  <c r="G172" i="12" s="1" a="1"/>
  <c r="G172" i="12" s="1"/>
  <c r="J173" i="5"/>
  <c r="J172" i="12" a="1"/>
  <c r="J172" i="12" s="1"/>
  <c r="K172" i="12" s="1"/>
  <c r="AD173" i="5"/>
  <c r="D173" i="5"/>
  <c r="B173" i="12" s="1"/>
  <c r="I138" i="12"/>
  <c r="M138" i="12" s="1" a="1"/>
  <c r="M138" i="12" s="1"/>
  <c r="K173" i="5"/>
  <c r="F173" i="5"/>
  <c r="W173" i="5" a="1"/>
  <c r="W173" i="5" s="1"/>
  <c r="H173" i="12" s="1" a="1"/>
  <c r="H173" i="12" s="1"/>
  <c r="E173" i="5"/>
  <c r="H173" i="5"/>
  <c r="G173" i="5"/>
  <c r="AE173" i="5" a="1"/>
  <c r="AE173" i="5" s="1"/>
  <c r="B173" i="6"/>
  <c r="B173" i="5"/>
  <c r="C174" i="5" s="1"/>
  <c r="A174" i="12" s="1"/>
  <c r="N173" i="5"/>
  <c r="D173" i="6" s="1"/>
  <c r="AM138" i="5"/>
  <c r="Z138" i="5"/>
  <c r="AB138" i="5" s="1" a="1"/>
  <c r="AB138" i="5" s="1"/>
  <c r="X148" i="5" a="1"/>
  <c r="X148" i="5" s="1"/>
  <c r="L148" i="5" s="1"/>
  <c r="C148" i="6" s="1"/>
  <c r="X149" i="5" a="1"/>
  <c r="X149" i="5" s="1"/>
  <c r="L149" i="5" s="1"/>
  <c r="C149" i="6" s="1"/>
  <c r="X150" i="5" a="1"/>
  <c r="X150" i="5" s="1"/>
  <c r="X147" i="5" a="1"/>
  <c r="X147" i="5" s="1"/>
  <c r="Z147" i="5" s="1"/>
  <c r="AB147" i="5" s="1" a="1"/>
  <c r="AB147" i="5" s="1"/>
  <c r="X140" i="5" a="1"/>
  <c r="X140" i="5" s="1"/>
  <c r="L140" i="5" s="1"/>
  <c r="C140" i="6" s="1"/>
  <c r="X145" i="5" a="1"/>
  <c r="X145" i="5" s="1"/>
  <c r="I145" i="12" s="1"/>
  <c r="M145" i="12" s="1" a="1"/>
  <c r="M145" i="12" s="1"/>
  <c r="X142" i="5" a="1"/>
  <c r="X142" i="5" s="1"/>
  <c r="X146" i="5" a="1"/>
  <c r="X146" i="5" s="1"/>
  <c r="X141" i="5" a="1"/>
  <c r="X141" i="5" s="1"/>
  <c r="X151" i="5" a="1"/>
  <c r="X151" i="5" s="1"/>
  <c r="X139" i="5" a="1"/>
  <c r="X139" i="5" s="1"/>
  <c r="M157" i="6"/>
  <c r="AL153" i="6"/>
  <c r="CE153" i="6" a="1"/>
  <c r="CE153" i="6" s="1"/>
  <c r="AQ153" i="6"/>
  <c r="BL153" i="6"/>
  <c r="BG153" i="6"/>
  <c r="M158" i="6"/>
  <c r="CD153" i="6" a="1"/>
  <c r="CD153" i="6" s="1"/>
  <c r="AN153" i="6"/>
  <c r="AO153" i="6"/>
  <c r="M161" i="6"/>
  <c r="AP153" i="6"/>
  <c r="BX153" i="6" a="1"/>
  <c r="BX153" i="6" s="1"/>
  <c r="BI153" i="6"/>
  <c r="BH153" i="6"/>
  <c r="BF153" i="6"/>
  <c r="M160" i="6"/>
  <c r="BW153" i="6" a="1"/>
  <c r="BW153" i="6" s="1"/>
  <c r="AK153" i="6"/>
  <c r="AJ153" i="6"/>
  <c r="AR153" i="6"/>
  <c r="M156" i="6"/>
  <c r="M154" i="6"/>
  <c r="BK153" i="6"/>
  <c r="CB153" i="6" a="1"/>
  <c r="CB153" i="6" s="1"/>
  <c r="CA153" i="6" a="1"/>
  <c r="CA153" i="6" s="1"/>
  <c r="BE153" i="6"/>
  <c r="M159" i="6"/>
  <c r="BY153" i="6" a="1"/>
  <c r="BY153" i="6" s="1"/>
  <c r="AS153" i="6"/>
  <c r="CC153" i="6" a="1"/>
  <c r="CC153" i="6" s="1"/>
  <c r="BV153" i="6" a="1"/>
  <c r="BV153" i="6" s="1"/>
  <c r="BZ153" i="6" a="1"/>
  <c r="BZ153" i="6" s="1"/>
  <c r="M155" i="6"/>
  <c r="BC153" i="6"/>
  <c r="BJ153" i="6"/>
  <c r="AM153" i="6"/>
  <c r="BD153" i="6"/>
  <c r="X144" i="5" a="1"/>
  <c r="X144" i="5" s="1"/>
  <c r="W127" i="12" a="1"/>
  <c r="W127" i="12" s="1"/>
  <c r="U127" i="12" s="1"/>
  <c r="T126" i="12"/>
  <c r="U126" i="12"/>
  <c r="N130" i="12"/>
  <c r="Y130" i="12"/>
  <c r="W130" i="12" s="1" a="1"/>
  <c r="W130" i="12" s="1"/>
  <c r="C136" i="12"/>
  <c r="M136" i="12" a="1"/>
  <c r="M136" i="12" s="1"/>
  <c r="AO136" i="12" a="1"/>
  <c r="AO136" i="12" s="1"/>
  <c r="O136" i="12" a="1"/>
  <c r="O136" i="12" s="1"/>
  <c r="M134" i="12" a="1"/>
  <c r="M134" i="12" s="1"/>
  <c r="O134" i="12" a="1"/>
  <c r="O134" i="12" s="1"/>
  <c r="AO134" i="12" a="1"/>
  <c r="AO134" i="12" s="1"/>
  <c r="C134" i="12"/>
  <c r="C131" i="12"/>
  <c r="AO131" i="12" a="1"/>
  <c r="AO131" i="12" s="1"/>
  <c r="O131" i="12" a="1"/>
  <c r="O131" i="12" s="1"/>
  <c r="M131" i="12" a="1"/>
  <c r="M131" i="12" s="1"/>
  <c r="V128" i="12" a="1"/>
  <c r="V128" i="12" s="1"/>
  <c r="T128" i="12"/>
  <c r="U128" i="12"/>
  <c r="C132" i="12"/>
  <c r="AO132" i="12" a="1"/>
  <c r="AO132" i="12" s="1"/>
  <c r="M132" i="12" a="1"/>
  <c r="M132" i="12" s="1"/>
  <c r="O132" i="12" a="1"/>
  <c r="O132" i="12" s="1"/>
  <c r="AO135" i="12" a="1"/>
  <c r="AO135" i="12" s="1"/>
  <c r="C135" i="12"/>
  <c r="O135" i="12" a="1"/>
  <c r="O135" i="12" s="1"/>
  <c r="M135" i="12" a="1"/>
  <c r="M135" i="12" s="1"/>
  <c r="AO133" i="12" a="1"/>
  <c r="AO133" i="12" s="1"/>
  <c r="M133" i="12" a="1"/>
  <c r="M133" i="12" s="1"/>
  <c r="O133" i="12" a="1"/>
  <c r="O133" i="12" s="1"/>
  <c r="C133" i="12"/>
  <c r="L175" i="6"/>
  <c r="A166" i="6"/>
  <c r="L173" i="12" l="1" a="1"/>
  <c r="L173" i="12" s="1"/>
  <c r="K173" i="12" s="1"/>
  <c r="C175" i="5"/>
  <c r="C176" i="5" s="1"/>
  <c r="Z143" i="5"/>
  <c r="AB143" i="5" s="1" a="1"/>
  <c r="AB143" i="5" s="1"/>
  <c r="L143" i="5"/>
  <c r="C143" i="6" s="1"/>
  <c r="I143" i="12"/>
  <c r="CI156" i="6" a="1"/>
  <c r="CI156" i="6" s="1"/>
  <c r="BR156" i="6"/>
  <c r="CM156" i="6" a="1"/>
  <c r="CM156" i="6" s="1"/>
  <c r="BQ156" i="6"/>
  <c r="CH156" i="6" a="1"/>
  <c r="CH156" i="6" s="1"/>
  <c r="BP156" i="6"/>
  <c r="CL156" i="6" a="1"/>
  <c r="CL156" i="6" s="1"/>
  <c r="BM156" i="6"/>
  <c r="CK156" i="6" a="1"/>
  <c r="CK156" i="6" s="1"/>
  <c r="BO156" i="6"/>
  <c r="CG156" i="6" a="1"/>
  <c r="CG156" i="6" s="1"/>
  <c r="BN156" i="6"/>
  <c r="CJ156" i="6" a="1"/>
  <c r="CJ156" i="6" s="1"/>
  <c r="BT156" i="6"/>
  <c r="CF156" i="6" a="1"/>
  <c r="CF156" i="6" s="1"/>
  <c r="BS156" i="6"/>
  <c r="BA156" i="6"/>
  <c r="AZ156" i="6"/>
  <c r="AT156" i="6"/>
  <c r="AU156" i="6"/>
  <c r="AV156" i="6"/>
  <c r="AW156" i="6"/>
  <c r="AX156" i="6"/>
  <c r="AY156" i="6"/>
  <c r="CF158" i="6" a="1"/>
  <c r="CF158" i="6" s="1"/>
  <c r="BM158" i="6"/>
  <c r="AT158" i="6"/>
  <c r="CH158" i="6" a="1"/>
  <c r="CH158" i="6" s="1"/>
  <c r="BT158" i="6"/>
  <c r="CM158" i="6" a="1"/>
  <c r="CM158" i="6" s="1"/>
  <c r="BS158" i="6"/>
  <c r="CL158" i="6" a="1"/>
  <c r="CL158" i="6" s="1"/>
  <c r="BR158" i="6"/>
  <c r="AX158" i="6"/>
  <c r="CI158" i="6" a="1"/>
  <c r="CI158" i="6" s="1"/>
  <c r="BQ158" i="6"/>
  <c r="AW158" i="6"/>
  <c r="CK158" i="6" a="1"/>
  <c r="CK158" i="6" s="1"/>
  <c r="BO158" i="6"/>
  <c r="AV158" i="6"/>
  <c r="BP158" i="6"/>
  <c r="CG158" i="6" a="1"/>
  <c r="CG158" i="6" s="1"/>
  <c r="BN158" i="6"/>
  <c r="AU158" i="6"/>
  <c r="CJ158" i="6" a="1"/>
  <c r="CJ158" i="6" s="1"/>
  <c r="AY158" i="6"/>
  <c r="AZ158" i="6"/>
  <c r="BA158" i="6"/>
  <c r="CK159" i="6" a="1"/>
  <c r="CK159" i="6" s="1"/>
  <c r="BO159" i="6"/>
  <c r="CG159" i="6" a="1"/>
  <c r="CG159" i="6" s="1"/>
  <c r="BN159" i="6"/>
  <c r="BT159" i="6"/>
  <c r="CM159" i="6" a="1"/>
  <c r="CM159" i="6" s="1"/>
  <c r="CJ159" i="6" a="1"/>
  <c r="CJ159" i="6" s="1"/>
  <c r="BR159" i="6"/>
  <c r="BM159" i="6"/>
  <c r="CF159" i="6" a="1"/>
  <c r="CF159" i="6" s="1"/>
  <c r="BQ159" i="6"/>
  <c r="AY159" i="6"/>
  <c r="CL159" i="6" a="1"/>
  <c r="CL159" i="6" s="1"/>
  <c r="BP159" i="6"/>
  <c r="CI159" i="6" a="1"/>
  <c r="CI159" i="6" s="1"/>
  <c r="BS159" i="6"/>
  <c r="CH159" i="6" a="1"/>
  <c r="CH159" i="6" s="1"/>
  <c r="AV159" i="6"/>
  <c r="AW159" i="6"/>
  <c r="AU159" i="6"/>
  <c r="AX159" i="6"/>
  <c r="AZ159" i="6"/>
  <c r="BA159" i="6"/>
  <c r="AT159" i="6"/>
  <c r="CL161" i="6" a="1"/>
  <c r="CL161" i="6" s="1"/>
  <c r="BM161" i="6"/>
  <c r="AX161" i="6"/>
  <c r="CK161" i="6" a="1"/>
  <c r="CK161" i="6" s="1"/>
  <c r="BO161" i="6"/>
  <c r="BP161" i="6"/>
  <c r="CG161" i="6" a="1"/>
  <c r="CG161" i="6" s="1"/>
  <c r="BN161" i="6"/>
  <c r="CH161" i="6" a="1"/>
  <c r="CH161" i="6" s="1"/>
  <c r="CJ161" i="6" a="1"/>
  <c r="CJ161" i="6" s="1"/>
  <c r="BT161" i="6"/>
  <c r="CM161" i="6" a="1"/>
  <c r="CM161" i="6" s="1"/>
  <c r="CF161" i="6" a="1"/>
  <c r="CF161" i="6" s="1"/>
  <c r="BS161" i="6"/>
  <c r="CI161" i="6" a="1"/>
  <c r="CI161" i="6" s="1"/>
  <c r="BR161" i="6"/>
  <c r="BQ161" i="6"/>
  <c r="AW161" i="6"/>
  <c r="AT161" i="6"/>
  <c r="AY161" i="6"/>
  <c r="AU161" i="6"/>
  <c r="AZ161" i="6"/>
  <c r="AV161" i="6"/>
  <c r="BA161" i="6"/>
  <c r="CK154" i="6" a="1"/>
  <c r="CK154" i="6" s="1"/>
  <c r="BN154" i="6"/>
  <c r="CG154" i="6" a="1"/>
  <c r="CG154" i="6" s="1"/>
  <c r="BP154" i="6"/>
  <c r="CJ154" i="6" a="1"/>
  <c r="CJ154" i="6" s="1"/>
  <c r="BO154" i="6"/>
  <c r="BR154" i="6"/>
  <c r="CF154" i="6" a="1"/>
  <c r="CF154" i="6" s="1"/>
  <c r="BM154" i="6"/>
  <c r="CH154" i="6" a="1"/>
  <c r="CH154" i="6" s="1"/>
  <c r="BT154" i="6"/>
  <c r="AV154" i="6"/>
  <c r="CM154" i="6" a="1"/>
  <c r="CM154" i="6" s="1"/>
  <c r="BS154" i="6"/>
  <c r="AY154" i="6"/>
  <c r="CL154" i="6" a="1"/>
  <c r="CL154" i="6" s="1"/>
  <c r="BQ154" i="6"/>
  <c r="CI154" i="6" a="1"/>
  <c r="CI154" i="6" s="1"/>
  <c r="AU154" i="6"/>
  <c r="BA154" i="6"/>
  <c r="AW154" i="6"/>
  <c r="AT154" i="6"/>
  <c r="AX154" i="6"/>
  <c r="AZ154" i="6"/>
  <c r="CK155" i="6" a="1"/>
  <c r="CK155" i="6" s="1"/>
  <c r="BO155" i="6"/>
  <c r="CG155" i="6" a="1"/>
  <c r="CG155" i="6" s="1"/>
  <c r="BN155" i="6"/>
  <c r="CH155" i="6" a="1"/>
  <c r="CH155" i="6" s="1"/>
  <c r="CJ155" i="6" a="1"/>
  <c r="CJ155" i="6" s="1"/>
  <c r="BR155" i="6"/>
  <c r="CF155" i="6" a="1"/>
  <c r="CF155" i="6" s="1"/>
  <c r="BQ155" i="6"/>
  <c r="BS155" i="6"/>
  <c r="CL155" i="6" a="1"/>
  <c r="CL155" i="6" s="1"/>
  <c r="BP155" i="6"/>
  <c r="CM155" i="6" a="1"/>
  <c r="CM155" i="6" s="1"/>
  <c r="BM155" i="6"/>
  <c r="CI155" i="6" a="1"/>
  <c r="CI155" i="6" s="1"/>
  <c r="BT155" i="6"/>
  <c r="BA155" i="6"/>
  <c r="AX155" i="6"/>
  <c r="AT155" i="6"/>
  <c r="AV155" i="6"/>
  <c r="AW155" i="6"/>
  <c r="AU155" i="6"/>
  <c r="AY155" i="6"/>
  <c r="AZ155" i="6"/>
  <c r="CI160" i="6" a="1"/>
  <c r="CI160" i="6" s="1"/>
  <c r="BR160" i="6"/>
  <c r="CM160" i="6" a="1"/>
  <c r="CM160" i="6" s="1"/>
  <c r="BQ160" i="6"/>
  <c r="CL160" i="6" a="1"/>
  <c r="CL160" i="6" s="1"/>
  <c r="BP160" i="6"/>
  <c r="CH160" i="6" a="1"/>
  <c r="CH160" i="6" s="1"/>
  <c r="BM160" i="6"/>
  <c r="CK160" i="6" a="1"/>
  <c r="CK160" i="6" s="1"/>
  <c r="BO160" i="6"/>
  <c r="CG160" i="6" a="1"/>
  <c r="CG160" i="6" s="1"/>
  <c r="BN160" i="6"/>
  <c r="CJ160" i="6" a="1"/>
  <c r="CJ160" i="6" s="1"/>
  <c r="BT160" i="6"/>
  <c r="CF160" i="6" a="1"/>
  <c r="CF160" i="6" s="1"/>
  <c r="BS160" i="6"/>
  <c r="AZ160" i="6"/>
  <c r="BA160" i="6"/>
  <c r="AY160" i="6"/>
  <c r="AT160" i="6"/>
  <c r="AU160" i="6"/>
  <c r="AW160" i="6"/>
  <c r="AV160" i="6"/>
  <c r="AX160" i="6"/>
  <c r="CJ157" i="6" a="1"/>
  <c r="CJ157" i="6" s="1"/>
  <c r="BT157" i="6"/>
  <c r="CF157" i="6" a="1"/>
  <c r="CF157" i="6" s="1"/>
  <c r="BS157" i="6"/>
  <c r="BM157" i="6"/>
  <c r="CI157" i="6" a="1"/>
  <c r="CI157" i="6" s="1"/>
  <c r="BR157" i="6"/>
  <c r="CH157" i="6" a="1"/>
  <c r="CH157" i="6" s="1"/>
  <c r="BQ157" i="6"/>
  <c r="CM157" i="6" a="1"/>
  <c r="CM157" i="6" s="1"/>
  <c r="BP157" i="6"/>
  <c r="CL157" i="6" a="1"/>
  <c r="CL157" i="6" s="1"/>
  <c r="CK157" i="6" a="1"/>
  <c r="CK157" i="6" s="1"/>
  <c r="BO157" i="6"/>
  <c r="CG157" i="6" a="1"/>
  <c r="CG157" i="6" s="1"/>
  <c r="BN157" i="6"/>
  <c r="AU157" i="6"/>
  <c r="AT157" i="6"/>
  <c r="AV157" i="6"/>
  <c r="BA157" i="6"/>
  <c r="AY157" i="6"/>
  <c r="AX157" i="6"/>
  <c r="AW157" i="6"/>
  <c r="AZ157" i="6"/>
  <c r="H173" i="6" a="1"/>
  <c r="H173" i="6" s="1"/>
  <c r="T173" i="5" s="1"/>
  <c r="G173" i="12" s="1" a="1"/>
  <c r="G173" i="12" s="1"/>
  <c r="N174" i="5"/>
  <c r="D174" i="6" s="1"/>
  <c r="B174" i="5"/>
  <c r="AD174" i="5"/>
  <c r="B174" i="6"/>
  <c r="J174" i="6" s="1" a="1"/>
  <c r="J174" i="6" s="1"/>
  <c r="G174" i="5"/>
  <c r="C138" i="12"/>
  <c r="AO138" i="12" a="1"/>
  <c r="AO138" i="12" s="1"/>
  <c r="E174" i="5"/>
  <c r="H174" i="5"/>
  <c r="W174" i="5" a="1"/>
  <c r="W174" i="5" s="1"/>
  <c r="H174" i="12" s="1" a="1"/>
  <c r="H174" i="12" s="1"/>
  <c r="AF174" i="5" a="1"/>
  <c r="AF174" i="5" s="1"/>
  <c r="AG174" i="5" s="1" a="1"/>
  <c r="AG174" i="5" s="1"/>
  <c r="AE174" i="5" a="1"/>
  <c r="AE174" i="5" s="1"/>
  <c r="F174" i="5"/>
  <c r="O138" i="12" a="1"/>
  <c r="O138" i="12" s="1"/>
  <c r="AM148" i="5"/>
  <c r="O145" i="12" a="1"/>
  <c r="O145" i="12" s="1"/>
  <c r="C145" i="12"/>
  <c r="AM149" i="5"/>
  <c r="I149" i="12"/>
  <c r="Z149" i="5"/>
  <c r="AB149" i="5" s="1" a="1"/>
  <c r="AB149" i="5" s="1"/>
  <c r="I148" i="12"/>
  <c r="Z148" i="5"/>
  <c r="AB148" i="5" s="1" a="1"/>
  <c r="AB148" i="5" s="1"/>
  <c r="L150" i="5"/>
  <c r="C150" i="6" s="1"/>
  <c r="Z150" i="5"/>
  <c r="AB150" i="5" s="1" a="1"/>
  <c r="AB150" i="5" s="1"/>
  <c r="AM150" i="5"/>
  <c r="I150" i="12"/>
  <c r="L147" i="5"/>
  <c r="C147" i="6" s="1"/>
  <c r="AM147" i="5"/>
  <c r="Z140" i="5"/>
  <c r="AB140" i="5" s="1" a="1"/>
  <c r="AB140" i="5" s="1"/>
  <c r="I147" i="12"/>
  <c r="I140" i="12"/>
  <c r="C140" i="12" s="1"/>
  <c r="Z145" i="5"/>
  <c r="AB145" i="5" s="1" a="1"/>
  <c r="AB145" i="5" s="1"/>
  <c r="AO145" i="12" a="1"/>
  <c r="AO145" i="12" s="1"/>
  <c r="AM145" i="5"/>
  <c r="AM140" i="5"/>
  <c r="L145" i="5"/>
  <c r="C145" i="6" s="1"/>
  <c r="Z141" i="5"/>
  <c r="AB141" i="5" s="1" a="1"/>
  <c r="AB141" i="5" s="1"/>
  <c r="L141" i="5"/>
  <c r="C141" i="6" s="1"/>
  <c r="AM141" i="5"/>
  <c r="I141" i="12"/>
  <c r="Z146" i="5"/>
  <c r="AB146" i="5" s="1" a="1"/>
  <c r="AB146" i="5" s="1"/>
  <c r="I146" i="12"/>
  <c r="L146" i="5"/>
  <c r="C146" i="6" s="1"/>
  <c r="AM146" i="5"/>
  <c r="L142" i="5"/>
  <c r="C142" i="6" s="1"/>
  <c r="Z142" i="5"/>
  <c r="AB142" i="5" s="1" a="1"/>
  <c r="AB142" i="5" s="1"/>
  <c r="AM142" i="5"/>
  <c r="I142" i="12"/>
  <c r="BZ156" i="6" a="1"/>
  <c r="BZ156" i="6" s="1"/>
  <c r="BF156" i="6"/>
  <c r="AR156" i="6"/>
  <c r="BL156" i="6"/>
  <c r="CD156" i="6" a="1"/>
  <c r="CD156" i="6" s="1"/>
  <c r="AS156" i="6"/>
  <c r="BH156" i="6"/>
  <c r="BD156" i="6"/>
  <c r="BW156" i="6" a="1"/>
  <c r="BW156" i="6" s="1"/>
  <c r="AM156" i="6"/>
  <c r="BI156" i="6"/>
  <c r="BX156" i="6" a="1"/>
  <c r="BX156" i="6" s="1"/>
  <c r="AQ156" i="6"/>
  <c r="AN156" i="6"/>
  <c r="BG156" i="6"/>
  <c r="CB156" i="6" a="1"/>
  <c r="CB156" i="6" s="1"/>
  <c r="AL156" i="6"/>
  <c r="BV156" i="6" a="1"/>
  <c r="BV156" i="6" s="1"/>
  <c r="BE156" i="6"/>
  <c r="BY156" i="6" a="1"/>
  <c r="BY156" i="6" s="1"/>
  <c r="BC156" i="6"/>
  <c r="BK156" i="6"/>
  <c r="CE156" i="6" a="1"/>
  <c r="CE156" i="6" s="1"/>
  <c r="BJ156" i="6"/>
  <c r="CC156" i="6" a="1"/>
  <c r="CC156" i="6" s="1"/>
  <c r="AO156" i="6"/>
  <c r="AJ156" i="6"/>
  <c r="AK156" i="6"/>
  <c r="CA156" i="6" a="1"/>
  <c r="CA156" i="6" s="1"/>
  <c r="AP156" i="6"/>
  <c r="BW159" i="6" a="1"/>
  <c r="BW159" i="6" s="1"/>
  <c r="BK159" i="6"/>
  <c r="CA159" i="6" a="1"/>
  <c r="CA159" i="6" s="1"/>
  <c r="AS159" i="6"/>
  <c r="BZ159" i="6" a="1"/>
  <c r="BZ159" i="6" s="1"/>
  <c r="BV159" i="6" a="1"/>
  <c r="BV159" i="6" s="1"/>
  <c r="BH159" i="6"/>
  <c r="BE159" i="6"/>
  <c r="CC159" i="6" a="1"/>
  <c r="CC159" i="6" s="1"/>
  <c r="AP159" i="6"/>
  <c r="BC159" i="6"/>
  <c r="BF159" i="6"/>
  <c r="BX159" i="6" a="1"/>
  <c r="BX159" i="6" s="1"/>
  <c r="BL159" i="6"/>
  <c r="AM159" i="6"/>
  <c r="AL159" i="6"/>
  <c r="BJ159" i="6"/>
  <c r="AQ159" i="6"/>
  <c r="CD159" i="6" a="1"/>
  <c r="CD159" i="6" s="1"/>
  <c r="BI159" i="6"/>
  <c r="BY159" i="6" a="1"/>
  <c r="BY159" i="6" s="1"/>
  <c r="AJ159" i="6"/>
  <c r="BG159" i="6"/>
  <c r="AO159" i="6"/>
  <c r="AK159" i="6"/>
  <c r="CE159" i="6" a="1"/>
  <c r="CE159" i="6" s="1"/>
  <c r="CB159" i="6" a="1"/>
  <c r="CB159" i="6" s="1"/>
  <c r="BD159" i="6"/>
  <c r="AN159" i="6"/>
  <c r="AR159" i="6"/>
  <c r="X153" i="5" a="1"/>
  <c r="X153" i="5" s="1"/>
  <c r="BK161" i="6"/>
  <c r="BX161" i="6" a="1"/>
  <c r="BX161" i="6" s="1"/>
  <c r="AO161" i="6"/>
  <c r="BJ161" i="6"/>
  <c r="AP161" i="6"/>
  <c r="AN161" i="6"/>
  <c r="BV161" i="6" a="1"/>
  <c r="BV161" i="6" s="1"/>
  <c r="AK161" i="6"/>
  <c r="BG161" i="6"/>
  <c r="AR161" i="6"/>
  <c r="BH161" i="6"/>
  <c r="BW161" i="6" a="1"/>
  <c r="BW161" i="6" s="1"/>
  <c r="CB161" i="6" a="1"/>
  <c r="CB161" i="6" s="1"/>
  <c r="BY161" i="6" a="1"/>
  <c r="BY161" i="6" s="1"/>
  <c r="BC161" i="6"/>
  <c r="BI161" i="6"/>
  <c r="BE161" i="6"/>
  <c r="AM161" i="6"/>
  <c r="AL161" i="6"/>
  <c r="AS161" i="6"/>
  <c r="AQ161" i="6"/>
  <c r="CE161" i="6" a="1"/>
  <c r="CE161" i="6" s="1"/>
  <c r="CC161" i="6" a="1"/>
  <c r="CC161" i="6" s="1"/>
  <c r="BF161" i="6"/>
  <c r="CA161" i="6" a="1"/>
  <c r="CA161" i="6" s="1"/>
  <c r="AJ161" i="6"/>
  <c r="BZ161" i="6" a="1"/>
  <c r="BZ161" i="6" s="1"/>
  <c r="BL161" i="6"/>
  <c r="BD161" i="6"/>
  <c r="CD161" i="6" a="1"/>
  <c r="CD161" i="6" s="1"/>
  <c r="BF155" i="6"/>
  <c r="AP155" i="6"/>
  <c r="BG155" i="6"/>
  <c r="BL155" i="6"/>
  <c r="AQ155" i="6"/>
  <c r="BK155" i="6"/>
  <c r="BJ155" i="6"/>
  <c r="CC155" i="6" a="1"/>
  <c r="CC155" i="6" s="1"/>
  <c r="CE155" i="6" a="1"/>
  <c r="CE155" i="6" s="1"/>
  <c r="CB155" i="6" a="1"/>
  <c r="CB155" i="6" s="1"/>
  <c r="AJ155" i="6"/>
  <c r="BW155" i="6" a="1"/>
  <c r="BW155" i="6" s="1"/>
  <c r="BZ155" i="6" a="1"/>
  <c r="BZ155" i="6" s="1"/>
  <c r="AR155" i="6"/>
  <c r="AO155" i="6"/>
  <c r="BI155" i="6"/>
  <c r="AK155" i="6"/>
  <c r="AL155" i="6"/>
  <c r="AM155" i="6"/>
  <c r="AN155" i="6"/>
  <c r="BC155" i="6"/>
  <c r="BV155" i="6" a="1"/>
  <c r="BV155" i="6" s="1"/>
  <c r="AS155" i="6"/>
  <c r="BE155" i="6"/>
  <c r="BD155" i="6"/>
  <c r="BY155" i="6" a="1"/>
  <c r="BY155" i="6" s="1"/>
  <c r="BX155" i="6" a="1"/>
  <c r="BX155" i="6" s="1"/>
  <c r="CA155" i="6" a="1"/>
  <c r="CA155" i="6" s="1"/>
  <c r="CD155" i="6" a="1"/>
  <c r="CD155" i="6" s="1"/>
  <c r="BH155" i="6"/>
  <c r="CB160" i="6" a="1"/>
  <c r="CB160" i="6" s="1"/>
  <c r="BI160" i="6"/>
  <c r="BE160" i="6"/>
  <c r="BK160" i="6"/>
  <c r="CC160" i="6" a="1"/>
  <c r="CC160" i="6" s="1"/>
  <c r="BG160" i="6"/>
  <c r="CE160" i="6" a="1"/>
  <c r="CE160" i="6" s="1"/>
  <c r="CD160" i="6" a="1"/>
  <c r="CD160" i="6" s="1"/>
  <c r="AM160" i="6"/>
  <c r="BJ160" i="6"/>
  <c r="AQ160" i="6"/>
  <c r="BH160" i="6"/>
  <c r="BY160" i="6" a="1"/>
  <c r="BY160" i="6" s="1"/>
  <c r="BD160" i="6"/>
  <c r="AO160" i="6"/>
  <c r="CA160" i="6" a="1"/>
  <c r="CA160" i="6" s="1"/>
  <c r="AP160" i="6"/>
  <c r="BX160" i="6" a="1"/>
  <c r="BX160" i="6" s="1"/>
  <c r="BW160" i="6" a="1"/>
  <c r="BW160" i="6" s="1"/>
  <c r="AR160" i="6"/>
  <c r="BV160" i="6" a="1"/>
  <c r="BV160" i="6" s="1"/>
  <c r="AK160" i="6"/>
  <c r="BF160" i="6"/>
  <c r="AL160" i="6"/>
  <c r="AN160" i="6"/>
  <c r="AS160" i="6"/>
  <c r="BL160" i="6"/>
  <c r="BZ160" i="6" a="1"/>
  <c r="BZ160" i="6" s="1"/>
  <c r="AJ160" i="6"/>
  <c r="BC160" i="6"/>
  <c r="BJ157" i="6"/>
  <c r="AP157" i="6"/>
  <c r="CD157" i="6" a="1"/>
  <c r="CD157" i="6" s="1"/>
  <c r="BZ157" i="6" a="1"/>
  <c r="BZ157" i="6" s="1"/>
  <c r="BH157" i="6"/>
  <c r="BW157" i="6" a="1"/>
  <c r="BW157" i="6" s="1"/>
  <c r="BC157" i="6"/>
  <c r="AL157" i="6"/>
  <c r="AN157" i="6"/>
  <c r="BV157" i="6" a="1"/>
  <c r="BV157" i="6" s="1"/>
  <c r="AK157" i="6"/>
  <c r="AO157" i="6"/>
  <c r="BI157" i="6"/>
  <c r="AS157" i="6"/>
  <c r="CA157" i="6" a="1"/>
  <c r="CA157" i="6" s="1"/>
  <c r="BY157" i="6" a="1"/>
  <c r="BY157" i="6" s="1"/>
  <c r="BK157" i="6"/>
  <c r="BG157" i="6"/>
  <c r="CC157" i="6" a="1"/>
  <c r="CC157" i="6" s="1"/>
  <c r="AR157" i="6"/>
  <c r="BD157" i="6"/>
  <c r="BF157" i="6"/>
  <c r="BX157" i="6" a="1"/>
  <c r="BX157" i="6" s="1"/>
  <c r="CE157" i="6" a="1"/>
  <c r="CE157" i="6" s="1"/>
  <c r="CB157" i="6" a="1"/>
  <c r="CB157" i="6" s="1"/>
  <c r="BL157" i="6"/>
  <c r="BE157" i="6"/>
  <c r="AQ157" i="6"/>
  <c r="AM157" i="6"/>
  <c r="AJ157" i="6"/>
  <c r="L139" i="5"/>
  <c r="C139" i="6" s="1"/>
  <c r="I139" i="12"/>
  <c r="Z139" i="5"/>
  <c r="AB139" i="5" s="1" a="1"/>
  <c r="AB139" i="5" s="1"/>
  <c r="AM139" i="5"/>
  <c r="L144" i="5"/>
  <c r="C144" i="6" s="1"/>
  <c r="AM144" i="5"/>
  <c r="Z144" i="5"/>
  <c r="AB144" i="5" s="1" a="1"/>
  <c r="AB144" i="5" s="1"/>
  <c r="I144" i="12"/>
  <c r="BY154" i="6" a="1"/>
  <c r="BY154" i="6" s="1"/>
  <c r="BK154" i="6"/>
  <c r="BC154" i="6"/>
  <c r="CC154" i="6" a="1"/>
  <c r="CC154" i="6" s="1"/>
  <c r="AJ154" i="6"/>
  <c r="BJ154" i="6"/>
  <c r="AP154" i="6"/>
  <c r="AQ154" i="6"/>
  <c r="AK154" i="6"/>
  <c r="BX154" i="6" a="1"/>
  <c r="BX154" i="6" s="1"/>
  <c r="CD154" i="6" a="1"/>
  <c r="CD154" i="6" s="1"/>
  <c r="BH154" i="6"/>
  <c r="CE154" i="6" a="1"/>
  <c r="CE154" i="6" s="1"/>
  <c r="M163" i="6"/>
  <c r="BZ154" i="6" a="1"/>
  <c r="BZ154" i="6" s="1"/>
  <c r="BE154" i="6"/>
  <c r="AM154" i="6"/>
  <c r="BL154" i="6"/>
  <c r="BI154" i="6"/>
  <c r="AO154" i="6"/>
  <c r="BD154" i="6"/>
  <c r="BG154" i="6"/>
  <c r="BF154" i="6"/>
  <c r="CB154" i="6" a="1"/>
  <c r="CB154" i="6" s="1"/>
  <c r="CA154" i="6" a="1"/>
  <c r="CA154" i="6" s="1"/>
  <c r="AL154" i="6"/>
  <c r="BV154" i="6" a="1"/>
  <c r="BV154" i="6" s="1"/>
  <c r="AR154" i="6"/>
  <c r="AN154" i="6"/>
  <c r="AS154" i="6"/>
  <c r="BW154" i="6" a="1"/>
  <c r="BW154" i="6" s="1"/>
  <c r="BL158" i="6"/>
  <c r="AJ158" i="6"/>
  <c r="BF158" i="6"/>
  <c r="BX158" i="6" a="1"/>
  <c r="BX158" i="6" s="1"/>
  <c r="AS158" i="6"/>
  <c r="AQ158" i="6"/>
  <c r="AM158" i="6"/>
  <c r="CD158" i="6" a="1"/>
  <c r="CD158" i="6" s="1"/>
  <c r="BD158" i="6"/>
  <c r="AL158" i="6"/>
  <c r="BC158" i="6"/>
  <c r="CE158" i="6" a="1"/>
  <c r="CE158" i="6" s="1"/>
  <c r="AK158" i="6"/>
  <c r="CC158" i="6" a="1"/>
  <c r="CC158" i="6" s="1"/>
  <c r="BV158" i="6" a="1"/>
  <c r="BV158" i="6" s="1"/>
  <c r="BZ158" i="6" a="1"/>
  <c r="BZ158" i="6" s="1"/>
  <c r="BW158" i="6" a="1"/>
  <c r="BW158" i="6" s="1"/>
  <c r="AN158" i="6"/>
  <c r="AO158" i="6"/>
  <c r="AR158" i="6"/>
  <c r="BH158" i="6"/>
  <c r="CB158" i="6" a="1"/>
  <c r="CB158" i="6" s="1"/>
  <c r="BI158" i="6"/>
  <c r="BJ158" i="6"/>
  <c r="AP158" i="6"/>
  <c r="BE158" i="6"/>
  <c r="BY158" i="6" a="1"/>
  <c r="BY158" i="6" s="1"/>
  <c r="BK158" i="6"/>
  <c r="BG158" i="6"/>
  <c r="CA158" i="6" a="1"/>
  <c r="CA158" i="6" s="1"/>
  <c r="I151" i="12"/>
  <c r="AM151" i="5"/>
  <c r="L151" i="5"/>
  <c r="C151" i="6" s="1"/>
  <c r="Z151" i="5"/>
  <c r="AB151" i="5" s="1" a="1"/>
  <c r="AB151" i="5" s="1"/>
  <c r="V127" i="12" a="1"/>
  <c r="V127" i="12" s="1"/>
  <c r="T127" i="12"/>
  <c r="X130" i="12" a="1"/>
  <c r="X130" i="12" s="1"/>
  <c r="Y131" i="12"/>
  <c r="X131" i="12" s="1" a="1"/>
  <c r="X131" i="12" s="1"/>
  <c r="N134" i="12"/>
  <c r="N132" i="12"/>
  <c r="N136" i="12"/>
  <c r="Y136" i="12"/>
  <c r="V130" i="12" a="1"/>
  <c r="V130" i="12" s="1"/>
  <c r="T130" i="12"/>
  <c r="U130" i="12"/>
  <c r="N135" i="12"/>
  <c r="Y134" i="12"/>
  <c r="Y135" i="12"/>
  <c r="Y133" i="12"/>
  <c r="N133" i="12"/>
  <c r="Y132" i="12"/>
  <c r="N131" i="12"/>
  <c r="F174" i="12" a="1"/>
  <c r="F174" i="12" s="1"/>
  <c r="E174" i="12"/>
  <c r="A167" i="6"/>
  <c r="AD175" i="5"/>
  <c r="B175" i="6"/>
  <c r="L176" i="6"/>
  <c r="W175" i="5" l="1" a="1"/>
  <c r="W175" i="5" s="1"/>
  <c r="H175" i="12" s="1" a="1"/>
  <c r="H175" i="12" s="1"/>
  <c r="N175" i="5"/>
  <c r="D175" i="6" s="1"/>
  <c r="A175" i="12"/>
  <c r="J175" i="12" s="1" a="1"/>
  <c r="J175" i="12" s="1"/>
  <c r="B175" i="5"/>
  <c r="B176" i="5" s="1"/>
  <c r="D175" i="5"/>
  <c r="B175" i="12" s="1"/>
  <c r="AE175" i="5" a="1"/>
  <c r="AE175" i="5" s="1"/>
  <c r="K175" i="5"/>
  <c r="J175" i="5"/>
  <c r="E175" i="5"/>
  <c r="E176" i="5" s="1"/>
  <c r="H175" i="5"/>
  <c r="H176" i="5" s="1"/>
  <c r="F175" i="5"/>
  <c r="F176" i="5" s="1"/>
  <c r="G175" i="5"/>
  <c r="G176" i="5" s="1"/>
  <c r="M143" i="12" a="1"/>
  <c r="M143" i="12" s="1"/>
  <c r="AO143" i="12" a="1"/>
  <c r="AO143" i="12" s="1"/>
  <c r="C143" i="12"/>
  <c r="O143" i="12" a="1"/>
  <c r="O143" i="12" s="1"/>
  <c r="CM163" i="6" a="1"/>
  <c r="CM163" i="6" s="1"/>
  <c r="BS163" i="6"/>
  <c r="AW163" i="6"/>
  <c r="CH163" i="6" a="1"/>
  <c r="CH163" i="6" s="1"/>
  <c r="CK163" i="6" a="1"/>
  <c r="CK163" i="6" s="1"/>
  <c r="BO163" i="6"/>
  <c r="AX163" i="6"/>
  <c r="CG163" i="6" a="1"/>
  <c r="CG163" i="6" s="1"/>
  <c r="BN163" i="6"/>
  <c r="CJ163" i="6" a="1"/>
  <c r="CJ163" i="6" s="1"/>
  <c r="BR163" i="6"/>
  <c r="AT163" i="6"/>
  <c r="CF163" i="6" a="1"/>
  <c r="CF163" i="6" s="1"/>
  <c r="BQ163" i="6"/>
  <c r="BA163" i="6"/>
  <c r="BM163" i="6"/>
  <c r="CI163" i="6" a="1"/>
  <c r="CI163" i="6" s="1"/>
  <c r="CL163" i="6" a="1"/>
  <c r="CL163" i="6" s="1"/>
  <c r="BP163" i="6"/>
  <c r="AZ163" i="6"/>
  <c r="AY163" i="6"/>
  <c r="BT163" i="6"/>
  <c r="AU163" i="6"/>
  <c r="AV163" i="6"/>
  <c r="M166" i="6"/>
  <c r="CE166" i="6" s="1" a="1"/>
  <c r="CE166" i="6" s="1"/>
  <c r="Y138" i="12"/>
  <c r="X138" i="12" s="1" a="1"/>
  <c r="X138" i="12" s="1"/>
  <c r="N138" i="12"/>
  <c r="Y145" i="12"/>
  <c r="W145" i="12" s="1" a="1"/>
  <c r="W145" i="12" s="1"/>
  <c r="V145" i="12" s="1" a="1"/>
  <c r="V145" i="12" s="1"/>
  <c r="N145" i="12"/>
  <c r="AO140" i="12" a="1"/>
  <c r="AO140" i="12" s="1"/>
  <c r="M140" i="12" a="1"/>
  <c r="M140" i="12" s="1"/>
  <c r="O140" i="12" a="1"/>
  <c r="O140" i="12" s="1"/>
  <c r="C149" i="12"/>
  <c r="O149" i="12" a="1"/>
  <c r="O149" i="12" s="1"/>
  <c r="AO149" i="12" a="1"/>
  <c r="AO149" i="12" s="1"/>
  <c r="M149" i="12" a="1"/>
  <c r="M149" i="12" s="1"/>
  <c r="C148" i="12"/>
  <c r="O148" i="12" a="1"/>
  <c r="O148" i="12" s="1"/>
  <c r="M148" i="12" a="1"/>
  <c r="M148" i="12" s="1"/>
  <c r="AO148" i="12" a="1"/>
  <c r="AO148" i="12" s="1"/>
  <c r="AO150" i="12" a="1"/>
  <c r="AO150" i="12" s="1"/>
  <c r="O150" i="12" a="1"/>
  <c r="O150" i="12" s="1"/>
  <c r="M150" i="12" a="1"/>
  <c r="M150" i="12" s="1"/>
  <c r="C150" i="12"/>
  <c r="M147" i="12" a="1"/>
  <c r="M147" i="12" s="1"/>
  <c r="O147" i="12" a="1"/>
  <c r="O147" i="12" s="1"/>
  <c r="AO147" i="12" a="1"/>
  <c r="AO147" i="12" s="1"/>
  <c r="C147" i="12"/>
  <c r="AO142" i="12" a="1"/>
  <c r="AO142" i="12" s="1"/>
  <c r="C142" i="12"/>
  <c r="O142" i="12" a="1"/>
  <c r="O142" i="12" s="1"/>
  <c r="M142" i="12" a="1"/>
  <c r="M142" i="12" s="1"/>
  <c r="O146" i="12" a="1"/>
  <c r="O146" i="12" s="1"/>
  <c r="AO146" i="12" a="1"/>
  <c r="AO146" i="12" s="1"/>
  <c r="M146" i="12" a="1"/>
  <c r="M146" i="12" s="1"/>
  <c r="C146" i="12"/>
  <c r="O141" i="12" a="1"/>
  <c r="O141" i="12" s="1"/>
  <c r="AO141" i="12" a="1"/>
  <c r="AO141" i="12" s="1"/>
  <c r="M141" i="12" a="1"/>
  <c r="M141" i="12" s="1"/>
  <c r="C141" i="12"/>
  <c r="O139" i="12" a="1"/>
  <c r="O139" i="12" s="1"/>
  <c r="AO139" i="12" a="1"/>
  <c r="AO139" i="12" s="1"/>
  <c r="M139" i="12" a="1"/>
  <c r="M139" i="12" s="1"/>
  <c r="C139" i="12"/>
  <c r="X161" i="5" a="1"/>
  <c r="X161" i="5" s="1"/>
  <c r="X158" i="5" a="1"/>
  <c r="X158" i="5" s="1"/>
  <c r="X160" i="5" a="1"/>
  <c r="X160" i="5" s="1"/>
  <c r="X155" i="5" a="1"/>
  <c r="X155" i="5" s="1"/>
  <c r="C144" i="12"/>
  <c r="AO144" i="12" a="1"/>
  <c r="AO144" i="12" s="1"/>
  <c r="M144" i="12" a="1"/>
  <c r="M144" i="12" s="1"/>
  <c r="O144" i="12" a="1"/>
  <c r="O144" i="12" s="1"/>
  <c r="X157" i="5" a="1"/>
  <c r="X157" i="5" s="1"/>
  <c r="L153" i="5"/>
  <c r="C153" i="6" s="1"/>
  <c r="Z153" i="5"/>
  <c r="AB153" i="5" s="1" a="1"/>
  <c r="AB153" i="5" s="1"/>
  <c r="AM153" i="5"/>
  <c r="I153" i="12"/>
  <c r="X159" i="5" a="1"/>
  <c r="X159" i="5" s="1"/>
  <c r="AO151" i="12" a="1"/>
  <c r="AO151" i="12" s="1"/>
  <c r="M151" i="12" a="1"/>
  <c r="M151" i="12" s="1"/>
  <c r="O151" i="12" a="1"/>
  <c r="O151" i="12" s="1"/>
  <c r="C151" i="12"/>
  <c r="BV163" i="6" a="1"/>
  <c r="BV163" i="6" s="1"/>
  <c r="BY163" i="6" a="1"/>
  <c r="BY163" i="6" s="1"/>
  <c r="AJ163" i="6"/>
  <c r="CA163" i="6" a="1"/>
  <c r="CA163" i="6" s="1"/>
  <c r="BX163" i="6" a="1"/>
  <c r="BX163" i="6" s="1"/>
  <c r="BI163" i="6"/>
  <c r="BC163" i="6"/>
  <c r="BF163" i="6"/>
  <c r="AS163" i="6"/>
  <c r="AP163" i="6"/>
  <c r="M164" i="6"/>
  <c r="BD163" i="6"/>
  <c r="BZ163" i="6" a="1"/>
  <c r="BZ163" i="6" s="1"/>
  <c r="BK163" i="6"/>
  <c r="AN163" i="6"/>
  <c r="AR163" i="6"/>
  <c r="BL163" i="6"/>
  <c r="BH163" i="6"/>
  <c r="AQ163" i="6"/>
  <c r="BW163" i="6" a="1"/>
  <c r="BW163" i="6" s="1"/>
  <c r="BG163" i="6"/>
  <c r="BE163" i="6"/>
  <c r="AK163" i="6"/>
  <c r="CB163" i="6" a="1"/>
  <c r="CB163" i="6" s="1"/>
  <c r="BJ163" i="6"/>
  <c r="CC163" i="6" a="1"/>
  <c r="CC163" i="6" s="1"/>
  <c r="AO163" i="6"/>
  <c r="CE163" i="6" a="1"/>
  <c r="CE163" i="6" s="1"/>
  <c r="AM163" i="6"/>
  <c r="AL163" i="6"/>
  <c r="CD163" i="6" a="1"/>
  <c r="CD163" i="6" s="1"/>
  <c r="M165" i="6"/>
  <c r="X156" i="5" a="1"/>
  <c r="X156" i="5" s="1"/>
  <c r="X154" i="5" a="1"/>
  <c r="X154" i="5" s="1"/>
  <c r="W131" i="12" a="1"/>
  <c r="W131" i="12" s="1"/>
  <c r="V131" i="12" s="1" a="1"/>
  <c r="V131" i="12" s="1"/>
  <c r="X135" i="12" a="1"/>
  <c r="X135" i="12" s="1"/>
  <c r="W135" i="12" a="1"/>
  <c r="W135" i="12" s="1"/>
  <c r="X132" i="12" a="1"/>
  <c r="X132" i="12" s="1"/>
  <c r="W132" i="12" a="1"/>
  <c r="W132" i="12" s="1"/>
  <c r="W133" i="12" a="1"/>
  <c r="W133" i="12" s="1"/>
  <c r="X133" i="12" a="1"/>
  <c r="X133" i="12" s="1"/>
  <c r="W134" i="12" a="1"/>
  <c r="W134" i="12" s="1"/>
  <c r="X134" i="12" a="1"/>
  <c r="X134" i="12" s="1"/>
  <c r="X136" i="12" a="1"/>
  <c r="X136" i="12" s="1"/>
  <c r="W136" i="12" a="1"/>
  <c r="W136" i="12" s="1"/>
  <c r="F174" i="6"/>
  <c r="L177" i="6"/>
  <c r="B176" i="6"/>
  <c r="H174" i="6" a="1"/>
  <c r="H174" i="6" s="1"/>
  <c r="T174" i="5" s="1"/>
  <c r="G174" i="6"/>
  <c r="M167" i="6"/>
  <c r="A168" i="6"/>
  <c r="A176" i="12"/>
  <c r="J176" i="5"/>
  <c r="W176" i="5" a="1"/>
  <c r="W176" i="5" s="1"/>
  <c r="H176" i="12" s="1" a="1"/>
  <c r="H176" i="12" s="1"/>
  <c r="D176" i="5"/>
  <c r="B176" i="12" s="1"/>
  <c r="AE176" i="5" a="1"/>
  <c r="AE176" i="5" s="1"/>
  <c r="AD176" i="5"/>
  <c r="C177" i="5"/>
  <c r="K176" i="5"/>
  <c r="N176" i="5"/>
  <c r="L175" i="12" l="1" a="1"/>
  <c r="L175" i="12" s="1"/>
  <c r="K175" i="12" s="1"/>
  <c r="N143" i="12"/>
  <c r="Y143" i="12"/>
  <c r="BZ166" i="6" a="1"/>
  <c r="BZ166" i="6" s="1"/>
  <c r="CL166" i="6" a="1"/>
  <c r="CL166" i="6" s="1"/>
  <c r="BO166" i="6"/>
  <c r="CH166" i="6" a="1"/>
  <c r="CH166" i="6" s="1"/>
  <c r="BN166" i="6"/>
  <c r="CG166" i="6" a="1"/>
  <c r="CG166" i="6" s="1"/>
  <c r="BP166" i="6"/>
  <c r="CK166" i="6" a="1"/>
  <c r="CK166" i="6" s="1"/>
  <c r="BM166" i="6"/>
  <c r="CI166" i="6" a="1"/>
  <c r="CI166" i="6" s="1"/>
  <c r="BT166" i="6"/>
  <c r="CJ166" i="6" a="1"/>
  <c r="CJ166" i="6" s="1"/>
  <c r="BQ166" i="6"/>
  <c r="CF166" i="6" a="1"/>
  <c r="CF166" i="6" s="1"/>
  <c r="BS166" i="6"/>
  <c r="CM166" i="6" a="1"/>
  <c r="CM166" i="6" s="1"/>
  <c r="BR166" i="6"/>
  <c r="AV166" i="6"/>
  <c r="AU166" i="6"/>
  <c r="AW166" i="6"/>
  <c r="AX166" i="6"/>
  <c r="AY166" i="6"/>
  <c r="AZ166" i="6"/>
  <c r="BA166" i="6"/>
  <c r="AT166" i="6"/>
  <c r="CK165" i="6" a="1"/>
  <c r="CK165" i="6" s="1"/>
  <c r="BM165" i="6"/>
  <c r="AX165" i="6"/>
  <c r="CL165" i="6" a="1"/>
  <c r="CL165" i="6" s="1"/>
  <c r="AV165" i="6"/>
  <c r="AW165" i="6"/>
  <c r="CG165" i="6" a="1"/>
  <c r="CG165" i="6" s="1"/>
  <c r="BO165" i="6"/>
  <c r="BP165" i="6"/>
  <c r="CF165" i="6" a="1"/>
  <c r="CF165" i="6" s="1"/>
  <c r="BN165" i="6"/>
  <c r="AU165" i="6"/>
  <c r="CJ165" i="6" a="1"/>
  <c r="CJ165" i="6" s="1"/>
  <c r="BT165" i="6"/>
  <c r="AT165" i="6"/>
  <c r="BQ165" i="6"/>
  <c r="CI165" i="6" a="1"/>
  <c r="CI165" i="6" s="1"/>
  <c r="BS165" i="6"/>
  <c r="BA165" i="6"/>
  <c r="CH165" i="6" a="1"/>
  <c r="CH165" i="6" s="1"/>
  <c r="BR165" i="6"/>
  <c r="AZ165" i="6"/>
  <c r="CM165" i="6" a="1"/>
  <c r="CM165" i="6" s="1"/>
  <c r="AY165" i="6"/>
  <c r="CH164" i="6" a="1"/>
  <c r="CH164" i="6" s="1"/>
  <c r="BM164" i="6"/>
  <c r="AW164" i="6"/>
  <c r="CK164" i="6" a="1"/>
  <c r="CK164" i="6" s="1"/>
  <c r="BO164" i="6"/>
  <c r="CG164" i="6" a="1"/>
  <c r="CG164" i="6" s="1"/>
  <c r="BN164" i="6"/>
  <c r="CJ164" i="6" a="1"/>
  <c r="CJ164" i="6" s="1"/>
  <c r="BT164" i="6"/>
  <c r="AT164" i="6"/>
  <c r="CF164" i="6" a="1"/>
  <c r="CF164" i="6" s="1"/>
  <c r="BS164" i="6"/>
  <c r="BA164" i="6"/>
  <c r="CI164" i="6" a="1"/>
  <c r="CI164" i="6" s="1"/>
  <c r="BR164" i="6"/>
  <c r="AZ164" i="6"/>
  <c r="CM164" i="6" a="1"/>
  <c r="CM164" i="6" s="1"/>
  <c r="BQ164" i="6"/>
  <c r="AY164" i="6"/>
  <c r="CL164" i="6" a="1"/>
  <c r="CL164" i="6" s="1"/>
  <c r="BP164" i="6"/>
  <c r="AX164" i="6"/>
  <c r="AU164" i="6"/>
  <c r="AV164" i="6"/>
  <c r="CG167" i="6" a="1"/>
  <c r="CG167" i="6" s="1"/>
  <c r="BP167" i="6"/>
  <c r="CM167" i="6" a="1"/>
  <c r="CM167" i="6" s="1"/>
  <c r="BM167" i="6"/>
  <c r="CK167" i="6" a="1"/>
  <c r="CK167" i="6" s="1"/>
  <c r="BT167" i="6"/>
  <c r="CF167" i="6" a="1"/>
  <c r="CF167" i="6" s="1"/>
  <c r="BS167" i="6"/>
  <c r="AW167" i="6"/>
  <c r="CL167" i="6" a="1"/>
  <c r="CL167" i="6" s="1"/>
  <c r="BO167" i="6"/>
  <c r="CH167" i="6" a="1"/>
  <c r="CH167" i="6" s="1"/>
  <c r="BN167" i="6"/>
  <c r="CI167" i="6" a="1"/>
  <c r="CI167" i="6" s="1"/>
  <c r="BR167" i="6"/>
  <c r="CJ167" i="6" a="1"/>
  <c r="CJ167" i="6" s="1"/>
  <c r="BQ167" i="6"/>
  <c r="BA167" i="6"/>
  <c r="AT167" i="6"/>
  <c r="AU167" i="6"/>
  <c r="AV167" i="6"/>
  <c r="AX167" i="6"/>
  <c r="AY167" i="6"/>
  <c r="AZ167" i="6"/>
  <c r="AK166" i="6"/>
  <c r="BL166" i="6"/>
  <c r="AQ166" i="6"/>
  <c r="AJ166" i="6"/>
  <c r="BX166" i="6" a="1"/>
  <c r="BX166" i="6" s="1"/>
  <c r="BK166" i="6"/>
  <c r="CC166" i="6" a="1"/>
  <c r="CC166" i="6" s="1"/>
  <c r="AN166" i="6"/>
  <c r="BE166" i="6"/>
  <c r="BJ166" i="6"/>
  <c r="BG166" i="6"/>
  <c r="AP166" i="6"/>
  <c r="CA166" i="6" a="1"/>
  <c r="CA166" i="6" s="1"/>
  <c r="CD166" i="6" a="1"/>
  <c r="CD166" i="6" s="1"/>
  <c r="BY166" i="6" a="1"/>
  <c r="BY166" i="6" s="1"/>
  <c r="AL166" i="6"/>
  <c r="BH166" i="6"/>
  <c r="AS166" i="6"/>
  <c r="BC166" i="6"/>
  <c r="BI166" i="6"/>
  <c r="BV166" i="6" a="1"/>
  <c r="BV166" i="6" s="1"/>
  <c r="AO166" i="6"/>
  <c r="BD166" i="6"/>
  <c r="AR166" i="6"/>
  <c r="BF166" i="6"/>
  <c r="AM166" i="6"/>
  <c r="BW166" i="6" a="1"/>
  <c r="BW166" i="6" s="1"/>
  <c r="CB166" i="6" a="1"/>
  <c r="CB166" i="6" s="1"/>
  <c r="X145" i="12" a="1"/>
  <c r="X145" i="12" s="1"/>
  <c r="W138" i="12" a="1"/>
  <c r="W138" i="12" s="1"/>
  <c r="T138" i="12" s="1"/>
  <c r="U145" i="12"/>
  <c r="T145" i="12"/>
  <c r="Y149" i="12"/>
  <c r="X149" i="12" s="1" a="1"/>
  <c r="X149" i="12" s="1"/>
  <c r="N140" i="12"/>
  <c r="Y140" i="12"/>
  <c r="W140" i="12" s="1" a="1"/>
  <c r="W140" i="12" s="1"/>
  <c r="U140" i="12" s="1"/>
  <c r="Y139" i="12"/>
  <c r="W139" i="12" s="1" a="1"/>
  <c r="W139" i="12" s="1"/>
  <c r="T139" i="12" s="1"/>
  <c r="Y146" i="12"/>
  <c r="X146" i="12" s="1" a="1"/>
  <c r="X146" i="12" s="1"/>
  <c r="N147" i="12"/>
  <c r="N148" i="12"/>
  <c r="Y148" i="12"/>
  <c r="N149" i="12"/>
  <c r="Y150" i="12"/>
  <c r="N150" i="12"/>
  <c r="Y147" i="12"/>
  <c r="N144" i="12"/>
  <c r="N141" i="12"/>
  <c r="Y142" i="12"/>
  <c r="N146" i="12"/>
  <c r="Y144" i="12"/>
  <c r="X144" i="12" s="1" a="1"/>
  <c r="X144" i="12" s="1"/>
  <c r="N142" i="12"/>
  <c r="Y141" i="12"/>
  <c r="Z155" i="5"/>
  <c r="AB155" i="5" s="1" a="1"/>
  <c r="AB155" i="5" s="1"/>
  <c r="AM155" i="5"/>
  <c r="L155" i="5"/>
  <c r="C155" i="6" s="1"/>
  <c r="I155" i="12"/>
  <c r="Z156" i="5"/>
  <c r="AB156" i="5" s="1" a="1"/>
  <c r="AB156" i="5" s="1"/>
  <c r="AM156" i="5"/>
  <c r="I156" i="12"/>
  <c r="L156" i="5"/>
  <c r="C156" i="6" s="1"/>
  <c r="L160" i="5"/>
  <c r="C160" i="6" s="1"/>
  <c r="AM160" i="5"/>
  <c r="I160" i="12"/>
  <c r="Z160" i="5"/>
  <c r="AB160" i="5" s="1" a="1"/>
  <c r="AB160" i="5" s="1"/>
  <c r="BD165" i="6"/>
  <c r="CB165" i="6" a="1"/>
  <c r="CB165" i="6" s="1"/>
  <c r="AL165" i="6"/>
  <c r="AR165" i="6"/>
  <c r="CE165" i="6" a="1"/>
  <c r="CE165" i="6" s="1"/>
  <c r="BI165" i="6"/>
  <c r="AP165" i="6"/>
  <c r="AJ165" i="6"/>
  <c r="BL165" i="6"/>
  <c r="BC165" i="6"/>
  <c r="AQ165" i="6"/>
  <c r="AM165" i="6"/>
  <c r="BX165" i="6" a="1"/>
  <c r="BX165" i="6" s="1"/>
  <c r="BZ165" i="6" a="1"/>
  <c r="BZ165" i="6" s="1"/>
  <c r="BV165" i="6" a="1"/>
  <c r="BV165" i="6" s="1"/>
  <c r="AK165" i="6"/>
  <c r="BW165" i="6" a="1"/>
  <c r="BW165" i="6" s="1"/>
  <c r="BG165" i="6"/>
  <c r="BF165" i="6"/>
  <c r="CA165" i="6" a="1"/>
  <c r="CA165" i="6" s="1"/>
  <c r="AS165" i="6"/>
  <c r="CD165" i="6" a="1"/>
  <c r="CD165" i="6" s="1"/>
  <c r="BJ165" i="6"/>
  <c r="BY165" i="6" a="1"/>
  <c r="BY165" i="6" s="1"/>
  <c r="AO165" i="6"/>
  <c r="CC165" i="6" a="1"/>
  <c r="CC165" i="6" s="1"/>
  <c r="BK165" i="6"/>
  <c r="BH165" i="6"/>
  <c r="AN165" i="6"/>
  <c r="BE165" i="6"/>
  <c r="Z158" i="5"/>
  <c r="AB158" i="5" s="1" a="1"/>
  <c r="AB158" i="5" s="1"/>
  <c r="AM158" i="5"/>
  <c r="L158" i="5"/>
  <c r="C158" i="6" s="1"/>
  <c r="I158" i="12"/>
  <c r="Z154" i="5"/>
  <c r="AB154" i="5" s="1" a="1"/>
  <c r="AB154" i="5" s="1"/>
  <c r="I154" i="12"/>
  <c r="L154" i="5"/>
  <c r="C154" i="6" s="1"/>
  <c r="AM154" i="5"/>
  <c r="N151" i="12"/>
  <c r="Z157" i="5"/>
  <c r="AB157" i="5" s="1" a="1"/>
  <c r="AB157" i="5" s="1"/>
  <c r="AM157" i="5"/>
  <c r="I157" i="12"/>
  <c r="L157" i="5"/>
  <c r="C157" i="6" s="1"/>
  <c r="Z161" i="5"/>
  <c r="AB161" i="5" s="1" a="1"/>
  <c r="AB161" i="5" s="1"/>
  <c r="AM161" i="5"/>
  <c r="I161" i="12"/>
  <c r="L161" i="5"/>
  <c r="C161" i="6" s="1"/>
  <c r="Y151" i="12"/>
  <c r="L159" i="5"/>
  <c r="C159" i="6" s="1"/>
  <c r="AM159" i="5"/>
  <c r="I159" i="12"/>
  <c r="Z159" i="5"/>
  <c r="AB159" i="5" s="1" a="1"/>
  <c r="AB159" i="5" s="1"/>
  <c r="CB164" i="6" a="1"/>
  <c r="CB164" i="6" s="1"/>
  <c r="CD164" i="6" a="1"/>
  <c r="CD164" i="6" s="1"/>
  <c r="AP164" i="6"/>
  <c r="BC164" i="6"/>
  <c r="BV164" i="6" a="1"/>
  <c r="BV164" i="6" s="1"/>
  <c r="BH164" i="6"/>
  <c r="BK164" i="6"/>
  <c r="AM164" i="6"/>
  <c r="AK164" i="6"/>
  <c r="CE164" i="6" a="1"/>
  <c r="CE164" i="6" s="1"/>
  <c r="BJ164" i="6"/>
  <c r="AS164" i="6"/>
  <c r="AQ164" i="6"/>
  <c r="BL164" i="6"/>
  <c r="BX164" i="6" a="1"/>
  <c r="BX164" i="6" s="1"/>
  <c r="AR164" i="6"/>
  <c r="AL164" i="6"/>
  <c r="BY164" i="6" a="1"/>
  <c r="BY164" i="6" s="1"/>
  <c r="BW164" i="6" a="1"/>
  <c r="BW164" i="6" s="1"/>
  <c r="CA164" i="6" a="1"/>
  <c r="CA164" i="6" s="1"/>
  <c r="AO164" i="6"/>
  <c r="BF164" i="6"/>
  <c r="BZ164" i="6" a="1"/>
  <c r="BZ164" i="6" s="1"/>
  <c r="BD164" i="6"/>
  <c r="CC164" i="6" a="1"/>
  <c r="CC164" i="6" s="1"/>
  <c r="AJ164" i="6"/>
  <c r="BG164" i="6"/>
  <c r="BE164" i="6"/>
  <c r="BI164" i="6"/>
  <c r="AN164" i="6"/>
  <c r="X163" i="5" a="1"/>
  <c r="X163" i="5" s="1"/>
  <c r="C153" i="12"/>
  <c r="O153" i="12" a="1"/>
  <c r="O153" i="12" s="1"/>
  <c r="AO153" i="12" a="1"/>
  <c r="AO153" i="12" s="1"/>
  <c r="M153" i="12" a="1"/>
  <c r="M153" i="12" s="1"/>
  <c r="N139" i="12"/>
  <c r="U131" i="12"/>
  <c r="T131" i="12"/>
  <c r="V135" i="12" a="1"/>
  <c r="V135" i="12" s="1"/>
  <c r="U135" i="12"/>
  <c r="T135" i="12"/>
  <c r="U133" i="12"/>
  <c r="T133" i="12"/>
  <c r="V133" i="12" a="1"/>
  <c r="V133" i="12" s="1"/>
  <c r="U134" i="12"/>
  <c r="V134" i="12" a="1"/>
  <c r="V134" i="12" s="1"/>
  <c r="T134" i="12"/>
  <c r="T136" i="12"/>
  <c r="V136" i="12" a="1"/>
  <c r="V136" i="12" s="1"/>
  <c r="U136" i="12"/>
  <c r="U132" i="12"/>
  <c r="V132" i="12" a="1"/>
  <c r="V132" i="12" s="1"/>
  <c r="T132" i="12"/>
  <c r="L176" i="12" a="1"/>
  <c r="L176" i="12" s="1"/>
  <c r="J176" i="12" a="1"/>
  <c r="J176" i="12" s="1"/>
  <c r="A177" i="12"/>
  <c r="E177" i="5"/>
  <c r="H177" i="5"/>
  <c r="G177" i="5"/>
  <c r="W177" i="5" a="1"/>
  <c r="W177" i="5" s="1"/>
  <c r="H177" i="12" s="1" a="1"/>
  <c r="H177" i="12" s="1"/>
  <c r="F177" i="5"/>
  <c r="D177" i="5"/>
  <c r="B177" i="12" s="1"/>
  <c r="AE177" i="5" a="1"/>
  <c r="AE177" i="5" s="1"/>
  <c r="N177" i="5"/>
  <c r="D177" i="6" s="1"/>
  <c r="K177" i="5"/>
  <c r="J177" i="5"/>
  <c r="B177" i="5"/>
  <c r="C178" i="5"/>
  <c r="AD177" i="5"/>
  <c r="H175" i="6" a="1"/>
  <c r="H175" i="6" s="1"/>
  <c r="G174" i="12" a="1"/>
  <c r="G174" i="12" s="1"/>
  <c r="D176" i="6"/>
  <c r="M168" i="6"/>
  <c r="A169" i="6"/>
  <c r="B177" i="6"/>
  <c r="L178" i="6"/>
  <c r="CB167" i="6" a="1"/>
  <c r="CB167" i="6" s="1"/>
  <c r="CE167" i="6" a="1"/>
  <c r="CE167" i="6" s="1"/>
  <c r="BH167" i="6"/>
  <c r="BF167" i="6"/>
  <c r="BK167" i="6"/>
  <c r="BY167" i="6" a="1"/>
  <c r="BY167" i="6" s="1"/>
  <c r="BV167" i="6" a="1"/>
  <c r="BV167" i="6" s="1"/>
  <c r="BX167" i="6" a="1"/>
  <c r="BX167" i="6" s="1"/>
  <c r="AQ167" i="6"/>
  <c r="BC167" i="6"/>
  <c r="BZ167" i="6" a="1"/>
  <c r="BZ167" i="6" s="1"/>
  <c r="BJ167" i="6"/>
  <c r="BG167" i="6"/>
  <c r="CD167" i="6" a="1"/>
  <c r="CD167" i="6" s="1"/>
  <c r="BW167" i="6" a="1"/>
  <c r="BW167" i="6" s="1"/>
  <c r="CC167" i="6" a="1"/>
  <c r="CC167" i="6" s="1"/>
  <c r="BL167" i="6"/>
  <c r="AN167" i="6"/>
  <c r="BE167" i="6"/>
  <c r="BI167" i="6"/>
  <c r="BD167" i="6"/>
  <c r="CA167" i="6" a="1"/>
  <c r="CA167" i="6" s="1"/>
  <c r="AP167" i="6"/>
  <c r="AS167" i="6"/>
  <c r="AJ167" i="6"/>
  <c r="AL167" i="6"/>
  <c r="AM167" i="6"/>
  <c r="AO167" i="6"/>
  <c r="AR167" i="6"/>
  <c r="AK167" i="6"/>
  <c r="X143" i="12" l="1" a="1"/>
  <c r="X143" i="12" s="1"/>
  <c r="W143" i="12" a="1"/>
  <c r="W143" i="12" s="1"/>
  <c r="CJ168" i="6" a="1"/>
  <c r="CJ168" i="6" s="1"/>
  <c r="BR168" i="6"/>
  <c r="CI168" i="6" a="1"/>
  <c r="CI168" i="6" s="1"/>
  <c r="BQ168" i="6"/>
  <c r="CG168" i="6" a="1"/>
  <c r="CG168" i="6" s="1"/>
  <c r="BP168" i="6"/>
  <c r="CF168" i="6" a="1"/>
  <c r="CF168" i="6" s="1"/>
  <c r="CM168" i="6" a="1"/>
  <c r="CM168" i="6" s="1"/>
  <c r="BM168" i="6"/>
  <c r="AW168" i="6"/>
  <c r="CL168" i="6" a="1"/>
  <c r="CL168" i="6" s="1"/>
  <c r="BO168" i="6"/>
  <c r="CH168" i="6" a="1"/>
  <c r="CH168" i="6" s="1"/>
  <c r="BN168" i="6"/>
  <c r="CK168" i="6" a="1"/>
  <c r="CK168" i="6" s="1"/>
  <c r="BT168" i="6"/>
  <c r="BS168" i="6"/>
  <c r="BA168" i="6"/>
  <c r="AT168" i="6"/>
  <c r="AU168" i="6"/>
  <c r="AV168" i="6"/>
  <c r="AX168" i="6"/>
  <c r="AY168" i="6"/>
  <c r="AZ168" i="6"/>
  <c r="X166" i="5" a="1"/>
  <c r="X166" i="5" s="1"/>
  <c r="Z166" i="5" s="1"/>
  <c r="AB166" i="5" s="1" a="1"/>
  <c r="AB166" i="5" s="1"/>
  <c r="U138" i="12"/>
  <c r="V138" i="12" a="1"/>
  <c r="V138" i="12" s="1"/>
  <c r="V139" i="12" a="1"/>
  <c r="V139" i="12" s="1"/>
  <c r="U139" i="12"/>
  <c r="X139" i="12" a="1"/>
  <c r="X139" i="12" s="1"/>
  <c r="W149" i="12" a="1"/>
  <c r="W149" i="12" s="1"/>
  <c r="X140" i="12" a="1"/>
  <c r="X140" i="12" s="1"/>
  <c r="Y153" i="12"/>
  <c r="X153" i="12" s="1" a="1"/>
  <c r="X153" i="12" s="1"/>
  <c r="T140" i="12"/>
  <c r="V140" i="12" a="1"/>
  <c r="V140" i="12" s="1"/>
  <c r="W146" i="12" a="1"/>
  <c r="W146" i="12" s="1"/>
  <c r="T146" i="12" s="1"/>
  <c r="X148" i="12" a="1"/>
  <c r="X148" i="12" s="1"/>
  <c r="W148" i="12" a="1"/>
  <c r="W148" i="12" s="1"/>
  <c r="W144" i="12" a="1"/>
  <c r="W144" i="12" s="1"/>
  <c r="T144" i="12" s="1"/>
  <c r="W147" i="12" a="1"/>
  <c r="W147" i="12" s="1"/>
  <c r="X147" i="12" a="1"/>
  <c r="X147" i="12" s="1"/>
  <c r="X150" i="12" a="1"/>
  <c r="X150" i="12" s="1"/>
  <c r="W150" i="12" a="1"/>
  <c r="W150" i="12" s="1"/>
  <c r="W142" i="12" a="1"/>
  <c r="W142" i="12" s="1"/>
  <c r="X142" i="12" a="1"/>
  <c r="X142" i="12" s="1"/>
  <c r="W141" i="12" a="1"/>
  <c r="W141" i="12" s="1"/>
  <c r="X141" i="12" a="1"/>
  <c r="X141" i="12" s="1"/>
  <c r="C154" i="12"/>
  <c r="O154" i="12" a="1"/>
  <c r="O154" i="12" s="1"/>
  <c r="AO154" i="12" a="1"/>
  <c r="AO154" i="12" s="1"/>
  <c r="M154" i="12" a="1"/>
  <c r="M154" i="12" s="1"/>
  <c r="O157" i="12" a="1"/>
  <c r="O157" i="12" s="1"/>
  <c r="C157" i="12"/>
  <c r="AO157" i="12" a="1"/>
  <c r="AO157" i="12" s="1"/>
  <c r="M157" i="12" a="1"/>
  <c r="M157" i="12" s="1"/>
  <c r="C156" i="12"/>
  <c r="M156" i="12" a="1"/>
  <c r="M156" i="12" s="1"/>
  <c r="AO156" i="12" a="1"/>
  <c r="AO156" i="12" s="1"/>
  <c r="O156" i="12" a="1"/>
  <c r="O156" i="12" s="1"/>
  <c r="M158" i="12" a="1"/>
  <c r="M158" i="12" s="1"/>
  <c r="O158" i="12" a="1"/>
  <c r="O158" i="12" s="1"/>
  <c r="AO158" i="12" a="1"/>
  <c r="AO158" i="12" s="1"/>
  <c r="C158" i="12"/>
  <c r="X151" i="12" a="1"/>
  <c r="X151" i="12" s="1"/>
  <c r="W151" i="12" a="1"/>
  <c r="W151" i="12" s="1"/>
  <c r="X164" i="5" a="1"/>
  <c r="X164" i="5" s="1"/>
  <c r="X165" i="5" a="1"/>
  <c r="X165" i="5" s="1"/>
  <c r="C155" i="12"/>
  <c r="M155" i="12" a="1"/>
  <c r="M155" i="12" s="1"/>
  <c r="AO155" i="12" a="1"/>
  <c r="AO155" i="12" s="1"/>
  <c r="O155" i="12" a="1"/>
  <c r="O155" i="12" s="1"/>
  <c r="O159" i="12" a="1"/>
  <c r="O159" i="12" s="1"/>
  <c r="C159" i="12"/>
  <c r="M159" i="12" a="1"/>
  <c r="M159" i="12" s="1"/>
  <c r="AO159" i="12" a="1"/>
  <c r="AO159" i="12" s="1"/>
  <c r="N153" i="12"/>
  <c r="C161" i="12"/>
  <c r="M161" i="12" a="1"/>
  <c r="M161" i="12" s="1"/>
  <c r="AO161" i="12" a="1"/>
  <c r="AO161" i="12" s="1"/>
  <c r="O161" i="12" a="1"/>
  <c r="O161" i="12" s="1"/>
  <c r="C160" i="12"/>
  <c r="AO160" i="12" a="1"/>
  <c r="AO160" i="12" s="1"/>
  <c r="M160" i="12" a="1"/>
  <c r="M160" i="12" s="1"/>
  <c r="O160" i="12" a="1"/>
  <c r="O160" i="12" s="1"/>
  <c r="I163" i="12"/>
  <c r="AM163" i="5"/>
  <c r="L163" i="5"/>
  <c r="C163" i="6" s="1"/>
  <c r="Z163" i="5"/>
  <c r="AB163" i="5" s="1" a="1"/>
  <c r="AB163" i="5" s="1"/>
  <c r="T175" i="5"/>
  <c r="G175" i="12" s="1" a="1"/>
  <c r="G175" i="12" s="1"/>
  <c r="X167" i="5" a="1"/>
  <c r="X167" i="5" s="1"/>
  <c r="I167" i="12" s="1"/>
  <c r="K176" i="12"/>
  <c r="J177" i="12" a="1"/>
  <c r="J177" i="12" s="1"/>
  <c r="L177" i="12" a="1"/>
  <c r="L177" i="12" s="1"/>
  <c r="B178" i="6"/>
  <c r="L179" i="6"/>
  <c r="H177" i="6" a="1"/>
  <c r="H177" i="6" s="1"/>
  <c r="T177" i="5" s="1"/>
  <c r="G177" i="12" s="1" a="1"/>
  <c r="G177" i="12" s="1"/>
  <c r="A178" i="12"/>
  <c r="AD178" i="5"/>
  <c r="G178" i="5"/>
  <c r="K178" i="5"/>
  <c r="J178" i="5"/>
  <c r="H178" i="5"/>
  <c r="F178" i="5"/>
  <c r="W178" i="5" a="1"/>
  <c r="W178" i="5" s="1"/>
  <c r="H178" i="12" s="1" a="1"/>
  <c r="H178" i="12" s="1"/>
  <c r="E178" i="5"/>
  <c r="C179" i="5"/>
  <c r="N178" i="5"/>
  <c r="D178" i="5"/>
  <c r="B178" i="12" s="1"/>
  <c r="B178" i="5"/>
  <c r="AE178" i="5" a="1"/>
  <c r="AE178" i="5" s="1"/>
  <c r="H176" i="6" a="1"/>
  <c r="H176" i="6" s="1"/>
  <c r="M169" i="6"/>
  <c r="A170" i="6"/>
  <c r="BC168" i="6"/>
  <c r="BJ168" i="6"/>
  <c r="BX168" i="6" a="1"/>
  <c r="BX168" i="6" s="1"/>
  <c r="AR168" i="6"/>
  <c r="AM168" i="6"/>
  <c r="CA168" i="6" a="1"/>
  <c r="CA168" i="6" s="1"/>
  <c r="CC168" i="6" a="1"/>
  <c r="CC168" i="6" s="1"/>
  <c r="CD168" i="6" a="1"/>
  <c r="CD168" i="6" s="1"/>
  <c r="CE168" i="6" a="1"/>
  <c r="CE168" i="6" s="1"/>
  <c r="BL168" i="6"/>
  <c r="AO168" i="6"/>
  <c r="AS168" i="6"/>
  <c r="AQ168" i="6"/>
  <c r="AJ168" i="6"/>
  <c r="BH168" i="6"/>
  <c r="BW168" i="6" a="1"/>
  <c r="BW168" i="6" s="1"/>
  <c r="BI168" i="6"/>
  <c r="BV168" i="6" a="1"/>
  <c r="BV168" i="6" s="1"/>
  <c r="AK168" i="6"/>
  <c r="AP168" i="6"/>
  <c r="BY168" i="6" a="1"/>
  <c r="BY168" i="6" s="1"/>
  <c r="BG168" i="6"/>
  <c r="BF168" i="6"/>
  <c r="CB168" i="6" a="1"/>
  <c r="CB168" i="6" s="1"/>
  <c r="AL168" i="6"/>
  <c r="BK168" i="6"/>
  <c r="BZ168" i="6" a="1"/>
  <c r="BZ168" i="6" s="1"/>
  <c r="BD168" i="6"/>
  <c r="BE168" i="6"/>
  <c r="AN168" i="6"/>
  <c r="V143" i="12" l="1" a="1"/>
  <c r="V143" i="12" s="1"/>
  <c r="T143" i="12"/>
  <c r="U143" i="12"/>
  <c r="CM169" i="6" a="1"/>
  <c r="CM169" i="6" s="1"/>
  <c r="BR169" i="6"/>
  <c r="CI169" i="6" a="1"/>
  <c r="CI169" i="6" s="1"/>
  <c r="BQ169" i="6"/>
  <c r="BA169" i="6"/>
  <c r="CF169" i="6" a="1"/>
  <c r="CF169" i="6" s="1"/>
  <c r="BP169" i="6"/>
  <c r="CJ169" i="6" a="1"/>
  <c r="CJ169" i="6" s="1"/>
  <c r="CG169" i="6" a="1"/>
  <c r="CG169" i="6" s="1"/>
  <c r="BM169" i="6"/>
  <c r="AW169" i="6"/>
  <c r="CL169" i="6" a="1"/>
  <c r="CL169" i="6" s="1"/>
  <c r="BO169" i="6"/>
  <c r="CH169" i="6" a="1"/>
  <c r="CH169" i="6" s="1"/>
  <c r="BN169" i="6"/>
  <c r="AU169" i="6"/>
  <c r="CK169" i="6" a="1"/>
  <c r="CK169" i="6" s="1"/>
  <c r="BT169" i="6"/>
  <c r="BS169" i="6"/>
  <c r="AT169" i="6"/>
  <c r="AV169" i="6"/>
  <c r="AX169" i="6"/>
  <c r="AY169" i="6"/>
  <c r="AZ169" i="6"/>
  <c r="AM166" i="5"/>
  <c r="L166" i="5"/>
  <c r="C166" i="6" s="1"/>
  <c r="I166" i="12"/>
  <c r="C166" i="12" s="1"/>
  <c r="Y157" i="12"/>
  <c r="W157" i="12" s="1" a="1"/>
  <c r="W157" i="12" s="1"/>
  <c r="W153" i="12" a="1"/>
  <c r="W153" i="12" s="1"/>
  <c r="U153" i="12" s="1"/>
  <c r="V149" i="12" a="1"/>
  <c r="V149" i="12" s="1"/>
  <c r="U149" i="12"/>
  <c r="T149" i="12"/>
  <c r="Y158" i="12"/>
  <c r="W158" i="12" s="1" a="1"/>
  <c r="W158" i="12" s="1"/>
  <c r="U158" i="12" s="1"/>
  <c r="U144" i="12"/>
  <c r="V146" i="12" a="1"/>
  <c r="V146" i="12" s="1"/>
  <c r="U146" i="12"/>
  <c r="Y159" i="12"/>
  <c r="X159" i="12" s="1" a="1"/>
  <c r="X159" i="12" s="1"/>
  <c r="V144" i="12" a="1"/>
  <c r="V144" i="12" s="1"/>
  <c r="V148" i="12" a="1"/>
  <c r="V148" i="12" s="1"/>
  <c r="U148" i="12"/>
  <c r="T148" i="12"/>
  <c r="T150" i="12"/>
  <c r="V150" i="12" a="1"/>
  <c r="V150" i="12" s="1"/>
  <c r="U150" i="12"/>
  <c r="U147" i="12"/>
  <c r="T147" i="12"/>
  <c r="V147" i="12" a="1"/>
  <c r="V147" i="12" s="1"/>
  <c r="V142" i="12" a="1"/>
  <c r="V142" i="12" s="1"/>
  <c r="U142" i="12"/>
  <c r="T142" i="12"/>
  <c r="Y160" i="12"/>
  <c r="W160" i="12" s="1" a="1"/>
  <c r="W160" i="12" s="1"/>
  <c r="N161" i="12"/>
  <c r="Y161" i="12"/>
  <c r="X161" i="12" s="1" a="1"/>
  <c r="X161" i="12" s="1"/>
  <c r="N154" i="12"/>
  <c r="T141" i="12"/>
  <c r="V141" i="12" a="1"/>
  <c r="V141" i="12" s="1"/>
  <c r="U141" i="12"/>
  <c r="N160" i="12"/>
  <c r="N156" i="12"/>
  <c r="M163" i="12" a="1"/>
  <c r="M163" i="12" s="1"/>
  <c r="C163" i="12"/>
  <c r="AO163" i="12" a="1"/>
  <c r="AO163" i="12" s="1"/>
  <c r="O163" i="12" a="1"/>
  <c r="O163" i="12" s="1"/>
  <c r="I165" i="12"/>
  <c r="Z165" i="5"/>
  <c r="AB165" i="5" s="1" a="1"/>
  <c r="AB165" i="5" s="1"/>
  <c r="AM165" i="5"/>
  <c r="L165" i="5"/>
  <c r="C165" i="6" s="1"/>
  <c r="N158" i="12"/>
  <c r="I164" i="12"/>
  <c r="L164" i="5"/>
  <c r="C164" i="6" s="1"/>
  <c r="AM164" i="5"/>
  <c r="Z164" i="5"/>
  <c r="AB164" i="5" s="1" a="1"/>
  <c r="AB164" i="5" s="1"/>
  <c r="N157" i="12"/>
  <c r="N159" i="12"/>
  <c r="Y156" i="12"/>
  <c r="Y154" i="12"/>
  <c r="N155" i="12"/>
  <c r="V151" i="12" a="1"/>
  <c r="V151" i="12" s="1"/>
  <c r="T151" i="12"/>
  <c r="U151" i="12"/>
  <c r="Y155" i="12"/>
  <c r="T176" i="5"/>
  <c r="G176" i="12" s="1" a="1"/>
  <c r="G176" i="12" s="1"/>
  <c r="Z167" i="5"/>
  <c r="AB167" i="5" s="1" a="1"/>
  <c r="AB167" i="5" s="1"/>
  <c r="AM167" i="5"/>
  <c r="L167" i="5"/>
  <c r="K177" i="12"/>
  <c r="L180" i="6"/>
  <c r="B179" i="6"/>
  <c r="A179" i="12"/>
  <c r="AD179" i="5"/>
  <c r="G179" i="5"/>
  <c r="B179" i="5"/>
  <c r="N179" i="5"/>
  <c r="D179" i="6" s="1"/>
  <c r="K179" i="5"/>
  <c r="J179" i="5"/>
  <c r="H179" i="5"/>
  <c r="AE179" i="5" a="1"/>
  <c r="AE179" i="5" s="1"/>
  <c r="C180" i="5"/>
  <c r="W179" i="5" a="1"/>
  <c r="W179" i="5" s="1"/>
  <c r="H179" i="12" s="1" a="1"/>
  <c r="H179" i="12" s="1"/>
  <c r="F179" i="5"/>
  <c r="E179" i="5"/>
  <c r="D179" i="5"/>
  <c r="B179" i="12" s="1"/>
  <c r="X168" i="5" a="1"/>
  <c r="X168" i="5" s="1"/>
  <c r="J178" i="12" a="1"/>
  <c r="J178" i="12" s="1"/>
  <c r="L178" i="12" a="1"/>
  <c r="L178" i="12" s="1"/>
  <c r="D178" i="6"/>
  <c r="M170" i="6"/>
  <c r="A171" i="6"/>
  <c r="BK169" i="6"/>
  <c r="CE169" i="6" a="1"/>
  <c r="CE169" i="6" s="1"/>
  <c r="BX169" i="6" a="1"/>
  <c r="BX169" i="6" s="1"/>
  <c r="AP169" i="6"/>
  <c r="BG169" i="6"/>
  <c r="CB169" i="6" a="1"/>
  <c r="CB169" i="6" s="1"/>
  <c r="BI169" i="6"/>
  <c r="BC169" i="6"/>
  <c r="BV169" i="6" a="1"/>
  <c r="BV169" i="6" s="1"/>
  <c r="CA169" i="6" a="1"/>
  <c r="CA169" i="6" s="1"/>
  <c r="CD169" i="6" a="1"/>
  <c r="CD169" i="6" s="1"/>
  <c r="BZ169" i="6" a="1"/>
  <c r="BZ169" i="6" s="1"/>
  <c r="BE169" i="6"/>
  <c r="BJ169" i="6"/>
  <c r="BH169" i="6"/>
  <c r="BW169" i="6" a="1"/>
  <c r="BW169" i="6" s="1"/>
  <c r="CC169" i="6" a="1"/>
  <c r="CC169" i="6" s="1"/>
  <c r="AJ169" i="6"/>
  <c r="BD169" i="6"/>
  <c r="BL169" i="6"/>
  <c r="BF169" i="6"/>
  <c r="BY169" i="6" a="1"/>
  <c r="BY169" i="6" s="1"/>
  <c r="AQ169" i="6"/>
  <c r="AK169" i="6"/>
  <c r="AO169" i="6"/>
  <c r="AS169" i="6"/>
  <c r="AN169" i="6"/>
  <c r="AL169" i="6"/>
  <c r="AM169" i="6"/>
  <c r="AR169" i="6"/>
  <c r="C167" i="12"/>
  <c r="AO167" i="12" a="1"/>
  <c r="AO167" i="12" s="1"/>
  <c r="M167" i="12" a="1"/>
  <c r="M167" i="12" s="1"/>
  <c r="O167" i="12" a="1"/>
  <c r="O167" i="12" s="1"/>
  <c r="X157" i="12" l="1" a="1"/>
  <c r="X157" i="12" s="1"/>
  <c r="CK170" i="6" a="1"/>
  <c r="CK170" i="6" s="1"/>
  <c r="BP170" i="6"/>
  <c r="BN170" i="6"/>
  <c r="CJ170" i="6" a="1"/>
  <c r="CJ170" i="6" s="1"/>
  <c r="BM170" i="6"/>
  <c r="CF170" i="6" a="1"/>
  <c r="CF170" i="6" s="1"/>
  <c r="BT170" i="6"/>
  <c r="CM170" i="6" a="1"/>
  <c r="CM170" i="6" s="1"/>
  <c r="BS170" i="6"/>
  <c r="AU170" i="6"/>
  <c r="CI170" i="6" a="1"/>
  <c r="CI170" i="6" s="1"/>
  <c r="BQ170" i="6"/>
  <c r="CG170" i="6" a="1"/>
  <c r="CG170" i="6" s="1"/>
  <c r="BR170" i="6"/>
  <c r="AX170" i="6"/>
  <c r="CH170" i="6" a="1"/>
  <c r="CH170" i="6" s="1"/>
  <c r="CL170" i="6" a="1"/>
  <c r="CL170" i="6" s="1"/>
  <c r="BO170" i="6"/>
  <c r="AT170" i="6"/>
  <c r="AV170" i="6"/>
  <c r="AW170" i="6"/>
  <c r="BA170" i="6"/>
  <c r="AY170" i="6"/>
  <c r="AZ170" i="6"/>
  <c r="O166" i="12" a="1"/>
  <c r="O166" i="12" s="1"/>
  <c r="AO166" i="12" a="1"/>
  <c r="AO166" i="12" s="1"/>
  <c r="M166" i="12" a="1"/>
  <c r="M166" i="12" s="1"/>
  <c r="V153" i="12" a="1"/>
  <c r="V153" i="12" s="1"/>
  <c r="W159" i="12" a="1"/>
  <c r="W159" i="12" s="1"/>
  <c r="V159" i="12" s="1" a="1"/>
  <c r="V159" i="12" s="1"/>
  <c r="T153" i="12"/>
  <c r="T158" i="12"/>
  <c r="V158" i="12" a="1"/>
  <c r="V158" i="12" s="1"/>
  <c r="X158" i="12" a="1"/>
  <c r="X158" i="12" s="1"/>
  <c r="X160" i="12" a="1"/>
  <c r="X160" i="12" s="1"/>
  <c r="Y163" i="12"/>
  <c r="X163" i="12" s="1" a="1"/>
  <c r="X163" i="12" s="1"/>
  <c r="W161" i="12" a="1"/>
  <c r="W161" i="12" s="1"/>
  <c r="N163" i="12"/>
  <c r="M164" i="12" a="1"/>
  <c r="M164" i="12" s="1"/>
  <c r="C164" i="12"/>
  <c r="O164" i="12" a="1"/>
  <c r="O164" i="12" s="1"/>
  <c r="AO164" i="12" a="1"/>
  <c r="AO164" i="12" s="1"/>
  <c r="X155" i="12" a="1"/>
  <c r="X155" i="12" s="1"/>
  <c r="W155" i="12" a="1"/>
  <c r="W155" i="12" s="1"/>
  <c r="U160" i="12"/>
  <c r="V160" i="12" a="1"/>
  <c r="V160" i="12" s="1"/>
  <c r="T160" i="12"/>
  <c r="W154" i="12" a="1"/>
  <c r="W154" i="12" s="1"/>
  <c r="X154" i="12" a="1"/>
  <c r="X154" i="12" s="1"/>
  <c r="V157" i="12" a="1"/>
  <c r="V157" i="12" s="1"/>
  <c r="U157" i="12"/>
  <c r="T157" i="12"/>
  <c r="W156" i="12" a="1"/>
  <c r="W156" i="12" s="1"/>
  <c r="X156" i="12" a="1"/>
  <c r="X156" i="12" s="1"/>
  <c r="M165" i="12" a="1"/>
  <c r="M165" i="12" s="1"/>
  <c r="O165" i="12" a="1"/>
  <c r="O165" i="12" s="1"/>
  <c r="AO165" i="12" a="1"/>
  <c r="AO165" i="12" s="1"/>
  <c r="C165" i="12"/>
  <c r="C167" i="6"/>
  <c r="Y167" i="12"/>
  <c r="W167" i="12" s="1" a="1"/>
  <c r="W167" i="12" s="1"/>
  <c r="H178" i="6" a="1"/>
  <c r="H178" i="6" s="1"/>
  <c r="I168" i="12"/>
  <c r="AM168" i="5"/>
  <c r="L168" i="5"/>
  <c r="Z168" i="5"/>
  <c r="J179" i="12" a="1"/>
  <c r="J179" i="12" s="1"/>
  <c r="L179" i="12" a="1"/>
  <c r="L179" i="12" s="1"/>
  <c r="M171" i="6"/>
  <c r="A172" i="6"/>
  <c r="N167" i="12"/>
  <c r="BG170" i="6"/>
  <c r="BV170" i="6" a="1"/>
  <c r="BV170" i="6" s="1"/>
  <c r="BE170" i="6"/>
  <c r="BC170" i="6"/>
  <c r="CD170" i="6" a="1"/>
  <c r="CD170" i="6" s="1"/>
  <c r="BD170" i="6"/>
  <c r="BL170" i="6"/>
  <c r="CA170" i="6" a="1"/>
  <c r="CA170" i="6" s="1"/>
  <c r="BH170" i="6"/>
  <c r="BX170" i="6" a="1"/>
  <c r="BX170" i="6" s="1"/>
  <c r="BI170" i="6"/>
  <c r="BJ170" i="6"/>
  <c r="CB170" i="6" a="1"/>
  <c r="CB170" i="6" s="1"/>
  <c r="BW170" i="6" a="1"/>
  <c r="BW170" i="6" s="1"/>
  <c r="BK170" i="6"/>
  <c r="BZ170" i="6" a="1"/>
  <c r="BZ170" i="6" s="1"/>
  <c r="CE170" i="6" a="1"/>
  <c r="CE170" i="6" s="1"/>
  <c r="BY170" i="6" a="1"/>
  <c r="BY170" i="6" s="1"/>
  <c r="CC170" i="6" a="1"/>
  <c r="CC170" i="6" s="1"/>
  <c r="BF170" i="6"/>
  <c r="AS170" i="6"/>
  <c r="AJ170" i="6"/>
  <c r="AO170" i="6"/>
  <c r="AR170" i="6"/>
  <c r="AP170" i="6"/>
  <c r="AM170" i="6"/>
  <c r="AL170" i="6"/>
  <c r="AQ170" i="6"/>
  <c r="AN170" i="6"/>
  <c r="AK170" i="6"/>
  <c r="K178" i="12"/>
  <c r="A180" i="12"/>
  <c r="B180" i="5"/>
  <c r="C181" i="5" s="1"/>
  <c r="N180" i="5"/>
  <c r="D180" i="6" s="1"/>
  <c r="K180" i="5"/>
  <c r="J180" i="5"/>
  <c r="E180" i="5"/>
  <c r="AE180" i="5" a="1"/>
  <c r="AE180" i="5" s="1"/>
  <c r="D180" i="5"/>
  <c r="B180" i="12" s="1"/>
  <c r="AD180" i="5"/>
  <c r="W180" i="5" a="1"/>
  <c r="W180" i="5" s="1"/>
  <c r="H180" i="12" s="1" a="1"/>
  <c r="H180" i="12" s="1"/>
  <c r="H180" i="5"/>
  <c r="G180" i="5"/>
  <c r="F180" i="5"/>
  <c r="H179" i="6" a="1"/>
  <c r="H179" i="6" s="1"/>
  <c r="T179" i="5" s="1"/>
  <c r="G179" i="12" s="1" a="1"/>
  <c r="G179" i="12" s="1"/>
  <c r="L181" i="6"/>
  <c r="B180" i="6"/>
  <c r="CM171" i="6" l="1" a="1"/>
  <c r="CM171" i="6" s="1"/>
  <c r="BS171" i="6"/>
  <c r="AW171" i="6"/>
  <c r="CL171" i="6" a="1"/>
  <c r="CL171" i="6" s="1"/>
  <c r="BO171" i="6"/>
  <c r="AV171" i="6"/>
  <c r="CH171" i="6" a="1"/>
  <c r="CH171" i="6" s="1"/>
  <c r="BN171" i="6"/>
  <c r="AU171" i="6"/>
  <c r="CK171" i="6" a="1"/>
  <c r="CK171" i="6" s="1"/>
  <c r="BR171" i="6"/>
  <c r="AT171" i="6"/>
  <c r="CJ171" i="6" a="1"/>
  <c r="CJ171" i="6" s="1"/>
  <c r="BQ171" i="6"/>
  <c r="BA171" i="6"/>
  <c r="AX171" i="6"/>
  <c r="CI171" i="6" a="1"/>
  <c r="CI171" i="6" s="1"/>
  <c r="BP171" i="6"/>
  <c r="AZ171" i="6"/>
  <c r="CF171" i="6" a="1"/>
  <c r="CF171" i="6" s="1"/>
  <c r="CG171" i="6" a="1"/>
  <c r="CG171" i="6" s="1"/>
  <c r="BM171" i="6"/>
  <c r="AY171" i="6"/>
  <c r="BT171" i="6"/>
  <c r="Y166" i="12"/>
  <c r="W166" i="12" s="1" a="1"/>
  <c r="W166" i="12" s="1"/>
  <c r="U166" i="12" s="1"/>
  <c r="N166" i="12"/>
  <c r="T159" i="12"/>
  <c r="U159" i="12"/>
  <c r="W163" i="12" a="1"/>
  <c r="W163" i="12" s="1"/>
  <c r="V163" i="12" s="1" a="1"/>
  <c r="V163" i="12" s="1"/>
  <c r="N164" i="12"/>
  <c r="Y164" i="12"/>
  <c r="X164" i="12" s="1" a="1"/>
  <c r="X164" i="12" s="1"/>
  <c r="N165" i="12"/>
  <c r="V161" i="12" a="1"/>
  <c r="V161" i="12" s="1"/>
  <c r="T161" i="12"/>
  <c r="U161" i="12"/>
  <c r="Y165" i="12"/>
  <c r="X165" i="12" s="1" a="1"/>
  <c r="X165" i="12" s="1"/>
  <c r="U154" i="12"/>
  <c r="T154" i="12"/>
  <c r="V154" i="12" a="1"/>
  <c r="V154" i="12" s="1"/>
  <c r="U155" i="12"/>
  <c r="T155" i="12"/>
  <c r="V155" i="12" a="1"/>
  <c r="V155" i="12" s="1"/>
  <c r="V156" i="12" a="1"/>
  <c r="V156" i="12" s="1"/>
  <c r="T156" i="12"/>
  <c r="U156" i="12"/>
  <c r="T178" i="5"/>
  <c r="G178" i="12" s="1" a="1"/>
  <c r="G178" i="12" s="1"/>
  <c r="K179" i="12"/>
  <c r="X167" i="12" a="1"/>
  <c r="X167" i="12" s="1"/>
  <c r="X170" i="5" a="1"/>
  <c r="X170" i="5" s="1"/>
  <c r="B181" i="6"/>
  <c r="L182" i="6"/>
  <c r="AB168" i="5" a="1"/>
  <c r="AB168" i="5" s="1"/>
  <c r="M172" i="6"/>
  <c r="A173" i="6"/>
  <c r="C168" i="6"/>
  <c r="BZ171" i="6" a="1"/>
  <c r="BZ171" i="6" s="1"/>
  <c r="CB171" i="6" a="1"/>
  <c r="CB171" i="6" s="1"/>
  <c r="BF171" i="6"/>
  <c r="BW171" i="6" a="1"/>
  <c r="BW171" i="6" s="1"/>
  <c r="BL171" i="6"/>
  <c r="CA171" i="6" a="1"/>
  <c r="CA171" i="6" s="1"/>
  <c r="CD171" i="6" a="1"/>
  <c r="CD171" i="6" s="1"/>
  <c r="CE171" i="6" a="1"/>
  <c r="CE171" i="6" s="1"/>
  <c r="BV171" i="6" a="1"/>
  <c r="BV171" i="6" s="1"/>
  <c r="CC171" i="6" a="1"/>
  <c r="CC171" i="6" s="1"/>
  <c r="BE171" i="6"/>
  <c r="BI171" i="6"/>
  <c r="BY171" i="6" a="1"/>
  <c r="BY171" i="6" s="1"/>
  <c r="BK171" i="6"/>
  <c r="BH171" i="6"/>
  <c r="BD171" i="6"/>
  <c r="BC171" i="6"/>
  <c r="BJ171" i="6"/>
  <c r="BX171" i="6" a="1"/>
  <c r="BX171" i="6" s="1"/>
  <c r="BG171" i="6"/>
  <c r="AL171" i="6"/>
  <c r="AQ171" i="6"/>
  <c r="AO171" i="6"/>
  <c r="AN171" i="6"/>
  <c r="AR171" i="6"/>
  <c r="AS171" i="6"/>
  <c r="AK171" i="6"/>
  <c r="AJ171" i="6"/>
  <c r="AP171" i="6"/>
  <c r="AM171" i="6"/>
  <c r="L180" i="12" a="1"/>
  <c r="L180" i="12" s="1"/>
  <c r="J180" i="12" a="1"/>
  <c r="J180" i="12" s="1"/>
  <c r="H180" i="6" a="1"/>
  <c r="H180" i="6" s="1"/>
  <c r="T180" i="5" s="1"/>
  <c r="G180" i="12" s="1" a="1"/>
  <c r="G180" i="12" s="1"/>
  <c r="A181" i="12"/>
  <c r="AE181" i="5" a="1"/>
  <c r="AE181" i="5" s="1"/>
  <c r="AD181" i="5"/>
  <c r="B181" i="5"/>
  <c r="C182" i="5"/>
  <c r="N181" i="5"/>
  <c r="G181" i="5"/>
  <c r="W181" i="5" a="1"/>
  <c r="W181" i="5" s="1"/>
  <c r="H181" i="12" s="1" a="1"/>
  <c r="H181" i="12" s="1"/>
  <c r="F181" i="5"/>
  <c r="E181" i="5"/>
  <c r="H181" i="5"/>
  <c r="AF181" i="5" a="1"/>
  <c r="AF181" i="5" s="1"/>
  <c r="C168" i="12"/>
  <c r="O168" i="12" a="1"/>
  <c r="O168" i="12" s="1"/>
  <c r="AO168" i="12" a="1"/>
  <c r="AO168" i="12" s="1"/>
  <c r="M168" i="12" a="1"/>
  <c r="M168" i="12" s="1"/>
  <c r="V167" i="12" a="1"/>
  <c r="V167" i="12" s="1"/>
  <c r="U167" i="12"/>
  <c r="T167" i="12"/>
  <c r="CI172" i="6" l="1" a="1"/>
  <c r="CI172" i="6" s="1"/>
  <c r="BQ172" i="6"/>
  <c r="CG172" i="6" a="1"/>
  <c r="CG172" i="6" s="1"/>
  <c r="BP172" i="6"/>
  <c r="CF172" i="6" a="1"/>
  <c r="CF172" i="6" s="1"/>
  <c r="BM172" i="6"/>
  <c r="AW172" i="6"/>
  <c r="CL172" i="6" a="1"/>
  <c r="CL172" i="6" s="1"/>
  <c r="BO172" i="6"/>
  <c r="AZ172" i="6"/>
  <c r="CH172" i="6" a="1"/>
  <c r="CH172" i="6" s="1"/>
  <c r="BN172" i="6"/>
  <c r="CK172" i="6" a="1"/>
  <c r="CK172" i="6" s="1"/>
  <c r="BT172" i="6"/>
  <c r="CJ172" i="6" a="1"/>
  <c r="CJ172" i="6" s="1"/>
  <c r="BS172" i="6"/>
  <c r="CM172" i="6" a="1"/>
  <c r="CM172" i="6" s="1"/>
  <c r="BR172" i="6"/>
  <c r="BA172" i="6"/>
  <c r="AT172" i="6"/>
  <c r="AU172" i="6"/>
  <c r="AV172" i="6"/>
  <c r="AX172" i="6"/>
  <c r="AY172" i="6"/>
  <c r="X166" i="12" a="1"/>
  <c r="X166" i="12" s="1"/>
  <c r="T166" i="12"/>
  <c r="V166" i="12" a="1"/>
  <c r="V166" i="12" s="1"/>
  <c r="W164" i="12" a="1"/>
  <c r="W164" i="12" s="1"/>
  <c r="V164" i="12" s="1" a="1"/>
  <c r="V164" i="12" s="1"/>
  <c r="U163" i="12"/>
  <c r="T163" i="12"/>
  <c r="W165" i="12" a="1"/>
  <c r="W165" i="12" s="1"/>
  <c r="V165" i="12" s="1" a="1"/>
  <c r="V165" i="12" s="1"/>
  <c r="A182" i="12"/>
  <c r="D182" i="5"/>
  <c r="B182" i="12" s="1"/>
  <c r="K182" i="5"/>
  <c r="W182" i="5" a="1"/>
  <c r="W182" i="5" s="1"/>
  <c r="H182" i="12" s="1" a="1"/>
  <c r="H182" i="12" s="1"/>
  <c r="F182" i="5"/>
  <c r="E182" i="5"/>
  <c r="AE182" i="5" a="1"/>
  <c r="AE182" i="5" s="1"/>
  <c r="AD182" i="5"/>
  <c r="B182" i="5"/>
  <c r="C183" i="5"/>
  <c r="H182" i="5"/>
  <c r="G182" i="5"/>
  <c r="J182" i="5"/>
  <c r="N182" i="5"/>
  <c r="I170" i="12"/>
  <c r="AM170" i="5"/>
  <c r="L170" i="5"/>
  <c r="Z170" i="5"/>
  <c r="K180" i="12"/>
  <c r="Y168" i="12"/>
  <c r="X171" i="5" a="1"/>
  <c r="X171" i="5" s="1"/>
  <c r="M173" i="6"/>
  <c r="A174" i="6"/>
  <c r="CE172" i="6" a="1"/>
  <c r="CE172" i="6" s="1"/>
  <c r="BW172" i="6" a="1"/>
  <c r="BW172" i="6" s="1"/>
  <c r="BJ172" i="6"/>
  <c r="BL172" i="6"/>
  <c r="BY172" i="6" a="1"/>
  <c r="BY172" i="6" s="1"/>
  <c r="BI172" i="6"/>
  <c r="AN172" i="6"/>
  <c r="BG172" i="6"/>
  <c r="BF172" i="6"/>
  <c r="AJ172" i="6"/>
  <c r="BZ172" i="6" a="1"/>
  <c r="BZ172" i="6" s="1"/>
  <c r="CD172" i="6" a="1"/>
  <c r="CD172" i="6" s="1"/>
  <c r="BV172" i="6" a="1"/>
  <c r="BV172" i="6" s="1"/>
  <c r="BC172" i="6"/>
  <c r="BX172" i="6" a="1"/>
  <c r="BX172" i="6" s="1"/>
  <c r="BE172" i="6"/>
  <c r="CC172" i="6" a="1"/>
  <c r="CC172" i="6" s="1"/>
  <c r="CA172" i="6" a="1"/>
  <c r="CA172" i="6" s="1"/>
  <c r="BD172" i="6"/>
  <c r="BH172" i="6"/>
  <c r="BK172" i="6"/>
  <c r="CB172" i="6" a="1"/>
  <c r="CB172" i="6" s="1"/>
  <c r="AM172" i="6"/>
  <c r="AK172" i="6"/>
  <c r="AR172" i="6"/>
  <c r="AS172" i="6"/>
  <c r="AQ172" i="6"/>
  <c r="AO172" i="6"/>
  <c r="AP172" i="6"/>
  <c r="AL172" i="6"/>
  <c r="B182" i="6"/>
  <c r="L183" i="6"/>
  <c r="N168" i="12"/>
  <c r="J181" i="6" a="1"/>
  <c r="J181" i="6" s="1"/>
  <c r="D181" i="6"/>
  <c r="F181" i="12" a="1"/>
  <c r="F181" i="12" s="1"/>
  <c r="AG181" i="5" a="1"/>
  <c r="AG181" i="5" s="1"/>
  <c r="CJ173" i="6" l="1" a="1"/>
  <c r="CJ173" i="6" s="1"/>
  <c r="BS173" i="6"/>
  <c r="CG173" i="6" a="1"/>
  <c r="CG173" i="6" s="1"/>
  <c r="BR173" i="6"/>
  <c r="CF173" i="6" a="1"/>
  <c r="CF173" i="6" s="1"/>
  <c r="BQ173" i="6"/>
  <c r="CK173" i="6" a="1"/>
  <c r="CK173" i="6" s="1"/>
  <c r="CM173" i="6" a="1"/>
  <c r="CM173" i="6" s="1"/>
  <c r="BP173" i="6"/>
  <c r="BT173" i="6"/>
  <c r="CI173" i="6" a="1"/>
  <c r="CI173" i="6" s="1"/>
  <c r="BM173" i="6"/>
  <c r="AW173" i="6"/>
  <c r="CL173" i="6" a="1"/>
  <c r="CL173" i="6" s="1"/>
  <c r="BO173" i="6"/>
  <c r="AT173" i="6"/>
  <c r="CH173" i="6" a="1"/>
  <c r="CH173" i="6" s="1"/>
  <c r="BN173" i="6"/>
  <c r="AU173" i="6"/>
  <c r="AV173" i="6"/>
  <c r="AX173" i="6"/>
  <c r="AY173" i="6"/>
  <c r="AZ173" i="6"/>
  <c r="BA173" i="6"/>
  <c r="U164" i="12"/>
  <c r="T164" i="12"/>
  <c r="T165" i="12"/>
  <c r="U165" i="12"/>
  <c r="H181" i="6" a="1"/>
  <c r="H181" i="6" s="1"/>
  <c r="T181" i="5" s="1"/>
  <c r="G181" i="12" s="1" a="1"/>
  <c r="G181" i="12" s="1"/>
  <c r="G181" i="6"/>
  <c r="E181" i="12"/>
  <c r="F181" i="6"/>
  <c r="W168" i="12" a="1"/>
  <c r="W168" i="12" s="1"/>
  <c r="X168" i="12" a="1"/>
  <c r="X168" i="12" s="1"/>
  <c r="A183" i="12"/>
  <c r="K183" i="5"/>
  <c r="F183" i="5"/>
  <c r="H183" i="5"/>
  <c r="G183" i="5"/>
  <c r="W183" i="5" a="1"/>
  <c r="W183" i="5" s="1"/>
  <c r="H183" i="12" s="1" a="1"/>
  <c r="H183" i="12" s="1"/>
  <c r="E183" i="5"/>
  <c r="D183" i="5"/>
  <c r="B183" i="12" s="1"/>
  <c r="AE183" i="5" a="1"/>
  <c r="AE183" i="5" s="1"/>
  <c r="C184" i="5"/>
  <c r="AD183" i="5"/>
  <c r="B183" i="5"/>
  <c r="J183" i="5"/>
  <c r="N183" i="5"/>
  <c r="X172" i="5" a="1"/>
  <c r="X172" i="5" s="1"/>
  <c r="BJ173" i="6"/>
  <c r="BZ173" i="6" a="1"/>
  <c r="BZ173" i="6" s="1"/>
  <c r="BC173" i="6"/>
  <c r="AO173" i="6"/>
  <c r="BF173" i="6"/>
  <c r="AS173" i="6"/>
  <c r="BL173" i="6"/>
  <c r="BE173" i="6"/>
  <c r="BX173" i="6" a="1"/>
  <c r="BX173" i="6" s="1"/>
  <c r="AL173" i="6"/>
  <c r="BY173" i="6" a="1"/>
  <c r="BY173" i="6" s="1"/>
  <c r="BG173" i="6"/>
  <c r="CC173" i="6" a="1"/>
  <c r="CC173" i="6" s="1"/>
  <c r="BD173" i="6"/>
  <c r="CB173" i="6" a="1"/>
  <c r="CB173" i="6" s="1"/>
  <c r="BI173" i="6"/>
  <c r="CE173" i="6" a="1"/>
  <c r="CE173" i="6" s="1"/>
  <c r="AQ173" i="6"/>
  <c r="BK173" i="6"/>
  <c r="BV173" i="6" a="1"/>
  <c r="BV173" i="6" s="1"/>
  <c r="AK173" i="6"/>
  <c r="BH173" i="6"/>
  <c r="BW173" i="6" a="1"/>
  <c r="BW173" i="6" s="1"/>
  <c r="CD173" i="6" a="1"/>
  <c r="CD173" i="6" s="1"/>
  <c r="CA173" i="6" a="1"/>
  <c r="CA173" i="6" s="1"/>
  <c r="AJ173" i="6"/>
  <c r="AN173" i="6"/>
  <c r="AP173" i="6"/>
  <c r="AM173" i="6"/>
  <c r="AR173" i="6"/>
  <c r="A175" i="6"/>
  <c r="M174" i="6"/>
  <c r="D182" i="6"/>
  <c r="I171" i="12"/>
  <c r="L171" i="5"/>
  <c r="AM171" i="5"/>
  <c r="Z171" i="5"/>
  <c r="AB170" i="5" a="1"/>
  <c r="AB170" i="5" s="1"/>
  <c r="C170" i="6"/>
  <c r="B183" i="6"/>
  <c r="L184" i="6"/>
  <c r="C170" i="12"/>
  <c r="O170" i="12" a="1"/>
  <c r="O170" i="12" s="1"/>
  <c r="AO170" i="12" a="1"/>
  <c r="AO170" i="12" s="1"/>
  <c r="M170" i="12" a="1"/>
  <c r="M170" i="12" s="1"/>
  <c r="L182" i="12" a="1"/>
  <c r="L182" i="12" s="1"/>
  <c r="J182" i="12" a="1"/>
  <c r="J182" i="12" s="1"/>
  <c r="CL174" i="6" l="1" a="1"/>
  <c r="CL174" i="6" s="1"/>
  <c r="BQ174" i="6"/>
  <c r="BR174" i="6"/>
  <c r="CH174" i="6" a="1"/>
  <c r="CH174" i="6" s="1"/>
  <c r="BO174" i="6"/>
  <c r="CK174" i="6" a="1"/>
  <c r="CK174" i="6" s="1"/>
  <c r="BN174" i="6"/>
  <c r="CF174" i="6" a="1"/>
  <c r="CF174" i="6" s="1"/>
  <c r="CJ174" i="6" a="1"/>
  <c r="CJ174" i="6" s="1"/>
  <c r="BP174" i="6"/>
  <c r="AX174" i="6"/>
  <c r="CM174" i="6" a="1"/>
  <c r="CM174" i="6" s="1"/>
  <c r="BM174" i="6"/>
  <c r="CI174" i="6" a="1"/>
  <c r="CI174" i="6" s="1"/>
  <c r="BT174" i="6"/>
  <c r="CG174" i="6" a="1"/>
  <c r="CG174" i="6" s="1"/>
  <c r="BS174" i="6"/>
  <c r="AW174" i="6"/>
  <c r="AY174" i="6"/>
  <c r="AZ174" i="6"/>
  <c r="BA174" i="6"/>
  <c r="AT174" i="6"/>
  <c r="AU174" i="6"/>
  <c r="AV174" i="6"/>
  <c r="N170" i="12"/>
  <c r="K182" i="12"/>
  <c r="Y170" i="12"/>
  <c r="W170" i="12" s="1" a="1"/>
  <c r="W170" i="12" s="1"/>
  <c r="C171" i="6"/>
  <c r="L185" i="6"/>
  <c r="B184" i="6"/>
  <c r="C171" i="12"/>
  <c r="AO171" i="12" a="1"/>
  <c r="AO171" i="12" s="1"/>
  <c r="M171" i="12" a="1"/>
  <c r="M171" i="12" s="1"/>
  <c r="O171" i="12" a="1"/>
  <c r="O171" i="12" s="1"/>
  <c r="H182" i="6" a="1"/>
  <c r="H182" i="6" s="1"/>
  <c r="CB174" i="6" a="1"/>
  <c r="CB174" i="6" s="1"/>
  <c r="BG174" i="6"/>
  <c r="BK174" i="6"/>
  <c r="CA174" i="6" a="1"/>
  <c r="CA174" i="6" s="1"/>
  <c r="AK174" i="6"/>
  <c r="BV174" i="6" a="1"/>
  <c r="BV174" i="6" s="1"/>
  <c r="AR174" i="6"/>
  <c r="BD174" i="6"/>
  <c r="CC174" i="6" a="1"/>
  <c r="CC174" i="6" s="1"/>
  <c r="BZ174" i="6" a="1"/>
  <c r="BZ174" i="6" s="1"/>
  <c r="BC174" i="6"/>
  <c r="BJ174" i="6"/>
  <c r="BH174" i="6"/>
  <c r="BI174" i="6"/>
  <c r="BY174" i="6" a="1"/>
  <c r="BY174" i="6" s="1"/>
  <c r="BX174" i="6" a="1"/>
  <c r="BX174" i="6" s="1"/>
  <c r="CD174" i="6" a="1"/>
  <c r="CD174" i="6" s="1"/>
  <c r="BF174" i="6"/>
  <c r="AQ174" i="6"/>
  <c r="BL174" i="6"/>
  <c r="AJ174" i="6"/>
  <c r="AN174" i="6"/>
  <c r="CE174" i="6" a="1"/>
  <c r="CE174" i="6" s="1"/>
  <c r="AP174" i="6"/>
  <c r="AM174" i="6"/>
  <c r="BE174" i="6"/>
  <c r="BW174" i="6" a="1"/>
  <c r="BW174" i="6" s="1"/>
  <c r="AO174" i="6"/>
  <c r="AL174" i="6"/>
  <c r="AS174" i="6"/>
  <c r="M175" i="6"/>
  <c r="A176" i="6"/>
  <c r="I172" i="12"/>
  <c r="L172" i="5"/>
  <c r="AM172" i="5"/>
  <c r="Z172" i="5"/>
  <c r="A184" i="12"/>
  <c r="F184" i="5"/>
  <c r="N184" i="5"/>
  <c r="D184" i="6" s="1"/>
  <c r="H184" i="5"/>
  <c r="G184" i="5"/>
  <c r="W184" i="5" a="1"/>
  <c r="W184" i="5" s="1"/>
  <c r="H184" i="12" s="1" a="1"/>
  <c r="H184" i="12" s="1"/>
  <c r="E184" i="5"/>
  <c r="D184" i="5"/>
  <c r="B184" i="12" s="1"/>
  <c r="AE184" i="5" a="1"/>
  <c r="AE184" i="5" s="1"/>
  <c r="K184" i="5"/>
  <c r="J184" i="5"/>
  <c r="AD184" i="5"/>
  <c r="B184" i="5"/>
  <c r="C185" i="5"/>
  <c r="V168" i="12" a="1"/>
  <c r="V168" i="12" s="1"/>
  <c r="U168" i="12"/>
  <c r="T168" i="12"/>
  <c r="J183" i="12" a="1"/>
  <c r="J183" i="12" s="1"/>
  <c r="L183" i="12" a="1"/>
  <c r="L183" i="12" s="1"/>
  <c r="AB171" i="5" a="1"/>
  <c r="AB171" i="5" s="1"/>
  <c r="D183" i="6"/>
  <c r="X173" i="5" a="1"/>
  <c r="X173" i="5" s="1"/>
  <c r="CM175" i="6" l="1" a="1"/>
  <c r="CM175" i="6" s="1"/>
  <c r="BS175" i="6"/>
  <c r="CI175" i="6" a="1"/>
  <c r="CI175" i="6" s="1"/>
  <c r="BR175" i="6"/>
  <c r="BT175" i="6"/>
  <c r="CG175" i="6" a="1"/>
  <c r="CG175" i="6" s="1"/>
  <c r="BP175" i="6"/>
  <c r="CJ175" i="6" a="1"/>
  <c r="CJ175" i="6" s="1"/>
  <c r="CF175" i="6" a="1"/>
  <c r="CF175" i="6" s="1"/>
  <c r="BM175" i="6"/>
  <c r="CL175" i="6" a="1"/>
  <c r="CL175" i="6" s="1"/>
  <c r="BQ175" i="6"/>
  <c r="BA175" i="6"/>
  <c r="CH175" i="6" a="1"/>
  <c r="CH175" i="6" s="1"/>
  <c r="BO175" i="6"/>
  <c r="CK175" i="6" a="1"/>
  <c r="CK175" i="6" s="1"/>
  <c r="BN175" i="6"/>
  <c r="AZ175" i="6"/>
  <c r="AT175" i="6"/>
  <c r="AU175" i="6"/>
  <c r="AV175" i="6"/>
  <c r="AW175" i="6"/>
  <c r="AX175" i="6"/>
  <c r="AY175" i="6"/>
  <c r="T182" i="5"/>
  <c r="G182" i="12" s="1" a="1"/>
  <c r="G182" i="12" s="1"/>
  <c r="X170" i="12" a="1"/>
  <c r="X170" i="12" s="1"/>
  <c r="Y171" i="12"/>
  <c r="W171" i="12" s="1" a="1"/>
  <c r="W171" i="12" s="1"/>
  <c r="N171" i="12"/>
  <c r="H184" i="6" a="1"/>
  <c r="H184" i="6" s="1"/>
  <c r="T184" i="5" s="1"/>
  <c r="G184" i="12" s="1" a="1"/>
  <c r="G184" i="12" s="1"/>
  <c r="BD175" i="6"/>
  <c r="BZ175" i="6" a="1"/>
  <c r="BZ175" i="6" s="1"/>
  <c r="BV175" i="6" a="1"/>
  <c r="BV175" i="6" s="1"/>
  <c r="BL175" i="6"/>
  <c r="CD175" i="6" a="1"/>
  <c r="CD175" i="6" s="1"/>
  <c r="CC175" i="6" a="1"/>
  <c r="CC175" i="6" s="1"/>
  <c r="BF175" i="6"/>
  <c r="BJ175" i="6"/>
  <c r="BW175" i="6" a="1"/>
  <c r="BW175" i="6" s="1"/>
  <c r="BG175" i="6"/>
  <c r="BC175" i="6"/>
  <c r="BY175" i="6" a="1"/>
  <c r="BY175" i="6" s="1"/>
  <c r="BK175" i="6"/>
  <c r="CE175" i="6" a="1"/>
  <c r="CE175" i="6" s="1"/>
  <c r="CB175" i="6" a="1"/>
  <c r="CB175" i="6" s="1"/>
  <c r="BH175" i="6"/>
  <c r="BI175" i="6"/>
  <c r="BE175" i="6"/>
  <c r="BX175" i="6" a="1"/>
  <c r="BX175" i="6" s="1"/>
  <c r="CA175" i="6" a="1"/>
  <c r="CA175" i="6" s="1"/>
  <c r="AP175" i="6"/>
  <c r="AO175" i="6"/>
  <c r="AN175" i="6"/>
  <c r="AL175" i="6"/>
  <c r="AS175" i="6"/>
  <c r="AR175" i="6"/>
  <c r="AK175" i="6"/>
  <c r="AJ175" i="6"/>
  <c r="AQ175" i="6"/>
  <c r="AM175" i="6"/>
  <c r="I173" i="12"/>
  <c r="L173" i="5"/>
  <c r="AM173" i="5"/>
  <c r="Z173" i="5"/>
  <c r="H183" i="6" a="1"/>
  <c r="H183" i="6" s="1"/>
  <c r="L184" i="12" a="1"/>
  <c r="L184" i="12" s="1"/>
  <c r="J184" i="12" a="1"/>
  <c r="J184" i="12" s="1"/>
  <c r="U170" i="12"/>
  <c r="V170" i="12" a="1"/>
  <c r="V170" i="12" s="1"/>
  <c r="T170" i="12"/>
  <c r="AB172" i="5" a="1"/>
  <c r="AB172" i="5" s="1"/>
  <c r="L186" i="6"/>
  <c r="B185" i="6"/>
  <c r="C172" i="6"/>
  <c r="K183" i="12"/>
  <c r="A185" i="12"/>
  <c r="N185" i="5"/>
  <c r="K185" i="5"/>
  <c r="C186" i="5"/>
  <c r="AE185" i="5" a="1"/>
  <c r="AE185" i="5" s="1"/>
  <c r="W185" i="5" a="1"/>
  <c r="W185" i="5" s="1"/>
  <c r="H185" i="12" s="1" a="1"/>
  <c r="H185" i="12" s="1"/>
  <c r="H185" i="5"/>
  <c r="J185" i="5"/>
  <c r="G185" i="5"/>
  <c r="F185" i="5"/>
  <c r="E185" i="5"/>
  <c r="AD185" i="5"/>
  <c r="D185" i="5"/>
  <c r="B185" i="12" s="1"/>
  <c r="B185" i="5"/>
  <c r="C172" i="12"/>
  <c r="M172" i="12" a="1"/>
  <c r="M172" i="12" s="1"/>
  <c r="AO172" i="12" a="1"/>
  <c r="AO172" i="12" s="1"/>
  <c r="O172" i="12" a="1"/>
  <c r="O172" i="12" s="1"/>
  <c r="M176" i="6"/>
  <c r="A177" i="6"/>
  <c r="CM176" i="6" l="1" a="1"/>
  <c r="CM176" i="6" s="1"/>
  <c r="CL176" i="6" a="1"/>
  <c r="CL176" i="6" s="1"/>
  <c r="BQ176" i="6"/>
  <c r="CF176" i="6" a="1"/>
  <c r="CF176" i="6" s="1"/>
  <c r="CH176" i="6" a="1"/>
  <c r="CH176" i="6" s="1"/>
  <c r="BO176" i="6"/>
  <c r="CK176" i="6" a="1"/>
  <c r="CK176" i="6" s="1"/>
  <c r="BN176" i="6"/>
  <c r="CJ176" i="6" a="1"/>
  <c r="CJ176" i="6" s="1"/>
  <c r="BT176" i="6"/>
  <c r="BM176" i="6"/>
  <c r="CI176" i="6" a="1"/>
  <c r="CI176" i="6" s="1"/>
  <c r="BS176" i="6"/>
  <c r="BP176" i="6"/>
  <c r="CG176" i="6" a="1"/>
  <c r="CG176" i="6" s="1"/>
  <c r="BR176" i="6"/>
  <c r="AV176" i="6"/>
  <c r="BA176" i="6"/>
  <c r="AX176" i="6"/>
  <c r="AT176" i="6"/>
  <c r="AY176" i="6"/>
  <c r="AU176" i="6"/>
  <c r="AZ176" i="6"/>
  <c r="AW176" i="6"/>
  <c r="T183" i="5"/>
  <c r="G183" i="12" s="1" a="1"/>
  <c r="G183" i="12" s="1"/>
  <c r="X171" i="12" a="1"/>
  <c r="X171" i="12" s="1"/>
  <c r="K184" i="12"/>
  <c r="N172" i="12"/>
  <c r="L187" i="6"/>
  <c r="B186" i="6"/>
  <c r="C173" i="6"/>
  <c r="C173" i="12"/>
  <c r="AO173" i="12" a="1"/>
  <c r="AO173" i="12" s="1"/>
  <c r="M173" i="12" a="1"/>
  <c r="M173" i="12" s="1"/>
  <c r="O173" i="12" a="1"/>
  <c r="O173" i="12" s="1"/>
  <c r="X175" i="5" a="1"/>
  <c r="X175" i="5" s="1"/>
  <c r="J185" i="12" a="1"/>
  <c r="J185" i="12" s="1"/>
  <c r="L185" i="12" a="1"/>
  <c r="L185" i="12" s="1"/>
  <c r="AB173" i="5" a="1"/>
  <c r="AB173" i="5" s="1"/>
  <c r="M177" i="6"/>
  <c r="A178" i="6"/>
  <c r="A186" i="12"/>
  <c r="C187" i="5"/>
  <c r="AE186" i="5" a="1"/>
  <c r="AE186" i="5" s="1"/>
  <c r="W186" i="5" a="1"/>
  <c r="W186" i="5" s="1"/>
  <c r="H186" i="12" s="1" a="1"/>
  <c r="H186" i="12" s="1"/>
  <c r="H186" i="5"/>
  <c r="F186" i="5"/>
  <c r="B186" i="5"/>
  <c r="AD186" i="5"/>
  <c r="N186" i="5"/>
  <c r="D186" i="6" s="1"/>
  <c r="G186" i="5"/>
  <c r="E186" i="5"/>
  <c r="D186" i="5"/>
  <c r="B186" i="12" s="1"/>
  <c r="J186" i="5"/>
  <c r="K186" i="5"/>
  <c r="BD176" i="6"/>
  <c r="BG176" i="6"/>
  <c r="BY176" i="6" a="1"/>
  <c r="BY176" i="6" s="1"/>
  <c r="BC176" i="6"/>
  <c r="AR176" i="6"/>
  <c r="AM176" i="6"/>
  <c r="CC176" i="6" a="1"/>
  <c r="CC176" i="6" s="1"/>
  <c r="CA176" i="6" a="1"/>
  <c r="CA176" i="6" s="1"/>
  <c r="BF176" i="6"/>
  <c r="CD176" i="6" a="1"/>
  <c r="CD176" i="6" s="1"/>
  <c r="AJ176" i="6"/>
  <c r="BL176" i="6"/>
  <c r="CE176" i="6" a="1"/>
  <c r="CE176" i="6" s="1"/>
  <c r="BW176" i="6" a="1"/>
  <c r="BW176" i="6" s="1"/>
  <c r="CB176" i="6" a="1"/>
  <c r="CB176" i="6" s="1"/>
  <c r="BZ176" i="6" a="1"/>
  <c r="BZ176" i="6" s="1"/>
  <c r="BV176" i="6" a="1"/>
  <c r="BV176" i="6" s="1"/>
  <c r="BJ176" i="6"/>
  <c r="BE176" i="6"/>
  <c r="BI176" i="6"/>
  <c r="BH176" i="6"/>
  <c r="BK176" i="6"/>
  <c r="BX176" i="6" a="1"/>
  <c r="BX176" i="6" s="1"/>
  <c r="AK176" i="6"/>
  <c r="AQ176" i="6"/>
  <c r="AL176" i="6"/>
  <c r="AP176" i="6"/>
  <c r="AN176" i="6"/>
  <c r="AO176" i="6"/>
  <c r="AS176" i="6"/>
  <c r="Y172" i="12"/>
  <c r="D185" i="6"/>
  <c r="V171" i="12" a="1"/>
  <c r="V171" i="12" s="1"/>
  <c r="U171" i="12"/>
  <c r="T171" i="12"/>
  <c r="CF177" i="6" l="1" a="1"/>
  <c r="CF177" i="6" s="1"/>
  <c r="BS177" i="6"/>
  <c r="CL177" i="6" a="1"/>
  <c r="CL177" i="6" s="1"/>
  <c r="BQ177" i="6"/>
  <c r="CG177" i="6" a="1"/>
  <c r="CG177" i="6" s="1"/>
  <c r="CH177" i="6" a="1"/>
  <c r="CH177" i="6" s="1"/>
  <c r="BO177" i="6"/>
  <c r="CK177" i="6" a="1"/>
  <c r="CK177" i="6" s="1"/>
  <c r="BN177" i="6"/>
  <c r="CJ177" i="6" a="1"/>
  <c r="CJ177" i="6" s="1"/>
  <c r="BR177" i="6"/>
  <c r="AX177" i="6"/>
  <c r="CM177" i="6" a="1"/>
  <c r="CM177" i="6" s="1"/>
  <c r="BP177" i="6"/>
  <c r="BT177" i="6"/>
  <c r="CI177" i="6" a="1"/>
  <c r="CI177" i="6" s="1"/>
  <c r="BM177" i="6"/>
  <c r="AY177" i="6"/>
  <c r="AU177" i="6"/>
  <c r="AZ177" i="6"/>
  <c r="AV177" i="6"/>
  <c r="BA177" i="6"/>
  <c r="AW177" i="6"/>
  <c r="AT177" i="6"/>
  <c r="K185" i="12"/>
  <c r="N173" i="12"/>
  <c r="X176" i="5" a="1"/>
  <c r="X176" i="5" s="1"/>
  <c r="Z176" i="5" s="1"/>
  <c r="H186" i="6" a="1"/>
  <c r="H186" i="6" s="1"/>
  <c r="T186" i="5" s="1"/>
  <c r="G186" i="12" s="1" a="1"/>
  <c r="G186" i="12" s="1"/>
  <c r="BE177" i="6"/>
  <c r="CC177" i="6" a="1"/>
  <c r="CC177" i="6" s="1"/>
  <c r="BD177" i="6"/>
  <c r="AL177" i="6"/>
  <c r="BI177" i="6"/>
  <c r="AR177" i="6"/>
  <c r="CA177" i="6" a="1"/>
  <c r="CA177" i="6" s="1"/>
  <c r="BV177" i="6" a="1"/>
  <c r="BV177" i="6" s="1"/>
  <c r="CB177" i="6" a="1"/>
  <c r="CB177" i="6" s="1"/>
  <c r="AK177" i="6"/>
  <c r="BH177" i="6"/>
  <c r="BZ177" i="6" a="1"/>
  <c r="BZ177" i="6" s="1"/>
  <c r="CE177" i="6" a="1"/>
  <c r="CE177" i="6" s="1"/>
  <c r="BX177" i="6" a="1"/>
  <c r="BX177" i="6" s="1"/>
  <c r="BY177" i="6" a="1"/>
  <c r="BY177" i="6" s="1"/>
  <c r="AM177" i="6"/>
  <c r="BF177" i="6"/>
  <c r="BG177" i="6"/>
  <c r="BL177" i="6"/>
  <c r="CD177" i="6" a="1"/>
  <c r="CD177" i="6" s="1"/>
  <c r="BK177" i="6"/>
  <c r="AP177" i="6"/>
  <c r="BC177" i="6"/>
  <c r="AJ177" i="6"/>
  <c r="AO177" i="6"/>
  <c r="BW177" i="6" a="1"/>
  <c r="BW177" i="6" s="1"/>
  <c r="BJ177" i="6"/>
  <c r="AN177" i="6"/>
  <c r="AS177" i="6"/>
  <c r="AQ177" i="6"/>
  <c r="H185" i="6" a="1"/>
  <c r="H185" i="6" s="1"/>
  <c r="W172" i="12" a="1"/>
  <c r="W172" i="12" s="1"/>
  <c r="X172" i="12" a="1"/>
  <c r="X172" i="12" s="1"/>
  <c r="Y173" i="12"/>
  <c r="A187" i="12"/>
  <c r="N187" i="5"/>
  <c r="J187" i="5"/>
  <c r="H187" i="5"/>
  <c r="G187" i="5"/>
  <c r="F187" i="5"/>
  <c r="W187" i="5" a="1"/>
  <c r="W187" i="5" s="1"/>
  <c r="H187" i="12" s="1" a="1"/>
  <c r="H187" i="12" s="1"/>
  <c r="E187" i="5"/>
  <c r="D187" i="5"/>
  <c r="B187" i="12" s="1"/>
  <c r="B187" i="5"/>
  <c r="C188" i="5"/>
  <c r="K187" i="5"/>
  <c r="AD187" i="5"/>
  <c r="AE187" i="5" a="1"/>
  <c r="AE187" i="5" s="1"/>
  <c r="I175" i="12"/>
  <c r="AM175" i="5"/>
  <c r="L175" i="5"/>
  <c r="Z175" i="5"/>
  <c r="B187" i="6"/>
  <c r="L188" i="6"/>
  <c r="L186" i="12" a="1"/>
  <c r="L186" i="12" s="1"/>
  <c r="J186" i="12" a="1"/>
  <c r="J186" i="12" s="1"/>
  <c r="A179" i="6"/>
  <c r="M178" i="6"/>
  <c r="CL178" i="6" l="1" a="1"/>
  <c r="CL178" i="6" s="1"/>
  <c r="BQ178" i="6"/>
  <c r="AX178" i="6"/>
  <c r="CH178" i="6" a="1"/>
  <c r="CH178" i="6" s="1"/>
  <c r="BO178" i="6"/>
  <c r="CK178" i="6" a="1"/>
  <c r="CK178" i="6" s="1"/>
  <c r="BN178" i="6"/>
  <c r="CG178" i="6" a="1"/>
  <c r="CG178" i="6" s="1"/>
  <c r="CJ178" i="6" a="1"/>
  <c r="CJ178" i="6" s="1"/>
  <c r="BT178" i="6"/>
  <c r="CF178" i="6" a="1"/>
  <c r="CF178" i="6" s="1"/>
  <c r="BS178" i="6"/>
  <c r="CM178" i="6" a="1"/>
  <c r="CM178" i="6" s="1"/>
  <c r="BR178" i="6"/>
  <c r="CI178" i="6" a="1"/>
  <c r="CI178" i="6" s="1"/>
  <c r="BP178" i="6"/>
  <c r="BM178" i="6"/>
  <c r="AV178" i="6"/>
  <c r="AW178" i="6"/>
  <c r="AT178" i="6"/>
  <c r="AY178" i="6"/>
  <c r="AU178" i="6"/>
  <c r="AZ178" i="6"/>
  <c r="BA178" i="6"/>
  <c r="T185" i="5"/>
  <c r="G185" i="12" s="1" a="1"/>
  <c r="G185" i="12" s="1"/>
  <c r="AM176" i="5"/>
  <c r="I176" i="12"/>
  <c r="M176" i="12" s="1" a="1"/>
  <c r="M176" i="12" s="1"/>
  <c r="L176" i="5"/>
  <c r="C176" i="6" s="1"/>
  <c r="X177" i="5" a="1"/>
  <c r="X177" i="5" s="1"/>
  <c r="I177" i="12" s="1"/>
  <c r="J187" i="12" a="1"/>
  <c r="J187" i="12" s="1"/>
  <c r="L187" i="12" a="1"/>
  <c r="L187" i="12" s="1"/>
  <c r="L189" i="6"/>
  <c r="B188" i="6"/>
  <c r="A188" i="12"/>
  <c r="J188" i="5"/>
  <c r="C189" i="5"/>
  <c r="AE188" i="5" a="1"/>
  <c r="AE188" i="5" s="1"/>
  <c r="W188" i="5" a="1"/>
  <c r="W188" i="5" s="1"/>
  <c r="H188" i="12" s="1" a="1"/>
  <c r="H188" i="12" s="1"/>
  <c r="H188" i="5"/>
  <c r="E188" i="5"/>
  <c r="AD188" i="5"/>
  <c r="N188" i="5"/>
  <c r="K188" i="5"/>
  <c r="B188" i="5"/>
  <c r="G188" i="5"/>
  <c r="D188" i="5"/>
  <c r="B188" i="12" s="1"/>
  <c r="F188" i="5"/>
  <c r="AB176" i="5" a="1"/>
  <c r="AB176" i="5" s="1"/>
  <c r="K186" i="12"/>
  <c r="C175" i="6"/>
  <c r="X173" i="12" a="1"/>
  <c r="X173" i="12" s="1"/>
  <c r="W173" i="12" a="1"/>
  <c r="W173" i="12" s="1"/>
  <c r="BK178" i="6"/>
  <c r="CE178" i="6" a="1"/>
  <c r="CE178" i="6" s="1"/>
  <c r="BD178" i="6"/>
  <c r="CD178" i="6" a="1"/>
  <c r="CD178" i="6" s="1"/>
  <c r="BI178" i="6"/>
  <c r="CB178" i="6" a="1"/>
  <c r="CB178" i="6" s="1"/>
  <c r="BX178" i="6" a="1"/>
  <c r="BX178" i="6" s="1"/>
  <c r="BV178" i="6" a="1"/>
  <c r="BV178" i="6" s="1"/>
  <c r="BC178" i="6"/>
  <c r="CA178" i="6" a="1"/>
  <c r="CA178" i="6" s="1"/>
  <c r="AQ178" i="6"/>
  <c r="BY178" i="6" a="1"/>
  <c r="BY178" i="6" s="1"/>
  <c r="BF178" i="6"/>
  <c r="BW178" i="6" a="1"/>
  <c r="BW178" i="6" s="1"/>
  <c r="BE178" i="6"/>
  <c r="AS178" i="6"/>
  <c r="AM178" i="6"/>
  <c r="BZ178" i="6" a="1"/>
  <c r="BZ178" i="6" s="1"/>
  <c r="CC178" i="6" a="1"/>
  <c r="CC178" i="6" s="1"/>
  <c r="AL178" i="6"/>
  <c r="BL178" i="6"/>
  <c r="BH178" i="6"/>
  <c r="BJ178" i="6"/>
  <c r="BG178" i="6"/>
  <c r="AJ178" i="6"/>
  <c r="AO178" i="6"/>
  <c r="AP178" i="6"/>
  <c r="AK178" i="6"/>
  <c r="AR178" i="6"/>
  <c r="AN178" i="6"/>
  <c r="AB175" i="5" a="1"/>
  <c r="AB175" i="5" s="1"/>
  <c r="D187" i="6"/>
  <c r="C175" i="12"/>
  <c r="O175" i="12" a="1"/>
  <c r="O175" i="12" s="1"/>
  <c r="AO175" i="12" a="1"/>
  <c r="AO175" i="12" s="1"/>
  <c r="M175" i="12" a="1"/>
  <c r="M175" i="12" s="1"/>
  <c r="M179" i="6"/>
  <c r="A180" i="6"/>
  <c r="V172" i="12" a="1"/>
  <c r="V172" i="12" s="1"/>
  <c r="U172" i="12"/>
  <c r="T172" i="12"/>
  <c r="CL179" i="6" l="1" a="1"/>
  <c r="CL179" i="6" s="1"/>
  <c r="BQ179" i="6"/>
  <c r="CH179" i="6" a="1"/>
  <c r="CH179" i="6" s="1"/>
  <c r="BO179" i="6"/>
  <c r="CK179" i="6" a="1"/>
  <c r="CK179" i="6" s="1"/>
  <c r="BN179" i="6"/>
  <c r="BP179" i="6"/>
  <c r="CJ179" i="6" a="1"/>
  <c r="CJ179" i="6" s="1"/>
  <c r="BM179" i="6"/>
  <c r="CI179" i="6" a="1"/>
  <c r="CI179" i="6" s="1"/>
  <c r="BT179" i="6"/>
  <c r="CG179" i="6" a="1"/>
  <c r="CG179" i="6" s="1"/>
  <c r="BS179" i="6"/>
  <c r="CM179" i="6" a="1"/>
  <c r="CM179" i="6" s="1"/>
  <c r="CF179" i="6" a="1"/>
  <c r="CF179" i="6" s="1"/>
  <c r="BR179" i="6"/>
  <c r="AW179" i="6"/>
  <c r="BA179" i="6"/>
  <c r="AX179" i="6"/>
  <c r="AT179" i="6"/>
  <c r="AY179" i="6"/>
  <c r="AU179" i="6"/>
  <c r="AV179" i="6"/>
  <c r="AZ179" i="6"/>
  <c r="AO176" i="12" a="1"/>
  <c r="AO176" i="12" s="1"/>
  <c r="O176" i="12" a="1"/>
  <c r="O176" i="12" s="1"/>
  <c r="N176" i="12" s="1"/>
  <c r="C176" i="12"/>
  <c r="L177" i="5"/>
  <c r="C177" i="6" s="1"/>
  <c r="Z177" i="5"/>
  <c r="AM177" i="5"/>
  <c r="Y175" i="12"/>
  <c r="X175" i="12" s="1" a="1"/>
  <c r="X175" i="12" s="1"/>
  <c r="K187" i="12"/>
  <c r="N175" i="12"/>
  <c r="C177" i="12"/>
  <c r="M177" i="12" a="1"/>
  <c r="M177" i="12" s="1"/>
  <c r="AO177" i="12" a="1"/>
  <c r="AO177" i="12" s="1"/>
  <c r="O177" i="12" a="1"/>
  <c r="O177" i="12" s="1"/>
  <c r="M180" i="6"/>
  <c r="A181" i="6"/>
  <c r="CB179" i="6" a="1"/>
  <c r="CB179" i="6" s="1"/>
  <c r="BD179" i="6"/>
  <c r="BF179" i="6"/>
  <c r="BJ179" i="6"/>
  <c r="BI179" i="6"/>
  <c r="CC179" i="6" a="1"/>
  <c r="CC179" i="6" s="1"/>
  <c r="BE179" i="6"/>
  <c r="BH179" i="6"/>
  <c r="BL179" i="6"/>
  <c r="BZ179" i="6" a="1"/>
  <c r="BZ179" i="6" s="1"/>
  <c r="BG179" i="6"/>
  <c r="BV179" i="6" a="1"/>
  <c r="BV179" i="6" s="1"/>
  <c r="BC179" i="6"/>
  <c r="BW179" i="6" a="1"/>
  <c r="BW179" i="6" s="1"/>
  <c r="AK179" i="6"/>
  <c r="CD179" i="6" a="1"/>
  <c r="CD179" i="6" s="1"/>
  <c r="BK179" i="6"/>
  <c r="BY179" i="6" a="1"/>
  <c r="BY179" i="6" s="1"/>
  <c r="BX179" i="6" a="1"/>
  <c r="BX179" i="6" s="1"/>
  <c r="CE179" i="6" a="1"/>
  <c r="CE179" i="6" s="1"/>
  <c r="AM179" i="6"/>
  <c r="CA179" i="6" a="1"/>
  <c r="CA179" i="6" s="1"/>
  <c r="AL179" i="6"/>
  <c r="AN179" i="6"/>
  <c r="AQ179" i="6"/>
  <c r="AS179" i="6"/>
  <c r="AR179" i="6"/>
  <c r="AJ179" i="6"/>
  <c r="AP179" i="6"/>
  <c r="AO179" i="6"/>
  <c r="L188" i="12" a="1"/>
  <c r="L188" i="12" s="1"/>
  <c r="J188" i="12" a="1"/>
  <c r="J188" i="12" s="1"/>
  <c r="V173" i="12" a="1"/>
  <c r="V173" i="12" s="1"/>
  <c r="U173" i="12"/>
  <c r="T173" i="12"/>
  <c r="A189" i="12"/>
  <c r="E189" i="5"/>
  <c r="C190" i="5"/>
  <c r="AE189" i="5" a="1"/>
  <c r="AE189" i="5" s="1"/>
  <c r="G189" i="5"/>
  <c r="F189" i="5"/>
  <c r="W189" i="5" a="1"/>
  <c r="W189" i="5" s="1"/>
  <c r="H189" i="12" s="1" a="1"/>
  <c r="H189" i="12" s="1"/>
  <c r="D189" i="5"/>
  <c r="B189" i="12" s="1"/>
  <c r="B189" i="5"/>
  <c r="J189" i="5"/>
  <c r="H189" i="5"/>
  <c r="AD189" i="5"/>
  <c r="N189" i="5"/>
  <c r="K189" i="5"/>
  <c r="H187" i="6" a="1"/>
  <c r="H187" i="6" s="1"/>
  <c r="D188" i="6"/>
  <c r="X178" i="5" a="1"/>
  <c r="X178" i="5" s="1"/>
  <c r="B189" i="6"/>
  <c r="L190" i="6"/>
  <c r="CF180" i="6" l="1" a="1"/>
  <c r="CF180" i="6" s="1"/>
  <c r="BT180" i="6"/>
  <c r="CG180" i="6" a="1"/>
  <c r="CG180" i="6" s="1"/>
  <c r="CL180" i="6" a="1"/>
  <c r="CL180" i="6" s="1"/>
  <c r="BQ180" i="6"/>
  <c r="CH180" i="6" a="1"/>
  <c r="CH180" i="6" s="1"/>
  <c r="BO180" i="6"/>
  <c r="BM180" i="6"/>
  <c r="CK180" i="6" a="1"/>
  <c r="CK180" i="6" s="1"/>
  <c r="BN180" i="6"/>
  <c r="AX180" i="6"/>
  <c r="CJ180" i="6" a="1"/>
  <c r="CJ180" i="6" s="1"/>
  <c r="BS180" i="6"/>
  <c r="CM180" i="6" a="1"/>
  <c r="CM180" i="6" s="1"/>
  <c r="BR180" i="6"/>
  <c r="CI180" i="6" a="1"/>
  <c r="CI180" i="6" s="1"/>
  <c r="BP180" i="6"/>
  <c r="AY180" i="6"/>
  <c r="AZ180" i="6"/>
  <c r="BA180" i="6"/>
  <c r="AT180" i="6"/>
  <c r="AU180" i="6"/>
  <c r="AV180" i="6"/>
  <c r="AW180" i="6"/>
  <c r="T187" i="5"/>
  <c r="G187" i="12" s="1" a="1"/>
  <c r="G187" i="12" s="1"/>
  <c r="W175" i="12" a="1"/>
  <c r="W175" i="12" s="1"/>
  <c r="T175" i="12" s="1"/>
  <c r="Y176" i="12"/>
  <c r="X176" i="12" s="1" a="1"/>
  <c r="X176" i="12" s="1"/>
  <c r="AB177" i="5" a="1"/>
  <c r="AB177" i="5" s="1"/>
  <c r="K188" i="12"/>
  <c r="N177" i="12"/>
  <c r="BZ180" i="6" a="1"/>
  <c r="BZ180" i="6" s="1"/>
  <c r="BH180" i="6"/>
  <c r="BC180" i="6"/>
  <c r="BL180" i="6"/>
  <c r="CD180" i="6" a="1"/>
  <c r="CD180" i="6" s="1"/>
  <c r="BG180" i="6"/>
  <c r="CB180" i="6" a="1"/>
  <c r="CB180" i="6" s="1"/>
  <c r="BY180" i="6" a="1"/>
  <c r="BY180" i="6" s="1"/>
  <c r="AL180" i="6"/>
  <c r="CE180" i="6" a="1"/>
  <c r="CE180" i="6" s="1"/>
  <c r="BV180" i="6" a="1"/>
  <c r="BV180" i="6" s="1"/>
  <c r="AS180" i="6"/>
  <c r="CA180" i="6" a="1"/>
  <c r="CA180" i="6" s="1"/>
  <c r="AR180" i="6"/>
  <c r="AK180" i="6"/>
  <c r="AO180" i="6"/>
  <c r="AJ180" i="6"/>
  <c r="BK180" i="6"/>
  <c r="BW180" i="6" a="1"/>
  <c r="BW180" i="6" s="1"/>
  <c r="BJ180" i="6"/>
  <c r="CC180" i="6" a="1"/>
  <c r="CC180" i="6" s="1"/>
  <c r="BX180" i="6" a="1"/>
  <c r="BX180" i="6" s="1"/>
  <c r="BF180" i="6"/>
  <c r="AN180" i="6"/>
  <c r="BE180" i="6"/>
  <c r="AQ180" i="6"/>
  <c r="BI180" i="6"/>
  <c r="BD180" i="6"/>
  <c r="AP180" i="6"/>
  <c r="AM180" i="6"/>
  <c r="H188" i="6" a="1"/>
  <c r="H188" i="6" s="1"/>
  <c r="Y177" i="12"/>
  <c r="A190" i="12"/>
  <c r="K190" i="5"/>
  <c r="J190" i="5"/>
  <c r="C191" i="5"/>
  <c r="AE190" i="5" a="1"/>
  <c r="AE190" i="5" s="1"/>
  <c r="W190" i="5" a="1"/>
  <c r="W190" i="5" s="1"/>
  <c r="H190" i="12" s="1" a="1"/>
  <c r="H190" i="12" s="1"/>
  <c r="H190" i="5"/>
  <c r="AD190" i="5"/>
  <c r="G190" i="5"/>
  <c r="N190" i="5"/>
  <c r="D190" i="6" s="1"/>
  <c r="D190" i="5"/>
  <c r="B190" i="12" s="1"/>
  <c r="B190" i="5"/>
  <c r="F190" i="5"/>
  <c r="E190" i="5"/>
  <c r="M181" i="6"/>
  <c r="A182" i="6"/>
  <c r="X179" i="5" a="1"/>
  <c r="X179" i="5" s="1"/>
  <c r="I178" i="12"/>
  <c r="L178" i="5"/>
  <c r="AM178" i="5"/>
  <c r="Z178" i="5"/>
  <c r="B190" i="6"/>
  <c r="L191" i="6"/>
  <c r="D189" i="6"/>
  <c r="L189" i="12" a="1"/>
  <c r="L189" i="12" s="1"/>
  <c r="J189" i="12" a="1"/>
  <c r="J189" i="12" s="1"/>
  <c r="CL181" i="6" l="1" a="1"/>
  <c r="CL181" i="6" s="1"/>
  <c r="BQ181" i="6"/>
  <c r="CH181" i="6" a="1"/>
  <c r="CH181" i="6" s="1"/>
  <c r="BO181" i="6"/>
  <c r="CK181" i="6" a="1"/>
  <c r="CK181" i="6" s="1"/>
  <c r="BN181" i="6"/>
  <c r="BM181" i="6"/>
  <c r="CJ181" i="6" a="1"/>
  <c r="CJ181" i="6" s="1"/>
  <c r="BT181" i="6"/>
  <c r="CG181" i="6" a="1"/>
  <c r="CG181" i="6" s="1"/>
  <c r="BS181" i="6"/>
  <c r="CF181" i="6" a="1"/>
  <c r="CF181" i="6" s="1"/>
  <c r="BR181" i="6"/>
  <c r="CM181" i="6" a="1"/>
  <c r="CM181" i="6" s="1"/>
  <c r="BP181" i="6"/>
  <c r="CI181" i="6" a="1"/>
  <c r="CI181" i="6" s="1"/>
  <c r="AY181" i="6"/>
  <c r="AZ181" i="6"/>
  <c r="BA181" i="6"/>
  <c r="AT181" i="6"/>
  <c r="AV181" i="6"/>
  <c r="AX181" i="6"/>
  <c r="AU181" i="6"/>
  <c r="AW181" i="6"/>
  <c r="T188" i="5"/>
  <c r="G188" i="12" s="1" a="1"/>
  <c r="G188" i="12" s="1"/>
  <c r="V175" i="12" a="1"/>
  <c r="V175" i="12" s="1"/>
  <c r="U175" i="12"/>
  <c r="W176" i="12" a="1"/>
  <c r="W176" i="12" s="1"/>
  <c r="U176" i="12" s="1"/>
  <c r="W177" i="12" a="1"/>
  <c r="W177" i="12" s="1"/>
  <c r="X177" i="12" a="1"/>
  <c r="X177" i="12" s="1"/>
  <c r="H190" i="6" a="1"/>
  <c r="H190" i="6" s="1"/>
  <c r="T190" i="5" s="1"/>
  <c r="G190" i="12" s="1" a="1"/>
  <c r="G190" i="12" s="1"/>
  <c r="C178" i="6"/>
  <c r="AB178" i="5" a="1"/>
  <c r="AB178" i="5" s="1"/>
  <c r="C178" i="12"/>
  <c r="M178" i="12" a="1"/>
  <c r="M178" i="12" s="1"/>
  <c r="O178" i="12" a="1"/>
  <c r="O178" i="12" s="1"/>
  <c r="AO178" i="12" a="1"/>
  <c r="AO178" i="12" s="1"/>
  <c r="A191" i="12"/>
  <c r="AD191" i="5"/>
  <c r="G191" i="5"/>
  <c r="F191" i="5"/>
  <c r="E191" i="5"/>
  <c r="B191" i="5"/>
  <c r="J191" i="5"/>
  <c r="C192" i="5"/>
  <c r="AE191" i="5" a="1"/>
  <c r="AE191" i="5" s="1"/>
  <c r="W191" i="5" a="1"/>
  <c r="W191" i="5" s="1"/>
  <c r="H191" i="12" s="1" a="1"/>
  <c r="H191" i="12" s="1"/>
  <c r="H191" i="5"/>
  <c r="N191" i="5"/>
  <c r="D191" i="6" s="1"/>
  <c r="K191" i="5"/>
  <c r="D191" i="5"/>
  <c r="B191" i="12" s="1"/>
  <c r="I179" i="12"/>
  <c r="L179" i="5"/>
  <c r="AM179" i="5"/>
  <c r="Z179" i="5"/>
  <c r="X180" i="5" a="1"/>
  <c r="X180" i="5" s="1"/>
  <c r="M182" i="6"/>
  <c r="A183" i="6"/>
  <c r="B191" i="6"/>
  <c r="L192" i="6"/>
  <c r="L190" i="12" a="1"/>
  <c r="L190" i="12" s="1"/>
  <c r="J190" i="12" a="1"/>
  <c r="J190" i="12" s="1"/>
  <c r="K189" i="12"/>
  <c r="H189" i="6" a="1"/>
  <c r="H189" i="6" s="1"/>
  <c r="BH181" i="6"/>
  <c r="BE181" i="6"/>
  <c r="BD181" i="6"/>
  <c r="CE181" i="6" a="1"/>
  <c r="CE181" i="6" s="1"/>
  <c r="BF181" i="6"/>
  <c r="CB181" i="6" a="1"/>
  <c r="CB181" i="6" s="1"/>
  <c r="BY181" i="6" a="1"/>
  <c r="BY181" i="6" s="1"/>
  <c r="BG181" i="6"/>
  <c r="BK181" i="6"/>
  <c r="BX181" i="6" a="1"/>
  <c r="BX181" i="6" s="1"/>
  <c r="AN181" i="6"/>
  <c r="CA181" i="6" a="1"/>
  <c r="CA181" i="6" s="1"/>
  <c r="BW181" i="6" a="1"/>
  <c r="BW181" i="6" s="1"/>
  <c r="BJ181" i="6"/>
  <c r="BI181" i="6"/>
  <c r="BV181" i="6" a="1"/>
  <c r="BV181" i="6" s="1"/>
  <c r="BL181" i="6"/>
  <c r="CC181" i="6" a="1"/>
  <c r="CC181" i="6" s="1"/>
  <c r="BZ181" i="6" a="1"/>
  <c r="BZ181" i="6" s="1"/>
  <c r="CD181" i="6" a="1"/>
  <c r="CD181" i="6" s="1"/>
  <c r="BC181" i="6"/>
  <c r="AQ181" i="6"/>
  <c r="AR181" i="6"/>
  <c r="AJ181" i="6"/>
  <c r="AM181" i="6"/>
  <c r="AP181" i="6"/>
  <c r="AK181" i="6"/>
  <c r="AO181" i="6"/>
  <c r="AS181" i="6"/>
  <c r="AL181" i="6"/>
  <c r="CJ182" i="6" l="1" a="1"/>
  <c r="CJ182" i="6" s="1"/>
  <c r="BP182" i="6"/>
  <c r="CM182" i="6" a="1"/>
  <c r="CM182" i="6" s="1"/>
  <c r="BM182" i="6"/>
  <c r="CK182" i="6" a="1"/>
  <c r="CK182" i="6" s="1"/>
  <c r="CI182" i="6" a="1"/>
  <c r="CI182" i="6" s="1"/>
  <c r="BT182" i="6"/>
  <c r="CG182" i="6" a="1"/>
  <c r="CG182" i="6" s="1"/>
  <c r="BR182" i="6"/>
  <c r="BA182" i="6"/>
  <c r="CF182" i="6" a="1"/>
  <c r="CF182" i="6" s="1"/>
  <c r="BS182" i="6"/>
  <c r="BN182" i="6"/>
  <c r="CL182" i="6" a="1"/>
  <c r="CL182" i="6" s="1"/>
  <c r="BQ182" i="6"/>
  <c r="CH182" i="6" a="1"/>
  <c r="CH182" i="6" s="1"/>
  <c r="BO182" i="6"/>
  <c r="AZ182" i="6"/>
  <c r="AU182" i="6"/>
  <c r="AV182" i="6"/>
  <c r="AW182" i="6"/>
  <c r="AT182" i="6"/>
  <c r="AX182" i="6"/>
  <c r="AY182" i="6"/>
  <c r="T189" i="5"/>
  <c r="G189" i="12" s="1" a="1"/>
  <c r="G189" i="12" s="1"/>
  <c r="V176" i="12" a="1"/>
  <c r="V176" i="12" s="1"/>
  <c r="T176" i="12"/>
  <c r="Y178" i="12"/>
  <c r="X178" i="12" s="1" a="1"/>
  <c r="X178" i="12" s="1"/>
  <c r="K190" i="12"/>
  <c r="H191" i="6" a="1"/>
  <c r="H191" i="6" s="1"/>
  <c r="T191" i="5" s="1"/>
  <c r="G191" i="12" s="1" a="1"/>
  <c r="G191" i="12" s="1"/>
  <c r="C179" i="6"/>
  <c r="C179" i="12"/>
  <c r="AO179" i="12" a="1"/>
  <c r="AO179" i="12" s="1"/>
  <c r="O179" i="12" a="1"/>
  <c r="O179" i="12" s="1"/>
  <c r="M179" i="12" a="1"/>
  <c r="M179" i="12" s="1"/>
  <c r="N178" i="12"/>
  <c r="M183" i="6"/>
  <c r="A184" i="6"/>
  <c r="BY182" i="6" a="1"/>
  <c r="BY182" i="6" s="1"/>
  <c r="CC182" i="6" a="1"/>
  <c r="CC182" i="6" s="1"/>
  <c r="BC182" i="6"/>
  <c r="BF182" i="6"/>
  <c r="BD182" i="6"/>
  <c r="CE182" i="6" a="1"/>
  <c r="CE182" i="6" s="1"/>
  <c r="CB182" i="6" a="1"/>
  <c r="CB182" i="6" s="1"/>
  <c r="BE182" i="6"/>
  <c r="BV182" i="6" a="1"/>
  <c r="BV182" i="6" s="1"/>
  <c r="CA182" i="6" a="1"/>
  <c r="CA182" i="6" s="1"/>
  <c r="BI182" i="6"/>
  <c r="BZ182" i="6" a="1"/>
  <c r="BZ182" i="6" s="1"/>
  <c r="BX182" i="6" a="1"/>
  <c r="BX182" i="6" s="1"/>
  <c r="BH182" i="6"/>
  <c r="AK182" i="6"/>
  <c r="CD182" i="6" a="1"/>
  <c r="CD182" i="6" s="1"/>
  <c r="BK182" i="6"/>
  <c r="BW182" i="6" a="1"/>
  <c r="BW182" i="6" s="1"/>
  <c r="BJ182" i="6"/>
  <c r="BL182" i="6"/>
  <c r="BG182" i="6"/>
  <c r="AP182" i="6"/>
  <c r="AR182" i="6"/>
  <c r="AS182" i="6"/>
  <c r="AM182" i="6"/>
  <c r="AL182" i="6"/>
  <c r="AJ182" i="6"/>
  <c r="AO182" i="6"/>
  <c r="AQ182" i="6"/>
  <c r="AN182" i="6"/>
  <c r="L193" i="6"/>
  <c r="B192" i="6"/>
  <c r="AB179" i="5" a="1"/>
  <c r="AB179" i="5" s="1"/>
  <c r="V177" i="12" a="1"/>
  <c r="V177" i="12" s="1"/>
  <c r="U177" i="12"/>
  <c r="T177" i="12"/>
  <c r="I180" i="12"/>
  <c r="L180" i="5"/>
  <c r="AM180" i="5"/>
  <c r="Z180" i="5"/>
  <c r="A192" i="12"/>
  <c r="B192" i="5"/>
  <c r="N192" i="5"/>
  <c r="D192" i="6" s="1"/>
  <c r="K192" i="5"/>
  <c r="J192" i="5"/>
  <c r="E192" i="5"/>
  <c r="D192" i="5"/>
  <c r="B192" i="12" s="1"/>
  <c r="G192" i="5"/>
  <c r="F192" i="5"/>
  <c r="C193" i="5"/>
  <c r="AE192" i="5" a="1"/>
  <c r="AE192" i="5" s="1"/>
  <c r="H192" i="5"/>
  <c r="AD192" i="5"/>
  <c r="W192" i="5" a="1"/>
  <c r="W192" i="5" s="1"/>
  <c r="H192" i="12" s="1" a="1"/>
  <c r="H192" i="12" s="1"/>
  <c r="J191" i="12" a="1"/>
  <c r="J191" i="12" s="1"/>
  <c r="L191" i="12" a="1"/>
  <c r="L191" i="12" s="1"/>
  <c r="CJ183" i="6" l="1" a="1"/>
  <c r="CJ183" i="6" s="1"/>
  <c r="BT183" i="6"/>
  <c r="CM183" i="6" a="1"/>
  <c r="CM183" i="6" s="1"/>
  <c r="BS183" i="6"/>
  <c r="CI183" i="6" a="1"/>
  <c r="CI183" i="6" s="1"/>
  <c r="BR183" i="6"/>
  <c r="BN183" i="6"/>
  <c r="CG183" i="6" a="1"/>
  <c r="CG183" i="6" s="1"/>
  <c r="BP183" i="6"/>
  <c r="CF183" i="6" a="1"/>
  <c r="CF183" i="6" s="1"/>
  <c r="BM183" i="6"/>
  <c r="CL183" i="6" a="1"/>
  <c r="CL183" i="6" s="1"/>
  <c r="BQ183" i="6"/>
  <c r="CK183" i="6" a="1"/>
  <c r="CK183" i="6" s="1"/>
  <c r="CH183" i="6" a="1"/>
  <c r="CH183" i="6" s="1"/>
  <c r="BO183" i="6"/>
  <c r="AU183" i="6"/>
  <c r="BA183" i="6"/>
  <c r="AX183" i="6"/>
  <c r="AT183" i="6"/>
  <c r="AV183" i="6"/>
  <c r="AY183" i="6"/>
  <c r="AZ183" i="6"/>
  <c r="AW183" i="6"/>
  <c r="W178" i="12" a="1"/>
  <c r="W178" i="12" s="1"/>
  <c r="T178" i="12" s="1"/>
  <c r="K191" i="12"/>
  <c r="Y179" i="12"/>
  <c r="X179" i="12" s="1" a="1"/>
  <c r="X179" i="12" s="1"/>
  <c r="L194" i="6"/>
  <c r="B193" i="6"/>
  <c r="X182" i="5" a="1"/>
  <c r="X182" i="5" s="1"/>
  <c r="H192" i="6" a="1"/>
  <c r="H192" i="6" s="1"/>
  <c r="T192" i="5" s="1"/>
  <c r="G192" i="12" s="1" a="1"/>
  <c r="G192" i="12" s="1"/>
  <c r="L192" i="12" a="1"/>
  <c r="L192" i="12" s="1"/>
  <c r="J192" i="12" a="1"/>
  <c r="J192" i="12" s="1"/>
  <c r="N179" i="12"/>
  <c r="BD183" i="6"/>
  <c r="BV183" i="6" a="1"/>
  <c r="BV183" i="6" s="1"/>
  <c r="CD183" i="6" a="1"/>
  <c r="CD183" i="6" s="1"/>
  <c r="BF183" i="6"/>
  <c r="CA183" i="6" a="1"/>
  <c r="CA183" i="6" s="1"/>
  <c r="BL183" i="6"/>
  <c r="CC183" i="6" a="1"/>
  <c r="CC183" i="6" s="1"/>
  <c r="CE183" i="6" a="1"/>
  <c r="CE183" i="6" s="1"/>
  <c r="BC183" i="6"/>
  <c r="BK183" i="6"/>
  <c r="AP183" i="6"/>
  <c r="BY183" i="6" a="1"/>
  <c r="BY183" i="6" s="1"/>
  <c r="BZ183" i="6" a="1"/>
  <c r="BZ183" i="6" s="1"/>
  <c r="BG183" i="6"/>
  <c r="BH183" i="6"/>
  <c r="CB183" i="6" a="1"/>
  <c r="CB183" i="6" s="1"/>
  <c r="AJ183" i="6"/>
  <c r="BE183" i="6"/>
  <c r="BJ183" i="6"/>
  <c r="BW183" i="6" a="1"/>
  <c r="BW183" i="6" s="1"/>
  <c r="BI183" i="6"/>
  <c r="BX183" i="6" a="1"/>
  <c r="BX183" i="6" s="1"/>
  <c r="AR183" i="6"/>
  <c r="AM183" i="6"/>
  <c r="AO183" i="6"/>
  <c r="AN183" i="6"/>
  <c r="AL183" i="6"/>
  <c r="AK183" i="6"/>
  <c r="AS183" i="6"/>
  <c r="AQ183" i="6"/>
  <c r="AB180" i="5" a="1"/>
  <c r="AB180" i="5" s="1"/>
  <c r="M184" i="6"/>
  <c r="A185" i="6"/>
  <c r="A193" i="12"/>
  <c r="C194" i="5"/>
  <c r="AE193" i="5" a="1"/>
  <c r="AE193" i="5" s="1"/>
  <c r="W193" i="5" a="1"/>
  <c r="W193" i="5" s="1"/>
  <c r="H193" i="12" s="1" a="1"/>
  <c r="H193" i="12" s="1"/>
  <c r="H193" i="5"/>
  <c r="AD193" i="5"/>
  <c r="G193" i="5"/>
  <c r="F193" i="5"/>
  <c r="E193" i="5"/>
  <c r="D193" i="5"/>
  <c r="B193" i="12" s="1"/>
  <c r="K193" i="5"/>
  <c r="J193" i="5"/>
  <c r="N193" i="5"/>
  <c r="D193" i="6" s="1"/>
  <c r="B193" i="5"/>
  <c r="C180" i="6"/>
  <c r="C180" i="12"/>
  <c r="M180" i="12" a="1"/>
  <c r="M180" i="12" s="1"/>
  <c r="O180" i="12" a="1"/>
  <c r="O180" i="12" s="1"/>
  <c r="AO180" i="12" a="1"/>
  <c r="AO180" i="12" s="1"/>
  <c r="CM184" i="6" l="1" a="1"/>
  <c r="CM184" i="6" s="1"/>
  <c r="BO184" i="6"/>
  <c r="BP184" i="6"/>
  <c r="CI184" i="6" a="1"/>
  <c r="CI184" i="6" s="1"/>
  <c r="CH184" i="6" a="1"/>
  <c r="CH184" i="6" s="1"/>
  <c r="BN184" i="6"/>
  <c r="BM184" i="6"/>
  <c r="BQ184" i="6"/>
  <c r="CL184" i="6" a="1"/>
  <c r="CL184" i="6" s="1"/>
  <c r="BT184" i="6"/>
  <c r="CK184" i="6" a="1"/>
  <c r="CK184" i="6" s="1"/>
  <c r="BS184" i="6"/>
  <c r="CJ184" i="6" a="1"/>
  <c r="CJ184" i="6" s="1"/>
  <c r="BR184" i="6"/>
  <c r="AU184" i="6"/>
  <c r="CG184" i="6" a="1"/>
  <c r="CG184" i="6" s="1"/>
  <c r="CF184" i="6" a="1"/>
  <c r="CF184" i="6" s="1"/>
  <c r="AZ184" i="6"/>
  <c r="AX184" i="6"/>
  <c r="AV184" i="6"/>
  <c r="AY184" i="6"/>
  <c r="BA184" i="6"/>
  <c r="AW184" i="6"/>
  <c r="AT184" i="6"/>
  <c r="U178" i="12"/>
  <c r="V178" i="12" a="1"/>
  <c r="V178" i="12" s="1"/>
  <c r="W179" i="12" a="1"/>
  <c r="W179" i="12" s="1"/>
  <c r="U179" i="12" s="1"/>
  <c r="N180" i="12"/>
  <c r="H193" i="6" a="1"/>
  <c r="H193" i="6" s="1"/>
  <c r="T193" i="5" s="1"/>
  <c r="G193" i="12" s="1" a="1"/>
  <c r="G193" i="12" s="1"/>
  <c r="A194" i="12"/>
  <c r="D194" i="5"/>
  <c r="B194" i="12" s="1"/>
  <c r="B194" i="5"/>
  <c r="N194" i="5"/>
  <c r="D194" i="6" s="1"/>
  <c r="K194" i="5"/>
  <c r="AD194" i="5"/>
  <c r="G194" i="5"/>
  <c r="F194" i="5"/>
  <c r="E194" i="5"/>
  <c r="W194" i="5" a="1"/>
  <c r="W194" i="5" s="1"/>
  <c r="H194" i="12" s="1" a="1"/>
  <c r="H194" i="12" s="1"/>
  <c r="J194" i="5"/>
  <c r="H194" i="5"/>
  <c r="C195" i="5"/>
  <c r="AE194" i="5" a="1"/>
  <c r="AE194" i="5" s="1"/>
  <c r="Y180" i="12"/>
  <c r="I182" i="12"/>
  <c r="AM182" i="5"/>
  <c r="L182" i="5"/>
  <c r="Z182" i="5"/>
  <c r="X183" i="5" a="1"/>
  <c r="X183" i="5" s="1"/>
  <c r="L193" i="12" a="1"/>
  <c r="L193" i="12" s="1"/>
  <c r="J193" i="12" a="1"/>
  <c r="J193" i="12" s="1"/>
  <c r="B194" i="6"/>
  <c r="L195" i="6"/>
  <c r="M185" i="6"/>
  <c r="A186" i="6"/>
  <c r="CB184" i="6" a="1"/>
  <c r="CB184" i="6" s="1"/>
  <c r="BY184" i="6" a="1"/>
  <c r="BY184" i="6" s="1"/>
  <c r="AK184" i="6"/>
  <c r="BI184" i="6"/>
  <c r="BV184" i="6" a="1"/>
  <c r="BV184" i="6" s="1"/>
  <c r="CA184" i="6" a="1"/>
  <c r="CA184" i="6" s="1"/>
  <c r="BD184" i="6"/>
  <c r="AO184" i="6"/>
  <c r="BF184" i="6"/>
  <c r="CE184" i="6" a="1"/>
  <c r="CE184" i="6" s="1"/>
  <c r="AN184" i="6"/>
  <c r="BE184" i="6"/>
  <c r="BK184" i="6"/>
  <c r="BX184" i="6" a="1"/>
  <c r="BX184" i="6" s="1"/>
  <c r="BJ184" i="6"/>
  <c r="BL184" i="6"/>
  <c r="CD184" i="6" a="1"/>
  <c r="CD184" i="6" s="1"/>
  <c r="CC184" i="6" a="1"/>
  <c r="CC184" i="6" s="1"/>
  <c r="BZ184" i="6" a="1"/>
  <c r="BZ184" i="6" s="1"/>
  <c r="BC184" i="6"/>
  <c r="BH184" i="6"/>
  <c r="BW184" i="6" a="1"/>
  <c r="BW184" i="6" s="1"/>
  <c r="BG184" i="6"/>
  <c r="AL184" i="6"/>
  <c r="AR184" i="6"/>
  <c r="AP184" i="6"/>
  <c r="AJ184" i="6"/>
  <c r="AM184" i="6"/>
  <c r="AQ184" i="6"/>
  <c r="AS184" i="6"/>
  <c r="K192" i="12"/>
  <c r="CL185" i="6" l="1" a="1"/>
  <c r="CL185" i="6" s="1"/>
  <c r="BQ185" i="6"/>
  <c r="BT185" i="6"/>
  <c r="CK185" i="6" a="1"/>
  <c r="CK185" i="6" s="1"/>
  <c r="BO185" i="6"/>
  <c r="CF185" i="6" a="1"/>
  <c r="CF185" i="6" s="1"/>
  <c r="BN185" i="6"/>
  <c r="BS185" i="6"/>
  <c r="CI185" i="6" a="1"/>
  <c r="CI185" i="6" s="1"/>
  <c r="BR185" i="6"/>
  <c r="CH185" i="6" a="1"/>
  <c r="CH185" i="6" s="1"/>
  <c r="BP185" i="6"/>
  <c r="CG185" i="6" a="1"/>
  <c r="CG185" i="6" s="1"/>
  <c r="CM185" i="6" a="1"/>
  <c r="CM185" i="6" s="1"/>
  <c r="BM185" i="6"/>
  <c r="AV185" i="6"/>
  <c r="CJ185" i="6" a="1"/>
  <c r="CJ185" i="6" s="1"/>
  <c r="AT185" i="6"/>
  <c r="AU185" i="6"/>
  <c r="BA185" i="6"/>
  <c r="AX185" i="6"/>
  <c r="AW185" i="6"/>
  <c r="AY185" i="6"/>
  <c r="AZ185" i="6"/>
  <c r="V179" i="12" a="1"/>
  <c r="V179" i="12" s="1"/>
  <c r="T179" i="12"/>
  <c r="AB182" i="5" a="1"/>
  <c r="AB182" i="5" s="1"/>
  <c r="C182" i="6"/>
  <c r="A195" i="12"/>
  <c r="K195" i="5"/>
  <c r="J195" i="5"/>
  <c r="AE195" i="5" a="1"/>
  <c r="AE195" i="5" s="1"/>
  <c r="W195" i="5" a="1"/>
  <c r="W195" i="5" s="1"/>
  <c r="H195" i="12" s="1" a="1"/>
  <c r="H195" i="12" s="1"/>
  <c r="H195" i="5"/>
  <c r="AD195" i="5"/>
  <c r="G195" i="5"/>
  <c r="F195" i="5"/>
  <c r="B195" i="5"/>
  <c r="C196" i="5" s="1"/>
  <c r="N195" i="5"/>
  <c r="E195" i="5"/>
  <c r="D195" i="5"/>
  <c r="B195" i="12" s="1"/>
  <c r="K193" i="12"/>
  <c r="X180" i="12" a="1"/>
  <c r="X180" i="12" s="1"/>
  <c r="W180" i="12" a="1"/>
  <c r="W180" i="12" s="1"/>
  <c r="M186" i="6"/>
  <c r="A187" i="6"/>
  <c r="J194" i="12" a="1"/>
  <c r="J194" i="12" s="1"/>
  <c r="L194" i="12" a="1"/>
  <c r="L194" i="12" s="1"/>
  <c r="C182" i="12"/>
  <c r="M182" i="12" a="1"/>
  <c r="M182" i="12" s="1"/>
  <c r="O182" i="12" a="1"/>
  <c r="O182" i="12" s="1"/>
  <c r="AO182" i="12" a="1"/>
  <c r="AO182" i="12" s="1"/>
  <c r="H194" i="6" a="1"/>
  <c r="H194" i="6" s="1"/>
  <c r="T194" i="5" s="1"/>
  <c r="G194" i="12" s="1" a="1"/>
  <c r="G194" i="12" s="1"/>
  <c r="BL185" i="6"/>
  <c r="CE185" i="6" a="1"/>
  <c r="CE185" i="6" s="1"/>
  <c r="BX185" i="6" a="1"/>
  <c r="BX185" i="6" s="1"/>
  <c r="BG185" i="6"/>
  <c r="BE185" i="6"/>
  <c r="BH185" i="6"/>
  <c r="BK185" i="6"/>
  <c r="CC185" i="6" a="1"/>
  <c r="CC185" i="6" s="1"/>
  <c r="BY185" i="6" a="1"/>
  <c r="BY185" i="6" s="1"/>
  <c r="BD185" i="6"/>
  <c r="BI185" i="6"/>
  <c r="CD185" i="6" a="1"/>
  <c r="CD185" i="6" s="1"/>
  <c r="BZ185" i="6" a="1"/>
  <c r="BZ185" i="6" s="1"/>
  <c r="CB185" i="6" a="1"/>
  <c r="CB185" i="6" s="1"/>
  <c r="BJ185" i="6"/>
  <c r="CA185" i="6" a="1"/>
  <c r="CA185" i="6" s="1"/>
  <c r="BC185" i="6"/>
  <c r="BF185" i="6"/>
  <c r="BW185" i="6" a="1"/>
  <c r="BW185" i="6" s="1"/>
  <c r="BV185" i="6" a="1"/>
  <c r="BV185" i="6" s="1"/>
  <c r="AJ185" i="6"/>
  <c r="AK185" i="6"/>
  <c r="AL185" i="6"/>
  <c r="AQ185" i="6"/>
  <c r="AN185" i="6"/>
  <c r="AM185" i="6"/>
  <c r="AP185" i="6"/>
  <c r="AS185" i="6"/>
  <c r="AR185" i="6"/>
  <c r="AO185" i="6"/>
  <c r="B195" i="6"/>
  <c r="L196" i="6"/>
  <c r="X184" i="5" a="1"/>
  <c r="X184" i="5" s="1"/>
  <c r="I183" i="12"/>
  <c r="L183" i="5"/>
  <c r="AM183" i="5"/>
  <c r="Z183" i="5"/>
  <c r="CI186" i="6" l="1" a="1"/>
  <c r="CI186" i="6" s="1"/>
  <c r="BQ186" i="6"/>
  <c r="CJ186" i="6" a="1"/>
  <c r="CJ186" i="6" s="1"/>
  <c r="CM186" i="6" a="1"/>
  <c r="CM186" i="6" s="1"/>
  <c r="BO186" i="6"/>
  <c r="AX186" i="6"/>
  <c r="CH186" i="6" a="1"/>
  <c r="CH186" i="6" s="1"/>
  <c r="BN186" i="6"/>
  <c r="CL186" i="6" a="1"/>
  <c r="CL186" i="6" s="1"/>
  <c r="BT186" i="6"/>
  <c r="CG186" i="6" a="1"/>
  <c r="CG186" i="6" s="1"/>
  <c r="BS186" i="6"/>
  <c r="CF186" i="6" a="1"/>
  <c r="CF186" i="6" s="1"/>
  <c r="BR186" i="6"/>
  <c r="BM186" i="6"/>
  <c r="CK186" i="6" a="1"/>
  <c r="CK186" i="6" s="1"/>
  <c r="BP186" i="6"/>
  <c r="AT186" i="6"/>
  <c r="BA186" i="6"/>
  <c r="AU186" i="6"/>
  <c r="AY186" i="6"/>
  <c r="AV186" i="6"/>
  <c r="AW186" i="6"/>
  <c r="AZ186" i="6"/>
  <c r="K194" i="12"/>
  <c r="N182" i="12"/>
  <c r="Y182" i="12"/>
  <c r="W182" i="12" s="1" a="1"/>
  <c r="W182" i="12" s="1"/>
  <c r="AB183" i="5" a="1"/>
  <c r="AB183" i="5" s="1"/>
  <c r="U180" i="12"/>
  <c r="V180" i="12" a="1"/>
  <c r="V180" i="12" s="1"/>
  <c r="T180" i="12"/>
  <c r="J195" i="12" a="1"/>
  <c r="J195" i="12" s="1"/>
  <c r="L195" i="12" a="1"/>
  <c r="L195" i="12" s="1"/>
  <c r="D195" i="6"/>
  <c r="C183" i="6"/>
  <c r="I184" i="12"/>
  <c r="L184" i="5"/>
  <c r="AM184" i="5"/>
  <c r="Z184" i="5"/>
  <c r="A196" i="12"/>
  <c r="F196" i="5"/>
  <c r="E196" i="5"/>
  <c r="B196" i="5"/>
  <c r="N196" i="5"/>
  <c r="D196" i="6" s="1"/>
  <c r="AE196" i="5" a="1"/>
  <c r="AE196" i="5" s="1"/>
  <c r="W196" i="5" a="1"/>
  <c r="W196" i="5" s="1"/>
  <c r="H196" i="12" s="1" a="1"/>
  <c r="H196" i="12" s="1"/>
  <c r="H196" i="5"/>
  <c r="AD196" i="5"/>
  <c r="G196" i="5"/>
  <c r="AF196" i="5" a="1"/>
  <c r="AF196" i="5" s="1"/>
  <c r="CB186" i="6" a="1"/>
  <c r="CB186" i="6" s="1"/>
  <c r="BG186" i="6"/>
  <c r="BV186" i="6" a="1"/>
  <c r="BV186" i="6" s="1"/>
  <c r="CD186" i="6" a="1"/>
  <c r="CD186" i="6" s="1"/>
  <c r="BF186" i="6"/>
  <c r="AP186" i="6"/>
  <c r="BC186" i="6"/>
  <c r="BZ186" i="6" a="1"/>
  <c r="BZ186" i="6" s="1"/>
  <c r="BW186" i="6" a="1"/>
  <c r="BW186" i="6" s="1"/>
  <c r="CA186" i="6" a="1"/>
  <c r="CA186" i="6" s="1"/>
  <c r="BX186" i="6" a="1"/>
  <c r="BX186" i="6" s="1"/>
  <c r="BI186" i="6"/>
  <c r="CC186" i="6" a="1"/>
  <c r="CC186" i="6" s="1"/>
  <c r="BY186" i="6" a="1"/>
  <c r="BY186" i="6" s="1"/>
  <c r="BJ186" i="6"/>
  <c r="BL186" i="6"/>
  <c r="BD186" i="6"/>
  <c r="BE186" i="6"/>
  <c r="BK186" i="6"/>
  <c r="BH186" i="6"/>
  <c r="CE186" i="6" a="1"/>
  <c r="CE186" i="6" s="1"/>
  <c r="AQ186" i="6"/>
  <c r="AN186" i="6"/>
  <c r="AK186" i="6"/>
  <c r="AS186" i="6"/>
  <c r="AR186" i="6"/>
  <c r="AO186" i="6"/>
  <c r="AM186" i="6"/>
  <c r="AL186" i="6"/>
  <c r="AJ186" i="6"/>
  <c r="C183" i="12"/>
  <c r="AO183" i="12" a="1"/>
  <c r="AO183" i="12" s="1"/>
  <c r="M183" i="12" a="1"/>
  <c r="M183" i="12" s="1"/>
  <c r="O183" i="12" a="1"/>
  <c r="O183" i="12" s="1"/>
  <c r="B196" i="6"/>
  <c r="X185" i="5" a="1"/>
  <c r="X185" i="5" s="1"/>
  <c r="M187" i="6"/>
  <c r="A188" i="6"/>
  <c r="CL187" i="6" l="1" a="1"/>
  <c r="CL187" i="6" s="1"/>
  <c r="BQ187" i="6"/>
  <c r="BP187" i="6"/>
  <c r="CK187" i="6" a="1"/>
  <c r="CK187" i="6" s="1"/>
  <c r="BO187" i="6"/>
  <c r="CF187" i="6" a="1"/>
  <c r="CF187" i="6" s="1"/>
  <c r="BN187" i="6"/>
  <c r="CI187" i="6" a="1"/>
  <c r="CI187" i="6" s="1"/>
  <c r="BM187" i="6"/>
  <c r="CG187" i="6" a="1"/>
  <c r="CG187" i="6" s="1"/>
  <c r="CM187" i="6" a="1"/>
  <c r="CM187" i="6" s="1"/>
  <c r="BT187" i="6"/>
  <c r="CJ187" i="6" a="1"/>
  <c r="CJ187" i="6" s="1"/>
  <c r="BS187" i="6"/>
  <c r="CH187" i="6" a="1"/>
  <c r="CH187" i="6" s="1"/>
  <c r="BR187" i="6"/>
  <c r="AV187" i="6"/>
  <c r="AT187" i="6"/>
  <c r="AX187" i="6"/>
  <c r="AY187" i="6"/>
  <c r="AZ187" i="6"/>
  <c r="AW187" i="6"/>
  <c r="BA187" i="6"/>
  <c r="AU187" i="6"/>
  <c r="X182" i="12" a="1"/>
  <c r="X182" i="12" s="1"/>
  <c r="E196" i="12"/>
  <c r="K195" i="12"/>
  <c r="N183" i="12"/>
  <c r="I185" i="12"/>
  <c r="L185" i="5"/>
  <c r="AM185" i="5"/>
  <c r="Z185" i="5"/>
  <c r="C184" i="6"/>
  <c r="C184" i="12"/>
  <c r="O184" i="12" a="1"/>
  <c r="O184" i="12" s="1"/>
  <c r="AO184" i="12" a="1"/>
  <c r="AO184" i="12" s="1"/>
  <c r="M184" i="12" a="1"/>
  <c r="M184" i="12" s="1"/>
  <c r="Y183" i="12"/>
  <c r="F196" i="12" a="1"/>
  <c r="F196" i="12" s="1"/>
  <c r="AG196" i="5" a="1"/>
  <c r="AG196" i="5" s="1"/>
  <c r="H196" i="6" a="1"/>
  <c r="H196" i="6" s="1"/>
  <c r="T196" i="5" s="1"/>
  <c r="G196" i="12" s="1" a="1"/>
  <c r="G196" i="12" s="1"/>
  <c r="J196" i="6" a="1"/>
  <c r="J196" i="6" s="1"/>
  <c r="X186" i="5" a="1"/>
  <c r="X186" i="5" s="1"/>
  <c r="H195" i="6" a="1"/>
  <c r="H195" i="6" s="1"/>
  <c r="T182" i="12"/>
  <c r="V182" i="12" a="1"/>
  <c r="V182" i="12" s="1"/>
  <c r="U182" i="12"/>
  <c r="M188" i="6"/>
  <c r="A189" i="6"/>
  <c r="BG187" i="6"/>
  <c r="BJ187" i="6"/>
  <c r="BV187" i="6" a="1"/>
  <c r="BV187" i="6" s="1"/>
  <c r="BX187" i="6" a="1"/>
  <c r="BX187" i="6" s="1"/>
  <c r="CD187" i="6" a="1"/>
  <c r="CD187" i="6" s="1"/>
  <c r="BZ187" i="6" a="1"/>
  <c r="BZ187" i="6" s="1"/>
  <c r="BY187" i="6" a="1"/>
  <c r="BY187" i="6" s="1"/>
  <c r="BC187" i="6"/>
  <c r="AQ187" i="6"/>
  <c r="AP187" i="6"/>
  <c r="BI187" i="6"/>
  <c r="AK187" i="6"/>
  <c r="CB187" i="6" a="1"/>
  <c r="CB187" i="6" s="1"/>
  <c r="CC187" i="6" a="1"/>
  <c r="CC187" i="6" s="1"/>
  <c r="BW187" i="6" a="1"/>
  <c r="BW187" i="6" s="1"/>
  <c r="BL187" i="6"/>
  <c r="AR187" i="6"/>
  <c r="BE187" i="6"/>
  <c r="AS187" i="6"/>
  <c r="BH187" i="6"/>
  <c r="AJ187" i="6"/>
  <c r="BK187" i="6"/>
  <c r="BF187" i="6"/>
  <c r="AO187" i="6"/>
  <c r="BD187" i="6"/>
  <c r="CE187" i="6" a="1"/>
  <c r="CE187" i="6" s="1"/>
  <c r="CA187" i="6" a="1"/>
  <c r="CA187" i="6" s="1"/>
  <c r="AN187" i="6"/>
  <c r="AL187" i="6"/>
  <c r="AM187" i="6"/>
  <c r="L197" i="6"/>
  <c r="C197" i="5"/>
  <c r="AB184" i="5" a="1"/>
  <c r="AB184" i="5" s="1"/>
  <c r="CI188" i="6" l="1" a="1"/>
  <c r="CI188" i="6" s="1"/>
  <c r="BQ188" i="6"/>
  <c r="CM188" i="6" a="1"/>
  <c r="CM188" i="6" s="1"/>
  <c r="BO188" i="6"/>
  <c r="CH188" i="6" a="1"/>
  <c r="CH188" i="6" s="1"/>
  <c r="BN188" i="6"/>
  <c r="CL188" i="6" a="1"/>
  <c r="CL188" i="6" s="1"/>
  <c r="BS188" i="6"/>
  <c r="CK188" i="6" a="1"/>
  <c r="CK188" i="6" s="1"/>
  <c r="BR188" i="6"/>
  <c r="CF188" i="6" a="1"/>
  <c r="CF188" i="6" s="1"/>
  <c r="AT188" i="6"/>
  <c r="CJ188" i="6" a="1"/>
  <c r="CJ188" i="6" s="1"/>
  <c r="BP188" i="6"/>
  <c r="BT188" i="6"/>
  <c r="CG188" i="6" a="1"/>
  <c r="CG188" i="6" s="1"/>
  <c r="BM188" i="6"/>
  <c r="AW188" i="6"/>
  <c r="AX188" i="6"/>
  <c r="AY188" i="6"/>
  <c r="AZ188" i="6"/>
  <c r="BA188" i="6"/>
  <c r="AU188" i="6"/>
  <c r="AV188" i="6"/>
  <c r="T195" i="5"/>
  <c r="G195" i="12" s="1" a="1"/>
  <c r="G195" i="12" s="1"/>
  <c r="F196" i="6"/>
  <c r="Y184" i="12"/>
  <c r="X184" i="12" s="1" a="1"/>
  <c r="X184" i="12" s="1"/>
  <c r="G196" i="6"/>
  <c r="I186" i="12"/>
  <c r="AM186" i="5"/>
  <c r="L186" i="5"/>
  <c r="Z186" i="5"/>
  <c r="X183" i="12" a="1"/>
  <c r="X183" i="12" s="1"/>
  <c r="W183" i="12" a="1"/>
  <c r="W183" i="12" s="1"/>
  <c r="A197" i="12"/>
  <c r="C198" i="5"/>
  <c r="AE197" i="5" a="1"/>
  <c r="AE197" i="5" s="1"/>
  <c r="W197" i="5" a="1"/>
  <c r="W197" i="5" s="1"/>
  <c r="H197" i="12" s="1" a="1"/>
  <c r="H197" i="12" s="1"/>
  <c r="H197" i="5"/>
  <c r="AD197" i="5"/>
  <c r="G197" i="5"/>
  <c r="F197" i="5"/>
  <c r="E197" i="5"/>
  <c r="D197" i="5"/>
  <c r="B197" i="12" s="1"/>
  <c r="K197" i="5"/>
  <c r="J197" i="5"/>
  <c r="N197" i="5"/>
  <c r="D197" i="6" s="1"/>
  <c r="B197" i="5"/>
  <c r="C185" i="6"/>
  <c r="AB185" i="5" a="1"/>
  <c r="AB185" i="5" s="1"/>
  <c r="C185" i="12"/>
  <c r="O185" i="12" a="1"/>
  <c r="O185" i="12" s="1"/>
  <c r="M185" i="12" a="1"/>
  <c r="M185" i="12" s="1"/>
  <c r="AO185" i="12" a="1"/>
  <c r="AO185" i="12" s="1"/>
  <c r="M189" i="6"/>
  <c r="A190" i="6"/>
  <c r="BW188" i="6" a="1"/>
  <c r="BW188" i="6" s="1"/>
  <c r="BC188" i="6"/>
  <c r="BK188" i="6"/>
  <c r="CA188" i="6" a="1"/>
  <c r="CA188" i="6" s="1"/>
  <c r="AM188" i="6"/>
  <c r="CC188" i="6" a="1"/>
  <c r="CC188" i="6" s="1"/>
  <c r="BY188" i="6" a="1"/>
  <c r="BY188" i="6" s="1"/>
  <c r="BL188" i="6"/>
  <c r="AQ188" i="6"/>
  <c r="BX188" i="6" a="1"/>
  <c r="BX188" i="6" s="1"/>
  <c r="BJ188" i="6"/>
  <c r="AP188" i="6"/>
  <c r="CD188" i="6" a="1"/>
  <c r="CD188" i="6" s="1"/>
  <c r="AJ188" i="6"/>
  <c r="BI188" i="6"/>
  <c r="BG188" i="6"/>
  <c r="BZ188" i="6" a="1"/>
  <c r="BZ188" i="6" s="1"/>
  <c r="BE188" i="6"/>
  <c r="CB188" i="6" a="1"/>
  <c r="CB188" i="6" s="1"/>
  <c r="BH188" i="6"/>
  <c r="BD188" i="6"/>
  <c r="BV188" i="6" a="1"/>
  <c r="BV188" i="6" s="1"/>
  <c r="AL188" i="6"/>
  <c r="CE188" i="6" a="1"/>
  <c r="CE188" i="6" s="1"/>
  <c r="BF188" i="6"/>
  <c r="AK188" i="6"/>
  <c r="AS188" i="6"/>
  <c r="AN188" i="6"/>
  <c r="AO188" i="6"/>
  <c r="AR188" i="6"/>
  <c r="N184" i="12"/>
  <c r="B197" i="6"/>
  <c r="L198" i="6"/>
  <c r="X187" i="5" a="1"/>
  <c r="X187" i="5" s="1"/>
  <c r="CF189" i="6" l="1" a="1"/>
  <c r="CF189" i="6" s="1"/>
  <c r="BN189" i="6"/>
  <c r="CI189" i="6" a="1"/>
  <c r="CI189" i="6" s="1"/>
  <c r="BT189" i="6"/>
  <c r="CH189" i="6" a="1"/>
  <c r="CH189" i="6" s="1"/>
  <c r="BS189" i="6"/>
  <c r="BM189" i="6"/>
  <c r="AU189" i="6"/>
  <c r="CM189" i="6" a="1"/>
  <c r="CM189" i="6" s="1"/>
  <c r="BR189" i="6"/>
  <c r="CK189" i="6" a="1"/>
  <c r="CK189" i="6" s="1"/>
  <c r="CJ189" i="6" a="1"/>
  <c r="CJ189" i="6" s="1"/>
  <c r="BP189" i="6"/>
  <c r="CG189" i="6" a="1"/>
  <c r="CG189" i="6" s="1"/>
  <c r="CL189" i="6" a="1"/>
  <c r="CL189" i="6" s="1"/>
  <c r="BQ189" i="6"/>
  <c r="BO189" i="6"/>
  <c r="AX189" i="6"/>
  <c r="BA189" i="6"/>
  <c r="AV189" i="6"/>
  <c r="AT189" i="6"/>
  <c r="AZ189" i="6"/>
  <c r="AW189" i="6"/>
  <c r="AY189" i="6"/>
  <c r="W184" i="12" a="1"/>
  <c r="W184" i="12" s="1"/>
  <c r="U184" i="12" s="1"/>
  <c r="Y185" i="12"/>
  <c r="X185" i="12" s="1" a="1"/>
  <c r="X185" i="12" s="1"/>
  <c r="H197" i="6" a="1"/>
  <c r="H197" i="6" s="1"/>
  <c r="T197" i="5" s="1"/>
  <c r="G197" i="12" s="1" a="1"/>
  <c r="G197" i="12" s="1"/>
  <c r="B198" i="6"/>
  <c r="L199" i="6"/>
  <c r="AB186" i="5" a="1"/>
  <c r="AB186" i="5" s="1"/>
  <c r="C186" i="6"/>
  <c r="M190" i="6"/>
  <c r="A191" i="6"/>
  <c r="A198" i="12"/>
  <c r="B198" i="5"/>
  <c r="N198" i="5"/>
  <c r="D198" i="6" s="1"/>
  <c r="K198" i="5"/>
  <c r="J198" i="5"/>
  <c r="F198" i="5"/>
  <c r="E198" i="5"/>
  <c r="D198" i="5"/>
  <c r="B198" i="12" s="1"/>
  <c r="AE198" i="5" a="1"/>
  <c r="AE198" i="5" s="1"/>
  <c r="AD198" i="5"/>
  <c r="W198" i="5" a="1"/>
  <c r="W198" i="5" s="1"/>
  <c r="H198" i="12" s="1" a="1"/>
  <c r="H198" i="12" s="1"/>
  <c r="C199" i="5"/>
  <c r="H198" i="5"/>
  <c r="G198" i="5"/>
  <c r="BG189" i="6"/>
  <c r="BV189" i="6" a="1"/>
  <c r="BV189" i="6" s="1"/>
  <c r="BD189" i="6"/>
  <c r="CD189" i="6" a="1"/>
  <c r="CD189" i="6" s="1"/>
  <c r="CB189" i="6" a="1"/>
  <c r="CB189" i="6" s="1"/>
  <c r="AR189" i="6"/>
  <c r="BL189" i="6"/>
  <c r="BH189" i="6"/>
  <c r="CA189" i="6" a="1"/>
  <c r="CA189" i="6" s="1"/>
  <c r="AO189" i="6"/>
  <c r="AN189" i="6"/>
  <c r="AP189" i="6"/>
  <c r="CC189" i="6" a="1"/>
  <c r="CC189" i="6" s="1"/>
  <c r="BC189" i="6"/>
  <c r="BI189" i="6"/>
  <c r="AM189" i="6"/>
  <c r="BK189" i="6"/>
  <c r="AS189" i="6"/>
  <c r="BZ189" i="6" a="1"/>
  <c r="BZ189" i="6" s="1"/>
  <c r="AK189" i="6"/>
  <c r="BX189" i="6" a="1"/>
  <c r="BX189" i="6" s="1"/>
  <c r="CE189" i="6" a="1"/>
  <c r="CE189" i="6" s="1"/>
  <c r="BF189" i="6"/>
  <c r="BW189" i="6" a="1"/>
  <c r="BW189" i="6" s="1"/>
  <c r="BY189" i="6" a="1"/>
  <c r="BY189" i="6" s="1"/>
  <c r="AJ189" i="6"/>
  <c r="BE189" i="6"/>
  <c r="BJ189" i="6"/>
  <c r="AQ189" i="6"/>
  <c r="AL189" i="6"/>
  <c r="J197" i="12" a="1"/>
  <c r="J197" i="12" s="1"/>
  <c r="L197" i="12" a="1"/>
  <c r="L197" i="12" s="1"/>
  <c r="C186" i="12"/>
  <c r="O186" i="12" a="1"/>
  <c r="O186" i="12" s="1"/>
  <c r="M186" i="12" a="1"/>
  <c r="M186" i="12" s="1"/>
  <c r="AO186" i="12" a="1"/>
  <c r="AO186" i="12" s="1"/>
  <c r="V183" i="12" a="1"/>
  <c r="V183" i="12" s="1"/>
  <c r="T183" i="12"/>
  <c r="U183" i="12"/>
  <c r="X188" i="5" a="1"/>
  <c r="X188" i="5" s="1"/>
  <c r="I187" i="12"/>
  <c r="AM187" i="5"/>
  <c r="L187" i="5"/>
  <c r="Z187" i="5"/>
  <c r="N185" i="12"/>
  <c r="CJ190" i="6" l="1" a="1"/>
  <c r="CJ190" i="6" s="1"/>
  <c r="CI190" i="6" a="1"/>
  <c r="CI190" i="6" s="1"/>
  <c r="BQ190" i="6"/>
  <c r="CM190" i="6" a="1"/>
  <c r="CM190" i="6" s="1"/>
  <c r="BO190" i="6"/>
  <c r="BS190" i="6"/>
  <c r="AX190" i="6"/>
  <c r="CH190" i="6" a="1"/>
  <c r="CH190" i="6" s="1"/>
  <c r="BN190" i="6"/>
  <c r="BR190" i="6"/>
  <c r="AW190" i="6"/>
  <c r="CL190" i="6" a="1"/>
  <c r="CL190" i="6" s="1"/>
  <c r="BP190" i="6"/>
  <c r="CG190" i="6" a="1"/>
  <c r="CG190" i="6" s="1"/>
  <c r="BM190" i="6"/>
  <c r="CF190" i="6" a="1"/>
  <c r="CF190" i="6" s="1"/>
  <c r="BT190" i="6"/>
  <c r="CK190" i="6" a="1"/>
  <c r="CK190" i="6" s="1"/>
  <c r="BA190" i="6"/>
  <c r="AY190" i="6"/>
  <c r="AU190" i="6"/>
  <c r="AT190" i="6"/>
  <c r="AV190" i="6"/>
  <c r="AZ190" i="6"/>
  <c r="W185" i="12" a="1"/>
  <c r="W185" i="12" s="1"/>
  <c r="T185" i="12" s="1"/>
  <c r="V184" i="12" a="1"/>
  <c r="V184" i="12" s="1"/>
  <c r="T184" i="12"/>
  <c r="X189" i="5" a="1"/>
  <c r="X189" i="5" s="1"/>
  <c r="I189" i="12" s="1"/>
  <c r="K197" i="12"/>
  <c r="M191" i="6"/>
  <c r="A192" i="6"/>
  <c r="H198" i="6" a="1"/>
  <c r="H198" i="6" s="1"/>
  <c r="T198" i="5" s="1"/>
  <c r="G198" i="12" s="1" a="1"/>
  <c r="G198" i="12" s="1"/>
  <c r="C187" i="12"/>
  <c r="O187" i="12" a="1"/>
  <c r="O187" i="12" s="1"/>
  <c r="AO187" i="12" a="1"/>
  <c r="AO187" i="12" s="1"/>
  <c r="M187" i="12" a="1"/>
  <c r="M187" i="12" s="1"/>
  <c r="BF190" i="6"/>
  <c r="BL190" i="6"/>
  <c r="AN190" i="6"/>
  <c r="CD190" i="6" a="1"/>
  <c r="CD190" i="6" s="1"/>
  <c r="BE190" i="6"/>
  <c r="CB190" i="6" a="1"/>
  <c r="CB190" i="6" s="1"/>
  <c r="BV190" i="6" a="1"/>
  <c r="BV190" i="6" s="1"/>
  <c r="BK190" i="6"/>
  <c r="CC190" i="6" a="1"/>
  <c r="CC190" i="6" s="1"/>
  <c r="BJ190" i="6"/>
  <c r="BX190" i="6" a="1"/>
  <c r="BX190" i="6" s="1"/>
  <c r="BZ190" i="6" a="1"/>
  <c r="BZ190" i="6" s="1"/>
  <c r="BW190" i="6" a="1"/>
  <c r="BW190" i="6" s="1"/>
  <c r="BH190" i="6"/>
  <c r="AL190" i="6"/>
  <c r="BG190" i="6"/>
  <c r="CA190" i="6" a="1"/>
  <c r="CA190" i="6" s="1"/>
  <c r="BC190" i="6"/>
  <c r="BI190" i="6"/>
  <c r="CE190" i="6" a="1"/>
  <c r="CE190" i="6" s="1"/>
  <c r="BD190" i="6"/>
  <c r="BY190" i="6" a="1"/>
  <c r="BY190" i="6" s="1"/>
  <c r="AQ190" i="6"/>
  <c r="AS190" i="6"/>
  <c r="AM190" i="6"/>
  <c r="AJ190" i="6"/>
  <c r="AP190" i="6"/>
  <c r="AO190" i="6"/>
  <c r="AR190" i="6"/>
  <c r="AK190" i="6"/>
  <c r="L200" i="6"/>
  <c r="B199" i="6"/>
  <c r="N186" i="12"/>
  <c r="I188" i="12"/>
  <c r="L188" i="5"/>
  <c r="AM188" i="5"/>
  <c r="Z188" i="5"/>
  <c r="A199" i="12"/>
  <c r="J199" i="5"/>
  <c r="C200" i="5"/>
  <c r="AE199" i="5" a="1"/>
  <c r="AE199" i="5" s="1"/>
  <c r="W199" i="5" a="1"/>
  <c r="W199" i="5" s="1"/>
  <c r="H199" i="12" s="1" a="1"/>
  <c r="H199" i="12" s="1"/>
  <c r="H199" i="5"/>
  <c r="AD199" i="5"/>
  <c r="G199" i="5"/>
  <c r="F199" i="5"/>
  <c r="E199" i="5"/>
  <c r="N199" i="5"/>
  <c r="D199" i="6" s="1"/>
  <c r="K199" i="5"/>
  <c r="B199" i="5"/>
  <c r="D199" i="5"/>
  <c r="B199" i="12" s="1"/>
  <c r="AB187" i="5" a="1"/>
  <c r="AB187" i="5" s="1"/>
  <c r="C187" i="6"/>
  <c r="Y186" i="12"/>
  <c r="J198" i="12" a="1"/>
  <c r="J198" i="12" s="1"/>
  <c r="L198" i="12" a="1"/>
  <c r="L198" i="12" s="1"/>
  <c r="CG191" i="6" l="1" a="1"/>
  <c r="CG191" i="6" s="1"/>
  <c r="BM191" i="6"/>
  <c r="AX191" i="6"/>
  <c r="CL191" i="6" a="1"/>
  <c r="CL191" i="6" s="1"/>
  <c r="BQ191" i="6"/>
  <c r="CH191" i="6" a="1"/>
  <c r="CH191" i="6" s="1"/>
  <c r="CK191" i="6" a="1"/>
  <c r="CK191" i="6" s="1"/>
  <c r="BO191" i="6"/>
  <c r="BP191" i="6"/>
  <c r="CF191" i="6" a="1"/>
  <c r="CF191" i="6" s="1"/>
  <c r="BN191" i="6"/>
  <c r="AU191" i="6"/>
  <c r="CI191" i="6" a="1"/>
  <c r="CI191" i="6" s="1"/>
  <c r="BT191" i="6"/>
  <c r="CM191" i="6" a="1"/>
  <c r="CM191" i="6" s="1"/>
  <c r="BS191" i="6"/>
  <c r="AZ191" i="6"/>
  <c r="CJ191" i="6" a="1"/>
  <c r="CJ191" i="6" s="1"/>
  <c r="BR191" i="6"/>
  <c r="AY191" i="6"/>
  <c r="BA191" i="6"/>
  <c r="AV191" i="6"/>
  <c r="AW191" i="6"/>
  <c r="AT191" i="6"/>
  <c r="U185" i="12"/>
  <c r="V185" i="12" a="1"/>
  <c r="V185" i="12" s="1"/>
  <c r="Z189" i="5"/>
  <c r="AB189" i="5" s="1" a="1"/>
  <c r="AB189" i="5" s="1"/>
  <c r="L189" i="5"/>
  <c r="C189" i="6" s="1"/>
  <c r="Y187" i="12"/>
  <c r="W187" i="12" s="1" a="1"/>
  <c r="W187" i="12" s="1"/>
  <c r="AM189" i="5"/>
  <c r="C188" i="12"/>
  <c r="O188" i="12" a="1"/>
  <c r="O188" i="12" s="1"/>
  <c r="M188" i="12" a="1"/>
  <c r="M188" i="12" s="1"/>
  <c r="AO188" i="12" a="1"/>
  <c r="AO188" i="12" s="1"/>
  <c r="AB188" i="5" a="1"/>
  <c r="AB188" i="5" s="1"/>
  <c r="X190" i="5" a="1"/>
  <c r="X190" i="5" s="1"/>
  <c r="L201" i="6"/>
  <c r="B200" i="6"/>
  <c r="M192" i="6"/>
  <c r="A193" i="6"/>
  <c r="N187" i="12"/>
  <c r="X186" i="12" a="1"/>
  <c r="X186" i="12" s="1"/>
  <c r="W186" i="12" a="1"/>
  <c r="W186" i="12" s="1"/>
  <c r="CE191" i="6" a="1"/>
  <c r="CE191" i="6" s="1"/>
  <c r="BL191" i="6"/>
  <c r="BY191" i="6" a="1"/>
  <c r="BY191" i="6" s="1"/>
  <c r="CA191" i="6" a="1"/>
  <c r="CA191" i="6" s="1"/>
  <c r="BG191" i="6"/>
  <c r="BI191" i="6"/>
  <c r="BF191" i="6"/>
  <c r="BE191" i="6"/>
  <c r="BD191" i="6"/>
  <c r="CB191" i="6" a="1"/>
  <c r="CB191" i="6" s="1"/>
  <c r="CC191" i="6" a="1"/>
  <c r="CC191" i="6" s="1"/>
  <c r="BH191" i="6"/>
  <c r="BX191" i="6" a="1"/>
  <c r="BX191" i="6" s="1"/>
  <c r="BW191" i="6" a="1"/>
  <c r="BW191" i="6" s="1"/>
  <c r="BC191" i="6"/>
  <c r="CD191" i="6" a="1"/>
  <c r="CD191" i="6" s="1"/>
  <c r="BK191" i="6"/>
  <c r="BV191" i="6" a="1"/>
  <c r="BV191" i="6" s="1"/>
  <c r="BZ191" i="6" a="1"/>
  <c r="BZ191" i="6" s="1"/>
  <c r="BJ191" i="6"/>
  <c r="AP191" i="6"/>
  <c r="AM191" i="6"/>
  <c r="AN191" i="6"/>
  <c r="AQ191" i="6"/>
  <c r="AL191" i="6"/>
  <c r="AO191" i="6"/>
  <c r="AS191" i="6"/>
  <c r="AR191" i="6"/>
  <c r="AK191" i="6"/>
  <c r="AJ191" i="6"/>
  <c r="C188" i="6"/>
  <c r="H199" i="6" a="1"/>
  <c r="H199" i="6" s="1"/>
  <c r="T199" i="5" s="1"/>
  <c r="G199" i="12" s="1" a="1"/>
  <c r="G199" i="12" s="1"/>
  <c r="A200" i="12"/>
  <c r="E200" i="5"/>
  <c r="D200" i="5"/>
  <c r="B200" i="12" s="1"/>
  <c r="B200" i="5"/>
  <c r="N200" i="5"/>
  <c r="C201" i="5"/>
  <c r="AE200" i="5" a="1"/>
  <c r="AE200" i="5" s="1"/>
  <c r="W200" i="5" a="1"/>
  <c r="W200" i="5" s="1"/>
  <c r="H200" i="12" s="1" a="1"/>
  <c r="H200" i="12" s="1"/>
  <c r="H200" i="5"/>
  <c r="AD200" i="5"/>
  <c r="G200" i="5"/>
  <c r="F200" i="5"/>
  <c r="K200" i="5"/>
  <c r="J200" i="5"/>
  <c r="K198" i="12"/>
  <c r="L199" i="12" a="1"/>
  <c r="L199" i="12" s="1"/>
  <c r="J199" i="12" a="1"/>
  <c r="J199" i="12" s="1"/>
  <c r="C189" i="12"/>
  <c r="O189" i="12" a="1"/>
  <c r="O189" i="12" s="1"/>
  <c r="AO189" i="12" a="1"/>
  <c r="AO189" i="12" s="1"/>
  <c r="M189" i="12" a="1"/>
  <c r="M189" i="12" s="1"/>
  <c r="CF192" i="6" l="1" a="1"/>
  <c r="CF192" i="6" s="1"/>
  <c r="CJ192" i="6" a="1"/>
  <c r="CJ192" i="6" s="1"/>
  <c r="BQ192" i="6"/>
  <c r="BP192" i="6"/>
  <c r="CL192" i="6" a="1"/>
  <c r="CL192" i="6" s="1"/>
  <c r="BO192" i="6"/>
  <c r="CI192" i="6" a="1"/>
  <c r="CI192" i="6" s="1"/>
  <c r="BN192" i="6"/>
  <c r="BM192" i="6"/>
  <c r="CH192" i="6" a="1"/>
  <c r="CH192" i="6" s="1"/>
  <c r="BT192" i="6"/>
  <c r="AW192" i="6"/>
  <c r="CM192" i="6" a="1"/>
  <c r="CM192" i="6" s="1"/>
  <c r="BS192" i="6"/>
  <c r="BA192" i="6"/>
  <c r="CK192" i="6" a="1"/>
  <c r="CK192" i="6" s="1"/>
  <c r="BR192" i="6"/>
  <c r="CG192" i="6" a="1"/>
  <c r="CG192" i="6" s="1"/>
  <c r="AT192" i="6"/>
  <c r="AX192" i="6"/>
  <c r="AY192" i="6"/>
  <c r="AU192" i="6"/>
  <c r="AZ192" i="6"/>
  <c r="AV192" i="6"/>
  <c r="X187" i="12" a="1"/>
  <c r="X187" i="12" s="1"/>
  <c r="N188" i="12"/>
  <c r="X191" i="5" a="1"/>
  <c r="X191" i="5" s="1"/>
  <c r="AM191" i="5" s="1"/>
  <c r="N189" i="12"/>
  <c r="A201" i="12"/>
  <c r="K201" i="5"/>
  <c r="J201" i="5"/>
  <c r="C202" i="5"/>
  <c r="AE201" i="5" a="1"/>
  <c r="AE201" i="5" s="1"/>
  <c r="W201" i="5" a="1"/>
  <c r="W201" i="5" s="1"/>
  <c r="H201" i="12" s="1" a="1"/>
  <c r="H201" i="12" s="1"/>
  <c r="H201" i="5"/>
  <c r="AD201" i="5"/>
  <c r="G201" i="5"/>
  <c r="B201" i="5"/>
  <c r="N201" i="5"/>
  <c r="D201" i="6" s="1"/>
  <c r="F201" i="5"/>
  <c r="E201" i="5"/>
  <c r="D201" i="5"/>
  <c r="B201" i="12" s="1"/>
  <c r="M193" i="6"/>
  <c r="A194" i="6"/>
  <c r="AJ192" i="6"/>
  <c r="AP192" i="6"/>
  <c r="CA192" i="6" a="1"/>
  <c r="CA192" i="6" s="1"/>
  <c r="CE192" i="6" a="1"/>
  <c r="CE192" i="6" s="1"/>
  <c r="CB192" i="6" a="1"/>
  <c r="CB192" i="6" s="1"/>
  <c r="CC192" i="6" a="1"/>
  <c r="CC192" i="6" s="1"/>
  <c r="BE192" i="6"/>
  <c r="BV192" i="6" a="1"/>
  <c r="BV192" i="6" s="1"/>
  <c r="BL192" i="6"/>
  <c r="BI192" i="6"/>
  <c r="BH192" i="6"/>
  <c r="AN192" i="6"/>
  <c r="AR192" i="6"/>
  <c r="AO192" i="6"/>
  <c r="BY192" i="6" a="1"/>
  <c r="BY192" i="6" s="1"/>
  <c r="AM192" i="6"/>
  <c r="BZ192" i="6" a="1"/>
  <c r="BZ192" i="6" s="1"/>
  <c r="BK192" i="6"/>
  <c r="BJ192" i="6"/>
  <c r="AL192" i="6"/>
  <c r="CD192" i="6" a="1"/>
  <c r="CD192" i="6" s="1"/>
  <c r="BX192" i="6" a="1"/>
  <c r="BX192" i="6" s="1"/>
  <c r="AK192" i="6"/>
  <c r="BW192" i="6" a="1"/>
  <c r="BW192" i="6" s="1"/>
  <c r="BC192" i="6"/>
  <c r="BG192" i="6"/>
  <c r="AQ192" i="6"/>
  <c r="AS192" i="6"/>
  <c r="BF192" i="6"/>
  <c r="BD192" i="6"/>
  <c r="I190" i="12"/>
  <c r="L190" i="5"/>
  <c r="AM190" i="5"/>
  <c r="Z190" i="5"/>
  <c r="V187" i="12" a="1"/>
  <c r="V187" i="12" s="1"/>
  <c r="U187" i="12"/>
  <c r="T187" i="12"/>
  <c r="K199" i="12"/>
  <c r="U186" i="12"/>
  <c r="T186" i="12"/>
  <c r="V186" i="12" a="1"/>
  <c r="V186" i="12" s="1"/>
  <c r="D200" i="6"/>
  <c r="Y188" i="12"/>
  <c r="B201" i="6"/>
  <c r="L202" i="6"/>
  <c r="J200" i="12" a="1"/>
  <c r="J200" i="12" s="1"/>
  <c r="L200" i="12" a="1"/>
  <c r="L200" i="12" s="1"/>
  <c r="Y189" i="12"/>
  <c r="CG193" i="6" l="1" a="1"/>
  <c r="CG193" i="6" s="1"/>
  <c r="BM193" i="6"/>
  <c r="CM193" i="6" a="1"/>
  <c r="CM193" i="6" s="1"/>
  <c r="BT193" i="6"/>
  <c r="AX193" i="6"/>
  <c r="CK193" i="6" a="1"/>
  <c r="CK193" i="6" s="1"/>
  <c r="CJ193" i="6" a="1"/>
  <c r="CJ193" i="6" s="1"/>
  <c r="BQ193" i="6"/>
  <c r="BS193" i="6"/>
  <c r="BP193" i="6"/>
  <c r="AZ193" i="6"/>
  <c r="CF193" i="6" a="1"/>
  <c r="CF193" i="6" s="1"/>
  <c r="BO193" i="6"/>
  <c r="AV193" i="6"/>
  <c r="CL193" i="6" a="1"/>
  <c r="CL193" i="6" s="1"/>
  <c r="BN193" i="6"/>
  <c r="AU193" i="6"/>
  <c r="CI193" i="6" a="1"/>
  <c r="CI193" i="6" s="1"/>
  <c r="CH193" i="6" a="1"/>
  <c r="CH193" i="6" s="1"/>
  <c r="BR193" i="6"/>
  <c r="BA193" i="6"/>
  <c r="AT193" i="6"/>
  <c r="AW193" i="6"/>
  <c r="AY193" i="6"/>
  <c r="L191" i="5"/>
  <c r="I191" i="12"/>
  <c r="O191" i="12" s="1" a="1"/>
  <c r="O191" i="12" s="1"/>
  <c r="K200" i="12"/>
  <c r="Z191" i="5"/>
  <c r="H201" i="6" a="1"/>
  <c r="H201" i="6" s="1"/>
  <c r="T201" i="5" s="1"/>
  <c r="G201" i="12" s="1" a="1"/>
  <c r="G201" i="12" s="1"/>
  <c r="X188" i="12" a="1"/>
  <c r="X188" i="12" s="1"/>
  <c r="W188" i="12" a="1"/>
  <c r="W188" i="12" s="1"/>
  <c r="H200" i="6" a="1"/>
  <c r="H200" i="6" s="1"/>
  <c r="C190" i="6"/>
  <c r="X192" i="5" a="1"/>
  <c r="X192" i="5" s="1"/>
  <c r="A202" i="12"/>
  <c r="AD202" i="5"/>
  <c r="G202" i="5"/>
  <c r="F202" i="5"/>
  <c r="E202" i="5"/>
  <c r="D202" i="5"/>
  <c r="B202" i="12" s="1"/>
  <c r="B202" i="5"/>
  <c r="J202" i="5"/>
  <c r="C203" i="5"/>
  <c r="AE202" i="5" a="1"/>
  <c r="AE202" i="5" s="1"/>
  <c r="W202" i="5" a="1"/>
  <c r="W202" i="5" s="1"/>
  <c r="H202" i="12" s="1" a="1"/>
  <c r="H202" i="12" s="1"/>
  <c r="H202" i="5"/>
  <c r="N202" i="5"/>
  <c r="D202" i="6" s="1"/>
  <c r="K202" i="5"/>
  <c r="M194" i="6"/>
  <c r="A195" i="6"/>
  <c r="C190" i="12"/>
  <c r="M190" i="12" a="1"/>
  <c r="M190" i="12" s="1"/>
  <c r="O190" i="12" a="1"/>
  <c r="O190" i="12" s="1"/>
  <c r="AO190" i="12" a="1"/>
  <c r="AO190" i="12" s="1"/>
  <c r="BI193" i="6"/>
  <c r="AK193" i="6"/>
  <c r="BF193" i="6"/>
  <c r="CE193" i="6" a="1"/>
  <c r="CE193" i="6" s="1"/>
  <c r="CD193" i="6" a="1"/>
  <c r="CD193" i="6" s="1"/>
  <c r="BZ193" i="6" a="1"/>
  <c r="BZ193" i="6" s="1"/>
  <c r="BY193" i="6" a="1"/>
  <c r="BY193" i="6" s="1"/>
  <c r="BC193" i="6"/>
  <c r="BL193" i="6"/>
  <c r="BG193" i="6"/>
  <c r="AM193" i="6"/>
  <c r="BW193" i="6" a="1"/>
  <c r="BW193" i="6" s="1"/>
  <c r="BV193" i="6" a="1"/>
  <c r="BV193" i="6" s="1"/>
  <c r="BH193" i="6"/>
  <c r="CB193" i="6" a="1"/>
  <c r="CB193" i="6" s="1"/>
  <c r="CC193" i="6" a="1"/>
  <c r="CC193" i="6" s="1"/>
  <c r="AJ193" i="6"/>
  <c r="BK193" i="6"/>
  <c r="BD193" i="6"/>
  <c r="BE193" i="6"/>
  <c r="CA193" i="6" a="1"/>
  <c r="CA193" i="6" s="1"/>
  <c r="BX193" i="6" a="1"/>
  <c r="BX193" i="6" s="1"/>
  <c r="BJ193" i="6"/>
  <c r="AS193" i="6"/>
  <c r="AR193" i="6"/>
  <c r="AO193" i="6"/>
  <c r="AP193" i="6"/>
  <c r="AL193" i="6"/>
  <c r="AN193" i="6"/>
  <c r="AQ193" i="6"/>
  <c r="W189" i="12" a="1"/>
  <c r="W189" i="12" s="1"/>
  <c r="X189" i="12" a="1"/>
  <c r="X189" i="12" s="1"/>
  <c r="AB190" i="5" a="1"/>
  <c r="AB190" i="5" s="1"/>
  <c r="B202" i="6"/>
  <c r="L203" i="6"/>
  <c r="J201" i="12" a="1"/>
  <c r="J201" i="12" s="1"/>
  <c r="L201" i="12" a="1"/>
  <c r="L201" i="12" s="1"/>
  <c r="CJ194" i="6" l="1" a="1"/>
  <c r="CJ194" i="6" s="1"/>
  <c r="BQ194" i="6"/>
  <c r="CF194" i="6" a="1"/>
  <c r="CF194" i="6" s="1"/>
  <c r="BO194" i="6"/>
  <c r="CL194" i="6" a="1"/>
  <c r="CL194" i="6" s="1"/>
  <c r="BN194" i="6"/>
  <c r="CH194" i="6" a="1"/>
  <c r="CH194" i="6" s="1"/>
  <c r="BT194" i="6"/>
  <c r="CI194" i="6" a="1"/>
  <c r="CI194" i="6" s="1"/>
  <c r="BS194" i="6"/>
  <c r="CG194" i="6" a="1"/>
  <c r="CG194" i="6" s="1"/>
  <c r="BR194" i="6"/>
  <c r="CM194" i="6" a="1"/>
  <c r="CM194" i="6" s="1"/>
  <c r="BP194" i="6"/>
  <c r="CK194" i="6" a="1"/>
  <c r="CK194" i="6" s="1"/>
  <c r="BM194" i="6"/>
  <c r="AX194" i="6"/>
  <c r="AY194" i="6"/>
  <c r="AZ194" i="6"/>
  <c r="BA194" i="6"/>
  <c r="AT194" i="6"/>
  <c r="AU194" i="6"/>
  <c r="AV194" i="6"/>
  <c r="AW194" i="6"/>
  <c r="T200" i="5"/>
  <c r="G200" i="12" s="1" a="1"/>
  <c r="G200" i="12" s="1"/>
  <c r="C191" i="6"/>
  <c r="AB191" i="5" a="1"/>
  <c r="AB191" i="5" s="1"/>
  <c r="C191" i="12"/>
  <c r="M191" i="12" a="1"/>
  <c r="M191" i="12" s="1"/>
  <c r="N191" i="12" s="1"/>
  <c r="AO191" i="12" a="1"/>
  <c r="AO191" i="12" s="1"/>
  <c r="Y191" i="12" s="1"/>
  <c r="W191" i="12" s="1" a="1"/>
  <c r="W191" i="12" s="1"/>
  <c r="N190" i="12"/>
  <c r="K201" i="12"/>
  <c r="V189" i="12" a="1"/>
  <c r="V189" i="12" s="1"/>
  <c r="U189" i="12"/>
  <c r="T189" i="12"/>
  <c r="J202" i="12" a="1"/>
  <c r="J202" i="12" s="1"/>
  <c r="L202" i="12" a="1"/>
  <c r="L202" i="12" s="1"/>
  <c r="BG194" i="6"/>
  <c r="CA194" i="6" a="1"/>
  <c r="CA194" i="6" s="1"/>
  <c r="CE194" i="6" a="1"/>
  <c r="CE194" i="6" s="1"/>
  <c r="BH194" i="6"/>
  <c r="AK194" i="6"/>
  <c r="BX194" i="6" a="1"/>
  <c r="BX194" i="6" s="1"/>
  <c r="AM194" i="6"/>
  <c r="BF194" i="6"/>
  <c r="AS194" i="6"/>
  <c r="BI194" i="6"/>
  <c r="CD194" i="6" a="1"/>
  <c r="CD194" i="6" s="1"/>
  <c r="AQ194" i="6"/>
  <c r="CC194" i="6" a="1"/>
  <c r="CC194" i="6" s="1"/>
  <c r="BY194" i="6" a="1"/>
  <c r="BY194" i="6" s="1"/>
  <c r="BJ194" i="6"/>
  <c r="CB194" i="6" a="1"/>
  <c r="CB194" i="6" s="1"/>
  <c r="BE194" i="6"/>
  <c r="AN194" i="6"/>
  <c r="BV194" i="6" a="1"/>
  <c r="BV194" i="6" s="1"/>
  <c r="BW194" i="6" a="1"/>
  <c r="BW194" i="6" s="1"/>
  <c r="AP194" i="6"/>
  <c r="AR194" i="6"/>
  <c r="BD194" i="6"/>
  <c r="BL194" i="6"/>
  <c r="BZ194" i="6" a="1"/>
  <c r="BZ194" i="6" s="1"/>
  <c r="BK194" i="6"/>
  <c r="BC194" i="6"/>
  <c r="AJ194" i="6"/>
  <c r="AO194" i="6"/>
  <c r="AL194" i="6"/>
  <c r="X193" i="5" a="1"/>
  <c r="X193" i="5" s="1"/>
  <c r="I192" i="12"/>
  <c r="L192" i="5"/>
  <c r="AM192" i="5"/>
  <c r="Z192" i="5"/>
  <c r="U188" i="12"/>
  <c r="V188" i="12" a="1"/>
  <c r="V188" i="12" s="1"/>
  <c r="T188" i="12"/>
  <c r="H202" i="6" a="1"/>
  <c r="H202" i="6" s="1"/>
  <c r="T202" i="5" s="1"/>
  <c r="G202" i="12" s="1" a="1"/>
  <c r="G202" i="12" s="1"/>
  <c r="A196" i="6"/>
  <c r="M195" i="6"/>
  <c r="A203" i="12"/>
  <c r="B203" i="5"/>
  <c r="N203" i="5"/>
  <c r="K203" i="5"/>
  <c r="J203" i="5"/>
  <c r="E203" i="5"/>
  <c r="D203" i="5"/>
  <c r="B203" i="12" s="1"/>
  <c r="G203" i="5"/>
  <c r="F203" i="5"/>
  <c r="C204" i="5"/>
  <c r="AE203" i="5" a="1"/>
  <c r="AE203" i="5" s="1"/>
  <c r="H203" i="5"/>
  <c r="AD203" i="5"/>
  <c r="W203" i="5" a="1"/>
  <c r="W203" i="5" s="1"/>
  <c r="H203" i="12" s="1" a="1"/>
  <c r="H203" i="12" s="1"/>
  <c r="L204" i="6"/>
  <c r="B203" i="6"/>
  <c r="Y190" i="12"/>
  <c r="CJ195" i="6" l="1" a="1"/>
  <c r="CJ195" i="6" s="1"/>
  <c r="BQ195" i="6"/>
  <c r="CK195" i="6" a="1"/>
  <c r="CK195" i="6" s="1"/>
  <c r="CF195" i="6" a="1"/>
  <c r="CF195" i="6" s="1"/>
  <c r="BO195" i="6"/>
  <c r="CL195" i="6" a="1"/>
  <c r="CL195" i="6" s="1"/>
  <c r="BN195" i="6"/>
  <c r="AW195" i="6"/>
  <c r="CH195" i="6" a="1"/>
  <c r="CH195" i="6" s="1"/>
  <c r="BM195" i="6"/>
  <c r="CI195" i="6" a="1"/>
  <c r="CI195" i="6" s="1"/>
  <c r="BT195" i="6"/>
  <c r="BA195" i="6"/>
  <c r="CG195" i="6" a="1"/>
  <c r="CG195" i="6" s="1"/>
  <c r="BS195" i="6"/>
  <c r="CM195" i="6" a="1"/>
  <c r="CM195" i="6" s="1"/>
  <c r="BP195" i="6"/>
  <c r="BR195" i="6"/>
  <c r="AV195" i="6"/>
  <c r="AT195" i="6"/>
  <c r="AX195" i="6"/>
  <c r="AY195" i="6"/>
  <c r="AZ195" i="6"/>
  <c r="AU195" i="6"/>
  <c r="X191" i="12" a="1"/>
  <c r="X191" i="12" s="1"/>
  <c r="C192" i="12"/>
  <c r="O192" i="12" a="1"/>
  <c r="O192" i="12" s="1"/>
  <c r="AO192" i="12" a="1"/>
  <c r="AO192" i="12" s="1"/>
  <c r="M192" i="12" a="1"/>
  <c r="M192" i="12" s="1"/>
  <c r="K202" i="12"/>
  <c r="I193" i="12"/>
  <c r="L193" i="5"/>
  <c r="AM193" i="5"/>
  <c r="Z193" i="5"/>
  <c r="L203" i="12" a="1"/>
  <c r="L203" i="12" s="1"/>
  <c r="J203" i="12" a="1"/>
  <c r="J203" i="12" s="1"/>
  <c r="M196" i="6"/>
  <c r="X194" i="5" a="1"/>
  <c r="X194" i="5" s="1"/>
  <c r="V191" i="12" a="1"/>
  <c r="V191" i="12" s="1"/>
  <c r="U191" i="12"/>
  <c r="T191" i="12"/>
  <c r="X190" i="12" a="1"/>
  <c r="X190" i="12" s="1"/>
  <c r="W190" i="12" a="1"/>
  <c r="W190" i="12" s="1"/>
  <c r="BG195" i="6"/>
  <c r="BI195" i="6"/>
  <c r="BD195" i="6"/>
  <c r="BH195" i="6"/>
  <c r="BV195" i="6" a="1"/>
  <c r="BV195" i="6" s="1"/>
  <c r="AO195" i="6"/>
  <c r="CC195" i="6" a="1"/>
  <c r="CC195" i="6" s="1"/>
  <c r="BW195" i="6" a="1"/>
  <c r="BW195" i="6" s="1"/>
  <c r="AP195" i="6"/>
  <c r="BC195" i="6"/>
  <c r="CD195" i="6" a="1"/>
  <c r="CD195" i="6" s="1"/>
  <c r="BZ195" i="6" a="1"/>
  <c r="BZ195" i="6" s="1"/>
  <c r="BY195" i="6" a="1"/>
  <c r="BY195" i="6" s="1"/>
  <c r="BF195" i="6"/>
  <c r="CB195" i="6" a="1"/>
  <c r="CB195" i="6" s="1"/>
  <c r="BE195" i="6"/>
  <c r="BK195" i="6"/>
  <c r="BX195" i="6" a="1"/>
  <c r="BX195" i="6" s="1"/>
  <c r="AN195" i="6"/>
  <c r="CA195" i="6" a="1"/>
  <c r="CA195" i="6" s="1"/>
  <c r="BJ195" i="6"/>
  <c r="CE195" i="6" a="1"/>
  <c r="CE195" i="6" s="1"/>
  <c r="AM195" i="6"/>
  <c r="BL195" i="6"/>
  <c r="AQ195" i="6"/>
  <c r="AS195" i="6"/>
  <c r="AJ195" i="6"/>
  <c r="AR195" i="6"/>
  <c r="AK195" i="6"/>
  <c r="AL195" i="6"/>
  <c r="AB192" i="5" a="1"/>
  <c r="AB192" i="5" s="1"/>
  <c r="L205" i="6"/>
  <c r="B204" i="6"/>
  <c r="A204" i="12"/>
  <c r="C205" i="5"/>
  <c r="AE204" i="5" a="1"/>
  <c r="AE204" i="5" s="1"/>
  <c r="W204" i="5" a="1"/>
  <c r="W204" i="5" s="1"/>
  <c r="H204" i="12" s="1" a="1"/>
  <c r="H204" i="12" s="1"/>
  <c r="H204" i="5"/>
  <c r="AD204" i="5"/>
  <c r="G204" i="5"/>
  <c r="F204" i="5"/>
  <c r="E204" i="5"/>
  <c r="D204" i="5"/>
  <c r="B204" i="12" s="1"/>
  <c r="K204" i="5"/>
  <c r="J204" i="5"/>
  <c r="N204" i="5"/>
  <c r="D204" i="6" s="1"/>
  <c r="B204" i="5"/>
  <c r="D203" i="6"/>
  <c r="C192" i="6"/>
  <c r="CJ196" i="6" l="1" a="1"/>
  <c r="CJ196" i="6" s="1"/>
  <c r="BQ196" i="6"/>
  <c r="AW196" i="6"/>
  <c r="CF196" i="6" a="1"/>
  <c r="CF196" i="6" s="1"/>
  <c r="BO196" i="6"/>
  <c r="CL196" i="6" a="1"/>
  <c r="CL196" i="6" s="1"/>
  <c r="BN196" i="6"/>
  <c r="BT196" i="6"/>
  <c r="CK196" i="6" a="1"/>
  <c r="CK196" i="6" s="1"/>
  <c r="AT196" i="6"/>
  <c r="CH196" i="6" a="1"/>
  <c r="CH196" i="6" s="1"/>
  <c r="BS196" i="6"/>
  <c r="BA196" i="6"/>
  <c r="CI196" i="6" a="1"/>
  <c r="CI196" i="6" s="1"/>
  <c r="BR196" i="6"/>
  <c r="AZ196" i="6"/>
  <c r="CG196" i="6" a="1"/>
  <c r="CG196" i="6" s="1"/>
  <c r="BP196" i="6"/>
  <c r="AY196" i="6"/>
  <c r="CM196" i="6" a="1"/>
  <c r="CM196" i="6" s="1"/>
  <c r="BM196" i="6"/>
  <c r="AX196" i="6"/>
  <c r="AV196" i="6"/>
  <c r="AU196" i="6"/>
  <c r="K203" i="12"/>
  <c r="X195" i="5" a="1"/>
  <c r="X195" i="5" s="1"/>
  <c r="I195" i="12" s="1"/>
  <c r="Y192" i="12"/>
  <c r="X192" i="12" s="1" a="1"/>
  <c r="X192" i="12" s="1"/>
  <c r="H204" i="6" a="1"/>
  <c r="H204" i="6" s="1"/>
  <c r="T204" i="5" s="1"/>
  <c r="G204" i="12" s="1" a="1"/>
  <c r="G204" i="12" s="1"/>
  <c r="AB193" i="5" a="1"/>
  <c r="AB193" i="5" s="1"/>
  <c r="BZ196" i="6" a="1"/>
  <c r="BZ196" i="6" s="1"/>
  <c r="BK196" i="6"/>
  <c r="BE196" i="6"/>
  <c r="BJ196" i="6"/>
  <c r="BI196" i="6"/>
  <c r="BD196" i="6"/>
  <c r="CA196" i="6" a="1"/>
  <c r="CA196" i="6" s="1"/>
  <c r="BY196" i="6" a="1"/>
  <c r="BY196" i="6" s="1"/>
  <c r="BF196" i="6"/>
  <c r="CE196" i="6" a="1"/>
  <c r="CE196" i="6" s="1"/>
  <c r="CD196" i="6" a="1"/>
  <c r="CD196" i="6" s="1"/>
  <c r="BX196" i="6" a="1"/>
  <c r="BX196" i="6" s="1"/>
  <c r="BW196" i="6" a="1"/>
  <c r="BW196" i="6" s="1"/>
  <c r="BC196" i="6"/>
  <c r="AP196" i="6"/>
  <c r="AO196" i="6"/>
  <c r="CB196" i="6" a="1"/>
  <c r="CB196" i="6" s="1"/>
  <c r="CC196" i="6" a="1"/>
  <c r="CC196" i="6" s="1"/>
  <c r="BH196" i="6"/>
  <c r="AR196" i="6"/>
  <c r="BV196" i="6" a="1"/>
  <c r="BV196" i="6" s="1"/>
  <c r="BL196" i="6"/>
  <c r="BG196" i="6"/>
  <c r="AS196" i="6"/>
  <c r="AM196" i="6"/>
  <c r="AK196" i="6"/>
  <c r="AQ196" i="6"/>
  <c r="AL196" i="6"/>
  <c r="AN196" i="6"/>
  <c r="AJ196" i="6"/>
  <c r="C193" i="6"/>
  <c r="T190" i="12"/>
  <c r="V190" i="12" a="1"/>
  <c r="V190" i="12" s="1"/>
  <c r="U190" i="12"/>
  <c r="C193" i="12"/>
  <c r="AO193" i="12" a="1"/>
  <c r="AO193" i="12" s="1"/>
  <c r="M193" i="12" a="1"/>
  <c r="M193" i="12" s="1"/>
  <c r="O193" i="12" a="1"/>
  <c r="O193" i="12" s="1"/>
  <c r="A205" i="12"/>
  <c r="D205" i="5"/>
  <c r="B205" i="12" s="1"/>
  <c r="B205" i="5"/>
  <c r="N205" i="5"/>
  <c r="K205" i="5"/>
  <c r="AD205" i="5"/>
  <c r="G205" i="5"/>
  <c r="F205" i="5"/>
  <c r="E205" i="5"/>
  <c r="W205" i="5" a="1"/>
  <c r="W205" i="5" s="1"/>
  <c r="H205" i="12" s="1" a="1"/>
  <c r="H205" i="12" s="1"/>
  <c r="J205" i="5"/>
  <c r="H205" i="5"/>
  <c r="C206" i="5"/>
  <c r="AE205" i="5" a="1"/>
  <c r="AE205" i="5" s="1"/>
  <c r="H203" i="6" a="1"/>
  <c r="H203" i="6" s="1"/>
  <c r="N192" i="12"/>
  <c r="B205" i="6"/>
  <c r="L206" i="6"/>
  <c r="A197" i="6"/>
  <c r="L204" i="12" a="1"/>
  <c r="L204" i="12" s="1"/>
  <c r="J204" i="12" a="1"/>
  <c r="J204" i="12" s="1"/>
  <c r="I194" i="12"/>
  <c r="AM194" i="5"/>
  <c r="L194" i="5"/>
  <c r="Z194" i="5"/>
  <c r="T203" i="5" l="1"/>
  <c r="G203" i="12" s="1" a="1"/>
  <c r="G203" i="12" s="1"/>
  <c r="W192" i="12" a="1"/>
  <c r="W192" i="12" s="1"/>
  <c r="T192" i="12" s="1"/>
  <c r="Y193" i="12"/>
  <c r="W193" i="12" s="1" a="1"/>
  <c r="W193" i="12" s="1"/>
  <c r="Z195" i="5"/>
  <c r="AB195" i="5" s="1" a="1"/>
  <c r="AB195" i="5" s="1"/>
  <c r="AM195" i="5"/>
  <c r="L195" i="5"/>
  <c r="C195" i="6" s="1"/>
  <c r="N193" i="12"/>
  <c r="A206" i="12"/>
  <c r="K206" i="5"/>
  <c r="J206" i="5"/>
  <c r="C207" i="5"/>
  <c r="AE206" i="5" a="1"/>
  <c r="AE206" i="5" s="1"/>
  <c r="W206" i="5" a="1"/>
  <c r="W206" i="5" s="1"/>
  <c r="H206" i="12" s="1" a="1"/>
  <c r="H206" i="12" s="1"/>
  <c r="H206" i="5"/>
  <c r="AD206" i="5"/>
  <c r="G206" i="5"/>
  <c r="F206" i="5"/>
  <c r="B206" i="5"/>
  <c r="N206" i="5"/>
  <c r="D206" i="6" s="1"/>
  <c r="E206" i="5"/>
  <c r="D206" i="5"/>
  <c r="B206" i="12" s="1"/>
  <c r="B206" i="6"/>
  <c r="L207" i="6"/>
  <c r="C194" i="12"/>
  <c r="M194" i="12" a="1"/>
  <c r="M194" i="12" s="1"/>
  <c r="AO194" i="12" a="1"/>
  <c r="AO194" i="12" s="1"/>
  <c r="O194" i="12" a="1"/>
  <c r="O194" i="12" s="1"/>
  <c r="M197" i="6"/>
  <c r="A198" i="6"/>
  <c r="C194" i="6"/>
  <c r="AB194" i="5" a="1"/>
  <c r="AB194" i="5" s="1"/>
  <c r="L205" i="12" a="1"/>
  <c r="L205" i="12" s="1"/>
  <c r="J205" i="12" a="1"/>
  <c r="J205" i="12" s="1"/>
  <c r="K204" i="12"/>
  <c r="D205" i="6"/>
  <c r="C195" i="12"/>
  <c r="O195" i="12" a="1"/>
  <c r="O195" i="12" s="1"/>
  <c r="M195" i="12" a="1"/>
  <c r="M195" i="12" s="1"/>
  <c r="AO195" i="12" a="1"/>
  <c r="AO195" i="12" s="1"/>
  <c r="CJ197" i="6" l="1" a="1"/>
  <c r="CJ197" i="6" s="1"/>
  <c r="BQ197" i="6"/>
  <c r="CF197" i="6" a="1"/>
  <c r="CF197" i="6" s="1"/>
  <c r="BO197" i="6"/>
  <c r="CL197" i="6" a="1"/>
  <c r="CL197" i="6" s="1"/>
  <c r="BN197" i="6"/>
  <c r="BM197" i="6"/>
  <c r="CH197" i="6" a="1"/>
  <c r="CH197" i="6" s="1"/>
  <c r="BT197" i="6"/>
  <c r="AX197" i="6"/>
  <c r="CI197" i="6" a="1"/>
  <c r="CI197" i="6" s="1"/>
  <c r="BS197" i="6"/>
  <c r="AY197" i="6"/>
  <c r="CG197" i="6" a="1"/>
  <c r="CG197" i="6" s="1"/>
  <c r="BR197" i="6"/>
  <c r="BA197" i="6"/>
  <c r="AW197" i="6"/>
  <c r="CM197" i="6" a="1"/>
  <c r="CM197" i="6" s="1"/>
  <c r="BP197" i="6"/>
  <c r="AZ197" i="6"/>
  <c r="CK197" i="6" a="1"/>
  <c r="CK197" i="6" s="1"/>
  <c r="AT197" i="6"/>
  <c r="AU197" i="6"/>
  <c r="AV197" i="6"/>
  <c r="X193" i="12" a="1"/>
  <c r="X193" i="12" s="1"/>
  <c r="U192" i="12"/>
  <c r="V192" i="12" a="1"/>
  <c r="V192" i="12" s="1"/>
  <c r="N195" i="12"/>
  <c r="N194" i="12"/>
  <c r="Y194" i="12"/>
  <c r="X194" i="12" s="1" a="1"/>
  <c r="X194" i="12" s="1"/>
  <c r="H206" i="6" a="1"/>
  <c r="H206" i="6" s="1"/>
  <c r="T206" i="5" s="1"/>
  <c r="G206" i="12" s="1" a="1"/>
  <c r="G206" i="12" s="1"/>
  <c r="L208" i="6"/>
  <c r="B207" i="6"/>
  <c r="J206" i="12" a="1"/>
  <c r="J206" i="12" s="1"/>
  <c r="L206" i="12" a="1"/>
  <c r="L206" i="12" s="1"/>
  <c r="M198" i="6"/>
  <c r="A199" i="6"/>
  <c r="T193" i="12"/>
  <c r="U193" i="12"/>
  <c r="V193" i="12" a="1"/>
  <c r="V193" i="12" s="1"/>
  <c r="CB197" i="6" a="1"/>
  <c r="CB197" i="6" s="1"/>
  <c r="BE197" i="6"/>
  <c r="BC197" i="6"/>
  <c r="BG197" i="6"/>
  <c r="CA197" i="6" a="1"/>
  <c r="CA197" i="6" s="1"/>
  <c r="BH197" i="6"/>
  <c r="BV197" i="6" a="1"/>
  <c r="BV197" i="6" s="1"/>
  <c r="BJ197" i="6"/>
  <c r="BD197" i="6"/>
  <c r="CE197" i="6" a="1"/>
  <c r="CE197" i="6" s="1"/>
  <c r="CC197" i="6" a="1"/>
  <c r="CC197" i="6" s="1"/>
  <c r="BZ197" i="6" a="1"/>
  <c r="BZ197" i="6" s="1"/>
  <c r="BK197" i="6"/>
  <c r="BI197" i="6"/>
  <c r="BX197" i="6" a="1"/>
  <c r="BX197" i="6" s="1"/>
  <c r="AJ197" i="6"/>
  <c r="CD197" i="6" a="1"/>
  <c r="CD197" i="6" s="1"/>
  <c r="BF197" i="6"/>
  <c r="BW197" i="6" a="1"/>
  <c r="BW197" i="6" s="1"/>
  <c r="BY197" i="6" a="1"/>
  <c r="BY197" i="6" s="1"/>
  <c r="BL197" i="6"/>
  <c r="AR197" i="6"/>
  <c r="AL197" i="6"/>
  <c r="AP197" i="6"/>
  <c r="AM197" i="6"/>
  <c r="AS197" i="6"/>
  <c r="AQ197" i="6"/>
  <c r="AO197" i="6"/>
  <c r="AN197" i="6"/>
  <c r="AK197" i="6"/>
  <c r="H205" i="6" a="1"/>
  <c r="H205" i="6" s="1"/>
  <c r="Y195" i="12"/>
  <c r="A207" i="12"/>
  <c r="F207" i="5"/>
  <c r="E207" i="5"/>
  <c r="D207" i="5"/>
  <c r="B207" i="12" s="1"/>
  <c r="B207" i="5"/>
  <c r="N207" i="5"/>
  <c r="C208" i="5"/>
  <c r="AE207" i="5" a="1"/>
  <c r="AE207" i="5" s="1"/>
  <c r="W207" i="5" a="1"/>
  <c r="W207" i="5" s="1"/>
  <c r="H207" i="12" s="1" a="1"/>
  <c r="H207" i="12" s="1"/>
  <c r="H207" i="5"/>
  <c r="AD207" i="5"/>
  <c r="G207" i="5"/>
  <c r="K207" i="5"/>
  <c r="J207" i="5"/>
  <c r="K205" i="12"/>
  <c r="CK198" i="6" l="1" a="1"/>
  <c r="CK198" i="6" s="1"/>
  <c r="AX198" i="6"/>
  <c r="CJ198" i="6" a="1"/>
  <c r="CJ198" i="6" s="1"/>
  <c r="BQ198" i="6"/>
  <c r="BS198" i="6"/>
  <c r="AW198" i="6"/>
  <c r="CF198" i="6" a="1"/>
  <c r="CF198" i="6" s="1"/>
  <c r="BO198" i="6"/>
  <c r="CL198" i="6" a="1"/>
  <c r="CL198" i="6" s="1"/>
  <c r="BN198" i="6"/>
  <c r="BR198" i="6"/>
  <c r="CH198" i="6" a="1"/>
  <c r="CH198" i="6" s="1"/>
  <c r="BP198" i="6"/>
  <c r="CI198" i="6" a="1"/>
  <c r="CI198" i="6" s="1"/>
  <c r="BM198" i="6"/>
  <c r="AZ198" i="6"/>
  <c r="CM198" i="6" a="1"/>
  <c r="CM198" i="6" s="1"/>
  <c r="CG198" i="6" a="1"/>
  <c r="CG198" i="6" s="1"/>
  <c r="BT198" i="6"/>
  <c r="AY198" i="6"/>
  <c r="BA198" i="6"/>
  <c r="AU198" i="6"/>
  <c r="AT198" i="6"/>
  <c r="AV198" i="6"/>
  <c r="T205" i="5"/>
  <c r="G205" i="12" s="1" a="1"/>
  <c r="G205" i="12" s="1"/>
  <c r="W194" i="12" a="1"/>
  <c r="W194" i="12" s="1"/>
  <c r="T194" i="12" s="1"/>
  <c r="K206" i="12"/>
  <c r="B208" i="6"/>
  <c r="L209" i="6"/>
  <c r="CC198" i="6" a="1"/>
  <c r="CC198" i="6" s="1"/>
  <c r="BH198" i="6"/>
  <c r="BX198" i="6" a="1"/>
  <c r="BX198" i="6" s="1"/>
  <c r="BD198" i="6"/>
  <c r="AM198" i="6"/>
  <c r="BL198" i="6"/>
  <c r="BW198" i="6" a="1"/>
  <c r="BW198" i="6" s="1"/>
  <c r="BC198" i="6"/>
  <c r="CD198" i="6" a="1"/>
  <c r="CD198" i="6" s="1"/>
  <c r="CB198" i="6" a="1"/>
  <c r="CB198" i="6" s="1"/>
  <c r="BF198" i="6"/>
  <c r="BK198" i="6"/>
  <c r="BV198" i="6" a="1"/>
  <c r="BV198" i="6" s="1"/>
  <c r="BE198" i="6"/>
  <c r="BJ198" i="6"/>
  <c r="BY198" i="6" a="1"/>
  <c r="BY198" i="6" s="1"/>
  <c r="CA198" i="6" a="1"/>
  <c r="CA198" i="6" s="1"/>
  <c r="CE198" i="6" a="1"/>
  <c r="CE198" i="6" s="1"/>
  <c r="BG198" i="6"/>
  <c r="BI198" i="6"/>
  <c r="BZ198" i="6" a="1"/>
  <c r="BZ198" i="6" s="1"/>
  <c r="AP198" i="6"/>
  <c r="AJ198" i="6"/>
  <c r="AN198" i="6"/>
  <c r="AS198" i="6"/>
  <c r="AR198" i="6"/>
  <c r="AK198" i="6"/>
  <c r="AO198" i="6"/>
  <c r="AQ198" i="6"/>
  <c r="AL198" i="6"/>
  <c r="M199" i="6"/>
  <c r="A200" i="6"/>
  <c r="X197" i="5" a="1"/>
  <c r="X197" i="5" s="1"/>
  <c r="D207" i="6"/>
  <c r="L207" i="12" a="1"/>
  <c r="L207" i="12" s="1"/>
  <c r="J207" i="12" a="1"/>
  <c r="J207" i="12" s="1"/>
  <c r="A208" i="12"/>
  <c r="N208" i="5"/>
  <c r="K208" i="5"/>
  <c r="J208" i="5"/>
  <c r="AE208" i="5" a="1"/>
  <c r="AE208" i="5" s="1"/>
  <c r="W208" i="5" a="1"/>
  <c r="W208" i="5" s="1"/>
  <c r="H208" i="12" s="1" a="1"/>
  <c r="H208" i="12" s="1"/>
  <c r="H208" i="5"/>
  <c r="D208" i="5"/>
  <c r="B208" i="12" s="1"/>
  <c r="B208" i="5"/>
  <c r="C209" i="5" s="1"/>
  <c r="G208" i="5"/>
  <c r="F208" i="5"/>
  <c r="AD208" i="5"/>
  <c r="E208" i="5"/>
  <c r="X195" i="12" a="1"/>
  <c r="X195" i="12" s="1"/>
  <c r="W195" i="12" a="1"/>
  <c r="W195" i="12" s="1"/>
  <c r="CK199" i="6" l="1" a="1"/>
  <c r="CK199" i="6" s="1"/>
  <c r="BM199" i="6"/>
  <c r="CJ199" i="6" a="1"/>
  <c r="CJ199" i="6" s="1"/>
  <c r="BQ199" i="6"/>
  <c r="CF199" i="6" a="1"/>
  <c r="CF199" i="6" s="1"/>
  <c r="BO199" i="6"/>
  <c r="CL199" i="6" a="1"/>
  <c r="CL199" i="6" s="1"/>
  <c r="BN199" i="6"/>
  <c r="CH199" i="6" a="1"/>
  <c r="CH199" i="6" s="1"/>
  <c r="BT199" i="6"/>
  <c r="CI199" i="6" a="1"/>
  <c r="CI199" i="6" s="1"/>
  <c r="BS199" i="6"/>
  <c r="CG199" i="6" a="1"/>
  <c r="CG199" i="6" s="1"/>
  <c r="BR199" i="6"/>
  <c r="CM199" i="6" a="1"/>
  <c r="CM199" i="6" s="1"/>
  <c r="BP199" i="6"/>
  <c r="AX199" i="6"/>
  <c r="AY199" i="6"/>
  <c r="AZ199" i="6"/>
  <c r="BA199" i="6"/>
  <c r="AU199" i="6"/>
  <c r="AV199" i="6"/>
  <c r="AW199" i="6"/>
  <c r="AT199" i="6"/>
  <c r="U194" i="12"/>
  <c r="V194" i="12" a="1"/>
  <c r="V194" i="12" s="1"/>
  <c r="L208" i="12" a="1"/>
  <c r="L208" i="12" s="1"/>
  <c r="J208" i="12" a="1"/>
  <c r="J208" i="12" s="1"/>
  <c r="X198" i="5" a="1"/>
  <c r="X198" i="5" s="1"/>
  <c r="H207" i="6" a="1"/>
  <c r="H207" i="6" s="1"/>
  <c r="B209" i="6"/>
  <c r="L210" i="6"/>
  <c r="D208" i="6"/>
  <c r="A201" i="6"/>
  <c r="M200" i="6"/>
  <c r="V195" i="12" a="1"/>
  <c r="V195" i="12" s="1"/>
  <c r="U195" i="12"/>
  <c r="T195" i="12"/>
  <c r="A209" i="12"/>
  <c r="C210" i="5"/>
  <c r="AE209" i="5" a="1"/>
  <c r="AE209" i="5" s="1"/>
  <c r="W209" i="5" a="1"/>
  <c r="W209" i="5" s="1"/>
  <c r="H209" i="12" s="1" a="1"/>
  <c r="H209" i="12" s="1"/>
  <c r="H209" i="5"/>
  <c r="AD209" i="5"/>
  <c r="G209" i="5"/>
  <c r="F209" i="5"/>
  <c r="E209" i="5"/>
  <c r="N209" i="5"/>
  <c r="D209" i="6" s="1"/>
  <c r="B209" i="5"/>
  <c r="AF209" i="5" a="1"/>
  <c r="AF209" i="5" s="1"/>
  <c r="K207" i="12"/>
  <c r="I197" i="12"/>
  <c r="AM197" i="5"/>
  <c r="L197" i="5"/>
  <c r="Z197" i="5"/>
  <c r="CA199" i="6" a="1"/>
  <c r="CA199" i="6" s="1"/>
  <c r="AP199" i="6"/>
  <c r="CB199" i="6" a="1"/>
  <c r="CB199" i="6" s="1"/>
  <c r="CC199" i="6" a="1"/>
  <c r="CC199" i="6" s="1"/>
  <c r="BF199" i="6"/>
  <c r="BH199" i="6"/>
  <c r="BG199" i="6"/>
  <c r="BV199" i="6" a="1"/>
  <c r="BV199" i="6" s="1"/>
  <c r="BL199" i="6"/>
  <c r="BE199" i="6"/>
  <c r="AR199" i="6"/>
  <c r="AO199" i="6"/>
  <c r="AL199" i="6"/>
  <c r="CD199" i="6" a="1"/>
  <c r="CD199" i="6" s="1"/>
  <c r="BW199" i="6" a="1"/>
  <c r="BW199" i="6" s="1"/>
  <c r="BZ199" i="6" a="1"/>
  <c r="BZ199" i="6" s="1"/>
  <c r="BK199" i="6"/>
  <c r="AK199" i="6"/>
  <c r="BI199" i="6"/>
  <c r="AM199" i="6"/>
  <c r="AJ199" i="6"/>
  <c r="AN199" i="6"/>
  <c r="BD199" i="6"/>
  <c r="BY199" i="6" a="1"/>
  <c r="BY199" i="6" s="1"/>
  <c r="BJ199" i="6"/>
  <c r="CE199" i="6" a="1"/>
  <c r="CE199" i="6" s="1"/>
  <c r="BX199" i="6" a="1"/>
  <c r="BX199" i="6" s="1"/>
  <c r="BC199" i="6"/>
  <c r="AS199" i="6"/>
  <c r="AQ199" i="6"/>
  <c r="CJ200" i="6" l="1" a="1"/>
  <c r="CJ200" i="6" s="1"/>
  <c r="BQ200" i="6"/>
  <c r="BM200" i="6"/>
  <c r="CF200" i="6" a="1"/>
  <c r="CF200" i="6" s="1"/>
  <c r="BO200" i="6"/>
  <c r="CL200" i="6" a="1"/>
  <c r="CL200" i="6" s="1"/>
  <c r="BN200" i="6"/>
  <c r="CH200" i="6" a="1"/>
  <c r="CH200" i="6" s="1"/>
  <c r="BT200" i="6"/>
  <c r="CI200" i="6" a="1"/>
  <c r="CI200" i="6" s="1"/>
  <c r="BS200" i="6"/>
  <c r="CG200" i="6" a="1"/>
  <c r="CG200" i="6" s="1"/>
  <c r="BR200" i="6"/>
  <c r="CM200" i="6" a="1"/>
  <c r="CM200" i="6" s="1"/>
  <c r="BP200" i="6"/>
  <c r="CK200" i="6" a="1"/>
  <c r="CK200" i="6" s="1"/>
  <c r="AV200" i="6"/>
  <c r="AT200" i="6"/>
  <c r="AZ200" i="6"/>
  <c r="AW200" i="6"/>
  <c r="BA200" i="6"/>
  <c r="AU200" i="6"/>
  <c r="AX200" i="6"/>
  <c r="AY200" i="6"/>
  <c r="T207" i="5"/>
  <c r="G207" i="12" s="1" a="1"/>
  <c r="G207" i="12" s="1"/>
  <c r="F209" i="12" a="1"/>
  <c r="F209" i="12" s="1"/>
  <c r="E209" i="12"/>
  <c r="K208" i="12"/>
  <c r="H209" i="6" a="1"/>
  <c r="H209" i="6" s="1"/>
  <c r="T209" i="5" s="1"/>
  <c r="G209" i="12" s="1" a="1"/>
  <c r="G209" i="12" s="1"/>
  <c r="C197" i="6"/>
  <c r="A210" i="12"/>
  <c r="B210" i="5"/>
  <c r="N210" i="5"/>
  <c r="D210" i="6" s="1"/>
  <c r="K210" i="5"/>
  <c r="J210" i="5"/>
  <c r="F210" i="5"/>
  <c r="E210" i="5"/>
  <c r="D210" i="5"/>
  <c r="B210" i="12" s="1"/>
  <c r="AE210" i="5" a="1"/>
  <c r="AE210" i="5" s="1"/>
  <c r="AD210" i="5"/>
  <c r="W210" i="5" a="1"/>
  <c r="W210" i="5" s="1"/>
  <c r="H210" i="12" s="1" a="1"/>
  <c r="H210" i="12" s="1"/>
  <c r="C211" i="5"/>
  <c r="H210" i="5"/>
  <c r="G210" i="5"/>
  <c r="BD200" i="6"/>
  <c r="BE200" i="6"/>
  <c r="BI200" i="6"/>
  <c r="BX200" i="6" a="1"/>
  <c r="BX200" i="6" s="1"/>
  <c r="CB200" i="6" a="1"/>
  <c r="CB200" i="6" s="1"/>
  <c r="AP200" i="6"/>
  <c r="BK200" i="6"/>
  <c r="CC200" i="6" a="1"/>
  <c r="CC200" i="6" s="1"/>
  <c r="AS200" i="6"/>
  <c r="AK200" i="6"/>
  <c r="AL200" i="6"/>
  <c r="AR200" i="6"/>
  <c r="CE200" i="6" a="1"/>
  <c r="CE200" i="6" s="1"/>
  <c r="CD200" i="6" a="1"/>
  <c r="CD200" i="6" s="1"/>
  <c r="CA200" i="6" a="1"/>
  <c r="CA200" i="6" s="1"/>
  <c r="BH200" i="6"/>
  <c r="BY200" i="6" a="1"/>
  <c r="BY200" i="6" s="1"/>
  <c r="BV200" i="6" a="1"/>
  <c r="BV200" i="6" s="1"/>
  <c r="AJ200" i="6"/>
  <c r="BG200" i="6"/>
  <c r="BL200" i="6"/>
  <c r="BJ200" i="6"/>
  <c r="BW200" i="6" a="1"/>
  <c r="BW200" i="6" s="1"/>
  <c r="BZ200" i="6" a="1"/>
  <c r="BZ200" i="6" s="1"/>
  <c r="AO200" i="6"/>
  <c r="BC200" i="6"/>
  <c r="BF200" i="6"/>
  <c r="AN200" i="6"/>
  <c r="AM200" i="6"/>
  <c r="AQ200" i="6"/>
  <c r="J209" i="6" a="1"/>
  <c r="J209" i="6" s="1"/>
  <c r="M201" i="6"/>
  <c r="A202" i="6"/>
  <c r="H208" i="6" a="1"/>
  <c r="H208" i="6" s="1"/>
  <c r="X199" i="5" a="1"/>
  <c r="X199" i="5" s="1"/>
  <c r="AG209" i="5" a="1"/>
  <c r="AG209" i="5" s="1"/>
  <c r="AB197" i="5" a="1"/>
  <c r="AB197" i="5" s="1"/>
  <c r="B210" i="6"/>
  <c r="L211" i="6"/>
  <c r="I198" i="12"/>
  <c r="AM198" i="5"/>
  <c r="L198" i="5"/>
  <c r="Z198" i="5"/>
  <c r="C197" i="12"/>
  <c r="M197" i="12" a="1"/>
  <c r="M197" i="12" s="1"/>
  <c r="AO197" i="12" a="1"/>
  <c r="AO197" i="12" s="1"/>
  <c r="O197" i="12" a="1"/>
  <c r="O197" i="12" s="1"/>
  <c r="CJ201" i="6" l="1" a="1"/>
  <c r="CJ201" i="6" s="1"/>
  <c r="BQ201" i="6"/>
  <c r="CF201" i="6" a="1"/>
  <c r="CF201" i="6" s="1"/>
  <c r="BO201" i="6"/>
  <c r="CL201" i="6" a="1"/>
  <c r="CL201" i="6" s="1"/>
  <c r="BN201" i="6"/>
  <c r="CH201" i="6" a="1"/>
  <c r="CH201" i="6" s="1"/>
  <c r="BR201" i="6"/>
  <c r="BT201" i="6"/>
  <c r="CI201" i="6" a="1"/>
  <c r="CI201" i="6" s="1"/>
  <c r="BP201" i="6"/>
  <c r="CG201" i="6" a="1"/>
  <c r="CG201" i="6" s="1"/>
  <c r="BM201" i="6"/>
  <c r="CM201" i="6" a="1"/>
  <c r="CM201" i="6" s="1"/>
  <c r="BS201" i="6"/>
  <c r="CK201" i="6" a="1"/>
  <c r="CK201" i="6" s="1"/>
  <c r="AY201" i="6"/>
  <c r="AZ201" i="6"/>
  <c r="AT201" i="6"/>
  <c r="AW201" i="6"/>
  <c r="BA201" i="6"/>
  <c r="AX201" i="6"/>
  <c r="AU201" i="6"/>
  <c r="AV201" i="6"/>
  <c r="T208" i="5"/>
  <c r="G208" i="12" s="1" a="1"/>
  <c r="G208" i="12" s="1"/>
  <c r="F209" i="6"/>
  <c r="N197" i="12"/>
  <c r="AB198" i="5" a="1"/>
  <c r="AB198" i="5" s="1"/>
  <c r="X200" i="5" a="1"/>
  <c r="X200" i="5" s="1"/>
  <c r="A211" i="12"/>
  <c r="J211" i="5"/>
  <c r="C212" i="5"/>
  <c r="AE211" i="5" a="1"/>
  <c r="AE211" i="5" s="1"/>
  <c r="W211" i="5" a="1"/>
  <c r="W211" i="5" s="1"/>
  <c r="H211" i="12" s="1" a="1"/>
  <c r="H211" i="12" s="1"/>
  <c r="H211" i="5"/>
  <c r="AD211" i="5"/>
  <c r="G211" i="5"/>
  <c r="F211" i="5"/>
  <c r="E211" i="5"/>
  <c r="N211" i="5"/>
  <c r="D211" i="6" s="1"/>
  <c r="K211" i="5"/>
  <c r="B211" i="5"/>
  <c r="D211" i="5"/>
  <c r="B211" i="12" s="1"/>
  <c r="J210" i="12" a="1"/>
  <c r="J210" i="12" s="1"/>
  <c r="L210" i="12" a="1"/>
  <c r="L210" i="12" s="1"/>
  <c r="CB201" i="6" a="1"/>
  <c r="CB201" i="6" s="1"/>
  <c r="BE201" i="6"/>
  <c r="CE201" i="6" a="1"/>
  <c r="CE201" i="6" s="1"/>
  <c r="BG201" i="6"/>
  <c r="AJ201" i="6"/>
  <c r="BH201" i="6"/>
  <c r="BX201" i="6" a="1"/>
  <c r="BX201" i="6" s="1"/>
  <c r="BV201" i="6" a="1"/>
  <c r="BV201" i="6" s="1"/>
  <c r="BD201" i="6"/>
  <c r="BZ201" i="6" a="1"/>
  <c r="BZ201" i="6" s="1"/>
  <c r="BK201" i="6"/>
  <c r="CD201" i="6" a="1"/>
  <c r="CD201" i="6" s="1"/>
  <c r="BI201" i="6"/>
  <c r="BJ201" i="6"/>
  <c r="CC201" i="6" a="1"/>
  <c r="CC201" i="6" s="1"/>
  <c r="CA201" i="6" a="1"/>
  <c r="CA201" i="6" s="1"/>
  <c r="BW201" i="6" a="1"/>
  <c r="BW201" i="6" s="1"/>
  <c r="BL201" i="6"/>
  <c r="BF201" i="6"/>
  <c r="BC201" i="6"/>
  <c r="BY201" i="6" a="1"/>
  <c r="BY201" i="6" s="1"/>
  <c r="AS201" i="6"/>
  <c r="AK201" i="6"/>
  <c r="AN201" i="6"/>
  <c r="AL201" i="6"/>
  <c r="AO201" i="6"/>
  <c r="AP201" i="6"/>
  <c r="AM201" i="6"/>
  <c r="AR201" i="6"/>
  <c r="AQ201" i="6"/>
  <c r="C198" i="12"/>
  <c r="O198" i="12" a="1"/>
  <c r="O198" i="12" s="1"/>
  <c r="AO198" i="12" a="1"/>
  <c r="AO198" i="12" s="1"/>
  <c r="M198" i="12" a="1"/>
  <c r="M198" i="12" s="1"/>
  <c r="G209" i="6"/>
  <c r="H210" i="6" a="1"/>
  <c r="H210" i="6" s="1"/>
  <c r="T210" i="5" s="1"/>
  <c r="G210" i="12" s="1" a="1"/>
  <c r="G210" i="12" s="1"/>
  <c r="C198" i="6"/>
  <c r="B211" i="6"/>
  <c r="L212" i="6"/>
  <c r="Y197" i="12"/>
  <c r="I199" i="12"/>
  <c r="L199" i="5"/>
  <c r="AM199" i="5"/>
  <c r="Z199" i="5"/>
  <c r="M202" i="6"/>
  <c r="A203" i="6"/>
  <c r="CH202" i="6" l="1" a="1"/>
  <c r="CH202" i="6" s="1"/>
  <c r="BT202" i="6"/>
  <c r="CI202" i="6" a="1"/>
  <c r="CI202" i="6" s="1"/>
  <c r="BS202" i="6"/>
  <c r="CG202" i="6" a="1"/>
  <c r="CG202" i="6" s="1"/>
  <c r="BR202" i="6"/>
  <c r="CM202" i="6" a="1"/>
  <c r="CM202" i="6" s="1"/>
  <c r="BP202" i="6"/>
  <c r="CK202" i="6" a="1"/>
  <c r="CK202" i="6" s="1"/>
  <c r="BM202" i="6"/>
  <c r="CJ202" i="6" a="1"/>
  <c r="CJ202" i="6" s="1"/>
  <c r="BQ202" i="6"/>
  <c r="CF202" i="6" a="1"/>
  <c r="CF202" i="6" s="1"/>
  <c r="BO202" i="6"/>
  <c r="CL202" i="6" a="1"/>
  <c r="CL202" i="6" s="1"/>
  <c r="BN202" i="6"/>
  <c r="AU202" i="6"/>
  <c r="AV202" i="6"/>
  <c r="AW202" i="6"/>
  <c r="AT202" i="6"/>
  <c r="AX202" i="6"/>
  <c r="AY202" i="6"/>
  <c r="AZ202" i="6"/>
  <c r="BA202" i="6"/>
  <c r="N198" i="12"/>
  <c r="X201" i="5" a="1"/>
  <c r="X201" i="5" s="1"/>
  <c r="I200" i="12"/>
  <c r="AM200" i="5"/>
  <c r="L200" i="5"/>
  <c r="Z200" i="5"/>
  <c r="M203" i="6"/>
  <c r="A204" i="6"/>
  <c r="A212" i="12"/>
  <c r="E212" i="5"/>
  <c r="D212" i="5"/>
  <c r="B212" i="12" s="1"/>
  <c r="B212" i="5"/>
  <c r="N212" i="5"/>
  <c r="C213" i="5"/>
  <c r="AE212" i="5" a="1"/>
  <c r="AE212" i="5" s="1"/>
  <c r="W212" i="5" a="1"/>
  <c r="W212" i="5" s="1"/>
  <c r="H212" i="12" s="1" a="1"/>
  <c r="H212" i="12" s="1"/>
  <c r="H212" i="5"/>
  <c r="AD212" i="5"/>
  <c r="G212" i="5"/>
  <c r="F212" i="5"/>
  <c r="K212" i="5"/>
  <c r="J212" i="5"/>
  <c r="K210" i="12"/>
  <c r="W197" i="12" a="1"/>
  <c r="W197" i="12" s="1"/>
  <c r="X197" i="12" a="1"/>
  <c r="X197" i="12" s="1"/>
  <c r="C199" i="6"/>
  <c r="C199" i="12"/>
  <c r="AO199" i="12" a="1"/>
  <c r="AO199" i="12" s="1"/>
  <c r="M199" i="12" a="1"/>
  <c r="M199" i="12" s="1"/>
  <c r="O199" i="12" a="1"/>
  <c r="O199" i="12" s="1"/>
  <c r="CC202" i="6" a="1"/>
  <c r="CC202" i="6" s="1"/>
  <c r="BH202" i="6"/>
  <c r="BE202" i="6"/>
  <c r="BW202" i="6" a="1"/>
  <c r="BW202" i="6" s="1"/>
  <c r="BD202" i="6"/>
  <c r="BC202" i="6"/>
  <c r="CD202" i="6" a="1"/>
  <c r="CD202" i="6" s="1"/>
  <c r="BZ202" i="6" a="1"/>
  <c r="BZ202" i="6" s="1"/>
  <c r="CB202" i="6" a="1"/>
  <c r="CB202" i="6" s="1"/>
  <c r="AM202" i="6"/>
  <c r="AS202" i="6"/>
  <c r="CE202" i="6" a="1"/>
  <c r="CE202" i="6" s="1"/>
  <c r="BK202" i="6"/>
  <c r="BV202" i="6" a="1"/>
  <c r="BV202" i="6" s="1"/>
  <c r="BJ202" i="6"/>
  <c r="BL202" i="6"/>
  <c r="BY202" i="6" a="1"/>
  <c r="BY202" i="6" s="1"/>
  <c r="CA202" i="6" a="1"/>
  <c r="CA202" i="6" s="1"/>
  <c r="BG202" i="6"/>
  <c r="BI202" i="6"/>
  <c r="BX202" i="6" a="1"/>
  <c r="BX202" i="6" s="1"/>
  <c r="AL202" i="6"/>
  <c r="AK202" i="6"/>
  <c r="BF202" i="6"/>
  <c r="AJ202" i="6"/>
  <c r="AQ202" i="6"/>
  <c r="AO202" i="6"/>
  <c r="AP202" i="6"/>
  <c r="AN202" i="6"/>
  <c r="AR202" i="6"/>
  <c r="H211" i="6" a="1"/>
  <c r="H211" i="6" s="1"/>
  <c r="T211" i="5" s="1"/>
  <c r="G211" i="12" s="1" a="1"/>
  <c r="G211" i="12" s="1"/>
  <c r="B212" i="6"/>
  <c r="L213" i="6"/>
  <c r="AB199" i="5" a="1"/>
  <c r="AB199" i="5" s="1"/>
  <c r="Y198" i="12"/>
  <c r="L211" i="12" a="1"/>
  <c r="L211" i="12" s="1"/>
  <c r="J211" i="12" a="1"/>
  <c r="J211" i="12" s="1"/>
  <c r="CJ203" i="6" l="1" a="1"/>
  <c r="CJ203" i="6" s="1"/>
  <c r="BQ203" i="6"/>
  <c r="CF203" i="6" a="1"/>
  <c r="CF203" i="6" s="1"/>
  <c r="BO203" i="6"/>
  <c r="BR203" i="6"/>
  <c r="CM203" i="6" a="1"/>
  <c r="CM203" i="6" s="1"/>
  <c r="CK203" i="6" a="1"/>
  <c r="CK203" i="6" s="1"/>
  <c r="CL203" i="6" a="1"/>
  <c r="CL203" i="6" s="1"/>
  <c r="BN203" i="6"/>
  <c r="AW203" i="6"/>
  <c r="CH203" i="6" a="1"/>
  <c r="CH203" i="6" s="1"/>
  <c r="BM203" i="6"/>
  <c r="BP203" i="6"/>
  <c r="CI203" i="6" a="1"/>
  <c r="CI203" i="6" s="1"/>
  <c r="BT203" i="6"/>
  <c r="CG203" i="6" a="1"/>
  <c r="CG203" i="6" s="1"/>
  <c r="BS203" i="6"/>
  <c r="AT203" i="6"/>
  <c r="AV203" i="6"/>
  <c r="AX203" i="6"/>
  <c r="AU203" i="6"/>
  <c r="AY203" i="6"/>
  <c r="AZ203" i="6"/>
  <c r="BA203" i="6"/>
  <c r="AM201" i="5"/>
  <c r="Z201" i="5"/>
  <c r="AB201" i="5" s="1" a="1"/>
  <c r="AB201" i="5" s="1"/>
  <c r="L201" i="5"/>
  <c r="I201" i="12"/>
  <c r="C201" i="12" s="1"/>
  <c r="Y199" i="12"/>
  <c r="W199" i="12" s="1" a="1"/>
  <c r="W199" i="12" s="1"/>
  <c r="W198" i="12" a="1"/>
  <c r="W198" i="12" s="1"/>
  <c r="X198" i="12" a="1"/>
  <c r="X198" i="12" s="1"/>
  <c r="C200" i="6"/>
  <c r="AB200" i="5" a="1"/>
  <c r="AB200" i="5" s="1"/>
  <c r="V197" i="12" a="1"/>
  <c r="V197" i="12" s="1"/>
  <c r="U197" i="12"/>
  <c r="T197" i="12"/>
  <c r="K211" i="12"/>
  <c r="X202" i="5" a="1"/>
  <c r="X202" i="5" s="1"/>
  <c r="C200" i="12"/>
  <c r="O200" i="12" a="1"/>
  <c r="O200" i="12" s="1"/>
  <c r="AO200" i="12" a="1"/>
  <c r="AO200" i="12" s="1"/>
  <c r="M200" i="12" a="1"/>
  <c r="M200" i="12" s="1"/>
  <c r="D212" i="6"/>
  <c r="B213" i="6"/>
  <c r="L214" i="6"/>
  <c r="N199" i="12"/>
  <c r="L212" i="12" a="1"/>
  <c r="L212" i="12" s="1"/>
  <c r="J212" i="12" a="1"/>
  <c r="J212" i="12" s="1"/>
  <c r="M204" i="6"/>
  <c r="A205" i="6"/>
  <c r="A213" i="12"/>
  <c r="K213" i="5"/>
  <c r="J213" i="5"/>
  <c r="C214" i="5"/>
  <c r="AE213" i="5" a="1"/>
  <c r="AE213" i="5" s="1"/>
  <c r="W213" i="5" a="1"/>
  <c r="W213" i="5" s="1"/>
  <c r="H213" i="12" s="1" a="1"/>
  <c r="H213" i="12" s="1"/>
  <c r="H213" i="5"/>
  <c r="AD213" i="5"/>
  <c r="G213" i="5"/>
  <c r="B213" i="5"/>
  <c r="N213" i="5"/>
  <c r="D213" i="6" s="1"/>
  <c r="F213" i="5"/>
  <c r="E213" i="5"/>
  <c r="D213" i="5"/>
  <c r="B213" i="12" s="1"/>
  <c r="CB203" i="6" a="1"/>
  <c r="CB203" i="6" s="1"/>
  <c r="CC203" i="6" a="1"/>
  <c r="CC203" i="6" s="1"/>
  <c r="BV203" i="6" a="1"/>
  <c r="BV203" i="6" s="1"/>
  <c r="BZ203" i="6" a="1"/>
  <c r="BZ203" i="6" s="1"/>
  <c r="BK203" i="6"/>
  <c r="BL203" i="6"/>
  <c r="CA203" i="6" a="1"/>
  <c r="CA203" i="6" s="1"/>
  <c r="BD203" i="6"/>
  <c r="BH203" i="6"/>
  <c r="BI203" i="6"/>
  <c r="BC203" i="6"/>
  <c r="BW203" i="6" a="1"/>
  <c r="BW203" i="6" s="1"/>
  <c r="CE203" i="6" a="1"/>
  <c r="CE203" i="6" s="1"/>
  <c r="BG203" i="6"/>
  <c r="CD203" i="6" a="1"/>
  <c r="CD203" i="6" s="1"/>
  <c r="BX203" i="6" a="1"/>
  <c r="BX203" i="6" s="1"/>
  <c r="BF203" i="6"/>
  <c r="BY203" i="6" a="1"/>
  <c r="BY203" i="6" s="1"/>
  <c r="BE203" i="6"/>
  <c r="BJ203" i="6"/>
  <c r="AM203" i="6"/>
  <c r="AL203" i="6"/>
  <c r="AR203" i="6"/>
  <c r="AP203" i="6"/>
  <c r="AS203" i="6"/>
  <c r="AQ203" i="6"/>
  <c r="AO203" i="6"/>
  <c r="AK203" i="6"/>
  <c r="AN203" i="6"/>
  <c r="AJ203" i="6"/>
  <c r="CJ204" i="6" l="1" a="1"/>
  <c r="CJ204" i="6" s="1"/>
  <c r="BQ204" i="6"/>
  <c r="AX204" i="6"/>
  <c r="CF204" i="6" a="1"/>
  <c r="CF204" i="6" s="1"/>
  <c r="BO204" i="6"/>
  <c r="AW204" i="6"/>
  <c r="CL204" i="6" a="1"/>
  <c r="CL204" i="6" s="1"/>
  <c r="BN204" i="6"/>
  <c r="BT204" i="6"/>
  <c r="BM204" i="6"/>
  <c r="CH204" i="6" a="1"/>
  <c r="CH204" i="6" s="1"/>
  <c r="BS204" i="6"/>
  <c r="CK204" i="6" a="1"/>
  <c r="CK204" i="6" s="1"/>
  <c r="CI204" i="6" a="1"/>
  <c r="CI204" i="6" s="1"/>
  <c r="BR204" i="6"/>
  <c r="CG204" i="6" a="1"/>
  <c r="CG204" i="6" s="1"/>
  <c r="BP204" i="6"/>
  <c r="AY204" i="6"/>
  <c r="CM204" i="6" a="1"/>
  <c r="CM204" i="6" s="1"/>
  <c r="AT204" i="6"/>
  <c r="AV204" i="6"/>
  <c r="AZ204" i="6"/>
  <c r="AU204" i="6"/>
  <c r="BA204" i="6"/>
  <c r="AO201" i="12" a="1"/>
  <c r="AO201" i="12" s="1"/>
  <c r="M201" i="12" a="1"/>
  <c r="M201" i="12" s="1"/>
  <c r="O201" i="12" a="1"/>
  <c r="O201" i="12" s="1"/>
  <c r="X199" i="12" a="1"/>
  <c r="X199" i="12" s="1"/>
  <c r="C201" i="6"/>
  <c r="Y200" i="12"/>
  <c r="W200" i="12" s="1" a="1"/>
  <c r="W200" i="12" s="1"/>
  <c r="N200" i="12"/>
  <c r="H213" i="6" a="1"/>
  <c r="H213" i="6" s="1"/>
  <c r="T213" i="5" s="1"/>
  <c r="G213" i="12" s="1" a="1"/>
  <c r="G213" i="12" s="1"/>
  <c r="J213" i="12" a="1"/>
  <c r="J213" i="12" s="1"/>
  <c r="L213" i="12" a="1"/>
  <c r="L213" i="12" s="1"/>
  <c r="U199" i="12"/>
  <c r="T199" i="12"/>
  <c r="V199" i="12" a="1"/>
  <c r="V199" i="12" s="1"/>
  <c r="B214" i="6"/>
  <c r="I202" i="12"/>
  <c r="AM202" i="5"/>
  <c r="L202" i="5"/>
  <c r="Z202" i="5"/>
  <c r="A214" i="12"/>
  <c r="AD214" i="5"/>
  <c r="G214" i="5"/>
  <c r="F214" i="5"/>
  <c r="E214" i="5"/>
  <c r="D214" i="5"/>
  <c r="B214" i="12" s="1"/>
  <c r="B214" i="5"/>
  <c r="J214" i="5"/>
  <c r="AE214" i="5" a="1"/>
  <c r="AE214" i="5" s="1"/>
  <c r="W214" i="5" a="1"/>
  <c r="W214" i="5" s="1"/>
  <c r="H214" i="12" s="1" a="1"/>
  <c r="H214" i="12" s="1"/>
  <c r="H214" i="5"/>
  <c r="N214" i="5"/>
  <c r="K214" i="5"/>
  <c r="CE204" i="6" a="1"/>
  <c r="CE204" i="6" s="1"/>
  <c r="CD204" i="6" a="1"/>
  <c r="CD204" i="6" s="1"/>
  <c r="BJ204" i="6"/>
  <c r="AP204" i="6"/>
  <c r="BY204" i="6" a="1"/>
  <c r="BY204" i="6" s="1"/>
  <c r="BI204" i="6"/>
  <c r="BG204" i="6"/>
  <c r="BH204" i="6"/>
  <c r="CC204" i="6" a="1"/>
  <c r="CC204" i="6" s="1"/>
  <c r="CB204" i="6" a="1"/>
  <c r="CB204" i="6" s="1"/>
  <c r="BW204" i="6" a="1"/>
  <c r="BW204" i="6" s="1"/>
  <c r="BZ204" i="6" a="1"/>
  <c r="BZ204" i="6" s="1"/>
  <c r="BC204" i="6"/>
  <c r="BF204" i="6"/>
  <c r="CA204" i="6" a="1"/>
  <c r="CA204" i="6" s="1"/>
  <c r="BD204" i="6"/>
  <c r="BE204" i="6"/>
  <c r="AN204" i="6"/>
  <c r="BX204" i="6" a="1"/>
  <c r="BX204" i="6" s="1"/>
  <c r="BV204" i="6" a="1"/>
  <c r="BV204" i="6" s="1"/>
  <c r="AM204" i="6"/>
  <c r="AS204" i="6"/>
  <c r="BL204" i="6"/>
  <c r="BK204" i="6"/>
  <c r="AJ204" i="6"/>
  <c r="AK204" i="6"/>
  <c r="AO204" i="6"/>
  <c r="AL204" i="6"/>
  <c r="AR204" i="6"/>
  <c r="AQ204" i="6"/>
  <c r="V198" i="12" a="1"/>
  <c r="V198" i="12" s="1"/>
  <c r="T198" i="12"/>
  <c r="U198" i="12"/>
  <c r="M205" i="6"/>
  <c r="A206" i="6"/>
  <c r="X203" i="5" a="1"/>
  <c r="X203" i="5" s="1"/>
  <c r="K212" i="12"/>
  <c r="H212" i="6" a="1"/>
  <c r="H212" i="6" s="1"/>
  <c r="CJ205" i="6" l="1" a="1"/>
  <c r="CJ205" i="6" s="1"/>
  <c r="BQ205" i="6"/>
  <c r="CF205" i="6" a="1"/>
  <c r="CF205" i="6" s="1"/>
  <c r="BO205" i="6"/>
  <c r="BM205" i="6"/>
  <c r="CL205" i="6" a="1"/>
  <c r="CL205" i="6" s="1"/>
  <c r="BN205" i="6"/>
  <c r="CH205" i="6" a="1"/>
  <c r="CH205" i="6" s="1"/>
  <c r="BT205" i="6"/>
  <c r="CK205" i="6" a="1"/>
  <c r="CK205" i="6" s="1"/>
  <c r="CI205" i="6" a="1"/>
  <c r="CI205" i="6" s="1"/>
  <c r="BS205" i="6"/>
  <c r="CG205" i="6" a="1"/>
  <c r="CG205" i="6" s="1"/>
  <c r="BR205" i="6"/>
  <c r="CM205" i="6" a="1"/>
  <c r="CM205" i="6" s="1"/>
  <c r="BP205" i="6"/>
  <c r="AV205" i="6"/>
  <c r="BA205" i="6"/>
  <c r="AW205" i="6"/>
  <c r="AX205" i="6"/>
  <c r="AU205" i="6"/>
  <c r="AY205" i="6"/>
  <c r="AT205" i="6"/>
  <c r="AZ205" i="6"/>
  <c r="T212" i="5"/>
  <c r="G212" i="12" s="1" a="1"/>
  <c r="G212" i="12" s="1"/>
  <c r="N201" i="12"/>
  <c r="Y201" i="12"/>
  <c r="X201" i="12" s="1" a="1"/>
  <c r="X201" i="12" s="1"/>
  <c r="X200" i="12" a="1"/>
  <c r="X200" i="12" s="1"/>
  <c r="K213" i="12"/>
  <c r="C202" i="12"/>
  <c r="O202" i="12" a="1"/>
  <c r="O202" i="12" s="1"/>
  <c r="AO202" i="12" a="1"/>
  <c r="AO202" i="12" s="1"/>
  <c r="M202" i="12" a="1"/>
  <c r="M202" i="12" s="1"/>
  <c r="J214" i="12" a="1"/>
  <c r="J214" i="12" s="1"/>
  <c r="L214" i="12" a="1"/>
  <c r="L214" i="12" s="1"/>
  <c r="V200" i="12" a="1"/>
  <c r="V200" i="12" s="1"/>
  <c r="U200" i="12"/>
  <c r="T200" i="12"/>
  <c r="C215" i="5"/>
  <c r="L215" i="6"/>
  <c r="I203" i="12"/>
  <c r="L203" i="5"/>
  <c r="AM203" i="5"/>
  <c r="Z203" i="5"/>
  <c r="BF205" i="6"/>
  <c r="BL205" i="6"/>
  <c r="CC205" i="6" a="1"/>
  <c r="CC205" i="6" s="1"/>
  <c r="BK205" i="6"/>
  <c r="BY205" i="6" a="1"/>
  <c r="BY205" i="6" s="1"/>
  <c r="CD205" i="6" a="1"/>
  <c r="CD205" i="6" s="1"/>
  <c r="BV205" i="6" a="1"/>
  <c r="BV205" i="6" s="1"/>
  <c r="AM205" i="6"/>
  <c r="BW205" i="6" a="1"/>
  <c r="BW205" i="6" s="1"/>
  <c r="AJ205" i="6"/>
  <c r="CB205" i="6" a="1"/>
  <c r="CB205" i="6" s="1"/>
  <c r="BE205" i="6"/>
  <c r="CE205" i="6" a="1"/>
  <c r="CE205" i="6" s="1"/>
  <c r="BI205" i="6"/>
  <c r="BD205" i="6"/>
  <c r="BX205" i="6" a="1"/>
  <c r="BX205" i="6" s="1"/>
  <c r="BZ205" i="6" a="1"/>
  <c r="BZ205" i="6" s="1"/>
  <c r="AL205" i="6"/>
  <c r="CA205" i="6" a="1"/>
  <c r="CA205" i="6" s="1"/>
  <c r="BG205" i="6"/>
  <c r="AQ205" i="6"/>
  <c r="BJ205" i="6"/>
  <c r="BC205" i="6"/>
  <c r="AS205" i="6"/>
  <c r="BH205" i="6"/>
  <c r="AN205" i="6"/>
  <c r="AR205" i="6"/>
  <c r="AP205" i="6"/>
  <c r="AK205" i="6"/>
  <c r="AO205" i="6"/>
  <c r="X204" i="5" a="1"/>
  <c r="X204" i="5" s="1"/>
  <c r="M206" i="6"/>
  <c r="A207" i="6"/>
  <c r="AB202" i="5" a="1"/>
  <c r="AB202" i="5" s="1"/>
  <c r="C202" i="6"/>
  <c r="D214" i="6"/>
  <c r="CJ206" i="6" l="1" a="1"/>
  <c r="CJ206" i="6" s="1"/>
  <c r="BQ206" i="6"/>
  <c r="BR206" i="6"/>
  <c r="AT206" i="6"/>
  <c r="CF206" i="6" a="1"/>
  <c r="CF206" i="6" s="1"/>
  <c r="BO206" i="6"/>
  <c r="CL206" i="6" a="1"/>
  <c r="CL206" i="6" s="1"/>
  <c r="BN206" i="6"/>
  <c r="CH206" i="6" a="1"/>
  <c r="CH206" i="6" s="1"/>
  <c r="BP206" i="6"/>
  <c r="AW206" i="6"/>
  <c r="CI206" i="6" a="1"/>
  <c r="CI206" i="6" s="1"/>
  <c r="BM206" i="6"/>
  <c r="CG206" i="6" a="1"/>
  <c r="CG206" i="6" s="1"/>
  <c r="BT206" i="6"/>
  <c r="CM206" i="6" a="1"/>
  <c r="CM206" i="6" s="1"/>
  <c r="BS206" i="6"/>
  <c r="CK206" i="6" a="1"/>
  <c r="CK206" i="6" s="1"/>
  <c r="BA206" i="6"/>
  <c r="AZ206" i="6"/>
  <c r="AX206" i="6"/>
  <c r="AU206" i="6"/>
  <c r="AV206" i="6"/>
  <c r="AY206" i="6"/>
  <c r="W201" i="12" a="1"/>
  <c r="W201" i="12" s="1"/>
  <c r="K214" i="12"/>
  <c r="AB203" i="5" a="1"/>
  <c r="AB203" i="5" s="1"/>
  <c r="X205" i="5" a="1"/>
  <c r="X205" i="5" s="1"/>
  <c r="I204" i="12"/>
  <c r="L204" i="5"/>
  <c r="AM204" i="5"/>
  <c r="Z204" i="5"/>
  <c r="Y202" i="12"/>
  <c r="C203" i="12"/>
  <c r="AO203" i="12" a="1"/>
  <c r="AO203" i="12" s="1"/>
  <c r="O203" i="12" a="1"/>
  <c r="O203" i="12" s="1"/>
  <c r="M203" i="12" a="1"/>
  <c r="M203" i="12" s="1"/>
  <c r="A215" i="12"/>
  <c r="C216" i="5"/>
  <c r="AE215" i="5" a="1"/>
  <c r="AE215" i="5" s="1"/>
  <c r="W215" i="5" a="1"/>
  <c r="W215" i="5" s="1"/>
  <c r="H215" i="12" s="1" a="1"/>
  <c r="H215" i="12" s="1"/>
  <c r="H215" i="5"/>
  <c r="AD215" i="5"/>
  <c r="G215" i="5"/>
  <c r="F215" i="5"/>
  <c r="E215" i="5"/>
  <c r="N215" i="5"/>
  <c r="D215" i="6" s="1"/>
  <c r="B215" i="5"/>
  <c r="AF215" i="5" a="1"/>
  <c r="AF215" i="5" s="1"/>
  <c r="N202" i="12"/>
  <c r="A208" i="6"/>
  <c r="M207" i="6"/>
  <c r="C203" i="6"/>
  <c r="H214" i="6" a="1"/>
  <c r="H214" i="6" s="1"/>
  <c r="CE206" i="6" a="1"/>
  <c r="CE206" i="6" s="1"/>
  <c r="BV206" i="6" a="1"/>
  <c r="BV206" i="6" s="1"/>
  <c r="BY206" i="6" a="1"/>
  <c r="BY206" i="6" s="1"/>
  <c r="BK206" i="6"/>
  <c r="BG206" i="6"/>
  <c r="BH206" i="6"/>
  <c r="BJ206" i="6"/>
  <c r="BF206" i="6"/>
  <c r="CD206" i="6" a="1"/>
  <c r="CD206" i="6" s="1"/>
  <c r="BE206" i="6"/>
  <c r="BX206" i="6" a="1"/>
  <c r="BX206" i="6" s="1"/>
  <c r="CB206" i="6" a="1"/>
  <c r="CB206" i="6" s="1"/>
  <c r="BD206" i="6"/>
  <c r="BI206" i="6"/>
  <c r="CC206" i="6" a="1"/>
  <c r="CC206" i="6" s="1"/>
  <c r="BW206" i="6" a="1"/>
  <c r="BW206" i="6" s="1"/>
  <c r="CA206" i="6" a="1"/>
  <c r="CA206" i="6" s="1"/>
  <c r="BC206" i="6"/>
  <c r="BZ206" i="6" a="1"/>
  <c r="BZ206" i="6" s="1"/>
  <c r="BL206" i="6"/>
  <c r="AJ206" i="6"/>
  <c r="AO206" i="6"/>
  <c r="AN206" i="6"/>
  <c r="AR206" i="6"/>
  <c r="AK206" i="6"/>
  <c r="AP206" i="6"/>
  <c r="AQ206" i="6"/>
  <c r="AL206" i="6"/>
  <c r="AS206" i="6"/>
  <c r="AM206" i="6"/>
  <c r="B215" i="6"/>
  <c r="L216" i="6"/>
  <c r="CJ207" i="6" l="1" a="1"/>
  <c r="CJ207" i="6" s="1"/>
  <c r="BQ207" i="6"/>
  <c r="CF207" i="6" a="1"/>
  <c r="CF207" i="6" s="1"/>
  <c r="BO207" i="6"/>
  <c r="CM207" i="6" a="1"/>
  <c r="CM207" i="6" s="1"/>
  <c r="BN207" i="6"/>
  <c r="CH207" i="6" a="1"/>
  <c r="CH207" i="6" s="1"/>
  <c r="BT207" i="6"/>
  <c r="CL207" i="6" a="1"/>
  <c r="CL207" i="6" s="1"/>
  <c r="BS207" i="6"/>
  <c r="CI207" i="6" a="1"/>
  <c r="CI207" i="6" s="1"/>
  <c r="BR207" i="6"/>
  <c r="CG207" i="6" a="1"/>
  <c r="CG207" i="6" s="1"/>
  <c r="BP207" i="6"/>
  <c r="CK207" i="6" a="1"/>
  <c r="CK207" i="6" s="1"/>
  <c r="BM207" i="6"/>
  <c r="AW207" i="6"/>
  <c r="AT207" i="6"/>
  <c r="AX207" i="6"/>
  <c r="AY207" i="6"/>
  <c r="AU207" i="6"/>
  <c r="AV207" i="6"/>
  <c r="AZ207" i="6"/>
  <c r="BA207" i="6"/>
  <c r="T214" i="5"/>
  <c r="G214" i="12" s="1" a="1"/>
  <c r="G214" i="12" s="1"/>
  <c r="V201" i="12" a="1"/>
  <c r="V201" i="12" s="1"/>
  <c r="U201" i="12"/>
  <c r="T201" i="12"/>
  <c r="E215" i="12"/>
  <c r="Y203" i="12"/>
  <c r="X203" i="12" s="1" a="1"/>
  <c r="X203" i="12" s="1"/>
  <c r="H215" i="6" a="1"/>
  <c r="H215" i="6" s="1"/>
  <c r="T215" i="5" s="1"/>
  <c r="G215" i="12" s="1" a="1"/>
  <c r="G215" i="12" s="1"/>
  <c r="M208" i="6"/>
  <c r="A209" i="6"/>
  <c r="AB204" i="5" a="1"/>
  <c r="AB204" i="5" s="1"/>
  <c r="A216" i="12"/>
  <c r="D216" i="5"/>
  <c r="B216" i="12" s="1"/>
  <c r="B216" i="5"/>
  <c r="N216" i="5"/>
  <c r="D216" i="6" s="1"/>
  <c r="K216" i="5"/>
  <c r="AD216" i="5"/>
  <c r="G216" i="5"/>
  <c r="F216" i="5"/>
  <c r="E216" i="5"/>
  <c r="W216" i="5" a="1"/>
  <c r="W216" i="5" s="1"/>
  <c r="H216" i="12" s="1" a="1"/>
  <c r="H216" i="12" s="1"/>
  <c r="J216" i="5"/>
  <c r="H216" i="5"/>
  <c r="C217" i="5"/>
  <c r="AE216" i="5" a="1"/>
  <c r="AE216" i="5" s="1"/>
  <c r="C204" i="6"/>
  <c r="N203" i="12"/>
  <c r="F215" i="12" a="1"/>
  <c r="F215" i="12" s="1"/>
  <c r="AG215" i="5" a="1"/>
  <c r="AG215" i="5" s="1"/>
  <c r="I205" i="12"/>
  <c r="AM205" i="5"/>
  <c r="L205" i="5"/>
  <c r="Z205" i="5"/>
  <c r="C204" i="12"/>
  <c r="M204" i="12" a="1"/>
  <c r="M204" i="12" s="1"/>
  <c r="O204" i="12" a="1"/>
  <c r="O204" i="12" s="1"/>
  <c r="AO204" i="12" a="1"/>
  <c r="AO204" i="12" s="1"/>
  <c r="X206" i="5" a="1"/>
  <c r="X206" i="5" s="1"/>
  <c r="B216" i="6"/>
  <c r="L217" i="6"/>
  <c r="J215" i="6" a="1"/>
  <c r="J215" i="6" s="1"/>
  <c r="X202" i="12" a="1"/>
  <c r="X202" i="12" s="1"/>
  <c r="W202" i="12" a="1"/>
  <c r="W202" i="12" s="1"/>
  <c r="CB207" i="6" a="1"/>
  <c r="CB207" i="6" s="1"/>
  <c r="BV207" i="6" a="1"/>
  <c r="BV207" i="6" s="1"/>
  <c r="CE207" i="6" a="1"/>
  <c r="CE207" i="6" s="1"/>
  <c r="CD207" i="6" a="1"/>
  <c r="CD207" i="6" s="1"/>
  <c r="BW207" i="6" a="1"/>
  <c r="BW207" i="6" s="1"/>
  <c r="BG207" i="6"/>
  <c r="AQ207" i="6"/>
  <c r="CA207" i="6" a="1"/>
  <c r="CA207" i="6" s="1"/>
  <c r="BL207" i="6"/>
  <c r="BK207" i="6"/>
  <c r="BD207" i="6"/>
  <c r="BH207" i="6"/>
  <c r="BC207" i="6"/>
  <c r="BX207" i="6" a="1"/>
  <c r="BX207" i="6" s="1"/>
  <c r="BJ207" i="6"/>
  <c r="BE207" i="6"/>
  <c r="CC207" i="6" a="1"/>
  <c r="CC207" i="6" s="1"/>
  <c r="BF207" i="6"/>
  <c r="AN207" i="6"/>
  <c r="BZ207" i="6" a="1"/>
  <c r="BZ207" i="6" s="1"/>
  <c r="BY207" i="6" a="1"/>
  <c r="BY207" i="6" s="1"/>
  <c r="BI207" i="6"/>
  <c r="AP207" i="6"/>
  <c r="AS207" i="6"/>
  <c r="AJ207" i="6"/>
  <c r="AL207" i="6"/>
  <c r="AR207" i="6"/>
  <c r="AM207" i="6"/>
  <c r="AK207" i="6"/>
  <c r="AO207" i="6"/>
  <c r="CM208" i="6" l="1" a="1"/>
  <c r="CM208" i="6" s="1"/>
  <c r="BQ208" i="6"/>
  <c r="CG208" i="6" a="1"/>
  <c r="CG208" i="6" s="1"/>
  <c r="BO208" i="6"/>
  <c r="CL208" i="6" a="1"/>
  <c r="CL208" i="6" s="1"/>
  <c r="BN208" i="6"/>
  <c r="CH208" i="6" a="1"/>
  <c r="CH208" i="6" s="1"/>
  <c r="CJ208" i="6" a="1"/>
  <c r="CJ208" i="6" s="1"/>
  <c r="BT208" i="6"/>
  <c r="CF208" i="6" a="1"/>
  <c r="CF208" i="6" s="1"/>
  <c r="AW208" i="6"/>
  <c r="AT208" i="6"/>
  <c r="CK208" i="6" a="1"/>
  <c r="CK208" i="6" s="1"/>
  <c r="BS208" i="6"/>
  <c r="CI208" i="6" a="1"/>
  <c r="CI208" i="6" s="1"/>
  <c r="BR208" i="6"/>
  <c r="BP208" i="6"/>
  <c r="BM208" i="6"/>
  <c r="AX208" i="6"/>
  <c r="AV208" i="6"/>
  <c r="AY208" i="6"/>
  <c r="AZ208" i="6"/>
  <c r="BA208" i="6"/>
  <c r="AU208" i="6"/>
  <c r="W203" i="12" a="1"/>
  <c r="W203" i="12" s="1"/>
  <c r="U203" i="12" s="1"/>
  <c r="F215" i="6"/>
  <c r="N204" i="12"/>
  <c r="Y204" i="12"/>
  <c r="W204" i="12" s="1" a="1"/>
  <c r="W204" i="12" s="1"/>
  <c r="A217" i="12"/>
  <c r="K217" i="5"/>
  <c r="J217" i="5"/>
  <c r="AE217" i="5" a="1"/>
  <c r="AE217" i="5" s="1"/>
  <c r="W217" i="5" a="1"/>
  <c r="W217" i="5" s="1"/>
  <c r="H217" i="12" s="1" a="1"/>
  <c r="H217" i="12" s="1"/>
  <c r="H217" i="5"/>
  <c r="AD217" i="5"/>
  <c r="G217" i="5"/>
  <c r="F217" i="5"/>
  <c r="B217" i="5"/>
  <c r="C218" i="5" s="1"/>
  <c r="N217" i="5"/>
  <c r="D217" i="6" s="1"/>
  <c r="E217" i="5"/>
  <c r="D217" i="5"/>
  <c r="B217" i="12" s="1"/>
  <c r="V202" i="12" a="1"/>
  <c r="V202" i="12" s="1"/>
  <c r="U202" i="12"/>
  <c r="T202" i="12"/>
  <c r="C205" i="12"/>
  <c r="AO205" i="12" a="1"/>
  <c r="AO205" i="12" s="1"/>
  <c r="M205" i="12" a="1"/>
  <c r="M205" i="12" s="1"/>
  <c r="O205" i="12" a="1"/>
  <c r="O205" i="12" s="1"/>
  <c r="I206" i="12"/>
  <c r="L206" i="5"/>
  <c r="AM206" i="5"/>
  <c r="Z206" i="5"/>
  <c r="G215" i="6"/>
  <c r="J216" i="12" a="1"/>
  <c r="J216" i="12" s="1"/>
  <c r="L216" i="12" a="1"/>
  <c r="L216" i="12" s="1"/>
  <c r="L218" i="6"/>
  <c r="B217" i="6"/>
  <c r="AB205" i="5" a="1"/>
  <c r="AB205" i="5" s="1"/>
  <c r="M209" i="6"/>
  <c r="A210" i="6"/>
  <c r="H216" i="6" a="1"/>
  <c r="H216" i="6" s="1"/>
  <c r="T216" i="5" s="1"/>
  <c r="G216" i="12" s="1" a="1"/>
  <c r="G216" i="12" s="1"/>
  <c r="X207" i="5" a="1"/>
  <c r="X207" i="5" s="1"/>
  <c r="C205" i="6"/>
  <c r="CC208" i="6" a="1"/>
  <c r="CC208" i="6" s="1"/>
  <c r="BV208" i="6" a="1"/>
  <c r="BV208" i="6" s="1"/>
  <c r="BW208" i="6" a="1"/>
  <c r="BW208" i="6" s="1"/>
  <c r="CE208" i="6" a="1"/>
  <c r="CE208" i="6" s="1"/>
  <c r="BC208" i="6"/>
  <c r="CB208" i="6" a="1"/>
  <c r="CB208" i="6" s="1"/>
  <c r="BX208" i="6" a="1"/>
  <c r="BX208" i="6" s="1"/>
  <c r="AS208" i="6"/>
  <c r="BE208" i="6"/>
  <c r="AR208" i="6"/>
  <c r="AP208" i="6"/>
  <c r="BY208" i="6" a="1"/>
  <c r="BY208" i="6" s="1"/>
  <c r="BG208" i="6"/>
  <c r="BL208" i="6"/>
  <c r="AL208" i="6"/>
  <c r="AM208" i="6"/>
  <c r="CA208" i="6" a="1"/>
  <c r="CA208" i="6" s="1"/>
  <c r="AK208" i="6"/>
  <c r="BJ208" i="6"/>
  <c r="CD208" i="6" a="1"/>
  <c r="CD208" i="6" s="1"/>
  <c r="BK208" i="6"/>
  <c r="BZ208" i="6" a="1"/>
  <c r="BZ208" i="6" s="1"/>
  <c r="BD208" i="6"/>
  <c r="BH208" i="6"/>
  <c r="AJ208" i="6"/>
  <c r="BI208" i="6"/>
  <c r="AQ208" i="6"/>
  <c r="AO208" i="6"/>
  <c r="BF208" i="6"/>
  <c r="AN208" i="6"/>
  <c r="CF209" i="6" l="1" a="1"/>
  <c r="CF209" i="6" s="1"/>
  <c r="CJ209" i="6" a="1"/>
  <c r="CJ209" i="6" s="1"/>
  <c r="BQ209" i="6"/>
  <c r="CM209" i="6" a="1"/>
  <c r="CM209" i="6" s="1"/>
  <c r="BO209" i="6"/>
  <c r="BT209" i="6"/>
  <c r="CI209" i="6" a="1"/>
  <c r="CI209" i="6" s="1"/>
  <c r="CG209" i="6" a="1"/>
  <c r="CG209" i="6" s="1"/>
  <c r="BN209" i="6"/>
  <c r="AY209" i="6"/>
  <c r="AX209" i="6"/>
  <c r="CL209" i="6" a="1"/>
  <c r="CL209" i="6" s="1"/>
  <c r="BR209" i="6"/>
  <c r="BS209" i="6"/>
  <c r="CH209" i="6" a="1"/>
  <c r="CH209" i="6" s="1"/>
  <c r="CK209" i="6" a="1"/>
  <c r="CK209" i="6" s="1"/>
  <c r="BP209" i="6"/>
  <c r="BM209" i="6"/>
  <c r="AW209" i="6"/>
  <c r="AT209" i="6"/>
  <c r="AZ209" i="6"/>
  <c r="AV209" i="6"/>
  <c r="BA209" i="6"/>
  <c r="AU209" i="6"/>
  <c r="X204" i="12" a="1"/>
  <c r="X204" i="12" s="1"/>
  <c r="V203" i="12" a="1"/>
  <c r="V203" i="12" s="1"/>
  <c r="T203" i="12"/>
  <c r="Y205" i="12"/>
  <c r="X205" i="12" s="1" a="1"/>
  <c r="X205" i="12" s="1"/>
  <c r="K216" i="12"/>
  <c r="AB206" i="5" a="1"/>
  <c r="AB206" i="5" s="1"/>
  <c r="CB209" i="6" a="1"/>
  <c r="CB209" i="6" s="1"/>
  <c r="BI209" i="6"/>
  <c r="CE209" i="6" a="1"/>
  <c r="CE209" i="6" s="1"/>
  <c r="BC209" i="6"/>
  <c r="BV209" i="6" a="1"/>
  <c r="BV209" i="6" s="1"/>
  <c r="BG209" i="6"/>
  <c r="BJ209" i="6"/>
  <c r="BF209" i="6"/>
  <c r="BL209" i="6"/>
  <c r="BD209" i="6"/>
  <c r="BY209" i="6" a="1"/>
  <c r="BY209" i="6" s="1"/>
  <c r="CA209" i="6" a="1"/>
  <c r="CA209" i="6" s="1"/>
  <c r="CD209" i="6" a="1"/>
  <c r="CD209" i="6" s="1"/>
  <c r="BX209" i="6" a="1"/>
  <c r="BX209" i="6" s="1"/>
  <c r="AJ209" i="6"/>
  <c r="BK209" i="6"/>
  <c r="BE209" i="6"/>
  <c r="AP209" i="6"/>
  <c r="CC209" i="6" a="1"/>
  <c r="CC209" i="6" s="1"/>
  <c r="AK209" i="6"/>
  <c r="BW209" i="6" a="1"/>
  <c r="BW209" i="6" s="1"/>
  <c r="AM209" i="6"/>
  <c r="BZ209" i="6" a="1"/>
  <c r="BZ209" i="6" s="1"/>
  <c r="BH209" i="6"/>
  <c r="AR209" i="6"/>
  <c r="AN209" i="6"/>
  <c r="AS209" i="6"/>
  <c r="AO209" i="6"/>
  <c r="AQ209" i="6"/>
  <c r="AL209" i="6"/>
  <c r="C206" i="12"/>
  <c r="O206" i="12" a="1"/>
  <c r="O206" i="12" s="1"/>
  <c r="M206" i="12" a="1"/>
  <c r="M206" i="12" s="1"/>
  <c r="AO206" i="12" a="1"/>
  <c r="AO206" i="12" s="1"/>
  <c r="N205" i="12"/>
  <c r="A218" i="12"/>
  <c r="F218" i="5"/>
  <c r="E218" i="5"/>
  <c r="B218" i="5"/>
  <c r="N218" i="5"/>
  <c r="C219" i="5"/>
  <c r="AE218" i="5" a="1"/>
  <c r="AE218" i="5" s="1"/>
  <c r="W218" i="5" a="1"/>
  <c r="W218" i="5" s="1"/>
  <c r="H218" i="12" s="1" a="1"/>
  <c r="H218" i="12" s="1"/>
  <c r="H218" i="5"/>
  <c r="AD218" i="5"/>
  <c r="G218" i="5"/>
  <c r="AF218" i="5" a="1"/>
  <c r="AF218" i="5" s="1"/>
  <c r="C206" i="6"/>
  <c r="V204" i="12" a="1"/>
  <c r="V204" i="12" s="1"/>
  <c r="U204" i="12"/>
  <c r="T204" i="12"/>
  <c r="L219" i="6"/>
  <c r="B218" i="6"/>
  <c r="M210" i="6"/>
  <c r="A211" i="6"/>
  <c r="I207" i="12"/>
  <c r="AM207" i="5"/>
  <c r="L207" i="5"/>
  <c r="Z207" i="5"/>
  <c r="X208" i="5" a="1"/>
  <c r="X208" i="5" s="1"/>
  <c r="H217" i="6" a="1"/>
  <c r="H217" i="6" s="1"/>
  <c r="T217" i="5" s="1"/>
  <c r="G217" i="12" s="1" a="1"/>
  <c r="G217" i="12" s="1"/>
  <c r="J217" i="12" a="1"/>
  <c r="J217" i="12" s="1"/>
  <c r="L217" i="12" a="1"/>
  <c r="L217" i="12" s="1"/>
  <c r="CM210" i="6" l="1" a="1"/>
  <c r="CM210" i="6" s="1"/>
  <c r="BQ210" i="6"/>
  <c r="CG210" i="6" a="1"/>
  <c r="CG210" i="6" s="1"/>
  <c r="BO210" i="6"/>
  <c r="CL210" i="6" a="1"/>
  <c r="CL210" i="6" s="1"/>
  <c r="BN210" i="6"/>
  <c r="CJ210" i="6" a="1"/>
  <c r="CJ210" i="6" s="1"/>
  <c r="BT210" i="6"/>
  <c r="CF210" i="6" a="1"/>
  <c r="CF210" i="6" s="1"/>
  <c r="BS210" i="6"/>
  <c r="CH210" i="6" a="1"/>
  <c r="CH210" i="6" s="1"/>
  <c r="CK210" i="6" a="1"/>
  <c r="CK210" i="6" s="1"/>
  <c r="BR210" i="6"/>
  <c r="AT210" i="6"/>
  <c r="CI210" i="6" a="1"/>
  <c r="CI210" i="6" s="1"/>
  <c r="BP210" i="6"/>
  <c r="BM210" i="6"/>
  <c r="AX210" i="6"/>
  <c r="AY210" i="6"/>
  <c r="AZ210" i="6"/>
  <c r="BA210" i="6"/>
  <c r="AW210" i="6"/>
  <c r="AU210" i="6"/>
  <c r="AV210" i="6"/>
  <c r="W205" i="12" a="1"/>
  <c r="W205" i="12" s="1"/>
  <c r="T205" i="12" s="1"/>
  <c r="K217" i="12"/>
  <c r="Y206" i="12"/>
  <c r="W206" i="12" s="1" a="1"/>
  <c r="W206" i="12" s="1"/>
  <c r="CD210" i="6" a="1"/>
  <c r="CD210" i="6" s="1"/>
  <c r="BI210" i="6"/>
  <c r="BX210" i="6" a="1"/>
  <c r="BX210" i="6" s="1"/>
  <c r="CA210" i="6" a="1"/>
  <c r="CA210" i="6" s="1"/>
  <c r="BH210" i="6"/>
  <c r="BE210" i="6"/>
  <c r="AP210" i="6"/>
  <c r="BL210" i="6"/>
  <c r="AJ210" i="6"/>
  <c r="BZ210" i="6" a="1"/>
  <c r="BZ210" i="6" s="1"/>
  <c r="BK210" i="6"/>
  <c r="CC210" i="6" a="1"/>
  <c r="CC210" i="6" s="1"/>
  <c r="BG210" i="6"/>
  <c r="BD210" i="6"/>
  <c r="AN210" i="6"/>
  <c r="AM210" i="6"/>
  <c r="BY210" i="6" a="1"/>
  <c r="BY210" i="6" s="1"/>
  <c r="AS210" i="6"/>
  <c r="CB210" i="6" a="1"/>
  <c r="CB210" i="6" s="1"/>
  <c r="BW210" i="6" a="1"/>
  <c r="BW210" i="6" s="1"/>
  <c r="CE210" i="6" a="1"/>
  <c r="CE210" i="6" s="1"/>
  <c r="AR210" i="6"/>
  <c r="BJ210" i="6"/>
  <c r="AL210" i="6"/>
  <c r="AQ210" i="6"/>
  <c r="BF210" i="6"/>
  <c r="AK210" i="6"/>
  <c r="AO210" i="6"/>
  <c r="BV210" i="6" a="1"/>
  <c r="BV210" i="6" s="1"/>
  <c r="BC210" i="6"/>
  <c r="A219" i="12"/>
  <c r="N219" i="5"/>
  <c r="D219" i="6" s="1"/>
  <c r="K219" i="5"/>
  <c r="J219" i="5"/>
  <c r="C220" i="5"/>
  <c r="AE219" i="5" a="1"/>
  <c r="AE219" i="5" s="1"/>
  <c r="W219" i="5" a="1"/>
  <c r="W219" i="5" s="1"/>
  <c r="H219" i="12" s="1" a="1"/>
  <c r="H219" i="12" s="1"/>
  <c r="H219" i="5"/>
  <c r="D219" i="5"/>
  <c r="B219" i="12" s="1"/>
  <c r="B219" i="5"/>
  <c r="G219" i="5"/>
  <c r="F219" i="5"/>
  <c r="AD219" i="5"/>
  <c r="E219" i="5"/>
  <c r="I208" i="12"/>
  <c r="L208" i="5"/>
  <c r="AM208" i="5"/>
  <c r="Z208" i="5"/>
  <c r="N206" i="12"/>
  <c r="M211" i="6"/>
  <c r="A212" i="6"/>
  <c r="D218" i="6"/>
  <c r="AB207" i="5" a="1"/>
  <c r="AB207" i="5" s="1"/>
  <c r="C207" i="6"/>
  <c r="J218" i="6" a="1"/>
  <c r="J218" i="6" s="1"/>
  <c r="F218" i="12" a="1"/>
  <c r="F218" i="12" s="1"/>
  <c r="AG218" i="5" a="1"/>
  <c r="AG218" i="5" s="1"/>
  <c r="C207" i="12"/>
  <c r="AO207" i="12" a="1"/>
  <c r="AO207" i="12" s="1"/>
  <c r="O207" i="12" a="1"/>
  <c r="O207" i="12" s="1"/>
  <c r="M207" i="12" a="1"/>
  <c r="M207" i="12" s="1"/>
  <c r="B219" i="6"/>
  <c r="L220" i="6"/>
  <c r="CL211" i="6" l="1" a="1"/>
  <c r="CL211" i="6" s="1"/>
  <c r="BM211" i="6"/>
  <c r="CI211" i="6" a="1"/>
  <c r="CI211" i="6" s="1"/>
  <c r="BT211" i="6"/>
  <c r="AU211" i="6"/>
  <c r="CH211" i="6" a="1"/>
  <c r="CH211" i="6" s="1"/>
  <c r="BS211" i="6"/>
  <c r="BN211" i="6"/>
  <c r="CF211" i="6" a="1"/>
  <c r="CF211" i="6" s="1"/>
  <c r="CM211" i="6" a="1"/>
  <c r="CM211" i="6" s="1"/>
  <c r="CK211" i="6" a="1"/>
  <c r="CK211" i="6" s="1"/>
  <c r="BO211" i="6"/>
  <c r="CG211" i="6" a="1"/>
  <c r="CG211" i="6" s="1"/>
  <c r="BP211" i="6"/>
  <c r="CJ211" i="6" a="1"/>
  <c r="CJ211" i="6" s="1"/>
  <c r="BQ211" i="6"/>
  <c r="BR211" i="6"/>
  <c r="AX211" i="6"/>
  <c r="AV211" i="6"/>
  <c r="AT211" i="6"/>
  <c r="AW211" i="6"/>
  <c r="AY211" i="6"/>
  <c r="AZ211" i="6"/>
  <c r="BA211" i="6"/>
  <c r="V205" i="12" a="1"/>
  <c r="V205" i="12" s="1"/>
  <c r="U205" i="12"/>
  <c r="X206" i="12" a="1"/>
  <c r="X206" i="12" s="1"/>
  <c r="X210" i="5" a="1"/>
  <c r="X210" i="5" s="1"/>
  <c r="AM210" i="5" s="1"/>
  <c r="Y207" i="12"/>
  <c r="W207" i="12" s="1" a="1"/>
  <c r="W207" i="12" s="1"/>
  <c r="H219" i="6" a="1"/>
  <c r="H219" i="6" s="1"/>
  <c r="T219" i="5" s="1"/>
  <c r="G219" i="12" s="1" a="1"/>
  <c r="G219" i="12" s="1"/>
  <c r="V206" i="12" a="1"/>
  <c r="V206" i="12" s="1"/>
  <c r="U206" i="12"/>
  <c r="T206" i="12"/>
  <c r="AB208" i="5" a="1"/>
  <c r="AB208" i="5" s="1"/>
  <c r="N207" i="12"/>
  <c r="C208" i="12"/>
  <c r="M208" i="12" a="1"/>
  <c r="M208" i="12" s="1"/>
  <c r="AO208" i="12" a="1"/>
  <c r="AO208" i="12" s="1"/>
  <c r="O208" i="12" a="1"/>
  <c r="O208" i="12" s="1"/>
  <c r="E218" i="12"/>
  <c r="F218" i="6"/>
  <c r="H218" i="6" a="1"/>
  <c r="H218" i="6" s="1"/>
  <c r="T218" i="5" s="1"/>
  <c r="G218" i="12" s="1" a="1"/>
  <c r="G218" i="12" s="1"/>
  <c r="G218" i="6"/>
  <c r="L219" i="12" a="1"/>
  <c r="L219" i="12" s="1"/>
  <c r="J219" i="12" a="1"/>
  <c r="J219" i="12" s="1"/>
  <c r="M212" i="6"/>
  <c r="A213" i="6"/>
  <c r="C208" i="6"/>
  <c r="B220" i="6"/>
  <c r="A220" i="12"/>
  <c r="AE220" i="5" a="1"/>
  <c r="AE220" i="5" s="1"/>
  <c r="W220" i="5" a="1"/>
  <c r="W220" i="5" s="1"/>
  <c r="H220" i="12" s="1" a="1"/>
  <c r="H220" i="12" s="1"/>
  <c r="H220" i="5"/>
  <c r="AD220" i="5"/>
  <c r="G220" i="5"/>
  <c r="F220" i="5"/>
  <c r="E220" i="5"/>
  <c r="D220" i="5"/>
  <c r="B220" i="12" s="1"/>
  <c r="K220" i="5"/>
  <c r="J220" i="5"/>
  <c r="N220" i="5"/>
  <c r="D220" i="6" s="1"/>
  <c r="B220" i="5"/>
  <c r="BZ211" i="6" a="1"/>
  <c r="BZ211" i="6" s="1"/>
  <c r="BV211" i="6" a="1"/>
  <c r="BV211" i="6" s="1"/>
  <c r="BI211" i="6"/>
  <c r="BY211" i="6" a="1"/>
  <c r="BY211" i="6" s="1"/>
  <c r="CA211" i="6" a="1"/>
  <c r="CA211" i="6" s="1"/>
  <c r="CB211" i="6" a="1"/>
  <c r="CB211" i="6" s="1"/>
  <c r="BF211" i="6"/>
  <c r="BH211" i="6"/>
  <c r="BL211" i="6"/>
  <c r="CD211" i="6" a="1"/>
  <c r="CD211" i="6" s="1"/>
  <c r="BD211" i="6"/>
  <c r="CE211" i="6" a="1"/>
  <c r="CE211" i="6" s="1"/>
  <c r="BK211" i="6"/>
  <c r="BX211" i="6" a="1"/>
  <c r="BX211" i="6" s="1"/>
  <c r="BE211" i="6"/>
  <c r="CC211" i="6" a="1"/>
  <c r="CC211" i="6" s="1"/>
  <c r="BC211" i="6"/>
  <c r="BW211" i="6" a="1"/>
  <c r="BW211" i="6" s="1"/>
  <c r="BG211" i="6"/>
  <c r="BJ211" i="6"/>
  <c r="AM211" i="6"/>
  <c r="AK211" i="6"/>
  <c r="AS211" i="6"/>
  <c r="AR211" i="6"/>
  <c r="AJ211" i="6"/>
  <c r="AN211" i="6"/>
  <c r="AL211" i="6"/>
  <c r="AO211" i="6"/>
  <c r="AP211" i="6"/>
  <c r="AQ211" i="6"/>
  <c r="CL212" i="6" l="1" a="1"/>
  <c r="CL212" i="6" s="1"/>
  <c r="BQ212" i="6"/>
  <c r="BT212" i="6"/>
  <c r="CK212" i="6" a="1"/>
  <c r="CK212" i="6" s="1"/>
  <c r="BO212" i="6"/>
  <c r="CG212" i="6" a="1"/>
  <c r="CG212" i="6" s="1"/>
  <c r="BN212" i="6"/>
  <c r="CJ212" i="6" a="1"/>
  <c r="CJ212" i="6" s="1"/>
  <c r="BS212" i="6"/>
  <c r="CM212" i="6" a="1"/>
  <c r="CM212" i="6" s="1"/>
  <c r="BR212" i="6"/>
  <c r="CI212" i="6" a="1"/>
  <c r="CI212" i="6" s="1"/>
  <c r="BP212" i="6"/>
  <c r="CH212" i="6" a="1"/>
  <c r="CH212" i="6" s="1"/>
  <c r="CF212" i="6" a="1"/>
  <c r="CF212" i="6" s="1"/>
  <c r="BM212" i="6"/>
  <c r="AV212" i="6"/>
  <c r="AZ212" i="6"/>
  <c r="AT212" i="6"/>
  <c r="AW212" i="6"/>
  <c r="BA212" i="6"/>
  <c r="AX212" i="6"/>
  <c r="AU212" i="6"/>
  <c r="AY212" i="6"/>
  <c r="I210" i="12"/>
  <c r="M210" i="12" s="1" a="1"/>
  <c r="M210" i="12" s="1"/>
  <c r="Z210" i="5"/>
  <c r="AB210" i="5" s="1" a="1"/>
  <c r="AB210" i="5" s="1"/>
  <c r="L210" i="5"/>
  <c r="C210" i="6" s="1"/>
  <c r="X207" i="12" a="1"/>
  <c r="X207" i="12" s="1"/>
  <c r="N208" i="12"/>
  <c r="Y208" i="12"/>
  <c r="W208" i="12" s="1" a="1"/>
  <c r="W208" i="12" s="1"/>
  <c r="K219" i="12"/>
  <c r="H220" i="6" a="1"/>
  <c r="H220" i="6" s="1"/>
  <c r="T220" i="5" s="1"/>
  <c r="G220" i="12" s="1" a="1"/>
  <c r="G220" i="12" s="1"/>
  <c r="C221" i="5"/>
  <c r="C222" i="5" s="1"/>
  <c r="J220" i="12" a="1"/>
  <c r="J220" i="12" s="1"/>
  <c r="L220" i="12" a="1"/>
  <c r="L220" i="12" s="1"/>
  <c r="X211" i="5" a="1"/>
  <c r="X211" i="5" s="1"/>
  <c r="V207" i="12" a="1"/>
  <c r="V207" i="12" s="1"/>
  <c r="U207" i="12"/>
  <c r="T207" i="12"/>
  <c r="M213" i="6"/>
  <c r="A214" i="6"/>
  <c r="L221" i="6"/>
  <c r="L222" i="6" s="1"/>
  <c r="BK212" i="6"/>
  <c r="CC212" i="6" a="1"/>
  <c r="CC212" i="6" s="1"/>
  <c r="BW212" i="6" a="1"/>
  <c r="BW212" i="6" s="1"/>
  <c r="BZ212" i="6" a="1"/>
  <c r="BZ212" i="6" s="1"/>
  <c r="BH212" i="6"/>
  <c r="BG212" i="6"/>
  <c r="CA212" i="6" a="1"/>
  <c r="CA212" i="6" s="1"/>
  <c r="CE212" i="6" a="1"/>
  <c r="CE212" i="6" s="1"/>
  <c r="CB212" i="6" a="1"/>
  <c r="CB212" i="6" s="1"/>
  <c r="BD212" i="6"/>
  <c r="BE212" i="6"/>
  <c r="BJ212" i="6"/>
  <c r="BV212" i="6" a="1"/>
  <c r="BV212" i="6" s="1"/>
  <c r="BI212" i="6"/>
  <c r="BC212" i="6"/>
  <c r="AM212" i="6"/>
  <c r="BL212" i="6"/>
  <c r="BY212" i="6" a="1"/>
  <c r="BY212" i="6" s="1"/>
  <c r="AL212" i="6"/>
  <c r="CD212" i="6" a="1"/>
  <c r="CD212" i="6" s="1"/>
  <c r="BX212" i="6" a="1"/>
  <c r="BX212" i="6" s="1"/>
  <c r="BF212" i="6"/>
  <c r="AK212" i="6"/>
  <c r="AS212" i="6"/>
  <c r="AJ212" i="6"/>
  <c r="AN212" i="6"/>
  <c r="AQ212" i="6"/>
  <c r="AO212" i="6"/>
  <c r="AP212" i="6"/>
  <c r="AR212" i="6"/>
  <c r="L223" i="6" l="1"/>
  <c r="B222" i="6"/>
  <c r="AE222" i="5" a="1"/>
  <c r="AE222" i="5" s="1"/>
  <c r="A222" i="12"/>
  <c r="C223" i="5"/>
  <c r="W222" i="5" a="1"/>
  <c r="W222" i="5" s="1"/>
  <c r="H222" i="12" s="1" a="1"/>
  <c r="H222" i="12" s="1"/>
  <c r="D222" i="5"/>
  <c r="B222" i="12" s="1"/>
  <c r="K222" i="5"/>
  <c r="J222" i="5"/>
  <c r="AD222" i="5"/>
  <c r="N222" i="5"/>
  <c r="CL213" i="6" a="1"/>
  <c r="CL213" i="6" s="1"/>
  <c r="BQ213" i="6"/>
  <c r="CH213" i="6" a="1"/>
  <c r="CH213" i="6" s="1"/>
  <c r="BO213" i="6"/>
  <c r="CK213" i="6" a="1"/>
  <c r="CK213" i="6" s="1"/>
  <c r="BN213" i="6"/>
  <c r="CG213" i="6" a="1"/>
  <c r="CG213" i="6" s="1"/>
  <c r="BT213" i="6"/>
  <c r="CF213" i="6" a="1"/>
  <c r="CF213" i="6" s="1"/>
  <c r="BS213" i="6"/>
  <c r="CJ213" i="6" a="1"/>
  <c r="CJ213" i="6" s="1"/>
  <c r="BR213" i="6"/>
  <c r="CI213" i="6" a="1"/>
  <c r="CI213" i="6" s="1"/>
  <c r="CM213" i="6" a="1"/>
  <c r="CM213" i="6" s="1"/>
  <c r="BP213" i="6"/>
  <c r="BM213" i="6"/>
  <c r="AW213" i="6"/>
  <c r="AZ213" i="6"/>
  <c r="AT213" i="6"/>
  <c r="BA213" i="6"/>
  <c r="AY213" i="6"/>
  <c r="AX213" i="6"/>
  <c r="AU213" i="6"/>
  <c r="AV213" i="6"/>
  <c r="O210" i="12" a="1"/>
  <c r="O210" i="12" s="1"/>
  <c r="N210" i="12" s="1"/>
  <c r="C210" i="12"/>
  <c r="AO210" i="12" a="1"/>
  <c r="AO210" i="12" s="1"/>
  <c r="X208" i="12" a="1"/>
  <c r="X208" i="12" s="1"/>
  <c r="K220" i="12"/>
  <c r="A221" i="12"/>
  <c r="J221" i="5"/>
  <c r="AE221" i="5" a="1"/>
  <c r="AE221" i="5" s="1"/>
  <c r="W221" i="5" a="1"/>
  <c r="W221" i="5" s="1"/>
  <c r="H221" i="12" s="1" a="1"/>
  <c r="H221" i="12" s="1"/>
  <c r="H221" i="5"/>
  <c r="H222" i="5" s="1"/>
  <c r="AD221" i="5"/>
  <c r="G221" i="5"/>
  <c r="G222" i="5" s="1"/>
  <c r="F221" i="5"/>
  <c r="F222" i="5" s="1"/>
  <c r="E221" i="5"/>
  <c r="E222" i="5" s="1"/>
  <c r="N221" i="5"/>
  <c r="D221" i="6" s="1"/>
  <c r="K221" i="5"/>
  <c r="B221" i="5"/>
  <c r="B222" i="5" s="1"/>
  <c r="D221" i="5"/>
  <c r="B221" i="12" s="1"/>
  <c r="B221" i="6"/>
  <c r="BG213" i="6"/>
  <c r="BZ213" i="6" a="1"/>
  <c r="BZ213" i="6" s="1"/>
  <c r="CC213" i="6" a="1"/>
  <c r="CC213" i="6" s="1"/>
  <c r="CB213" i="6" a="1"/>
  <c r="CB213" i="6" s="1"/>
  <c r="BL213" i="6"/>
  <c r="BI213" i="6"/>
  <c r="BC213" i="6"/>
  <c r="AO213" i="6"/>
  <c r="BE213" i="6"/>
  <c r="CA213" i="6" a="1"/>
  <c r="CA213" i="6" s="1"/>
  <c r="BH213" i="6"/>
  <c r="BY213" i="6" a="1"/>
  <c r="BY213" i="6" s="1"/>
  <c r="BX213" i="6" a="1"/>
  <c r="BX213" i="6" s="1"/>
  <c r="BD213" i="6"/>
  <c r="BK213" i="6"/>
  <c r="CE213" i="6" a="1"/>
  <c r="CE213" i="6" s="1"/>
  <c r="BF213" i="6"/>
  <c r="BV213" i="6" a="1"/>
  <c r="BV213" i="6" s="1"/>
  <c r="AS213" i="6"/>
  <c r="BW213" i="6" a="1"/>
  <c r="BW213" i="6" s="1"/>
  <c r="BJ213" i="6"/>
  <c r="CD213" i="6" a="1"/>
  <c r="CD213" i="6" s="1"/>
  <c r="AM213" i="6"/>
  <c r="AP213" i="6"/>
  <c r="AK213" i="6"/>
  <c r="AR213" i="6"/>
  <c r="AJ213" i="6"/>
  <c r="AN213" i="6"/>
  <c r="AL213" i="6"/>
  <c r="AQ213" i="6"/>
  <c r="I211" i="12"/>
  <c r="L211" i="5"/>
  <c r="AM211" i="5"/>
  <c r="Z211" i="5"/>
  <c r="T208" i="12"/>
  <c r="V208" i="12" a="1"/>
  <c r="V208" i="12" s="1"/>
  <c r="U208" i="12"/>
  <c r="M214" i="6"/>
  <c r="X212" i="5" a="1"/>
  <c r="X212" i="5" s="1"/>
  <c r="AD223" i="5" l="1"/>
  <c r="G223" i="5"/>
  <c r="A223" i="12"/>
  <c r="N223" i="5"/>
  <c r="D223" i="6" s="1"/>
  <c r="E223" i="5"/>
  <c r="C224" i="5"/>
  <c r="K223" i="5"/>
  <c r="J223" i="5"/>
  <c r="B223" i="5"/>
  <c r="H223" i="5"/>
  <c r="F223" i="5"/>
  <c r="D223" i="5"/>
  <c r="B223" i="12" s="1"/>
  <c r="AE223" i="5" a="1"/>
  <c r="AE223" i="5" s="1"/>
  <c r="W223" i="5" a="1"/>
  <c r="W223" i="5" s="1"/>
  <c r="H223" i="12" s="1" a="1"/>
  <c r="H223" i="12" s="1"/>
  <c r="L224" i="6"/>
  <c r="L225" i="6" s="1"/>
  <c r="B223" i="6"/>
  <c r="L222" i="12" a="1"/>
  <c r="L222" i="12" s="1"/>
  <c r="J222" i="12" a="1"/>
  <c r="J222" i="12" s="1"/>
  <c r="D222" i="6"/>
  <c r="CL214" i="6" a="1"/>
  <c r="CL214" i="6" s="1"/>
  <c r="BQ214" i="6"/>
  <c r="CH214" i="6" a="1"/>
  <c r="CH214" i="6" s="1"/>
  <c r="BO214" i="6"/>
  <c r="CK214" i="6" a="1"/>
  <c r="CK214" i="6" s="1"/>
  <c r="BN214" i="6"/>
  <c r="CG214" i="6" a="1"/>
  <c r="CG214" i="6" s="1"/>
  <c r="BP214" i="6"/>
  <c r="CF214" i="6" a="1"/>
  <c r="CF214" i="6" s="1"/>
  <c r="BM214" i="6"/>
  <c r="BS214" i="6"/>
  <c r="CJ214" i="6" a="1"/>
  <c r="CJ214" i="6" s="1"/>
  <c r="BT214" i="6"/>
  <c r="CM214" i="6" a="1"/>
  <c r="CM214" i="6" s="1"/>
  <c r="BR214" i="6"/>
  <c r="CI214" i="6" a="1"/>
  <c r="CI214" i="6" s="1"/>
  <c r="AV214" i="6"/>
  <c r="AZ214" i="6"/>
  <c r="AT214" i="6"/>
  <c r="AW214" i="6"/>
  <c r="AX214" i="6"/>
  <c r="AY214" i="6"/>
  <c r="BA214" i="6"/>
  <c r="AU214" i="6"/>
  <c r="Y210" i="12"/>
  <c r="W210" i="12" s="1" a="1"/>
  <c r="W210" i="12" s="1"/>
  <c r="V210" i="12" s="1" a="1"/>
  <c r="V210" i="12" s="1"/>
  <c r="BJ214" i="6"/>
  <c r="BZ214" i="6" a="1"/>
  <c r="BZ214" i="6" s="1"/>
  <c r="BI214" i="6"/>
  <c r="CE214" i="6" a="1"/>
  <c r="CE214" i="6" s="1"/>
  <c r="BH214" i="6"/>
  <c r="BW214" i="6" a="1"/>
  <c r="BW214" i="6" s="1"/>
  <c r="BD214" i="6"/>
  <c r="CC214" i="6" a="1"/>
  <c r="CC214" i="6" s="1"/>
  <c r="AN214" i="6"/>
  <c r="CD214" i="6" a="1"/>
  <c r="CD214" i="6" s="1"/>
  <c r="AK214" i="6"/>
  <c r="AP214" i="6"/>
  <c r="BG214" i="6"/>
  <c r="AR214" i="6"/>
  <c r="BC214" i="6"/>
  <c r="BY214" i="6" a="1"/>
  <c r="BY214" i="6" s="1"/>
  <c r="BK214" i="6"/>
  <c r="BF214" i="6"/>
  <c r="AM214" i="6"/>
  <c r="CB214" i="6" a="1"/>
  <c r="CB214" i="6" s="1"/>
  <c r="BV214" i="6" a="1"/>
  <c r="BV214" i="6" s="1"/>
  <c r="BX214" i="6" a="1"/>
  <c r="BX214" i="6" s="1"/>
  <c r="CA214" i="6" a="1"/>
  <c r="CA214" i="6" s="1"/>
  <c r="BE214" i="6"/>
  <c r="BL214" i="6"/>
  <c r="AJ214" i="6"/>
  <c r="AQ214" i="6"/>
  <c r="AS214" i="6"/>
  <c r="AL214" i="6"/>
  <c r="AO214" i="6"/>
  <c r="X213" i="5" a="1"/>
  <c r="X213" i="5" s="1"/>
  <c r="L221" i="12" a="1"/>
  <c r="L221" i="12" s="1"/>
  <c r="J221" i="12" a="1"/>
  <c r="J221" i="12" s="1"/>
  <c r="AB211" i="5" a="1"/>
  <c r="AB211" i="5" s="1"/>
  <c r="I212" i="12"/>
  <c r="AM212" i="5"/>
  <c r="L212" i="5"/>
  <c r="Z212" i="5"/>
  <c r="C211" i="6"/>
  <c r="C211" i="12"/>
  <c r="M211" i="12" a="1"/>
  <c r="M211" i="12" s="1"/>
  <c r="O211" i="12" a="1"/>
  <c r="O211" i="12" s="1"/>
  <c r="AO211" i="12" a="1"/>
  <c r="AO211" i="12" s="1"/>
  <c r="A215" i="6"/>
  <c r="H221" i="6" a="1"/>
  <c r="H221" i="6" s="1"/>
  <c r="T221" i="5" s="1"/>
  <c r="G221" i="12" s="1" a="1"/>
  <c r="G221" i="12" s="1"/>
  <c r="M222" i="6" l="1"/>
  <c r="BG222" i="6" s="1"/>
  <c r="H222" i="6" a="1"/>
  <c r="H222" i="6" s="1"/>
  <c r="N222" i="6"/>
  <c r="A224" i="12"/>
  <c r="F224" i="5"/>
  <c r="W224" i="5" a="1"/>
  <c r="W224" i="5" s="1"/>
  <c r="H224" i="12" s="1" a="1"/>
  <c r="H224" i="12" s="1"/>
  <c r="D224" i="5"/>
  <c r="B224" i="12" s="1"/>
  <c r="K224" i="5"/>
  <c r="J224" i="5"/>
  <c r="B224" i="5"/>
  <c r="C225" i="5" s="1"/>
  <c r="G225" i="5" s="1"/>
  <c r="AE224" i="5" a="1"/>
  <c r="AE224" i="5" s="1"/>
  <c r="H224" i="5"/>
  <c r="N224" i="5"/>
  <c r="D224" i="6" s="1"/>
  <c r="G224" i="5"/>
  <c r="E224" i="5"/>
  <c r="AD224" i="5"/>
  <c r="B224" i="6"/>
  <c r="K222" i="12"/>
  <c r="N223" i="6"/>
  <c r="M223" i="6"/>
  <c r="BI223" i="6" s="1"/>
  <c r="H223" i="6" a="1"/>
  <c r="H223" i="6" s="1"/>
  <c r="T223" i="5" s="1"/>
  <c r="G223" i="12" s="1" a="1"/>
  <c r="G223" i="12" s="1"/>
  <c r="L223" i="12" a="1"/>
  <c r="L223" i="12" s="1"/>
  <c r="J223" i="12" a="1"/>
  <c r="J223" i="12" s="1"/>
  <c r="T210" i="12"/>
  <c r="U210" i="12"/>
  <c r="X210" i="12" a="1"/>
  <c r="X210" i="12" s="1"/>
  <c r="N211" i="12"/>
  <c r="X214" i="5" a="1"/>
  <c r="X214" i="5" s="1"/>
  <c r="I214" i="12" s="1"/>
  <c r="Y211" i="12"/>
  <c r="X211" i="12" s="1" a="1"/>
  <c r="X211" i="12" s="1"/>
  <c r="L226" i="6"/>
  <c r="C212" i="6"/>
  <c r="K221" i="12"/>
  <c r="I213" i="12"/>
  <c r="L213" i="5"/>
  <c r="AM213" i="5"/>
  <c r="Z213" i="5"/>
  <c r="AB212" i="5" a="1"/>
  <c r="AB212" i="5" s="1"/>
  <c r="M215" i="6"/>
  <c r="A216" i="6"/>
  <c r="C212" i="12"/>
  <c r="O212" i="12" a="1"/>
  <c r="O212" i="12" s="1"/>
  <c r="AO212" i="12" a="1"/>
  <c r="AO212" i="12" s="1"/>
  <c r="M212" i="12" a="1"/>
  <c r="M212" i="12" s="1"/>
  <c r="AO222" i="6" l="1"/>
  <c r="CJ222" i="6" a="1"/>
  <c r="CJ222" i="6" s="1"/>
  <c r="AQ222" i="6"/>
  <c r="AL222" i="6"/>
  <c r="BJ223" i="6"/>
  <c r="CB223" i="6" a="1"/>
  <c r="CB223" i="6" s="1"/>
  <c r="AJ222" i="6"/>
  <c r="AT222" i="6"/>
  <c r="BY223" i="6" a="1"/>
  <c r="BY223" i="6" s="1"/>
  <c r="BM223" i="6"/>
  <c r="AR222" i="6"/>
  <c r="CG222" i="6" a="1"/>
  <c r="CG222" i="6" s="1"/>
  <c r="CA223" i="6" a="1"/>
  <c r="CA223" i="6" s="1"/>
  <c r="BC223" i="6"/>
  <c r="AD225" i="5"/>
  <c r="BP222" i="6"/>
  <c r="BV223" i="6" a="1"/>
  <c r="BV223" i="6" s="1"/>
  <c r="AZ222" i="6"/>
  <c r="CK222" i="6" a="1"/>
  <c r="CK222" i="6" s="1"/>
  <c r="H225" i="5"/>
  <c r="BF223" i="6"/>
  <c r="CF222" i="6" a="1"/>
  <c r="CF222" i="6" s="1"/>
  <c r="BF222" i="6"/>
  <c r="BR222" i="6"/>
  <c r="CE223" i="6" a="1"/>
  <c r="CE223" i="6" s="1"/>
  <c r="B225" i="6"/>
  <c r="J225" i="6" s="1" a="1"/>
  <c r="J225" i="6" s="1"/>
  <c r="BK223" i="6"/>
  <c r="BZ223" i="6" a="1"/>
  <c r="BZ223" i="6" s="1"/>
  <c r="AF225" i="5" a="1"/>
  <c r="AF225" i="5" s="1"/>
  <c r="AG225" i="5" s="1" a="1"/>
  <c r="AG225" i="5" s="1"/>
  <c r="BS223" i="6"/>
  <c r="BN223" i="6"/>
  <c r="BH223" i="6"/>
  <c r="CB222" i="6" a="1"/>
  <c r="CB222" i="6" s="1"/>
  <c r="BK222" i="6"/>
  <c r="BN222" i="6"/>
  <c r="BP223" i="6"/>
  <c r="BO222" i="6"/>
  <c r="BD223" i="6"/>
  <c r="BO223" i="6"/>
  <c r="BQ223" i="6"/>
  <c r="AU222" i="6"/>
  <c r="BW222" i="6" a="1"/>
  <c r="BW222" i="6" s="1"/>
  <c r="W225" i="5" a="1"/>
  <c r="W225" i="5" s="1"/>
  <c r="H225" i="12" s="1" a="1"/>
  <c r="H225" i="12" s="1"/>
  <c r="K223" i="12"/>
  <c r="BE223" i="6"/>
  <c r="BW223" i="6" a="1"/>
  <c r="BW223" i="6" s="1"/>
  <c r="BX223" i="6" a="1"/>
  <c r="BX223" i="6" s="1"/>
  <c r="AK222" i="6"/>
  <c r="BE222" i="6"/>
  <c r="CA222" i="6" a="1"/>
  <c r="CA222" i="6" s="1"/>
  <c r="BM222" i="6"/>
  <c r="BZ222" i="6" a="1"/>
  <c r="BZ222" i="6" s="1"/>
  <c r="AT223" i="6"/>
  <c r="AK223" i="6"/>
  <c r="AV223" i="6"/>
  <c r="AO223" i="6"/>
  <c r="AY223" i="6"/>
  <c r="AV222" i="6"/>
  <c r="AW223" i="6"/>
  <c r="L224" i="12" a="1"/>
  <c r="L224" i="12" s="1"/>
  <c r="J224" i="12" a="1"/>
  <c r="J224" i="12" s="1"/>
  <c r="AM223" i="6"/>
  <c r="AE225" i="5" a="1"/>
  <c r="AE225" i="5" s="1"/>
  <c r="CF223" i="6" a="1"/>
  <c r="CF223" i="6" s="1"/>
  <c r="H224" i="6" a="1"/>
  <c r="H224" i="6" s="1"/>
  <c r="T224" i="5" s="1"/>
  <c r="G224" i="12" s="1" a="1"/>
  <c r="G224" i="12" s="1"/>
  <c r="N224" i="6"/>
  <c r="M224" i="6"/>
  <c r="CJ224" i="6" s="1" a="1"/>
  <c r="CJ224" i="6" s="1"/>
  <c r="T222" i="5"/>
  <c r="BC222" i="6"/>
  <c r="BT222" i="6"/>
  <c r="BV222" i="6" a="1"/>
  <c r="BV222" i="6" s="1"/>
  <c r="AW222" i="6"/>
  <c r="CE222" i="6" a="1"/>
  <c r="CE222" i="6" s="1"/>
  <c r="C226" i="5"/>
  <c r="AE226" i="5" s="1" a="1"/>
  <c r="AE226" i="5" s="1"/>
  <c r="CI223" i="6" a="1"/>
  <c r="CI223" i="6" s="1"/>
  <c r="AJ223" i="6"/>
  <c r="CJ223" i="6" a="1"/>
  <c r="CJ223" i="6" s="1"/>
  <c r="AM222" i="6"/>
  <c r="CI222" i="6" a="1"/>
  <c r="CI222" i="6" s="1"/>
  <c r="E225" i="5"/>
  <c r="AS223" i="6"/>
  <c r="N225" i="5"/>
  <c r="D225" i="6" s="1"/>
  <c r="H225" i="6" s="1" a="1"/>
  <c r="H225" i="6" s="1"/>
  <c r="T225" i="5" s="1"/>
  <c r="G225" i="12" s="1" a="1"/>
  <c r="G225" i="12" s="1"/>
  <c r="A225" i="12"/>
  <c r="BA223" i="6"/>
  <c r="CC223" i="6" a="1"/>
  <c r="CC223" i="6" s="1"/>
  <c r="BL223" i="6"/>
  <c r="CD223" i="6" a="1"/>
  <c r="CD223" i="6" s="1"/>
  <c r="AP223" i="6"/>
  <c r="CM223" i="6" a="1"/>
  <c r="CM223" i="6" s="1"/>
  <c r="AR223" i="6"/>
  <c r="AY222" i="6"/>
  <c r="BI222" i="6"/>
  <c r="AS222" i="6"/>
  <c r="BS222" i="6"/>
  <c r="BD222" i="6"/>
  <c r="CD222" i="6" a="1"/>
  <c r="CD222" i="6" s="1"/>
  <c r="AP222" i="6"/>
  <c r="CM222" i="6" a="1"/>
  <c r="CM222" i="6" s="1"/>
  <c r="AU223" i="6"/>
  <c r="F225" i="5"/>
  <c r="BR223" i="6"/>
  <c r="CG223" i="6" a="1"/>
  <c r="CG223" i="6" s="1"/>
  <c r="BT223" i="6"/>
  <c r="CH223" i="6" a="1"/>
  <c r="CH223" i="6" s="1"/>
  <c r="AX223" i="6"/>
  <c r="AZ223" i="6"/>
  <c r="BH222" i="6"/>
  <c r="BQ222" i="6"/>
  <c r="BA222" i="6"/>
  <c r="BY222" i="6" a="1"/>
  <c r="BY222" i="6" s="1"/>
  <c r="BL222" i="6"/>
  <c r="CH222" i="6" a="1"/>
  <c r="CH222" i="6" s="1"/>
  <c r="AX222" i="6"/>
  <c r="B225" i="5"/>
  <c r="AL223" i="6"/>
  <c r="CK223" i="6" a="1"/>
  <c r="CK223" i="6" s="1"/>
  <c r="AN223" i="6"/>
  <c r="CL223" i="6" a="1"/>
  <c r="CL223" i="6" s="1"/>
  <c r="BG223" i="6"/>
  <c r="AQ223" i="6"/>
  <c r="BX222" i="6" a="1"/>
  <c r="BX222" i="6" s="1"/>
  <c r="BJ222" i="6"/>
  <c r="CC222" i="6" a="1"/>
  <c r="CC222" i="6" s="1"/>
  <c r="AN222" i="6"/>
  <c r="CL222" i="6" a="1"/>
  <c r="CL222" i="6" s="1"/>
  <c r="CJ215" i="6" a="1"/>
  <c r="CJ215" i="6" s="1"/>
  <c r="BR215" i="6"/>
  <c r="CM215" i="6" a="1"/>
  <c r="CM215" i="6" s="1"/>
  <c r="BP215" i="6"/>
  <c r="CI215" i="6" a="1"/>
  <c r="CI215" i="6" s="1"/>
  <c r="BM215" i="6"/>
  <c r="CL215" i="6" a="1"/>
  <c r="CL215" i="6" s="1"/>
  <c r="BQ215" i="6"/>
  <c r="CH215" i="6" a="1"/>
  <c r="CH215" i="6" s="1"/>
  <c r="BO215" i="6"/>
  <c r="CK215" i="6" a="1"/>
  <c r="CK215" i="6" s="1"/>
  <c r="BN215" i="6"/>
  <c r="AU215" i="6"/>
  <c r="CG215" i="6" a="1"/>
  <c r="CG215" i="6" s="1"/>
  <c r="BT215" i="6"/>
  <c r="CF215" i="6" a="1"/>
  <c r="CF215" i="6" s="1"/>
  <c r="BS215" i="6"/>
  <c r="AZ215" i="6"/>
  <c r="BA215" i="6"/>
  <c r="AV215" i="6"/>
  <c r="AW215" i="6"/>
  <c r="AX215" i="6"/>
  <c r="AT215" i="6"/>
  <c r="AY215" i="6"/>
  <c r="W211" i="12" a="1"/>
  <c r="W211" i="12" s="1"/>
  <c r="U211" i="12" s="1"/>
  <c r="E225" i="12"/>
  <c r="Z214" i="5"/>
  <c r="L214" i="5"/>
  <c r="C214" i="6" s="1"/>
  <c r="AM214" i="5"/>
  <c r="Y212" i="12"/>
  <c r="X212" i="12" s="1" a="1"/>
  <c r="X212" i="12" s="1"/>
  <c r="AB213" i="5" a="1"/>
  <c r="AB213" i="5" s="1"/>
  <c r="L227" i="6"/>
  <c r="C213" i="6"/>
  <c r="C213" i="12"/>
  <c r="O213" i="12" a="1"/>
  <c r="O213" i="12" s="1"/>
  <c r="AO213" i="12" a="1"/>
  <c r="AO213" i="12" s="1"/>
  <c r="M213" i="12" a="1"/>
  <c r="M213" i="12" s="1"/>
  <c r="M216" i="6"/>
  <c r="A217" i="6"/>
  <c r="F225" i="12" a="1"/>
  <c r="F225" i="12" s="1"/>
  <c r="BH215" i="6"/>
  <c r="BF215" i="6"/>
  <c r="CE215" i="6" a="1"/>
  <c r="CE215" i="6" s="1"/>
  <c r="AP215" i="6"/>
  <c r="BZ215" i="6" a="1"/>
  <c r="BZ215" i="6" s="1"/>
  <c r="AM215" i="6"/>
  <c r="CD215" i="6" a="1"/>
  <c r="CD215" i="6" s="1"/>
  <c r="BG215" i="6"/>
  <c r="BX215" i="6" a="1"/>
  <c r="BX215" i="6" s="1"/>
  <c r="BC215" i="6"/>
  <c r="BE215" i="6"/>
  <c r="BD215" i="6"/>
  <c r="CC215" i="6" a="1"/>
  <c r="CC215" i="6" s="1"/>
  <c r="BY215" i="6" a="1"/>
  <c r="BY215" i="6" s="1"/>
  <c r="BJ215" i="6"/>
  <c r="BV215" i="6" a="1"/>
  <c r="BV215" i="6" s="1"/>
  <c r="CA215" i="6" a="1"/>
  <c r="CA215" i="6" s="1"/>
  <c r="BL215" i="6"/>
  <c r="BI215" i="6"/>
  <c r="CB215" i="6" a="1"/>
  <c r="CB215" i="6" s="1"/>
  <c r="BW215" i="6" a="1"/>
  <c r="BW215" i="6" s="1"/>
  <c r="BK215" i="6"/>
  <c r="AS215" i="6"/>
  <c r="AO215" i="6"/>
  <c r="AQ215" i="6"/>
  <c r="AK215" i="6"/>
  <c r="AR215" i="6"/>
  <c r="AJ215" i="6"/>
  <c r="AL215" i="6"/>
  <c r="AN215" i="6"/>
  <c r="N212" i="12"/>
  <c r="C214" i="12"/>
  <c r="M214" i="12" a="1"/>
  <c r="M214" i="12" s="1"/>
  <c r="AO214" i="12" a="1"/>
  <c r="AO214" i="12" s="1"/>
  <c r="O214" i="12" a="1"/>
  <c r="O214" i="12" s="1"/>
  <c r="D226" i="5" l="1"/>
  <c r="B226" i="12" s="1"/>
  <c r="E226" i="5"/>
  <c r="H226" i="5"/>
  <c r="BZ224" i="6" a="1"/>
  <c r="BZ224" i="6" s="1"/>
  <c r="B226" i="5"/>
  <c r="W226" i="5" a="1"/>
  <c r="W226" i="5" s="1"/>
  <c r="H226" i="12" s="1" a="1"/>
  <c r="H226" i="12" s="1"/>
  <c r="G226" i="5"/>
  <c r="BI224" i="6"/>
  <c r="BL224" i="6"/>
  <c r="AD226" i="5"/>
  <c r="CH224" i="6" a="1"/>
  <c r="CH224" i="6" s="1"/>
  <c r="K226" i="5"/>
  <c r="BO224" i="6"/>
  <c r="CL224" i="6" a="1"/>
  <c r="CL224" i="6" s="1"/>
  <c r="BC224" i="6"/>
  <c r="BS224" i="6"/>
  <c r="AP224" i="6"/>
  <c r="BT224" i="6"/>
  <c r="BW224" i="6" a="1"/>
  <c r="BW224" i="6" s="1"/>
  <c r="BV224" i="6" a="1"/>
  <c r="BV224" i="6" s="1"/>
  <c r="A226" i="12"/>
  <c r="L226" i="12" s="1" a="1"/>
  <c r="L226" i="12" s="1"/>
  <c r="B226" i="6"/>
  <c r="C227" i="5"/>
  <c r="BE224" i="6"/>
  <c r="AW224" i="6"/>
  <c r="CM224" i="6" a="1"/>
  <c r="CM224" i="6" s="1"/>
  <c r="CF224" i="6" a="1"/>
  <c r="CF224" i="6" s="1"/>
  <c r="J226" i="5"/>
  <c r="BM224" i="6"/>
  <c r="BN224" i="6"/>
  <c r="BH224" i="6"/>
  <c r="X222" i="5" a="1"/>
  <c r="X222" i="5" s="1"/>
  <c r="I222" i="12" s="1"/>
  <c r="BP224" i="6"/>
  <c r="BJ224" i="6"/>
  <c r="N226" i="5"/>
  <c r="D226" i="6" s="1"/>
  <c r="H226" i="6" s="1" a="1"/>
  <c r="H226" i="6" s="1"/>
  <c r="T226" i="5" s="1"/>
  <c r="G226" i="12" s="1" a="1"/>
  <c r="G226" i="12" s="1"/>
  <c r="F226" i="5"/>
  <c r="CD224" i="6" a="1"/>
  <c r="CD224" i="6" s="1"/>
  <c r="BG224" i="6"/>
  <c r="AR224" i="6"/>
  <c r="BK224" i="6"/>
  <c r="BQ224" i="6"/>
  <c r="BY224" i="6" a="1"/>
  <c r="BY224" i="6" s="1"/>
  <c r="AV224" i="6"/>
  <c r="BD224" i="6"/>
  <c r="CE224" i="6" a="1"/>
  <c r="CE224" i="6" s="1"/>
  <c r="BX224" i="6" a="1"/>
  <c r="BX224" i="6" s="1"/>
  <c r="CC224" i="6" a="1"/>
  <c r="CC224" i="6" s="1"/>
  <c r="X223" i="5" a="1"/>
  <c r="X223" i="5" s="1"/>
  <c r="AN224" i="6"/>
  <c r="AX224" i="6"/>
  <c r="AQ224" i="6"/>
  <c r="AZ224" i="6"/>
  <c r="AK224" i="6"/>
  <c r="G222" i="12" a="1"/>
  <c r="G222" i="12" s="1"/>
  <c r="AS224" i="6"/>
  <c r="AO224" i="6"/>
  <c r="BA224" i="6"/>
  <c r="AM224" i="6"/>
  <c r="BF224" i="6"/>
  <c r="CA224" i="6" a="1"/>
  <c r="CA224" i="6" s="1"/>
  <c r="AY224" i="6"/>
  <c r="CB224" i="6" a="1"/>
  <c r="CB224" i="6" s="1"/>
  <c r="BR224" i="6"/>
  <c r="CG224" i="6" a="1"/>
  <c r="CG224" i="6" s="1"/>
  <c r="AU224" i="6"/>
  <c r="AL224" i="6"/>
  <c r="CK224" i="6" a="1"/>
  <c r="CK224" i="6" s="1"/>
  <c r="K224" i="12"/>
  <c r="CI224" i="6" a="1"/>
  <c r="CI224" i="6" s="1"/>
  <c r="AJ224" i="6"/>
  <c r="AT224" i="6"/>
  <c r="CK216" i="6" a="1"/>
  <c r="CK216" i="6" s="1"/>
  <c r="BN216" i="6"/>
  <c r="CI216" i="6" a="1"/>
  <c r="CI216" i="6" s="1"/>
  <c r="CG216" i="6" a="1"/>
  <c r="CG216" i="6" s="1"/>
  <c r="BT216" i="6"/>
  <c r="BM216" i="6"/>
  <c r="CF216" i="6" a="1"/>
  <c r="CF216" i="6" s="1"/>
  <c r="BS216" i="6"/>
  <c r="AV216" i="6"/>
  <c r="CJ216" i="6" a="1"/>
  <c r="CJ216" i="6" s="1"/>
  <c r="BR216" i="6"/>
  <c r="AT216" i="6"/>
  <c r="CM216" i="6" a="1"/>
  <c r="CM216" i="6" s="1"/>
  <c r="CL216" i="6" a="1"/>
  <c r="CL216" i="6" s="1"/>
  <c r="BQ216" i="6"/>
  <c r="AU216" i="6"/>
  <c r="CH216" i="6" a="1"/>
  <c r="CH216" i="6" s="1"/>
  <c r="BO216" i="6"/>
  <c r="BP216" i="6"/>
  <c r="AX216" i="6"/>
  <c r="AW216" i="6"/>
  <c r="AY216" i="6"/>
  <c r="AZ216" i="6"/>
  <c r="BA216" i="6"/>
  <c r="T211" i="12"/>
  <c r="V211" i="12" a="1"/>
  <c r="V211" i="12" s="1"/>
  <c r="AB214" i="5" a="1"/>
  <c r="AB214" i="5" s="1"/>
  <c r="W212" i="12" a="1"/>
  <c r="W212" i="12" s="1"/>
  <c r="V212" i="12" s="1" a="1"/>
  <c r="V212" i="12" s="1"/>
  <c r="F225" i="6"/>
  <c r="Y213" i="12"/>
  <c r="W213" i="12" s="1" a="1"/>
  <c r="W213" i="12" s="1"/>
  <c r="N214" i="12"/>
  <c r="N213" i="12"/>
  <c r="M217" i="6"/>
  <c r="A218" i="6"/>
  <c r="G225" i="6"/>
  <c r="BK216" i="6"/>
  <c r="CE216" i="6" a="1"/>
  <c r="CE216" i="6" s="1"/>
  <c r="BY216" i="6" a="1"/>
  <c r="BY216" i="6" s="1"/>
  <c r="AO216" i="6"/>
  <c r="CD216" i="6" a="1"/>
  <c r="CD216" i="6" s="1"/>
  <c r="AP216" i="6"/>
  <c r="BG216" i="6"/>
  <c r="BX216" i="6" a="1"/>
  <c r="BX216" i="6" s="1"/>
  <c r="AM216" i="6"/>
  <c r="CC216" i="6" a="1"/>
  <c r="CC216" i="6" s="1"/>
  <c r="BC216" i="6"/>
  <c r="AS216" i="6"/>
  <c r="BV216" i="6" a="1"/>
  <c r="BV216" i="6" s="1"/>
  <c r="AJ216" i="6"/>
  <c r="AN216" i="6"/>
  <c r="BW216" i="6" a="1"/>
  <c r="BW216" i="6" s="1"/>
  <c r="CB216" i="6" a="1"/>
  <c r="CB216" i="6" s="1"/>
  <c r="AR216" i="6"/>
  <c r="BI216" i="6"/>
  <c r="AQ216" i="6"/>
  <c r="AL216" i="6"/>
  <c r="BE216" i="6"/>
  <c r="CA216" i="6" a="1"/>
  <c r="CA216" i="6" s="1"/>
  <c r="BZ216" i="6" a="1"/>
  <c r="BZ216" i="6" s="1"/>
  <c r="AK216" i="6"/>
  <c r="L228" i="6"/>
  <c r="Y214" i="12"/>
  <c r="E227" i="5" l="1"/>
  <c r="B227" i="6"/>
  <c r="K227" i="5"/>
  <c r="J227" i="5"/>
  <c r="C228" i="5"/>
  <c r="D228" i="5" s="1"/>
  <c r="B228" i="12" s="1"/>
  <c r="G227" i="5"/>
  <c r="D227" i="5"/>
  <c r="B227" i="12" s="1"/>
  <c r="N227" i="5"/>
  <c r="D227" i="6" s="1"/>
  <c r="H227" i="6" s="1" a="1"/>
  <c r="H227" i="6" s="1"/>
  <c r="T227" i="5" s="1"/>
  <c r="G227" i="12" s="1" a="1"/>
  <c r="G227" i="12" s="1"/>
  <c r="W227" i="5" a="1"/>
  <c r="W227" i="5" s="1"/>
  <c r="H227" i="12" s="1" a="1"/>
  <c r="H227" i="12" s="1"/>
  <c r="AD227" i="5"/>
  <c r="A227" i="12"/>
  <c r="J227" i="12" s="1" a="1"/>
  <c r="J227" i="12" s="1"/>
  <c r="H227" i="5"/>
  <c r="J226" i="12" a="1"/>
  <c r="J226" i="12" s="1"/>
  <c r="K226" i="12" s="1"/>
  <c r="AE227" i="5" a="1"/>
  <c r="AE227" i="5" s="1"/>
  <c r="B227" i="5"/>
  <c r="F227" i="5"/>
  <c r="L222" i="5"/>
  <c r="AM222" i="5"/>
  <c r="Z222" i="5"/>
  <c r="AB222" i="5" s="1" a="1"/>
  <c r="AB222" i="5" s="1"/>
  <c r="AM223" i="5"/>
  <c r="I223" i="12"/>
  <c r="L223" i="5"/>
  <c r="Z223" i="5"/>
  <c r="X224" i="5" a="1"/>
  <c r="X224" i="5" s="1"/>
  <c r="C222" i="12"/>
  <c r="M222" i="12" a="1"/>
  <c r="M222" i="12" s="1"/>
  <c r="AO222" i="12" a="1"/>
  <c r="AO222" i="12" s="1"/>
  <c r="O222" i="12" a="1"/>
  <c r="O222" i="12" s="1"/>
  <c r="CJ217" i="6" a="1"/>
  <c r="CJ217" i="6" s="1"/>
  <c r="BM217" i="6"/>
  <c r="CM217" i="6" a="1"/>
  <c r="CM217" i="6" s="1"/>
  <c r="CI217" i="6" a="1"/>
  <c r="CI217" i="6" s="1"/>
  <c r="CL217" i="6" a="1"/>
  <c r="CL217" i="6" s="1"/>
  <c r="BQ217" i="6"/>
  <c r="BT217" i="6"/>
  <c r="CH217" i="6" a="1"/>
  <c r="CH217" i="6" s="1"/>
  <c r="BO217" i="6"/>
  <c r="CK217" i="6" a="1"/>
  <c r="CK217" i="6" s="1"/>
  <c r="BN217" i="6"/>
  <c r="BS217" i="6"/>
  <c r="CG217" i="6" a="1"/>
  <c r="CG217" i="6" s="1"/>
  <c r="BR217" i="6"/>
  <c r="CF217" i="6" a="1"/>
  <c r="CF217" i="6" s="1"/>
  <c r="BP217" i="6"/>
  <c r="AZ217" i="6"/>
  <c r="BA217" i="6"/>
  <c r="AU217" i="6"/>
  <c r="AT217" i="6"/>
  <c r="AV217" i="6"/>
  <c r="AX217" i="6"/>
  <c r="AW217" i="6"/>
  <c r="AY217" i="6"/>
  <c r="X213" i="12" a="1"/>
  <c r="X213" i="12" s="1"/>
  <c r="U212" i="12"/>
  <c r="T212" i="12"/>
  <c r="X216" i="5" a="1"/>
  <c r="X216" i="5" s="1"/>
  <c r="V213" i="12" a="1"/>
  <c r="V213" i="12" s="1"/>
  <c r="U213" i="12"/>
  <c r="T213" i="12"/>
  <c r="L229" i="6"/>
  <c r="A219" i="6"/>
  <c r="M218" i="6"/>
  <c r="BZ217" i="6" a="1"/>
  <c r="BZ217" i="6" s="1"/>
  <c r="BI217" i="6"/>
  <c r="CE217" i="6" a="1"/>
  <c r="CE217" i="6" s="1"/>
  <c r="BG217" i="6"/>
  <c r="CB217" i="6" a="1"/>
  <c r="CB217" i="6" s="1"/>
  <c r="BW217" i="6" a="1"/>
  <c r="BW217" i="6" s="1"/>
  <c r="CA217" i="6" a="1"/>
  <c r="CA217" i="6" s="1"/>
  <c r="BV217" i="6" a="1"/>
  <c r="BV217" i="6" s="1"/>
  <c r="BY217" i="6" a="1"/>
  <c r="BY217" i="6" s="1"/>
  <c r="BC217" i="6"/>
  <c r="AL217" i="6"/>
  <c r="CD217" i="6" a="1"/>
  <c r="CD217" i="6" s="1"/>
  <c r="AM217" i="6"/>
  <c r="BX217" i="6" a="1"/>
  <c r="BX217" i="6" s="1"/>
  <c r="AJ217" i="6"/>
  <c r="CC217" i="6" a="1"/>
  <c r="CC217" i="6" s="1"/>
  <c r="AN217" i="6"/>
  <c r="AP217" i="6"/>
  <c r="AK217" i="6"/>
  <c r="AO217" i="6"/>
  <c r="BE217" i="6"/>
  <c r="BK217" i="6"/>
  <c r="AQ217" i="6"/>
  <c r="AS217" i="6"/>
  <c r="AR217" i="6"/>
  <c r="W214" i="12" a="1"/>
  <c r="W214" i="12" s="1"/>
  <c r="X214" i="12" a="1"/>
  <c r="X214" i="12" s="1"/>
  <c r="AD228" i="5" l="1"/>
  <c r="C229" i="5"/>
  <c r="W229" i="5" s="1" a="1"/>
  <c r="W229" i="5" s="1"/>
  <c r="H229" i="12" s="1" a="1"/>
  <c r="H229" i="12" s="1"/>
  <c r="L227" i="12" a="1"/>
  <c r="L227" i="12" s="1"/>
  <c r="K227" i="12" s="1"/>
  <c r="F228" i="5"/>
  <c r="J228" i="5"/>
  <c r="W228" i="5" a="1"/>
  <c r="W228" i="5" s="1"/>
  <c r="H228" i="12" s="1" a="1"/>
  <c r="H228" i="12" s="1"/>
  <c r="AE228" i="5" a="1"/>
  <c r="AE228" i="5" s="1"/>
  <c r="A228" i="12"/>
  <c r="J228" i="12" s="1" a="1"/>
  <c r="J228" i="12" s="1"/>
  <c r="B228" i="6"/>
  <c r="B228" i="5"/>
  <c r="N228" i="5"/>
  <c r="D228" i="6" s="1"/>
  <c r="K228" i="5"/>
  <c r="E228" i="5"/>
  <c r="G228" i="5"/>
  <c r="H228" i="5"/>
  <c r="C222" i="6"/>
  <c r="N222" i="12"/>
  <c r="Y222" i="12"/>
  <c r="X222" i="12" s="1" a="1"/>
  <c r="X222" i="12" s="1"/>
  <c r="AB223" i="5" a="1"/>
  <c r="AB223" i="5" s="1"/>
  <c r="C223" i="6"/>
  <c r="C223" i="12"/>
  <c r="O223" i="12" a="1"/>
  <c r="O223" i="12" s="1"/>
  <c r="M223" i="12" a="1"/>
  <c r="M223" i="12" s="1"/>
  <c r="AO223" i="12" a="1"/>
  <c r="AO223" i="12" s="1"/>
  <c r="L224" i="5"/>
  <c r="I224" i="12"/>
  <c r="AM224" i="5"/>
  <c r="Z224" i="5"/>
  <c r="CL218" i="6" a="1"/>
  <c r="CL218" i="6" s="1"/>
  <c r="BQ218" i="6"/>
  <c r="CH218" i="6" a="1"/>
  <c r="CH218" i="6" s="1"/>
  <c r="BO218" i="6"/>
  <c r="AT218" i="6"/>
  <c r="CK218" i="6" a="1"/>
  <c r="CK218" i="6" s="1"/>
  <c r="BN218" i="6"/>
  <c r="CG218" i="6" a="1"/>
  <c r="CG218" i="6" s="1"/>
  <c r="BT218" i="6"/>
  <c r="CF218" i="6" a="1"/>
  <c r="CF218" i="6" s="1"/>
  <c r="BS218" i="6"/>
  <c r="CI218" i="6" a="1"/>
  <c r="CI218" i="6" s="1"/>
  <c r="CJ218" i="6" a="1"/>
  <c r="CJ218" i="6" s="1"/>
  <c r="BR218" i="6"/>
  <c r="BM218" i="6"/>
  <c r="CM218" i="6" a="1"/>
  <c r="CM218" i="6" s="1"/>
  <c r="BP218" i="6"/>
  <c r="AX218" i="6"/>
  <c r="AU218" i="6"/>
  <c r="AY218" i="6"/>
  <c r="AV218" i="6"/>
  <c r="AW218" i="6"/>
  <c r="AZ218" i="6"/>
  <c r="BA218" i="6"/>
  <c r="X217" i="5" a="1"/>
  <c r="X217" i="5" s="1"/>
  <c r="L230" i="6"/>
  <c r="BF218" i="6"/>
  <c r="BI218" i="6"/>
  <c r="BH218" i="6"/>
  <c r="BX218" i="6" a="1"/>
  <c r="BX218" i="6" s="1"/>
  <c r="BC218" i="6"/>
  <c r="BL218" i="6"/>
  <c r="BY218" i="6" a="1"/>
  <c r="BY218" i="6" s="1"/>
  <c r="BV218" i="6" a="1"/>
  <c r="BV218" i="6" s="1"/>
  <c r="BE218" i="6"/>
  <c r="AK218" i="6"/>
  <c r="BJ218" i="6"/>
  <c r="CD218" i="6" a="1"/>
  <c r="CD218" i="6" s="1"/>
  <c r="BZ218" i="6" a="1"/>
  <c r="BZ218" i="6" s="1"/>
  <c r="BW218" i="6" a="1"/>
  <c r="BW218" i="6" s="1"/>
  <c r="AQ218" i="6"/>
  <c r="BD218" i="6"/>
  <c r="BG218" i="6"/>
  <c r="CE218" i="6" a="1"/>
  <c r="CE218" i="6" s="1"/>
  <c r="AJ218" i="6"/>
  <c r="AM218" i="6"/>
  <c r="CA218" i="6" a="1"/>
  <c r="CA218" i="6" s="1"/>
  <c r="AS218" i="6"/>
  <c r="BK218" i="6"/>
  <c r="CC218" i="6" a="1"/>
  <c r="CC218" i="6" s="1"/>
  <c r="AP218" i="6"/>
  <c r="CB218" i="6" a="1"/>
  <c r="CB218" i="6" s="1"/>
  <c r="AR218" i="6"/>
  <c r="AN218" i="6"/>
  <c r="AL218" i="6"/>
  <c r="AO218" i="6"/>
  <c r="A229" i="12"/>
  <c r="K229" i="5"/>
  <c r="C230" i="5"/>
  <c r="AE229" i="5" a="1"/>
  <c r="AE229" i="5" s="1"/>
  <c r="I216" i="12"/>
  <c r="AM216" i="5"/>
  <c r="L216" i="5"/>
  <c r="Z216" i="5"/>
  <c r="V214" i="12" a="1"/>
  <c r="V214" i="12" s="1"/>
  <c r="U214" i="12"/>
  <c r="T214" i="12"/>
  <c r="M219" i="6"/>
  <c r="A220" i="6"/>
  <c r="N229" i="5" l="1"/>
  <c r="D229" i="6" s="1"/>
  <c r="H229" i="6" s="1" a="1"/>
  <c r="H229" i="6" s="1"/>
  <c r="T229" i="5" s="1"/>
  <c r="G229" i="12" s="1" a="1"/>
  <c r="G229" i="12" s="1"/>
  <c r="B229" i="6"/>
  <c r="G229" i="5"/>
  <c r="G230" i="5" s="1"/>
  <c r="B229" i="5"/>
  <c r="AD229" i="5"/>
  <c r="D229" i="5"/>
  <c r="B229" i="12" s="1"/>
  <c r="H229" i="5"/>
  <c r="H230" i="5" s="1"/>
  <c r="E229" i="5"/>
  <c r="E230" i="5" s="1"/>
  <c r="J229" i="5"/>
  <c r="F229" i="5"/>
  <c r="F230" i="5" s="1"/>
  <c r="L228" i="12" a="1"/>
  <c r="L228" i="12" s="1"/>
  <c r="K228" i="12" s="1"/>
  <c r="Y223" i="12"/>
  <c r="W223" i="12" s="1" a="1"/>
  <c r="W223" i="12" s="1"/>
  <c r="W222" i="12" a="1"/>
  <c r="W222" i="12" s="1"/>
  <c r="T222" i="12" s="1"/>
  <c r="C224" i="12"/>
  <c r="AO224" i="12" a="1"/>
  <c r="AO224" i="12" s="1"/>
  <c r="O224" i="12" a="1"/>
  <c r="O224" i="12" s="1"/>
  <c r="M224" i="12" a="1"/>
  <c r="M224" i="12" s="1"/>
  <c r="C224" i="6"/>
  <c r="N223" i="12"/>
  <c r="AB224" i="5" a="1"/>
  <c r="AB224" i="5" s="1"/>
  <c r="CL219" i="6" a="1"/>
  <c r="CL219" i="6" s="1"/>
  <c r="BQ219" i="6"/>
  <c r="BP219" i="6"/>
  <c r="CH219" i="6" a="1"/>
  <c r="CH219" i="6" s="1"/>
  <c r="BO219" i="6"/>
  <c r="AX219" i="6"/>
  <c r="CK219" i="6" a="1"/>
  <c r="CK219" i="6" s="1"/>
  <c r="BN219" i="6"/>
  <c r="CG219" i="6" a="1"/>
  <c r="CG219" i="6" s="1"/>
  <c r="BM219" i="6"/>
  <c r="CF219" i="6" a="1"/>
  <c r="CF219" i="6" s="1"/>
  <c r="BT219" i="6"/>
  <c r="CJ219" i="6" a="1"/>
  <c r="CJ219" i="6" s="1"/>
  <c r="BS219" i="6"/>
  <c r="CI219" i="6" a="1"/>
  <c r="CI219" i="6" s="1"/>
  <c r="CM219" i="6" a="1"/>
  <c r="CM219" i="6" s="1"/>
  <c r="BR219" i="6"/>
  <c r="AW219" i="6"/>
  <c r="AT219" i="6"/>
  <c r="AU219" i="6"/>
  <c r="AY219" i="6"/>
  <c r="AV219" i="6"/>
  <c r="AZ219" i="6"/>
  <c r="BA219" i="6"/>
  <c r="C216" i="6"/>
  <c r="H228" i="6" a="1"/>
  <c r="H228" i="6" s="1"/>
  <c r="L231" i="6"/>
  <c r="B230" i="6"/>
  <c r="AB216" i="5" a="1"/>
  <c r="AB216" i="5" s="1"/>
  <c r="J229" i="12" a="1"/>
  <c r="J229" i="12" s="1"/>
  <c r="L229" i="12" a="1"/>
  <c r="L229" i="12" s="1"/>
  <c r="C216" i="12"/>
  <c r="O216" i="12" a="1"/>
  <c r="O216" i="12" s="1"/>
  <c r="AO216" i="12" a="1"/>
  <c r="AO216" i="12" s="1"/>
  <c r="M216" i="12" a="1"/>
  <c r="M216" i="12" s="1"/>
  <c r="M220" i="6"/>
  <c r="A230" i="12"/>
  <c r="K230" i="5"/>
  <c r="J230" i="5"/>
  <c r="C231" i="5"/>
  <c r="AE230" i="5" a="1"/>
  <c r="AE230" i="5" s="1"/>
  <c r="W230" i="5" a="1"/>
  <c r="W230" i="5" s="1"/>
  <c r="H230" i="12" s="1" a="1"/>
  <c r="H230" i="12" s="1"/>
  <c r="AD230" i="5"/>
  <c r="B230" i="5"/>
  <c r="N230" i="5"/>
  <c r="D230" i="5"/>
  <c r="B230" i="12" s="1"/>
  <c r="I217" i="12"/>
  <c r="L217" i="5"/>
  <c r="AM217" i="5"/>
  <c r="Z217" i="5"/>
  <c r="BK219" i="6"/>
  <c r="BZ219" i="6" a="1"/>
  <c r="BZ219" i="6" s="1"/>
  <c r="AM219" i="6"/>
  <c r="CD219" i="6" a="1"/>
  <c r="CD219" i="6" s="1"/>
  <c r="BG219" i="6"/>
  <c r="BX219" i="6" a="1"/>
  <c r="BX219" i="6" s="1"/>
  <c r="BY219" i="6" a="1"/>
  <c r="BY219" i="6" s="1"/>
  <c r="AQ219" i="6"/>
  <c r="AS219" i="6"/>
  <c r="BE219" i="6"/>
  <c r="BW219" i="6" a="1"/>
  <c r="BW219" i="6" s="1"/>
  <c r="AP219" i="6"/>
  <c r="CC219" i="6" a="1"/>
  <c r="CC219" i="6" s="1"/>
  <c r="CE219" i="6" a="1"/>
  <c r="CE219" i="6" s="1"/>
  <c r="BV219" i="6" a="1"/>
  <c r="BV219" i="6" s="1"/>
  <c r="BC219" i="6"/>
  <c r="CA219" i="6" a="1"/>
  <c r="CA219" i="6" s="1"/>
  <c r="BI219" i="6"/>
  <c r="AR219" i="6"/>
  <c r="CB219" i="6" a="1"/>
  <c r="CB219" i="6" s="1"/>
  <c r="AL219" i="6"/>
  <c r="AJ219" i="6"/>
  <c r="AN219" i="6"/>
  <c r="AO219" i="6"/>
  <c r="AK219" i="6"/>
  <c r="V222" i="12" l="1" a="1"/>
  <c r="V222" i="12" s="1"/>
  <c r="X223" i="12" a="1"/>
  <c r="X223" i="12" s="1"/>
  <c r="U222" i="12"/>
  <c r="V223" i="12" a="1"/>
  <c r="V223" i="12" s="1"/>
  <c r="U223" i="12"/>
  <c r="T223" i="12"/>
  <c r="N224" i="12"/>
  <c r="Y224" i="12"/>
  <c r="CF220" i="6" a="1"/>
  <c r="CF220" i="6" s="1"/>
  <c r="BR220" i="6"/>
  <c r="CJ220" i="6" a="1"/>
  <c r="CJ220" i="6" s="1"/>
  <c r="BP220" i="6"/>
  <c r="CG220" i="6" a="1"/>
  <c r="CG220" i="6" s="1"/>
  <c r="CM220" i="6" a="1"/>
  <c r="CM220" i="6" s="1"/>
  <c r="BM220" i="6"/>
  <c r="BA220" i="6"/>
  <c r="CI220" i="6" a="1"/>
  <c r="CI220" i="6" s="1"/>
  <c r="BT220" i="6"/>
  <c r="CL220" i="6" a="1"/>
  <c r="CL220" i="6" s="1"/>
  <c r="BQ220" i="6"/>
  <c r="BS220" i="6"/>
  <c r="CH220" i="6" a="1"/>
  <c r="CH220" i="6" s="1"/>
  <c r="BO220" i="6"/>
  <c r="CK220" i="6" a="1"/>
  <c r="CK220" i="6" s="1"/>
  <c r="BN220" i="6"/>
  <c r="AU220" i="6"/>
  <c r="AV220" i="6"/>
  <c r="AW220" i="6"/>
  <c r="AT220" i="6"/>
  <c r="AX220" i="6"/>
  <c r="AY220" i="6"/>
  <c r="AZ220" i="6"/>
  <c r="T228" i="5"/>
  <c r="G228" i="12" s="1" a="1"/>
  <c r="G228" i="12" s="1"/>
  <c r="K229" i="12"/>
  <c r="CB220" i="6" a="1"/>
  <c r="CB220" i="6" s="1"/>
  <c r="BI220" i="6"/>
  <c r="BG220" i="6"/>
  <c r="BV220" i="6" a="1"/>
  <c r="BV220" i="6" s="1"/>
  <c r="CA220" i="6" a="1"/>
  <c r="CA220" i="6" s="1"/>
  <c r="BK220" i="6"/>
  <c r="BE220" i="6"/>
  <c r="AS220" i="6"/>
  <c r="CE220" i="6" a="1"/>
  <c r="CE220" i="6" s="1"/>
  <c r="BZ220" i="6" a="1"/>
  <c r="BZ220" i="6" s="1"/>
  <c r="AJ220" i="6"/>
  <c r="BX220" i="6" a="1"/>
  <c r="BX220" i="6" s="1"/>
  <c r="BY220" i="6" a="1"/>
  <c r="BY220" i="6" s="1"/>
  <c r="CC220" i="6" a="1"/>
  <c r="CC220" i="6" s="1"/>
  <c r="BC220" i="6"/>
  <c r="CD220" i="6" a="1"/>
  <c r="CD220" i="6" s="1"/>
  <c r="BW220" i="6" a="1"/>
  <c r="BW220" i="6" s="1"/>
  <c r="AM220" i="6"/>
  <c r="AP220" i="6"/>
  <c r="AR220" i="6"/>
  <c r="AN220" i="6"/>
  <c r="AL220" i="6"/>
  <c r="AK220" i="6"/>
  <c r="AQ220" i="6"/>
  <c r="AO220" i="6"/>
  <c r="C217" i="12"/>
  <c r="O217" i="12" a="1"/>
  <c r="O217" i="12" s="1"/>
  <c r="AO217" i="12" a="1"/>
  <c r="AO217" i="12" s="1"/>
  <c r="M217" i="12" a="1"/>
  <c r="M217" i="12" s="1"/>
  <c r="Y216" i="12"/>
  <c r="N216" i="12"/>
  <c r="A221" i="6"/>
  <c r="A231" i="12"/>
  <c r="F231" i="5"/>
  <c r="E231" i="5"/>
  <c r="D231" i="5"/>
  <c r="B231" i="12" s="1"/>
  <c r="B231" i="5"/>
  <c r="N231" i="5"/>
  <c r="C232" i="5"/>
  <c r="AE231" i="5" a="1"/>
  <c r="AE231" i="5" s="1"/>
  <c r="W231" i="5" a="1"/>
  <c r="W231" i="5" s="1"/>
  <c r="H231" i="12" s="1" a="1"/>
  <c r="H231" i="12" s="1"/>
  <c r="H231" i="5"/>
  <c r="AD231" i="5"/>
  <c r="G231" i="5"/>
  <c r="K231" i="5"/>
  <c r="J231" i="5"/>
  <c r="C217" i="6"/>
  <c r="L232" i="6"/>
  <c r="B231" i="6"/>
  <c r="X219" i="5" a="1"/>
  <c r="X219" i="5" s="1"/>
  <c r="AB217" i="5" a="1"/>
  <c r="AB217" i="5" s="1"/>
  <c r="J230" i="12" a="1"/>
  <c r="J230" i="12" s="1"/>
  <c r="L230" i="12" a="1"/>
  <c r="L230" i="12" s="1"/>
  <c r="D230" i="6"/>
  <c r="X224" i="12" l="1" a="1"/>
  <c r="X224" i="12" s="1"/>
  <c r="W224" i="12" a="1"/>
  <c r="W224" i="12" s="1"/>
  <c r="Y217" i="12"/>
  <c r="W217" i="12" s="1" a="1"/>
  <c r="W217" i="12" s="1"/>
  <c r="K230" i="12"/>
  <c r="L231" i="12" a="1"/>
  <c r="L231" i="12" s="1"/>
  <c r="J231" i="12" a="1"/>
  <c r="J231" i="12" s="1"/>
  <c r="A232" i="12"/>
  <c r="N232" i="5"/>
  <c r="K232" i="5"/>
  <c r="J232" i="5"/>
  <c r="C233" i="5"/>
  <c r="AE232" i="5" a="1"/>
  <c r="AE232" i="5" s="1"/>
  <c r="W232" i="5" a="1"/>
  <c r="W232" i="5" s="1"/>
  <c r="H232" i="12" s="1" a="1"/>
  <c r="H232" i="12" s="1"/>
  <c r="H232" i="5"/>
  <c r="D232" i="5"/>
  <c r="B232" i="12" s="1"/>
  <c r="B232" i="5"/>
  <c r="G232" i="5"/>
  <c r="F232" i="5"/>
  <c r="AD232" i="5"/>
  <c r="E232" i="5"/>
  <c r="H230" i="6" a="1"/>
  <c r="H230" i="6" s="1"/>
  <c r="X220" i="5" a="1"/>
  <c r="X220" i="5" s="1"/>
  <c r="X216" i="12" a="1"/>
  <c r="X216" i="12" s="1"/>
  <c r="W216" i="12" a="1"/>
  <c r="W216" i="12" s="1"/>
  <c r="L233" i="6"/>
  <c r="B232" i="6"/>
  <c r="M221" i="6"/>
  <c r="I219" i="12"/>
  <c r="L219" i="5"/>
  <c r="AM219" i="5"/>
  <c r="Z219" i="5"/>
  <c r="D231" i="6"/>
  <c r="N217" i="12"/>
  <c r="V224" i="12" l="1" a="1"/>
  <c r="V224" i="12" s="1"/>
  <c r="U224" i="12"/>
  <c r="T224" i="12"/>
  <c r="CL221" i="6" a="1"/>
  <c r="CL221" i="6" s="1"/>
  <c r="BQ221" i="6"/>
  <c r="BR221" i="6"/>
  <c r="CH221" i="6" a="1"/>
  <c r="CH221" i="6" s="1"/>
  <c r="BO221" i="6"/>
  <c r="CK221" i="6" a="1"/>
  <c r="CK221" i="6" s="1"/>
  <c r="BN221" i="6"/>
  <c r="CG221" i="6" a="1"/>
  <c r="CG221" i="6" s="1"/>
  <c r="BT221" i="6"/>
  <c r="BM221" i="6"/>
  <c r="CF221" i="6" a="1"/>
  <c r="CF221" i="6" s="1"/>
  <c r="BS221" i="6"/>
  <c r="CJ221" i="6" a="1"/>
  <c r="CJ221" i="6" s="1"/>
  <c r="CM221" i="6" a="1"/>
  <c r="CM221" i="6" s="1"/>
  <c r="BP221" i="6"/>
  <c r="CI221" i="6" a="1"/>
  <c r="CI221" i="6" s="1"/>
  <c r="AT221" i="6"/>
  <c r="AW221" i="6"/>
  <c r="AX221" i="6"/>
  <c r="AV221" i="6"/>
  <c r="AZ221" i="6"/>
  <c r="BA221" i="6"/>
  <c r="AU221" i="6"/>
  <c r="AY221" i="6"/>
  <c r="T230" i="5"/>
  <c r="G230" i="12" s="1" a="1"/>
  <c r="G230" i="12" s="1"/>
  <c r="X217" i="12" a="1"/>
  <c r="X217" i="12" s="1"/>
  <c r="I220" i="12"/>
  <c r="AM220" i="5"/>
  <c r="L220" i="5"/>
  <c r="Z220" i="5"/>
  <c r="C219" i="12"/>
  <c r="M219" i="12" a="1"/>
  <c r="M219" i="12" s="1"/>
  <c r="O219" i="12" a="1"/>
  <c r="O219" i="12" s="1"/>
  <c r="AO219" i="12" a="1"/>
  <c r="AO219" i="12" s="1"/>
  <c r="BY221" i="6" a="1"/>
  <c r="BY221" i="6" s="1"/>
  <c r="BV221" i="6" a="1"/>
  <c r="BV221" i="6" s="1"/>
  <c r="BZ221" i="6" a="1"/>
  <c r="BZ221" i="6" s="1"/>
  <c r="BG221" i="6"/>
  <c r="BK221" i="6"/>
  <c r="CC221" i="6" a="1"/>
  <c r="CC221" i="6" s="1"/>
  <c r="BW221" i="6" a="1"/>
  <c r="BW221" i="6" s="1"/>
  <c r="BE221" i="6"/>
  <c r="CA221" i="6" a="1"/>
  <c r="CA221" i="6" s="1"/>
  <c r="BI221" i="6"/>
  <c r="BX221" i="6" a="1"/>
  <c r="BX221" i="6" s="1"/>
  <c r="CE221" i="6" a="1"/>
  <c r="CE221" i="6" s="1"/>
  <c r="AP221" i="6"/>
  <c r="AR221" i="6"/>
  <c r="BC221" i="6"/>
  <c r="CD221" i="6" a="1"/>
  <c r="CD221" i="6" s="1"/>
  <c r="AO221" i="6"/>
  <c r="CB221" i="6" a="1"/>
  <c r="CB221" i="6" s="1"/>
  <c r="AJ221" i="6"/>
  <c r="AN221" i="6"/>
  <c r="AQ221" i="6"/>
  <c r="AL221" i="6"/>
  <c r="AM221" i="6"/>
  <c r="AK221" i="6"/>
  <c r="AS221" i="6"/>
  <c r="L232" i="12" a="1"/>
  <c r="L232" i="12" s="1"/>
  <c r="J232" i="12" a="1"/>
  <c r="J232" i="12" s="1"/>
  <c r="A225" i="6"/>
  <c r="V217" i="12" a="1"/>
  <c r="V217" i="12" s="1"/>
  <c r="U217" i="12"/>
  <c r="T217" i="12"/>
  <c r="AB219" i="5" a="1"/>
  <c r="AB219" i="5" s="1"/>
  <c r="A233" i="12"/>
  <c r="C234" i="5"/>
  <c r="AE233" i="5" a="1"/>
  <c r="AE233" i="5" s="1"/>
  <c r="W233" i="5" a="1"/>
  <c r="W233" i="5" s="1"/>
  <c r="H233" i="12" s="1" a="1"/>
  <c r="H233" i="12" s="1"/>
  <c r="H233" i="5"/>
  <c r="AD233" i="5"/>
  <c r="G233" i="5"/>
  <c r="F233" i="5"/>
  <c r="E233" i="5"/>
  <c r="D233" i="5"/>
  <c r="B233" i="12" s="1"/>
  <c r="K233" i="5"/>
  <c r="J233" i="5"/>
  <c r="N233" i="5"/>
  <c r="B233" i="5"/>
  <c r="H231" i="6" a="1"/>
  <c r="H231" i="6" s="1"/>
  <c r="B233" i="6"/>
  <c r="L234" i="6"/>
  <c r="D232" i="6"/>
  <c r="C219" i="6"/>
  <c r="V216" i="12" a="1"/>
  <c r="V216" i="12" s="1"/>
  <c r="U216" i="12"/>
  <c r="T216" i="12"/>
  <c r="K231" i="12"/>
  <c r="T231" i="5" l="1"/>
  <c r="G231" i="12" s="1" a="1"/>
  <c r="G231" i="12" s="1"/>
  <c r="X221" i="5" a="1"/>
  <c r="X221" i="5" s="1"/>
  <c r="L221" i="5" s="1"/>
  <c r="Y219" i="12"/>
  <c r="W219" i="12" s="1" a="1"/>
  <c r="W219" i="12" s="1"/>
  <c r="K232" i="12"/>
  <c r="M225" i="6"/>
  <c r="A226" i="6"/>
  <c r="AB220" i="5" a="1"/>
  <c r="AB220" i="5" s="1"/>
  <c r="C220" i="6"/>
  <c r="H232" i="6" a="1"/>
  <c r="H232" i="6" s="1"/>
  <c r="N219" i="12"/>
  <c r="D233" i="6"/>
  <c r="C220" i="12"/>
  <c r="M220" i="12" a="1"/>
  <c r="M220" i="12" s="1"/>
  <c r="O220" i="12" a="1"/>
  <c r="O220" i="12" s="1"/>
  <c r="AO220" i="12" a="1"/>
  <c r="AO220" i="12" s="1"/>
  <c r="B234" i="6"/>
  <c r="A234" i="12"/>
  <c r="B234" i="5"/>
  <c r="N234" i="5"/>
  <c r="K234" i="5"/>
  <c r="J234" i="5"/>
  <c r="F234" i="5"/>
  <c r="E234" i="5"/>
  <c r="D234" i="5"/>
  <c r="B234" i="12" s="1"/>
  <c r="AE234" i="5" a="1"/>
  <c r="AE234" i="5" s="1"/>
  <c r="AD234" i="5"/>
  <c r="W234" i="5" a="1"/>
  <c r="W234" i="5" s="1"/>
  <c r="H234" i="12" s="1" a="1"/>
  <c r="H234" i="12" s="1"/>
  <c r="H234" i="5"/>
  <c r="G234" i="5"/>
  <c r="J233" i="12" a="1"/>
  <c r="J233" i="12" s="1"/>
  <c r="L233" i="12" a="1"/>
  <c r="L233" i="12" s="1"/>
  <c r="CL225" i="6" l="1" a="1"/>
  <c r="CL225" i="6" s="1"/>
  <c r="BQ225" i="6"/>
  <c r="AV225" i="6"/>
  <c r="CH225" i="6" a="1"/>
  <c r="CH225" i="6" s="1"/>
  <c r="BO225" i="6"/>
  <c r="BS225" i="6"/>
  <c r="CK225" i="6" a="1"/>
  <c r="CK225" i="6" s="1"/>
  <c r="BN225" i="6"/>
  <c r="CG225" i="6" a="1"/>
  <c r="CG225" i="6" s="1"/>
  <c r="BP225" i="6"/>
  <c r="BR225" i="6"/>
  <c r="CF225" i="6" a="1"/>
  <c r="CF225" i="6" s="1"/>
  <c r="BM225" i="6"/>
  <c r="CJ225" i="6" a="1"/>
  <c r="CJ225" i="6" s="1"/>
  <c r="BT225" i="6"/>
  <c r="CM225" i="6" a="1"/>
  <c r="CM225" i="6" s="1"/>
  <c r="CI225" i="6" a="1"/>
  <c r="CI225" i="6" s="1"/>
  <c r="AT225" i="6"/>
  <c r="AX225" i="6"/>
  <c r="AW225" i="6"/>
  <c r="AY225" i="6"/>
  <c r="AZ225" i="6"/>
  <c r="BA225" i="6"/>
  <c r="AU225" i="6"/>
  <c r="T232" i="5"/>
  <c r="G232" i="12" s="1" a="1"/>
  <c r="G232" i="12" s="1"/>
  <c r="X219" i="12" a="1"/>
  <c r="X219" i="12" s="1"/>
  <c r="I221" i="12"/>
  <c r="C221" i="12" s="1"/>
  <c r="Z221" i="5"/>
  <c r="AM221" i="5"/>
  <c r="Y220" i="12"/>
  <c r="X220" i="12" s="1" a="1"/>
  <c r="X220" i="12" s="1"/>
  <c r="D234" i="6"/>
  <c r="K233" i="12"/>
  <c r="N220" i="12"/>
  <c r="T219" i="12"/>
  <c r="V219" i="12" a="1"/>
  <c r="V219" i="12" s="1"/>
  <c r="U219" i="12"/>
  <c r="M226" i="6"/>
  <c r="A227" i="6"/>
  <c r="C221" i="6"/>
  <c r="BV225" i="6" a="1"/>
  <c r="BV225" i="6" s="1"/>
  <c r="BJ225" i="6"/>
  <c r="CD225" i="6" a="1"/>
  <c r="CD225" i="6" s="1"/>
  <c r="BD225" i="6"/>
  <c r="AQ225" i="6"/>
  <c r="BH225" i="6"/>
  <c r="AM225" i="6"/>
  <c r="BW225" i="6" a="1"/>
  <c r="BW225" i="6" s="1"/>
  <c r="CA225" i="6" a="1"/>
  <c r="CA225" i="6" s="1"/>
  <c r="BF225" i="6"/>
  <c r="BE225" i="6"/>
  <c r="CB225" i="6" a="1"/>
  <c r="CB225" i="6" s="1"/>
  <c r="AR225" i="6"/>
  <c r="AL225" i="6"/>
  <c r="BG225" i="6"/>
  <c r="BK225" i="6"/>
  <c r="BL225" i="6"/>
  <c r="BI225" i="6"/>
  <c r="AK225" i="6"/>
  <c r="AP225" i="6"/>
  <c r="CE225" i="6" a="1"/>
  <c r="CE225" i="6" s="1"/>
  <c r="BZ225" i="6" a="1"/>
  <c r="BZ225" i="6" s="1"/>
  <c r="AO225" i="6"/>
  <c r="BX225" i="6" a="1"/>
  <c r="BX225" i="6" s="1"/>
  <c r="BY225" i="6" a="1"/>
  <c r="BY225" i="6" s="1"/>
  <c r="CC225" i="6" a="1"/>
  <c r="CC225" i="6" s="1"/>
  <c r="BC225" i="6"/>
  <c r="AJ225" i="6"/>
  <c r="AN225" i="6"/>
  <c r="AS225" i="6"/>
  <c r="J234" i="12" a="1"/>
  <c r="J234" i="12" s="1"/>
  <c r="L234" i="12" a="1"/>
  <c r="L234" i="12" s="1"/>
  <c r="H233" i="6" a="1"/>
  <c r="H233" i="6" s="1"/>
  <c r="CF226" i="6" l="1" a="1"/>
  <c r="CF226" i="6" s="1"/>
  <c r="BS226" i="6"/>
  <c r="CJ226" i="6" a="1"/>
  <c r="CJ226" i="6" s="1"/>
  <c r="BR226" i="6"/>
  <c r="CM226" i="6" a="1"/>
  <c r="CM226" i="6" s="1"/>
  <c r="BP226" i="6"/>
  <c r="CI226" i="6" a="1"/>
  <c r="CI226" i="6" s="1"/>
  <c r="BM226" i="6"/>
  <c r="CG226" i="6" a="1"/>
  <c r="CG226" i="6" s="1"/>
  <c r="CL226" i="6" a="1"/>
  <c r="CL226" i="6" s="1"/>
  <c r="BQ226" i="6"/>
  <c r="CH226" i="6" a="1"/>
  <c r="CH226" i="6" s="1"/>
  <c r="BO226" i="6"/>
  <c r="CK226" i="6" a="1"/>
  <c r="CK226" i="6" s="1"/>
  <c r="BN226" i="6"/>
  <c r="BT226" i="6"/>
  <c r="BA226" i="6"/>
  <c r="AU226" i="6"/>
  <c r="AV226" i="6"/>
  <c r="AW226" i="6"/>
  <c r="AT226" i="6"/>
  <c r="AX226" i="6"/>
  <c r="AY226" i="6"/>
  <c r="AZ226" i="6"/>
  <c r="T233" i="5"/>
  <c r="G233" i="12" s="1" a="1"/>
  <c r="G233" i="12" s="1"/>
  <c r="AB221" i="5" a="1"/>
  <c r="AB221" i="5" s="1"/>
  <c r="M221" i="12" a="1"/>
  <c r="M221" i="12" s="1"/>
  <c r="O221" i="12" a="1"/>
  <c r="O221" i="12" s="1"/>
  <c r="AO221" i="12" a="1"/>
  <c r="AO221" i="12" s="1"/>
  <c r="W220" i="12" a="1"/>
  <c r="W220" i="12" s="1"/>
  <c r="U220" i="12" s="1"/>
  <c r="K234" i="12"/>
  <c r="M227" i="6"/>
  <c r="A228" i="6"/>
  <c r="CC226" i="6" a="1"/>
  <c r="CC226" i="6" s="1"/>
  <c r="BV226" i="6" a="1"/>
  <c r="BV226" i="6" s="1"/>
  <c r="CA226" i="6" a="1"/>
  <c r="CA226" i="6" s="1"/>
  <c r="CE226" i="6" a="1"/>
  <c r="CE226" i="6" s="1"/>
  <c r="CD226" i="6" a="1"/>
  <c r="CD226" i="6" s="1"/>
  <c r="BX226" i="6" a="1"/>
  <c r="BX226" i="6" s="1"/>
  <c r="CB226" i="6" a="1"/>
  <c r="CB226" i="6" s="1"/>
  <c r="BE226" i="6"/>
  <c r="BK226" i="6"/>
  <c r="BW226" i="6" a="1"/>
  <c r="BW226" i="6" s="1"/>
  <c r="AS226" i="6"/>
  <c r="BZ226" i="6" a="1"/>
  <c r="BZ226" i="6" s="1"/>
  <c r="BI226" i="6"/>
  <c r="BG226" i="6"/>
  <c r="BY226" i="6" a="1"/>
  <c r="BY226" i="6" s="1"/>
  <c r="BC226" i="6"/>
  <c r="AQ226" i="6"/>
  <c r="AN226" i="6"/>
  <c r="AK226" i="6"/>
  <c r="AL226" i="6"/>
  <c r="AR226" i="6"/>
  <c r="AM226" i="6"/>
  <c r="AP226" i="6"/>
  <c r="AJ226" i="6"/>
  <c r="AO226" i="6"/>
  <c r="H234" i="6" a="1"/>
  <c r="H234" i="6" s="1"/>
  <c r="CI227" i="6" l="1" a="1"/>
  <c r="CI227" i="6" s="1"/>
  <c r="CL227" i="6" a="1"/>
  <c r="CL227" i="6" s="1"/>
  <c r="BQ227" i="6"/>
  <c r="BP227" i="6"/>
  <c r="CH227" i="6" a="1"/>
  <c r="CH227" i="6" s="1"/>
  <c r="BO227" i="6"/>
  <c r="CK227" i="6" a="1"/>
  <c r="CK227" i="6" s="1"/>
  <c r="BN227" i="6"/>
  <c r="BM227" i="6"/>
  <c r="CG227" i="6" a="1"/>
  <c r="CG227" i="6" s="1"/>
  <c r="BT227" i="6"/>
  <c r="CF227" i="6" a="1"/>
  <c r="CF227" i="6" s="1"/>
  <c r="BS227" i="6"/>
  <c r="CJ227" i="6" a="1"/>
  <c r="CJ227" i="6" s="1"/>
  <c r="BR227" i="6"/>
  <c r="CM227" i="6" a="1"/>
  <c r="CM227" i="6" s="1"/>
  <c r="AY227" i="6"/>
  <c r="AW227" i="6"/>
  <c r="AZ227" i="6"/>
  <c r="BA227" i="6"/>
  <c r="AX227" i="6"/>
  <c r="AU227" i="6"/>
  <c r="AV227" i="6"/>
  <c r="AT227" i="6"/>
  <c r="T234" i="5"/>
  <c r="G234" i="12" s="1" a="1"/>
  <c r="G234" i="12" s="1"/>
  <c r="N221" i="12"/>
  <c r="T220" i="12"/>
  <c r="V220" i="12" a="1"/>
  <c r="V220" i="12" s="1"/>
  <c r="Y221" i="12"/>
  <c r="W221" i="12" s="1" a="1"/>
  <c r="W221" i="12" s="1"/>
  <c r="T221" i="12" s="1"/>
  <c r="BY227" i="6" a="1"/>
  <c r="BY227" i="6" s="1"/>
  <c r="BG227" i="6"/>
  <c r="CD227" i="6" a="1"/>
  <c r="CD227" i="6" s="1"/>
  <c r="BC227" i="6"/>
  <c r="CA227" i="6" a="1"/>
  <c r="CA227" i="6" s="1"/>
  <c r="BX227" i="6" a="1"/>
  <c r="BX227" i="6" s="1"/>
  <c r="CE227" i="6" a="1"/>
  <c r="CE227" i="6" s="1"/>
  <c r="BK227" i="6"/>
  <c r="CC227" i="6" a="1"/>
  <c r="CC227" i="6" s="1"/>
  <c r="AR227" i="6"/>
  <c r="BZ227" i="6" a="1"/>
  <c r="BZ227" i="6" s="1"/>
  <c r="BI227" i="6"/>
  <c r="AL227" i="6"/>
  <c r="AN227" i="6"/>
  <c r="CB227" i="6" a="1"/>
  <c r="CB227" i="6" s="1"/>
  <c r="BV227" i="6" a="1"/>
  <c r="BV227" i="6" s="1"/>
  <c r="AK227" i="6"/>
  <c r="BE227" i="6"/>
  <c r="BW227" i="6" a="1"/>
  <c r="BW227" i="6" s="1"/>
  <c r="AQ227" i="6"/>
  <c r="AM227" i="6"/>
  <c r="AJ227" i="6"/>
  <c r="AO227" i="6"/>
  <c r="AS227" i="6"/>
  <c r="AP227" i="6"/>
  <c r="X226" i="5" a="1"/>
  <c r="X226" i="5" s="1"/>
  <c r="M228" i="6"/>
  <c r="A229" i="6"/>
  <c r="CL228" i="6" l="1" a="1"/>
  <c r="CL228" i="6" s="1"/>
  <c r="BQ228" i="6"/>
  <c r="BS228" i="6"/>
  <c r="AX228" i="6"/>
  <c r="CH228" i="6" a="1"/>
  <c r="CH228" i="6" s="1"/>
  <c r="BO228" i="6"/>
  <c r="CI228" i="6" a="1"/>
  <c r="CI228" i="6" s="1"/>
  <c r="CK228" i="6" a="1"/>
  <c r="CK228" i="6" s="1"/>
  <c r="BN228" i="6"/>
  <c r="CG228" i="6" a="1"/>
  <c r="CG228" i="6" s="1"/>
  <c r="BR228" i="6"/>
  <c r="CF228" i="6" a="1"/>
  <c r="CF228" i="6" s="1"/>
  <c r="BP228" i="6"/>
  <c r="CM228" i="6" a="1"/>
  <c r="CM228" i="6" s="1"/>
  <c r="CJ228" i="6" a="1"/>
  <c r="CJ228" i="6" s="1"/>
  <c r="BM228" i="6"/>
  <c r="BT228" i="6"/>
  <c r="AW228" i="6"/>
  <c r="AV228" i="6"/>
  <c r="AU228" i="6"/>
  <c r="AT228" i="6"/>
  <c r="AY228" i="6"/>
  <c r="AZ228" i="6"/>
  <c r="BA228" i="6"/>
  <c r="U221" i="12"/>
  <c r="V221" i="12" a="1"/>
  <c r="V221" i="12" s="1"/>
  <c r="X221" i="12" a="1"/>
  <c r="X221" i="12" s="1"/>
  <c r="X227" i="5" a="1"/>
  <c r="X227" i="5" s="1"/>
  <c r="Z227" i="5" s="1"/>
  <c r="I226" i="12"/>
  <c r="AM226" i="5"/>
  <c r="L226" i="5"/>
  <c r="Z226" i="5"/>
  <c r="CE228" i="6" a="1"/>
  <c r="CE228" i="6" s="1"/>
  <c r="BY228" i="6" a="1"/>
  <c r="BY228" i="6" s="1"/>
  <c r="BV228" i="6" a="1"/>
  <c r="BV228" i="6" s="1"/>
  <c r="CC228" i="6" a="1"/>
  <c r="CC228" i="6" s="1"/>
  <c r="CD228" i="6" a="1"/>
  <c r="CD228" i="6" s="1"/>
  <c r="CA228" i="6" a="1"/>
  <c r="CA228" i="6" s="1"/>
  <c r="BX228" i="6" a="1"/>
  <c r="BX228" i="6" s="1"/>
  <c r="BE228" i="6"/>
  <c r="BK228" i="6"/>
  <c r="BZ228" i="6" a="1"/>
  <c r="BZ228" i="6" s="1"/>
  <c r="CB228" i="6" a="1"/>
  <c r="CB228" i="6" s="1"/>
  <c r="BI228" i="6"/>
  <c r="AP228" i="6"/>
  <c r="BW228" i="6" a="1"/>
  <c r="BW228" i="6" s="1"/>
  <c r="BG228" i="6"/>
  <c r="BC228" i="6"/>
  <c r="AK228" i="6"/>
  <c r="AS228" i="6"/>
  <c r="AR228" i="6"/>
  <c r="AM228" i="6"/>
  <c r="AQ228" i="6"/>
  <c r="AO228" i="6"/>
  <c r="AL228" i="6"/>
  <c r="AN228" i="6"/>
  <c r="AJ228" i="6"/>
  <c r="M229" i="6"/>
  <c r="A230" i="6"/>
  <c r="CL229" i="6" l="1" a="1"/>
  <c r="CL229" i="6" s="1"/>
  <c r="BQ229" i="6"/>
  <c r="CH229" i="6" a="1"/>
  <c r="CH229" i="6" s="1"/>
  <c r="BO229" i="6"/>
  <c r="CI229" i="6" a="1"/>
  <c r="CI229" i="6" s="1"/>
  <c r="CK229" i="6" a="1"/>
  <c r="CK229" i="6" s="1"/>
  <c r="BN229" i="6"/>
  <c r="CG229" i="6" a="1"/>
  <c r="CG229" i="6" s="1"/>
  <c r="BT229" i="6"/>
  <c r="BA229" i="6"/>
  <c r="CF229" i="6" a="1"/>
  <c r="CF229" i="6" s="1"/>
  <c r="BS229" i="6"/>
  <c r="BP229" i="6"/>
  <c r="AX229" i="6"/>
  <c r="AT229" i="6"/>
  <c r="CJ229" i="6" a="1"/>
  <c r="CJ229" i="6" s="1"/>
  <c r="BR229" i="6"/>
  <c r="CM229" i="6" a="1"/>
  <c r="CM229" i="6" s="1"/>
  <c r="BM229" i="6"/>
  <c r="AU229" i="6"/>
  <c r="AY229" i="6"/>
  <c r="AV229" i="6"/>
  <c r="AW229" i="6"/>
  <c r="AZ229" i="6"/>
  <c r="L227" i="5"/>
  <c r="AM227" i="5"/>
  <c r="I227" i="12"/>
  <c r="C227" i="12" s="1"/>
  <c r="AB226" i="5" a="1"/>
  <c r="AB226" i="5" s="1"/>
  <c r="C226" i="6"/>
  <c r="M230" i="6"/>
  <c r="A231" i="6"/>
  <c r="AB227" i="5" a="1"/>
  <c r="AB227" i="5" s="1"/>
  <c r="C226" i="12"/>
  <c r="O226" i="12" a="1"/>
  <c r="O226" i="12" s="1"/>
  <c r="M226" i="12" a="1"/>
  <c r="M226" i="12" s="1"/>
  <c r="AO226" i="12" a="1"/>
  <c r="AO226" i="12" s="1"/>
  <c r="CD229" i="6" a="1"/>
  <c r="CD229" i="6" s="1"/>
  <c r="CA229" i="6" a="1"/>
  <c r="CA229" i="6" s="1"/>
  <c r="BE229" i="6"/>
  <c r="BX229" i="6" a="1"/>
  <c r="BX229" i="6" s="1"/>
  <c r="BK229" i="6"/>
  <c r="BY229" i="6" a="1"/>
  <c r="BY229" i="6" s="1"/>
  <c r="BW229" i="6" a="1"/>
  <c r="BW229" i="6" s="1"/>
  <c r="BC229" i="6"/>
  <c r="CE229" i="6" a="1"/>
  <c r="CE229" i="6" s="1"/>
  <c r="CB229" i="6" a="1"/>
  <c r="CB229" i="6" s="1"/>
  <c r="BV229" i="6" a="1"/>
  <c r="BV229" i="6" s="1"/>
  <c r="BI229" i="6"/>
  <c r="AJ229" i="6"/>
  <c r="CC229" i="6" a="1"/>
  <c r="CC229" i="6" s="1"/>
  <c r="AN229" i="6"/>
  <c r="BZ229" i="6" a="1"/>
  <c r="BZ229" i="6" s="1"/>
  <c r="BG229" i="6"/>
  <c r="AS229" i="6"/>
  <c r="AL229" i="6"/>
  <c r="AK229" i="6"/>
  <c r="AR229" i="6"/>
  <c r="AQ229" i="6"/>
  <c r="AM229" i="6"/>
  <c r="AO229" i="6"/>
  <c r="AP229" i="6"/>
  <c r="X228" i="5" a="1"/>
  <c r="X228" i="5" s="1"/>
  <c r="CL230" i="6" l="1" a="1"/>
  <c r="CL230" i="6" s="1"/>
  <c r="BQ230" i="6"/>
  <c r="CH230" i="6" a="1"/>
  <c r="CH230" i="6" s="1"/>
  <c r="BO230" i="6"/>
  <c r="CK230" i="6" a="1"/>
  <c r="CK230" i="6" s="1"/>
  <c r="BN230" i="6"/>
  <c r="CG230" i="6" a="1"/>
  <c r="CG230" i="6" s="1"/>
  <c r="BM230" i="6"/>
  <c r="CF230" i="6" a="1"/>
  <c r="CF230" i="6" s="1"/>
  <c r="BT230" i="6"/>
  <c r="CJ230" i="6" a="1"/>
  <c r="CJ230" i="6" s="1"/>
  <c r="BS230" i="6"/>
  <c r="CM230" i="6" a="1"/>
  <c r="CM230" i="6" s="1"/>
  <c r="BP230" i="6"/>
  <c r="CI230" i="6" a="1"/>
  <c r="CI230" i="6" s="1"/>
  <c r="BR230" i="6"/>
  <c r="AV230" i="6"/>
  <c r="AT230" i="6"/>
  <c r="AX230" i="6"/>
  <c r="AU230" i="6"/>
  <c r="AY230" i="6"/>
  <c r="AZ230" i="6"/>
  <c r="BA230" i="6"/>
  <c r="AW230" i="6"/>
  <c r="C227" i="6"/>
  <c r="M227" i="12" a="1"/>
  <c r="M227" i="12" s="1"/>
  <c r="O227" i="12" a="1"/>
  <c r="O227" i="12" s="1"/>
  <c r="AO227" i="12" a="1"/>
  <c r="AO227" i="12" s="1"/>
  <c r="Y226" i="12"/>
  <c r="W226" i="12" s="1" a="1"/>
  <c r="W226" i="12" s="1"/>
  <c r="X229" i="5" a="1"/>
  <c r="X229" i="5" s="1"/>
  <c r="A232" i="6"/>
  <c r="M231" i="6"/>
  <c r="CD230" i="6" a="1"/>
  <c r="CD230" i="6" s="1"/>
  <c r="BK230" i="6"/>
  <c r="BV230" i="6" a="1"/>
  <c r="BV230" i="6" s="1"/>
  <c r="BX230" i="6" a="1"/>
  <c r="BX230" i="6" s="1"/>
  <c r="CE230" i="6" a="1"/>
  <c r="CE230" i="6" s="1"/>
  <c r="BE230" i="6"/>
  <c r="BI230" i="6"/>
  <c r="AK230" i="6"/>
  <c r="CC230" i="6" a="1"/>
  <c r="CC230" i="6" s="1"/>
  <c r="CB230" i="6" a="1"/>
  <c r="CB230" i="6" s="1"/>
  <c r="BG230" i="6"/>
  <c r="BZ230" i="6" a="1"/>
  <c r="BZ230" i="6" s="1"/>
  <c r="BW230" i="6" a="1"/>
  <c r="BW230" i="6" s="1"/>
  <c r="BC230" i="6"/>
  <c r="BY230" i="6" a="1"/>
  <c r="BY230" i="6" s="1"/>
  <c r="CA230" i="6" a="1"/>
  <c r="CA230" i="6" s="1"/>
  <c r="AJ230" i="6"/>
  <c r="AL230" i="6"/>
  <c r="AP230" i="6"/>
  <c r="AS230" i="6"/>
  <c r="AO230" i="6"/>
  <c r="AN230" i="6"/>
  <c r="AQ230" i="6"/>
  <c r="AM230" i="6"/>
  <c r="AR230" i="6"/>
  <c r="I228" i="12"/>
  <c r="L228" i="5"/>
  <c r="AM228" i="5"/>
  <c r="Z228" i="5"/>
  <c r="N226" i="12"/>
  <c r="CJ231" i="6" l="1" a="1"/>
  <c r="CJ231" i="6" s="1"/>
  <c r="BP231" i="6"/>
  <c r="CM231" i="6" a="1"/>
  <c r="CM231" i="6" s="1"/>
  <c r="BM231" i="6"/>
  <c r="CI231" i="6" a="1"/>
  <c r="CI231" i="6" s="1"/>
  <c r="CL231" i="6" a="1"/>
  <c r="CL231" i="6" s="1"/>
  <c r="BQ231" i="6"/>
  <c r="CH231" i="6" a="1"/>
  <c r="CH231" i="6" s="1"/>
  <c r="BO231" i="6"/>
  <c r="BR231" i="6"/>
  <c r="CK231" i="6" a="1"/>
  <c r="CK231" i="6" s="1"/>
  <c r="BN231" i="6"/>
  <c r="CG231" i="6" a="1"/>
  <c r="CG231" i="6" s="1"/>
  <c r="BS231" i="6"/>
  <c r="BT231" i="6"/>
  <c r="CF231" i="6" a="1"/>
  <c r="CF231" i="6" s="1"/>
  <c r="AZ231" i="6"/>
  <c r="AY231" i="6"/>
  <c r="BA231" i="6"/>
  <c r="AU231" i="6"/>
  <c r="AV231" i="6"/>
  <c r="AX231" i="6"/>
  <c r="AW231" i="6"/>
  <c r="AT231" i="6"/>
  <c r="Y227" i="12"/>
  <c r="W227" i="12" s="1" a="1"/>
  <c r="W227" i="12" s="1"/>
  <c r="N227" i="12"/>
  <c r="X226" i="12" a="1"/>
  <c r="X226" i="12" s="1"/>
  <c r="AB228" i="5" a="1"/>
  <c r="AB228" i="5" s="1"/>
  <c r="BG231" i="6"/>
  <c r="CA231" i="6" a="1"/>
  <c r="CA231" i="6" s="1"/>
  <c r="BC231" i="6"/>
  <c r="BK231" i="6"/>
  <c r="BZ231" i="6" a="1"/>
  <c r="BZ231" i="6" s="1"/>
  <c r="BV231" i="6" a="1"/>
  <c r="BV231" i="6" s="1"/>
  <c r="AL231" i="6"/>
  <c r="BY231" i="6" a="1"/>
  <c r="BY231" i="6" s="1"/>
  <c r="BX231" i="6" a="1"/>
  <c r="BX231" i="6" s="1"/>
  <c r="BW231" i="6" a="1"/>
  <c r="BW231" i="6" s="1"/>
  <c r="BE231" i="6"/>
  <c r="CC231" i="6" a="1"/>
  <c r="CC231" i="6" s="1"/>
  <c r="BI231" i="6"/>
  <c r="CD231" i="6" a="1"/>
  <c r="CD231" i="6" s="1"/>
  <c r="CE231" i="6" a="1"/>
  <c r="CE231" i="6" s="1"/>
  <c r="CB231" i="6" a="1"/>
  <c r="CB231" i="6" s="1"/>
  <c r="AQ231" i="6"/>
  <c r="AJ231" i="6"/>
  <c r="AN231" i="6"/>
  <c r="AP231" i="6"/>
  <c r="AK231" i="6"/>
  <c r="AM231" i="6"/>
  <c r="AO231" i="6"/>
  <c r="AS231" i="6"/>
  <c r="AR231" i="6"/>
  <c r="A233" i="6"/>
  <c r="M232" i="6"/>
  <c r="X230" i="5" a="1"/>
  <c r="X230" i="5" s="1"/>
  <c r="C228" i="6"/>
  <c r="I229" i="12"/>
  <c r="AM229" i="5"/>
  <c r="L229" i="5"/>
  <c r="Z229" i="5"/>
  <c r="C228" i="12"/>
  <c r="AO228" i="12" a="1"/>
  <c r="AO228" i="12" s="1"/>
  <c r="M228" i="12" a="1"/>
  <c r="M228" i="12" s="1"/>
  <c r="O228" i="12" a="1"/>
  <c r="O228" i="12" s="1"/>
  <c r="V226" i="12" a="1"/>
  <c r="V226" i="12" s="1"/>
  <c r="U226" i="12"/>
  <c r="T226" i="12"/>
  <c r="CF232" i="6" l="1" a="1"/>
  <c r="CF232" i="6" s="1"/>
  <c r="BO232" i="6"/>
  <c r="CJ232" i="6" a="1"/>
  <c r="CJ232" i="6" s="1"/>
  <c r="BT232" i="6"/>
  <c r="CM232" i="6" a="1"/>
  <c r="CM232" i="6" s="1"/>
  <c r="BQ232" i="6"/>
  <c r="CI232" i="6" a="1"/>
  <c r="CI232" i="6" s="1"/>
  <c r="CL232" i="6" a="1"/>
  <c r="CL232" i="6" s="1"/>
  <c r="BR232" i="6"/>
  <c r="CG232" i="6" a="1"/>
  <c r="CG232" i="6" s="1"/>
  <c r="CH232" i="6" a="1"/>
  <c r="CH232" i="6" s="1"/>
  <c r="BN232" i="6"/>
  <c r="CK232" i="6" a="1"/>
  <c r="CK232" i="6" s="1"/>
  <c r="BS232" i="6"/>
  <c r="BM232" i="6"/>
  <c r="BP232" i="6"/>
  <c r="AZ232" i="6"/>
  <c r="AU232" i="6"/>
  <c r="AV232" i="6"/>
  <c r="AT232" i="6"/>
  <c r="AY232" i="6"/>
  <c r="AW232" i="6"/>
  <c r="BA232" i="6"/>
  <c r="AX232" i="6"/>
  <c r="X227" i="12" a="1"/>
  <c r="X227" i="12" s="1"/>
  <c r="N228" i="12"/>
  <c r="Y228" i="12"/>
  <c r="W228" i="12" s="1" a="1"/>
  <c r="W228" i="12" s="1"/>
  <c r="A234" i="6"/>
  <c r="M233" i="6"/>
  <c r="V227" i="12" a="1"/>
  <c r="V227" i="12" s="1"/>
  <c r="U227" i="12"/>
  <c r="T227" i="12"/>
  <c r="AB229" i="5" a="1"/>
  <c r="AB229" i="5" s="1"/>
  <c r="C229" i="6"/>
  <c r="I230" i="12"/>
  <c r="L230" i="5"/>
  <c r="AM230" i="5"/>
  <c r="Z230" i="5"/>
  <c r="X231" i="5" a="1"/>
  <c r="X231" i="5" s="1"/>
  <c r="C229" i="12"/>
  <c r="O229" i="12" a="1"/>
  <c r="O229" i="12" s="1"/>
  <c r="AO229" i="12" a="1"/>
  <c r="AO229" i="12" s="1"/>
  <c r="M229" i="12" a="1"/>
  <c r="M229" i="12" s="1"/>
  <c r="BI232" i="6"/>
  <c r="AN232" i="6"/>
  <c r="AK232" i="6"/>
  <c r="BW232" i="6" a="1"/>
  <c r="BW232" i="6" s="1"/>
  <c r="AJ232" i="6"/>
  <c r="AO232" i="6"/>
  <c r="CA232" i="6" a="1"/>
  <c r="CA232" i="6" s="1"/>
  <c r="CD232" i="6" a="1"/>
  <c r="CD232" i="6" s="1"/>
  <c r="BX232" i="6" a="1"/>
  <c r="BX232" i="6" s="1"/>
  <c r="CE232" i="6" a="1"/>
  <c r="CE232" i="6" s="1"/>
  <c r="AL232" i="6"/>
  <c r="BE232" i="6"/>
  <c r="BV232" i="6" a="1"/>
  <c r="BV232" i="6" s="1"/>
  <c r="BK232" i="6"/>
  <c r="AQ232" i="6"/>
  <c r="CC232" i="6" a="1"/>
  <c r="CC232" i="6" s="1"/>
  <c r="BG232" i="6"/>
  <c r="BC232" i="6"/>
  <c r="CB232" i="6" a="1"/>
  <c r="CB232" i="6" s="1"/>
  <c r="BY232" i="6" a="1"/>
  <c r="BY232" i="6" s="1"/>
  <c r="AS232" i="6"/>
  <c r="BZ232" i="6" a="1"/>
  <c r="BZ232" i="6" s="1"/>
  <c r="AR232" i="6"/>
  <c r="AM232" i="6"/>
  <c r="AP232" i="6"/>
  <c r="CH233" i="6" l="1" a="1"/>
  <c r="CH233" i="6" s="1"/>
  <c r="BN233" i="6"/>
  <c r="CK233" i="6" a="1"/>
  <c r="CK233" i="6" s="1"/>
  <c r="BS233" i="6"/>
  <c r="BR233" i="6"/>
  <c r="CG233" i="6" a="1"/>
  <c r="CG233" i="6" s="1"/>
  <c r="BQ233" i="6"/>
  <c r="CL233" i="6" a="1"/>
  <c r="CL233" i="6" s="1"/>
  <c r="CF233" i="6" a="1"/>
  <c r="CF233" i="6" s="1"/>
  <c r="BT233" i="6"/>
  <c r="CJ233" i="6" a="1"/>
  <c r="CJ233" i="6" s="1"/>
  <c r="BP233" i="6"/>
  <c r="CM233" i="6" a="1"/>
  <c r="CM233" i="6" s="1"/>
  <c r="BO233" i="6"/>
  <c r="CI233" i="6" a="1"/>
  <c r="CI233" i="6" s="1"/>
  <c r="BM233" i="6"/>
  <c r="AV233" i="6"/>
  <c r="AY233" i="6"/>
  <c r="AT233" i="6"/>
  <c r="AX233" i="6"/>
  <c r="AZ233" i="6"/>
  <c r="BA233" i="6"/>
  <c r="AW233" i="6"/>
  <c r="AU233" i="6"/>
  <c r="X228" i="12" a="1"/>
  <c r="X228" i="12" s="1"/>
  <c r="Y229" i="12"/>
  <c r="X229" i="12" s="1" a="1"/>
  <c r="X229" i="12" s="1"/>
  <c r="C230" i="12"/>
  <c r="O230" i="12" a="1"/>
  <c r="O230" i="12" s="1"/>
  <c r="AO230" i="12" a="1"/>
  <c r="AO230" i="12" s="1"/>
  <c r="M230" i="12" a="1"/>
  <c r="M230" i="12" s="1"/>
  <c r="N229" i="12"/>
  <c r="I231" i="12"/>
  <c r="AM231" i="5"/>
  <c r="L231" i="5"/>
  <c r="Z231" i="5"/>
  <c r="BV233" i="6" a="1"/>
  <c r="BV233" i="6" s="1"/>
  <c r="CE233" i="6" a="1"/>
  <c r="CE233" i="6" s="1"/>
  <c r="BY233" i="6" a="1"/>
  <c r="BY233" i="6" s="1"/>
  <c r="CC233" i="6" a="1"/>
  <c r="CC233" i="6" s="1"/>
  <c r="BG233" i="6"/>
  <c r="BX233" i="6" a="1"/>
  <c r="BX233" i="6" s="1"/>
  <c r="BW233" i="6" a="1"/>
  <c r="BW233" i="6" s="1"/>
  <c r="BZ233" i="6" a="1"/>
  <c r="BZ233" i="6" s="1"/>
  <c r="AK233" i="6"/>
  <c r="AS233" i="6"/>
  <c r="AO233" i="6"/>
  <c r="AL233" i="6"/>
  <c r="CD233" i="6" a="1"/>
  <c r="CD233" i="6" s="1"/>
  <c r="BI233" i="6"/>
  <c r="AN233" i="6"/>
  <c r="AP233" i="6"/>
  <c r="BE233" i="6"/>
  <c r="BC233" i="6"/>
  <c r="CB233" i="6" a="1"/>
  <c r="CB233" i="6" s="1"/>
  <c r="CA233" i="6" a="1"/>
  <c r="CA233" i="6" s="1"/>
  <c r="AJ233" i="6"/>
  <c r="BK233" i="6"/>
  <c r="AQ233" i="6"/>
  <c r="AR233" i="6"/>
  <c r="AM233" i="6"/>
  <c r="X232" i="5" a="1"/>
  <c r="X232" i="5" s="1"/>
  <c r="AB230" i="5" a="1"/>
  <c r="AB230" i="5" s="1"/>
  <c r="M234" i="6"/>
  <c r="V228" i="12" a="1"/>
  <c r="V228" i="12" s="1"/>
  <c r="U228" i="12"/>
  <c r="T228" i="12"/>
  <c r="C230" i="6"/>
  <c r="CI234" i="6" l="1" a="1"/>
  <c r="CI234" i="6" s="1"/>
  <c r="CL234" i="6" a="1"/>
  <c r="CL234" i="6" s="1"/>
  <c r="BR234" i="6"/>
  <c r="BP234" i="6"/>
  <c r="CH234" i="6" a="1"/>
  <c r="CH234" i="6" s="1"/>
  <c r="BN234" i="6"/>
  <c r="CK234" i="6" a="1"/>
  <c r="CK234" i="6" s="1"/>
  <c r="BM234" i="6"/>
  <c r="BO234" i="6"/>
  <c r="CG234" i="6" a="1"/>
  <c r="CG234" i="6" s="1"/>
  <c r="BT234" i="6"/>
  <c r="CF234" i="6" a="1"/>
  <c r="CF234" i="6" s="1"/>
  <c r="BS234" i="6"/>
  <c r="CJ234" i="6" a="1"/>
  <c r="CJ234" i="6" s="1"/>
  <c r="BQ234" i="6"/>
  <c r="CM234" i="6" a="1"/>
  <c r="CM234" i="6" s="1"/>
  <c r="AV234" i="6"/>
  <c r="BA234" i="6"/>
  <c r="AX234" i="6"/>
  <c r="AW234" i="6"/>
  <c r="AU234" i="6"/>
  <c r="AY234" i="6"/>
  <c r="AZ234" i="6"/>
  <c r="AT234" i="6"/>
  <c r="W229" i="12" a="1"/>
  <c r="W229" i="12" s="1"/>
  <c r="V229" i="12" s="1" a="1"/>
  <c r="V229" i="12" s="1"/>
  <c r="Y230" i="12"/>
  <c r="X230" i="12" s="1" a="1"/>
  <c r="X230" i="12" s="1"/>
  <c r="X233" i="5" a="1"/>
  <c r="X233" i="5" s="1"/>
  <c r="AB231" i="5" a="1"/>
  <c r="AB231" i="5" s="1"/>
  <c r="I232" i="12"/>
  <c r="L232" i="5"/>
  <c r="AM232" i="5"/>
  <c r="Z232" i="5"/>
  <c r="C231" i="6"/>
  <c r="N230" i="12"/>
  <c r="C231" i="12"/>
  <c r="M231" i="12" a="1"/>
  <c r="M231" i="12" s="1"/>
  <c r="AO231" i="12" a="1"/>
  <c r="AO231" i="12" s="1"/>
  <c r="O231" i="12" a="1"/>
  <c r="O231" i="12" s="1"/>
  <c r="BG234" i="6"/>
  <c r="CD234" i="6" a="1"/>
  <c r="CD234" i="6" s="1"/>
  <c r="CC234" i="6" a="1"/>
  <c r="CC234" i="6" s="1"/>
  <c r="BW234" i="6" a="1"/>
  <c r="BW234" i="6" s="1"/>
  <c r="CA234" i="6" a="1"/>
  <c r="CA234" i="6" s="1"/>
  <c r="CE234" i="6" a="1"/>
  <c r="CE234" i="6" s="1"/>
  <c r="BX234" i="6" a="1"/>
  <c r="BX234" i="6" s="1"/>
  <c r="AJ234" i="6"/>
  <c r="AO234" i="6"/>
  <c r="BY234" i="6" a="1"/>
  <c r="BY234" i="6" s="1"/>
  <c r="BE234" i="6"/>
  <c r="AQ234" i="6"/>
  <c r="AP234" i="6"/>
  <c r="CB234" i="6" a="1"/>
  <c r="CB234" i="6" s="1"/>
  <c r="AN234" i="6"/>
  <c r="BV234" i="6" a="1"/>
  <c r="BV234" i="6" s="1"/>
  <c r="BZ234" i="6" a="1"/>
  <c r="BZ234" i="6" s="1"/>
  <c r="BI234" i="6"/>
  <c r="BK234" i="6"/>
  <c r="BC234" i="6"/>
  <c r="AM234" i="6"/>
  <c r="AS234" i="6"/>
  <c r="AL234" i="6"/>
  <c r="AR234" i="6"/>
  <c r="AK234" i="6"/>
  <c r="T229" i="12" l="1"/>
  <c r="W230" i="12" a="1"/>
  <c r="W230" i="12" s="1"/>
  <c r="U230" i="12" s="1"/>
  <c r="U229" i="12"/>
  <c r="Y231" i="12"/>
  <c r="W231" i="12" s="1" a="1"/>
  <c r="W231" i="12" s="1"/>
  <c r="C232" i="6"/>
  <c r="C232" i="12"/>
  <c r="M232" i="12" a="1"/>
  <c r="M232" i="12" s="1"/>
  <c r="O232" i="12" a="1"/>
  <c r="O232" i="12" s="1"/>
  <c r="AO232" i="12" a="1"/>
  <c r="AO232" i="12" s="1"/>
  <c r="X234" i="5" a="1"/>
  <c r="X234" i="5" s="1"/>
  <c r="I233" i="12"/>
  <c r="AM233" i="5"/>
  <c r="L233" i="5"/>
  <c r="Z233" i="5"/>
  <c r="AB232" i="5" a="1"/>
  <c r="AB232" i="5" s="1"/>
  <c r="N231" i="12"/>
  <c r="V230" i="12" l="1" a="1"/>
  <c r="V230" i="12" s="1"/>
  <c r="T230" i="12"/>
  <c r="X231" i="12" a="1"/>
  <c r="X231" i="12" s="1"/>
  <c r="Y232" i="12"/>
  <c r="W232" i="12" s="1" a="1"/>
  <c r="W232" i="12" s="1"/>
  <c r="N232" i="12"/>
  <c r="AB233" i="5" a="1"/>
  <c r="AB233" i="5" s="1"/>
  <c r="C233" i="6"/>
  <c r="I234" i="12"/>
  <c r="AM234" i="5"/>
  <c r="L234" i="5"/>
  <c r="Z234" i="5"/>
  <c r="C233" i="12"/>
  <c r="O233" i="12" a="1"/>
  <c r="O233" i="12" s="1"/>
  <c r="AO233" i="12" a="1"/>
  <c r="AO233" i="12" s="1"/>
  <c r="M233" i="12" a="1"/>
  <c r="M233" i="12" s="1"/>
  <c r="V231" i="12" a="1"/>
  <c r="V231" i="12" s="1"/>
  <c r="U231" i="12"/>
  <c r="T231" i="12"/>
  <c r="X232" i="12" l="1" a="1"/>
  <c r="X232" i="12" s="1"/>
  <c r="Y233" i="12"/>
  <c r="X233" i="12" s="1" a="1"/>
  <c r="X233" i="12" s="1"/>
  <c r="C234" i="6"/>
  <c r="N233" i="12"/>
  <c r="C234" i="12"/>
  <c r="O234" i="12" a="1"/>
  <c r="O234" i="12" s="1"/>
  <c r="M234" i="12" a="1"/>
  <c r="M234" i="12" s="1"/>
  <c r="AO234" i="12" a="1"/>
  <c r="AO234" i="12" s="1"/>
  <c r="AB234" i="5" a="1"/>
  <c r="AB234" i="5" s="1"/>
  <c r="T232" i="12"/>
  <c r="U232" i="12"/>
  <c r="V232" i="12" a="1"/>
  <c r="V232" i="12" s="1"/>
  <c r="W233" i="12" l="1" a="1"/>
  <c r="W233" i="12" s="1"/>
  <c r="T233" i="12" s="1"/>
  <c r="N234" i="12"/>
  <c r="Y234" i="12"/>
  <c r="U233" i="12" l="1"/>
  <c r="V233" i="12" a="1"/>
  <c r="V233" i="12" s="1"/>
  <c r="W234" i="12" a="1"/>
  <c r="W234" i="12" s="1"/>
  <c r="X234" i="12" a="1"/>
  <c r="X234" i="12" s="1"/>
  <c r="V234" i="12" l="1" a="1"/>
  <c r="V234" i="12" s="1"/>
  <c r="U234" i="12"/>
  <c r="T234" i="12"/>
  <c r="L235" i="6" l="1"/>
  <c r="J30" i="5"/>
  <c r="K30" i="5"/>
  <c r="A14" i="13"/>
  <c r="A5" i="5"/>
  <c r="O22" i="5" l="1"/>
  <c r="D22" i="12" s="1"/>
  <c r="D30" i="5"/>
  <c r="B30" i="12" s="1"/>
  <c r="X30" i="5" a="1"/>
  <c r="X30" i="5" s="1"/>
  <c r="I30" i="5" s="1"/>
  <c r="I31" i="5" s="1"/>
  <c r="I32" i="5" s="1"/>
  <c r="I33" i="5" s="1"/>
  <c r="I34" i="5" s="1"/>
  <c r="I35" i="5" s="1"/>
  <c r="O99" i="5"/>
  <c r="D99" i="12" s="1"/>
  <c r="O97" i="5"/>
  <c r="D97" i="12" s="1"/>
  <c r="O98" i="5"/>
  <c r="O94" i="5"/>
  <c r="D94" i="12" s="1"/>
  <c r="O95" i="5"/>
  <c r="O91" i="5"/>
  <c r="E91" i="6" s="1"/>
  <c r="O92" i="5"/>
  <c r="O89" i="5"/>
  <c r="D89" i="12" s="1"/>
  <c r="O90" i="5"/>
  <c r="O87" i="5"/>
  <c r="D87" i="12" s="1"/>
  <c r="O88" i="5"/>
  <c r="O77" i="5"/>
  <c r="E77" i="6" s="1"/>
  <c r="O85" i="5"/>
  <c r="O74" i="5"/>
  <c r="D74" i="12" s="1"/>
  <c r="O75" i="5"/>
  <c r="O72" i="5"/>
  <c r="D72" i="12" s="1"/>
  <c r="O73" i="5"/>
  <c r="O83" i="5"/>
  <c r="O81" i="5"/>
  <c r="E81" i="6" s="1"/>
  <c r="O82" i="5"/>
  <c r="O79" i="5"/>
  <c r="E79" i="6" s="1"/>
  <c r="O80" i="5"/>
  <c r="O70" i="5"/>
  <c r="D70" i="12" s="1"/>
  <c r="O67" i="5"/>
  <c r="E67" i="6" s="1"/>
  <c r="O69" i="5"/>
  <c r="O28" i="5"/>
  <c r="D28" i="12" s="1"/>
  <c r="O26" i="5"/>
  <c r="D26" i="12" s="1"/>
  <c r="O27" i="5"/>
  <c r="O24" i="5"/>
  <c r="E24" i="6" s="1"/>
  <c r="O25" i="5"/>
  <c r="O20" i="5"/>
  <c r="D20" i="12" s="1"/>
  <c r="O21" i="5"/>
  <c r="O18" i="5"/>
  <c r="D18" i="12" s="1"/>
  <c r="O19" i="5"/>
  <c r="J225" i="5"/>
  <c r="K225" i="5"/>
  <c r="J218" i="5"/>
  <c r="K218" i="5"/>
  <c r="J215" i="5"/>
  <c r="K215" i="5"/>
  <c r="K209" i="5"/>
  <c r="J209" i="5"/>
  <c r="J196" i="5"/>
  <c r="K196" i="5"/>
  <c r="K181" i="5"/>
  <c r="J181" i="5"/>
  <c r="K174" i="5"/>
  <c r="J174" i="5"/>
  <c r="K169" i="5"/>
  <c r="J169" i="5"/>
  <c r="K162" i="5"/>
  <c r="J162" i="5"/>
  <c r="K152" i="5"/>
  <c r="J152" i="5"/>
  <c r="K137" i="5"/>
  <c r="J137" i="5"/>
  <c r="J129" i="5"/>
  <c r="K129" i="5"/>
  <c r="J125" i="5"/>
  <c r="K125" i="5"/>
  <c r="J122" i="5"/>
  <c r="K122" i="5"/>
  <c r="J112" i="5"/>
  <c r="K112" i="5"/>
  <c r="K109" i="5"/>
  <c r="J109" i="5"/>
  <c r="J106" i="5"/>
  <c r="K106" i="5"/>
  <c r="K101" i="5"/>
  <c r="J101" i="5"/>
  <c r="K100" i="5"/>
  <c r="D100" i="5" s="1"/>
  <c r="J100" i="5"/>
  <c r="J96" i="5"/>
  <c r="K96" i="5"/>
  <c r="J93" i="5"/>
  <c r="K93" i="5"/>
  <c r="J86" i="5"/>
  <c r="K86" i="5"/>
  <c r="J84" i="5"/>
  <c r="K84" i="5"/>
  <c r="K78" i="5"/>
  <c r="J78" i="5"/>
  <c r="K76" i="5"/>
  <c r="J76" i="5"/>
  <c r="K71" i="5"/>
  <c r="J71" i="5"/>
  <c r="J68" i="5"/>
  <c r="K68" i="5"/>
  <c r="J66" i="5"/>
  <c r="K66" i="5"/>
  <c r="J55" i="5"/>
  <c r="K55" i="5"/>
  <c r="J51" i="5"/>
  <c r="K51" i="5"/>
  <c r="K42" i="5"/>
  <c r="J42" i="5"/>
  <c r="J31" i="5"/>
  <c r="K31" i="5"/>
  <c r="J29" i="5"/>
  <c r="K29" i="5"/>
  <c r="J23" i="5"/>
  <c r="K23" i="5"/>
  <c r="F23" i="8" a="1"/>
  <c r="F23" i="8" s="1"/>
  <c r="F17" i="8" a="1"/>
  <c r="F17" i="8" s="1"/>
  <c r="F18" i="8" s="1"/>
  <c r="F20" i="8" a="1"/>
  <c r="F20" i="8" s="1"/>
  <c r="F29" i="8" a="1"/>
  <c r="F29" i="8" s="1"/>
  <c r="F26" i="8" a="1"/>
  <c r="F26" i="8" s="1"/>
  <c r="F14" i="8" a="1"/>
  <c r="F14" i="8" s="1"/>
  <c r="F15" i="8" s="1"/>
  <c r="F32" i="8" a="1"/>
  <c r="F32" i="8" s="1"/>
  <c r="F35" i="8" a="1"/>
  <c r="F35" i="8" s="1"/>
  <c r="F44" i="8" a="1"/>
  <c r="F44" i="8" s="1"/>
  <c r="F38" i="8" a="1"/>
  <c r="F38" i="8" s="1"/>
  <c r="F56" i="8" a="1"/>
  <c r="F56" i="8" s="1"/>
  <c r="F50" i="8" a="1"/>
  <c r="F50" i="8" s="1"/>
  <c r="F41" i="8" a="1"/>
  <c r="F41" i="8" s="1"/>
  <c r="F47" i="8" a="1"/>
  <c r="F47" i="8" s="1"/>
  <c r="F62" i="8" a="1"/>
  <c r="F62" i="8" s="1"/>
  <c r="F53" i="8" a="1"/>
  <c r="F53" i="8" s="1"/>
  <c r="F59" i="8" a="1"/>
  <c r="F59" i="8" s="1"/>
  <c r="F71" i="8" a="1"/>
  <c r="F71" i="8" s="1"/>
  <c r="F65" i="8" a="1"/>
  <c r="F65" i="8" s="1"/>
  <c r="F68" i="8" a="1"/>
  <c r="F68" i="8" s="1"/>
  <c r="F74" i="8" a="1"/>
  <c r="F74" i="8" s="1"/>
  <c r="F83" i="8" a="1"/>
  <c r="F83" i="8" s="1"/>
  <c r="F77" i="8" a="1"/>
  <c r="F77" i="8" s="1"/>
  <c r="F80" i="8" a="1"/>
  <c r="F80" i="8" s="1"/>
  <c r="F86" i="8" a="1"/>
  <c r="F86" i="8" s="1"/>
  <c r="F89" i="8" a="1"/>
  <c r="F89" i="8" s="1"/>
  <c r="F92" i="8" a="1"/>
  <c r="F92" i="8" s="1"/>
  <c r="F95" i="8" a="1"/>
  <c r="F95" i="8" s="1"/>
  <c r="F101" i="8" a="1"/>
  <c r="F101" i="8" s="1"/>
  <c r="F98" i="8" a="1"/>
  <c r="F98" i="8" s="1"/>
  <c r="F104" i="8" a="1"/>
  <c r="F104" i="8" s="1"/>
  <c r="F107" i="8" a="1"/>
  <c r="F107" i="8" s="1"/>
  <c r="F110" i="8" a="1"/>
  <c r="F110" i="8" s="1"/>
  <c r="F113" i="8" a="1"/>
  <c r="F113" i="8" s="1"/>
  <c r="F116" i="8" a="1"/>
  <c r="F116" i="8" s="1"/>
  <c r="F1" i="8" a="1"/>
  <c r="F1" i="8" s="1"/>
  <c r="F2" i="8" s="1"/>
  <c r="J17" i="5"/>
  <c r="K17" i="5"/>
  <c r="B21" i="11"/>
  <c r="A21" i="13"/>
  <c r="B16" i="11"/>
  <c r="A20" i="13"/>
  <c r="A23" i="13"/>
  <c r="A18" i="13"/>
  <c r="A15" i="13"/>
  <c r="B22" i="11"/>
  <c r="B23" i="11"/>
  <c r="A16" i="13"/>
  <c r="A19" i="13"/>
  <c r="A17" i="13"/>
  <c r="B19" i="11"/>
  <c r="B17" i="11"/>
  <c r="B20" i="11"/>
  <c r="B18" i="11"/>
  <c r="B15" i="11"/>
  <c r="K16" i="5"/>
  <c r="J16" i="5"/>
  <c r="A22" i="13"/>
  <c r="B12" i="11"/>
  <c r="A12" i="13"/>
  <c r="I36" i="5" l="1"/>
  <c r="E22" i="6"/>
  <c r="I42" i="5"/>
  <c r="I43" i="5" s="1"/>
  <c r="I44" i="5" s="1"/>
  <c r="I51" i="5"/>
  <c r="I52" i="5" s="1"/>
  <c r="I53" i="5" s="1"/>
  <c r="I54" i="5" s="1"/>
  <c r="I55" i="5" s="1"/>
  <c r="I56" i="5" s="1"/>
  <c r="I57" i="5" s="1"/>
  <c r="I58" i="5" s="1"/>
  <c r="I59" i="5" s="1"/>
  <c r="I60" i="5" s="1"/>
  <c r="I61" i="5" s="1"/>
  <c r="I62" i="5" s="1"/>
  <c r="I63" i="5" s="1"/>
  <c r="I64" i="5" s="1"/>
  <c r="I65" i="5" s="1"/>
  <c r="O65" i="5" s="1"/>
  <c r="D65" i="12" s="1"/>
  <c r="O34" i="5"/>
  <c r="D34" i="12" s="1"/>
  <c r="O35" i="5"/>
  <c r="E35" i="6" s="1"/>
  <c r="O32" i="5"/>
  <c r="D32" i="12" s="1"/>
  <c r="O33" i="5"/>
  <c r="E33" i="6" s="1"/>
  <c r="Z30" i="5"/>
  <c r="AB30" i="5" s="1" a="1"/>
  <c r="AB30" i="5" s="1"/>
  <c r="AM30" i="5"/>
  <c r="L30" i="5"/>
  <c r="I30" i="12"/>
  <c r="AO30" i="12" s="1" a="1"/>
  <c r="AO30" i="12" s="1"/>
  <c r="E99" i="6"/>
  <c r="E97" i="6"/>
  <c r="D98" i="12"/>
  <c r="E98" i="6"/>
  <c r="E94" i="6"/>
  <c r="D95" i="12"/>
  <c r="E95" i="6"/>
  <c r="D91" i="12"/>
  <c r="D92" i="12"/>
  <c r="E92" i="6"/>
  <c r="E87" i="6"/>
  <c r="E89" i="6"/>
  <c r="E90" i="6"/>
  <c r="D90" i="12"/>
  <c r="D88" i="12"/>
  <c r="E88" i="6"/>
  <c r="D77" i="12"/>
  <c r="D85" i="12"/>
  <c r="E85" i="6"/>
  <c r="E74" i="6"/>
  <c r="E75" i="6"/>
  <c r="D75" i="12"/>
  <c r="E72" i="6"/>
  <c r="D73" i="12"/>
  <c r="E73" i="6"/>
  <c r="D83" i="12"/>
  <c r="E83" i="6"/>
  <c r="D81" i="12"/>
  <c r="E82" i="6"/>
  <c r="D82" i="12"/>
  <c r="D79" i="12"/>
  <c r="D80" i="12"/>
  <c r="E80" i="6"/>
  <c r="E70" i="6"/>
  <c r="D67" i="12"/>
  <c r="D69" i="12"/>
  <c r="E69" i="6"/>
  <c r="E26" i="6"/>
  <c r="E28" i="6"/>
  <c r="D27" i="12"/>
  <c r="E27" i="6"/>
  <c r="D24" i="12"/>
  <c r="E25" i="6"/>
  <c r="D25" i="12"/>
  <c r="E20" i="6"/>
  <c r="E21" i="6"/>
  <c r="D21" i="12"/>
  <c r="E18" i="6"/>
  <c r="D19" i="12"/>
  <c r="E19" i="6"/>
  <c r="D225" i="5"/>
  <c r="B225" i="12" s="1"/>
  <c r="D196" i="5"/>
  <c r="B196" i="12" s="1"/>
  <c r="D215" i="5"/>
  <c r="B215" i="12" s="1"/>
  <c r="D218" i="5"/>
  <c r="B218" i="12" s="1"/>
  <c r="D209" i="5"/>
  <c r="D181" i="5"/>
  <c r="B181" i="12" s="1"/>
  <c r="D174" i="5"/>
  <c r="B174" i="12" s="1"/>
  <c r="D169" i="5"/>
  <c r="D162" i="5"/>
  <c r="B162" i="12" s="1"/>
  <c r="D152" i="5"/>
  <c r="B152" i="12" s="1"/>
  <c r="D137" i="5"/>
  <c r="D129" i="5"/>
  <c r="B129" i="12" s="1"/>
  <c r="D125" i="5"/>
  <c r="B125" i="12" s="1"/>
  <c r="D122" i="5"/>
  <c r="B122" i="12" s="1"/>
  <c r="D112" i="5"/>
  <c r="B112" i="12" s="1"/>
  <c r="D96" i="5"/>
  <c r="B96" i="12" s="1"/>
  <c r="D106" i="5"/>
  <c r="B106" i="12" s="1"/>
  <c r="D109" i="5"/>
  <c r="D101" i="5"/>
  <c r="B100" i="12"/>
  <c r="D93" i="5"/>
  <c r="B93" i="12" s="1"/>
  <c r="D86" i="5"/>
  <c r="B86" i="12" s="1"/>
  <c r="D84" i="5"/>
  <c r="D76" i="5"/>
  <c r="B76" i="12" s="1"/>
  <c r="D78" i="5"/>
  <c r="B78" i="12" s="1"/>
  <c r="D51" i="5"/>
  <c r="B51" i="12" s="1"/>
  <c r="D68" i="5"/>
  <c r="B68" i="12" s="1"/>
  <c r="D71" i="5"/>
  <c r="D66" i="5"/>
  <c r="B66" i="12" s="1"/>
  <c r="D55" i="5"/>
  <c r="B55" i="12" s="1"/>
  <c r="D29" i="5"/>
  <c r="B29" i="12" s="1"/>
  <c r="D42" i="5"/>
  <c r="B42" i="12" s="1"/>
  <c r="D31" i="5"/>
  <c r="B31" i="12" s="1"/>
  <c r="AO15" i="13"/>
  <c r="AL15" i="13"/>
  <c r="AO12" i="13"/>
  <c r="AL12" i="13"/>
  <c r="AL18" i="13"/>
  <c r="AO18" i="13"/>
  <c r="AL23" i="13"/>
  <c r="AO23" i="13"/>
  <c r="AO22" i="13"/>
  <c r="AL22" i="13"/>
  <c r="AL20" i="13"/>
  <c r="AO20" i="13"/>
  <c r="AO19" i="13"/>
  <c r="AL19" i="13"/>
  <c r="AL16" i="13"/>
  <c r="AO16" i="13"/>
  <c r="AL21" i="13"/>
  <c r="AO21" i="13"/>
  <c r="AO17" i="13"/>
  <c r="AL17" i="13"/>
  <c r="D23" i="5"/>
  <c r="B23" i="12" s="1"/>
  <c r="K16" i="11" a="1"/>
  <c r="K16" i="11" s="1"/>
  <c r="J16" i="13" s="1"/>
  <c r="G16" i="11"/>
  <c r="F16" i="13" s="1"/>
  <c r="C16" i="13"/>
  <c r="C17" i="13"/>
  <c r="K17" i="11" a="1"/>
  <c r="K17" i="11" s="1"/>
  <c r="J17" i="13" s="1"/>
  <c r="G17" i="11"/>
  <c r="F17" i="13" s="1"/>
  <c r="C18" i="13"/>
  <c r="G18" i="11"/>
  <c r="F18" i="13" s="1"/>
  <c r="K18" i="11" a="1"/>
  <c r="K18" i="11" s="1"/>
  <c r="J18" i="13" s="1"/>
  <c r="G21" i="11"/>
  <c r="F21" i="13" s="1"/>
  <c r="C21" i="13"/>
  <c r="K21" i="11" a="1"/>
  <c r="K21" i="11" s="1"/>
  <c r="J21" i="13" s="1"/>
  <c r="J14" i="8"/>
  <c r="M14" i="8"/>
  <c r="Q14" i="8" s="1"/>
  <c r="C19" i="13"/>
  <c r="G19" i="11"/>
  <c r="F19" i="13" s="1"/>
  <c r="K19" i="11" a="1"/>
  <c r="K19" i="11" s="1"/>
  <c r="J19" i="13" s="1"/>
  <c r="B12" i="13"/>
  <c r="AM12" i="13" s="1" a="1"/>
  <c r="AM12" i="13" s="1"/>
  <c r="C20" i="13"/>
  <c r="K20" i="11" a="1"/>
  <c r="K20" i="11" s="1"/>
  <c r="J20" i="13" s="1"/>
  <c r="G20" i="11"/>
  <c r="F20" i="13" s="1"/>
  <c r="C12" i="13"/>
  <c r="O12" i="11" a="1"/>
  <c r="O12" i="11" s="1"/>
  <c r="AA12" i="11" a="1"/>
  <c r="AA12" i="11" s="1"/>
  <c r="AB12" i="11" a="1"/>
  <c r="AB12" i="11" s="1"/>
  <c r="N12" i="11" s="1"/>
  <c r="K12" i="11" a="1"/>
  <c r="K12" i="11" s="1"/>
  <c r="J12" i="13" s="1"/>
  <c r="G12" i="11"/>
  <c r="F12" i="13" s="1"/>
  <c r="C23" i="13"/>
  <c r="K23" i="11" a="1"/>
  <c r="K23" i="11" s="1"/>
  <c r="J23" i="13" s="1"/>
  <c r="G23" i="11"/>
  <c r="F23" i="13" s="1"/>
  <c r="J17" i="8"/>
  <c r="M17" i="8"/>
  <c r="P17" i="8" s="1"/>
  <c r="K22" i="11" a="1"/>
  <c r="K22" i="11" s="1"/>
  <c r="J22" i="13" s="1"/>
  <c r="G22" i="11"/>
  <c r="F22" i="13" s="1"/>
  <c r="C22" i="13"/>
  <c r="B22" i="13"/>
  <c r="N1" i="8"/>
  <c r="M1" i="8"/>
  <c r="O1" i="8"/>
  <c r="Q1" i="8"/>
  <c r="J1" i="8"/>
  <c r="P1" i="8"/>
  <c r="I1" i="8"/>
  <c r="S1" i="8"/>
  <c r="D16" i="5"/>
  <c r="G15" i="11"/>
  <c r="F15" i="13" s="1"/>
  <c r="C15" i="13"/>
  <c r="K15" i="11" a="1"/>
  <c r="K15" i="11" s="1"/>
  <c r="J15" i="13" s="1"/>
  <c r="F10" i="8" a="1"/>
  <c r="F10" i="8" s="1"/>
  <c r="D17" i="5"/>
  <c r="I45" i="5" l="1"/>
  <c r="I37" i="5"/>
  <c r="I38" i="5" s="1"/>
  <c r="I39" i="5" s="1"/>
  <c r="I40" i="5" s="1"/>
  <c r="I41" i="5" s="1"/>
  <c r="O41" i="5" s="1"/>
  <c r="E41" i="6" s="1"/>
  <c r="O36" i="5"/>
  <c r="O54" i="5"/>
  <c r="D54" i="12" s="1"/>
  <c r="O58" i="5"/>
  <c r="E58" i="6" s="1"/>
  <c r="O59" i="5"/>
  <c r="D59" i="12" s="1"/>
  <c r="O53" i="5"/>
  <c r="E53" i="6" s="1"/>
  <c r="E65" i="6"/>
  <c r="O57" i="5"/>
  <c r="D57" i="12" s="1"/>
  <c r="O52" i="5"/>
  <c r="D52" i="12" s="1"/>
  <c r="O43" i="5"/>
  <c r="D43" i="12" s="1"/>
  <c r="O62" i="5"/>
  <c r="E62" i="6" s="1"/>
  <c r="O63" i="5"/>
  <c r="E63" i="6" s="1"/>
  <c r="O44" i="5"/>
  <c r="D44" i="12" s="1"/>
  <c r="O61" i="5"/>
  <c r="D61" i="12" s="1"/>
  <c r="O60" i="5"/>
  <c r="E60" i="6" s="1"/>
  <c r="O64" i="5"/>
  <c r="E64" i="6" s="1"/>
  <c r="O56" i="5"/>
  <c r="D56" i="12" s="1"/>
  <c r="E34" i="6"/>
  <c r="D35" i="12"/>
  <c r="D33" i="12"/>
  <c r="E32" i="6"/>
  <c r="J30" i="12" a="1"/>
  <c r="J30" i="12" s="1"/>
  <c r="M30" i="12" s="1" a="1"/>
  <c r="M30" i="12" s="1"/>
  <c r="L30" i="12" a="1"/>
  <c r="L30" i="12" s="1"/>
  <c r="C30" i="12"/>
  <c r="C30" i="6"/>
  <c r="O30" i="5"/>
  <c r="B16" i="13"/>
  <c r="B209" i="12"/>
  <c r="B169" i="12"/>
  <c r="B23" i="13"/>
  <c r="B137" i="12"/>
  <c r="B109" i="12"/>
  <c r="B101" i="12"/>
  <c r="B21" i="13"/>
  <c r="B20" i="13"/>
  <c r="B84" i="12"/>
  <c r="B18" i="13"/>
  <c r="AJ18" i="13" s="1" a="1"/>
  <c r="AJ18" i="13" s="1"/>
  <c r="B19" i="13"/>
  <c r="AK19" i="13" s="1" a="1"/>
  <c r="AK19" i="13" s="1"/>
  <c r="B71" i="12"/>
  <c r="B17" i="13"/>
  <c r="B15" i="13"/>
  <c r="AK17" i="13" a="1"/>
  <c r="AK17" i="13" s="1"/>
  <c r="AJ21" i="13" a="1"/>
  <c r="AJ21" i="13" s="1"/>
  <c r="AJ22" i="13" a="1"/>
  <c r="AJ22" i="13" s="1"/>
  <c r="AN16" i="13" a="1"/>
  <c r="AN16" i="13" s="1"/>
  <c r="AJ20" i="13" a="1"/>
  <c r="AJ20" i="13" s="1"/>
  <c r="AN18" i="13" a="1"/>
  <c r="AN18" i="13" s="1"/>
  <c r="AN19" i="13" a="1"/>
  <c r="AN19" i="13" s="1"/>
  <c r="AN15" i="13" a="1"/>
  <c r="AN15" i="13" s="1"/>
  <c r="AK21" i="13" a="1"/>
  <c r="AK21" i="13" s="1"/>
  <c r="AM16" i="13" a="1"/>
  <c r="AM16" i="13" s="1"/>
  <c r="AJ19" i="13" a="1"/>
  <c r="AJ19" i="13" s="1"/>
  <c r="AM23" i="13" a="1"/>
  <c r="AM23" i="13" s="1"/>
  <c r="AJ15" i="13" a="1"/>
  <c r="AJ15" i="13" s="1"/>
  <c r="AK16" i="13" a="1"/>
  <c r="AK16" i="13" s="1"/>
  <c r="AK22" i="13" a="1"/>
  <c r="AK22" i="13" s="1"/>
  <c r="AN23" i="13" a="1"/>
  <c r="AN23" i="13" s="1"/>
  <c r="AM17" i="13" a="1"/>
  <c r="AM17" i="13" s="1"/>
  <c r="AK20" i="13" a="1"/>
  <c r="AK20" i="13" s="1"/>
  <c r="AK23" i="13" a="1"/>
  <c r="AK23" i="13" s="1"/>
  <c r="AK12" i="13" a="1"/>
  <c r="AK12" i="13" s="1"/>
  <c r="AK15" i="13" a="1"/>
  <c r="AK15" i="13" s="1"/>
  <c r="AN17" i="13" a="1"/>
  <c r="AN17" i="13" s="1"/>
  <c r="AM21" i="13" a="1"/>
  <c r="AM21" i="13" s="1"/>
  <c r="AJ16" i="13" a="1"/>
  <c r="AJ16" i="13" s="1"/>
  <c r="AM20" i="13" a="1"/>
  <c r="AM20" i="13" s="1"/>
  <c r="AN22" i="13" a="1"/>
  <c r="AN22" i="13" s="1"/>
  <c r="AJ23" i="13" a="1"/>
  <c r="AJ23" i="13" s="1"/>
  <c r="AN12" i="13" a="1"/>
  <c r="AN12" i="13" s="1"/>
  <c r="AM15" i="13" a="1"/>
  <c r="AM15" i="13" s="1"/>
  <c r="AJ17" i="13" a="1"/>
  <c r="AJ17" i="13" s="1"/>
  <c r="AN21" i="13" a="1"/>
  <c r="AN21" i="13" s="1"/>
  <c r="AN20" i="13" a="1"/>
  <c r="AN20" i="13" s="1"/>
  <c r="AM22" i="13" a="1"/>
  <c r="AM22" i="13" s="1"/>
  <c r="AJ12" i="13" a="1"/>
  <c r="AJ12" i="13" s="1"/>
  <c r="AH12" i="13"/>
  <c r="Q17" i="8"/>
  <c r="K16" i="13" a="1"/>
  <c r="K16" i="13" s="1"/>
  <c r="O12" i="13"/>
  <c r="K12" i="13" a="1"/>
  <c r="K12" i="13" s="1"/>
  <c r="R12" i="13"/>
  <c r="S12" i="13"/>
  <c r="M12" i="13"/>
  <c r="U12" i="13"/>
  <c r="T12" i="13"/>
  <c r="K19" i="13" a="1"/>
  <c r="K19" i="13" s="1"/>
  <c r="O14" i="8"/>
  <c r="S19" i="8"/>
  <c r="F21" i="8"/>
  <c r="S3" i="8"/>
  <c r="A1" i="8"/>
  <c r="R1" i="8"/>
  <c r="G1" i="8"/>
  <c r="G2" i="8" s="1" a="1"/>
  <c r="G2" i="8" s="1"/>
  <c r="H1" i="8" a="1"/>
  <c r="H1" i="8" s="1"/>
  <c r="J2" i="8" s="1"/>
  <c r="H2" i="8" a="1"/>
  <c r="H2" i="8" s="1"/>
  <c r="K20" i="13" a="1"/>
  <c r="K20" i="13" s="1"/>
  <c r="A14" i="8"/>
  <c r="S16" i="8"/>
  <c r="B16" i="12"/>
  <c r="B14" i="13"/>
  <c r="D15" i="5"/>
  <c r="K18" i="13" a="1"/>
  <c r="K18" i="13" s="1"/>
  <c r="K17" i="13" a="1"/>
  <c r="K17" i="13" s="1"/>
  <c r="K21" i="13" a="1"/>
  <c r="K21" i="13" s="1"/>
  <c r="C12" i="11"/>
  <c r="P12" i="11"/>
  <c r="Z12" i="11"/>
  <c r="L12" i="13"/>
  <c r="B17" i="12"/>
  <c r="K15" i="13" a="1"/>
  <c r="K15" i="13" s="1"/>
  <c r="K22" i="13" a="1"/>
  <c r="K22" i="13" s="1"/>
  <c r="K23" i="13" a="1"/>
  <c r="K23" i="13" s="1"/>
  <c r="AE12" i="13"/>
  <c r="P14" i="8"/>
  <c r="AM19" i="13" l="1" a="1"/>
  <c r="AM19" i="13" s="1"/>
  <c r="AK18" i="13" a="1"/>
  <c r="AK18" i="13" s="1"/>
  <c r="AM18" i="13" a="1"/>
  <c r="AM18" i="13" s="1"/>
  <c r="I46" i="5"/>
  <c r="I47" i="5" s="1"/>
  <c r="O45" i="5"/>
  <c r="E54" i="6"/>
  <c r="O37" i="5"/>
  <c r="D37" i="12" s="1"/>
  <c r="O38" i="5"/>
  <c r="D36" i="12"/>
  <c r="E36" i="6"/>
  <c r="O39" i="5"/>
  <c r="D39" i="12" s="1"/>
  <c r="D41" i="12"/>
  <c r="O40" i="5"/>
  <c r="D58" i="12"/>
  <c r="D53" i="12"/>
  <c r="E59" i="6"/>
  <c r="D63" i="12"/>
  <c r="E43" i="6"/>
  <c r="E61" i="6"/>
  <c r="D62" i="12"/>
  <c r="E56" i="6"/>
  <c r="E52" i="6"/>
  <c r="D60" i="12"/>
  <c r="E44" i="6"/>
  <c r="E57" i="6"/>
  <c r="D64" i="12"/>
  <c r="K30" i="12"/>
  <c r="O30" i="12" a="1"/>
  <c r="O30" i="12" s="1"/>
  <c r="E30" i="6"/>
  <c r="D30" i="12"/>
  <c r="W1" i="8" a="1"/>
  <c r="W1" i="8" s="1"/>
  <c r="AD1" i="8" a="1"/>
  <c r="AD1" i="8" s="1"/>
  <c r="AC1" i="8" a="1"/>
  <c r="AC1" i="8" s="1"/>
  <c r="U3" i="8" a="1"/>
  <c r="U3" i="8" s="1"/>
  <c r="AE3" i="8" a="1"/>
  <c r="AE3" i="8" s="1"/>
  <c r="V1" i="8" a="1"/>
  <c r="V1" i="8" s="1"/>
  <c r="X3" i="8" a="1"/>
  <c r="X3" i="8" s="1"/>
  <c r="V3" i="8" a="1"/>
  <c r="V3" i="8" s="1"/>
  <c r="D1" i="8"/>
  <c r="E1" i="8" a="1"/>
  <c r="E1" i="8" s="1"/>
  <c r="Z1" i="8" a="1"/>
  <c r="Z1" i="8" s="1"/>
  <c r="U1" i="8" a="1"/>
  <c r="U1" i="8" s="1"/>
  <c r="X1" i="8" a="1"/>
  <c r="X1" i="8" s="1"/>
  <c r="AB3" i="8" a="1"/>
  <c r="AB3" i="8" s="1"/>
  <c r="AB1" i="8" a="1"/>
  <c r="AB1" i="8" s="1"/>
  <c r="E3" i="8" a="1"/>
  <c r="E3" i="8" s="1"/>
  <c r="AD3" i="8" a="1"/>
  <c r="AD3" i="8" s="1"/>
  <c r="AE1" i="8" a="1"/>
  <c r="AE1" i="8" s="1"/>
  <c r="Y1" i="8" a="1"/>
  <c r="Y1" i="8" s="1"/>
  <c r="F3" i="8"/>
  <c r="Z3" i="8" a="1"/>
  <c r="Z3" i="8" s="1"/>
  <c r="AF1" i="8" a="1"/>
  <c r="AF1" i="8" s="1"/>
  <c r="AA3" i="8" a="1"/>
  <c r="AA3" i="8" s="1"/>
  <c r="Y3" i="8" a="1"/>
  <c r="Y3" i="8" s="1"/>
  <c r="C1" i="8"/>
  <c r="AF3" i="8" a="1"/>
  <c r="AF3" i="8" s="1"/>
  <c r="W3" i="8" a="1"/>
  <c r="W3" i="8" s="1"/>
  <c r="AA1" i="8" a="1"/>
  <c r="AA1" i="8" s="1"/>
  <c r="AC3" i="8" a="1"/>
  <c r="AC3" i="8" s="1"/>
  <c r="P12" i="13"/>
  <c r="N12" i="13"/>
  <c r="J20" i="8"/>
  <c r="M20" i="8"/>
  <c r="D12" i="13"/>
  <c r="V12" i="13"/>
  <c r="O46" i="5" l="1"/>
  <c r="E46" i="6" s="1"/>
  <c r="D45" i="12"/>
  <c r="E45" i="6"/>
  <c r="E37" i="6"/>
  <c r="D38" i="12"/>
  <c r="E38" i="6"/>
  <c r="I48" i="5"/>
  <c r="O47" i="5"/>
  <c r="E39" i="6"/>
  <c r="E40" i="6"/>
  <c r="D40" i="12"/>
  <c r="Y30" i="12"/>
  <c r="N30" i="12"/>
  <c r="Q20" i="8"/>
  <c r="S22" i="8"/>
  <c r="F24" i="8"/>
  <c r="P20" i="8"/>
  <c r="D46" i="12" l="1"/>
  <c r="D47" i="12"/>
  <c r="E47" i="6"/>
  <c r="I49" i="5"/>
  <c r="O48" i="5"/>
  <c r="X30" i="12" a="1"/>
  <c r="X30" i="12" s="1"/>
  <c r="W30" i="12" a="1"/>
  <c r="W30" i="12" s="1"/>
  <c r="M23" i="8"/>
  <c r="J23" i="8"/>
  <c r="D48" i="12" l="1"/>
  <c r="E48" i="6"/>
  <c r="I50" i="5"/>
  <c r="O50" i="5" s="1"/>
  <c r="O49" i="5"/>
  <c r="U30" i="12"/>
  <c r="T30" i="12"/>
  <c r="V30" i="12" a="1"/>
  <c r="V30" i="12" s="1"/>
  <c r="Q23" i="8"/>
  <c r="P23" i="8"/>
  <c r="S25" i="8"/>
  <c r="F27" i="8"/>
  <c r="D49" i="12" l="1"/>
  <c r="E49" i="6"/>
  <c r="E50" i="6"/>
  <c r="D50" i="12"/>
  <c r="M26" i="8"/>
  <c r="S28" i="8" l="1"/>
  <c r="F30" i="8"/>
  <c r="Q26" i="8"/>
  <c r="P26" i="8"/>
  <c r="AZ15" i="6" l="1"/>
  <c r="AG15" i="6" s="1"/>
  <c r="AG11" i="6" s="1"/>
  <c r="BA15" i="6"/>
  <c r="AH15" i="6" s="1"/>
  <c r="AH11" i="6" s="1"/>
  <c r="AT15" i="6"/>
  <c r="R54" i="7" s="1" a="1"/>
  <c r="R54" i="7" s="1"/>
  <c r="AU15" i="6"/>
  <c r="S53" i="7" s="1" a="1"/>
  <c r="S53" i="7" s="1"/>
  <c r="AV15" i="6"/>
  <c r="T48" i="7" s="1" a="1"/>
  <c r="T48" i="7" s="1"/>
  <c r="AX15" i="6"/>
  <c r="AE15" i="6" s="1"/>
  <c r="AE11" i="6" s="1"/>
  <c r="AW15" i="6"/>
  <c r="AD15" i="6" s="1"/>
  <c r="AD11" i="6" s="1"/>
  <c r="AY15" i="6"/>
  <c r="AF15" i="6" s="1"/>
  <c r="AF11" i="6" s="1"/>
  <c r="C57" i="10"/>
  <c r="A57" i="10" s="1"/>
  <c r="C57" i="9"/>
  <c r="F57" i="9" s="1"/>
  <c r="C53" i="10"/>
  <c r="A53" i="10" s="1"/>
  <c r="C50" i="10"/>
  <c r="A50" i="10" s="1"/>
  <c r="C52" i="9"/>
  <c r="F52" i="9" s="1"/>
  <c r="C53" i="9"/>
  <c r="F53" i="9" s="1"/>
  <c r="C51" i="10"/>
  <c r="A51" i="10" s="1"/>
  <c r="C51" i="9"/>
  <c r="F51" i="9" s="1"/>
  <c r="C54" i="9"/>
  <c r="F54" i="9" s="1"/>
  <c r="C50" i="9"/>
  <c r="F50" i="9" s="1"/>
  <c r="C56" i="9"/>
  <c r="F56" i="9" s="1"/>
  <c r="C56" i="10"/>
  <c r="A56" i="10" s="1"/>
  <c r="C52" i="10"/>
  <c r="A52" i="10" s="1"/>
  <c r="C55" i="10"/>
  <c r="A55" i="10" s="1"/>
  <c r="C55" i="9"/>
  <c r="F55" i="9" s="1"/>
  <c r="C54" i="10"/>
  <c r="A54" i="10" s="1"/>
  <c r="V48" i="7" a="1"/>
  <c r="V48" i="7" s="1"/>
  <c r="W54" i="7" a="1"/>
  <c r="W54" i="7" s="1"/>
  <c r="V53" i="7" a="1"/>
  <c r="V53" i="7" s="1"/>
  <c r="X56" i="7" a="1"/>
  <c r="X56" i="7" s="1"/>
  <c r="X54" i="7" a="1"/>
  <c r="X54" i="7" s="1"/>
  <c r="X55" i="7" a="1"/>
  <c r="X55" i="7" s="1"/>
  <c r="U53" i="7" a="1"/>
  <c r="U53" i="7" s="1"/>
  <c r="W57" i="7" a="1"/>
  <c r="W57" i="7" s="1"/>
  <c r="W55" i="7" a="1"/>
  <c r="W55" i="7" s="1"/>
  <c r="W56" i="7" a="1"/>
  <c r="W56" i="7" s="1"/>
  <c r="V55" i="7" a="1"/>
  <c r="V55" i="7" s="1"/>
  <c r="V56" i="7" a="1"/>
  <c r="V56" i="7" s="1"/>
  <c r="U55" i="7" a="1"/>
  <c r="U55" i="7" s="1"/>
  <c r="Y56" i="7" a="1"/>
  <c r="Y56" i="7" s="1"/>
  <c r="Y57" i="7" a="1"/>
  <c r="Y57" i="7" s="1"/>
  <c r="Y54" i="7" a="1"/>
  <c r="Y54" i="7" s="1"/>
  <c r="W53" i="7" a="1"/>
  <c r="W53" i="7" s="1"/>
  <c r="Y55" i="7" a="1"/>
  <c r="Y55" i="7" s="1"/>
  <c r="Y53" i="7" a="1"/>
  <c r="Y53" i="7" s="1"/>
  <c r="X57" i="7" a="1"/>
  <c r="X57" i="7" s="1"/>
  <c r="V54" i="7" a="1"/>
  <c r="V54" i="7" s="1"/>
  <c r="V57" i="7" a="1"/>
  <c r="V57" i="7" s="1"/>
  <c r="X53" i="7" a="1"/>
  <c r="X53" i="7" s="1"/>
  <c r="U54" i="7" a="1"/>
  <c r="U54" i="7" s="1"/>
  <c r="U57" i="7" a="1"/>
  <c r="U57" i="7" s="1"/>
  <c r="U56" i="7" a="1"/>
  <c r="U56" i="7" s="1"/>
  <c r="X52" i="7" a="1"/>
  <c r="X52" i="7" s="1"/>
  <c r="U50" i="7" a="1"/>
  <c r="U50" i="7" s="1"/>
  <c r="U52" i="7" a="1"/>
  <c r="U52" i="7" s="1"/>
  <c r="Y50" i="7" a="1"/>
  <c r="Y50" i="7" s="1"/>
  <c r="W49" i="7" a="1"/>
  <c r="W49" i="7" s="1"/>
  <c r="Y52" i="7" a="1"/>
  <c r="Y52" i="7" s="1"/>
  <c r="U51" i="7" a="1"/>
  <c r="U51" i="7" s="1"/>
  <c r="Y51" i="7" a="1"/>
  <c r="Y51" i="7" s="1"/>
  <c r="R50" i="7" a="1"/>
  <c r="R50" i="7" s="1"/>
  <c r="X50" i="7" a="1"/>
  <c r="X50" i="7" s="1"/>
  <c r="V52" i="7" a="1"/>
  <c r="V52" i="7" s="1"/>
  <c r="W50" i="7" a="1"/>
  <c r="W50" i="7" s="1"/>
  <c r="Y49" i="7" a="1"/>
  <c r="Y49" i="7" s="1"/>
  <c r="W52" i="7" a="1"/>
  <c r="W52" i="7" s="1"/>
  <c r="V51" i="7" a="1"/>
  <c r="V51" i="7" s="1"/>
  <c r="X51" i="7" a="1"/>
  <c r="X51" i="7" s="1"/>
  <c r="V50" i="7" a="1"/>
  <c r="V50" i="7" s="1"/>
  <c r="X49" i="7" a="1"/>
  <c r="X49" i="7" s="1"/>
  <c r="V49" i="7" a="1"/>
  <c r="V49" i="7" s="1"/>
  <c r="U49" i="7" a="1"/>
  <c r="U49" i="7" s="1"/>
  <c r="W51" i="7" a="1"/>
  <c r="W51" i="7" s="1"/>
  <c r="V45" i="7" a="1"/>
  <c r="V45" i="7" s="1"/>
  <c r="W44" i="7" a="1"/>
  <c r="W44" i="7" s="1"/>
  <c r="Y47" i="7" a="1"/>
  <c r="Y47" i="7" s="1"/>
  <c r="U48" i="7" a="1"/>
  <c r="U48" i="7" s="1"/>
  <c r="U45" i="7" a="1"/>
  <c r="U45" i="7" s="1"/>
  <c r="U44" i="7" a="1"/>
  <c r="U44" i="7" s="1"/>
  <c r="U46" i="7" a="1"/>
  <c r="U46" i="7" s="1"/>
  <c r="V46" i="7" a="1"/>
  <c r="V46" i="7" s="1"/>
  <c r="Y48" i="7" a="1"/>
  <c r="Y48" i="7" s="1"/>
  <c r="X47" i="7" a="1"/>
  <c r="X47" i="7" s="1"/>
  <c r="Y45" i="7" a="1"/>
  <c r="Y45" i="7" s="1"/>
  <c r="U47" i="7" a="1"/>
  <c r="U47" i="7" s="1"/>
  <c r="W48" i="7" a="1"/>
  <c r="W48" i="7" s="1"/>
  <c r="W45" i="7" a="1"/>
  <c r="W45" i="7" s="1"/>
  <c r="W47" i="7" a="1"/>
  <c r="W47" i="7" s="1"/>
  <c r="W46" i="7" a="1"/>
  <c r="W46" i="7" s="1"/>
  <c r="X46" i="7" a="1"/>
  <c r="X46" i="7" s="1"/>
  <c r="X44" i="7" a="1"/>
  <c r="X44" i="7" s="1"/>
  <c r="X45" i="7" a="1"/>
  <c r="X45" i="7" s="1"/>
  <c r="V44" i="7" a="1"/>
  <c r="V44" i="7" s="1"/>
  <c r="Y44" i="7" a="1"/>
  <c r="Y44" i="7" s="1"/>
  <c r="Y46" i="7" a="1"/>
  <c r="Y46" i="7" s="1"/>
  <c r="V47" i="7" a="1"/>
  <c r="V47" i="7" s="1"/>
  <c r="X48" i="7" a="1"/>
  <c r="X48" i="7" s="1"/>
  <c r="A10" i="9"/>
  <c r="U37" i="7" a="1"/>
  <c r="U37" i="7" s="1"/>
  <c r="X33" i="7" a="1"/>
  <c r="X33" i="7" s="1"/>
  <c r="W33" i="7" a="1"/>
  <c r="W33" i="7" s="1"/>
  <c r="Y24" i="7" a="1"/>
  <c r="Y24" i="7" s="1"/>
  <c r="V31" i="7" a="1"/>
  <c r="V31" i="7" s="1"/>
  <c r="X18" i="7" a="1"/>
  <c r="X18" i="7" s="1"/>
  <c r="X35" i="7" a="1"/>
  <c r="X35" i="7" s="1"/>
  <c r="V26" i="7" a="1"/>
  <c r="V26" i="7" s="1"/>
  <c r="W25" i="7" a="1"/>
  <c r="W25" i="7" s="1"/>
  <c r="Y37" i="7" a="1"/>
  <c r="Y37" i="7" s="1"/>
  <c r="W23" i="7" a="1"/>
  <c r="W23" i="7" s="1"/>
  <c r="V22" i="7" a="1"/>
  <c r="V22" i="7" s="1"/>
  <c r="U39" i="7" a="1"/>
  <c r="U39" i="7" s="1"/>
  <c r="V32" i="7" a="1"/>
  <c r="V32" i="7" s="1"/>
  <c r="U23" i="7" a="1"/>
  <c r="U23" i="7" s="1"/>
  <c r="V34" i="7" a="1"/>
  <c r="V34" i="7" s="1"/>
  <c r="X41" i="7" a="1"/>
  <c r="X41" i="7" s="1"/>
  <c r="U16" i="7" a="1"/>
  <c r="U16" i="7" s="1"/>
  <c r="X19" i="7" a="1"/>
  <c r="X19" i="7" s="1"/>
  <c r="Y43" i="7" a="1"/>
  <c r="Y43" i="7" s="1"/>
  <c r="X32" i="7" a="1"/>
  <c r="X32" i="7" s="1"/>
  <c r="U22" i="7" a="1"/>
  <c r="U22" i="7" s="1"/>
  <c r="V17" i="7" a="1"/>
  <c r="V17" i="7" s="1"/>
  <c r="Y27" i="7" a="1"/>
  <c r="Y27" i="7" s="1"/>
  <c r="U42" i="7" a="1"/>
  <c r="U42" i="7" s="1"/>
  <c r="U32" i="7" a="1"/>
  <c r="U32" i="7" s="1"/>
  <c r="Y40" i="7" a="1"/>
  <c r="Y40" i="7" s="1"/>
  <c r="Y20" i="7" a="1"/>
  <c r="Y20" i="7" s="1"/>
  <c r="Y28" i="7" a="1"/>
  <c r="Y28" i="7" s="1"/>
  <c r="U38" i="7" a="1"/>
  <c r="U38" i="7" s="1"/>
  <c r="Y18" i="7" a="1"/>
  <c r="Y18" i="7" s="1"/>
  <c r="X23" i="7" a="1"/>
  <c r="X23" i="7" s="1"/>
  <c r="V33" i="7" a="1"/>
  <c r="V33" i="7" s="1"/>
  <c r="W20" i="7" a="1"/>
  <c r="W20" i="7" s="1"/>
  <c r="X25" i="7" a="1"/>
  <c r="X25" i="7" s="1"/>
  <c r="W27" i="7" a="1"/>
  <c r="W27" i="7" s="1"/>
  <c r="Y25" i="7" a="1"/>
  <c r="Y25" i="7" s="1"/>
  <c r="V35" i="7" a="1"/>
  <c r="V35" i="7" s="1"/>
  <c r="V24" i="7" a="1"/>
  <c r="V24" i="7" s="1"/>
  <c r="U24" i="7" a="1"/>
  <c r="U24" i="7" s="1"/>
  <c r="X22" i="7" a="1"/>
  <c r="X22" i="7" s="1"/>
  <c r="W29" i="7" a="1"/>
  <c r="W29" i="7" s="1"/>
  <c r="W21" i="7" a="1"/>
  <c r="W21" i="7" s="1"/>
  <c r="X42" i="7" a="1"/>
  <c r="X42" i="7" s="1"/>
  <c r="Y39" i="7" a="1"/>
  <c r="Y39" i="7" s="1"/>
  <c r="W19" i="7" a="1"/>
  <c r="W19" i="7" s="1"/>
  <c r="Y34" i="7" a="1"/>
  <c r="Y34" i="7" s="1"/>
  <c r="V19" i="7" a="1"/>
  <c r="V19" i="7" s="1"/>
  <c r="W42" i="7" a="1"/>
  <c r="W42" i="7" s="1"/>
  <c r="V40" i="7" a="1"/>
  <c r="V40" i="7" s="1"/>
  <c r="V43" i="7" a="1"/>
  <c r="V43" i="7" s="1"/>
  <c r="Y31" i="7" a="1"/>
  <c r="Y31" i="7" s="1"/>
  <c r="U34" i="7" a="1"/>
  <c r="U34" i="7" s="1"/>
  <c r="V36" i="7" a="1"/>
  <c r="V36" i="7" s="1"/>
  <c r="Y35" i="7" a="1"/>
  <c r="Y35" i="7" s="1"/>
  <c r="V41" i="7" a="1"/>
  <c r="V41" i="7" s="1"/>
  <c r="X43" i="7" a="1"/>
  <c r="X43" i="7" s="1"/>
  <c r="V30" i="7" a="1"/>
  <c r="V30" i="7" s="1"/>
  <c r="W30" i="7" a="1"/>
  <c r="W30" i="7" s="1"/>
  <c r="U40" i="7" a="1"/>
  <c r="U40" i="7" s="1"/>
  <c r="V25" i="7" a="1"/>
  <c r="V25" i="7" s="1"/>
  <c r="W37" i="7" a="1"/>
  <c r="W37" i="7" s="1"/>
  <c r="Y23" i="7" a="1"/>
  <c r="Y23" i="7" s="1"/>
  <c r="S28" i="7" a="1"/>
  <c r="S28" i="7" s="1"/>
  <c r="X26" i="7" a="1"/>
  <c r="X26" i="7" s="1"/>
  <c r="S21" i="7" a="1"/>
  <c r="S21" i="7" s="1"/>
  <c r="S24" i="7" a="1"/>
  <c r="S24" i="7" s="1"/>
  <c r="Y42" i="7" a="1"/>
  <c r="Y42" i="7" s="1"/>
  <c r="W40" i="7" a="1"/>
  <c r="W40" i="7" s="1"/>
  <c r="U43" i="7" a="1"/>
  <c r="U43" i="7" s="1"/>
  <c r="Y41" i="7" a="1"/>
  <c r="Y41" i="7" s="1"/>
  <c r="W39" i="7" a="1"/>
  <c r="W39" i="7" s="1"/>
  <c r="X29" i="7" a="1"/>
  <c r="X29" i="7" s="1"/>
  <c r="W16" i="7" a="1"/>
  <c r="W16" i="7" s="1"/>
  <c r="S19" i="7" a="1"/>
  <c r="S19" i="7" s="1"/>
  <c r="V18" i="7" a="1"/>
  <c r="V18" i="7" s="1"/>
  <c r="X21" i="7" a="1"/>
  <c r="X21" i="7" s="1"/>
  <c r="V29" i="7" a="1"/>
  <c r="V29" i="7" s="1"/>
  <c r="S36" i="7" a="1"/>
  <c r="S36" i="7" s="1"/>
  <c r="Y17" i="7" a="1"/>
  <c r="Y17" i="7" s="1"/>
  <c r="W36" i="7" a="1"/>
  <c r="W36" i="7" s="1"/>
  <c r="U18" i="7" a="1"/>
  <c r="U18" i="7" s="1"/>
  <c r="U17" i="7" a="1"/>
  <c r="U17" i="7" s="1"/>
  <c r="S31" i="7" a="1"/>
  <c r="S31" i="7" s="1"/>
  <c r="U41" i="7" a="1"/>
  <c r="U41" i="7" s="1"/>
  <c r="Y36" i="7" a="1"/>
  <c r="Y36" i="7" s="1"/>
  <c r="U21" i="7" a="1"/>
  <c r="U21" i="7" s="1"/>
  <c r="W26" i="7" a="1"/>
  <c r="W26" i="7" s="1"/>
  <c r="Y16" i="7" a="1"/>
  <c r="Y16" i="7" s="1"/>
  <c r="V20" i="7" a="1"/>
  <c r="V20" i="7" s="1"/>
  <c r="Y21" i="7" a="1"/>
  <c r="Y21" i="7" s="1"/>
  <c r="U30" i="7" a="1"/>
  <c r="U30" i="7" s="1"/>
  <c r="S16" i="7" a="1"/>
  <c r="S16" i="7" s="1"/>
  <c r="Y38" i="7" a="1"/>
  <c r="Y38" i="7" s="1"/>
  <c r="V27" i="7" a="1"/>
  <c r="V27" i="7" s="1"/>
  <c r="W43" i="7" a="1"/>
  <c r="W43" i="7" s="1"/>
  <c r="W41" i="7" a="1"/>
  <c r="W41" i="7" s="1"/>
  <c r="U25" i="7" a="1"/>
  <c r="U25" i="7" s="1"/>
  <c r="W28" i="7" a="1"/>
  <c r="W28" i="7" s="1"/>
  <c r="X39" i="7" a="1"/>
  <c r="X39" i="7" s="1"/>
  <c r="S35" i="7" a="1"/>
  <c r="S35" i="7" s="1"/>
  <c r="Y19" i="7" a="1"/>
  <c r="Y19" i="7" s="1"/>
  <c r="X36" i="7" a="1"/>
  <c r="X36" i="7" s="1"/>
  <c r="U27" i="7" a="1"/>
  <c r="U27" i="7" s="1"/>
  <c r="S25" i="7" a="1"/>
  <c r="S25" i="7" s="1"/>
  <c r="W17" i="7" a="1"/>
  <c r="W17" i="7" s="1"/>
  <c r="Y33" i="7" a="1"/>
  <c r="Y33" i="7" s="1"/>
  <c r="W31" i="7" a="1"/>
  <c r="W31" i="7" s="1"/>
  <c r="V38" i="7" a="1"/>
  <c r="V38" i="7" s="1"/>
  <c r="W22" i="7" a="1"/>
  <c r="W22" i="7" s="1"/>
  <c r="W38" i="7" a="1"/>
  <c r="W38" i="7" s="1"/>
  <c r="U26" i="7" a="1"/>
  <c r="U26" i="7" s="1"/>
  <c r="S30" i="7" a="1"/>
  <c r="S30" i="7" s="1"/>
  <c r="X40" i="7" a="1"/>
  <c r="X40" i="7" s="1"/>
  <c r="X34" i="7" a="1"/>
  <c r="X34" i="7" s="1"/>
  <c r="W24" i="7" a="1"/>
  <c r="W24" i="7" s="1"/>
  <c r="U33" i="7" a="1"/>
  <c r="U33" i="7" s="1"/>
  <c r="X37" i="7" a="1"/>
  <c r="X37" i="7" s="1"/>
  <c r="W18" i="7" a="1"/>
  <c r="W18" i="7" s="1"/>
  <c r="V21" i="7" a="1"/>
  <c r="V21" i="7" s="1"/>
  <c r="V37" i="7" a="1"/>
  <c r="V37" i="7" s="1"/>
  <c r="Y30" i="7" a="1"/>
  <c r="Y30" i="7" s="1"/>
  <c r="R30" i="7" a="1"/>
  <c r="R30" i="7" s="1"/>
  <c r="V42" i="7" a="1"/>
  <c r="V42" i="7" s="1"/>
  <c r="U28" i="7" a="1"/>
  <c r="U28" i="7" s="1"/>
  <c r="S18" i="7" a="1"/>
  <c r="S18" i="7" s="1"/>
  <c r="U31" i="7" a="1"/>
  <c r="U31" i="7" s="1"/>
  <c r="Y32" i="7" a="1"/>
  <c r="Y32" i="7" s="1"/>
  <c r="U35" i="7" a="1"/>
  <c r="U35" i="7" s="1"/>
  <c r="X24" i="7" a="1"/>
  <c r="X24" i="7" s="1"/>
  <c r="U20" i="7" a="1"/>
  <c r="U20" i="7" s="1"/>
  <c r="V23" i="7" a="1"/>
  <c r="V23" i="7" s="1"/>
  <c r="Y22" i="7" a="1"/>
  <c r="Y22" i="7" s="1"/>
  <c r="Y26" i="7" a="1"/>
  <c r="Y26" i="7" s="1"/>
  <c r="X38" i="7" a="1"/>
  <c r="X38" i="7" s="1"/>
  <c r="U29" i="7" a="1"/>
  <c r="U29" i="7" s="1"/>
  <c r="R38" i="7" a="1"/>
  <c r="R38" i="7" s="1"/>
  <c r="X30" i="7" a="1"/>
  <c r="X30" i="7" s="1"/>
  <c r="V28" i="7" a="1"/>
  <c r="V28" i="7" s="1"/>
  <c r="V16" i="7" a="1"/>
  <c r="V16" i="7" s="1"/>
  <c r="Y29" i="7" a="1"/>
  <c r="Y29" i="7" s="1"/>
  <c r="X31" i="7" a="1"/>
  <c r="X31" i="7" s="1"/>
  <c r="R37" i="7" a="1"/>
  <c r="R37" i="7" s="1"/>
  <c r="X16" i="7" a="1"/>
  <c r="X16" i="7" s="1"/>
  <c r="W34" i="7" a="1"/>
  <c r="W34" i="7" s="1"/>
  <c r="X27" i="7" a="1"/>
  <c r="X27" i="7" s="1"/>
  <c r="U36" i="7" a="1"/>
  <c r="U36" i="7" s="1"/>
  <c r="W32" i="7" a="1"/>
  <c r="W32" i="7" s="1"/>
  <c r="V39" i="7" a="1"/>
  <c r="V39" i="7" s="1"/>
  <c r="R20" i="7" a="1"/>
  <c r="R20" i="7" s="1"/>
  <c r="W35" i="7" a="1"/>
  <c r="W35" i="7" s="1"/>
  <c r="R16" i="7" a="1"/>
  <c r="R16" i="7" s="1"/>
  <c r="X20" i="7" a="1"/>
  <c r="X20" i="7" s="1"/>
  <c r="U19" i="7" a="1"/>
  <c r="U19" i="7" s="1"/>
  <c r="X17" i="7" a="1"/>
  <c r="X17" i="7" s="1"/>
  <c r="S37" i="7" a="1"/>
  <c r="S37" i="7" s="1"/>
  <c r="R35" i="7" a="1"/>
  <c r="R35" i="7" s="1"/>
  <c r="X28" i="7" a="1"/>
  <c r="X28" i="7" s="1"/>
  <c r="M29" i="8"/>
  <c r="J29" i="8"/>
  <c r="C17" i="9"/>
  <c r="F17" i="9" s="1"/>
  <c r="C16" i="9"/>
  <c r="F16" i="9" s="1"/>
  <c r="C16" i="10"/>
  <c r="A16" i="10" s="1"/>
  <c r="C17" i="10"/>
  <c r="A17" i="10" s="1"/>
  <c r="A15" i="9"/>
  <c r="M12" i="6" a="1"/>
  <c r="M12" i="6" s="1"/>
  <c r="C1" i="9"/>
  <c r="F1" i="9" s="1"/>
  <c r="C1" i="10"/>
  <c r="A1" i="10" s="1"/>
  <c r="AQ15" i="6"/>
  <c r="O24" i="7" s="1" a="1"/>
  <c r="O24" i="7" s="1"/>
  <c r="AS15" i="6"/>
  <c r="Q52" i="7" s="1" a="1"/>
  <c r="Q52" i="7" s="1"/>
  <c r="AN15" i="6"/>
  <c r="AL15" i="6"/>
  <c r="AP15" i="6"/>
  <c r="N34" i="7" s="1" a="1"/>
  <c r="N34" i="7" s="1"/>
  <c r="AO15" i="6"/>
  <c r="M32" i="7" s="1" a="1"/>
  <c r="M32" i="7" s="1"/>
  <c r="AR15" i="6"/>
  <c r="P39" i="7" s="1" a="1"/>
  <c r="P39" i="7" s="1"/>
  <c r="AM15" i="6"/>
  <c r="AK15" i="6"/>
  <c r="R48" i="7" l="1" a="1"/>
  <c r="R48" i="7" s="1"/>
  <c r="R18" i="7" a="1"/>
  <c r="R18" i="7" s="1"/>
  <c r="R42" i="7" a="1"/>
  <c r="R42" i="7" s="1"/>
  <c r="R28" i="7" a="1"/>
  <c r="R28" i="7" s="1"/>
  <c r="R43" i="7" a="1"/>
  <c r="R43" i="7" s="1"/>
  <c r="R33" i="7" a="1"/>
  <c r="R33" i="7" s="1"/>
  <c r="R24" i="7" a="1"/>
  <c r="R24" i="7" s="1"/>
  <c r="R49" i="7" a="1"/>
  <c r="R49" i="7" s="1"/>
  <c r="R32" i="7" a="1"/>
  <c r="R32" i="7" s="1"/>
  <c r="R39" i="7" a="1"/>
  <c r="R39" i="7" s="1"/>
  <c r="R23" i="7" a="1"/>
  <c r="R23" i="7" s="1"/>
  <c r="R26" i="7" a="1"/>
  <c r="R26" i="7" s="1"/>
  <c r="R31" i="7" a="1"/>
  <c r="R31" i="7" s="1"/>
  <c r="R25" i="7" a="1"/>
  <c r="R25" i="7" s="1"/>
  <c r="R29" i="7" a="1"/>
  <c r="R29" i="7" s="1"/>
  <c r="R36" i="7" a="1"/>
  <c r="R36" i="7" s="1"/>
  <c r="R34" i="7" a="1"/>
  <c r="R34" i="7" s="1"/>
  <c r="R44" i="7" a="1"/>
  <c r="R44" i="7" s="1"/>
  <c r="R21" i="7" a="1"/>
  <c r="R21" i="7" s="1"/>
  <c r="R22" i="7" a="1"/>
  <c r="R22" i="7" s="1"/>
  <c r="R19" i="7" a="1"/>
  <c r="R19" i="7" s="1"/>
  <c r="R40" i="7" a="1"/>
  <c r="R40" i="7" s="1"/>
  <c r="R46" i="7" a="1"/>
  <c r="R46" i="7" s="1"/>
  <c r="R45" i="7" a="1"/>
  <c r="R45" i="7" s="1"/>
  <c r="R47" i="7" a="1"/>
  <c r="R47" i="7" s="1"/>
  <c r="R17" i="7" a="1"/>
  <c r="R17" i="7" s="1"/>
  <c r="R41" i="7" a="1"/>
  <c r="R41" i="7" s="1"/>
  <c r="R27" i="7" a="1"/>
  <c r="R27" i="7" s="1"/>
  <c r="R51" i="7" a="1"/>
  <c r="R51" i="7" s="1"/>
  <c r="T21" i="7" a="1"/>
  <c r="T21" i="7" s="1"/>
  <c r="T31" i="7" a="1"/>
  <c r="T31" i="7" s="1"/>
  <c r="R56" i="7" a="1"/>
  <c r="R56" i="7" s="1"/>
  <c r="R52" i="7" a="1"/>
  <c r="R52" i="7" s="1"/>
  <c r="R55" i="7" a="1"/>
  <c r="R55" i="7" s="1"/>
  <c r="R57" i="7" a="1"/>
  <c r="R57" i="7" s="1"/>
  <c r="T26" i="7" a="1"/>
  <c r="T26" i="7" s="1"/>
  <c r="S40" i="7" a="1"/>
  <c r="S40" i="7" s="1"/>
  <c r="S42" i="7" a="1"/>
  <c r="S42" i="7" s="1"/>
  <c r="S26" i="7" a="1"/>
  <c r="S26" i="7" s="1"/>
  <c r="S20" i="7" a="1"/>
  <c r="S20" i="7" s="1"/>
  <c r="S39" i="7" a="1"/>
  <c r="S39" i="7" s="1"/>
  <c r="S29" i="7" a="1"/>
  <c r="S29" i="7" s="1"/>
  <c r="S22" i="7" a="1"/>
  <c r="S22" i="7" s="1"/>
  <c r="S41" i="7" a="1"/>
  <c r="S41" i="7" s="1"/>
  <c r="S38" i="7" a="1"/>
  <c r="S38" i="7" s="1"/>
  <c r="S32" i="7" a="1"/>
  <c r="S32" i="7" s="1"/>
  <c r="S43" i="7" a="1"/>
  <c r="S43" i="7" s="1"/>
  <c r="S17" i="7" a="1"/>
  <c r="S17" i="7" s="1"/>
  <c r="T27" i="7" a="1"/>
  <c r="T27" i="7" s="1"/>
  <c r="T33" i="7" a="1"/>
  <c r="T33" i="7" s="1"/>
  <c r="T35" i="7" a="1"/>
  <c r="T35" i="7" s="1"/>
  <c r="T30" i="7" a="1"/>
  <c r="T30" i="7" s="1"/>
  <c r="T40" i="7" a="1"/>
  <c r="T40" i="7" s="1"/>
  <c r="T37" i="7" a="1"/>
  <c r="T37" i="7" s="1"/>
  <c r="T18" i="7" a="1"/>
  <c r="T18" i="7" s="1"/>
  <c r="T25" i="7" a="1"/>
  <c r="T25" i="7" s="1"/>
  <c r="T41" i="7" a="1"/>
  <c r="T41" i="7" s="1"/>
  <c r="T22" i="7" a="1"/>
  <c r="T22" i="7" s="1"/>
  <c r="T42" i="7" a="1"/>
  <c r="T42" i="7" s="1"/>
  <c r="T34" i="7" a="1"/>
  <c r="T34" i="7" s="1"/>
  <c r="S23" i="7" a="1"/>
  <c r="S23" i="7" s="1"/>
  <c r="S51" i="7" a="1"/>
  <c r="S51" i="7" s="1"/>
  <c r="S34" i="7" a="1"/>
  <c r="S34" i="7" s="1"/>
  <c r="S27" i="7" a="1"/>
  <c r="S27" i="7" s="1"/>
  <c r="S33" i="7" a="1"/>
  <c r="S33" i="7" s="1"/>
  <c r="S56" i="7" a="1"/>
  <c r="S56" i="7" s="1"/>
  <c r="T36" i="7" a="1"/>
  <c r="T36" i="7" s="1"/>
  <c r="T23" i="7" a="1"/>
  <c r="T23" i="7" s="1"/>
  <c r="T45" i="7" a="1"/>
  <c r="T45" i="7" s="1"/>
  <c r="T17" i="7" a="1"/>
  <c r="T17" i="7" s="1"/>
  <c r="T29" i="7" a="1"/>
  <c r="T29" i="7" s="1"/>
  <c r="T39" i="7" a="1"/>
  <c r="T39" i="7" s="1"/>
  <c r="T16" i="7" a="1"/>
  <c r="T16" i="7" s="1"/>
  <c r="T32" i="7" a="1"/>
  <c r="T32" i="7" s="1"/>
  <c r="T19" i="7" a="1"/>
  <c r="T19" i="7" s="1"/>
  <c r="T46" i="7" a="1"/>
  <c r="T46" i="7" s="1"/>
  <c r="T38" i="7" a="1"/>
  <c r="T38" i="7" s="1"/>
  <c r="T28" i="7" a="1"/>
  <c r="T28" i="7" s="1"/>
  <c r="T20" i="7" a="1"/>
  <c r="T20" i="7" s="1"/>
  <c r="T24" i="7" a="1"/>
  <c r="T24" i="7" s="1"/>
  <c r="T47" i="7" a="1"/>
  <c r="T47" i="7" s="1"/>
  <c r="T44" i="7" a="1"/>
  <c r="T44" i="7" s="1"/>
  <c r="T43" i="7" a="1"/>
  <c r="T43" i="7" s="1"/>
  <c r="T51" i="7" a="1"/>
  <c r="T51" i="7" s="1"/>
  <c r="T50" i="7" a="1"/>
  <c r="T50" i="7" s="1"/>
  <c r="T53" i="7" a="1"/>
  <c r="T53" i="7" s="1"/>
  <c r="T56" i="7" a="1"/>
  <c r="T56" i="7" s="1"/>
  <c r="T55" i="7" a="1"/>
  <c r="T55" i="7" s="1"/>
  <c r="T49" i="7" a="1"/>
  <c r="T49" i="7" s="1"/>
  <c r="T57" i="7" a="1"/>
  <c r="T57" i="7" s="1"/>
  <c r="T54" i="7" a="1"/>
  <c r="T54" i="7" s="1"/>
  <c r="T52" i="7" a="1"/>
  <c r="T52" i="7" s="1"/>
  <c r="S55" i="7" a="1"/>
  <c r="S55" i="7" s="1"/>
  <c r="R53" i="7" a="1"/>
  <c r="R53" i="7" s="1"/>
  <c r="S57" i="7" a="1"/>
  <c r="S57" i="7" s="1"/>
  <c r="S48" i="7" a="1"/>
  <c r="S48" i="7" s="1"/>
  <c r="S49" i="7" a="1"/>
  <c r="S49" i="7" s="1"/>
  <c r="S50" i="7" a="1"/>
  <c r="S50" i="7" s="1"/>
  <c r="S45" i="7" a="1"/>
  <c r="S45" i="7" s="1"/>
  <c r="S54" i="7" a="1"/>
  <c r="S54" i="7" s="1"/>
  <c r="S46" i="7" a="1"/>
  <c r="S46" i="7" s="1"/>
  <c r="S47" i="7" a="1"/>
  <c r="S47" i="7" s="1"/>
  <c r="S44" i="7" a="1"/>
  <c r="S44" i="7" s="1"/>
  <c r="S52" i="7" a="1"/>
  <c r="S52" i="7" s="1"/>
  <c r="Q29" i="7" a="1"/>
  <c r="Q29" i="7" s="1"/>
  <c r="Q27" i="7" a="1"/>
  <c r="Q27" i="7" s="1"/>
  <c r="Q32" i="7" a="1"/>
  <c r="Q32" i="7" s="1"/>
  <c r="Q51" i="7" a="1"/>
  <c r="Q51" i="7" s="1"/>
  <c r="O48" i="7" a="1"/>
  <c r="O48" i="7" s="1"/>
  <c r="N49" i="7" a="1"/>
  <c r="N49" i="7" s="1"/>
  <c r="M47" i="7" a="1"/>
  <c r="M47" i="7" s="1"/>
  <c r="M49" i="7" a="1"/>
  <c r="M49" i="7" s="1"/>
  <c r="AC15" i="6"/>
  <c r="AC11" i="6" s="1"/>
  <c r="T1" i="7" a="1"/>
  <c r="T1" i="7" s="1"/>
  <c r="Q54" i="7" a="1"/>
  <c r="Q54" i="7" s="1"/>
  <c r="AB15" i="6"/>
  <c r="AB11" i="6" s="1"/>
  <c r="S1" i="7" a="1"/>
  <c r="S1" i="7" s="1"/>
  <c r="P48" i="7" a="1"/>
  <c r="P48" i="7" s="1"/>
  <c r="M57" i="7" a="1"/>
  <c r="M57" i="7" s="1"/>
  <c r="Q17" i="7" a="1"/>
  <c r="Q17" i="7" s="1"/>
  <c r="O57" i="7" a="1"/>
  <c r="O57" i="7" s="1"/>
  <c r="Z15" i="6"/>
  <c r="Z11" i="6" s="1"/>
  <c r="Q1" i="7" a="1"/>
  <c r="Q1" i="7" s="1"/>
  <c r="Q26" i="7" a="1"/>
  <c r="Q26" i="7" s="1"/>
  <c r="Q31" i="7" a="1"/>
  <c r="Q31" i="7" s="1"/>
  <c r="Q37" i="7" a="1"/>
  <c r="Q37" i="7" s="1"/>
  <c r="Q21" i="7" a="1"/>
  <c r="Q21" i="7" s="1"/>
  <c r="Q20" i="7" a="1"/>
  <c r="Q20" i="7" s="1"/>
  <c r="Q41" i="7" a="1"/>
  <c r="Q41" i="7" s="1"/>
  <c r="P46" i="7" a="1"/>
  <c r="P46" i="7" s="1"/>
  <c r="P45" i="7" a="1"/>
  <c r="P45" i="7" s="1"/>
  <c r="Q47" i="7" a="1"/>
  <c r="Q47" i="7" s="1"/>
  <c r="P44" i="7" a="1"/>
  <c r="P44" i="7" s="1"/>
  <c r="N50" i="7" a="1"/>
  <c r="N50" i="7" s="1"/>
  <c r="N51" i="7" a="1"/>
  <c r="N51" i="7" s="1"/>
  <c r="P49" i="7" a="1"/>
  <c r="P49" i="7" s="1"/>
  <c r="O52" i="7" a="1"/>
  <c r="O52" i="7" s="1"/>
  <c r="Q55" i="7" a="1"/>
  <c r="Q55" i="7" s="1"/>
  <c r="M55" i="7" a="1"/>
  <c r="M55" i="7" s="1"/>
  <c r="O53" i="7" a="1"/>
  <c r="O53" i="7" s="1"/>
  <c r="P53" i="7" a="1"/>
  <c r="P53" i="7" s="1"/>
  <c r="P57" i="7" a="1"/>
  <c r="P57" i="7" s="1"/>
  <c r="Q38" i="7" a="1"/>
  <c r="Q38" i="7" s="1"/>
  <c r="Q33" i="7" a="1"/>
  <c r="Q33" i="7" s="1"/>
  <c r="Q24" i="7" a="1"/>
  <c r="Q24" i="7" s="1"/>
  <c r="O44" i="7" a="1"/>
  <c r="O44" i="7" s="1"/>
  <c r="M44" i="7" a="1"/>
  <c r="M44" i="7" s="1"/>
  <c r="Q49" i="7" a="1"/>
  <c r="Q49" i="7" s="1"/>
  <c r="N56" i="7" a="1"/>
  <c r="N56" i="7" s="1"/>
  <c r="O55" i="7" a="1"/>
  <c r="O55" i="7" s="1"/>
  <c r="M53" i="7" a="1"/>
  <c r="M53" i="7" s="1"/>
  <c r="Q35" i="7" a="1"/>
  <c r="Q35" i="7" s="1"/>
  <c r="Q34" i="7" a="1"/>
  <c r="Q34" i="7" s="1"/>
  <c r="N46" i="7" a="1"/>
  <c r="N46" i="7" s="1"/>
  <c r="Q45" i="7" a="1"/>
  <c r="Q45" i="7" s="1"/>
  <c r="Q48" i="7" a="1"/>
  <c r="Q48" i="7" s="1"/>
  <c r="Q50" i="7" a="1"/>
  <c r="Q50" i="7" s="1"/>
  <c r="M50" i="7" a="1"/>
  <c r="M50" i="7" s="1"/>
  <c r="P52" i="7" a="1"/>
  <c r="P52" i="7" s="1"/>
  <c r="M54" i="7" a="1"/>
  <c r="M54" i="7" s="1"/>
  <c r="N53" i="7" a="1"/>
  <c r="N53" i="7" s="1"/>
  <c r="Q56" i="7" a="1"/>
  <c r="Q56" i="7" s="1"/>
  <c r="Q40" i="7" a="1"/>
  <c r="Q40" i="7" s="1"/>
  <c r="Q19" i="7" a="1"/>
  <c r="Q19" i="7" s="1"/>
  <c r="Q36" i="7" a="1"/>
  <c r="Q36" i="7" s="1"/>
  <c r="Q28" i="7" a="1"/>
  <c r="Q28" i="7" s="1"/>
  <c r="Q42" i="7" a="1"/>
  <c r="Q42" i="7" s="1"/>
  <c r="Q22" i="7" a="1"/>
  <c r="Q22" i="7" s="1"/>
  <c r="Q30" i="7" a="1"/>
  <c r="Q30" i="7" s="1"/>
  <c r="N48" i="7" a="1"/>
  <c r="N48" i="7" s="1"/>
  <c r="Q44" i="7" a="1"/>
  <c r="Q44" i="7" s="1"/>
  <c r="P47" i="7" a="1"/>
  <c r="P47" i="7" s="1"/>
  <c r="O49" i="7" a="1"/>
  <c r="O49" i="7" s="1"/>
  <c r="N52" i="7" a="1"/>
  <c r="N52" i="7" s="1"/>
  <c r="P50" i="7" a="1"/>
  <c r="P50" i="7" s="1"/>
  <c r="P51" i="7" a="1"/>
  <c r="P51" i="7" s="1"/>
  <c r="N57" i="7" a="1"/>
  <c r="N57" i="7" s="1"/>
  <c r="N54" i="7" a="1"/>
  <c r="N54" i="7" s="1"/>
  <c r="Q53" i="7" a="1"/>
  <c r="Q53" i="7" s="1"/>
  <c r="Q25" i="7" a="1"/>
  <c r="Q25" i="7" s="1"/>
  <c r="M48" i="7" a="1"/>
  <c r="M48" i="7" s="1"/>
  <c r="N45" i="7" a="1"/>
  <c r="N45" i="7" s="1"/>
  <c r="O46" i="7" a="1"/>
  <c r="O46" i="7" s="1"/>
  <c r="O47" i="7" a="1"/>
  <c r="O47" i="7" s="1"/>
  <c r="O45" i="7" a="1"/>
  <c r="O45" i="7" s="1"/>
  <c r="M51" i="7" a="1"/>
  <c r="M51" i="7" s="1"/>
  <c r="Q57" i="7" a="1"/>
  <c r="Q57" i="7" s="1"/>
  <c r="M45" i="7" a="1"/>
  <c r="M45" i="7" s="1"/>
  <c r="AA15" i="6"/>
  <c r="AA11" i="6" s="1"/>
  <c r="R1" i="7" a="1"/>
  <c r="R1" i="7" s="1"/>
  <c r="Q23" i="7" a="1"/>
  <c r="Q23" i="7" s="1"/>
  <c r="Q18" i="7" a="1"/>
  <c r="Q18" i="7" s="1"/>
  <c r="N47" i="7" a="1"/>
  <c r="N47" i="7" s="1"/>
  <c r="Q46" i="7" a="1"/>
  <c r="Q46" i="7" s="1"/>
  <c r="O51" i="7" a="1"/>
  <c r="O51" i="7" s="1"/>
  <c r="O56" i="7" a="1"/>
  <c r="O56" i="7" s="1"/>
  <c r="M56" i="7" a="1"/>
  <c r="M56" i="7" s="1"/>
  <c r="P54" i="7" a="1"/>
  <c r="P54" i="7" s="1"/>
  <c r="P56" i="7" a="1"/>
  <c r="P56" i="7" s="1"/>
  <c r="Q16" i="7" a="1"/>
  <c r="Q16" i="7" s="1"/>
  <c r="Q43" i="7" a="1"/>
  <c r="Q43" i="7" s="1"/>
  <c r="Q39" i="7" a="1"/>
  <c r="Q39" i="7" s="1"/>
  <c r="M46" i="7" a="1"/>
  <c r="M46" i="7" s="1"/>
  <c r="N44" i="7" a="1"/>
  <c r="N44" i="7" s="1"/>
  <c r="O50" i="7" a="1"/>
  <c r="O50" i="7" s="1"/>
  <c r="M52" i="7" a="1"/>
  <c r="M52" i="7" s="1"/>
  <c r="O54" i="7" a="1"/>
  <c r="O54" i="7" s="1"/>
  <c r="N55" i="7" a="1"/>
  <c r="N55" i="7" s="1"/>
  <c r="P55" i="7" a="1"/>
  <c r="P55" i="7" s="1"/>
  <c r="J53" i="7" a="1"/>
  <c r="J53" i="7" s="1"/>
  <c r="J54" i="7" a="1"/>
  <c r="J54" i="7" s="1"/>
  <c r="J55" i="7" a="1"/>
  <c r="J55" i="7" s="1"/>
  <c r="J56" i="7" a="1"/>
  <c r="J56" i="7" s="1"/>
  <c r="J57" i="7" a="1"/>
  <c r="J57" i="7" s="1"/>
  <c r="L53" i="7" a="1"/>
  <c r="L53" i="7" s="1"/>
  <c r="L54" i="7" a="1"/>
  <c r="L54" i="7" s="1"/>
  <c r="L55" i="7" a="1"/>
  <c r="L55" i="7" s="1"/>
  <c r="L56" i="7" a="1"/>
  <c r="L56" i="7" s="1"/>
  <c r="L57" i="7" a="1"/>
  <c r="L57" i="7" s="1"/>
  <c r="I53" i="7" a="1"/>
  <c r="I53" i="7" s="1"/>
  <c r="I54" i="7" a="1"/>
  <c r="I54" i="7" s="1"/>
  <c r="I55" i="7" a="1"/>
  <c r="I55" i="7" s="1"/>
  <c r="I56" i="7" a="1"/>
  <c r="I56" i="7" s="1"/>
  <c r="I57" i="7" a="1"/>
  <c r="I57" i="7" s="1"/>
  <c r="K53" i="7" a="1"/>
  <c r="K53" i="7" s="1"/>
  <c r="K54" i="7" a="1"/>
  <c r="K54" i="7" s="1"/>
  <c r="K55" i="7" a="1"/>
  <c r="K55" i="7" s="1"/>
  <c r="K56" i="7" a="1"/>
  <c r="K56" i="7" s="1"/>
  <c r="K57" i="7" a="1"/>
  <c r="K57" i="7" s="1"/>
  <c r="J49" i="7" a="1"/>
  <c r="J49" i="7" s="1"/>
  <c r="J50" i="7" a="1"/>
  <c r="J50" i="7" s="1"/>
  <c r="J51" i="7" a="1"/>
  <c r="J51" i="7" s="1"/>
  <c r="J52" i="7" a="1"/>
  <c r="J52" i="7" s="1"/>
  <c r="I49" i="7" a="1"/>
  <c r="I49" i="7" s="1"/>
  <c r="I50" i="7" a="1"/>
  <c r="I50" i="7" s="1"/>
  <c r="I51" i="7" a="1"/>
  <c r="I51" i="7" s="1"/>
  <c r="I52" i="7" a="1"/>
  <c r="I52" i="7" s="1"/>
  <c r="L49" i="7" a="1"/>
  <c r="L49" i="7" s="1"/>
  <c r="L50" i="7" a="1"/>
  <c r="L50" i="7" s="1"/>
  <c r="L51" i="7" a="1"/>
  <c r="L51" i="7" s="1"/>
  <c r="L52" i="7" a="1"/>
  <c r="L52" i="7" s="1"/>
  <c r="K49" i="7" a="1"/>
  <c r="K49" i="7" s="1"/>
  <c r="K50" i="7" a="1"/>
  <c r="K50" i="7" s="1"/>
  <c r="K51" i="7" a="1"/>
  <c r="K51" i="7" s="1"/>
  <c r="K52" i="7" a="1"/>
  <c r="K52" i="7" s="1"/>
  <c r="K24" i="7" a="1"/>
  <c r="K24" i="7" s="1"/>
  <c r="K44" i="7" a="1"/>
  <c r="K44" i="7" s="1"/>
  <c r="K45" i="7" a="1"/>
  <c r="K45" i="7" s="1"/>
  <c r="K46" i="7" a="1"/>
  <c r="K46" i="7" s="1"/>
  <c r="K47" i="7" a="1"/>
  <c r="K47" i="7" s="1"/>
  <c r="K48" i="7" a="1"/>
  <c r="K48" i="7" s="1"/>
  <c r="J22" i="7" a="1"/>
  <c r="J22" i="7" s="1"/>
  <c r="J44" i="7" a="1"/>
  <c r="J44" i="7" s="1"/>
  <c r="J45" i="7" a="1"/>
  <c r="J45" i="7" s="1"/>
  <c r="J46" i="7" a="1"/>
  <c r="J46" i="7" s="1"/>
  <c r="J47" i="7" a="1"/>
  <c r="J47" i="7" s="1"/>
  <c r="J48" i="7" a="1"/>
  <c r="J48" i="7" s="1"/>
  <c r="L36" i="7" a="1"/>
  <c r="L36" i="7" s="1"/>
  <c r="L44" i="7" a="1"/>
  <c r="L44" i="7" s="1"/>
  <c r="L45" i="7" a="1"/>
  <c r="L45" i="7" s="1"/>
  <c r="L46" i="7" a="1"/>
  <c r="L46" i="7" s="1"/>
  <c r="L47" i="7" a="1"/>
  <c r="L47" i="7" s="1"/>
  <c r="L48" i="7" a="1"/>
  <c r="L48" i="7" s="1"/>
  <c r="I31" i="7" a="1"/>
  <c r="I31" i="7" s="1"/>
  <c r="I44" i="7" a="1"/>
  <c r="I44" i="7" s="1"/>
  <c r="I45" i="7" a="1"/>
  <c r="I45" i="7" s="1"/>
  <c r="I46" i="7" a="1"/>
  <c r="I46" i="7" s="1"/>
  <c r="I47" i="7" a="1"/>
  <c r="I47" i="7" s="1"/>
  <c r="I48" i="7" a="1"/>
  <c r="I48" i="7" s="1"/>
  <c r="P38" i="7" a="1"/>
  <c r="P38" i="7" s="1"/>
  <c r="P16" i="7" a="1"/>
  <c r="P16" i="7" s="1"/>
  <c r="P17" i="7" a="1"/>
  <c r="P17" i="7" s="1"/>
  <c r="P35" i="7" a="1"/>
  <c r="P35" i="7" s="1"/>
  <c r="Y15" i="6"/>
  <c r="Y11" i="6" s="1"/>
  <c r="P1" i="7" a="1"/>
  <c r="P1" i="7" s="1"/>
  <c r="P18" i="7" a="1"/>
  <c r="P18" i="7" s="1"/>
  <c r="P33" i="7" a="1"/>
  <c r="P33" i="7" s="1"/>
  <c r="P28" i="7" a="1"/>
  <c r="P28" i="7" s="1"/>
  <c r="P40" i="7" a="1"/>
  <c r="P40" i="7" s="1"/>
  <c r="P26" i="7" a="1"/>
  <c r="P26" i="7" s="1"/>
  <c r="P30" i="7" a="1"/>
  <c r="P30" i="7" s="1"/>
  <c r="P32" i="7" a="1"/>
  <c r="P32" i="7" s="1"/>
  <c r="P19" i="7" a="1"/>
  <c r="P19" i="7" s="1"/>
  <c r="P27" i="7" a="1"/>
  <c r="P27" i="7" s="1"/>
  <c r="P20" i="7" a="1"/>
  <c r="P20" i="7" s="1"/>
  <c r="P34" i="7" a="1"/>
  <c r="P34" i="7" s="1"/>
  <c r="P25" i="7" a="1"/>
  <c r="P25" i="7" s="1"/>
  <c r="P24" i="7" a="1"/>
  <c r="P24" i="7" s="1"/>
  <c r="P23" i="7" a="1"/>
  <c r="P23" i="7" s="1"/>
  <c r="P36" i="7" a="1"/>
  <c r="P36" i="7" s="1"/>
  <c r="P29" i="7" a="1"/>
  <c r="P29" i="7" s="1"/>
  <c r="P37" i="7" a="1"/>
  <c r="P37" i="7" s="1"/>
  <c r="P43" i="7" a="1"/>
  <c r="P43" i="7" s="1"/>
  <c r="P22" i="7" a="1"/>
  <c r="P22" i="7" s="1"/>
  <c r="P31" i="7" a="1"/>
  <c r="P31" i="7" s="1"/>
  <c r="P42" i="7" a="1"/>
  <c r="P42" i="7" s="1"/>
  <c r="P41" i="7" a="1"/>
  <c r="P41" i="7" s="1"/>
  <c r="P21" i="7" a="1"/>
  <c r="P21" i="7" s="1"/>
  <c r="O37" i="7" a="1"/>
  <c r="O37" i="7" s="1"/>
  <c r="N31" i="7" a="1"/>
  <c r="N31" i="7" s="1"/>
  <c r="O35" i="7" a="1"/>
  <c r="O35" i="7" s="1"/>
  <c r="O29" i="7" a="1"/>
  <c r="O29" i="7" s="1"/>
  <c r="X15" i="6"/>
  <c r="X11" i="6" s="1"/>
  <c r="O1" i="7" a="1"/>
  <c r="O1" i="7" s="1"/>
  <c r="O36" i="7" a="1"/>
  <c r="O36" i="7" s="1"/>
  <c r="N29" i="7" a="1"/>
  <c r="N29" i="7" s="1"/>
  <c r="O33" i="7" a="1"/>
  <c r="O33" i="7" s="1"/>
  <c r="O17" i="7" a="1"/>
  <c r="O17" i="7" s="1"/>
  <c r="O34" i="7" a="1"/>
  <c r="O34" i="7" s="1"/>
  <c r="O26" i="7" a="1"/>
  <c r="O26" i="7" s="1"/>
  <c r="O25" i="7" a="1"/>
  <c r="O25" i="7" s="1"/>
  <c r="O31" i="7" a="1"/>
  <c r="O31" i="7" s="1"/>
  <c r="O40" i="7" a="1"/>
  <c r="O40" i="7" s="1"/>
  <c r="O27" i="7" a="1"/>
  <c r="O27" i="7" s="1"/>
  <c r="O16" i="7" a="1"/>
  <c r="O16" i="7" s="1"/>
  <c r="O30" i="7" a="1"/>
  <c r="O30" i="7" s="1"/>
  <c r="O23" i="7" a="1"/>
  <c r="O23" i="7" s="1"/>
  <c r="O21" i="7" a="1"/>
  <c r="O21" i="7" s="1"/>
  <c r="O18" i="7" a="1"/>
  <c r="O18" i="7" s="1"/>
  <c r="O38" i="7" a="1"/>
  <c r="O38" i="7" s="1"/>
  <c r="O28" i="7" a="1"/>
  <c r="O28" i="7" s="1"/>
  <c r="O39" i="7" a="1"/>
  <c r="O39" i="7" s="1"/>
  <c r="O42" i="7" a="1"/>
  <c r="O42" i="7" s="1"/>
  <c r="O32" i="7" a="1"/>
  <c r="O32" i="7" s="1"/>
  <c r="O41" i="7" a="1"/>
  <c r="O41" i="7" s="1"/>
  <c r="O43" i="7" a="1"/>
  <c r="O43" i="7" s="1"/>
  <c r="O19" i="7" a="1"/>
  <c r="O19" i="7" s="1"/>
  <c r="O20" i="7" a="1"/>
  <c r="O20" i="7" s="1"/>
  <c r="O22" i="7" a="1"/>
  <c r="O22" i="7" s="1"/>
  <c r="W15" i="6"/>
  <c r="W11" i="6" s="1"/>
  <c r="N1" i="7" a="1"/>
  <c r="N1" i="7" s="1"/>
  <c r="N27" i="7" a="1"/>
  <c r="N27" i="7" s="1"/>
  <c r="N28" i="7" a="1"/>
  <c r="N28" i="7" s="1"/>
  <c r="N33" i="7" a="1"/>
  <c r="N33" i="7" s="1"/>
  <c r="N24" i="7" a="1"/>
  <c r="N24" i="7" s="1"/>
  <c r="N32" i="7" a="1"/>
  <c r="N32" i="7" s="1"/>
  <c r="N36" i="7" a="1"/>
  <c r="N36" i="7" s="1"/>
  <c r="N17" i="7" a="1"/>
  <c r="N17" i="7" s="1"/>
  <c r="N43" i="7" a="1"/>
  <c r="N43" i="7" s="1"/>
  <c r="N40" i="7" a="1"/>
  <c r="N40" i="7" s="1"/>
  <c r="N16" i="7" a="1"/>
  <c r="N16" i="7" s="1"/>
  <c r="N20" i="7" a="1"/>
  <c r="N20" i="7" s="1"/>
  <c r="N22" i="7" a="1"/>
  <c r="N22" i="7" s="1"/>
  <c r="N41" i="7" a="1"/>
  <c r="N41" i="7" s="1"/>
  <c r="N21" i="7" a="1"/>
  <c r="N21" i="7" s="1"/>
  <c r="N19" i="7" a="1"/>
  <c r="N19" i="7" s="1"/>
  <c r="N42" i="7" a="1"/>
  <c r="N42" i="7" s="1"/>
  <c r="N26" i="7" a="1"/>
  <c r="N26" i="7" s="1"/>
  <c r="N35" i="7" a="1"/>
  <c r="N35" i="7" s="1"/>
  <c r="N25" i="7" a="1"/>
  <c r="N25" i="7" s="1"/>
  <c r="N39" i="7" a="1"/>
  <c r="N39" i="7" s="1"/>
  <c r="L38" i="7" a="1"/>
  <c r="L38" i="7" s="1"/>
  <c r="N38" i="7" a="1"/>
  <c r="N38" i="7" s="1"/>
  <c r="N23" i="7" a="1"/>
  <c r="N23" i="7" s="1"/>
  <c r="N37" i="7" a="1"/>
  <c r="N37" i="7" s="1"/>
  <c r="N18" i="7" a="1"/>
  <c r="N18" i="7" s="1"/>
  <c r="N30" i="7" a="1"/>
  <c r="N30" i="7" s="1"/>
  <c r="M22" i="7" a="1"/>
  <c r="M22" i="7" s="1"/>
  <c r="L41" i="7" a="1"/>
  <c r="L41" i="7" s="1"/>
  <c r="M27" i="7" a="1"/>
  <c r="M27" i="7" s="1"/>
  <c r="M25" i="7" a="1"/>
  <c r="M25" i="7" s="1"/>
  <c r="M43" i="7" a="1"/>
  <c r="M43" i="7" s="1"/>
  <c r="L29" i="7" a="1"/>
  <c r="L29" i="7" s="1"/>
  <c r="M18" i="7" a="1"/>
  <c r="M18" i="7" s="1"/>
  <c r="M24" i="7" a="1"/>
  <c r="M24" i="7" s="1"/>
  <c r="M17" i="7" a="1"/>
  <c r="M17" i="7" s="1"/>
  <c r="M33" i="7" a="1"/>
  <c r="M33" i="7" s="1"/>
  <c r="M35" i="7" a="1"/>
  <c r="M35" i="7" s="1"/>
  <c r="M30" i="7" a="1"/>
  <c r="M30" i="7" s="1"/>
  <c r="M34" i="7" a="1"/>
  <c r="M34" i="7" s="1"/>
  <c r="M41" i="7" a="1"/>
  <c r="M41" i="7" s="1"/>
  <c r="M29" i="7" a="1"/>
  <c r="M29" i="7" s="1"/>
  <c r="M39" i="7" a="1"/>
  <c r="M39" i="7" s="1"/>
  <c r="M23" i="7" a="1"/>
  <c r="M23" i="7" s="1"/>
  <c r="M37" i="7" a="1"/>
  <c r="M37" i="7" s="1"/>
  <c r="M36" i="7" a="1"/>
  <c r="M36" i="7" s="1"/>
  <c r="M16" i="7" a="1"/>
  <c r="M16" i="7" s="1"/>
  <c r="L25" i="7" a="1"/>
  <c r="L25" i="7" s="1"/>
  <c r="M28" i="7" a="1"/>
  <c r="M28" i="7" s="1"/>
  <c r="L32" i="7" a="1"/>
  <c r="L32" i="7" s="1"/>
  <c r="L16" i="7" a="1"/>
  <c r="L16" i="7" s="1"/>
  <c r="M20" i="7" a="1"/>
  <c r="M20" i="7" s="1"/>
  <c r="M19" i="7" a="1"/>
  <c r="M19" i="7" s="1"/>
  <c r="V15" i="6"/>
  <c r="V11" i="6" s="1"/>
  <c r="M1" i="7" a="1"/>
  <c r="M1" i="7" s="1"/>
  <c r="M31" i="7" a="1"/>
  <c r="M31" i="7" s="1"/>
  <c r="M21" i="7" a="1"/>
  <c r="M21" i="7" s="1"/>
  <c r="M42" i="7" a="1"/>
  <c r="M42" i="7" s="1"/>
  <c r="M38" i="7" a="1"/>
  <c r="M38" i="7" s="1"/>
  <c r="M26" i="7" a="1"/>
  <c r="M26" i="7" s="1"/>
  <c r="M40" i="7" a="1"/>
  <c r="M40" i="7" s="1"/>
  <c r="L26" i="7" a="1"/>
  <c r="L26" i="7" s="1"/>
  <c r="L30" i="7" a="1"/>
  <c r="L30" i="7" s="1"/>
  <c r="L24" i="7" a="1"/>
  <c r="L24" i="7" s="1"/>
  <c r="L21" i="7" a="1"/>
  <c r="L21" i="7" s="1"/>
  <c r="L28" i="7" a="1"/>
  <c r="L28" i="7" s="1"/>
  <c r="L31" i="7" a="1"/>
  <c r="L31" i="7" s="1"/>
  <c r="L17" i="7" a="1"/>
  <c r="L17" i="7" s="1"/>
  <c r="L34" i="7" a="1"/>
  <c r="L34" i="7" s="1"/>
  <c r="L42" i="7" a="1"/>
  <c r="L42" i="7" s="1"/>
  <c r="L19" i="7" a="1"/>
  <c r="L19" i="7" s="1"/>
  <c r="L20" i="7" a="1"/>
  <c r="L20" i="7" s="1"/>
  <c r="L22" i="7" a="1"/>
  <c r="L22" i="7" s="1"/>
  <c r="L33" i="7" a="1"/>
  <c r="L33" i="7" s="1"/>
  <c r="U15" i="6"/>
  <c r="U11" i="6" s="1"/>
  <c r="L1" i="7" a="1"/>
  <c r="L1" i="7" s="1"/>
  <c r="L18" i="7" a="1"/>
  <c r="L18" i="7" s="1"/>
  <c r="L23" i="7" a="1"/>
  <c r="L23" i="7" s="1"/>
  <c r="L43" i="7" a="1"/>
  <c r="L43" i="7" s="1"/>
  <c r="L35" i="7" a="1"/>
  <c r="L35" i="7" s="1"/>
  <c r="L37" i="7" a="1"/>
  <c r="L37" i="7" s="1"/>
  <c r="L27" i="7" a="1"/>
  <c r="L27" i="7" s="1"/>
  <c r="L39" i="7" a="1"/>
  <c r="L39" i="7" s="1"/>
  <c r="L40" i="7" a="1"/>
  <c r="L40" i="7" s="1"/>
  <c r="K23" i="7" a="1"/>
  <c r="K23" i="7" s="1"/>
  <c r="K25" i="7" a="1"/>
  <c r="K25" i="7" s="1"/>
  <c r="K29" i="7" a="1"/>
  <c r="K29" i="7" s="1"/>
  <c r="K16" i="7" a="1"/>
  <c r="K16" i="7" s="1"/>
  <c r="T15" i="6"/>
  <c r="T11" i="6" s="1"/>
  <c r="K1" i="7" a="1"/>
  <c r="K1" i="7" s="1"/>
  <c r="K18" i="7" a="1"/>
  <c r="K18" i="7" s="1"/>
  <c r="K19" i="7" a="1"/>
  <c r="K19" i="7" s="1"/>
  <c r="K37" i="7" a="1"/>
  <c r="K37" i="7" s="1"/>
  <c r="K43" i="7" a="1"/>
  <c r="K43" i="7" s="1"/>
  <c r="K33" i="7" a="1"/>
  <c r="K33" i="7" s="1"/>
  <c r="K27" i="7" a="1"/>
  <c r="K27" i="7" s="1"/>
  <c r="K22" i="7" a="1"/>
  <c r="K22" i="7" s="1"/>
  <c r="K17" i="7" a="1"/>
  <c r="K17" i="7" s="1"/>
  <c r="K42" i="7" a="1"/>
  <c r="K42" i="7" s="1"/>
  <c r="K26" i="7" a="1"/>
  <c r="K26" i="7" s="1"/>
  <c r="K21" i="7" a="1"/>
  <c r="K21" i="7" s="1"/>
  <c r="K30" i="7" a="1"/>
  <c r="K30" i="7" s="1"/>
  <c r="J41" i="7" a="1"/>
  <c r="J41" i="7" s="1"/>
  <c r="K28" i="7" a="1"/>
  <c r="K28" i="7" s="1"/>
  <c r="K34" i="7" a="1"/>
  <c r="K34" i="7" s="1"/>
  <c r="K39" i="7" a="1"/>
  <c r="K39" i="7" s="1"/>
  <c r="K40" i="7" a="1"/>
  <c r="K40" i="7" s="1"/>
  <c r="K31" i="7" a="1"/>
  <c r="K31" i="7" s="1"/>
  <c r="K20" i="7" a="1"/>
  <c r="K20" i="7" s="1"/>
  <c r="K32" i="7" a="1"/>
  <c r="K32" i="7" s="1"/>
  <c r="K35" i="7" a="1"/>
  <c r="K35" i="7" s="1"/>
  <c r="K38" i="7" a="1"/>
  <c r="K38" i="7" s="1"/>
  <c r="K41" i="7" a="1"/>
  <c r="K41" i="7" s="1"/>
  <c r="K36" i="7" a="1"/>
  <c r="K36" i="7" s="1"/>
  <c r="J17" i="7" a="1"/>
  <c r="J17" i="7" s="1"/>
  <c r="J40" i="7" a="1"/>
  <c r="J40" i="7" s="1"/>
  <c r="J25" i="7" a="1"/>
  <c r="J25" i="7" s="1"/>
  <c r="J37" i="7" a="1"/>
  <c r="J37" i="7" s="1"/>
  <c r="J23" i="7" a="1"/>
  <c r="J23" i="7" s="1"/>
  <c r="J27" i="7" a="1"/>
  <c r="J27" i="7" s="1"/>
  <c r="J20" i="7" a="1"/>
  <c r="J20" i="7" s="1"/>
  <c r="J18" i="7" a="1"/>
  <c r="J18" i="7" s="1"/>
  <c r="J24" i="7" a="1"/>
  <c r="J24" i="7" s="1"/>
  <c r="J28" i="7" a="1"/>
  <c r="J28" i="7" s="1"/>
  <c r="J30" i="7" a="1"/>
  <c r="J30" i="7" s="1"/>
  <c r="J38" i="7" a="1"/>
  <c r="J38" i="7" s="1"/>
  <c r="J35" i="7" a="1"/>
  <c r="J35" i="7" s="1"/>
  <c r="J39" i="7" a="1"/>
  <c r="J39" i="7" s="1"/>
  <c r="S15" i="6"/>
  <c r="S11" i="6" s="1"/>
  <c r="J1" i="7" a="1"/>
  <c r="J1" i="7" s="1"/>
  <c r="J42" i="7" a="1"/>
  <c r="J42" i="7" s="1"/>
  <c r="J32" i="7" a="1"/>
  <c r="J32" i="7" s="1"/>
  <c r="J16" i="7" a="1"/>
  <c r="J16" i="7" s="1"/>
  <c r="J19" i="7" a="1"/>
  <c r="J19" i="7" s="1"/>
  <c r="J33" i="7" a="1"/>
  <c r="J33" i="7" s="1"/>
  <c r="J26" i="7" a="1"/>
  <c r="J26" i="7" s="1"/>
  <c r="J36" i="7" a="1"/>
  <c r="J36" i="7" s="1"/>
  <c r="J29" i="7" a="1"/>
  <c r="J29" i="7" s="1"/>
  <c r="J31" i="7" a="1"/>
  <c r="J31" i="7" s="1"/>
  <c r="J34" i="7" a="1"/>
  <c r="J34" i="7" s="1"/>
  <c r="J43" i="7" a="1"/>
  <c r="J43" i="7" s="1"/>
  <c r="J21" i="7" a="1"/>
  <c r="J21" i="7" s="1"/>
  <c r="R15" i="6"/>
  <c r="R11" i="6" s="1"/>
  <c r="I1" i="7" a="1"/>
  <c r="I1" i="7" s="1"/>
  <c r="I41" i="7" a="1"/>
  <c r="I41" i="7" s="1"/>
  <c r="I33" i="7" a="1"/>
  <c r="I33" i="7" s="1"/>
  <c r="I26" i="7" a="1"/>
  <c r="I26" i="7" s="1"/>
  <c r="I27" i="7" a="1"/>
  <c r="I27" i="7" s="1"/>
  <c r="I23" i="7" a="1"/>
  <c r="I23" i="7" s="1"/>
  <c r="I34" i="7" a="1"/>
  <c r="I34" i="7" s="1"/>
  <c r="I24" i="7" a="1"/>
  <c r="I24" i="7" s="1"/>
  <c r="I37" i="7" a="1"/>
  <c r="I37" i="7" s="1"/>
  <c r="I38" i="7" a="1"/>
  <c r="I38" i="7" s="1"/>
  <c r="I17" i="7" a="1"/>
  <c r="I17" i="7" s="1"/>
  <c r="I36" i="7" a="1"/>
  <c r="I36" i="7" s="1"/>
  <c r="I22" i="7" a="1"/>
  <c r="I22" i="7" s="1"/>
  <c r="I43" i="7" a="1"/>
  <c r="I43" i="7" s="1"/>
  <c r="I40" i="7" a="1"/>
  <c r="I40" i="7" s="1"/>
  <c r="I35" i="7" a="1"/>
  <c r="I35" i="7" s="1"/>
  <c r="I39" i="7" a="1"/>
  <c r="I39" i="7" s="1"/>
  <c r="I29" i="7" a="1"/>
  <c r="I29" i="7" s="1"/>
  <c r="I20" i="7" a="1"/>
  <c r="I20" i="7" s="1"/>
  <c r="I32" i="7" a="1"/>
  <c r="I32" i="7" s="1"/>
  <c r="I19" i="7" a="1"/>
  <c r="I19" i="7" s="1"/>
  <c r="I16" i="7" a="1"/>
  <c r="I16" i="7" s="1"/>
  <c r="I25" i="7" a="1"/>
  <c r="I25" i="7" s="1"/>
  <c r="I18" i="7" a="1"/>
  <c r="I18" i="7" s="1"/>
  <c r="I30" i="7" a="1"/>
  <c r="I30" i="7" s="1"/>
  <c r="I28" i="7" a="1"/>
  <c r="I28" i="7" s="1"/>
  <c r="I42" i="7" a="1"/>
  <c r="I42" i="7" s="1"/>
  <c r="I21" i="7" a="1"/>
  <c r="I21" i="7" s="1"/>
  <c r="V14" i="7"/>
  <c r="Y14" i="7"/>
  <c r="W14" i="7"/>
  <c r="U14" i="7"/>
  <c r="X14" i="7"/>
  <c r="AE23" i="13"/>
  <c r="M23" i="13" s="1"/>
  <c r="AH23" i="13"/>
  <c r="O23" i="13" s="1"/>
  <c r="AE22" i="13"/>
  <c r="M22" i="13" s="1"/>
  <c r="AH22" i="13"/>
  <c r="O22" i="13" s="1"/>
  <c r="AE21" i="13"/>
  <c r="M21" i="13" s="1"/>
  <c r="AH21" i="13"/>
  <c r="O21" i="13" s="1"/>
  <c r="AE20" i="13"/>
  <c r="M20" i="13" s="1"/>
  <c r="AH20" i="13"/>
  <c r="O20" i="13" s="1"/>
  <c r="AE19" i="13"/>
  <c r="M19" i="13" s="1"/>
  <c r="AH19" i="13"/>
  <c r="O19" i="13" s="1"/>
  <c r="AE18" i="13"/>
  <c r="M18" i="13" s="1"/>
  <c r="AH18" i="13"/>
  <c r="O18" i="13" s="1"/>
  <c r="AH17" i="13"/>
  <c r="O17" i="13" s="1"/>
  <c r="AE17" i="13"/>
  <c r="M17" i="13" s="1"/>
  <c r="AH16" i="13"/>
  <c r="O16" i="13" s="1"/>
  <c r="AE16" i="13"/>
  <c r="M16" i="13" s="1"/>
  <c r="AH15" i="13"/>
  <c r="O15" i="13" s="1"/>
  <c r="AE15" i="13"/>
  <c r="M15" i="13" s="1"/>
  <c r="AH14" i="13"/>
  <c r="AE14" i="13"/>
  <c r="AJ15" i="6"/>
  <c r="S31" i="8"/>
  <c r="F33" i="8"/>
  <c r="P29" i="8"/>
  <c r="Q29" i="8"/>
  <c r="I66" i="10" a="1"/>
  <c r="I66" i="10" s="1"/>
  <c r="U66" i="10" a="1"/>
  <c r="U66" i="10" s="1"/>
  <c r="M66" i="10" a="1"/>
  <c r="M66" i="10" s="1"/>
  <c r="Y66" i="10" a="1"/>
  <c r="Y66" i="10" s="1"/>
  <c r="AC66" i="10" a="1"/>
  <c r="AC66" i="10" s="1"/>
  <c r="O66" i="10" a="1"/>
  <c r="O66" i="10" s="1"/>
  <c r="S66" i="10" a="1"/>
  <c r="S66" i="10" s="1"/>
  <c r="Q66" i="10" a="1"/>
  <c r="Q66" i="10" s="1"/>
  <c r="W66" i="10" a="1"/>
  <c r="W66" i="10" s="1"/>
  <c r="AA66" i="10" a="1"/>
  <c r="AA66" i="10" s="1"/>
  <c r="AE66" i="10" a="1"/>
  <c r="AE66" i="10" s="1"/>
  <c r="K66" i="10" a="1"/>
  <c r="K66" i="10" s="1"/>
  <c r="R14" i="7" l="1"/>
  <c r="T14" i="7"/>
  <c r="S14" i="7"/>
  <c r="Q14" i="7"/>
  <c r="F53" i="7"/>
  <c r="E53" i="7" a="1"/>
  <c r="E53" i="7" s="1"/>
  <c r="H53" i="7" a="1"/>
  <c r="H53" i="7" s="1"/>
  <c r="F54" i="7"/>
  <c r="E54" i="7" a="1"/>
  <c r="E54" i="7" s="1"/>
  <c r="H54" i="7" a="1"/>
  <c r="H54" i="7" s="1"/>
  <c r="E55" i="7" a="1"/>
  <c r="E55" i="7" s="1"/>
  <c r="H55" i="7" a="1"/>
  <c r="H55" i="7" s="1"/>
  <c r="F55" i="7"/>
  <c r="F56" i="7"/>
  <c r="H56" i="7" a="1"/>
  <c r="H56" i="7" s="1"/>
  <c r="E56" i="7" a="1"/>
  <c r="E56" i="7" s="1"/>
  <c r="H57" i="7" a="1"/>
  <c r="H57" i="7" s="1"/>
  <c r="F57" i="7"/>
  <c r="E57" i="7" a="1"/>
  <c r="E57" i="7" s="1"/>
  <c r="H49" i="7" a="1"/>
  <c r="H49" i="7" s="1"/>
  <c r="F49" i="7"/>
  <c r="E49" i="7" a="1"/>
  <c r="E49" i="7" s="1"/>
  <c r="F50" i="7"/>
  <c r="E50" i="7" a="1"/>
  <c r="E50" i="7" s="1"/>
  <c r="H50" i="7" a="1"/>
  <c r="H50" i="7" s="1"/>
  <c r="F51" i="7"/>
  <c r="H51" i="7" a="1"/>
  <c r="H51" i="7" s="1"/>
  <c r="E51" i="7" a="1"/>
  <c r="E51" i="7" s="1"/>
  <c r="F52" i="7"/>
  <c r="H52" i="7" a="1"/>
  <c r="H52" i="7" s="1"/>
  <c r="E52" i="7" a="1"/>
  <c r="E52" i="7" s="1"/>
  <c r="F44" i="7"/>
  <c r="A44" i="9" s="1"/>
  <c r="H44" i="7" a="1"/>
  <c r="H44" i="7" s="1"/>
  <c r="E44" i="7" a="1"/>
  <c r="E44" i="7" s="1"/>
  <c r="H45" i="7" a="1"/>
  <c r="H45" i="7" s="1"/>
  <c r="E45" i="7" a="1"/>
  <c r="E45" i="7" s="1"/>
  <c r="F45" i="7"/>
  <c r="A45" i="9" s="1"/>
  <c r="H46" i="7" a="1"/>
  <c r="H46" i="7" s="1"/>
  <c r="F46" i="7"/>
  <c r="A46" i="9" s="1"/>
  <c r="E46" i="7" a="1"/>
  <c r="E46" i="7" s="1"/>
  <c r="H47" i="7" a="1"/>
  <c r="H47" i="7" s="1"/>
  <c r="E47" i="7" a="1"/>
  <c r="E47" i="7" s="1"/>
  <c r="F47" i="7"/>
  <c r="A47" i="9" s="1"/>
  <c r="F48" i="7"/>
  <c r="A48" i="9" s="1"/>
  <c r="E48" i="7" a="1"/>
  <c r="E48" i="7" s="1"/>
  <c r="H48" i="7" a="1"/>
  <c r="H48" i="7" s="1"/>
  <c r="P14" i="7"/>
  <c r="N14" i="7"/>
  <c r="O14" i="7"/>
  <c r="L14" i="7"/>
  <c r="M14" i="7"/>
  <c r="K14" i="7"/>
  <c r="J14" i="7"/>
  <c r="I14" i="7"/>
  <c r="X225" i="5" a="1"/>
  <c r="X225" i="5" s="1"/>
  <c r="AM225" i="5" s="1"/>
  <c r="Q15" i="6"/>
  <c r="Q11" i="6" s="1"/>
  <c r="H16" i="7" a="1"/>
  <c r="H16" i="7" s="1"/>
  <c r="E16" i="7" a="1"/>
  <c r="E16" i="7" s="1"/>
  <c r="F16" i="7"/>
  <c r="E17" i="7" a="1"/>
  <c r="E17" i="7" s="1"/>
  <c r="F17" i="7"/>
  <c r="H17" i="7" a="1"/>
  <c r="H17" i="7" s="1"/>
  <c r="E18" i="7" a="1"/>
  <c r="E18" i="7" s="1"/>
  <c r="H18" i="7" a="1"/>
  <c r="H18" i="7" s="1"/>
  <c r="F18" i="7"/>
  <c r="H19" i="7" a="1"/>
  <c r="H19" i="7" s="1"/>
  <c r="F19" i="7"/>
  <c r="E19" i="7" a="1"/>
  <c r="E19" i="7" s="1"/>
  <c r="E20" i="7" a="1"/>
  <c r="E20" i="7" s="1"/>
  <c r="H20" i="7" a="1"/>
  <c r="H20" i="7" s="1"/>
  <c r="F20" i="7"/>
  <c r="H21" i="7" a="1"/>
  <c r="H21" i="7" s="1"/>
  <c r="F21" i="7"/>
  <c r="E21" i="7" a="1"/>
  <c r="E21" i="7" s="1"/>
  <c r="F22" i="7"/>
  <c r="H22" i="7" a="1"/>
  <c r="H22" i="7" s="1"/>
  <c r="E22" i="7" a="1"/>
  <c r="E22" i="7" s="1"/>
  <c r="H23" i="7" a="1"/>
  <c r="H23" i="7" s="1"/>
  <c r="E23" i="7" a="1"/>
  <c r="E23" i="7" s="1"/>
  <c r="F23" i="7"/>
  <c r="H24" i="7" a="1"/>
  <c r="H24" i="7" s="1"/>
  <c r="E24" i="7" a="1"/>
  <c r="E24" i="7" s="1"/>
  <c r="F24" i="7"/>
  <c r="H25" i="7" a="1"/>
  <c r="H25" i="7" s="1"/>
  <c r="E25" i="7" a="1"/>
  <c r="E25" i="7" s="1"/>
  <c r="F25" i="7"/>
  <c r="E26" i="7" a="1"/>
  <c r="E26" i="7" s="1"/>
  <c r="F26" i="7"/>
  <c r="H26" i="7" a="1"/>
  <c r="H26" i="7" s="1"/>
  <c r="F27" i="7"/>
  <c r="E27" i="7" a="1"/>
  <c r="E27" i="7" s="1"/>
  <c r="H27" i="7" a="1"/>
  <c r="H27" i="7" s="1"/>
  <c r="H28" i="7" a="1"/>
  <c r="H28" i="7" s="1"/>
  <c r="E28" i="7" a="1"/>
  <c r="E28" i="7" s="1"/>
  <c r="F28" i="7"/>
  <c r="E29" i="7" a="1"/>
  <c r="E29" i="7" s="1"/>
  <c r="F29" i="7"/>
  <c r="H29" i="7" a="1"/>
  <c r="H29" i="7" s="1"/>
  <c r="F30" i="7"/>
  <c r="H30" i="7" a="1"/>
  <c r="H30" i="7" s="1"/>
  <c r="E30" i="7" a="1"/>
  <c r="E30" i="7" s="1"/>
  <c r="F31" i="7"/>
  <c r="H31" i="7" a="1"/>
  <c r="H31" i="7" s="1"/>
  <c r="E31" i="7" a="1"/>
  <c r="E31" i="7" s="1"/>
  <c r="F32" i="7"/>
  <c r="E32" i="7" a="1"/>
  <c r="E32" i="7" s="1"/>
  <c r="H32" i="7" a="1"/>
  <c r="H32" i="7" s="1"/>
  <c r="E33" i="7" a="1"/>
  <c r="E33" i="7" s="1"/>
  <c r="F33" i="7"/>
  <c r="H33" i="7" a="1"/>
  <c r="H33" i="7" s="1"/>
  <c r="F34" i="7"/>
  <c r="H34" i="7" a="1"/>
  <c r="H34" i="7" s="1"/>
  <c r="E34" i="7" a="1"/>
  <c r="E34" i="7" s="1"/>
  <c r="H35" i="7" a="1"/>
  <c r="H35" i="7" s="1"/>
  <c r="E35" i="7" a="1"/>
  <c r="E35" i="7" s="1"/>
  <c r="F35" i="7"/>
  <c r="H36" i="7" a="1"/>
  <c r="H36" i="7" s="1"/>
  <c r="E36" i="7" a="1"/>
  <c r="E36" i="7" s="1"/>
  <c r="F36" i="7"/>
  <c r="F37" i="7"/>
  <c r="E37" i="7" a="1"/>
  <c r="E37" i="7" s="1"/>
  <c r="H37" i="7" a="1"/>
  <c r="H37" i="7" s="1"/>
  <c r="E38" i="7" a="1"/>
  <c r="E38" i="7" s="1"/>
  <c r="H38" i="7" a="1"/>
  <c r="H38" i="7" s="1"/>
  <c r="F38" i="7"/>
  <c r="F39" i="7"/>
  <c r="E39" i="7" a="1"/>
  <c r="E39" i="7" s="1"/>
  <c r="H39" i="7" a="1"/>
  <c r="H39" i="7" s="1"/>
  <c r="F40" i="7"/>
  <c r="H40" i="7" a="1"/>
  <c r="H40" i="7" s="1"/>
  <c r="E40" i="7" a="1"/>
  <c r="E40" i="7" s="1"/>
  <c r="F41" i="7"/>
  <c r="H41" i="7" a="1"/>
  <c r="H41" i="7" s="1"/>
  <c r="E41" i="7" a="1"/>
  <c r="E41" i="7" s="1"/>
  <c r="H42" i="7" a="1"/>
  <c r="H42" i="7" s="1"/>
  <c r="F42" i="7"/>
  <c r="E42" i="7" a="1"/>
  <c r="E42" i="7" s="1"/>
  <c r="H43" i="7" a="1"/>
  <c r="H43" i="7" s="1"/>
  <c r="F43" i="7"/>
  <c r="E1" i="7" a="1"/>
  <c r="E1" i="7" s="1"/>
  <c r="E43" i="7" a="1"/>
  <c r="E43" i="7" s="1"/>
  <c r="F1" i="7"/>
  <c r="H1" i="7" a="1"/>
  <c r="H1" i="7" s="1"/>
  <c r="X215" i="5" a="1"/>
  <c r="X215" i="5" s="1"/>
  <c r="I215" i="12" s="1"/>
  <c r="X218" i="5" a="1"/>
  <c r="X218" i="5" s="1"/>
  <c r="X209" i="5" a="1"/>
  <c r="X209" i="5" s="1"/>
  <c r="X181" i="5" a="1"/>
  <c r="X181" i="5" s="1"/>
  <c r="AM181" i="5" s="1"/>
  <c r="X196" i="5" a="1"/>
  <c r="X196" i="5" s="1"/>
  <c r="X169" i="5" a="1"/>
  <c r="X169" i="5" s="1"/>
  <c r="I169" i="12" s="1"/>
  <c r="X174" i="5" a="1"/>
  <c r="X174" i="5" s="1"/>
  <c r="X162" i="5" a="1"/>
  <c r="X162" i="5" s="1"/>
  <c r="Z162" i="5" s="1"/>
  <c r="X137" i="5" a="1"/>
  <c r="X137" i="5" s="1"/>
  <c r="L137" i="5" s="1"/>
  <c r="AC137" i="5" s="1" a="1"/>
  <c r="AC137" i="5" s="1"/>
  <c r="X152" i="5" a="1"/>
  <c r="X152" i="5" s="1"/>
  <c r="X129" i="5" a="1"/>
  <c r="X129" i="5" s="1"/>
  <c r="L129" i="5" s="1"/>
  <c r="AC129" i="5" s="1" a="1"/>
  <c r="AC129" i="5" s="1"/>
  <c r="X122" i="5" a="1"/>
  <c r="X122" i="5" s="1"/>
  <c r="L122" i="5" s="1"/>
  <c r="AC122" i="5" s="1" a="1"/>
  <c r="AC122" i="5" s="1"/>
  <c r="X125" i="5" a="1"/>
  <c r="X125" i="5" s="1"/>
  <c r="X109" i="5" a="1"/>
  <c r="X109" i="5" s="1"/>
  <c r="I109" i="12" s="1"/>
  <c r="X112" i="5" a="1"/>
  <c r="X112" i="5" s="1"/>
  <c r="N23" i="13"/>
  <c r="X101" i="5" a="1"/>
  <c r="X101" i="5" s="1"/>
  <c r="L101" i="5" s="1"/>
  <c r="AC101" i="5" s="1" a="1"/>
  <c r="AC101" i="5" s="1"/>
  <c r="X106" i="5" a="1"/>
  <c r="X106" i="5" s="1"/>
  <c r="X100" i="5" a="1"/>
  <c r="X100" i="5" s="1"/>
  <c r="I100" i="5" s="1"/>
  <c r="I101" i="5"/>
  <c r="I102" i="5" s="1"/>
  <c r="N22" i="13"/>
  <c r="X93" i="5" a="1"/>
  <c r="X93" i="5" s="1"/>
  <c r="Z93" i="5" s="1"/>
  <c r="X84" i="5" a="1"/>
  <c r="X84" i="5" s="1"/>
  <c r="I84" i="12" s="1"/>
  <c r="X86" i="5" a="1"/>
  <c r="X86" i="5" s="1"/>
  <c r="N21" i="13"/>
  <c r="X76" i="5" a="1"/>
  <c r="X76" i="5" s="1"/>
  <c r="AM76" i="5" s="1"/>
  <c r="X78" i="5" a="1"/>
  <c r="X78" i="5" s="1"/>
  <c r="N20" i="13"/>
  <c r="X68" i="5" a="1"/>
  <c r="X68" i="5" s="1"/>
  <c r="AM68" i="5" s="1"/>
  <c r="X71" i="5" a="1"/>
  <c r="X71" i="5" s="1"/>
  <c r="N19" i="13"/>
  <c r="X66" i="5" a="1"/>
  <c r="X66" i="5" s="1"/>
  <c r="N18" i="13"/>
  <c r="X55" i="5" a="1"/>
  <c r="X55" i="5" s="1"/>
  <c r="N17" i="13"/>
  <c r="X42" i="5" a="1"/>
  <c r="X42" i="5" s="1"/>
  <c r="I42" i="12" s="1"/>
  <c r="X51" i="5" a="1"/>
  <c r="X51" i="5" s="1"/>
  <c r="X29" i="5" a="1"/>
  <c r="X29" i="5" s="1"/>
  <c r="L29" i="5" s="1"/>
  <c r="X31" i="5" a="1"/>
  <c r="X31" i="5" s="1"/>
  <c r="N16" i="13"/>
  <c r="N15" i="13"/>
  <c r="X23" i="5" a="1"/>
  <c r="X23" i="5" s="1"/>
  <c r="I23" i="12" s="1"/>
  <c r="AA64" i="10"/>
  <c r="AE64" i="10"/>
  <c r="K64" i="10"/>
  <c r="W64" i="10"/>
  <c r="Q64" i="10"/>
  <c r="S64" i="10"/>
  <c r="X17" i="5" a="1"/>
  <c r="X17" i="5" s="1"/>
  <c r="AC64" i="10"/>
  <c r="M32" i="8"/>
  <c r="J32" i="8"/>
  <c r="Y64" i="10"/>
  <c r="O64" i="10"/>
  <c r="M64" i="10"/>
  <c r="U64" i="10"/>
  <c r="I64" i="10" a="1"/>
  <c r="I64" i="10" s="1"/>
  <c r="A57" i="9" l="1"/>
  <c r="A54" i="9"/>
  <c r="A56" i="9"/>
  <c r="A55" i="9"/>
  <c r="A53" i="9"/>
  <c r="A51" i="9"/>
  <c r="A50" i="9"/>
  <c r="A52" i="9"/>
  <c r="A49" i="9"/>
  <c r="I67" i="10"/>
  <c r="S32" i="8"/>
  <c r="G32" i="8" s="1"/>
  <c r="G33" i="8" s="1" a="1"/>
  <c r="G33" i="8" s="1"/>
  <c r="I225" i="12"/>
  <c r="L225" i="12" s="1" a="1"/>
  <c r="L225" i="12" s="1"/>
  <c r="Z225" i="5"/>
  <c r="X16" i="5" a="1"/>
  <c r="X16" i="5" s="1"/>
  <c r="L225" i="5"/>
  <c r="AC225" i="5" s="1" a="1"/>
  <c r="AC225" i="5" s="1"/>
  <c r="O29" i="8"/>
  <c r="A36" i="9"/>
  <c r="A20" i="9"/>
  <c r="A1" i="9"/>
  <c r="A39" i="9"/>
  <c r="A31" i="9"/>
  <c r="A25" i="9"/>
  <c r="A34" i="9"/>
  <c r="A38" i="9"/>
  <c r="A33" i="9"/>
  <c r="A17" i="9"/>
  <c r="A28" i="9"/>
  <c r="A41" i="9"/>
  <c r="A35" i="9"/>
  <c r="A43" i="9"/>
  <c r="A30" i="9"/>
  <c r="A24" i="9"/>
  <c r="A22" i="9"/>
  <c r="A19" i="9"/>
  <c r="F14" i="7"/>
  <c r="A16" i="9"/>
  <c r="A27" i="9"/>
  <c r="E14" i="7"/>
  <c r="A40" i="9"/>
  <c r="A32" i="9"/>
  <c r="A29" i="9"/>
  <c r="A21" i="9"/>
  <c r="A18" i="9"/>
  <c r="H14" i="7"/>
  <c r="A42" i="9"/>
  <c r="A37" i="9"/>
  <c r="A26" i="9"/>
  <c r="A23" i="9"/>
  <c r="I103" i="5"/>
  <c r="O102" i="5"/>
  <c r="L215" i="5"/>
  <c r="AC215" i="5" s="1" a="1"/>
  <c r="AC215" i="5" s="1"/>
  <c r="Z215" i="5"/>
  <c r="AM215" i="5"/>
  <c r="I218" i="12"/>
  <c r="L218" i="5"/>
  <c r="AC218" i="5" s="1" a="1"/>
  <c r="AC218" i="5" s="1"/>
  <c r="Z218" i="5"/>
  <c r="AM218" i="5"/>
  <c r="L215" i="12" a="1"/>
  <c r="L215" i="12" s="1"/>
  <c r="J215" i="12" a="1"/>
  <c r="J215" i="12" s="1"/>
  <c r="C215" i="12"/>
  <c r="I209" i="12"/>
  <c r="AM209" i="5"/>
  <c r="L209" i="5"/>
  <c r="AC209" i="5" s="1" a="1"/>
  <c r="AC209" i="5" s="1"/>
  <c r="Z209" i="5"/>
  <c r="Z181" i="5"/>
  <c r="I181" i="12"/>
  <c r="C181" i="12" s="1"/>
  <c r="L181" i="5"/>
  <c r="AC181" i="5" s="1" a="1"/>
  <c r="AC181" i="5" s="1"/>
  <c r="I196" i="12"/>
  <c r="AM196" i="5"/>
  <c r="L196" i="5"/>
  <c r="AC196" i="5" s="1" a="1"/>
  <c r="AC196" i="5" s="1"/>
  <c r="Z196" i="5"/>
  <c r="Z169" i="5"/>
  <c r="AM169" i="5"/>
  <c r="L169" i="5"/>
  <c r="AC169" i="5" s="1" a="1"/>
  <c r="AC169" i="5" s="1"/>
  <c r="Z174" i="5"/>
  <c r="AM174" i="5"/>
  <c r="L174" i="5"/>
  <c r="AC174" i="5" s="1" a="1"/>
  <c r="AC174" i="5" s="1"/>
  <c r="I174" i="12"/>
  <c r="J169" i="12" a="1"/>
  <c r="J169" i="12" s="1"/>
  <c r="L169" i="12" a="1"/>
  <c r="L169" i="12" s="1"/>
  <c r="C169" i="12"/>
  <c r="AM162" i="5"/>
  <c r="L162" i="5"/>
  <c r="AC162" i="5" s="1" a="1"/>
  <c r="AC162" i="5" s="1"/>
  <c r="I162" i="12"/>
  <c r="L162" i="12" s="1" a="1"/>
  <c r="L162" i="12" s="1"/>
  <c r="I137" i="12"/>
  <c r="C137" i="12" s="1"/>
  <c r="Z137" i="5"/>
  <c r="AM137" i="5"/>
  <c r="L152" i="5"/>
  <c r="AC152" i="5" s="1" a="1"/>
  <c r="AC152" i="5" s="1"/>
  <c r="AM152" i="5"/>
  <c r="Z152" i="5"/>
  <c r="I152" i="12"/>
  <c r="O137" i="5"/>
  <c r="C137" i="6"/>
  <c r="X15" i="5"/>
  <c r="K65" i="10" s="1"/>
  <c r="K68" i="10" s="1"/>
  <c r="I129" i="12"/>
  <c r="C129" i="12" s="1"/>
  <c r="Z129" i="5"/>
  <c r="AM129" i="5"/>
  <c r="C129" i="6"/>
  <c r="O129" i="5"/>
  <c r="AM122" i="5"/>
  <c r="I122" i="12"/>
  <c r="L122" i="12" s="1" a="1"/>
  <c r="L122" i="12" s="1"/>
  <c r="Z122" i="5"/>
  <c r="I125" i="12"/>
  <c r="Z125" i="5"/>
  <c r="L125" i="5"/>
  <c r="AC125" i="5" s="1" a="1"/>
  <c r="AC125" i="5" s="1"/>
  <c r="AM125" i="5"/>
  <c r="O122" i="5"/>
  <c r="C122" i="6"/>
  <c r="Z109" i="5"/>
  <c r="L109" i="5"/>
  <c r="AC109" i="5" s="1" a="1"/>
  <c r="AC109" i="5" s="1"/>
  <c r="AM109" i="5"/>
  <c r="O23" i="11" a="1"/>
  <c r="O23" i="11" s="1"/>
  <c r="AM112" i="5"/>
  <c r="Z112" i="5"/>
  <c r="L112" i="5"/>
  <c r="AC112" i="5" s="1" a="1"/>
  <c r="AC112" i="5" s="1"/>
  <c r="I112" i="12"/>
  <c r="L109" i="12" a="1"/>
  <c r="L109" i="12" s="1"/>
  <c r="J109" i="12" a="1"/>
  <c r="J109" i="12" s="1"/>
  <c r="C109" i="12"/>
  <c r="Z101" i="5"/>
  <c r="I101" i="12"/>
  <c r="C101" i="12" s="1"/>
  <c r="AM101" i="5"/>
  <c r="Z106" i="5"/>
  <c r="L106" i="5"/>
  <c r="AC106" i="5" s="1" a="1"/>
  <c r="AC106" i="5" s="1"/>
  <c r="I106" i="12"/>
  <c r="AM106" i="5"/>
  <c r="X96" i="5" a="1"/>
  <c r="X96" i="5" s="1"/>
  <c r="L96" i="5" s="1"/>
  <c r="AC96" i="5" s="1" a="1"/>
  <c r="AC96" i="5" s="1"/>
  <c r="C101" i="6"/>
  <c r="O101" i="5"/>
  <c r="Z100" i="5"/>
  <c r="I100" i="12"/>
  <c r="L100" i="5"/>
  <c r="AM100" i="5"/>
  <c r="O22" i="11" a="1"/>
  <c r="O22" i="11" s="1"/>
  <c r="I93" i="12"/>
  <c r="C93" i="12" s="1"/>
  <c r="L93" i="5"/>
  <c r="AC93" i="5" s="1" a="1"/>
  <c r="AC93" i="5" s="1"/>
  <c r="AM93" i="5"/>
  <c r="Z84" i="5"/>
  <c r="AM84" i="5"/>
  <c r="L84" i="5"/>
  <c r="AC84" i="5" s="1" a="1"/>
  <c r="AC84" i="5" s="1"/>
  <c r="Z86" i="5"/>
  <c r="L86" i="5"/>
  <c r="AC86" i="5" s="1" a="1"/>
  <c r="AC86" i="5" s="1"/>
  <c r="AM86" i="5"/>
  <c r="I86" i="12"/>
  <c r="L84" i="12" a="1"/>
  <c r="L84" i="12" s="1"/>
  <c r="J84" i="12" a="1"/>
  <c r="J84" i="12" s="1"/>
  <c r="C84" i="12"/>
  <c r="Z76" i="5"/>
  <c r="L76" i="5"/>
  <c r="AC76" i="5" s="1" a="1"/>
  <c r="AC76" i="5" s="1"/>
  <c r="I76" i="12"/>
  <c r="J76" i="12" s="1" a="1"/>
  <c r="J76" i="12" s="1"/>
  <c r="AM78" i="5"/>
  <c r="L78" i="5"/>
  <c r="AC78" i="5" s="1" a="1"/>
  <c r="AC78" i="5" s="1"/>
  <c r="Z78" i="5"/>
  <c r="I78" i="12"/>
  <c r="O20" i="11" a="1"/>
  <c r="O20" i="11" s="1"/>
  <c r="L68" i="5"/>
  <c r="AC68" i="5" s="1" a="1"/>
  <c r="AC68" i="5" s="1"/>
  <c r="I68" i="12"/>
  <c r="C68" i="12" s="1"/>
  <c r="Z68" i="5"/>
  <c r="I71" i="12"/>
  <c r="L71" i="5"/>
  <c r="AC71" i="5" s="1" a="1"/>
  <c r="AC71" i="5" s="1"/>
  <c r="AM71" i="5"/>
  <c r="Z71" i="5"/>
  <c r="Z66" i="5"/>
  <c r="I66" i="12"/>
  <c r="L66" i="5"/>
  <c r="AC66" i="5" s="1" a="1"/>
  <c r="AC66" i="5" s="1"/>
  <c r="AM66" i="5"/>
  <c r="I55" i="12"/>
  <c r="L55" i="5"/>
  <c r="AC55" i="5" s="1" a="1"/>
  <c r="AC55" i="5" s="1"/>
  <c r="Z55" i="5"/>
  <c r="AM55" i="5"/>
  <c r="Z42" i="5"/>
  <c r="AM42" i="5"/>
  <c r="L42" i="5"/>
  <c r="AC42" i="5" s="1" a="1"/>
  <c r="AC42" i="5" s="1"/>
  <c r="AM51" i="5"/>
  <c r="L51" i="5"/>
  <c r="AC51" i="5" s="1" a="1"/>
  <c r="AC51" i="5" s="1"/>
  <c r="Z51" i="5"/>
  <c r="I51" i="12"/>
  <c r="J42" i="12" a="1"/>
  <c r="J42" i="12" s="1"/>
  <c r="L42" i="12" a="1"/>
  <c r="L42" i="12" s="1"/>
  <c r="C42" i="12"/>
  <c r="S26" i="8"/>
  <c r="G26" i="8" s="1"/>
  <c r="G27" i="8" s="1" a="1"/>
  <c r="G27" i="8" s="1"/>
  <c r="AM29" i="5"/>
  <c r="Z29" i="5"/>
  <c r="I29" i="12"/>
  <c r="J29" i="12" s="1" a="1"/>
  <c r="J29" i="12" s="1"/>
  <c r="O16" i="11" a="1"/>
  <c r="O16" i="11" s="1"/>
  <c r="S29" i="8"/>
  <c r="AM31" i="5"/>
  <c r="L31" i="5"/>
  <c r="AC31" i="5" s="1" a="1"/>
  <c r="AC31" i="5" s="1"/>
  <c r="Z31" i="5"/>
  <c r="I31" i="12"/>
  <c r="O29" i="5"/>
  <c r="C29" i="6"/>
  <c r="S20" i="8"/>
  <c r="Z23" i="5"/>
  <c r="Q32" i="8"/>
  <c r="L23" i="5"/>
  <c r="AM23" i="5"/>
  <c r="S23" i="8"/>
  <c r="J23" i="12" a="1"/>
  <c r="J23" i="12" s="1"/>
  <c r="L23" i="12" a="1"/>
  <c r="L23" i="12" s="1"/>
  <c r="C23" i="12"/>
  <c r="P32" i="8"/>
  <c r="I17" i="12"/>
  <c r="AM17" i="5"/>
  <c r="L17" i="5"/>
  <c r="AC17" i="5" s="1" a="1"/>
  <c r="AC17" i="5" s="1"/>
  <c r="Z17" i="5"/>
  <c r="S17" i="8"/>
  <c r="S34" i="8"/>
  <c r="F36" i="8"/>
  <c r="O14" i="11" l="1" a="1"/>
  <c r="O14" i="11" s="1"/>
  <c r="P14" i="11" s="1"/>
  <c r="O15" i="11" a="1"/>
  <c r="O15" i="11" s="1"/>
  <c r="G55" i="7"/>
  <c r="G56" i="7"/>
  <c r="G54" i="7"/>
  <c r="G53" i="7"/>
  <c r="G57" i="7"/>
  <c r="G49" i="7"/>
  <c r="G50" i="7"/>
  <c r="G51" i="7"/>
  <c r="G52" i="7"/>
  <c r="G36" i="7"/>
  <c r="G47" i="7"/>
  <c r="G48" i="7"/>
  <c r="G46" i="7"/>
  <c r="G45" i="7"/>
  <c r="G44" i="7"/>
  <c r="S14" i="8"/>
  <c r="G14" i="8" s="1"/>
  <c r="G15" i="8" s="1" a="1"/>
  <c r="G15" i="8" s="1"/>
  <c r="AM16" i="5"/>
  <c r="Z16" i="5"/>
  <c r="I16" i="12"/>
  <c r="C16" i="12" s="1"/>
  <c r="J225" i="12" a="1"/>
  <c r="J225" i="12" s="1"/>
  <c r="K225" i="12" s="1"/>
  <c r="C225" i="6"/>
  <c r="L16" i="5"/>
  <c r="AC16" i="5" s="1" a="1"/>
  <c r="AC16" i="5" s="1"/>
  <c r="C225" i="12"/>
  <c r="O225" i="5"/>
  <c r="D225" i="12" s="1"/>
  <c r="O17" i="11" a="1"/>
  <c r="O17" i="11" s="1"/>
  <c r="C17" i="11" s="1"/>
  <c r="AO225" i="12" a="1"/>
  <c r="AO225" i="12" s="1"/>
  <c r="O225" i="12" a="1"/>
  <c r="O225" i="12" s="1"/>
  <c r="O18" i="11" a="1"/>
  <c r="O18" i="11" s="1"/>
  <c r="P18" i="11" s="1"/>
  <c r="O19" i="11" a="1"/>
  <c r="O19" i="11" s="1"/>
  <c r="C19" i="11" s="1"/>
  <c r="G1" i="7"/>
  <c r="G42" i="7"/>
  <c r="G27" i="7"/>
  <c r="G18" i="7"/>
  <c r="G40" i="7"/>
  <c r="G19" i="7"/>
  <c r="G23" i="7"/>
  <c r="G32" i="7"/>
  <c r="G43" i="7"/>
  <c r="G41" i="7"/>
  <c r="G33" i="7"/>
  <c r="G21" i="7"/>
  <c r="G26" i="7"/>
  <c r="G24" i="7"/>
  <c r="G29" i="7"/>
  <c r="G17" i="7"/>
  <c r="G37" i="7"/>
  <c r="G16" i="7"/>
  <c r="G22" i="7"/>
  <c r="G25" i="7"/>
  <c r="G31" i="7"/>
  <c r="G35" i="7"/>
  <c r="G39" i="7"/>
  <c r="G20" i="7"/>
  <c r="G30" i="7"/>
  <c r="G28" i="7"/>
  <c r="G38" i="7"/>
  <c r="G34" i="7"/>
  <c r="I104" i="5"/>
  <c r="O103" i="5"/>
  <c r="D102" i="12"/>
  <c r="E102" i="6"/>
  <c r="O215" i="5"/>
  <c r="D215" i="12" s="1"/>
  <c r="C215" i="6"/>
  <c r="AB215" i="5" a="1"/>
  <c r="AB215" i="5" s="1"/>
  <c r="AB225" i="5" a="1"/>
  <c r="AB225" i="5" s="1"/>
  <c r="M218" i="12" a="1"/>
  <c r="M218" i="12" s="1"/>
  <c r="M225" i="12" a="1"/>
  <c r="M225" i="12" s="1"/>
  <c r="AO215" i="12" a="1"/>
  <c r="AO215" i="12" s="1"/>
  <c r="AO218" i="12" a="1"/>
  <c r="AO218" i="12" s="1"/>
  <c r="AB218" i="5" a="1"/>
  <c r="AB218" i="5" s="1"/>
  <c r="O215" i="12" a="1"/>
  <c r="O215" i="12" s="1"/>
  <c r="O218" i="12" a="1"/>
  <c r="O218" i="12" s="1"/>
  <c r="O218" i="5"/>
  <c r="C218" i="6"/>
  <c r="J218" i="12" a="1"/>
  <c r="J218" i="12" s="1"/>
  <c r="L218" i="12" a="1"/>
  <c r="L218" i="12" s="1"/>
  <c r="C218" i="12"/>
  <c r="M209" i="12" a="1"/>
  <c r="M209" i="12" s="1"/>
  <c r="M215" i="12" a="1"/>
  <c r="M215" i="12" s="1"/>
  <c r="K215" i="12"/>
  <c r="AB209" i="5" a="1"/>
  <c r="AB209" i="5" s="1"/>
  <c r="C209" i="6"/>
  <c r="O209" i="5"/>
  <c r="J209" i="12" a="1"/>
  <c r="J209" i="12" s="1"/>
  <c r="L209" i="12" a="1"/>
  <c r="L209" i="12" s="1"/>
  <c r="C209" i="12"/>
  <c r="AO209" i="12" a="1"/>
  <c r="AO209" i="12" s="1"/>
  <c r="O209" i="12" a="1"/>
  <c r="O209" i="12" s="1"/>
  <c r="J181" i="12" a="1"/>
  <c r="J181" i="12" s="1"/>
  <c r="L181" i="12" a="1"/>
  <c r="L181" i="12" s="1"/>
  <c r="C181" i="6"/>
  <c r="M196" i="12" a="1"/>
  <c r="M196" i="12" s="1"/>
  <c r="O181" i="5"/>
  <c r="D181" i="12" s="1"/>
  <c r="AB181" i="5" a="1"/>
  <c r="AB181" i="5" s="1"/>
  <c r="AB196" i="5" a="1"/>
  <c r="AB196" i="5" s="1"/>
  <c r="O181" i="12" a="1"/>
  <c r="O181" i="12" s="1"/>
  <c r="O196" i="12" a="1"/>
  <c r="O196" i="12" s="1"/>
  <c r="C196" i="6"/>
  <c r="O196" i="5"/>
  <c r="AO181" i="12" a="1"/>
  <c r="AO181" i="12" s="1"/>
  <c r="AO196" i="12" a="1"/>
  <c r="AO196" i="12" s="1"/>
  <c r="J196" i="12" a="1"/>
  <c r="J196" i="12" s="1"/>
  <c r="L196" i="12" a="1"/>
  <c r="L196" i="12" s="1"/>
  <c r="C196" i="12"/>
  <c r="M65" i="10"/>
  <c r="M68" i="10" s="1"/>
  <c r="U65" i="10"/>
  <c r="U68" i="10" s="1"/>
  <c r="K63" i="10"/>
  <c r="I63" i="10"/>
  <c r="Y9" i="10" s="1"/>
  <c r="C11" i="10" s="1" a="1"/>
  <c r="C11" i="10" s="1"/>
  <c r="O63" i="10"/>
  <c r="Q65" i="10"/>
  <c r="Q68" i="10" s="1"/>
  <c r="AE65" i="10"/>
  <c r="AE68" i="10" s="1"/>
  <c r="U63" i="10"/>
  <c r="S65" i="10"/>
  <c r="S68" i="10" s="1"/>
  <c r="AC65" i="10"/>
  <c r="AC68" i="10" s="1"/>
  <c r="M63" i="10"/>
  <c r="O65" i="10"/>
  <c r="O68" i="10" s="1"/>
  <c r="AE63" i="10"/>
  <c r="I65" i="10"/>
  <c r="AE9" i="10" s="1"/>
  <c r="AA63" i="10"/>
  <c r="Z15" i="5"/>
  <c r="W65" i="10"/>
  <c r="W68" i="10" s="1"/>
  <c r="AM15" i="5"/>
  <c r="W63" i="10"/>
  <c r="AA65" i="10"/>
  <c r="AA68" i="10" s="1"/>
  <c r="Y63" i="10"/>
  <c r="O169" i="5"/>
  <c r="D169" i="12" s="1"/>
  <c r="M169" i="12" a="1"/>
  <c r="M169" i="12" s="1"/>
  <c r="M181" i="12" a="1"/>
  <c r="M181" i="12" s="1"/>
  <c r="J129" i="12" a="1"/>
  <c r="J129" i="12" s="1"/>
  <c r="C169" i="6"/>
  <c r="AO169" i="12" a="1"/>
  <c r="AO169" i="12" s="1"/>
  <c r="AO174" i="12" a="1"/>
  <c r="AO174" i="12" s="1"/>
  <c r="O169" i="12" a="1"/>
  <c r="O169" i="12" s="1"/>
  <c r="O174" i="12" a="1"/>
  <c r="O174" i="12" s="1"/>
  <c r="M174" i="12" a="1"/>
  <c r="M174" i="12" s="1"/>
  <c r="J174" i="12" a="1"/>
  <c r="J174" i="12" s="1"/>
  <c r="L174" i="12" a="1"/>
  <c r="L174" i="12" s="1"/>
  <c r="C174" i="12"/>
  <c r="O174" i="5"/>
  <c r="C174" i="6"/>
  <c r="AB169" i="5" a="1"/>
  <c r="AB169" i="5" s="1"/>
  <c r="AB174" i="5" a="1"/>
  <c r="AB174" i="5" s="1"/>
  <c r="K169" i="12"/>
  <c r="L129" i="12" a="1"/>
  <c r="L129" i="12" s="1"/>
  <c r="O162" i="5"/>
  <c r="D162" i="12" s="1"/>
  <c r="J137" i="12" a="1"/>
  <c r="J137" i="12" s="1"/>
  <c r="C162" i="12"/>
  <c r="J162" i="12" a="1"/>
  <c r="J162" i="12" s="1"/>
  <c r="K162" i="12" s="1"/>
  <c r="L137" i="12" a="1"/>
  <c r="L137" i="12" s="1"/>
  <c r="S63" i="10"/>
  <c r="AC63" i="10"/>
  <c r="Q63" i="10"/>
  <c r="Y65" i="10"/>
  <c r="Y68" i="10" s="1"/>
  <c r="M162" i="12" a="1"/>
  <c r="M162" i="12" s="1"/>
  <c r="O162" i="12" a="1"/>
  <c r="O162" i="12" s="1"/>
  <c r="AB162" i="5" a="1"/>
  <c r="AB162" i="5" s="1"/>
  <c r="AO162" i="12" a="1"/>
  <c r="AO162" i="12" s="1"/>
  <c r="C162" i="6"/>
  <c r="AB137" i="5" a="1"/>
  <c r="AB137" i="5" s="1"/>
  <c r="AB152" i="5" a="1"/>
  <c r="AB152" i="5" s="1"/>
  <c r="AO137" i="12" a="1"/>
  <c r="AO137" i="12" s="1"/>
  <c r="AO152" i="12" a="1"/>
  <c r="AO152" i="12" s="1"/>
  <c r="O137" i="12" a="1"/>
  <c r="O137" i="12" s="1"/>
  <c r="O152" i="12" a="1"/>
  <c r="O152" i="12" s="1"/>
  <c r="J152" i="12" a="1"/>
  <c r="J152" i="12" s="1"/>
  <c r="L152" i="12" a="1"/>
  <c r="L152" i="12" s="1"/>
  <c r="C152" i="12"/>
  <c r="M137" i="12" a="1"/>
  <c r="M137" i="12" s="1"/>
  <c r="M152" i="12" a="1"/>
  <c r="M152" i="12" s="1"/>
  <c r="C152" i="6"/>
  <c r="O152" i="5"/>
  <c r="D137" i="12"/>
  <c r="E137" i="6"/>
  <c r="C122" i="12"/>
  <c r="J122" i="12" a="1"/>
  <c r="J122" i="12" s="1"/>
  <c r="K122" i="12" s="1"/>
  <c r="AB129" i="5" a="1"/>
  <c r="AB129" i="5" s="1"/>
  <c r="O129" i="12" a="1"/>
  <c r="O129" i="12" s="1"/>
  <c r="AO129" i="12" a="1"/>
  <c r="AO129" i="12" s="1"/>
  <c r="M129" i="12" a="1"/>
  <c r="M129" i="12" s="1"/>
  <c r="D129" i="12"/>
  <c r="E129" i="6"/>
  <c r="AB122" i="5" a="1"/>
  <c r="AB122" i="5" s="1"/>
  <c r="AB125" i="5" a="1"/>
  <c r="AB125" i="5" s="1"/>
  <c r="O122" i="12" a="1"/>
  <c r="O122" i="12" s="1"/>
  <c r="O125" i="12" a="1"/>
  <c r="O125" i="12" s="1"/>
  <c r="AO122" i="12" a="1"/>
  <c r="AO122" i="12" s="1"/>
  <c r="AO125" i="12" a="1"/>
  <c r="AO125" i="12" s="1"/>
  <c r="M122" i="12" a="1"/>
  <c r="M122" i="12" s="1"/>
  <c r="M125" i="12" a="1"/>
  <c r="M125" i="12" s="1"/>
  <c r="O125" i="5"/>
  <c r="C125" i="6"/>
  <c r="L125" i="12" a="1"/>
  <c r="L125" i="12" s="1"/>
  <c r="J125" i="12" a="1"/>
  <c r="J125" i="12" s="1"/>
  <c r="C125" i="12"/>
  <c r="O109" i="5"/>
  <c r="D109" i="12" s="1"/>
  <c r="E122" i="6"/>
  <c r="D122" i="12"/>
  <c r="C109" i="6"/>
  <c r="J101" i="12" a="1"/>
  <c r="J101" i="12" s="1"/>
  <c r="L101" i="12" a="1"/>
  <c r="L101" i="12" s="1"/>
  <c r="AO109" i="12" a="1"/>
  <c r="AO109" i="12" s="1"/>
  <c r="AO112" i="12" a="1"/>
  <c r="AO112" i="12" s="1"/>
  <c r="M109" i="12" a="1"/>
  <c r="M109" i="12" s="1"/>
  <c r="M112" i="12" a="1"/>
  <c r="M112" i="12" s="1"/>
  <c r="C23" i="11"/>
  <c r="L23" i="13"/>
  <c r="P23" i="11"/>
  <c r="AB109" i="5" a="1"/>
  <c r="AB109" i="5" s="1"/>
  <c r="O112" i="12" a="1"/>
  <c r="O112" i="12" s="1"/>
  <c r="L112" i="12" a="1"/>
  <c r="L112" i="12" s="1"/>
  <c r="J112" i="12" a="1"/>
  <c r="J112" i="12" s="1"/>
  <c r="C112" i="12"/>
  <c r="O109" i="12" a="1"/>
  <c r="O109" i="12" s="1"/>
  <c r="C112" i="6"/>
  <c r="O112" i="5"/>
  <c r="AB112" i="5" a="1"/>
  <c r="AB112" i="5" s="1"/>
  <c r="K109" i="12"/>
  <c r="AO101" i="12" a="1"/>
  <c r="AO101" i="12" s="1"/>
  <c r="AO106" i="12" a="1"/>
  <c r="AO106" i="12" s="1"/>
  <c r="M101" i="12" a="1"/>
  <c r="M101" i="12" s="1"/>
  <c r="M106" i="12" a="1"/>
  <c r="M106" i="12" s="1"/>
  <c r="L106" i="12" a="1"/>
  <c r="L106" i="12" s="1"/>
  <c r="J106" i="12" a="1"/>
  <c r="J106" i="12" s="1"/>
  <c r="C106" i="12"/>
  <c r="C106" i="6"/>
  <c r="O106" i="5"/>
  <c r="O101" i="12" a="1"/>
  <c r="O101" i="12" s="1"/>
  <c r="O106" i="12" a="1"/>
  <c r="O106" i="12" s="1"/>
  <c r="AB101" i="5" a="1"/>
  <c r="AB101" i="5" s="1"/>
  <c r="AB106" i="5" a="1"/>
  <c r="AB106" i="5" s="1"/>
  <c r="O21" i="11" a="1"/>
  <c r="O21" i="11" s="1"/>
  <c r="P21" i="11" s="1"/>
  <c r="Z96" i="5"/>
  <c r="I96" i="12"/>
  <c r="J96" i="12" s="1" a="1"/>
  <c r="J96" i="12" s="1"/>
  <c r="AM96" i="5"/>
  <c r="J93" i="12" a="1"/>
  <c r="J93" i="12" s="1"/>
  <c r="D101" i="12"/>
  <c r="E101" i="6"/>
  <c r="L93" i="12" a="1"/>
  <c r="L93" i="12" s="1"/>
  <c r="C100" i="6"/>
  <c r="O100" i="5"/>
  <c r="J100" i="12" a="1"/>
  <c r="J100" i="12" s="1"/>
  <c r="M100" i="12" s="1" a="1"/>
  <c r="M100" i="12" s="1"/>
  <c r="M96" i="12" s="1" a="1"/>
  <c r="M96" i="12" s="1"/>
  <c r="L100" i="12" a="1"/>
  <c r="L100" i="12" s="1"/>
  <c r="O100" i="12" s="1" a="1"/>
  <c r="O100" i="12" s="1"/>
  <c r="O16" i="12" s="1" a="1"/>
  <c r="O16" i="12" s="1"/>
  <c r="C100" i="12"/>
  <c r="AO100" i="12" a="1"/>
  <c r="AO100" i="12" s="1"/>
  <c r="AO16" i="12" s="1" a="1"/>
  <c r="AO16" i="12" s="1"/>
  <c r="AB93" i="5" a="1"/>
  <c r="AB93" i="5" s="1"/>
  <c r="AB100" i="5" a="1"/>
  <c r="AB100" i="5" s="1"/>
  <c r="AB96" i="5" s="1" a="1"/>
  <c r="AB96" i="5" s="1"/>
  <c r="P22" i="11"/>
  <c r="L22" i="13"/>
  <c r="C22" i="11"/>
  <c r="C93" i="6"/>
  <c r="O93" i="5"/>
  <c r="E93" i="6" s="1"/>
  <c r="M93" i="12" a="1"/>
  <c r="M93" i="12" s="1"/>
  <c r="AO93" i="12" a="1"/>
  <c r="AO93" i="12" s="1"/>
  <c r="O93" i="12" a="1"/>
  <c r="O93" i="12" s="1"/>
  <c r="O96" i="5"/>
  <c r="C96" i="6"/>
  <c r="O84" i="5"/>
  <c r="E84" i="6" s="1"/>
  <c r="C86" i="12"/>
  <c r="J86" i="12" a="1"/>
  <c r="J86" i="12" s="1"/>
  <c r="L86" i="12" a="1"/>
  <c r="L86" i="12" s="1"/>
  <c r="AB84" i="5" a="1"/>
  <c r="AB84" i="5" s="1"/>
  <c r="AB86" i="5" a="1"/>
  <c r="AB86" i="5" s="1"/>
  <c r="AO84" i="12" a="1"/>
  <c r="AO84" i="12" s="1"/>
  <c r="AO86" i="12" a="1"/>
  <c r="AO86" i="12" s="1"/>
  <c r="M84" i="12" a="1"/>
  <c r="M84" i="12" s="1"/>
  <c r="M86" i="12" a="1"/>
  <c r="M86" i="12" s="1"/>
  <c r="C76" i="6"/>
  <c r="C84" i="6"/>
  <c r="O84" i="12" a="1"/>
  <c r="O84" i="12" s="1"/>
  <c r="O86" i="12" a="1"/>
  <c r="O86" i="12" s="1"/>
  <c r="C86" i="6"/>
  <c r="O86" i="5"/>
  <c r="C76" i="12"/>
  <c r="O76" i="5"/>
  <c r="D76" i="12" s="1"/>
  <c r="K84" i="12"/>
  <c r="L76" i="12" a="1"/>
  <c r="L76" i="12" s="1"/>
  <c r="K76" i="12" s="1"/>
  <c r="L68" i="12" a="1"/>
  <c r="L68" i="12" s="1"/>
  <c r="M76" i="12" a="1"/>
  <c r="M76" i="12" s="1"/>
  <c r="M78" i="12" a="1"/>
  <c r="M78" i="12" s="1"/>
  <c r="O76" i="12" a="1"/>
  <c r="O76" i="12" s="1"/>
  <c r="O78" i="12" a="1"/>
  <c r="O78" i="12" s="1"/>
  <c r="L78" i="12" a="1"/>
  <c r="L78" i="12" s="1"/>
  <c r="J78" i="12" a="1"/>
  <c r="J78" i="12" s="1"/>
  <c r="C78" i="12"/>
  <c r="C78" i="6"/>
  <c r="O78" i="5"/>
  <c r="AB76" i="5" a="1"/>
  <c r="AB76" i="5" s="1"/>
  <c r="AB78" i="5" a="1"/>
  <c r="AB78" i="5" s="1"/>
  <c r="C20" i="11"/>
  <c r="P20" i="11"/>
  <c r="L20" i="13"/>
  <c r="AO76" i="12" a="1"/>
  <c r="AO76" i="12" s="1"/>
  <c r="AO78" i="12" a="1"/>
  <c r="AO78" i="12" s="1"/>
  <c r="J68" i="12" a="1"/>
  <c r="J68" i="12" s="1"/>
  <c r="C68" i="6"/>
  <c r="O68" i="5"/>
  <c r="D68" i="12" s="1"/>
  <c r="AB71" i="5" a="1"/>
  <c r="AB71" i="5" s="1"/>
  <c r="AO68" i="12" a="1"/>
  <c r="AO68" i="12" s="1"/>
  <c r="AO71" i="12" a="1"/>
  <c r="AO71" i="12" s="1"/>
  <c r="M68" i="12" a="1"/>
  <c r="M68" i="12" s="1"/>
  <c r="M71" i="12" a="1"/>
  <c r="M71" i="12" s="1"/>
  <c r="O71" i="5"/>
  <c r="C71" i="6"/>
  <c r="O71" i="12" a="1"/>
  <c r="O71" i="12" s="1"/>
  <c r="J71" i="12" a="1"/>
  <c r="J71" i="12" s="1"/>
  <c r="L71" i="12" a="1"/>
  <c r="L71" i="12" s="1"/>
  <c r="C71" i="12"/>
  <c r="AB66" i="5" a="1"/>
  <c r="AB66" i="5" s="1"/>
  <c r="AB68" i="5" a="1"/>
  <c r="AB68" i="5" s="1"/>
  <c r="O68" i="12" a="1"/>
  <c r="O68" i="12" s="1"/>
  <c r="AO66" i="12" a="1"/>
  <c r="AO66" i="12" s="1"/>
  <c r="M66" i="12" a="1"/>
  <c r="M66" i="12" s="1"/>
  <c r="O66" i="5"/>
  <c r="C66" i="6"/>
  <c r="O66" i="12" a="1"/>
  <c r="O66" i="12" s="1"/>
  <c r="L66" i="12" a="1"/>
  <c r="L66" i="12" s="1"/>
  <c r="J66" i="12" a="1"/>
  <c r="J66" i="12" s="1"/>
  <c r="C66" i="12"/>
  <c r="O55" i="5"/>
  <c r="C55" i="6"/>
  <c r="AB55" i="5" a="1"/>
  <c r="AB55" i="5" s="1"/>
  <c r="L55" i="12" a="1"/>
  <c r="L55" i="12" s="1"/>
  <c r="J55" i="12" a="1"/>
  <c r="J55" i="12" s="1"/>
  <c r="C55" i="12"/>
  <c r="AO55" i="12" a="1"/>
  <c r="AO55" i="12" s="1"/>
  <c r="M55" i="12" a="1"/>
  <c r="M55" i="12" s="1"/>
  <c r="O55" i="12" a="1"/>
  <c r="O55" i="12" s="1"/>
  <c r="C42" i="6"/>
  <c r="O42" i="5"/>
  <c r="D42" i="12" s="1"/>
  <c r="L51" i="12" a="1"/>
  <c r="L51" i="12" s="1"/>
  <c r="J51" i="12" a="1"/>
  <c r="J51" i="12" s="1"/>
  <c r="C51" i="12"/>
  <c r="C51" i="6"/>
  <c r="O51" i="5"/>
  <c r="O42" i="12" a="1"/>
  <c r="O42" i="12" s="1"/>
  <c r="O51" i="12" a="1"/>
  <c r="O51" i="12" s="1"/>
  <c r="AB42" i="5" a="1"/>
  <c r="AB42" i="5" s="1"/>
  <c r="AB51" i="5" a="1"/>
  <c r="AB51" i="5" s="1"/>
  <c r="AO42" i="12" a="1"/>
  <c r="AO42" i="12" s="1"/>
  <c r="AO51" i="12" a="1"/>
  <c r="AO51" i="12" s="1"/>
  <c r="M42" i="12" a="1"/>
  <c r="M42" i="12" s="1"/>
  <c r="M51" i="12" a="1"/>
  <c r="M51" i="12" s="1"/>
  <c r="K42" i="12"/>
  <c r="C29" i="12"/>
  <c r="L29" i="12" a="1"/>
  <c r="L29" i="12" s="1"/>
  <c r="K29" i="12" s="1"/>
  <c r="C31" i="6"/>
  <c r="O31" i="5"/>
  <c r="I26" i="8" s="1"/>
  <c r="G29" i="8"/>
  <c r="G30" i="8" s="1" a="1"/>
  <c r="G30" i="8" s="1"/>
  <c r="M29" i="12" a="1"/>
  <c r="M29" i="12" s="1"/>
  <c r="M31" i="12" a="1"/>
  <c r="M31" i="12" s="1"/>
  <c r="P16" i="11"/>
  <c r="C16" i="11"/>
  <c r="L16" i="13"/>
  <c r="AO29" i="12" a="1"/>
  <c r="AO29" i="12" s="1"/>
  <c r="AO31" i="12" a="1"/>
  <c r="AO31" i="12" s="1"/>
  <c r="O29" i="12" a="1"/>
  <c r="O29" i="12" s="1"/>
  <c r="O31" i="12" a="1"/>
  <c r="O31" i="12" s="1"/>
  <c r="AB29" i="5" a="1"/>
  <c r="AB29" i="5" s="1"/>
  <c r="AB31" i="5" a="1"/>
  <c r="AB31" i="5" s="1"/>
  <c r="L31" i="12" a="1"/>
  <c r="L31" i="12" s="1"/>
  <c r="J31" i="12" a="1"/>
  <c r="J31" i="12" s="1"/>
  <c r="C31" i="12"/>
  <c r="G20" i="8"/>
  <c r="G21" i="8" s="1" a="1"/>
  <c r="G21" i="8" s="1"/>
  <c r="D29" i="12"/>
  <c r="E29" i="6"/>
  <c r="O23" i="5"/>
  <c r="AC23" i="5" a="1"/>
  <c r="AC23" i="5" s="1"/>
  <c r="C23" i="6"/>
  <c r="AO23" i="12" a="1"/>
  <c r="AO23" i="12" s="1"/>
  <c r="AB23" i="5" a="1"/>
  <c r="AB23" i="5" s="1"/>
  <c r="K23" i="12"/>
  <c r="G23" i="8"/>
  <c r="G24" i="8" s="1" a="1"/>
  <c r="G24" i="8" s="1"/>
  <c r="M23" i="12" a="1"/>
  <c r="M23" i="12" s="1"/>
  <c r="O23" i="12" a="1"/>
  <c r="O23" i="12" s="1"/>
  <c r="C14" i="11"/>
  <c r="L14" i="13"/>
  <c r="AO17" i="12" a="1"/>
  <c r="AO17" i="12" s="1"/>
  <c r="M17" i="12" a="1"/>
  <c r="M17" i="12" s="1"/>
  <c r="O17" i="12" a="1"/>
  <c r="O17" i="12" s="1"/>
  <c r="AB17" i="5" a="1"/>
  <c r="AB17" i="5" s="1"/>
  <c r="G17" i="8"/>
  <c r="G18" i="8" s="1" a="1"/>
  <c r="G18" i="8" s="1"/>
  <c r="C17" i="6"/>
  <c r="O17" i="5"/>
  <c r="C17" i="12"/>
  <c r="J17" i="12" a="1"/>
  <c r="J17" i="12" s="1"/>
  <c r="L17" i="12" a="1"/>
  <c r="L17" i="12" s="1"/>
  <c r="S35" i="8"/>
  <c r="M35" i="8"/>
  <c r="J35" i="8"/>
  <c r="I20" i="8" l="1"/>
  <c r="A20" i="8" s="1"/>
  <c r="C15" i="11"/>
  <c r="P15" i="11"/>
  <c r="L15" i="13"/>
  <c r="C16" i="6"/>
  <c r="J16" i="12" a="1"/>
  <c r="J16" i="12" s="1"/>
  <c r="L16" i="12" a="1"/>
  <c r="L16" i="12" s="1"/>
  <c r="C14" i="6"/>
  <c r="O16" i="5"/>
  <c r="E14" i="6" s="1"/>
  <c r="L17" i="13"/>
  <c r="D17" i="13" s="1"/>
  <c r="I68" i="10"/>
  <c r="H68" i="10" s="1"/>
  <c r="P17" i="11"/>
  <c r="M16" i="12" a="1"/>
  <c r="M16" i="12" s="1"/>
  <c r="N16" i="12" s="1"/>
  <c r="L19" i="13"/>
  <c r="P19" i="13" s="1"/>
  <c r="Y225" i="12"/>
  <c r="W225" i="12" s="1" a="1"/>
  <c r="W225" i="12" s="1"/>
  <c r="U225" i="12" s="1"/>
  <c r="P19" i="11"/>
  <c r="N225" i="12"/>
  <c r="E225" i="6"/>
  <c r="AB16" i="5" a="1"/>
  <c r="AB16" i="5" s="1"/>
  <c r="AB14" i="11" s="1" a="1"/>
  <c r="AB14" i="11" s="1"/>
  <c r="L18" i="13"/>
  <c r="D18" i="13" s="1"/>
  <c r="C18" i="11"/>
  <c r="F6" i="7"/>
  <c r="AC12" i="13" a="1"/>
  <c r="AC12" i="13" s="1"/>
  <c r="AF12" i="13" a="1"/>
  <c r="AF12" i="13" s="1"/>
  <c r="AD12" i="13" a="1"/>
  <c r="AD12" i="13" s="1"/>
  <c r="AG12" i="13" a="1"/>
  <c r="AG12" i="13" s="1"/>
  <c r="I105" i="5"/>
  <c r="O104" i="5"/>
  <c r="E103" i="6"/>
  <c r="D103" i="12"/>
  <c r="N218" i="12"/>
  <c r="E215" i="6"/>
  <c r="N215" i="12"/>
  <c r="N209" i="12"/>
  <c r="Y218" i="12"/>
  <c r="W218" i="12" s="1" a="1"/>
  <c r="W218" i="12" s="1"/>
  <c r="D218" i="12"/>
  <c r="E218" i="6"/>
  <c r="K218" i="12"/>
  <c r="Y215" i="12"/>
  <c r="K209" i="12"/>
  <c r="K181" i="12"/>
  <c r="E181" i="6"/>
  <c r="E209" i="6"/>
  <c r="D209" i="12"/>
  <c r="Y209" i="12"/>
  <c r="K129" i="12"/>
  <c r="Y196" i="12"/>
  <c r="W196" i="12" s="1" a="1"/>
  <c r="W196" i="12" s="1"/>
  <c r="N181" i="12"/>
  <c r="K196" i="12"/>
  <c r="N196" i="12"/>
  <c r="E169" i="6"/>
  <c r="Y181" i="12"/>
  <c r="N169" i="12"/>
  <c r="D196" i="12"/>
  <c r="E196" i="6"/>
  <c r="Y169" i="12"/>
  <c r="W169" i="12" s="1" a="1"/>
  <c r="W169" i="12" s="1"/>
  <c r="V169" i="12" s="1" a="1"/>
  <c r="V169" i="12" s="1"/>
  <c r="K137" i="12"/>
  <c r="E162" i="6"/>
  <c r="K174" i="12"/>
  <c r="N174" i="12"/>
  <c r="Y174" i="12"/>
  <c r="D174" i="12"/>
  <c r="E174" i="6"/>
  <c r="Y162" i="12"/>
  <c r="W162" i="12" s="1" a="1"/>
  <c r="W162" i="12" s="1"/>
  <c r="N162" i="12"/>
  <c r="Y137" i="12"/>
  <c r="W137" i="12" s="1" a="1"/>
  <c r="W137" i="12" s="1"/>
  <c r="T137" i="12" s="1"/>
  <c r="K152" i="12"/>
  <c r="N152" i="12"/>
  <c r="E152" i="6"/>
  <c r="D152" i="12"/>
  <c r="N137" i="12"/>
  <c r="Y152" i="12"/>
  <c r="Y129" i="12"/>
  <c r="X129" i="12" s="1" a="1"/>
  <c r="X129" i="12" s="1"/>
  <c r="AB15" i="5"/>
  <c r="E109" i="6"/>
  <c r="N109" i="12"/>
  <c r="N129" i="12"/>
  <c r="Y122" i="12"/>
  <c r="X122" i="12" s="1" a="1"/>
  <c r="X122" i="12" s="1"/>
  <c r="K101" i="12"/>
  <c r="Y125" i="12"/>
  <c r="K125" i="12"/>
  <c r="N125" i="12"/>
  <c r="N122" i="12"/>
  <c r="E125" i="6"/>
  <c r="D125" i="12"/>
  <c r="Y109" i="12"/>
  <c r="W109" i="12" s="1" a="1"/>
  <c r="W109" i="12" s="1"/>
  <c r="K112" i="12"/>
  <c r="C96" i="12"/>
  <c r="D23" i="13"/>
  <c r="P23" i="13"/>
  <c r="N112" i="12"/>
  <c r="D112" i="12"/>
  <c r="E112" i="6"/>
  <c r="Y112" i="12"/>
  <c r="AB23" i="11" a="1"/>
  <c r="AB23" i="11" s="1"/>
  <c r="N23" i="11" s="1"/>
  <c r="AG23" i="13" a="1"/>
  <c r="AG23" i="13" s="1"/>
  <c r="AD23" i="13" a="1"/>
  <c r="AD23" i="13" s="1"/>
  <c r="N101" i="12"/>
  <c r="L96" i="12" a="1"/>
  <c r="L96" i="12" s="1"/>
  <c r="K96" i="12" s="1"/>
  <c r="Y101" i="12"/>
  <c r="W101" i="12" s="1" a="1"/>
  <c r="W101" i="12" s="1"/>
  <c r="N106" i="12"/>
  <c r="I35" i="8"/>
  <c r="K106" i="12"/>
  <c r="D106" i="12"/>
  <c r="E106" i="6"/>
  <c r="O24" i="11"/>
  <c r="AA7" i="11" s="1"/>
  <c r="Y106" i="12"/>
  <c r="L21" i="13"/>
  <c r="D21" i="13" s="1"/>
  <c r="C21" i="11"/>
  <c r="O96" i="12" a="1"/>
  <c r="O96" i="12" s="1"/>
  <c r="N96" i="12" s="1"/>
  <c r="Y100" i="12"/>
  <c r="W100" i="12" s="1" a="1"/>
  <c r="W100" i="12" s="1"/>
  <c r="K93" i="12"/>
  <c r="AO96" i="12" a="1"/>
  <c r="AO96" i="12" s="1"/>
  <c r="D93" i="12"/>
  <c r="AB21" i="11" a="1"/>
  <c r="AB21" i="11" s="1"/>
  <c r="N21" i="11" s="1"/>
  <c r="K100" i="12"/>
  <c r="N100" i="12"/>
  <c r="D22" i="13"/>
  <c r="P22" i="13"/>
  <c r="AB22" i="11" a="1"/>
  <c r="AB22" i="11" s="1"/>
  <c r="N22" i="11" s="1"/>
  <c r="AG22" i="13" a="1"/>
  <c r="AG22" i="13" s="1"/>
  <c r="AD22" i="13" a="1"/>
  <c r="AD22" i="13" s="1"/>
  <c r="D100" i="12"/>
  <c r="E100" i="6"/>
  <c r="N93" i="12"/>
  <c r="Y93" i="12"/>
  <c r="X93" i="12" s="1" a="1"/>
  <c r="X93" i="12" s="1"/>
  <c r="D96" i="12"/>
  <c r="E96" i="6"/>
  <c r="D84" i="12"/>
  <c r="E76" i="6"/>
  <c r="N84" i="12"/>
  <c r="Y84" i="12"/>
  <c r="X84" i="12" s="1" a="1"/>
  <c r="X84" i="12" s="1"/>
  <c r="K86" i="12"/>
  <c r="N86" i="12"/>
  <c r="N76" i="12"/>
  <c r="Y76" i="12"/>
  <c r="X76" i="12" s="1" a="1"/>
  <c r="X76" i="12" s="1"/>
  <c r="Y86" i="12"/>
  <c r="D86" i="12"/>
  <c r="E86" i="6"/>
  <c r="K68" i="12"/>
  <c r="K78" i="12"/>
  <c r="Y78" i="12"/>
  <c r="X78" i="12" s="1" a="1"/>
  <c r="X78" i="12" s="1"/>
  <c r="AD20" i="13" a="1"/>
  <c r="AD20" i="13" s="1"/>
  <c r="E78" i="6"/>
  <c r="D78" i="12"/>
  <c r="N78" i="12"/>
  <c r="D20" i="13"/>
  <c r="P20" i="13"/>
  <c r="E68" i="6"/>
  <c r="N68" i="12"/>
  <c r="K71" i="12"/>
  <c r="Y71" i="12"/>
  <c r="N71" i="12"/>
  <c r="AB19" i="11" a="1"/>
  <c r="AB19" i="11" s="1"/>
  <c r="N19" i="11" s="1"/>
  <c r="AG19" i="13" a="1"/>
  <c r="AG19" i="13" s="1"/>
  <c r="AD19" i="13" a="1"/>
  <c r="AD19" i="13" s="1"/>
  <c r="D71" i="12"/>
  <c r="E71" i="6"/>
  <c r="Y68" i="12"/>
  <c r="K66" i="12"/>
  <c r="Y66" i="12"/>
  <c r="E66" i="6"/>
  <c r="D66" i="12"/>
  <c r="N66" i="12"/>
  <c r="AB18" i="11" a="1"/>
  <c r="AB18" i="11" s="1"/>
  <c r="N18" i="11" s="1"/>
  <c r="AG18" i="13" a="1"/>
  <c r="AG18" i="13" s="1"/>
  <c r="AD18" i="13" a="1"/>
  <c r="AD18" i="13" s="1"/>
  <c r="Y55" i="12"/>
  <c r="X55" i="12" s="1" a="1"/>
  <c r="X55" i="12" s="1"/>
  <c r="N42" i="12"/>
  <c r="E42" i="6"/>
  <c r="Y42" i="12"/>
  <c r="X42" i="12" s="1" a="1"/>
  <c r="X42" i="12" s="1"/>
  <c r="N55" i="12"/>
  <c r="K55" i="12"/>
  <c r="AD17" i="13" a="1"/>
  <c r="AD17" i="13" s="1"/>
  <c r="D55" i="12"/>
  <c r="E55" i="6"/>
  <c r="Y51" i="12"/>
  <c r="X51" i="12" s="1" a="1"/>
  <c r="X51" i="12" s="1"/>
  <c r="D51" i="12"/>
  <c r="E51" i="6"/>
  <c r="K51" i="12"/>
  <c r="N51" i="12"/>
  <c r="N31" i="12"/>
  <c r="E23" i="6"/>
  <c r="N29" i="12"/>
  <c r="Y31" i="12"/>
  <c r="W31" i="12" s="1" a="1"/>
  <c r="W31" i="12" s="1"/>
  <c r="D23" i="12"/>
  <c r="Y29" i="12"/>
  <c r="AB16" i="11" a="1"/>
  <c r="AB16" i="11" s="1"/>
  <c r="N16" i="11" s="1"/>
  <c r="AG16" i="13" a="1"/>
  <c r="AG16" i="13" s="1"/>
  <c r="AD16" i="13" a="1"/>
  <c r="AD16" i="13" s="1"/>
  <c r="D16" i="13"/>
  <c r="P16" i="13"/>
  <c r="I29" i="8"/>
  <c r="A29" i="8" s="1"/>
  <c r="D31" i="12"/>
  <c r="E31" i="6"/>
  <c r="I32" i="8"/>
  <c r="A32" i="8" s="1"/>
  <c r="K31" i="12"/>
  <c r="AB15" i="11" a="1"/>
  <c r="AB15" i="11" s="1"/>
  <c r="N15" i="11" s="1"/>
  <c r="AD15" i="13" a="1"/>
  <c r="AD15" i="13" s="1"/>
  <c r="AG15" i="13" a="1"/>
  <c r="AG15" i="13" s="1"/>
  <c r="N23" i="12"/>
  <c r="AO14" i="13"/>
  <c r="O14" i="13" s="1"/>
  <c r="P14" i="13" s="1"/>
  <c r="AN14" i="13" a="1"/>
  <c r="AN14" i="13" s="1"/>
  <c r="AL14" i="13"/>
  <c r="M14" i="13" s="1"/>
  <c r="M28" i="13" s="1"/>
  <c r="AK14" i="13" a="1"/>
  <c r="AK14" i="13" s="1"/>
  <c r="Y23" i="12"/>
  <c r="W23" i="12" s="1" a="1"/>
  <c r="W23" i="12" s="1"/>
  <c r="I23" i="8"/>
  <c r="A23" i="8" s="1"/>
  <c r="K17" i="12"/>
  <c r="N17" i="12"/>
  <c r="Y17" i="12"/>
  <c r="X17" i="12" s="1" a="1"/>
  <c r="X17" i="12" s="1"/>
  <c r="Q35" i="8"/>
  <c r="D17" i="12"/>
  <c r="E17" i="6"/>
  <c r="I17" i="8"/>
  <c r="A17" i="8" s="1"/>
  <c r="G35" i="8"/>
  <c r="G36" i="8" s="1" a="1"/>
  <c r="G36" i="8" s="1"/>
  <c r="V14" i="13"/>
  <c r="V15" i="13" s="1"/>
  <c r="V16" i="13" s="1"/>
  <c r="D14" i="13"/>
  <c r="AG14" i="13" a="1"/>
  <c r="AG14" i="13" s="1"/>
  <c r="AD14" i="13" a="1"/>
  <c r="AD14" i="13" s="1"/>
  <c r="Y16" i="12"/>
  <c r="S37" i="8"/>
  <c r="F39" i="8"/>
  <c r="P35" i="8"/>
  <c r="A35" i="8"/>
  <c r="V17" i="13" l="1"/>
  <c r="V18" i="13" s="1"/>
  <c r="V19" i="13" s="1"/>
  <c r="V20" i="13" s="1"/>
  <c r="V21" i="13" s="1"/>
  <c r="V22" i="13" s="1"/>
  <c r="V23" i="13" s="1"/>
  <c r="P15" i="13"/>
  <c r="D15" i="13"/>
  <c r="I14" i="8"/>
  <c r="D19" i="13"/>
  <c r="K16" i="12"/>
  <c r="E16" i="6"/>
  <c r="D16" i="12"/>
  <c r="G11" i="11"/>
  <c r="P17" i="13"/>
  <c r="T225" i="12"/>
  <c r="P18" i="13"/>
  <c r="V225" i="12" a="1"/>
  <c r="V225" i="12" s="1"/>
  <c r="X225" i="12" a="1"/>
  <c r="X225" i="12" s="1"/>
  <c r="S16" i="13"/>
  <c r="U19" i="13"/>
  <c r="S19" i="13"/>
  <c r="S23" i="13"/>
  <c r="U15" i="13"/>
  <c r="S15" i="13"/>
  <c r="U16" i="13"/>
  <c r="S18" i="13"/>
  <c r="U18" i="13"/>
  <c r="S22" i="13"/>
  <c r="U22" i="13"/>
  <c r="AG17" i="13" a="1"/>
  <c r="AG17" i="13" s="1"/>
  <c r="U23" i="13"/>
  <c r="AB17" i="11" a="1"/>
  <c r="AB17" i="11" s="1"/>
  <c r="N17" i="11" s="1"/>
  <c r="AG20" i="13" a="1"/>
  <c r="AG20" i="13" s="1"/>
  <c r="AB20" i="11" a="1"/>
  <c r="AB20" i="11" s="1"/>
  <c r="N20" i="11" s="1"/>
  <c r="I106" i="5"/>
  <c r="I107" i="5" s="1"/>
  <c r="O105" i="5"/>
  <c r="D104" i="12"/>
  <c r="E104" i="6"/>
  <c r="X218" i="12" a="1"/>
  <c r="X218" i="12" s="1"/>
  <c r="X215" i="12" a="1"/>
  <c r="X215" i="12" s="1"/>
  <c r="W215" i="12" a="1"/>
  <c r="W215" i="12" s="1"/>
  <c r="T218" i="12"/>
  <c r="U218" i="12"/>
  <c r="V218" i="12" a="1"/>
  <c r="V218" i="12" s="1"/>
  <c r="X196" i="12" a="1"/>
  <c r="X196" i="12" s="1"/>
  <c r="X209" i="12" a="1"/>
  <c r="X209" i="12" s="1"/>
  <c r="W209" i="12" a="1"/>
  <c r="W209" i="12" s="1"/>
  <c r="X181" i="12" a="1"/>
  <c r="X181" i="12" s="1"/>
  <c r="W181" i="12" a="1"/>
  <c r="W181" i="12" s="1"/>
  <c r="T169" i="12"/>
  <c r="U169" i="12"/>
  <c r="X169" i="12" a="1"/>
  <c r="X169" i="12" s="1"/>
  <c r="U196" i="12"/>
  <c r="V196" i="12" a="1"/>
  <c r="V196" i="12" s="1"/>
  <c r="T196" i="12"/>
  <c r="X162" i="12" a="1"/>
  <c r="X162" i="12" s="1"/>
  <c r="W174" i="12" a="1"/>
  <c r="W174" i="12" s="1"/>
  <c r="X174" i="12" a="1"/>
  <c r="X174" i="12" s="1"/>
  <c r="V137" i="12" a="1"/>
  <c r="V137" i="12" s="1"/>
  <c r="U137" i="12"/>
  <c r="X137" i="12" a="1"/>
  <c r="X137" i="12" s="1"/>
  <c r="V162" i="12" a="1"/>
  <c r="V162" i="12" s="1"/>
  <c r="U162" i="12"/>
  <c r="T162" i="12"/>
  <c r="X152" i="12" a="1"/>
  <c r="X152" i="12" s="1"/>
  <c r="W152" i="12" a="1"/>
  <c r="W152" i="12" s="1"/>
  <c r="W129" i="12" a="1"/>
  <c r="W129" i="12" s="1"/>
  <c r="U129" i="12" s="1"/>
  <c r="X109" i="12" a="1"/>
  <c r="X109" i="12" s="1"/>
  <c r="W122" i="12" a="1"/>
  <c r="W122" i="12" s="1"/>
  <c r="T122" i="12" s="1"/>
  <c r="X125" i="12" a="1"/>
  <c r="X125" i="12" s="1"/>
  <c r="W125" i="12" a="1"/>
  <c r="W125" i="12" s="1"/>
  <c r="W112" i="12" a="1"/>
  <c r="W112" i="12" s="1"/>
  <c r="X112" i="12" a="1"/>
  <c r="X112" i="12" s="1"/>
  <c r="O25" i="11"/>
  <c r="AG21" i="13" a="1"/>
  <c r="AG21" i="13" s="1"/>
  <c r="U21" i="13" s="1"/>
  <c r="X101" i="12" a="1"/>
  <c r="X101" i="12" s="1"/>
  <c r="U109" i="12"/>
  <c r="T109" i="12"/>
  <c r="V109" i="12" a="1"/>
  <c r="V109" i="12" s="1"/>
  <c r="X100" i="12" a="1"/>
  <c r="X100" i="12" s="1"/>
  <c r="P21" i="13"/>
  <c r="L28" i="13"/>
  <c r="M24" i="13" s="1"/>
  <c r="AD21" i="13" a="1"/>
  <c r="AD21" i="13" s="1"/>
  <c r="S21" i="13" s="1"/>
  <c r="X106" i="12" a="1"/>
  <c r="X106" i="12" s="1"/>
  <c r="W106" i="12" a="1"/>
  <c r="W106" i="12" s="1"/>
  <c r="Y96" i="12"/>
  <c r="X96" i="12" s="1" a="1"/>
  <c r="X96" i="12" s="1"/>
  <c r="W84" i="12" a="1"/>
  <c r="W84" i="12" s="1"/>
  <c r="T84" i="12" s="1"/>
  <c r="W93" i="12" a="1"/>
  <c r="W93" i="12" s="1"/>
  <c r="U93" i="12" s="1"/>
  <c r="T101" i="12"/>
  <c r="V101" i="12" a="1"/>
  <c r="V101" i="12" s="1"/>
  <c r="U101" i="12"/>
  <c r="T100" i="12"/>
  <c r="V100" i="12" a="1"/>
  <c r="V100" i="12" s="1"/>
  <c r="U100" i="12"/>
  <c r="W76" i="12" a="1"/>
  <c r="W76" i="12" s="1"/>
  <c r="U76" i="12" s="1"/>
  <c r="W86" i="12" a="1"/>
  <c r="W86" i="12" s="1"/>
  <c r="X86" i="12" a="1"/>
  <c r="X86" i="12" s="1"/>
  <c r="W42" i="12" a="1"/>
  <c r="W42" i="12" s="1"/>
  <c r="U42" i="12" s="1"/>
  <c r="W51" i="12" a="1"/>
  <c r="W51" i="12" s="1"/>
  <c r="V51" i="12" s="1" a="1"/>
  <c r="V51" i="12" s="1"/>
  <c r="W78" i="12" a="1"/>
  <c r="W78" i="12" s="1"/>
  <c r="U78" i="12" s="1"/>
  <c r="W71" i="12" a="1"/>
  <c r="W71" i="12" s="1"/>
  <c r="X71" i="12" a="1"/>
  <c r="X71" i="12" s="1"/>
  <c r="X68" i="12" a="1"/>
  <c r="X68" i="12" s="1"/>
  <c r="W68" i="12" a="1"/>
  <c r="W68" i="12" s="1"/>
  <c r="W66" i="12" a="1"/>
  <c r="W66" i="12" s="1"/>
  <c r="X66" i="12" a="1"/>
  <c r="X66" i="12" s="1"/>
  <c r="W55" i="12" a="1"/>
  <c r="W55" i="12" s="1"/>
  <c r="T55" i="12" s="1"/>
  <c r="X31" i="12" a="1"/>
  <c r="X31" i="12" s="1"/>
  <c r="X29" i="12" a="1"/>
  <c r="X29" i="12" s="1"/>
  <c r="W29" i="12" a="1"/>
  <c r="W29" i="12" s="1"/>
  <c r="V31" i="12" a="1"/>
  <c r="V31" i="12" s="1"/>
  <c r="T31" i="12"/>
  <c r="U31" i="12"/>
  <c r="X23" i="12" a="1"/>
  <c r="X23" i="12" s="1"/>
  <c r="U14" i="13"/>
  <c r="S14" i="13"/>
  <c r="O28" i="13"/>
  <c r="N14" i="13"/>
  <c r="T23" i="12"/>
  <c r="U23" i="12"/>
  <c r="V23" i="12" a="1"/>
  <c r="V23" i="12" s="1"/>
  <c r="W17" i="12" a="1"/>
  <c r="W17" i="12" s="1"/>
  <c r="U17" i="12" s="1"/>
  <c r="N14" i="11"/>
  <c r="I38" i="8"/>
  <c r="M38" i="8"/>
  <c r="J38" i="8"/>
  <c r="S38" i="8"/>
  <c r="G38" i="8" s="1"/>
  <c r="G39" i="8" s="1" a="1"/>
  <c r="G39" i="8" s="1"/>
  <c r="X16" i="12" a="1"/>
  <c r="X16" i="12" s="1"/>
  <c r="W16" i="12" a="1"/>
  <c r="W16" i="12" s="1"/>
  <c r="U20" i="13" l="1"/>
  <c r="N24" i="11"/>
  <c r="N25" i="11" s="1"/>
  <c r="U17" i="13"/>
  <c r="S17" i="13"/>
  <c r="S20" i="13"/>
  <c r="AB24" i="11"/>
  <c r="AB7" i="11" s="1"/>
  <c r="Z3" i="11" s="1"/>
  <c r="I108" i="5"/>
  <c r="O107" i="5"/>
  <c r="E105" i="6"/>
  <c r="D105" i="12"/>
  <c r="L24" i="13"/>
  <c r="D33" i="14"/>
  <c r="T215" i="12"/>
  <c r="V215" i="12" a="1"/>
  <c r="V215" i="12" s="1"/>
  <c r="U215" i="12"/>
  <c r="T209" i="12"/>
  <c r="V209" i="12" a="1"/>
  <c r="V209" i="12" s="1"/>
  <c r="U209" i="12"/>
  <c r="V181" i="12" a="1"/>
  <c r="V181" i="12" s="1"/>
  <c r="T181" i="12"/>
  <c r="U181" i="12"/>
  <c r="V174" i="12" a="1"/>
  <c r="V174" i="12" s="1"/>
  <c r="T174" i="12"/>
  <c r="U174" i="12"/>
  <c r="T129" i="12"/>
  <c r="V129" i="12" a="1"/>
  <c r="V129" i="12" s="1"/>
  <c r="U152" i="12"/>
  <c r="T152" i="12"/>
  <c r="V152" i="12" a="1"/>
  <c r="V152" i="12" s="1"/>
  <c r="V122" i="12" a="1"/>
  <c r="V122" i="12" s="1"/>
  <c r="U122" i="12"/>
  <c r="V125" i="12" a="1"/>
  <c r="V125" i="12" s="1"/>
  <c r="U125" i="12"/>
  <c r="T125" i="12"/>
  <c r="V112" i="12" a="1"/>
  <c r="V112" i="12" s="1"/>
  <c r="U112" i="12"/>
  <c r="T112" i="12"/>
  <c r="P24" i="13"/>
  <c r="F34" i="14" s="1"/>
  <c r="O29" i="13"/>
  <c r="W96" i="12" a="1"/>
  <c r="W96" i="12" s="1"/>
  <c r="U96" i="12" s="1"/>
  <c r="T106" i="12"/>
  <c r="V106" i="12" a="1"/>
  <c r="V106" i="12" s="1"/>
  <c r="U106" i="12"/>
  <c r="U84" i="12"/>
  <c r="V84" i="12" a="1"/>
  <c r="V84" i="12" s="1"/>
  <c r="T93" i="12"/>
  <c r="V93" i="12" a="1"/>
  <c r="V93" i="12" s="1"/>
  <c r="V76" i="12" a="1"/>
  <c r="V76" i="12" s="1"/>
  <c r="T76" i="12"/>
  <c r="T51" i="12"/>
  <c r="U51" i="12"/>
  <c r="V42" i="12" a="1"/>
  <c r="V42" i="12" s="1"/>
  <c r="V86" i="12" a="1"/>
  <c r="V86" i="12" s="1"/>
  <c r="U86" i="12"/>
  <c r="T86" i="12"/>
  <c r="T42" i="12"/>
  <c r="V78" i="12" a="1"/>
  <c r="V78" i="12" s="1"/>
  <c r="T78" i="12"/>
  <c r="T71" i="12"/>
  <c r="U71" i="12"/>
  <c r="V71" i="12" a="1"/>
  <c r="V71" i="12" s="1"/>
  <c r="U68" i="12"/>
  <c r="T68" i="12"/>
  <c r="V68" i="12" a="1"/>
  <c r="V68" i="12" s="1"/>
  <c r="V55" i="12" a="1"/>
  <c r="V55" i="12" s="1"/>
  <c r="U55" i="12"/>
  <c r="V66" i="12" a="1"/>
  <c r="V66" i="12" s="1"/>
  <c r="U66" i="12"/>
  <c r="T66" i="12"/>
  <c r="U29" i="12"/>
  <c r="T29" i="12"/>
  <c r="V29" i="12" a="1"/>
  <c r="V29" i="12" s="1"/>
  <c r="P38" i="8"/>
  <c r="O24" i="13"/>
  <c r="D53" i="2" a="1"/>
  <c r="D53" i="2" s="1"/>
  <c r="N28" i="13"/>
  <c r="D54" i="2" a="1"/>
  <c r="D54" i="2" s="1"/>
  <c r="F33" i="14"/>
  <c r="D51" i="2" a="1"/>
  <c r="D51" i="2" s="1"/>
  <c r="D52" i="2" a="1"/>
  <c r="D52" i="2" s="1"/>
  <c r="D48" i="2" a="1"/>
  <c r="D48" i="2" s="1"/>
  <c r="D47" i="2" a="1"/>
  <c r="D47" i="2" s="1"/>
  <c r="AD6" i="13"/>
  <c r="T17" i="12"/>
  <c r="V17" i="12" a="1"/>
  <c r="V17" i="12" s="1"/>
  <c r="Q38" i="8"/>
  <c r="S40" i="8"/>
  <c r="F42" i="8"/>
  <c r="T16" i="12"/>
  <c r="V16" i="12" a="1"/>
  <c r="V16" i="12" s="1"/>
  <c r="U16" i="12"/>
  <c r="A38" i="8"/>
  <c r="L27" i="13" l="1"/>
  <c r="D32" i="14" s="1"/>
  <c r="AD4" i="13"/>
  <c r="M27" i="13"/>
  <c r="I109" i="5"/>
  <c r="I110" i="5" s="1"/>
  <c r="O108" i="5"/>
  <c r="D107" i="12"/>
  <c r="E107" i="6"/>
  <c r="G10" i="13"/>
  <c r="V96" i="12" a="1"/>
  <c r="V96" i="12" s="1"/>
  <c r="T96" i="12"/>
  <c r="D46" i="2"/>
  <c r="D50" i="2"/>
  <c r="S70" i="10" s="1"/>
  <c r="E33" i="14"/>
  <c r="N24" i="13"/>
  <c r="E34" i="14"/>
  <c r="AE6" i="13"/>
  <c r="S41" i="8"/>
  <c r="G41" i="8" s="1"/>
  <c r="G42" i="8" s="1" a="1"/>
  <c r="G42" i="8" s="1"/>
  <c r="M41" i="8"/>
  <c r="J41" i="8"/>
  <c r="I41" i="8"/>
  <c r="AA3" i="11" l="1" a="1"/>
  <c r="AA3" i="11" s="1"/>
  <c r="D1" i="2"/>
  <c r="AD27" i="13"/>
  <c r="AC27" i="13"/>
  <c r="AE4" i="13"/>
  <c r="O27" i="13" s="1"/>
  <c r="N27" i="13" s="1"/>
  <c r="E32" i="14" s="1"/>
  <c r="AA17" i="11" a="1"/>
  <c r="AA17" i="11" s="1"/>
  <c r="I111" i="5"/>
  <c r="O110" i="5"/>
  <c r="E108" i="6"/>
  <c r="D108" i="12"/>
  <c r="AA22" i="11" a="1"/>
  <c r="AA22" i="11" s="1"/>
  <c r="Z22" i="11" s="1"/>
  <c r="AC22" i="13" a="1"/>
  <c r="AC22" i="13" s="1"/>
  <c r="AF22" i="13" a="1"/>
  <c r="AF22" i="13" s="1"/>
  <c r="AA21" i="11" a="1"/>
  <c r="AA21" i="11" s="1"/>
  <c r="Z21" i="11" s="1"/>
  <c r="AF21" i="13" a="1"/>
  <c r="AF21" i="13" s="1"/>
  <c r="AC21" i="13" a="1"/>
  <c r="AC21" i="13" s="1"/>
  <c r="AF19" i="13" a="1"/>
  <c r="AF19" i="13" s="1"/>
  <c r="AC19" i="13" a="1"/>
  <c r="AC19" i="13" s="1"/>
  <c r="AA19" i="11" a="1"/>
  <c r="AA19" i="11" s="1"/>
  <c r="Z19" i="11" s="1"/>
  <c r="AA20" i="11" a="1"/>
  <c r="AA20" i="11" s="1"/>
  <c r="Z20" i="11" s="1"/>
  <c r="AC20" i="13" a="1"/>
  <c r="AC20" i="13" s="1"/>
  <c r="AF20" i="13" a="1"/>
  <c r="AF20" i="13" s="1"/>
  <c r="AF17" i="13" a="1"/>
  <c r="AF17" i="13" s="1"/>
  <c r="AA18" i="11" a="1"/>
  <c r="AA18" i="11" s="1"/>
  <c r="Z18" i="11" s="1"/>
  <c r="AC18" i="13" a="1"/>
  <c r="AC18" i="13" s="1"/>
  <c r="AF18" i="13" a="1"/>
  <c r="AF18" i="13" s="1"/>
  <c r="AA23" i="11" a="1"/>
  <c r="AA23" i="11" s="1"/>
  <c r="Z23" i="11" s="1"/>
  <c r="AF23" i="13" a="1"/>
  <c r="AF23" i="13" s="1"/>
  <c r="AC23" i="13" a="1"/>
  <c r="AC23" i="13" s="1"/>
  <c r="AA16" i="11" a="1"/>
  <c r="AA16" i="11" s="1"/>
  <c r="Z16" i="11" s="1"/>
  <c r="P41" i="8"/>
  <c r="J245" i="12"/>
  <c r="S43" i="8"/>
  <c r="F45" i="8"/>
  <c r="Q41" i="8"/>
  <c r="A41" i="8"/>
  <c r="AA223" i="5" l="1" a="1"/>
  <c r="AA223" i="5" s="1"/>
  <c r="AA224" i="5" a="1"/>
  <c r="AA224" i="5" s="1"/>
  <c r="AA30" i="5" a="1"/>
  <c r="AA30" i="5" s="1"/>
  <c r="AA29" i="5" s="1" a="1"/>
  <c r="AA29" i="5" s="1"/>
  <c r="AA222" i="5" a="1"/>
  <c r="AA222" i="5" s="1"/>
  <c r="AA200" i="5" a="1"/>
  <c r="AA200" i="5" s="1"/>
  <c r="AA63" i="5" a="1"/>
  <c r="AA63" i="5" s="1"/>
  <c r="AA149" i="5" a="1"/>
  <c r="AA149" i="5" s="1"/>
  <c r="AA221" i="5" a="1"/>
  <c r="AA221" i="5" s="1"/>
  <c r="AD12" i="11"/>
  <c r="AA77" i="5" a="1"/>
  <c r="AA77" i="5" s="1"/>
  <c r="AA76" i="5" s="1" a="1"/>
  <c r="AA76" i="5" s="1"/>
  <c r="AA158" i="5" a="1"/>
  <c r="AA158" i="5" s="1"/>
  <c r="AA92" i="5" a="1"/>
  <c r="AA92" i="5" s="1"/>
  <c r="AA170" i="5" a="1"/>
  <c r="AA170" i="5" s="1"/>
  <c r="AD15" i="11"/>
  <c r="AA117" i="5" a="1"/>
  <c r="AA117" i="5" s="1"/>
  <c r="AA19" i="5" a="1"/>
  <c r="AA19" i="5" s="1"/>
  <c r="AA36" i="5" a="1"/>
  <c r="AA36" i="5" s="1"/>
  <c r="AA219" i="5" a="1"/>
  <c r="AA219" i="5" s="1"/>
  <c r="AA73" i="5" a="1"/>
  <c r="AA73" i="5" s="1"/>
  <c r="AA159" i="5" a="1"/>
  <c r="AA159" i="5" s="1"/>
  <c r="AA233" i="5" a="1"/>
  <c r="AA233" i="5" s="1"/>
  <c r="AD18" i="11"/>
  <c r="AA94" i="5" a="1"/>
  <c r="AA94" i="5" s="1"/>
  <c r="AA166" i="5" a="1"/>
  <c r="AA166" i="5" s="1"/>
  <c r="AA102" i="5" a="1"/>
  <c r="AA102" i="5" s="1"/>
  <c r="AA103" i="5" a="1"/>
  <c r="AA103" i="5" s="1"/>
  <c r="AA179" i="5" a="1"/>
  <c r="AA179" i="5" s="1"/>
  <c r="AA28" i="5" a="1"/>
  <c r="AA28" i="5" s="1"/>
  <c r="AA35" i="5" a="1"/>
  <c r="AA35" i="5" s="1"/>
  <c r="AA133" i="5" a="1"/>
  <c r="AA133" i="5" s="1"/>
  <c r="AA204" i="5" a="1"/>
  <c r="AA204" i="5" s="1"/>
  <c r="AA27" i="5" a="1"/>
  <c r="AA27" i="5" s="1"/>
  <c r="AA136" i="5" a="1"/>
  <c r="AA136" i="5" s="1"/>
  <c r="AA207" i="5" a="1"/>
  <c r="AA207" i="5" s="1"/>
  <c r="AA26" i="5" a="1"/>
  <c r="AA26" i="5" s="1"/>
  <c r="AA126" i="5" a="1"/>
  <c r="AA126" i="5" s="1"/>
  <c r="AA198" i="5" a="1"/>
  <c r="AA198" i="5" s="1"/>
  <c r="AA116" i="5" a="1"/>
  <c r="AA116" i="5" s="1"/>
  <c r="AA147" i="5" a="1"/>
  <c r="AA147" i="5" s="1"/>
  <c r="AA220" i="5" a="1"/>
  <c r="AA220" i="5" s="1"/>
  <c r="AA88" i="5" a="1"/>
  <c r="AA88" i="5" s="1"/>
  <c r="AA175" i="5" a="1"/>
  <c r="AA175" i="5" s="1"/>
  <c r="AA194" i="5" a="1"/>
  <c r="AA194" i="5" s="1"/>
  <c r="AA56" i="5" a="1"/>
  <c r="AA56" i="5" s="1"/>
  <c r="AD17" i="11"/>
  <c r="AA168" i="5" a="1"/>
  <c r="AA168" i="5" s="1"/>
  <c r="AA172" i="5" a="1"/>
  <c r="AA172" i="5" s="1"/>
  <c r="AA72" i="5" a="1"/>
  <c r="AA72" i="5" s="1"/>
  <c r="AA184" i="5" a="1"/>
  <c r="AA184" i="5" s="1"/>
  <c r="AA140" i="5" a="1"/>
  <c r="AA140" i="5" s="1"/>
  <c r="AA80" i="5" a="1"/>
  <c r="AA80" i="5" s="1"/>
  <c r="AA151" i="5" a="1"/>
  <c r="AA151" i="5" s="1"/>
  <c r="AD22" i="11"/>
  <c r="AA87" i="5" a="1"/>
  <c r="AA87" i="5" s="1"/>
  <c r="AA173" i="5" a="1"/>
  <c r="AA173" i="5" s="1"/>
  <c r="AA182" i="5" a="1"/>
  <c r="AA182" i="5" s="1"/>
  <c r="AA171" i="5" a="1"/>
  <c r="AA171" i="5" s="1"/>
  <c r="AA141" i="5" a="1"/>
  <c r="AA141" i="5" s="1"/>
  <c r="AA226" i="5" a="1"/>
  <c r="AA226" i="5" s="1"/>
  <c r="AA97" i="5" a="1"/>
  <c r="AA97" i="5" s="1"/>
  <c r="AA99" i="5" a="1"/>
  <c r="AA99" i="5" s="1"/>
  <c r="AA201" i="5" a="1"/>
  <c r="AA201" i="5" s="1"/>
  <c r="AD16" i="11"/>
  <c r="AA199" i="5" a="1"/>
  <c r="AA199" i="5" s="1"/>
  <c r="AA139" i="5" a="1"/>
  <c r="AA139" i="5" s="1"/>
  <c r="AA45" i="5" a="1"/>
  <c r="AA45" i="5" s="1"/>
  <c r="AD20" i="11"/>
  <c r="AD14" i="11"/>
  <c r="AA90" i="5" a="1"/>
  <c r="AA90" i="5" s="1"/>
  <c r="AA167" i="5" a="1"/>
  <c r="AA167" i="5" s="1"/>
  <c r="AA70" i="5" a="1"/>
  <c r="AA70" i="5" s="1"/>
  <c r="AA20" i="5" a="1"/>
  <c r="AA20" i="5" s="1"/>
  <c r="AA104" i="5" a="1"/>
  <c r="AA104" i="5" s="1"/>
  <c r="AA176" i="5" a="1"/>
  <c r="AA176" i="5" s="1"/>
  <c r="AA25" i="5" a="1"/>
  <c r="AA25" i="5" s="1"/>
  <c r="AA108" i="5" a="1"/>
  <c r="AA108" i="5" s="1"/>
  <c r="AA188" i="5" a="1"/>
  <c r="AA188" i="5" s="1"/>
  <c r="AA79" i="5" a="1"/>
  <c r="AA79" i="5" s="1"/>
  <c r="AA48" i="5" a="1"/>
  <c r="AA48" i="5" s="1"/>
  <c r="AA142" i="5" a="1"/>
  <c r="AA142" i="5" s="1"/>
  <c r="AA213" i="5" a="1"/>
  <c r="AA213" i="5" s="1"/>
  <c r="AA38" i="5" a="1"/>
  <c r="AA38" i="5" s="1"/>
  <c r="AA145" i="5" a="1"/>
  <c r="AA145" i="5" s="1"/>
  <c r="AA217" i="5" a="1"/>
  <c r="AA217" i="5" s="1"/>
  <c r="AA37" i="5" a="1"/>
  <c r="AA37" i="5" s="1"/>
  <c r="AA135" i="5" a="1"/>
  <c r="AA135" i="5" s="1"/>
  <c r="AA206" i="5" a="1"/>
  <c r="AA206" i="5" s="1"/>
  <c r="AA61" i="5" a="1"/>
  <c r="AA61" i="5" s="1"/>
  <c r="AA156" i="5" a="1"/>
  <c r="AA156" i="5" s="1"/>
  <c r="AA231" i="5" a="1"/>
  <c r="AA231" i="5" s="1"/>
  <c r="AA67" i="5" a="1"/>
  <c r="AA67" i="5" s="1"/>
  <c r="AA66" i="5" s="1" a="1"/>
  <c r="AA66" i="5" s="1"/>
  <c r="AA144" i="5" a="1"/>
  <c r="AA144" i="5" s="1"/>
  <c r="AA216" i="5" a="1"/>
  <c r="AA216" i="5" s="1"/>
  <c r="AA83" i="5" a="1"/>
  <c r="AA83" i="5" s="1"/>
  <c r="AA165" i="5" a="1"/>
  <c r="AA165" i="5" s="1"/>
  <c r="AA57" i="5" a="1"/>
  <c r="AA57" i="5" s="1"/>
  <c r="AA128" i="5" a="1"/>
  <c r="AA128" i="5" s="1"/>
  <c r="AA43" i="5" a="1"/>
  <c r="AA43" i="5" s="1"/>
  <c r="AA120" i="5" a="1"/>
  <c r="AA120" i="5" s="1"/>
  <c r="AA193" i="5" a="1"/>
  <c r="AA193" i="5" s="1"/>
  <c r="AA113" i="5" a="1"/>
  <c r="AA113" i="5" s="1"/>
  <c r="AA131" i="5" a="1"/>
  <c r="AA131" i="5" s="1"/>
  <c r="AA202" i="5" a="1"/>
  <c r="AA202" i="5" s="1"/>
  <c r="AA143" i="5" a="1"/>
  <c r="AA143" i="5" s="1"/>
  <c r="AA214" i="5" a="1"/>
  <c r="AA214" i="5" s="1"/>
  <c r="AA82" i="5" a="1"/>
  <c r="AA82" i="5" s="1"/>
  <c r="AA85" i="5" a="1"/>
  <c r="AA85" i="5" s="1"/>
  <c r="AA84" i="5" s="1" a="1"/>
  <c r="AA84" i="5" s="1"/>
  <c r="AA74" i="5" a="1"/>
  <c r="AA74" i="5" s="1"/>
  <c r="AA64" i="5" a="1"/>
  <c r="AA64" i="5" s="1"/>
  <c r="AA89" i="5" a="1"/>
  <c r="AA89" i="5" s="1"/>
  <c r="AA118" i="5" a="1"/>
  <c r="AA118" i="5" s="1"/>
  <c r="AA69" i="5" a="1"/>
  <c r="AA69" i="5" s="1"/>
  <c r="AA148" i="5" a="1"/>
  <c r="AA148" i="5" s="1"/>
  <c r="AA232" i="5" a="1"/>
  <c r="AA232" i="5" s="1"/>
  <c r="AA111" i="5" a="1"/>
  <c r="AA111" i="5" s="1"/>
  <c r="AA130" i="5" a="1"/>
  <c r="AA130" i="5" s="1"/>
  <c r="AA195" i="5" a="1"/>
  <c r="AA195" i="5" s="1"/>
  <c r="AA47" i="5" a="1"/>
  <c r="AA47" i="5" s="1"/>
  <c r="AA50" i="5" a="1"/>
  <c r="AA50" i="5" s="1"/>
  <c r="AA53" i="5" a="1"/>
  <c r="AA53" i="5" s="1"/>
  <c r="AA21" i="5" a="1"/>
  <c r="AA21" i="5" s="1"/>
  <c r="AA100" i="5" a="1"/>
  <c r="AA100" i="5" s="1"/>
  <c r="AA177" i="5" a="1"/>
  <c r="AA177" i="5" s="1"/>
  <c r="AA121" i="5" a="1"/>
  <c r="AA121" i="5" s="1"/>
  <c r="AA33" i="5" a="1"/>
  <c r="AA33" i="5" s="1"/>
  <c r="AA110" i="5" a="1"/>
  <c r="AA110" i="5" s="1"/>
  <c r="AA185" i="5" a="1"/>
  <c r="AA185" i="5" s="1"/>
  <c r="AA44" i="5" a="1"/>
  <c r="AA44" i="5" s="1"/>
  <c r="AA123" i="5" a="1"/>
  <c r="AA123" i="5" s="1"/>
  <c r="AA197" i="5" a="1"/>
  <c r="AA197" i="5" s="1"/>
  <c r="AA107" i="5" a="1"/>
  <c r="AA107" i="5" s="1"/>
  <c r="AA115" i="5" a="1"/>
  <c r="AA115" i="5" s="1"/>
  <c r="AA150" i="5" a="1"/>
  <c r="AA150" i="5" s="1"/>
  <c r="AA229" i="5" a="1"/>
  <c r="AA229" i="5" s="1"/>
  <c r="AA114" i="5" a="1"/>
  <c r="AA114" i="5" s="1"/>
  <c r="AA154" i="5" a="1"/>
  <c r="AA154" i="5" s="1"/>
  <c r="AA228" i="5" a="1"/>
  <c r="AA228" i="5" s="1"/>
  <c r="AA190" i="5" a="1"/>
  <c r="AA190" i="5" s="1"/>
  <c r="AA127" i="5" a="1"/>
  <c r="AA127" i="5" s="1"/>
  <c r="AA210" i="5" a="1"/>
  <c r="AA210" i="5" s="1"/>
  <c r="AA41" i="5" a="1"/>
  <c r="AA41" i="5" s="1"/>
  <c r="AA91" i="5" a="1"/>
  <c r="AA91" i="5" s="1"/>
  <c r="AA34" i="5" a="1"/>
  <c r="AA34" i="5" s="1"/>
  <c r="AA105" i="5" a="1"/>
  <c r="AA105" i="5" s="1"/>
  <c r="AA186" i="5" a="1"/>
  <c r="AA186" i="5" s="1"/>
  <c r="AA138" i="5" a="1"/>
  <c r="AA138" i="5" s="1"/>
  <c r="AA46" i="5" a="1"/>
  <c r="AA46" i="5" s="1"/>
  <c r="AA124" i="5" a="1"/>
  <c r="AA124" i="5" s="1"/>
  <c r="AA192" i="5" a="1"/>
  <c r="AA192" i="5" s="1"/>
  <c r="AA54" i="5" a="1"/>
  <c r="AA54" i="5" s="1"/>
  <c r="AA134" i="5" a="1"/>
  <c r="AA134" i="5" s="1"/>
  <c r="AA205" i="5" a="1"/>
  <c r="AA205" i="5" s="1"/>
  <c r="AA164" i="5" a="1"/>
  <c r="AA164" i="5" s="1"/>
  <c r="AA60" i="5" a="1"/>
  <c r="AA60" i="5" s="1"/>
  <c r="AA160" i="5" a="1"/>
  <c r="AA160" i="5" s="1"/>
  <c r="AA49" i="5" a="1"/>
  <c r="AA49" i="5" s="1"/>
  <c r="AA59" i="5" a="1"/>
  <c r="AA59" i="5" s="1"/>
  <c r="AA163" i="5" a="1"/>
  <c r="AA163" i="5" s="1"/>
  <c r="AA40" i="5" a="1"/>
  <c r="AA40" i="5" s="1"/>
  <c r="AA62" i="5" a="1"/>
  <c r="AA62" i="5" s="1"/>
  <c r="AA153" i="5" a="1"/>
  <c r="AA153" i="5" s="1"/>
  <c r="AA234" i="5" a="1"/>
  <c r="AA234" i="5" s="1"/>
  <c r="AA39" i="5" a="1"/>
  <c r="AA39" i="5" s="1"/>
  <c r="AA98" i="5" a="1"/>
  <c r="AA98" i="5" s="1"/>
  <c r="AA211" i="5" a="1"/>
  <c r="AA211" i="5" s="1"/>
  <c r="AA227" i="5" a="1"/>
  <c r="AA227" i="5" s="1"/>
  <c r="AA178" i="5" a="1"/>
  <c r="AA178" i="5" s="1"/>
  <c r="AA95" i="5" a="1"/>
  <c r="AA95" i="5" s="1"/>
  <c r="AA18" i="5" a="1"/>
  <c r="AA18" i="5" s="1"/>
  <c r="AA212" i="5" a="1"/>
  <c r="AA212" i="5" s="1"/>
  <c r="AA81" i="5" a="1"/>
  <c r="AA81" i="5" s="1"/>
  <c r="AA161" i="5" a="1"/>
  <c r="AA161" i="5" s="1"/>
  <c r="AD23" i="11"/>
  <c r="AD19" i="11"/>
  <c r="AD21" i="11"/>
  <c r="AA32" i="5" a="1"/>
  <c r="AA32" i="5" s="1"/>
  <c r="AA119" i="5" a="1"/>
  <c r="AA119" i="5" s="1"/>
  <c r="AA65" i="5" a="1"/>
  <c r="AA65" i="5" s="1"/>
  <c r="AA157" i="5" a="1"/>
  <c r="AA157" i="5" s="1"/>
  <c r="AA155" i="5" a="1"/>
  <c r="AA155" i="5" s="1"/>
  <c r="AA191" i="5" a="1"/>
  <c r="AA191" i="5" s="1"/>
  <c r="AA183" i="5" a="1"/>
  <c r="AA183" i="5" s="1"/>
  <c r="AA230" i="5" a="1"/>
  <c r="AA230" i="5" s="1"/>
  <c r="AA75" i="5" a="1"/>
  <c r="AA75" i="5" s="1"/>
  <c r="AA187" i="5" a="1"/>
  <c r="AA187" i="5" s="1"/>
  <c r="AA180" i="5" a="1"/>
  <c r="AA180" i="5" s="1"/>
  <c r="AA24" i="5" a="1"/>
  <c r="AA24" i="5" s="1"/>
  <c r="AA189" i="5" a="1"/>
  <c r="AA189" i="5" s="1"/>
  <c r="AA22" i="5" a="1"/>
  <c r="AA22" i="5" s="1"/>
  <c r="AA146" i="5" a="1"/>
  <c r="AA146" i="5" s="1"/>
  <c r="AA52" i="5" a="1"/>
  <c r="AA52" i="5" s="1"/>
  <c r="AA132" i="5" a="1"/>
  <c r="AA132" i="5" s="1"/>
  <c r="AA203" i="5" a="1"/>
  <c r="AA203" i="5" s="1"/>
  <c r="AA208" i="5" a="1"/>
  <c r="AA208" i="5" s="1"/>
  <c r="AA58" i="5" a="1"/>
  <c r="AA58" i="5" s="1"/>
  <c r="F32" i="14"/>
  <c r="T18" i="13"/>
  <c r="R18" i="13"/>
  <c r="T17" i="13"/>
  <c r="R17" i="13"/>
  <c r="R16" i="13"/>
  <c r="R21" i="13"/>
  <c r="T21" i="13"/>
  <c r="Z17" i="11"/>
  <c r="AF16" i="13" a="1"/>
  <c r="AF16" i="13" s="1"/>
  <c r="T16" i="13" s="1"/>
  <c r="R19" i="13"/>
  <c r="T19" i="13"/>
  <c r="T20" i="13"/>
  <c r="R20" i="13"/>
  <c r="R22" i="13"/>
  <c r="T23" i="13"/>
  <c r="T22" i="13"/>
  <c r="R23" i="13"/>
  <c r="I112" i="5"/>
  <c r="I113" i="5" s="1"/>
  <c r="O111" i="5"/>
  <c r="D110" i="12"/>
  <c r="E110" i="6"/>
  <c r="J44" i="8"/>
  <c r="I44" i="8"/>
  <c r="M44" i="8"/>
  <c r="S44" i="8"/>
  <c r="AA218" i="5" l="1" a="1"/>
  <c r="AA218" i="5" s="1"/>
  <c r="AC17" i="13" s="1" a="1"/>
  <c r="AC17" i="13" s="1"/>
  <c r="AA51" i="5" a="1"/>
  <c r="AA51" i="5" s="1"/>
  <c r="AA209" i="5" a="1"/>
  <c r="AA209" i="5" s="1"/>
  <c r="AA129" i="5" a="1"/>
  <c r="AA129" i="5" s="1"/>
  <c r="AE12" i="11"/>
  <c r="M12" i="11" s="1"/>
  <c r="L12" i="11" s="1"/>
  <c r="AA55" i="5" a="1"/>
  <c r="AA55" i="5" s="1"/>
  <c r="AA125" i="5" a="1"/>
  <c r="AA125" i="5" s="1"/>
  <c r="AA68" i="5" a="1"/>
  <c r="AA68" i="5" s="1"/>
  <c r="AA96" i="5" a="1"/>
  <c r="AA96" i="5" s="1"/>
  <c r="AA23" i="5" a="1"/>
  <c r="AA23" i="5" s="1"/>
  <c r="AA106" i="5" a="1"/>
  <c r="AA106" i="5" s="1"/>
  <c r="AA225" i="5" a="1"/>
  <c r="AA225" i="5" s="1"/>
  <c r="AA196" i="5" a="1"/>
  <c r="AA196" i="5" s="1"/>
  <c r="AA42" i="5" a="1"/>
  <c r="AA42" i="5" s="1"/>
  <c r="AA174" i="5" a="1"/>
  <c r="AA174" i="5" s="1"/>
  <c r="AA16" i="5" a="1"/>
  <c r="AA16" i="5" s="1"/>
  <c r="AA15" i="5"/>
  <c r="AA17" i="5" a="1"/>
  <c r="AA17" i="5" s="1"/>
  <c r="AA152" i="5" a="1"/>
  <c r="AA152" i="5" s="1"/>
  <c r="AA122" i="5" a="1"/>
  <c r="AA122" i="5" s="1"/>
  <c r="AA101" i="5" a="1"/>
  <c r="AA101" i="5" s="1"/>
  <c r="AA31" i="5" a="1"/>
  <c r="AA31" i="5" s="1"/>
  <c r="AA181" i="5" a="1"/>
  <c r="AA181" i="5" s="1"/>
  <c r="AA71" i="5" a="1"/>
  <c r="AA71" i="5" s="1"/>
  <c r="AA93" i="5" a="1"/>
  <c r="AA93" i="5" s="1"/>
  <c r="AA137" i="5" a="1"/>
  <c r="AA137" i="5" s="1"/>
  <c r="AA162" i="5" a="1"/>
  <c r="AA162" i="5" s="1"/>
  <c r="AA109" i="5" a="1"/>
  <c r="AA109" i="5" s="1"/>
  <c r="AA78" i="5" a="1"/>
  <c r="AA78" i="5" s="1"/>
  <c r="AA86" i="5" a="1"/>
  <c r="AA86" i="5" s="1"/>
  <c r="AA112" i="5" a="1"/>
  <c r="AA112" i="5" s="1"/>
  <c r="AA215" i="5" a="1"/>
  <c r="AA215" i="5" s="1"/>
  <c r="AC16" i="13" s="1" a="1"/>
  <c r="AC16" i="13" s="1"/>
  <c r="AA169" i="5" a="1"/>
  <c r="AA169" i="5" s="1"/>
  <c r="AE15" i="11"/>
  <c r="AE17" i="11"/>
  <c r="M17" i="11" s="1"/>
  <c r="L17" i="11" s="1"/>
  <c r="AE16" i="11"/>
  <c r="M16" i="11" s="1"/>
  <c r="L16" i="11" s="1"/>
  <c r="AE19" i="11"/>
  <c r="M19" i="11" s="1"/>
  <c r="L19" i="11" s="1"/>
  <c r="AE18" i="11"/>
  <c r="M18" i="11" s="1"/>
  <c r="L18" i="11" s="1"/>
  <c r="AE21" i="11"/>
  <c r="M21" i="11" s="1"/>
  <c r="L21" i="11" s="1"/>
  <c r="AE20" i="11"/>
  <c r="M20" i="11" s="1"/>
  <c r="L20" i="11" s="1"/>
  <c r="AE23" i="11"/>
  <c r="M23" i="11" s="1"/>
  <c r="L23" i="11" s="1"/>
  <c r="AE22" i="11"/>
  <c r="M22" i="11" s="1"/>
  <c r="L22" i="11" s="1"/>
  <c r="I114" i="5"/>
  <c r="O113" i="5"/>
  <c r="D111" i="12"/>
  <c r="E111" i="6"/>
  <c r="Q44" i="8"/>
  <c r="P44" i="8"/>
  <c r="S46" i="8"/>
  <c r="F48" i="8"/>
  <c r="G44" i="8"/>
  <c r="G45" i="8" s="1" a="1"/>
  <c r="G45" i="8" s="1"/>
  <c r="A44" i="8"/>
  <c r="AJ14" i="13" l="1" a="1"/>
  <c r="AJ14" i="13" s="1"/>
  <c r="AM14" i="13" a="1"/>
  <c r="AM14" i="13" s="1"/>
  <c r="AC15" i="13" a="1"/>
  <c r="AC15" i="13" s="1"/>
  <c r="AA15" i="11" a="1"/>
  <c r="AA15" i="11" s="1"/>
  <c r="Z15" i="11" s="1"/>
  <c r="AF15" i="13" a="1"/>
  <c r="AF15" i="13" s="1"/>
  <c r="AA14" i="11" a="1"/>
  <c r="AA14" i="11" s="1"/>
  <c r="AC14" i="13" a="1"/>
  <c r="AC14" i="13" s="1"/>
  <c r="AF14" i="13" a="1"/>
  <c r="AF14" i="13" s="1"/>
  <c r="I115" i="5"/>
  <c r="O114" i="5"/>
  <c r="E113" i="6"/>
  <c r="D113" i="12"/>
  <c r="M47" i="8"/>
  <c r="S47" i="8"/>
  <c r="G47" i="8" s="1"/>
  <c r="G48" i="8" s="1" a="1"/>
  <c r="G48" i="8" s="1"/>
  <c r="I47" i="8"/>
  <c r="J47" i="8"/>
  <c r="T14" i="13" l="1"/>
  <c r="R14" i="13"/>
  <c r="T15" i="13"/>
  <c r="R15" i="13"/>
  <c r="M15" i="11"/>
  <c r="L15" i="11" s="1"/>
  <c r="Z14" i="11"/>
  <c r="Z24" i="11" s="1"/>
  <c r="AE14" i="11" s="1"/>
  <c r="M14" i="11" s="1"/>
  <c r="L14" i="11" s="1"/>
  <c r="AA24" i="11"/>
  <c r="O41" i="8"/>
  <c r="I116" i="5"/>
  <c r="O115" i="5"/>
  <c r="E114" i="6"/>
  <c r="D114" i="12"/>
  <c r="P47" i="8"/>
  <c r="Q47" i="8"/>
  <c r="S49" i="8"/>
  <c r="F51" i="8"/>
  <c r="A47" i="8"/>
  <c r="L24" i="11" l="1"/>
  <c r="L25" i="11" s="1"/>
  <c r="M26" i="13"/>
  <c r="M25" i="13" s="1"/>
  <c r="AD3" i="13"/>
  <c r="AD2" i="13" s="1"/>
  <c r="M24" i="11"/>
  <c r="M25" i="11" s="1"/>
  <c r="I117" i="5"/>
  <c r="O116" i="5"/>
  <c r="E115" i="6"/>
  <c r="D115" i="12"/>
  <c r="S50" i="8"/>
  <c r="G50" i="8" s="1"/>
  <c r="G51" i="8" s="1" a="1"/>
  <c r="G51" i="8" s="1"/>
  <c r="I50" i="8"/>
  <c r="M50" i="8"/>
  <c r="J50" i="8"/>
  <c r="L10" i="11" l="1"/>
  <c r="M10" i="13" s="1"/>
  <c r="L25" i="13"/>
  <c r="D30" i="14" s="1"/>
  <c r="AE3" i="13"/>
  <c r="O26" i="13" s="1"/>
  <c r="N26" i="13" s="1"/>
  <c r="E31" i="14" s="1"/>
  <c r="L26" i="13"/>
  <c r="D31" i="14" s="1"/>
  <c r="M10" i="11"/>
  <c r="N10" i="13" s="1"/>
  <c r="I118" i="5"/>
  <c r="O117" i="5"/>
  <c r="D116" i="12"/>
  <c r="E116" i="6"/>
  <c r="P50" i="8"/>
  <c r="Q50" i="8"/>
  <c r="S52" i="8"/>
  <c r="F54" i="8"/>
  <c r="A50" i="8"/>
  <c r="O25" i="13" l="1"/>
  <c r="F30" i="14" s="1"/>
  <c r="F31" i="14"/>
  <c r="AE2" i="13"/>
  <c r="AD26" i="13"/>
  <c r="AC26" i="13"/>
  <c r="G9" i="11"/>
  <c r="I119" i="5"/>
  <c r="O118" i="5"/>
  <c r="D117" i="12"/>
  <c r="E117" i="6"/>
  <c r="M53" i="8"/>
  <c r="J53" i="8"/>
  <c r="I53" i="8"/>
  <c r="S53" i="8"/>
  <c r="N25" i="13" l="1"/>
  <c r="E30" i="14" s="1"/>
  <c r="O47" i="8"/>
  <c r="I120" i="5"/>
  <c r="O119" i="5"/>
  <c r="E118" i="6"/>
  <c r="D118" i="12"/>
  <c r="P53" i="8"/>
  <c r="Q53" i="8"/>
  <c r="G53" i="8"/>
  <c r="G54" i="8" s="1" a="1"/>
  <c r="G54" i="8" s="1"/>
  <c r="S55" i="8"/>
  <c r="F57" i="8"/>
  <c r="A53" i="8"/>
  <c r="I121" i="5" l="1"/>
  <c r="O120" i="5"/>
  <c r="E119" i="6"/>
  <c r="D119" i="12"/>
  <c r="S56" i="8"/>
  <c r="G56" i="8" s="1"/>
  <c r="G57" i="8" s="1" a="1"/>
  <c r="G57" i="8" s="1"/>
  <c r="I56" i="8"/>
  <c r="M56" i="8"/>
  <c r="J56" i="8"/>
  <c r="I122" i="5" l="1"/>
  <c r="I123" i="5" s="1"/>
  <c r="O121" i="5"/>
  <c r="D120" i="12"/>
  <c r="E120" i="6"/>
  <c r="P56" i="8"/>
  <c r="Q56" i="8"/>
  <c r="S58" i="8"/>
  <c r="F60" i="8"/>
  <c r="A56" i="8"/>
  <c r="I124" i="5" l="1"/>
  <c r="O123" i="5"/>
  <c r="D121" i="12"/>
  <c r="E121" i="6"/>
  <c r="M59" i="8"/>
  <c r="S59" i="8"/>
  <c r="J59" i="8"/>
  <c r="I59" i="8"/>
  <c r="I125" i="5" l="1"/>
  <c r="I126" i="5" s="1"/>
  <c r="O124" i="5"/>
  <c r="D123" i="12"/>
  <c r="E123" i="6"/>
  <c r="P59" i="8"/>
  <c r="Q59" i="8"/>
  <c r="G59" i="8"/>
  <c r="G60" i="8" s="1" a="1"/>
  <c r="G60" i="8" s="1"/>
  <c r="S61" i="8"/>
  <c r="F63" i="8"/>
  <c r="A59" i="8"/>
  <c r="I127" i="5" l="1"/>
  <c r="O126" i="5"/>
  <c r="D124" i="12"/>
  <c r="E124" i="6"/>
  <c r="S62" i="8"/>
  <c r="M62" i="8"/>
  <c r="J62" i="8"/>
  <c r="I62" i="8"/>
  <c r="O56" i="8" l="1"/>
  <c r="I128" i="5"/>
  <c r="O127" i="5"/>
  <c r="D126" i="12"/>
  <c r="E126" i="6"/>
  <c r="P62" i="8"/>
  <c r="Q62" i="8"/>
  <c r="G62" i="8"/>
  <c r="G63" i="8" s="1" a="1"/>
  <c r="G63" i="8" s="1"/>
  <c r="S64" i="8"/>
  <c r="F66" i="8"/>
  <c r="A62" i="8"/>
  <c r="I129" i="5" l="1"/>
  <c r="I130" i="5" s="1"/>
  <c r="O128" i="5"/>
  <c r="E127" i="6"/>
  <c r="D127" i="12"/>
  <c r="M65" i="8"/>
  <c r="I65" i="8"/>
  <c r="S65" i="8"/>
  <c r="G65" i="8" s="1"/>
  <c r="G66" i="8" s="1" a="1"/>
  <c r="G66" i="8" s="1"/>
  <c r="J65" i="8"/>
  <c r="I131" i="5" l="1"/>
  <c r="O130" i="5"/>
  <c r="E128" i="6"/>
  <c r="D128" i="12"/>
  <c r="P65" i="8"/>
  <c r="Q65" i="8"/>
  <c r="S67" i="8"/>
  <c r="F69" i="8"/>
  <c r="A65" i="8"/>
  <c r="I132" i="5" l="1"/>
  <c r="O131" i="5"/>
  <c r="D130" i="12"/>
  <c r="E130" i="6"/>
  <c r="S68" i="8"/>
  <c r="J68" i="8"/>
  <c r="I68" i="8"/>
  <c r="M68" i="8"/>
  <c r="I133" i="5" l="1"/>
  <c r="O132" i="5"/>
  <c r="D131" i="12"/>
  <c r="E131" i="6"/>
  <c r="P68" i="8"/>
  <c r="Q68" i="8"/>
  <c r="G68" i="8"/>
  <c r="G69" i="8" s="1" a="1"/>
  <c r="G69" i="8" s="1"/>
  <c r="S70" i="8"/>
  <c r="F72" i="8"/>
  <c r="A68" i="8"/>
  <c r="I134" i="5" l="1"/>
  <c r="O133" i="5"/>
  <c r="E132" i="6"/>
  <c r="D132" i="12"/>
  <c r="M71" i="8"/>
  <c r="S71" i="8"/>
  <c r="G71" i="8" s="1"/>
  <c r="G72" i="8" s="1" a="1"/>
  <c r="G72" i="8" s="1"/>
  <c r="J71" i="8"/>
  <c r="I71" i="8"/>
  <c r="O65" i="8" l="1"/>
  <c r="I135" i="5"/>
  <c r="O134" i="5"/>
  <c r="D133" i="12"/>
  <c r="E133" i="6"/>
  <c r="Q71" i="8"/>
  <c r="P71" i="8"/>
  <c r="S73" i="8"/>
  <c r="F75" i="8"/>
  <c r="A71" i="8"/>
  <c r="I136" i="5" l="1"/>
  <c r="O135" i="5"/>
  <c r="E134" i="6"/>
  <c r="D134" i="12"/>
  <c r="S74" i="8"/>
  <c r="J74" i="8"/>
  <c r="I74" i="8"/>
  <c r="M74" i="8"/>
  <c r="P74" i="8" l="1"/>
  <c r="I137" i="5"/>
  <c r="I138" i="5" s="1"/>
  <c r="O136" i="5"/>
  <c r="D135" i="12"/>
  <c r="E135" i="6"/>
  <c r="Q74" i="8"/>
  <c r="G74" i="8"/>
  <c r="G75" i="8" s="1" a="1"/>
  <c r="G75" i="8" s="1"/>
  <c r="S76" i="8"/>
  <c r="F78" i="8"/>
  <c r="A74" i="8"/>
  <c r="I139" i="5" l="1"/>
  <c r="O138" i="5"/>
  <c r="D136" i="12"/>
  <c r="E136" i="6"/>
  <c r="M77" i="8"/>
  <c r="J77" i="8"/>
  <c r="S77" i="8"/>
  <c r="I77" i="8"/>
  <c r="I140" i="5" l="1"/>
  <c r="O139" i="5"/>
  <c r="D138" i="12"/>
  <c r="E138" i="6"/>
  <c r="Q77" i="8"/>
  <c r="P77" i="8"/>
  <c r="G77" i="8"/>
  <c r="G78" i="8" s="1" a="1"/>
  <c r="G78" i="8" s="1"/>
  <c r="S79" i="8"/>
  <c r="F81" i="8"/>
  <c r="A77" i="8"/>
  <c r="I141" i="5" l="1"/>
  <c r="O140" i="5"/>
  <c r="D139" i="12"/>
  <c r="E139" i="6"/>
  <c r="S80" i="8"/>
  <c r="G80" i="8" s="1"/>
  <c r="G81" i="8" s="1" a="1"/>
  <c r="G81" i="8" s="1"/>
  <c r="J80" i="8"/>
  <c r="I80" i="8"/>
  <c r="M80" i="8"/>
  <c r="O74" i="8" l="1"/>
  <c r="I142" i="5"/>
  <c r="O141" i="5"/>
  <c r="E140" i="6"/>
  <c r="D140" i="12"/>
  <c r="P80" i="8"/>
  <c r="Q80" i="8"/>
  <c r="S82" i="8"/>
  <c r="F84" i="8"/>
  <c r="A80" i="8"/>
  <c r="I143" i="5" l="1"/>
  <c r="O142" i="5"/>
  <c r="E141" i="6"/>
  <c r="D141" i="12"/>
  <c r="M83" i="8"/>
  <c r="J83" i="8"/>
  <c r="I83" i="8"/>
  <c r="S83" i="8"/>
  <c r="Q83" i="8" l="1"/>
  <c r="I144" i="5"/>
  <c r="O143" i="5"/>
  <c r="D142" i="12"/>
  <c r="E142" i="6"/>
  <c r="P83" i="8"/>
  <c r="G83" i="8"/>
  <c r="G84" i="8" s="1" a="1"/>
  <c r="G84" i="8" s="1"/>
  <c r="S85" i="8"/>
  <c r="F87" i="8"/>
  <c r="A83" i="8"/>
  <c r="I145" i="5" l="1"/>
  <c r="O144" i="5"/>
  <c r="E143" i="6"/>
  <c r="D143" i="12"/>
  <c r="I86" i="8"/>
  <c r="S86" i="8"/>
  <c r="J86" i="8"/>
  <c r="M86" i="8"/>
  <c r="I146" i="5" l="1"/>
  <c r="O145" i="5"/>
  <c r="D144" i="12"/>
  <c r="E144" i="6"/>
  <c r="P86" i="8"/>
  <c r="Q86" i="8"/>
  <c r="S88" i="8"/>
  <c r="F90" i="8"/>
  <c r="G86" i="8"/>
  <c r="G87" i="8" s="1" a="1"/>
  <c r="G87" i="8" s="1"/>
  <c r="A86" i="8"/>
  <c r="I147" i="5" l="1"/>
  <c r="O146" i="5"/>
  <c r="E145" i="6"/>
  <c r="D145" i="12"/>
  <c r="J89" i="8"/>
  <c r="I89" i="8"/>
  <c r="S89" i="8"/>
  <c r="M89" i="8"/>
  <c r="P89" i="8" l="1"/>
  <c r="I148" i="5"/>
  <c r="O147" i="5"/>
  <c r="D146" i="12"/>
  <c r="E146" i="6"/>
  <c r="Q89" i="8"/>
  <c r="G89" i="8"/>
  <c r="G90" i="8" s="1" a="1"/>
  <c r="G90" i="8" s="1"/>
  <c r="S91" i="8"/>
  <c r="F93" i="8"/>
  <c r="A89" i="8"/>
  <c r="I149" i="5" l="1"/>
  <c r="O148" i="5"/>
  <c r="E147" i="6"/>
  <c r="D147" i="12"/>
  <c r="S92" i="8"/>
  <c r="M92" i="8"/>
  <c r="I92" i="8"/>
  <c r="J92" i="8"/>
  <c r="O86" i="8" l="1"/>
  <c r="P92" i="8"/>
  <c r="I150" i="5"/>
  <c r="O149" i="5"/>
  <c r="D148" i="12"/>
  <c r="E148" i="6"/>
  <c r="Q92" i="8"/>
  <c r="S94" i="8"/>
  <c r="F96" i="8"/>
  <c r="G92" i="8"/>
  <c r="G93" i="8" s="1" a="1"/>
  <c r="G93" i="8" s="1"/>
  <c r="A92" i="8"/>
  <c r="I151" i="5" l="1"/>
  <c r="O150" i="5"/>
  <c r="D149" i="12"/>
  <c r="E149" i="6"/>
  <c r="M95" i="8"/>
  <c r="S95" i="8"/>
  <c r="J95" i="8"/>
  <c r="I95" i="8"/>
  <c r="I152" i="5" l="1"/>
  <c r="I153" i="5" s="1"/>
  <c r="O151" i="5"/>
  <c r="D150" i="12"/>
  <c r="E150" i="6"/>
  <c r="Q95" i="8"/>
  <c r="P95" i="8"/>
  <c r="G95" i="8"/>
  <c r="G96" i="8" s="1" a="1"/>
  <c r="G96" i="8" s="1"/>
  <c r="S97" i="8"/>
  <c r="F99" i="8"/>
  <c r="A95" i="8"/>
  <c r="I154" i="5" l="1"/>
  <c r="O153" i="5"/>
  <c r="D151" i="12"/>
  <c r="E151" i="6"/>
  <c r="J98" i="8"/>
  <c r="I98" i="8"/>
  <c r="M98" i="8"/>
  <c r="S98" i="8"/>
  <c r="P98" i="8" l="1"/>
  <c r="I155" i="5"/>
  <c r="O154" i="5"/>
  <c r="D153" i="12"/>
  <c r="E153" i="6"/>
  <c r="Q98" i="8"/>
  <c r="S100" i="8"/>
  <c r="F102" i="8"/>
  <c r="G98" i="8"/>
  <c r="G99" i="8" s="1" a="1"/>
  <c r="G99" i="8" s="1"/>
  <c r="A98" i="8"/>
  <c r="I156" i="5" l="1"/>
  <c r="I157" i="5" s="1"/>
  <c r="O157" i="5" s="1"/>
  <c r="O155" i="5"/>
  <c r="D154" i="12"/>
  <c r="E154" i="6"/>
  <c r="M101" i="8"/>
  <c r="I101" i="8"/>
  <c r="J101" i="8"/>
  <c r="S101" i="8"/>
  <c r="Q101" i="8" l="1"/>
  <c r="D157" i="12"/>
  <c r="E157" i="6"/>
  <c r="I158" i="5"/>
  <c r="O156" i="5"/>
  <c r="D155" i="12"/>
  <c r="E155" i="6"/>
  <c r="P101" i="8"/>
  <c r="G101" i="8"/>
  <c r="G102" i="8" s="1" a="1"/>
  <c r="G102" i="8" s="1"/>
  <c r="S103" i="8"/>
  <c r="F105" i="8"/>
  <c r="A101" i="8"/>
  <c r="I159" i="5" l="1"/>
  <c r="O158" i="5"/>
  <c r="D156" i="12"/>
  <c r="E156" i="6"/>
  <c r="S104" i="8"/>
  <c r="I104" i="8"/>
  <c r="M104" i="8"/>
  <c r="J104" i="8"/>
  <c r="P104" i="8" l="1"/>
  <c r="I160" i="5"/>
  <c r="O159" i="5"/>
  <c r="D158" i="12"/>
  <c r="E158" i="6"/>
  <c r="Q104" i="8"/>
  <c r="S106" i="8"/>
  <c r="F108" i="8"/>
  <c r="G104" i="8"/>
  <c r="G105" i="8" s="1" a="1"/>
  <c r="G105" i="8" s="1"/>
  <c r="A104" i="8"/>
  <c r="I161" i="5" l="1"/>
  <c r="O160" i="5"/>
  <c r="D159" i="12"/>
  <c r="E159" i="6"/>
  <c r="M107" i="8"/>
  <c r="J107" i="8"/>
  <c r="I107" i="8"/>
  <c r="S107" i="8"/>
  <c r="Q107" i="8" l="1"/>
  <c r="I162" i="5"/>
  <c r="I163" i="5" s="1"/>
  <c r="O161" i="5"/>
  <c r="D160" i="12"/>
  <c r="E160" i="6"/>
  <c r="P107" i="8"/>
  <c r="S109" i="8"/>
  <c r="F111" i="8"/>
  <c r="G107" i="8"/>
  <c r="G108" i="8" s="1" a="1"/>
  <c r="G108" i="8" s="1"/>
  <c r="A107" i="8"/>
  <c r="I164" i="5" l="1"/>
  <c r="O163" i="5"/>
  <c r="E161" i="6"/>
  <c r="D161" i="12"/>
  <c r="S110" i="8"/>
  <c r="I110" i="8"/>
  <c r="M110" i="8"/>
  <c r="J110" i="8"/>
  <c r="I165" i="5" l="1"/>
  <c r="O164" i="5"/>
  <c r="D163" i="12"/>
  <c r="E163" i="6"/>
  <c r="P110" i="8"/>
  <c r="Q110" i="8"/>
  <c r="S112" i="8"/>
  <c r="F114" i="8"/>
  <c r="G110" i="8"/>
  <c r="G111" i="8" s="1" a="1"/>
  <c r="G111" i="8" s="1"/>
  <c r="A110" i="8"/>
  <c r="I166" i="5" l="1"/>
  <c r="O165" i="5"/>
  <c r="D164" i="12"/>
  <c r="E164" i="6"/>
  <c r="M113" i="8"/>
  <c r="J113" i="8"/>
  <c r="I113" i="8"/>
  <c r="S113" i="8"/>
  <c r="Q113" i="8" l="1"/>
  <c r="I167" i="5"/>
  <c r="O166" i="5"/>
  <c r="D165" i="12"/>
  <c r="E165" i="6"/>
  <c r="P113" i="8"/>
  <c r="G113" i="8"/>
  <c r="G114" i="8" s="1" a="1"/>
  <c r="G114" i="8" s="1"/>
  <c r="S115" i="8"/>
  <c r="F117" i="8"/>
  <c r="A113" i="8"/>
  <c r="I168" i="5" l="1"/>
  <c r="O167" i="5"/>
  <c r="E166" i="6"/>
  <c r="D166" i="12"/>
  <c r="S116" i="8"/>
  <c r="M116" i="8"/>
  <c r="J116" i="8"/>
  <c r="I116" i="8"/>
  <c r="Q116" i="8" l="1"/>
  <c r="I169" i="5"/>
  <c r="I170" i="5" s="1"/>
  <c r="O168" i="5"/>
  <c r="E167" i="6"/>
  <c r="D167" i="12"/>
  <c r="P116" i="8"/>
  <c r="S118" i="8"/>
  <c r="G116" i="8"/>
  <c r="G117" i="8" s="1" a="1"/>
  <c r="G117" i="8" s="1"/>
  <c r="A116" i="8"/>
  <c r="I171" i="5" l="1"/>
  <c r="O170" i="5"/>
  <c r="D168" i="12"/>
  <c r="E168" i="6"/>
  <c r="N89" i="8" l="1"/>
  <c r="N92" i="8"/>
  <c r="N83" i="8"/>
  <c r="N77" i="8"/>
  <c r="N86" i="8"/>
  <c r="R86" i="8" s="1"/>
  <c r="N104" i="8"/>
  <c r="N74" i="8"/>
  <c r="R74" i="8" s="1"/>
  <c r="N95" i="8"/>
  <c r="N101" i="8"/>
  <c r="N80" i="8"/>
  <c r="N98" i="8"/>
  <c r="N107" i="8"/>
  <c r="I172" i="5"/>
  <c r="O171" i="5"/>
  <c r="D170" i="12"/>
  <c r="E170" i="6"/>
  <c r="H74" i="8" l="1" a="1"/>
  <c r="H74" i="8" s="1"/>
  <c r="J75" i="8" s="1"/>
  <c r="H75" i="8" a="1"/>
  <c r="H75" i="8" s="1"/>
  <c r="H86" i="8" a="1"/>
  <c r="H86" i="8" s="1"/>
  <c r="J87" i="8" s="1"/>
  <c r="H87" i="8" a="1"/>
  <c r="H87" i="8" s="1"/>
  <c r="D74" i="8"/>
  <c r="F76" i="8"/>
  <c r="C74" i="8"/>
  <c r="C86" i="8"/>
  <c r="F88" i="8"/>
  <c r="D86" i="8"/>
  <c r="I173" i="5"/>
  <c r="O172" i="5"/>
  <c r="D171" i="12"/>
  <c r="E171" i="6"/>
  <c r="I174" i="5" l="1"/>
  <c r="I175" i="5" s="1"/>
  <c r="O173" i="5"/>
  <c r="E172" i="6"/>
  <c r="D172" i="12"/>
  <c r="N110" i="8"/>
  <c r="N113" i="8"/>
  <c r="I176" i="5" l="1"/>
  <c r="O175" i="5"/>
  <c r="E173" i="6"/>
  <c r="D173" i="12"/>
  <c r="N116" i="8" l="1"/>
  <c r="I177" i="5"/>
  <c r="O176" i="5"/>
  <c r="D175" i="12"/>
  <c r="E175" i="6"/>
  <c r="I178" i="5" l="1"/>
  <c r="O177" i="5"/>
  <c r="D176" i="12"/>
  <c r="E176" i="6"/>
  <c r="I179" i="5" l="1"/>
  <c r="O178" i="5"/>
  <c r="D177" i="12"/>
  <c r="E177" i="6"/>
  <c r="I180" i="5" l="1"/>
  <c r="O179" i="5"/>
  <c r="D178" i="12"/>
  <c r="E178" i="6"/>
  <c r="I181" i="5" l="1"/>
  <c r="I182" i="5" s="1"/>
  <c r="O180" i="5"/>
  <c r="D179" i="12"/>
  <c r="E179" i="6"/>
  <c r="I183" i="5" l="1"/>
  <c r="O182" i="5"/>
  <c r="E180" i="6"/>
  <c r="D180" i="12"/>
  <c r="I184" i="5" l="1"/>
  <c r="O183" i="5"/>
  <c r="D182" i="12"/>
  <c r="E182" i="6"/>
  <c r="I185" i="5" l="1"/>
  <c r="O184" i="5"/>
  <c r="D183" i="12"/>
  <c r="E183" i="6"/>
  <c r="I186" i="5" l="1"/>
  <c r="O185" i="5"/>
  <c r="D184" i="12"/>
  <c r="E184" i="6"/>
  <c r="I187" i="5" l="1"/>
  <c r="O186" i="5"/>
  <c r="D185" i="12"/>
  <c r="E185" i="6"/>
  <c r="I188" i="5" l="1"/>
  <c r="O187" i="5"/>
  <c r="D186" i="12"/>
  <c r="E186" i="6"/>
  <c r="I189" i="5" l="1"/>
  <c r="O188" i="5"/>
  <c r="E187" i="6"/>
  <c r="D187" i="12"/>
  <c r="I190" i="5" l="1"/>
  <c r="O189" i="5"/>
  <c r="E188" i="6"/>
  <c r="D188" i="12"/>
  <c r="I191" i="5" l="1"/>
  <c r="O190" i="5"/>
  <c r="E189" i="6"/>
  <c r="D189" i="12"/>
  <c r="I192" i="5" l="1"/>
  <c r="O191" i="5"/>
  <c r="D190" i="12"/>
  <c r="E190" i="6"/>
  <c r="I193" i="5" l="1"/>
  <c r="O192" i="5"/>
  <c r="D191" i="12"/>
  <c r="E191" i="6"/>
  <c r="D192" i="12" l="1"/>
  <c r="E192" i="6"/>
  <c r="I194" i="5"/>
  <c r="O193" i="5"/>
  <c r="I195" i="5" l="1"/>
  <c r="O194" i="5"/>
  <c r="D193" i="12"/>
  <c r="E193" i="6"/>
  <c r="I196" i="5" l="1"/>
  <c r="I197" i="5" s="1"/>
  <c r="O195" i="5"/>
  <c r="D194" i="12"/>
  <c r="E194" i="6"/>
  <c r="I198" i="5" l="1"/>
  <c r="O197" i="5"/>
  <c r="D195" i="12"/>
  <c r="E195" i="6"/>
  <c r="I199" i="5" l="1"/>
  <c r="O198" i="5"/>
  <c r="D197" i="12"/>
  <c r="E197" i="6"/>
  <c r="I200" i="5" l="1"/>
  <c r="O199" i="5"/>
  <c r="E198" i="6"/>
  <c r="D198" i="12"/>
  <c r="I201" i="5" l="1"/>
  <c r="O200" i="5"/>
  <c r="E199" i="6"/>
  <c r="D199" i="12"/>
  <c r="I202" i="5" l="1"/>
  <c r="O201" i="5"/>
  <c r="D200" i="12"/>
  <c r="E200" i="6"/>
  <c r="O98" i="8"/>
  <c r="R98" i="8" s="1"/>
  <c r="F100" i="8" l="1"/>
  <c r="H99" i="8" a="1"/>
  <c r="H99" i="8" s="1"/>
  <c r="D98" i="8"/>
  <c r="C98" i="8"/>
  <c r="H98" i="8" a="1"/>
  <c r="H98" i="8" s="1"/>
  <c r="J99" i="8" s="1"/>
  <c r="N50" i="8"/>
  <c r="N32" i="8"/>
  <c r="N23" i="8"/>
  <c r="N14" i="8"/>
  <c r="R14" i="8" s="1"/>
  <c r="N29" i="8"/>
  <c r="R29" i="8" s="1"/>
  <c r="N35" i="8"/>
  <c r="N20" i="8"/>
  <c r="N26" i="8"/>
  <c r="N17" i="8"/>
  <c r="N38" i="8"/>
  <c r="N41" i="8"/>
  <c r="R41" i="8" s="1"/>
  <c r="N44" i="8"/>
  <c r="N47" i="8"/>
  <c r="R47" i="8" s="1"/>
  <c r="N53" i="8"/>
  <c r="N56" i="8"/>
  <c r="R56" i="8" s="1"/>
  <c r="N59" i="8"/>
  <c r="O110" i="8"/>
  <c r="R110" i="8" s="1"/>
  <c r="N62" i="8"/>
  <c r="N65" i="8"/>
  <c r="R65" i="8" s="1"/>
  <c r="N68" i="8"/>
  <c r="N71" i="8"/>
  <c r="I203" i="5"/>
  <c r="O202" i="5"/>
  <c r="D201" i="12"/>
  <c r="E201" i="6"/>
  <c r="O113" i="8"/>
  <c r="R113" i="8" s="1"/>
  <c r="O116" i="8"/>
  <c r="R116" i="8" s="1"/>
  <c r="O104" i="8"/>
  <c r="R104" i="8" s="1"/>
  <c r="O107" i="8"/>
  <c r="R107" i="8" s="1"/>
  <c r="O95" i="8"/>
  <c r="R95" i="8" s="1"/>
  <c r="O101" i="8"/>
  <c r="R101" i="8" s="1"/>
  <c r="O89" i="8"/>
  <c r="R89" i="8" s="1"/>
  <c r="O92" i="8"/>
  <c r="R92" i="8" s="1"/>
  <c r="O80" i="8"/>
  <c r="R80" i="8" s="1"/>
  <c r="O83" i="8"/>
  <c r="R83" i="8" s="1"/>
  <c r="O71" i="8"/>
  <c r="O77" i="8"/>
  <c r="R77" i="8" s="1"/>
  <c r="O62" i="8"/>
  <c r="O68" i="8"/>
  <c r="O53" i="8"/>
  <c r="O59" i="8"/>
  <c r="O44" i="8"/>
  <c r="O50" i="8"/>
  <c r="O35" i="8"/>
  <c r="O38" i="8"/>
  <c r="O26" i="8"/>
  <c r="O32" i="8"/>
  <c r="O20" i="8"/>
  <c r="O23" i="8"/>
  <c r="O17" i="8"/>
  <c r="R120" i="8"/>
  <c r="I120" i="8" s="1"/>
  <c r="R35" i="8" l="1"/>
  <c r="H36" i="8" s="1" a="1"/>
  <c r="H36" i="8" s="1"/>
  <c r="R44" i="8"/>
  <c r="C44" i="8" s="1"/>
  <c r="R17" i="8"/>
  <c r="C17" i="8" s="1"/>
  <c r="R53" i="8"/>
  <c r="C53" i="8" s="1"/>
  <c r="R20" i="8"/>
  <c r="H20" i="8" s="1" a="1"/>
  <c r="H20" i="8" s="1"/>
  <c r="J21" i="8" s="1"/>
  <c r="R32" i="8"/>
  <c r="F34" i="8" s="1"/>
  <c r="W34" i="8" s="1" a="1"/>
  <c r="W34" i="8" s="1"/>
  <c r="R50" i="8"/>
  <c r="C50" i="8" s="1"/>
  <c r="R62" i="8"/>
  <c r="C62" i="8" s="1"/>
  <c r="R38" i="8"/>
  <c r="C38" i="8" s="1"/>
  <c r="R23" i="8"/>
  <c r="C23" i="8" s="1"/>
  <c r="R68" i="8"/>
  <c r="C68" i="8" s="1"/>
  <c r="R59" i="8"/>
  <c r="C59" i="8" s="1"/>
  <c r="H48" i="8" a="1"/>
  <c r="H48" i="8" s="1"/>
  <c r="H47" i="8" a="1"/>
  <c r="H47" i="8" s="1"/>
  <c r="J48" i="8" s="1"/>
  <c r="D47" i="8"/>
  <c r="C47" i="8"/>
  <c r="F49" i="8"/>
  <c r="H30" i="8" a="1"/>
  <c r="H30" i="8" s="1"/>
  <c r="C29" i="8"/>
  <c r="D29" i="8"/>
  <c r="H29" i="8" a="1"/>
  <c r="H29" i="8" s="1"/>
  <c r="J30" i="8" s="1"/>
  <c r="F31" i="8"/>
  <c r="F16" i="8"/>
  <c r="D14" i="8"/>
  <c r="C14" i="8"/>
  <c r="H15" i="8" a="1"/>
  <c r="H15" i="8" s="1"/>
  <c r="H14" i="8" a="1"/>
  <c r="H14" i="8" s="1"/>
  <c r="J15" i="8" s="1"/>
  <c r="R26" i="8"/>
  <c r="D26" i="8" s="1"/>
  <c r="H41" i="8" a="1"/>
  <c r="H41" i="8" s="1"/>
  <c r="J42" i="8" s="1"/>
  <c r="F43" i="8"/>
  <c r="D41" i="8"/>
  <c r="C41" i="8"/>
  <c r="H42" i="8" a="1"/>
  <c r="H42" i="8" s="1"/>
  <c r="H110" i="8" a="1"/>
  <c r="H110" i="8" s="1"/>
  <c r="J111" i="8" s="1"/>
  <c r="C110" i="8"/>
  <c r="H111" i="8" a="1"/>
  <c r="H111" i="8" s="1"/>
  <c r="F112" i="8"/>
  <c r="D110" i="8"/>
  <c r="F58" i="8"/>
  <c r="H57" i="8" a="1"/>
  <c r="H57" i="8" s="1"/>
  <c r="D56" i="8"/>
  <c r="C56" i="8"/>
  <c r="H56" i="8" a="1"/>
  <c r="H56" i="8" s="1"/>
  <c r="J57" i="8" s="1"/>
  <c r="R71" i="8"/>
  <c r="D71" i="8" s="1"/>
  <c r="F67" i="8"/>
  <c r="H65" i="8" a="1"/>
  <c r="H65" i="8" s="1"/>
  <c r="J66" i="8" s="1"/>
  <c r="H66" i="8" a="1"/>
  <c r="H66" i="8" s="1"/>
  <c r="D65" i="8"/>
  <c r="C65" i="8"/>
  <c r="I204" i="5"/>
  <c r="O203" i="5"/>
  <c r="D202" i="12"/>
  <c r="E202" i="6"/>
  <c r="H116" i="8" a="1"/>
  <c r="H116" i="8" s="1"/>
  <c r="J117" i="8" s="1"/>
  <c r="H117" i="8" a="1"/>
  <c r="H117" i="8" s="1"/>
  <c r="F115" i="8"/>
  <c r="H114" i="8" a="1"/>
  <c r="H114" i="8" s="1"/>
  <c r="H113" i="8" a="1"/>
  <c r="H113" i="8" s="1"/>
  <c r="J114" i="8" s="1"/>
  <c r="H108" i="8" a="1"/>
  <c r="H108" i="8" s="1"/>
  <c r="H107" i="8" a="1"/>
  <c r="H107" i="8" s="1"/>
  <c r="J108" i="8" s="1"/>
  <c r="F106" i="8"/>
  <c r="H105" i="8" a="1"/>
  <c r="H105" i="8" s="1"/>
  <c r="H104" i="8" a="1"/>
  <c r="H104" i="8" s="1"/>
  <c r="J105" i="8" s="1"/>
  <c r="C95" i="8"/>
  <c r="H95" i="8" a="1"/>
  <c r="H95" i="8" s="1"/>
  <c r="J96" i="8" s="1"/>
  <c r="H96" i="8" a="1"/>
  <c r="H96" i="8" s="1"/>
  <c r="H92" i="8" a="1"/>
  <c r="H92" i="8" s="1"/>
  <c r="J93" i="8" s="1"/>
  <c r="H93" i="8" a="1"/>
  <c r="H93" i="8" s="1"/>
  <c r="C89" i="8"/>
  <c r="H90" i="8" a="1"/>
  <c r="H90" i="8" s="1"/>
  <c r="H89" i="8" a="1"/>
  <c r="H89" i="8" s="1"/>
  <c r="J90" i="8" s="1"/>
  <c r="H84" i="8" a="1"/>
  <c r="H84" i="8" s="1"/>
  <c r="H83" i="8" a="1"/>
  <c r="H83" i="8" s="1"/>
  <c r="J84" i="8" s="1"/>
  <c r="D80" i="8"/>
  <c r="H80" i="8" a="1"/>
  <c r="H80" i="8" s="1"/>
  <c r="J81" i="8" s="1"/>
  <c r="H81" i="8" a="1"/>
  <c r="H81" i="8" s="1"/>
  <c r="H77" i="8" a="1"/>
  <c r="H77" i="8" s="1"/>
  <c r="J78" i="8" s="1"/>
  <c r="H78" i="8" a="1"/>
  <c r="H78" i="8" s="1"/>
  <c r="H102" i="8" a="1"/>
  <c r="H102" i="8" s="1"/>
  <c r="H101" i="8" a="1"/>
  <c r="H101" i="8" s="1"/>
  <c r="J102" i="8" s="1"/>
  <c r="D35" i="8"/>
  <c r="D113" i="8"/>
  <c r="C113" i="8"/>
  <c r="F118" i="8"/>
  <c r="D116" i="8"/>
  <c r="C116" i="8"/>
  <c r="C104" i="8"/>
  <c r="D104" i="8"/>
  <c r="C107" i="8"/>
  <c r="D107" i="8"/>
  <c r="F109" i="8"/>
  <c r="F97" i="8"/>
  <c r="D95" i="8"/>
  <c r="F103" i="8"/>
  <c r="C101" i="8"/>
  <c r="D101" i="8"/>
  <c r="D89" i="8"/>
  <c r="F91" i="8"/>
  <c r="D92" i="8"/>
  <c r="C92" i="8"/>
  <c r="F94" i="8"/>
  <c r="F82" i="8"/>
  <c r="C80" i="8"/>
  <c r="D83" i="8"/>
  <c r="C83" i="8"/>
  <c r="F85" i="8"/>
  <c r="F79" i="8"/>
  <c r="C77" i="8"/>
  <c r="D77" i="8"/>
  <c r="F55" i="8" l="1"/>
  <c r="C35" i="8"/>
  <c r="H35" i="8" a="1"/>
  <c r="H35" i="8" s="1"/>
  <c r="J36" i="8" s="1"/>
  <c r="F37" i="8"/>
  <c r="C20" i="8"/>
  <c r="D20" i="8"/>
  <c r="H68" i="8" a="1"/>
  <c r="H68" i="8" s="1"/>
  <c r="J69" i="8" s="1"/>
  <c r="H69" i="8" a="1"/>
  <c r="H69" i="8" s="1"/>
  <c r="H62" i="8" a="1"/>
  <c r="H62" i="8" s="1"/>
  <c r="J63" i="8" s="1"/>
  <c r="H72" i="8" a="1"/>
  <c r="H72" i="8" s="1"/>
  <c r="H53" i="8" a="1"/>
  <c r="H53" i="8" s="1"/>
  <c r="J54" i="8" s="1"/>
  <c r="H71" i="8" a="1"/>
  <c r="H71" i="8" s="1"/>
  <c r="J72" i="8" s="1"/>
  <c r="H54" i="8" a="1"/>
  <c r="H54" i="8" s="1"/>
  <c r="H60" i="8" a="1"/>
  <c r="H60" i="8" s="1"/>
  <c r="H59" i="8" a="1"/>
  <c r="H59" i="8" s="1"/>
  <c r="J60" i="8" s="1"/>
  <c r="H21" i="8" a="1"/>
  <c r="H21" i="8" s="1"/>
  <c r="H45" i="8" a="1"/>
  <c r="H45" i="8" s="1"/>
  <c r="H32" i="8" a="1"/>
  <c r="H32" i="8" s="1"/>
  <c r="J33" i="8" s="1"/>
  <c r="H44" i="8" a="1"/>
  <c r="H44" i="8" s="1"/>
  <c r="J45" i="8" s="1"/>
  <c r="H63" i="8" a="1"/>
  <c r="H63" i="8" s="1"/>
  <c r="H50" i="8" a="1"/>
  <c r="H50" i="8" s="1"/>
  <c r="J51" i="8" s="1"/>
  <c r="H51" i="8" a="1"/>
  <c r="H51" i="8" s="1"/>
  <c r="H39" i="8" a="1"/>
  <c r="H39" i="8" s="1"/>
  <c r="H38" i="8" a="1"/>
  <c r="H38" i="8" s="1"/>
  <c r="J39" i="8" s="1"/>
  <c r="H33" i="8" a="1"/>
  <c r="H33" i="8" s="1"/>
  <c r="D44" i="8"/>
  <c r="F46" i="8"/>
  <c r="H18" i="8" a="1"/>
  <c r="H18" i="8" s="1"/>
  <c r="H17" i="8" a="1"/>
  <c r="H17" i="8" s="1"/>
  <c r="J18" i="8" s="1"/>
  <c r="F52" i="8"/>
  <c r="D50" i="8"/>
  <c r="D32" i="8"/>
  <c r="D53" i="8"/>
  <c r="D17" i="8"/>
  <c r="F19" i="8"/>
  <c r="D38" i="8"/>
  <c r="D23" i="8"/>
  <c r="H24" i="8" a="1"/>
  <c r="H24" i="8" s="1"/>
  <c r="F25" i="8"/>
  <c r="AB25" i="8" s="1" a="1"/>
  <c r="AB25" i="8" s="1"/>
  <c r="AB23" i="8" s="1" a="1"/>
  <c r="AB23" i="8" s="1"/>
  <c r="F22" i="8"/>
  <c r="X22" i="8" s="1" a="1"/>
  <c r="X22" i="8" s="1"/>
  <c r="X20" i="8" s="1" a="1"/>
  <c r="X20" i="8" s="1"/>
  <c r="H23" i="8" a="1"/>
  <c r="H23" i="8" s="1"/>
  <c r="J24" i="8" s="1"/>
  <c r="F40" i="8"/>
  <c r="H27" i="8" a="1"/>
  <c r="H27" i="8" s="1"/>
  <c r="C71" i="8"/>
  <c r="F64" i="8"/>
  <c r="D62" i="8"/>
  <c r="C32" i="8"/>
  <c r="F73" i="8"/>
  <c r="H26" i="8" a="1"/>
  <c r="H26" i="8" s="1"/>
  <c r="J27" i="8" s="1"/>
  <c r="F61" i="8"/>
  <c r="D59" i="8"/>
  <c r="D68" i="8"/>
  <c r="F70" i="8"/>
  <c r="F28" i="8"/>
  <c r="C26" i="8"/>
  <c r="I205" i="5"/>
  <c r="O204" i="5"/>
  <c r="E203" i="6"/>
  <c r="D203" i="12"/>
  <c r="AB34" i="8" a="1"/>
  <c r="AB34" i="8" s="1"/>
  <c r="AB32" i="8" s="1" a="1"/>
  <c r="AB32" i="8" s="1"/>
  <c r="V34" i="8" a="1"/>
  <c r="V34" i="8" s="1"/>
  <c r="V32" i="8" s="1" a="1"/>
  <c r="V32" i="8" s="1"/>
  <c r="E34" i="8" a="1"/>
  <c r="E34" i="8" s="1"/>
  <c r="E32" i="8" s="1" a="1"/>
  <c r="E32" i="8" s="1"/>
  <c r="AA34" i="8" a="1"/>
  <c r="AA34" i="8" s="1"/>
  <c r="AA32" i="8" s="1" a="1"/>
  <c r="AA32" i="8" s="1"/>
  <c r="Z34" i="8" a="1"/>
  <c r="Z34" i="8" s="1"/>
  <c r="Z32" i="8" s="1" a="1"/>
  <c r="Z32" i="8" s="1"/>
  <c r="AC34" i="8" a="1"/>
  <c r="AC34" i="8" s="1"/>
  <c r="AC32" i="8" s="1" a="1"/>
  <c r="AC32" i="8" s="1"/>
  <c r="U34" i="8" a="1"/>
  <c r="U34" i="8" s="1"/>
  <c r="U32" i="8" s="1" a="1"/>
  <c r="U32" i="8" s="1"/>
  <c r="AD34" i="8" a="1"/>
  <c r="AD34" i="8" s="1"/>
  <c r="AD32" i="8" s="1" a="1"/>
  <c r="AD32" i="8" s="1"/>
  <c r="X34" i="8" a="1"/>
  <c r="X34" i="8" s="1"/>
  <c r="X32" i="8" s="1" a="1"/>
  <c r="X32" i="8" s="1"/>
  <c r="AF34" i="8" a="1"/>
  <c r="AF34" i="8" s="1"/>
  <c r="AF32" i="8" s="1" a="1"/>
  <c r="AF32" i="8" s="1"/>
  <c r="AE34" i="8" a="1"/>
  <c r="AE34" i="8" s="1"/>
  <c r="Y34" i="8" a="1"/>
  <c r="Y34" i="8" s="1"/>
  <c r="Y32" i="8" s="1" a="1"/>
  <c r="Y32" i="8" s="1"/>
  <c r="W32" i="8" a="1"/>
  <c r="W32" i="8" s="1"/>
  <c r="W22" i="8" l="1" a="1"/>
  <c r="W22" i="8" s="1"/>
  <c r="W20" i="8" s="1" a="1"/>
  <c r="W20" i="8" s="1"/>
  <c r="AC22" i="8" a="1"/>
  <c r="AC22" i="8" s="1"/>
  <c r="AC20" i="8" s="1" a="1"/>
  <c r="AC20" i="8" s="1"/>
  <c r="AD22" i="8" a="1"/>
  <c r="AD22" i="8" s="1"/>
  <c r="AD20" i="8" s="1" a="1"/>
  <c r="AD20" i="8" s="1"/>
  <c r="Y22" i="8" a="1"/>
  <c r="Y22" i="8" s="1"/>
  <c r="Y20" i="8" s="1" a="1"/>
  <c r="Y20" i="8" s="1"/>
  <c r="AA22" i="8" a="1"/>
  <c r="AA22" i="8" s="1"/>
  <c r="AA20" i="8" s="1" a="1"/>
  <c r="AA20" i="8" s="1"/>
  <c r="AE22" i="8" a="1"/>
  <c r="AE22" i="8" s="1"/>
  <c r="AE20" i="8" s="1" a="1"/>
  <c r="AE20" i="8" s="1"/>
  <c r="U22" i="8" a="1"/>
  <c r="U22" i="8" s="1"/>
  <c r="U20" i="8" s="1" a="1"/>
  <c r="U20" i="8" s="1"/>
  <c r="AF22" i="8" a="1"/>
  <c r="AF22" i="8" s="1"/>
  <c r="AF20" i="8" s="1" a="1"/>
  <c r="AF20" i="8" s="1"/>
  <c r="E22" i="8" a="1"/>
  <c r="E22" i="8" s="1"/>
  <c r="E20" i="8" s="1" a="1"/>
  <c r="E20" i="8" s="1"/>
  <c r="AB22" i="8" a="1"/>
  <c r="AB22" i="8" s="1"/>
  <c r="AB20" i="8" s="1" a="1"/>
  <c r="AB20" i="8" s="1"/>
  <c r="Z22" i="8" a="1"/>
  <c r="Z22" i="8" s="1"/>
  <c r="Z20" i="8" s="1" a="1"/>
  <c r="Z20" i="8" s="1"/>
  <c r="V22" i="8" a="1"/>
  <c r="V22" i="8" s="1"/>
  <c r="V20" i="8" s="1" a="1"/>
  <c r="V20" i="8" s="1"/>
  <c r="AF46" i="8" a="1"/>
  <c r="AF46" i="8" s="1"/>
  <c r="I206" i="5"/>
  <c r="O205" i="5"/>
  <c r="D204" i="12"/>
  <c r="E204" i="6"/>
  <c r="AE31" i="8" a="1"/>
  <c r="AE31" i="8" s="1"/>
  <c r="V25" i="8" a="1"/>
  <c r="V25" i="8" s="1"/>
  <c r="V23" i="8" s="1" a="1"/>
  <c r="V23" i="8" s="1"/>
  <c r="AD25" i="8" a="1"/>
  <c r="AD25" i="8" s="1"/>
  <c r="AD23" i="8" s="1" a="1"/>
  <c r="AD23" i="8" s="1"/>
  <c r="Y25" i="8" a="1"/>
  <c r="Y25" i="8" s="1"/>
  <c r="Y23" i="8" s="1" a="1"/>
  <c r="Y23" i="8" s="1"/>
  <c r="W31" i="8" a="1"/>
  <c r="W31" i="8" s="1"/>
  <c r="AF25" i="8" a="1"/>
  <c r="AF25" i="8" s="1"/>
  <c r="AF23" i="8" s="1" a="1"/>
  <c r="AF23" i="8" s="1"/>
  <c r="AB31" i="8" a="1"/>
  <c r="AB31" i="8" s="1"/>
  <c r="X25" i="8" a="1"/>
  <c r="X25" i="8" s="1"/>
  <c r="X23" i="8" s="1" a="1"/>
  <c r="X23" i="8" s="1"/>
  <c r="E31" i="8" a="1"/>
  <c r="E31" i="8" s="1"/>
  <c r="AC31" i="8" a="1"/>
  <c r="AC31" i="8" s="1"/>
  <c r="Z31" i="8" a="1"/>
  <c r="Z31" i="8" s="1"/>
  <c r="AA31" i="8" a="1"/>
  <c r="AA31" i="8" s="1"/>
  <c r="AF31" i="8" a="1"/>
  <c r="AF31" i="8" s="1"/>
  <c r="E25" i="8" a="1"/>
  <c r="E25" i="8" s="1"/>
  <c r="E23" i="8" s="1" a="1"/>
  <c r="E23" i="8" s="1"/>
  <c r="V31" i="8" a="1"/>
  <c r="V31" i="8" s="1"/>
  <c r="Y31" i="8" a="1"/>
  <c r="Y31" i="8" s="1"/>
  <c r="AC25" i="8" a="1"/>
  <c r="AC25" i="8" s="1"/>
  <c r="AC23" i="8" s="1" a="1"/>
  <c r="AC23" i="8" s="1"/>
  <c r="X31" i="8" a="1"/>
  <c r="X31" i="8" s="1"/>
  <c r="AD31" i="8" a="1"/>
  <c r="AD31" i="8" s="1"/>
  <c r="AA25" i="8" a="1"/>
  <c r="AA25" i="8" s="1"/>
  <c r="AA23" i="8" s="1" a="1"/>
  <c r="AA23" i="8" s="1"/>
  <c r="AE32" i="8" a="1"/>
  <c r="AE32" i="8" s="1"/>
  <c r="U31" i="8" a="1"/>
  <c r="U31" i="8" s="1"/>
  <c r="W25" i="8" a="1"/>
  <c r="W25" i="8" s="1"/>
  <c r="W23" i="8" s="1" a="1"/>
  <c r="W23" i="8" s="1"/>
  <c r="AE25" i="8" a="1"/>
  <c r="AE25" i="8" s="1"/>
  <c r="AE23" i="8" s="1" a="1"/>
  <c r="AE23" i="8" s="1"/>
  <c r="U25" i="8" a="1"/>
  <c r="U25" i="8" s="1"/>
  <c r="U23" i="8" s="1" a="1"/>
  <c r="U23" i="8" s="1"/>
  <c r="Z25" i="8" a="1"/>
  <c r="Z25" i="8" s="1"/>
  <c r="Z23" i="8" s="1" a="1"/>
  <c r="Z23" i="8" s="1"/>
  <c r="AF37" i="8" l="1" a="1"/>
  <c r="AF37" i="8" s="1"/>
  <c r="AF35" i="8" s="1" a="1"/>
  <c r="AF35" i="8" s="1"/>
  <c r="AF44" i="8" a="1"/>
  <c r="AF44" i="8" s="1"/>
  <c r="X29" i="8" a="1"/>
  <c r="X29" i="8" s="1"/>
  <c r="X28" i="8" a="1"/>
  <c r="X28" i="8" s="1"/>
  <c r="X26" i="8" s="1" a="1"/>
  <c r="X26" i="8" s="1"/>
  <c r="E46" i="8" a="1"/>
  <c r="E46" i="8" s="1"/>
  <c r="X73" i="8" a="1"/>
  <c r="X73" i="8" s="1"/>
  <c r="AC73" i="8" a="1"/>
  <c r="AC73" i="8" s="1"/>
  <c r="AB85" i="8" a="1"/>
  <c r="AB85" i="8" s="1"/>
  <c r="AC29" i="8" a="1"/>
  <c r="AC29" i="8" s="1"/>
  <c r="AC28" i="8" a="1"/>
  <c r="AC28" i="8" s="1"/>
  <c r="AC26" i="8" s="1" a="1"/>
  <c r="AC26" i="8" s="1"/>
  <c r="E29" i="8" a="1"/>
  <c r="E29" i="8" s="1"/>
  <c r="E28" i="8" a="1"/>
  <c r="E28" i="8" s="1"/>
  <c r="AE29" i="8" a="1"/>
  <c r="AE29" i="8" s="1"/>
  <c r="AE28" i="8" a="1"/>
  <c r="AE28" i="8" s="1"/>
  <c r="AE26" i="8" s="1" a="1"/>
  <c r="AE26" i="8" s="1"/>
  <c r="U73" i="8" a="1"/>
  <c r="U73" i="8" s="1"/>
  <c r="AC85" i="8" a="1"/>
  <c r="AC85" i="8" s="1"/>
  <c r="AF85" i="8" a="1"/>
  <c r="AF85" i="8" s="1"/>
  <c r="AD29" i="8" a="1"/>
  <c r="AD29" i="8" s="1"/>
  <c r="AD28" i="8" a="1"/>
  <c r="AD28" i="8" s="1"/>
  <c r="AD26" i="8" s="1" a="1"/>
  <c r="AD26" i="8" s="1"/>
  <c r="Y29" i="8" a="1"/>
  <c r="Y29" i="8" s="1"/>
  <c r="Y28" i="8" a="1"/>
  <c r="Y28" i="8" s="1"/>
  <c r="Y26" i="8" s="1" a="1"/>
  <c r="Y26" i="8" s="1"/>
  <c r="AA46" i="8" a="1"/>
  <c r="AA46" i="8" s="1"/>
  <c r="Y73" i="8" a="1"/>
  <c r="Y73" i="8" s="1"/>
  <c r="E85" i="8" a="1"/>
  <c r="E85" i="8" s="1"/>
  <c r="AB46" i="8" a="1"/>
  <c r="AB46" i="8" s="1"/>
  <c r="AF73" i="8" a="1"/>
  <c r="AF73" i="8" s="1"/>
  <c r="V29" i="8" a="1"/>
  <c r="V29" i="8" s="1"/>
  <c r="V28" i="8" a="1"/>
  <c r="V28" i="8" s="1"/>
  <c r="AB29" i="8" a="1"/>
  <c r="AB29" i="8" s="1"/>
  <c r="AB28" i="8" a="1"/>
  <c r="AB28" i="8" s="1"/>
  <c r="X46" i="8" a="1"/>
  <c r="X46" i="8" s="1"/>
  <c r="W46" i="8" a="1"/>
  <c r="W46" i="8" s="1"/>
  <c r="AB73" i="8" a="1"/>
  <c r="AB73" i="8" s="1"/>
  <c r="AE73" i="8" a="1"/>
  <c r="AE73" i="8" s="1"/>
  <c r="Y85" i="8" a="1"/>
  <c r="Y85" i="8" s="1"/>
  <c r="AE85" i="8" a="1"/>
  <c r="AE85" i="8" s="1"/>
  <c r="U29" i="8" a="1"/>
  <c r="U29" i="8" s="1"/>
  <c r="U28" i="8" a="1"/>
  <c r="U28" i="8" s="1"/>
  <c r="U26" i="8" s="1" a="1"/>
  <c r="U26" i="8" s="1"/>
  <c r="AE46" i="8" a="1"/>
  <c r="AE46" i="8" s="1"/>
  <c r="AC46" i="8" a="1"/>
  <c r="AC46" i="8" s="1"/>
  <c r="Z46" i="8" a="1"/>
  <c r="Z46" i="8" s="1"/>
  <c r="U46" i="8" a="1"/>
  <c r="U46" i="8" s="1"/>
  <c r="W73" i="8" a="1"/>
  <c r="W73" i="8" s="1"/>
  <c r="E73" i="8" a="1"/>
  <c r="E73" i="8" s="1"/>
  <c r="V85" i="8" a="1"/>
  <c r="V85" i="8" s="1"/>
  <c r="U85" i="8" a="1"/>
  <c r="U85" i="8" s="1"/>
  <c r="Z29" i="8" a="1"/>
  <c r="Z29" i="8" s="1"/>
  <c r="Z28" i="8" a="1"/>
  <c r="Z28" i="8" s="1"/>
  <c r="Z26" i="8" s="1" a="1"/>
  <c r="Z26" i="8" s="1"/>
  <c r="Y46" i="8" a="1"/>
  <c r="Y46" i="8" s="1"/>
  <c r="AF29" i="8" a="1"/>
  <c r="AF29" i="8" s="1"/>
  <c r="AF28" i="8" a="1"/>
  <c r="AF28" i="8" s="1"/>
  <c r="AF26" i="8" s="1" a="1"/>
  <c r="AF26" i="8" s="1"/>
  <c r="W29" i="8" a="1"/>
  <c r="W29" i="8" s="1"/>
  <c r="W28" i="8" a="1"/>
  <c r="W28" i="8" s="1"/>
  <c r="W26" i="8" s="1" a="1"/>
  <c r="W26" i="8" s="1"/>
  <c r="AD46" i="8" a="1"/>
  <c r="AD46" i="8" s="1"/>
  <c r="AD73" i="8" a="1"/>
  <c r="AD73" i="8" s="1"/>
  <c r="V73" i="8" a="1"/>
  <c r="V73" i="8" s="1"/>
  <c r="AD85" i="8" a="1"/>
  <c r="AD85" i="8" s="1"/>
  <c r="X85" i="8" a="1"/>
  <c r="X85" i="8" s="1"/>
  <c r="AA29" i="8" a="1"/>
  <c r="AA29" i="8" s="1"/>
  <c r="AA28" i="8" a="1"/>
  <c r="AA28" i="8" s="1"/>
  <c r="AA26" i="8" s="1" a="1"/>
  <c r="AA26" i="8" s="1"/>
  <c r="V46" i="8" a="1"/>
  <c r="V46" i="8" s="1"/>
  <c r="AA73" i="8" a="1"/>
  <c r="AA73" i="8" s="1"/>
  <c r="Z73" i="8" a="1"/>
  <c r="Z73" i="8" s="1"/>
  <c r="Z85" i="8" a="1"/>
  <c r="Z85" i="8" s="1"/>
  <c r="AA85" i="8" a="1"/>
  <c r="AA85" i="8" s="1"/>
  <c r="W85" i="8" a="1"/>
  <c r="W85" i="8" s="1"/>
  <c r="I207" i="5"/>
  <c r="O206" i="5"/>
  <c r="D205" i="12"/>
  <c r="E205" i="6"/>
  <c r="E83" i="8" l="1" a="1"/>
  <c r="E83" i="8" s="1"/>
  <c r="E82" i="8" a="1"/>
  <c r="E82" i="8" s="1"/>
  <c r="AB71" i="8" a="1"/>
  <c r="AB71" i="8" s="1"/>
  <c r="AB70" i="8" a="1"/>
  <c r="AB70" i="8" s="1"/>
  <c r="W44" i="8" a="1"/>
  <c r="W44" i="8" s="1"/>
  <c r="W43" i="8" a="1"/>
  <c r="W43" i="8" s="1"/>
  <c r="AC71" i="8" a="1"/>
  <c r="AC71" i="8" s="1"/>
  <c r="AC70" i="8" a="1"/>
  <c r="AC70" i="8" s="1"/>
  <c r="AD71" i="8" a="1"/>
  <c r="AD71" i="8" s="1"/>
  <c r="AD70" i="8" a="1"/>
  <c r="AD70" i="8" s="1"/>
  <c r="X61" i="8" a="1"/>
  <c r="X61" i="8" s="1"/>
  <c r="Z83" i="8" a="1"/>
  <c r="Z83" i="8" s="1"/>
  <c r="Z82" i="8" a="1"/>
  <c r="Z82" i="8" s="1"/>
  <c r="E71" i="8" a="1"/>
  <c r="E71" i="8" s="1"/>
  <c r="E70" i="8" a="1"/>
  <c r="E70" i="8" s="1"/>
  <c r="Z44" i="8" a="1"/>
  <c r="Z44" i="8" s="1"/>
  <c r="Z43" i="8" a="1"/>
  <c r="Z43" i="8" s="1"/>
  <c r="X83" i="8" a="1"/>
  <c r="X83" i="8" s="1"/>
  <c r="X82" i="8" a="1"/>
  <c r="X82" i="8" s="1"/>
  <c r="Y71" i="8" a="1"/>
  <c r="Y71" i="8" s="1"/>
  <c r="Y70" i="8" a="1"/>
  <c r="Y70" i="8" s="1"/>
  <c r="AA44" i="8" a="1"/>
  <c r="AA44" i="8" s="1"/>
  <c r="AA43" i="8" a="1"/>
  <c r="AA43" i="8" s="1"/>
  <c r="E26" i="8" a="1"/>
  <c r="E26" i="8" s="1"/>
  <c r="W83" i="8" a="1"/>
  <c r="W83" i="8" s="1"/>
  <c r="W82" i="8" a="1"/>
  <c r="W82" i="8" s="1"/>
  <c r="W61" i="8" a="1"/>
  <c r="W61" i="8" s="1"/>
  <c r="Z71" i="8" a="1"/>
  <c r="Z71" i="8" s="1"/>
  <c r="Z70" i="8" a="1"/>
  <c r="Z70" i="8" s="1"/>
  <c r="Z37" i="8" a="1"/>
  <c r="Z37" i="8" s="1"/>
  <c r="Z35" i="8" s="1" a="1"/>
  <c r="Z35" i="8" s="1"/>
  <c r="W71" i="8" a="1"/>
  <c r="W71" i="8" s="1"/>
  <c r="W70" i="8" a="1"/>
  <c r="W70" i="8" s="1"/>
  <c r="AC37" i="8" a="1"/>
  <c r="AC37" i="8" s="1"/>
  <c r="AC35" i="8" s="1" a="1"/>
  <c r="AC35" i="8" s="1"/>
  <c r="AE83" i="8" a="1"/>
  <c r="AE83" i="8" s="1"/>
  <c r="AE82" i="8" a="1"/>
  <c r="AE82" i="8" s="1"/>
  <c r="AB37" i="8" a="1"/>
  <c r="AB37" i="8" s="1"/>
  <c r="AB35" i="8" s="1" a="1"/>
  <c r="AB35" i="8" s="1"/>
  <c r="AF71" i="8" a="1"/>
  <c r="AF71" i="8" s="1"/>
  <c r="AF70" i="8" a="1"/>
  <c r="AF70" i="8" s="1"/>
  <c r="AD61" i="8" a="1"/>
  <c r="AD61" i="8" s="1"/>
  <c r="X71" i="8" a="1"/>
  <c r="X71" i="8" s="1"/>
  <c r="X70" i="8" a="1"/>
  <c r="X70" i="8" s="1"/>
  <c r="AD44" i="8" a="1"/>
  <c r="AD44" i="8" s="1"/>
  <c r="AD43" i="8" a="1"/>
  <c r="AD43" i="8" s="1"/>
  <c r="U71" i="8" a="1"/>
  <c r="U71" i="8" s="1"/>
  <c r="U70" i="8" a="1"/>
  <c r="U70" i="8" s="1"/>
  <c r="AD83" i="8" a="1"/>
  <c r="AD83" i="8" s="1"/>
  <c r="AD82" i="8" a="1"/>
  <c r="AD82" i="8" s="1"/>
  <c r="Z61" i="8" a="1"/>
  <c r="Z61" i="8" s="1"/>
  <c r="AA37" i="8" a="1"/>
  <c r="AA37" i="8" s="1"/>
  <c r="AA35" i="8" s="1" a="1"/>
  <c r="AA35" i="8" s="1"/>
  <c r="AF83" i="8" a="1"/>
  <c r="AF83" i="8" s="1"/>
  <c r="AF82" i="8" a="1"/>
  <c r="AF82" i="8" s="1"/>
  <c r="Y61" i="8" a="1"/>
  <c r="Y61" i="8" s="1"/>
  <c r="U37" i="8" a="1"/>
  <c r="U37" i="8" s="1"/>
  <c r="U35" i="8" s="1" a="1"/>
  <c r="U35" i="8" s="1"/>
  <c r="AA71" i="8" a="1"/>
  <c r="AA71" i="8" s="1"/>
  <c r="AA70" i="8" a="1"/>
  <c r="AA70" i="8" s="1"/>
  <c r="U83" i="8" a="1"/>
  <c r="U83" i="8" s="1"/>
  <c r="U82" i="8" a="1"/>
  <c r="U82" i="8" s="1"/>
  <c r="U44" i="8" a="1"/>
  <c r="U44" i="8" s="1"/>
  <c r="U43" i="8" a="1"/>
  <c r="U43" i="8" s="1"/>
  <c r="AC44" i="8" a="1"/>
  <c r="AC44" i="8" s="1"/>
  <c r="AC43" i="8" a="1"/>
  <c r="AC43" i="8" s="1"/>
  <c r="E61" i="8" a="1"/>
  <c r="E61" i="8" s="1"/>
  <c r="Y83" i="8" a="1"/>
  <c r="Y83" i="8" s="1"/>
  <c r="Y82" i="8" a="1"/>
  <c r="Y82" i="8" s="1"/>
  <c r="AE37" i="8" a="1"/>
  <c r="AE37" i="8" s="1"/>
  <c r="AE35" i="8" s="1" a="1"/>
  <c r="AE35" i="8" s="1"/>
  <c r="AB26" i="8" a="1"/>
  <c r="AB26" i="8" s="1"/>
  <c r="AB44" i="8" a="1"/>
  <c r="AB44" i="8" s="1"/>
  <c r="AB43" i="8" a="1"/>
  <c r="AB43" i="8" s="1"/>
  <c r="AB61" i="8" a="1"/>
  <c r="AB61" i="8" s="1"/>
  <c r="V61" i="8" a="1"/>
  <c r="V61" i="8" s="1"/>
  <c r="V71" i="8" a="1"/>
  <c r="V71" i="8" s="1"/>
  <c r="V70" i="8" a="1"/>
  <c r="V70" i="8" s="1"/>
  <c r="AD37" i="8" a="1"/>
  <c r="AD37" i="8" s="1"/>
  <c r="AC83" i="8" a="1"/>
  <c r="AC83" i="8" s="1"/>
  <c r="AC82" i="8" a="1"/>
  <c r="AC82" i="8" s="1"/>
  <c r="U61" i="8" a="1"/>
  <c r="U61" i="8" s="1"/>
  <c r="AA83" i="8" a="1"/>
  <c r="AA83" i="8" s="1"/>
  <c r="AA82" i="8" a="1"/>
  <c r="AA82" i="8" s="1"/>
  <c r="V83" i="8" a="1"/>
  <c r="V83" i="8" s="1"/>
  <c r="V82" i="8" a="1"/>
  <c r="V82" i="8" s="1"/>
  <c r="AE61" i="8" a="1"/>
  <c r="AE61" i="8" s="1"/>
  <c r="AE44" i="8" a="1"/>
  <c r="AE44" i="8" s="1"/>
  <c r="AE43" i="8" a="1"/>
  <c r="AE43" i="8" s="1"/>
  <c r="AF61" i="8" a="1"/>
  <c r="AF61" i="8" s="1"/>
  <c r="AE71" i="8" a="1"/>
  <c r="AE71" i="8" s="1"/>
  <c r="AE70" i="8" a="1"/>
  <c r="AE70" i="8" s="1"/>
  <c r="V26" i="8" a="1"/>
  <c r="V26" i="8" s="1"/>
  <c r="AA61" i="8" a="1"/>
  <c r="AA61" i="8" s="1"/>
  <c r="AC61" i="8" a="1"/>
  <c r="AC61" i="8" s="1"/>
  <c r="AB83" i="8" a="1"/>
  <c r="AB83" i="8" s="1"/>
  <c r="AB82" i="8" a="1"/>
  <c r="AB82" i="8" s="1"/>
  <c r="W37" i="8" a="1"/>
  <c r="W37" i="8" s="1"/>
  <c r="W35" i="8" s="1" a="1"/>
  <c r="W35" i="8" s="1"/>
  <c r="Y43" i="8" a="1"/>
  <c r="Y43" i="8" s="1"/>
  <c r="Y44" i="8" a="1"/>
  <c r="Y44" i="8" s="1"/>
  <c r="X43" i="8" a="1"/>
  <c r="X43" i="8" s="1"/>
  <c r="X44" i="8" a="1"/>
  <c r="X44" i="8" s="1"/>
  <c r="V43" i="8" a="1"/>
  <c r="V43" i="8" s="1"/>
  <c r="V44" i="8" a="1"/>
  <c r="V44" i="8" s="1"/>
  <c r="E43" i="8" a="1"/>
  <c r="E43" i="8" s="1"/>
  <c r="E44" i="8" a="1"/>
  <c r="E44" i="8" s="1"/>
  <c r="I208" i="5"/>
  <c r="O207" i="5"/>
  <c r="D206" i="12"/>
  <c r="E206" i="6"/>
  <c r="AB80" i="8" l="1" a="1"/>
  <c r="AB80" i="8" s="1"/>
  <c r="AB79" i="8" a="1"/>
  <c r="AB79" i="8" s="1"/>
  <c r="AA80" i="8" a="1"/>
  <c r="AA80" i="8" s="1"/>
  <c r="AA79" i="8" a="1"/>
  <c r="AA79" i="8" s="1"/>
  <c r="V68" i="8" a="1"/>
  <c r="V68" i="8" s="1"/>
  <c r="V67" i="8" a="1"/>
  <c r="V67" i="8" s="1"/>
  <c r="AA68" i="8" a="1"/>
  <c r="AA68" i="8" s="1"/>
  <c r="AA67" i="8" a="1"/>
  <c r="AA67" i="8" s="1"/>
  <c r="AF80" i="8" a="1"/>
  <c r="AF80" i="8" s="1"/>
  <c r="AF79" i="8" a="1"/>
  <c r="AF79" i="8" s="1"/>
  <c r="AA59" i="8" a="1"/>
  <c r="AA59" i="8" s="1"/>
  <c r="AA58" i="8" a="1"/>
  <c r="AA58" i="8" s="1"/>
  <c r="V80" i="8" a="1"/>
  <c r="V80" i="8" s="1"/>
  <c r="V79" i="8" a="1"/>
  <c r="V79" i="8" s="1"/>
  <c r="Z91" i="8" a="1"/>
  <c r="Z91" i="8" s="1"/>
  <c r="AC68" i="8" a="1"/>
  <c r="AC68" i="8" s="1"/>
  <c r="AC67" i="8" a="1"/>
  <c r="AC67" i="8" s="1"/>
  <c r="AC80" i="8" a="1"/>
  <c r="AC80" i="8" s="1"/>
  <c r="AC79" i="8" a="1"/>
  <c r="AC79" i="8" s="1"/>
  <c r="AB59" i="8" a="1"/>
  <c r="AB59" i="8" s="1"/>
  <c r="AB58" i="8" a="1"/>
  <c r="AB58" i="8" s="1"/>
  <c r="Y80" i="8" a="1"/>
  <c r="Y80" i="8" s="1"/>
  <c r="Y79" i="8" a="1"/>
  <c r="Y79" i="8" s="1"/>
  <c r="U41" i="8" a="1"/>
  <c r="U41" i="8" s="1"/>
  <c r="V91" i="8" a="1"/>
  <c r="V91" i="8" s="1"/>
  <c r="AA49" i="8" a="1"/>
  <c r="AA49" i="8" s="1"/>
  <c r="AA47" i="8" s="1" a="1"/>
  <c r="AA47" i="8" s="1"/>
  <c r="Z59" i="8" a="1"/>
  <c r="Z59" i="8" s="1"/>
  <c r="Z58" i="8" a="1"/>
  <c r="Z58" i="8" s="1"/>
  <c r="U68" i="8" a="1"/>
  <c r="U68" i="8" s="1"/>
  <c r="U67" i="8" a="1"/>
  <c r="U67" i="8" s="1"/>
  <c r="X68" i="8" a="1"/>
  <c r="X68" i="8" s="1"/>
  <c r="X67" i="8" a="1"/>
  <c r="X67" i="8" s="1"/>
  <c r="AF68" i="8" a="1"/>
  <c r="AF68" i="8" s="1"/>
  <c r="AF67" i="8" a="1"/>
  <c r="AF67" i="8" s="1"/>
  <c r="AE80" i="8" a="1"/>
  <c r="AE80" i="8" s="1"/>
  <c r="AE79" i="8" a="1"/>
  <c r="AE79" i="8" s="1"/>
  <c r="W59" i="8" a="1"/>
  <c r="W59" i="8" s="1"/>
  <c r="W58" i="8" a="1"/>
  <c r="W58" i="8" s="1"/>
  <c r="AA41" i="8" a="1"/>
  <c r="AA41" i="8" s="1"/>
  <c r="AA40" i="8" a="1"/>
  <c r="AA40" i="8" s="1"/>
  <c r="V49" i="8" a="1"/>
  <c r="V49" i="8" s="1"/>
  <c r="V47" i="8" s="1" a="1"/>
  <c r="V47" i="8" s="1"/>
  <c r="Z41" i="8" a="1"/>
  <c r="Z41" i="8" s="1"/>
  <c r="Z80" i="8" a="1"/>
  <c r="Z80" i="8" s="1"/>
  <c r="Z79" i="8" a="1"/>
  <c r="Z79" i="8" s="1"/>
  <c r="AD49" i="8" a="1"/>
  <c r="AD49" i="8" s="1"/>
  <c r="AD47" i="8" s="1" a="1"/>
  <c r="AD47" i="8" s="1"/>
  <c r="AF59" i="8" a="1"/>
  <c r="AF59" i="8" s="1"/>
  <c r="AF58" i="8" a="1"/>
  <c r="AF58" i="8" s="1"/>
  <c r="AE91" i="8" a="1"/>
  <c r="AE91" i="8" s="1"/>
  <c r="V59" i="8" a="1"/>
  <c r="V59" i="8" s="1"/>
  <c r="V58" i="8" a="1"/>
  <c r="V58" i="8" s="1"/>
  <c r="X49" i="8" a="1"/>
  <c r="X49" i="8" s="1"/>
  <c r="X47" i="8" s="1" a="1"/>
  <c r="X47" i="8" s="1"/>
  <c r="AB41" i="8" a="1"/>
  <c r="AB41" i="8" s="1"/>
  <c r="U80" i="8" a="1"/>
  <c r="U80" i="8" s="1"/>
  <c r="U79" i="8" a="1"/>
  <c r="U79" i="8" s="1"/>
  <c r="AD80" i="8" a="1"/>
  <c r="AD80" i="8" s="1"/>
  <c r="AD79" i="8" a="1"/>
  <c r="AD79" i="8" s="1"/>
  <c r="W80" i="8" a="1"/>
  <c r="W80" i="8" s="1"/>
  <c r="W79" i="8" a="1"/>
  <c r="W79" i="8" s="1"/>
  <c r="AB49" i="8" a="1"/>
  <c r="AB49" i="8" s="1"/>
  <c r="AB47" i="8" s="1" a="1"/>
  <c r="AB47" i="8" s="1"/>
  <c r="Y68" i="8" a="1"/>
  <c r="Y68" i="8" s="1"/>
  <c r="Y67" i="8" a="1"/>
  <c r="Y67" i="8" s="1"/>
  <c r="X80" i="8" a="1"/>
  <c r="X80" i="8" s="1"/>
  <c r="X79" i="8" a="1"/>
  <c r="X79" i="8" s="1"/>
  <c r="E68" i="8" a="1"/>
  <c r="E68" i="8" s="1"/>
  <c r="E67" i="8" a="1"/>
  <c r="E67" i="8" s="1"/>
  <c r="X59" i="8" a="1"/>
  <c r="X59" i="8" s="1"/>
  <c r="X58" i="8" a="1"/>
  <c r="X58" i="8" s="1"/>
  <c r="U49" i="8" a="1"/>
  <c r="U49" i="8" s="1"/>
  <c r="U47" i="8" s="1" a="1"/>
  <c r="U47" i="8" s="1"/>
  <c r="U91" i="8" a="1"/>
  <c r="U91" i="8" s="1"/>
  <c r="AC49" i="8" a="1"/>
  <c r="AC49" i="8" s="1"/>
  <c r="AC47" i="8" s="1" a="1"/>
  <c r="AC47" i="8" s="1"/>
  <c r="AE41" i="8" a="1"/>
  <c r="AE41" i="8" s="1"/>
  <c r="Y49" i="8" a="1"/>
  <c r="Y49" i="8" s="1"/>
  <c r="Y47" i="8" s="1" a="1"/>
  <c r="Y47" i="8" s="1"/>
  <c r="E59" i="8" a="1"/>
  <c r="E59" i="8" s="1"/>
  <c r="E58" i="8" a="1"/>
  <c r="E58" i="8" s="1"/>
  <c r="AA91" i="8" a="1"/>
  <c r="AA91" i="8" s="1"/>
  <c r="AD41" i="8" a="1"/>
  <c r="AD41" i="8" s="1"/>
  <c r="AC91" i="8" a="1"/>
  <c r="AC91" i="8" s="1"/>
  <c r="AB91" i="8" a="1"/>
  <c r="AB91" i="8" s="1"/>
  <c r="E91" i="8" a="1"/>
  <c r="E91" i="8" s="1"/>
  <c r="AD68" i="8" a="1"/>
  <c r="AD68" i="8" s="1"/>
  <c r="AD67" i="8" a="1"/>
  <c r="AD67" i="8" s="1"/>
  <c r="W41" i="8" a="1"/>
  <c r="W41" i="8" s="1"/>
  <c r="E80" i="8" a="1"/>
  <c r="E80" i="8" s="1"/>
  <c r="E79" i="8" a="1"/>
  <c r="E79" i="8" s="1"/>
  <c r="X91" i="8" a="1"/>
  <c r="X91" i="8" s="1"/>
  <c r="U59" i="8" a="1"/>
  <c r="U59" i="8" s="1"/>
  <c r="U58" i="8" a="1"/>
  <c r="U58" i="8" s="1"/>
  <c r="AD35" i="8" a="1"/>
  <c r="AD35" i="8" s="1"/>
  <c r="AD91" i="8" a="1"/>
  <c r="AD91" i="8" s="1"/>
  <c r="Y59" i="8" a="1"/>
  <c r="Y59" i="8" s="1"/>
  <c r="Y58" i="8" a="1"/>
  <c r="Y58" i="8" s="1"/>
  <c r="W68" i="8" a="1"/>
  <c r="W68" i="8" s="1"/>
  <c r="W67" i="8" a="1"/>
  <c r="W67" i="8" s="1"/>
  <c r="AC59" i="8" a="1"/>
  <c r="AC59" i="8" s="1"/>
  <c r="AC58" i="8" a="1"/>
  <c r="AC58" i="8" s="1"/>
  <c r="AE68" i="8" a="1"/>
  <c r="AE68" i="8" s="1"/>
  <c r="AE67" i="8" a="1"/>
  <c r="AE67" i="8" s="1"/>
  <c r="AE59" i="8" a="1"/>
  <c r="AE59" i="8" s="1"/>
  <c r="AE58" i="8" a="1"/>
  <c r="AE58" i="8" s="1"/>
  <c r="E49" i="8" a="1"/>
  <c r="E49" i="8" s="1"/>
  <c r="E47" i="8" s="1" a="1"/>
  <c r="E47" i="8" s="1"/>
  <c r="Z49" i="8" a="1"/>
  <c r="Z49" i="8" s="1"/>
  <c r="Z47" i="8" s="1" a="1"/>
  <c r="Z47" i="8" s="1"/>
  <c r="AC41" i="8" a="1"/>
  <c r="AC41" i="8" s="1"/>
  <c r="Y91" i="8" a="1"/>
  <c r="Y91" i="8" s="1"/>
  <c r="W91" i="8" a="1"/>
  <c r="W91" i="8" s="1"/>
  <c r="W49" i="8" a="1"/>
  <c r="W49" i="8" s="1"/>
  <c r="W47" i="8" s="1" a="1"/>
  <c r="W47" i="8" s="1"/>
  <c r="AD59" i="8" a="1"/>
  <c r="AD59" i="8" s="1"/>
  <c r="AD58" i="8" a="1"/>
  <c r="AD58" i="8" s="1"/>
  <c r="AF91" i="8" a="1"/>
  <c r="AF91" i="8" s="1"/>
  <c r="Z68" i="8" a="1"/>
  <c r="Z68" i="8" s="1"/>
  <c r="Z67" i="8" a="1"/>
  <c r="Z67" i="8" s="1"/>
  <c r="AE49" i="8" a="1"/>
  <c r="AE49" i="8" s="1"/>
  <c r="AE47" i="8" s="1" a="1"/>
  <c r="AE47" i="8" s="1"/>
  <c r="AB68" i="8" a="1"/>
  <c r="AB68" i="8" s="1"/>
  <c r="AB67" i="8" a="1"/>
  <c r="AB67" i="8" s="1"/>
  <c r="AF49" i="8" a="1"/>
  <c r="AF49" i="8" s="1"/>
  <c r="V41" i="8" a="1"/>
  <c r="V41" i="8" s="1"/>
  <c r="V40" i="8" a="1"/>
  <c r="V40" i="8" s="1"/>
  <c r="V37" i="8" s="1" a="1"/>
  <c r="V37" i="8" s="1"/>
  <c r="X41" i="8" a="1"/>
  <c r="X41" i="8" s="1"/>
  <c r="X40" i="8" a="1"/>
  <c r="X40" i="8" s="1"/>
  <c r="E41" i="8" a="1"/>
  <c r="E41" i="8" s="1"/>
  <c r="Y41" i="8" a="1"/>
  <c r="Y41" i="8" s="1"/>
  <c r="Y40" i="8" a="1"/>
  <c r="Y40" i="8" s="1"/>
  <c r="I209" i="5"/>
  <c r="I210" i="5" s="1"/>
  <c r="O208" i="5"/>
  <c r="D207" i="12"/>
  <c r="E207" i="6"/>
  <c r="AA38" i="8" l="1" a="1"/>
  <c r="AA38" i="8" s="1"/>
  <c r="AC40" i="8" a="1"/>
  <c r="AC40" i="8" s="1"/>
  <c r="Z40" i="8" a="1"/>
  <c r="Z40" i="8" s="1"/>
  <c r="X77" i="8" a="1"/>
  <c r="X77" i="8" s="1"/>
  <c r="AF56" i="8" a="1"/>
  <c r="AF56" i="8" s="1"/>
  <c r="Z89" i="8" a="1"/>
  <c r="Z89" i="8" s="1"/>
  <c r="Z88" i="8" a="1"/>
  <c r="Z88" i="8" s="1"/>
  <c r="Z86" i="8" s="1" a="1"/>
  <c r="Z86" i="8" s="1"/>
  <c r="AE56" i="8" a="1"/>
  <c r="AE56" i="8" s="1"/>
  <c r="X89" i="8" a="1"/>
  <c r="X89" i="8" s="1"/>
  <c r="X88" i="8" a="1"/>
  <c r="X88" i="8" s="1"/>
  <c r="X86" i="8" s="1" a="1"/>
  <c r="X86" i="8" s="1"/>
  <c r="W89" i="8" a="1"/>
  <c r="W89" i="8" s="1"/>
  <c r="W88" i="8" a="1"/>
  <c r="W88" i="8" s="1"/>
  <c r="W86" i="8" s="1" a="1"/>
  <c r="W86" i="8" s="1"/>
  <c r="AE77" i="8" a="1"/>
  <c r="AE77" i="8" s="1"/>
  <c r="Z56" i="8" a="1"/>
  <c r="Z56" i="8" s="1"/>
  <c r="U40" i="8" a="1"/>
  <c r="U40" i="8" s="1"/>
  <c r="AC77" i="8" a="1"/>
  <c r="AC77" i="8" s="1"/>
  <c r="V77" i="8" a="1"/>
  <c r="V77" i="8" s="1"/>
  <c r="AA65" i="8" a="1"/>
  <c r="AA65" i="8" s="1"/>
  <c r="Z65" i="8" a="1"/>
  <c r="Z65" i="8" s="1"/>
  <c r="U89" i="8" a="1"/>
  <c r="U89" i="8" s="1"/>
  <c r="U88" i="8" a="1"/>
  <c r="U88" i="8" s="1"/>
  <c r="U86" i="8" s="1" a="1"/>
  <c r="U86" i="8" s="1"/>
  <c r="AB65" i="8" a="1"/>
  <c r="AB65" i="8" s="1"/>
  <c r="AF89" i="8" a="1"/>
  <c r="AF89" i="8" s="1"/>
  <c r="AF88" i="8" a="1"/>
  <c r="AF88" i="8" s="1"/>
  <c r="AF86" i="8" s="1" a="1"/>
  <c r="AF86" i="8" s="1"/>
  <c r="Y65" i="8" a="1"/>
  <c r="Y65" i="8" s="1"/>
  <c r="AE65" i="8" a="1"/>
  <c r="AE65" i="8" s="1"/>
  <c r="AD89" i="8" a="1"/>
  <c r="AD89" i="8" s="1"/>
  <c r="AD88" i="8" a="1"/>
  <c r="AD88" i="8" s="1"/>
  <c r="AD86" i="8" s="1" a="1"/>
  <c r="AD86" i="8" s="1"/>
  <c r="E77" i="8" a="1"/>
  <c r="E77" i="8" s="1"/>
  <c r="AC89" i="8" a="1"/>
  <c r="AC89" i="8" s="1"/>
  <c r="AC88" i="8" a="1"/>
  <c r="AC88" i="8" s="1"/>
  <c r="AC86" i="8" s="1" a="1"/>
  <c r="AC86" i="8" s="1"/>
  <c r="E56" i="8" a="1"/>
  <c r="E56" i="8" s="1"/>
  <c r="V56" i="8" a="1"/>
  <c r="V56" i="8" s="1"/>
  <c r="V89" i="8" a="1"/>
  <c r="V89" i="8" s="1"/>
  <c r="V88" i="8" a="1"/>
  <c r="V88" i="8" s="1"/>
  <c r="V86" i="8" s="1" a="1"/>
  <c r="V86" i="8" s="1"/>
  <c r="X56" i="8" a="1"/>
  <c r="X56" i="8" s="1"/>
  <c r="AD77" i="8" a="1"/>
  <c r="AD77" i="8" s="1"/>
  <c r="AB40" i="8" a="1"/>
  <c r="AB40" i="8" s="1"/>
  <c r="AF65" i="8" a="1"/>
  <c r="AF65" i="8" s="1"/>
  <c r="Y77" i="8" a="1"/>
  <c r="Y77" i="8" s="1"/>
  <c r="V65" i="8" a="1"/>
  <c r="V65" i="8" s="1"/>
  <c r="W65" i="8" a="1"/>
  <c r="W65" i="8" s="1"/>
  <c r="AA89" i="8" a="1"/>
  <c r="AA89" i="8" s="1"/>
  <c r="AA88" i="8" a="1"/>
  <c r="AA88" i="8" s="1"/>
  <c r="AA86" i="8" s="1" a="1"/>
  <c r="AA86" i="8" s="1"/>
  <c r="AC56" i="8" a="1"/>
  <c r="AC56" i="8" s="1"/>
  <c r="W40" i="8" a="1"/>
  <c r="W40" i="8" s="1"/>
  <c r="E89" i="8" a="1"/>
  <c r="E89" i="8" s="1"/>
  <c r="E88" i="8" a="1"/>
  <c r="E88" i="8" s="1"/>
  <c r="E86" i="8" s="1" a="1"/>
  <c r="E86" i="8" s="1"/>
  <c r="AD40" i="8" a="1"/>
  <c r="AD40" i="8" s="1"/>
  <c r="AE40" i="8" a="1"/>
  <c r="AE40" i="8" s="1"/>
  <c r="AF77" i="8" a="1"/>
  <c r="AF77" i="8" s="1"/>
  <c r="Y89" i="8" a="1"/>
  <c r="Y89" i="8" s="1"/>
  <c r="Y88" i="8" a="1"/>
  <c r="Y88" i="8" s="1"/>
  <c r="Y86" i="8" s="1" a="1"/>
  <c r="Y86" i="8" s="1"/>
  <c r="E65" i="8" a="1"/>
  <c r="E65" i="8" s="1"/>
  <c r="W77" i="8" a="1"/>
  <c r="W77" i="8" s="1"/>
  <c r="AE89" i="8" a="1"/>
  <c r="AE89" i="8" s="1"/>
  <c r="AE88" i="8" a="1"/>
  <c r="AE88" i="8" s="1"/>
  <c r="AE86" i="8" s="1" a="1"/>
  <c r="AE86" i="8" s="1"/>
  <c r="Z77" i="8" a="1"/>
  <c r="Z77" i="8" s="1"/>
  <c r="W56" i="8" a="1"/>
  <c r="W56" i="8" s="1"/>
  <c r="X65" i="8" a="1"/>
  <c r="X65" i="8" s="1"/>
  <c r="AB56" i="8" a="1"/>
  <c r="AB56" i="8" s="1"/>
  <c r="AC65" i="8" a="1"/>
  <c r="AC65" i="8" s="1"/>
  <c r="AA56" i="8" a="1"/>
  <c r="AA56" i="8" s="1"/>
  <c r="AA77" i="8" a="1"/>
  <c r="AA77" i="8" s="1"/>
  <c r="U77" i="8" a="1"/>
  <c r="U77" i="8" s="1"/>
  <c r="U65" i="8" a="1"/>
  <c r="U65" i="8" s="1"/>
  <c r="AB77" i="8" a="1"/>
  <c r="AB77" i="8" s="1"/>
  <c r="AD56" i="8" a="1"/>
  <c r="AD56" i="8" s="1"/>
  <c r="E40" i="8" a="1"/>
  <c r="E40" i="8" s="1"/>
  <c r="E37" i="8" s="1" a="1"/>
  <c r="E37" i="8" s="1"/>
  <c r="Y56" i="8" a="1"/>
  <c r="Y56" i="8" s="1"/>
  <c r="U56" i="8" a="1"/>
  <c r="U56" i="8" s="1"/>
  <c r="AD65" i="8" a="1"/>
  <c r="AD65" i="8" s="1"/>
  <c r="AB89" i="8" a="1"/>
  <c r="AB89" i="8" s="1"/>
  <c r="AB88" i="8" a="1"/>
  <c r="AB88" i="8" s="1"/>
  <c r="AB86" i="8" s="1" a="1"/>
  <c r="AB86" i="8" s="1"/>
  <c r="V35" i="8" a="1"/>
  <c r="V35" i="8" s="1"/>
  <c r="AF47" i="8" a="1"/>
  <c r="AF47" i="8" s="1"/>
  <c r="AF43" i="8" a="1"/>
  <c r="AF43" i="8" s="1"/>
  <c r="X38" i="8" a="1"/>
  <c r="X38" i="8" s="1"/>
  <c r="X37" i="8" a="1"/>
  <c r="X37" i="8" s="1"/>
  <c r="Y38" i="8" a="1"/>
  <c r="Y38" i="8" s="1"/>
  <c r="Y37" i="8" a="1"/>
  <c r="Y37" i="8" s="1"/>
  <c r="V38" i="8" a="1"/>
  <c r="V38" i="8" s="1"/>
  <c r="I211" i="5"/>
  <c r="O210" i="5"/>
  <c r="D208" i="12"/>
  <c r="E208" i="6"/>
  <c r="U38" i="8" l="1" a="1"/>
  <c r="U38" i="8" s="1"/>
  <c r="AB38" i="8" a="1"/>
  <c r="AB38" i="8" s="1"/>
  <c r="AE38" i="8" a="1"/>
  <c r="AE38" i="8" s="1"/>
  <c r="AD38" i="8" a="1"/>
  <c r="AD38" i="8" s="1"/>
  <c r="Z38" i="8" a="1"/>
  <c r="Z38" i="8" s="1"/>
  <c r="AC38" i="8" a="1"/>
  <c r="AC38" i="8" s="1"/>
  <c r="W38" i="8" a="1"/>
  <c r="W38" i="8" s="1"/>
  <c r="E38" i="8" a="1"/>
  <c r="E38" i="8" s="1"/>
  <c r="E35" i="8" a="1"/>
  <c r="E35" i="8" s="1"/>
  <c r="X109" i="8" a="1"/>
  <c r="X109" i="8" s="1"/>
  <c r="X76" i="8" a="1"/>
  <c r="X76" i="8" s="1"/>
  <c r="Y35" i="8" a="1"/>
  <c r="Y35" i="8" s="1"/>
  <c r="X35" i="8" a="1"/>
  <c r="X35" i="8" s="1"/>
  <c r="AF41" i="8" a="1"/>
  <c r="AF41" i="8" s="1"/>
  <c r="AF40" i="8" a="1"/>
  <c r="AF40" i="8" s="1"/>
  <c r="I212" i="5"/>
  <c r="O211" i="5"/>
  <c r="D210" i="12"/>
  <c r="E210" i="6"/>
  <c r="AF38" i="8" l="1" a="1"/>
  <c r="AF38" i="8" s="1"/>
  <c r="X74" i="8" a="1"/>
  <c r="X74" i="8" s="1"/>
  <c r="X64" i="8" a="1"/>
  <c r="X64" i="8" s="1"/>
  <c r="Z76" i="8" a="1"/>
  <c r="Z76" i="8" s="1"/>
  <c r="AD76" i="8" a="1"/>
  <c r="AD76" i="8" s="1"/>
  <c r="V76" i="8" a="1"/>
  <c r="V76" i="8" s="1"/>
  <c r="AC76" i="8" a="1"/>
  <c r="AC76" i="8" s="1"/>
  <c r="E76" i="8" a="1"/>
  <c r="E76" i="8" s="1"/>
  <c r="AB76" i="8" a="1"/>
  <c r="AB76" i="8" s="1"/>
  <c r="X107" i="8" a="1"/>
  <c r="X107" i="8" s="1"/>
  <c r="X106" i="8" a="1"/>
  <c r="X106" i="8" s="1"/>
  <c r="AF76" i="8" a="1"/>
  <c r="AF76" i="8" s="1"/>
  <c r="U76" i="8" a="1"/>
  <c r="U76" i="8" s="1"/>
  <c r="AE76" i="8" a="1"/>
  <c r="AE76" i="8" s="1"/>
  <c r="AA76" i="8" a="1"/>
  <c r="AA76" i="8" s="1"/>
  <c r="W76" i="8" a="1"/>
  <c r="W76" i="8" s="1"/>
  <c r="Y76" i="8" a="1"/>
  <c r="Y76" i="8" s="1"/>
  <c r="AF109" i="8" a="1"/>
  <c r="AF109" i="8" s="1"/>
  <c r="I213" i="5"/>
  <c r="O212" i="5"/>
  <c r="D211" i="12"/>
  <c r="E211" i="6"/>
  <c r="X62" i="8" l="1" a="1"/>
  <c r="X62" i="8" s="1"/>
  <c r="X55" i="8" a="1"/>
  <c r="X55" i="8" s="1"/>
  <c r="AE109" i="8" a="1"/>
  <c r="AE109" i="8" s="1"/>
  <c r="Z109" i="8" a="1"/>
  <c r="Z109" i="8" s="1"/>
  <c r="V109" i="8" a="1"/>
  <c r="V109" i="8" s="1"/>
  <c r="W74" i="8" a="1"/>
  <c r="W74" i="8" s="1"/>
  <c r="W64" i="8" a="1"/>
  <c r="W64" i="8" s="1"/>
  <c r="AB74" i="8" a="1"/>
  <c r="AB74" i="8" s="1"/>
  <c r="AB64" i="8" a="1"/>
  <c r="AB64" i="8" s="1"/>
  <c r="E74" i="8" a="1"/>
  <c r="E74" i="8" s="1"/>
  <c r="E64" i="8" a="1"/>
  <c r="E64" i="8" s="1"/>
  <c r="E55" i="8" s="1" a="1"/>
  <c r="E55" i="8" s="1"/>
  <c r="V74" i="8" a="1"/>
  <c r="V74" i="8" s="1"/>
  <c r="V64" i="8" a="1"/>
  <c r="V64" i="8" s="1"/>
  <c r="AC74" i="8" a="1"/>
  <c r="AC74" i="8" s="1"/>
  <c r="AC64" i="8" a="1"/>
  <c r="AC64" i="8" s="1"/>
  <c r="AD74" i="8" a="1"/>
  <c r="AD74" i="8" s="1"/>
  <c r="AD64" i="8" a="1"/>
  <c r="AD64" i="8" s="1"/>
  <c r="Y74" i="8" a="1"/>
  <c r="Y74" i="8" s="1"/>
  <c r="Y64" i="8" a="1"/>
  <c r="Y64" i="8" s="1"/>
  <c r="Z74" i="8" a="1"/>
  <c r="Z74" i="8" s="1"/>
  <c r="Z64" i="8" a="1"/>
  <c r="Z64" i="8" s="1"/>
  <c r="AA74" i="8" a="1"/>
  <c r="AA74" i="8" s="1"/>
  <c r="AA64" i="8" a="1"/>
  <c r="AA64" i="8" s="1"/>
  <c r="AF74" i="8" a="1"/>
  <c r="AF74" i="8" s="1"/>
  <c r="AF64" i="8" a="1"/>
  <c r="AF64" i="8" s="1"/>
  <c r="AE74" i="8" a="1"/>
  <c r="AE74" i="8" s="1"/>
  <c r="AE64" i="8" a="1"/>
  <c r="AE64" i="8" s="1"/>
  <c r="U74" i="8" a="1"/>
  <c r="U74" i="8" s="1"/>
  <c r="U64" i="8" a="1"/>
  <c r="U64" i="8" s="1"/>
  <c r="U55" i="8" s="1" a="1"/>
  <c r="U55" i="8" s="1"/>
  <c r="X104" i="8" a="1"/>
  <c r="X104" i="8" s="1"/>
  <c r="X103" i="8" a="1"/>
  <c r="X103" i="8" s="1"/>
  <c r="AF107" i="8" a="1"/>
  <c r="AF107" i="8" s="1"/>
  <c r="AF106" i="8" a="1"/>
  <c r="AF106" i="8" s="1"/>
  <c r="I214" i="5"/>
  <c r="O213" i="5"/>
  <c r="E212" i="6"/>
  <c r="D212" i="12"/>
  <c r="V107" i="8" l="1" a="1"/>
  <c r="V107" i="8" s="1"/>
  <c r="V106" i="8" a="1"/>
  <c r="V106" i="8" s="1"/>
  <c r="Z107" i="8" a="1"/>
  <c r="Z107" i="8" s="1"/>
  <c r="Z106" i="8" a="1"/>
  <c r="Z106" i="8" s="1"/>
  <c r="AE107" i="8" a="1"/>
  <c r="AE107" i="8" s="1"/>
  <c r="AE106" i="8" a="1"/>
  <c r="AE106" i="8" s="1"/>
  <c r="E53" i="8" a="1"/>
  <c r="E53" i="8" s="1"/>
  <c r="E52" i="8" a="1"/>
  <c r="E52" i="8" s="1"/>
  <c r="X53" i="8" a="1"/>
  <c r="X53" i="8" s="1"/>
  <c r="X52" i="8" a="1"/>
  <c r="X52" i="8" s="1"/>
  <c r="U53" i="8" a="1"/>
  <c r="U53" i="8" s="1"/>
  <c r="U52" i="8" a="1"/>
  <c r="U52" i="8" s="1"/>
  <c r="E109" i="8" a="1"/>
  <c r="E109" i="8" s="1"/>
  <c r="W109" i="8" a="1"/>
  <c r="W109" i="8" s="1"/>
  <c r="AA109" i="8" a="1"/>
  <c r="AA109" i="8" s="1"/>
  <c r="V62" i="8" a="1"/>
  <c r="V62" i="8" s="1"/>
  <c r="V55" i="8" a="1"/>
  <c r="V55" i="8" s="1"/>
  <c r="AB62" i="8" a="1"/>
  <c r="AB62" i="8" s="1"/>
  <c r="AB55" i="8" a="1"/>
  <c r="AB55" i="8" s="1"/>
  <c r="Y62" i="8" a="1"/>
  <c r="Y62" i="8" s="1"/>
  <c r="Y55" i="8" a="1"/>
  <c r="Y55" i="8" s="1"/>
  <c r="AB109" i="8" a="1"/>
  <c r="AB109" i="8" s="1"/>
  <c r="AD62" i="8" a="1"/>
  <c r="AD62" i="8" s="1"/>
  <c r="AD55" i="8" a="1"/>
  <c r="AD55" i="8" s="1"/>
  <c r="AC62" i="8" a="1"/>
  <c r="AC62" i="8" s="1"/>
  <c r="AC55" i="8" a="1"/>
  <c r="AC55" i="8" s="1"/>
  <c r="X101" i="8" a="1"/>
  <c r="X101" i="8" s="1"/>
  <c r="X100" i="8" a="1"/>
  <c r="X100" i="8" s="1"/>
  <c r="Z62" i="8" a="1"/>
  <c r="Z62" i="8" s="1"/>
  <c r="Z55" i="8" a="1"/>
  <c r="Z55" i="8" s="1"/>
  <c r="U109" i="8" a="1"/>
  <c r="U109" i="8" s="1"/>
  <c r="AC109" i="8" a="1"/>
  <c r="AC109" i="8" s="1"/>
  <c r="AF62" i="8" a="1"/>
  <c r="AF62" i="8" s="1"/>
  <c r="AF55" i="8" a="1"/>
  <c r="AF55" i="8" s="1"/>
  <c r="Y109" i="8" a="1"/>
  <c r="Y109" i="8" s="1"/>
  <c r="AA62" i="8" a="1"/>
  <c r="AA62" i="8" s="1"/>
  <c r="AA55" i="8" a="1"/>
  <c r="AA55" i="8" s="1"/>
  <c r="AE62" i="8" a="1"/>
  <c r="AE62" i="8" s="1"/>
  <c r="AE55" i="8" a="1"/>
  <c r="AE55" i="8" s="1"/>
  <c r="AD109" i="8" a="1"/>
  <c r="AD109" i="8" s="1"/>
  <c r="W62" i="8" a="1"/>
  <c r="W62" i="8" s="1"/>
  <c r="W55" i="8" a="1"/>
  <c r="W55" i="8" s="1"/>
  <c r="AF104" i="8" a="1"/>
  <c r="AF104" i="8" s="1"/>
  <c r="AF103" i="8" a="1"/>
  <c r="AF103" i="8" s="1"/>
  <c r="E62" i="8" a="1"/>
  <c r="E62" i="8" s="1"/>
  <c r="U62" i="8" a="1"/>
  <c r="U62" i="8" s="1"/>
  <c r="I215" i="5"/>
  <c r="I216" i="5" s="1"/>
  <c r="O214" i="5"/>
  <c r="D213" i="12"/>
  <c r="E213" i="6"/>
  <c r="E50" i="8" l="1" a="1"/>
  <c r="E50" i="8" s="1"/>
  <c r="AE104" i="8" a="1"/>
  <c r="AE104" i="8" s="1"/>
  <c r="AE103" i="8" a="1"/>
  <c r="AE103" i="8" s="1"/>
  <c r="Z104" i="8" a="1"/>
  <c r="Z104" i="8" s="1"/>
  <c r="Z103" i="8" a="1"/>
  <c r="Z103" i="8" s="1"/>
  <c r="U50" i="8" a="1"/>
  <c r="U50" i="8" s="1"/>
  <c r="V104" i="8" a="1"/>
  <c r="V104" i="8" s="1"/>
  <c r="V103" i="8" a="1"/>
  <c r="V103" i="8" s="1"/>
  <c r="X50" i="8" a="1"/>
  <c r="X50" i="8" s="1"/>
  <c r="Y53" i="8" a="1"/>
  <c r="Y53" i="8" s="1"/>
  <c r="Y52" i="8" a="1"/>
  <c r="Y52" i="8" s="1"/>
  <c r="W107" i="8" a="1"/>
  <c r="W107" i="8" s="1"/>
  <c r="W106" i="8" a="1"/>
  <c r="W106" i="8" s="1"/>
  <c r="AA53" i="8" a="1"/>
  <c r="AA53" i="8" s="1"/>
  <c r="AA52" i="8" a="1"/>
  <c r="AA52" i="8" s="1"/>
  <c r="Y97" i="8" a="1"/>
  <c r="Y97" i="8" s="1"/>
  <c r="X98" i="8" a="1"/>
  <c r="X98" i="8" s="1"/>
  <c r="X97" i="8" a="1"/>
  <c r="X97" i="8" s="1"/>
  <c r="AD53" i="8" a="1"/>
  <c r="AD53" i="8" s="1"/>
  <c r="AD52" i="8" a="1"/>
  <c r="AD52" i="8" s="1"/>
  <c r="AB53" i="8" a="1"/>
  <c r="AB53" i="8" s="1"/>
  <c r="AB52" i="8" a="1"/>
  <c r="AB52" i="8" s="1"/>
  <c r="AD97" i="8" a="1"/>
  <c r="AD97" i="8" s="1"/>
  <c r="U107" i="8" a="1"/>
  <c r="U107" i="8" s="1"/>
  <c r="U106" i="8" a="1"/>
  <c r="U106" i="8" s="1"/>
  <c r="E107" i="8" a="1"/>
  <c r="E107" i="8" s="1"/>
  <c r="E106" i="8" a="1"/>
  <c r="E106" i="8" s="1"/>
  <c r="AF53" i="8" a="1"/>
  <c r="AF53" i="8" s="1"/>
  <c r="AF52" i="8" a="1"/>
  <c r="AF52" i="8" s="1"/>
  <c r="E97" i="8" a="1"/>
  <c r="E97" i="8" s="1"/>
  <c r="E94" i="8" s="1" a="1"/>
  <c r="E94" i="8" s="1"/>
  <c r="E92" i="8" s="1" a="1"/>
  <c r="E92" i="8" s="1"/>
  <c r="V97" i="8" a="1"/>
  <c r="V97" i="8" s="1"/>
  <c r="AB97" i="8" a="1"/>
  <c r="AB97" i="8" s="1"/>
  <c r="AE97" i="8" a="1"/>
  <c r="AE97" i="8" s="1"/>
  <c r="V53" i="8" a="1"/>
  <c r="V53" i="8" s="1"/>
  <c r="V52" i="8" a="1"/>
  <c r="V52" i="8" s="1"/>
  <c r="AC107" i="8" a="1"/>
  <c r="AC107" i="8" s="1"/>
  <c r="AC106" i="8" a="1"/>
  <c r="AC106" i="8" s="1"/>
  <c r="AD107" i="8" a="1"/>
  <c r="AD107" i="8" s="1"/>
  <c r="AD106" i="8" a="1"/>
  <c r="AD106" i="8" s="1"/>
  <c r="W97" i="8" a="1"/>
  <c r="W97" i="8" s="1"/>
  <c r="AC53" i="8" a="1"/>
  <c r="AC53" i="8" s="1"/>
  <c r="AC52" i="8" a="1"/>
  <c r="AC52" i="8" s="1"/>
  <c r="AC97" i="8" a="1"/>
  <c r="AC97" i="8" s="1"/>
  <c r="Y107" i="8" a="1"/>
  <c r="Y107" i="8" s="1"/>
  <c r="Y106" i="8" a="1"/>
  <c r="Y106" i="8" s="1"/>
  <c r="Z53" i="8" a="1"/>
  <c r="Z53" i="8" s="1"/>
  <c r="Z52" i="8" a="1"/>
  <c r="Z52" i="8" s="1"/>
  <c r="AB107" i="8" a="1"/>
  <c r="AB107" i="8" s="1"/>
  <c r="AB106" i="8" a="1"/>
  <c r="AB106" i="8" s="1"/>
  <c r="W53" i="8" a="1"/>
  <c r="W53" i="8" s="1"/>
  <c r="W52" i="8" a="1"/>
  <c r="W52" i="8" s="1"/>
  <c r="Z97" i="8" a="1"/>
  <c r="Z97" i="8" s="1"/>
  <c r="AE53" i="8" a="1"/>
  <c r="AE53" i="8" s="1"/>
  <c r="AE52" i="8" a="1"/>
  <c r="AE52" i="8" s="1"/>
  <c r="U97" i="8" a="1"/>
  <c r="U97" i="8" s="1"/>
  <c r="U94" i="8" s="1" a="1"/>
  <c r="U94" i="8" s="1"/>
  <c r="U92" i="8" s="1" a="1"/>
  <c r="U92" i="8" s="1"/>
  <c r="AA97" i="8" a="1"/>
  <c r="AA97" i="8" s="1"/>
  <c r="AA107" i="8" a="1"/>
  <c r="AA107" i="8" s="1"/>
  <c r="AA106" i="8" a="1"/>
  <c r="AA106" i="8" s="1"/>
  <c r="AF101" i="8" a="1"/>
  <c r="AF101" i="8" s="1"/>
  <c r="AF100" i="8" a="1"/>
  <c r="AF100" i="8" s="1"/>
  <c r="I217" i="5"/>
  <c r="O216" i="5"/>
  <c r="D214" i="12"/>
  <c r="E214" i="6"/>
  <c r="Z101" i="8" l="1" a="1"/>
  <c r="Z101" i="8" s="1"/>
  <c r="Z100" i="8" a="1"/>
  <c r="Z100" i="8" s="1"/>
  <c r="Z98" i="8" s="1" a="1"/>
  <c r="Z98" i="8" s="1"/>
  <c r="AE101" i="8" a="1"/>
  <c r="AE101" i="8" s="1"/>
  <c r="AE100" i="8" a="1"/>
  <c r="AE100" i="8" s="1"/>
  <c r="AE98" i="8" s="1" a="1"/>
  <c r="AE98" i="8" s="1"/>
  <c r="V101" i="8" a="1"/>
  <c r="V101" i="8" s="1"/>
  <c r="V100" i="8" a="1"/>
  <c r="V100" i="8" s="1"/>
  <c r="V98" i="8" s="1" a="1"/>
  <c r="V98" i="8" s="1"/>
  <c r="AA104" i="8" a="1"/>
  <c r="AA104" i="8" s="1"/>
  <c r="AA103" i="8" a="1"/>
  <c r="AA103" i="8" s="1"/>
  <c r="W104" i="8" a="1"/>
  <c r="W104" i="8" s="1"/>
  <c r="W103" i="8" a="1"/>
  <c r="W103" i="8" s="1"/>
  <c r="E104" i="8" a="1"/>
  <c r="E104" i="8" s="1"/>
  <c r="E103" i="8" a="1"/>
  <c r="E103" i="8" s="1"/>
  <c r="AC104" i="8" a="1"/>
  <c r="AC104" i="8" s="1"/>
  <c r="AC103" i="8" a="1"/>
  <c r="AC103" i="8" s="1"/>
  <c r="V95" i="8" a="1"/>
  <c r="V95" i="8" s="1"/>
  <c r="V94" i="8" a="1"/>
  <c r="V94" i="8" s="1"/>
  <c r="V92" i="8" s="1" a="1"/>
  <c r="V92" i="8" s="1"/>
  <c r="Y50" i="8" a="1"/>
  <c r="Y50" i="8" s="1"/>
  <c r="AD104" i="8" a="1"/>
  <c r="AD104" i="8" s="1"/>
  <c r="AD103" i="8" a="1"/>
  <c r="AD103" i="8" s="1"/>
  <c r="W50" i="8" a="1"/>
  <c r="W50" i="8" s="1"/>
  <c r="U104" i="8" a="1"/>
  <c r="U104" i="8" s="1"/>
  <c r="U103" i="8" a="1"/>
  <c r="U103" i="8" s="1"/>
  <c r="X95" i="8" a="1"/>
  <c r="X95" i="8" s="1"/>
  <c r="X94" i="8" a="1"/>
  <c r="X94" i="8" s="1"/>
  <c r="Z95" i="8" a="1"/>
  <c r="Z95" i="8" s="1"/>
  <c r="Z94" i="8" a="1"/>
  <c r="Z94" i="8" s="1"/>
  <c r="Z92" i="8" s="1" a="1"/>
  <c r="Z92" i="8" s="1"/>
  <c r="AB104" i="8" a="1"/>
  <c r="AB104" i="8" s="1"/>
  <c r="AB103" i="8" a="1"/>
  <c r="AB103" i="8" s="1"/>
  <c r="AD95" i="8" a="1"/>
  <c r="AD95" i="8" s="1"/>
  <c r="AD94" i="8" a="1"/>
  <c r="AD94" i="8" s="1"/>
  <c r="AD92" i="8" s="1" a="1"/>
  <c r="AD92" i="8" s="1"/>
  <c r="Y95" i="8" a="1"/>
  <c r="Y95" i="8" s="1"/>
  <c r="Y94" i="8" a="1"/>
  <c r="Y94" i="8" s="1"/>
  <c r="Y92" i="8" s="1" a="1"/>
  <c r="Y92" i="8" s="1"/>
  <c r="AD50" i="8" a="1"/>
  <c r="AD50" i="8" s="1"/>
  <c r="AC50" i="8" a="1"/>
  <c r="AC50" i="8" s="1"/>
  <c r="V50" i="8" a="1"/>
  <c r="V50" i="8" s="1"/>
  <c r="AB95" i="8" a="1"/>
  <c r="AB95" i="8" s="1"/>
  <c r="AB94" i="8" a="1"/>
  <c r="AB94" i="8" s="1"/>
  <c r="AB92" i="8" s="1" a="1"/>
  <c r="AB92" i="8" s="1"/>
  <c r="AE50" i="8" a="1"/>
  <c r="AE50" i="8" s="1"/>
  <c r="W95" i="8" a="1"/>
  <c r="W95" i="8" s="1"/>
  <c r="W94" i="8" a="1"/>
  <c r="W94" i="8" s="1"/>
  <c r="W92" i="8" s="1" a="1"/>
  <c r="W92" i="8" s="1"/>
  <c r="AF50" i="8" a="1"/>
  <c r="AF50" i="8" s="1"/>
  <c r="AA50" i="8" a="1"/>
  <c r="AA50" i="8" s="1"/>
  <c r="Y104" i="8" a="1"/>
  <c r="Y104" i="8" s="1"/>
  <c r="Y103" i="8" a="1"/>
  <c r="Y103" i="8" s="1"/>
  <c r="AA95" i="8" a="1"/>
  <c r="AA95" i="8" s="1"/>
  <c r="AA94" i="8" a="1"/>
  <c r="AA94" i="8" s="1"/>
  <c r="AA92" i="8" s="1" a="1"/>
  <c r="AA92" i="8" s="1"/>
  <c r="AC95" i="8" a="1"/>
  <c r="AC95" i="8" s="1"/>
  <c r="AC94" i="8" a="1"/>
  <c r="AC94" i="8" s="1"/>
  <c r="AC92" i="8" s="1" a="1"/>
  <c r="AC92" i="8" s="1"/>
  <c r="Z50" i="8" a="1"/>
  <c r="Z50" i="8" s="1"/>
  <c r="AE95" i="8" a="1"/>
  <c r="AE95" i="8" s="1"/>
  <c r="AE94" i="8" a="1"/>
  <c r="AE94" i="8" s="1"/>
  <c r="AE92" i="8" s="1" a="1"/>
  <c r="AE92" i="8" s="1"/>
  <c r="AB50" i="8" a="1"/>
  <c r="AB50" i="8" s="1"/>
  <c r="E95" i="8" a="1"/>
  <c r="E95" i="8" s="1"/>
  <c r="U95" i="8" a="1"/>
  <c r="U95" i="8" s="1"/>
  <c r="AF98" i="8" a="1"/>
  <c r="AF98" i="8" s="1"/>
  <c r="AF97" i="8" a="1"/>
  <c r="AF97" i="8" s="1"/>
  <c r="I218" i="5"/>
  <c r="I219" i="5" s="1"/>
  <c r="O217" i="5"/>
  <c r="E216" i="6"/>
  <c r="D216" i="12"/>
  <c r="AB101" i="8" l="1" a="1"/>
  <c r="AB101" i="8" s="1"/>
  <c r="AB100" i="8" a="1"/>
  <c r="AB100" i="8" s="1"/>
  <c r="AB98" i="8" s="1" a="1"/>
  <c r="AB98" i="8" s="1"/>
  <c r="AC101" i="8" a="1"/>
  <c r="AC101" i="8" s="1"/>
  <c r="AC100" i="8" a="1"/>
  <c r="AC100" i="8" s="1"/>
  <c r="AC98" i="8" s="1" a="1"/>
  <c r="AC98" i="8" s="1"/>
  <c r="Y101" i="8" a="1"/>
  <c r="Y101" i="8" s="1"/>
  <c r="Y100" i="8" a="1"/>
  <c r="Y100" i="8" s="1"/>
  <c r="Y98" i="8" s="1" a="1"/>
  <c r="Y98" i="8" s="1"/>
  <c r="E101" i="8" a="1"/>
  <c r="E101" i="8" s="1"/>
  <c r="E100" i="8" a="1"/>
  <c r="E100" i="8" s="1"/>
  <c r="AD101" i="8" a="1"/>
  <c r="AD101" i="8" s="1"/>
  <c r="AD100" i="8" a="1"/>
  <c r="AD100" i="8" s="1"/>
  <c r="AD98" i="8" s="1" a="1"/>
  <c r="AD98" i="8" s="1"/>
  <c r="X92" i="8" a="1"/>
  <c r="X92" i="8" s="1"/>
  <c r="W101" i="8" a="1"/>
  <c r="W101" i="8" s="1"/>
  <c r="W100" i="8" a="1"/>
  <c r="W100" i="8" s="1"/>
  <c r="W98" i="8" s="1" a="1"/>
  <c r="W98" i="8" s="1"/>
  <c r="U101" i="8" a="1"/>
  <c r="U101" i="8" s="1"/>
  <c r="U100" i="8" a="1"/>
  <c r="U100" i="8" s="1"/>
  <c r="AA101" i="8" a="1"/>
  <c r="AA101" i="8" s="1"/>
  <c r="AA100" i="8" a="1"/>
  <c r="AA100" i="8" s="1"/>
  <c r="AA98" i="8" s="1" a="1"/>
  <c r="AA98" i="8" s="1"/>
  <c r="AF95" i="8" a="1"/>
  <c r="AF95" i="8" s="1"/>
  <c r="AF94" i="8" a="1"/>
  <c r="AF94" i="8" s="1"/>
  <c r="I220" i="5"/>
  <c r="O219" i="5"/>
  <c r="D217" i="12"/>
  <c r="E217" i="6"/>
  <c r="AF92" i="8" l="1" a="1"/>
  <c r="AF92" i="8" s="1"/>
  <c r="U98" i="8" a="1"/>
  <c r="U98" i="8" s="1"/>
  <c r="E98" i="8" a="1"/>
  <c r="E98" i="8" s="1"/>
  <c r="O220" i="5"/>
  <c r="E219" i="6"/>
  <c r="D219" i="12"/>
  <c r="I221" i="5" l="1"/>
  <c r="I222" i="5" s="1"/>
  <c r="E220" i="6"/>
  <c r="D220" i="12"/>
  <c r="I223" i="5" l="1"/>
  <c r="O222" i="5"/>
  <c r="I225" i="5"/>
  <c r="I226" i="5" s="1"/>
  <c r="O221" i="5"/>
  <c r="AF29" i="5" a="1"/>
  <c r="I224" i="5" l="1"/>
  <c r="O224" i="5" s="1"/>
  <c r="O223" i="5"/>
  <c r="D222" i="12"/>
  <c r="E222" i="6"/>
  <c r="I227" i="5"/>
  <c r="I228" i="5" s="1"/>
  <c r="O226" i="5"/>
  <c r="D221" i="12"/>
  <c r="E221" i="6"/>
  <c r="AF29" i="5"/>
  <c r="D224" i="12" l="1"/>
  <c r="E224" i="6"/>
  <c r="D223" i="12"/>
  <c r="E223" i="6"/>
  <c r="I229" i="5"/>
  <c r="O228" i="5"/>
  <c r="O227" i="5"/>
  <c r="D227" i="12" s="1"/>
  <c r="D226" i="12"/>
  <c r="E226" i="6"/>
  <c r="AG29" i="5" a="1"/>
  <c r="I230" i="5" l="1"/>
  <c r="O229" i="5"/>
  <c r="E227" i="6"/>
  <c r="E228" i="6"/>
  <c r="D228" i="12"/>
  <c r="AG29" i="5"/>
  <c r="I231" i="5" l="1"/>
  <c r="I232" i="5" s="1"/>
  <c r="O230" i="5"/>
  <c r="D229" i="12"/>
  <c r="E229" i="6"/>
  <c r="G29" i="6"/>
  <c r="F29" i="12" a="1"/>
  <c r="F29" i="12" s="1"/>
  <c r="AC29" i="5" a="1"/>
  <c r="AC29" i="5" s="1"/>
  <c r="F29" i="6"/>
  <c r="E29" i="12"/>
  <c r="O231" i="5" l="1"/>
  <c r="D231" i="12" s="1"/>
  <c r="I233" i="5"/>
  <c r="I234" i="5" s="1"/>
  <c r="O232" i="5"/>
  <c r="D230" i="12"/>
  <c r="E230" i="6"/>
  <c r="N30" i="6"/>
  <c r="N31" i="6"/>
  <c r="N32" i="6"/>
  <c r="N33" i="6"/>
  <c r="N34" i="6"/>
  <c r="N35" i="6"/>
  <c r="N37" i="6"/>
  <c r="N38" i="6"/>
  <c r="N39" i="6"/>
  <c r="N40" i="6"/>
  <c r="N42" i="6"/>
  <c r="N43" i="6"/>
  <c r="N44" i="6"/>
  <c r="N46" i="6"/>
  <c r="N47" i="6"/>
  <c r="N48" i="6"/>
  <c r="N49"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N105" i="6"/>
  <c r="N106" i="6"/>
  <c r="N107" i="6"/>
  <c r="N108" i="6"/>
  <c r="N109" i="6"/>
  <c r="N110" i="6"/>
  <c r="N111" i="6"/>
  <c r="N112" i="6"/>
  <c r="N113" i="6"/>
  <c r="N114" i="6"/>
  <c r="N115" i="6"/>
  <c r="N116" i="6"/>
  <c r="N117" i="6"/>
  <c r="N118" i="6"/>
  <c r="N119" i="6"/>
  <c r="N120" i="6"/>
  <c r="N121" i="6"/>
  <c r="N122" i="6"/>
  <c r="N123" i="6"/>
  <c r="N124" i="6"/>
  <c r="N125" i="6"/>
  <c r="N126" i="6"/>
  <c r="N127" i="6"/>
  <c r="N128" i="6"/>
  <c r="N129" i="6"/>
  <c r="N130" i="6"/>
  <c r="N131" i="6"/>
  <c r="N132" i="6"/>
  <c r="N133" i="6"/>
  <c r="N134" i="6"/>
  <c r="N135" i="6"/>
  <c r="N136" i="6"/>
  <c r="N137" i="6"/>
  <c r="N138" i="6"/>
  <c r="N139" i="6"/>
  <c r="N140" i="6"/>
  <c r="N141" i="6"/>
  <c r="N142" i="6"/>
  <c r="N143" i="6"/>
  <c r="N144" i="6"/>
  <c r="N145" i="6"/>
  <c r="N146" i="6"/>
  <c r="N147" i="6"/>
  <c r="N148" i="6"/>
  <c r="N149" i="6"/>
  <c r="N150" i="6"/>
  <c r="N151" i="6"/>
  <c r="N152" i="6"/>
  <c r="N153" i="6"/>
  <c r="N154" i="6"/>
  <c r="N155" i="6"/>
  <c r="N156" i="6"/>
  <c r="N158" i="6"/>
  <c r="N159" i="6"/>
  <c r="N160" i="6"/>
  <c r="N161" i="6"/>
  <c r="N162" i="6"/>
  <c r="N163" i="6"/>
  <c r="N164" i="6"/>
  <c r="N165" i="6"/>
  <c r="N166" i="6"/>
  <c r="N167" i="6"/>
  <c r="N168" i="6"/>
  <c r="N169" i="6"/>
  <c r="N170" i="6"/>
  <c r="N171" i="6"/>
  <c r="N172" i="6"/>
  <c r="N173" i="6"/>
  <c r="N174" i="6"/>
  <c r="N175" i="6"/>
  <c r="N176" i="6"/>
  <c r="N177" i="6"/>
  <c r="N178" i="6"/>
  <c r="N179" i="6"/>
  <c r="N180" i="6"/>
  <c r="N181" i="6"/>
  <c r="N182" i="6"/>
  <c r="N183" i="6"/>
  <c r="N184" i="6"/>
  <c r="N185" i="6"/>
  <c r="N186" i="6"/>
  <c r="N187" i="6"/>
  <c r="N188" i="6"/>
  <c r="N189" i="6"/>
  <c r="N190" i="6"/>
  <c r="N191" i="6"/>
  <c r="N192" i="6"/>
  <c r="N193" i="6"/>
  <c r="N194" i="6"/>
  <c r="N195" i="6"/>
  <c r="N196" i="6"/>
  <c r="N197" i="6"/>
  <c r="N198" i="6"/>
  <c r="N199" i="6"/>
  <c r="N200" i="6"/>
  <c r="N201" i="6"/>
  <c r="N202" i="6"/>
  <c r="N203" i="6"/>
  <c r="N204" i="6"/>
  <c r="N205" i="6"/>
  <c r="N206" i="6"/>
  <c r="N207" i="6"/>
  <c r="N208" i="6"/>
  <c r="N209" i="6"/>
  <c r="N210" i="6"/>
  <c r="N211" i="6"/>
  <c r="N212" i="6"/>
  <c r="N213" i="6"/>
  <c r="N214" i="6"/>
  <c r="N215" i="6"/>
  <c r="N216" i="6"/>
  <c r="N217" i="6"/>
  <c r="N218" i="6"/>
  <c r="N219" i="6"/>
  <c r="N220" i="6"/>
  <c r="N221" i="6"/>
  <c r="N225" i="6"/>
  <c r="N226" i="6"/>
  <c r="N227" i="6"/>
  <c r="N228" i="6"/>
  <c r="N229" i="6"/>
  <c r="N230" i="6"/>
  <c r="N231" i="6"/>
  <c r="N232" i="6"/>
  <c r="N233" i="6"/>
  <c r="N234" i="6"/>
  <c r="C49" i="9" l="1"/>
  <c r="F49" i="9" s="1"/>
  <c r="C49" i="10"/>
  <c r="A49" i="10" s="1"/>
  <c r="C46" i="10"/>
  <c r="A46" i="10" s="1"/>
  <c r="C46" i="9"/>
  <c r="F46" i="9" s="1"/>
  <c r="C48" i="10"/>
  <c r="A48" i="10" s="1"/>
  <c r="C48" i="9"/>
  <c r="F48" i="9" s="1"/>
  <c r="C44" i="10"/>
  <c r="A44" i="10" s="1"/>
  <c r="C44" i="9"/>
  <c r="F44" i="9" s="1"/>
  <c r="C45" i="9"/>
  <c r="F45" i="9" s="1"/>
  <c r="C45" i="10"/>
  <c r="A45" i="10" s="1"/>
  <c r="C47" i="10"/>
  <c r="A47" i="10" s="1"/>
  <c r="C47" i="9"/>
  <c r="F47" i="9" s="1"/>
  <c r="O233" i="5"/>
  <c r="E233" i="6" s="1"/>
  <c r="O234" i="5"/>
  <c r="D234" i="12" s="1"/>
  <c r="E231" i="6"/>
  <c r="D232" i="12"/>
  <c r="E232" i="6"/>
  <c r="C43" i="10"/>
  <c r="A43" i="10" s="1"/>
  <c r="C43" i="9"/>
  <c r="F43" i="9" s="1"/>
  <c r="C42" i="10"/>
  <c r="A42" i="10" s="1"/>
  <c r="C42" i="9"/>
  <c r="F42" i="9" s="1"/>
  <c r="C41" i="9"/>
  <c r="F41" i="9" s="1"/>
  <c r="C41" i="10"/>
  <c r="A41" i="10" s="1"/>
  <c r="C40" i="10"/>
  <c r="A40" i="10" s="1"/>
  <c r="C40" i="9"/>
  <c r="F40" i="9" s="1"/>
  <c r="C39" i="9"/>
  <c r="F39" i="9" s="1"/>
  <c r="C39" i="10"/>
  <c r="A39" i="10" s="1"/>
  <c r="C38" i="10"/>
  <c r="A38" i="10" s="1"/>
  <c r="C38" i="9"/>
  <c r="F38" i="9" s="1"/>
  <c r="C37" i="10"/>
  <c r="A37" i="10" s="1"/>
  <c r="C37" i="9"/>
  <c r="F37" i="9" s="1"/>
  <c r="C36" i="10"/>
  <c r="A36" i="10" s="1"/>
  <c r="C36" i="9"/>
  <c r="F36" i="9" s="1"/>
  <c r="C35" i="10"/>
  <c r="A35" i="10" s="1"/>
  <c r="C35" i="9"/>
  <c r="F35" i="9" s="1"/>
  <c r="C34" i="9"/>
  <c r="F34" i="9" s="1"/>
  <c r="C34" i="10"/>
  <c r="A34" i="10" s="1"/>
  <c r="C33" i="9"/>
  <c r="F33" i="9" s="1"/>
  <c r="C33" i="10"/>
  <c r="A33" i="10" s="1"/>
  <c r="C32" i="10"/>
  <c r="A32" i="10" s="1"/>
  <c r="C32" i="9"/>
  <c r="F32" i="9" s="1"/>
  <c r="C31" i="9"/>
  <c r="F31" i="9" s="1"/>
  <c r="C31" i="10"/>
  <c r="A31" i="10" s="1"/>
  <c r="C30" i="10"/>
  <c r="A30" i="10" s="1"/>
  <c r="C30" i="9"/>
  <c r="F30" i="9" s="1"/>
  <c r="C29" i="10"/>
  <c r="A29" i="10" s="1"/>
  <c r="C29" i="9"/>
  <c r="F29" i="9" s="1"/>
  <c r="C28" i="9"/>
  <c r="F28" i="9" s="1"/>
  <c r="C28" i="10"/>
  <c r="A28" i="10" s="1"/>
  <c r="C27" i="9"/>
  <c r="F27" i="9" s="1"/>
  <c r="C27" i="10"/>
  <c r="A27" i="10" s="1"/>
  <c r="C26" i="10"/>
  <c r="A26" i="10" s="1"/>
  <c r="C26" i="9"/>
  <c r="F26" i="9" s="1"/>
  <c r="C25" i="10"/>
  <c r="A25" i="10" s="1"/>
  <c r="C25" i="9"/>
  <c r="F25" i="9" s="1"/>
  <c r="C24" i="10"/>
  <c r="A24" i="10" s="1"/>
  <c r="C24" i="9"/>
  <c r="F24" i="9" s="1"/>
  <c r="C23" i="9"/>
  <c r="F23" i="9" s="1"/>
  <c r="C23" i="10"/>
  <c r="A23" i="10" s="1"/>
  <c r="C22" i="10"/>
  <c r="A22" i="10" s="1"/>
  <c r="C22" i="9"/>
  <c r="F22" i="9" s="1"/>
  <c r="C21" i="9"/>
  <c r="F21" i="9" s="1"/>
  <c r="C21" i="10"/>
  <c r="A21" i="10" s="1"/>
  <c r="C20" i="10"/>
  <c r="A20" i="10" s="1"/>
  <c r="C20" i="9"/>
  <c r="F20" i="9" s="1"/>
  <c r="C19" i="10"/>
  <c r="A19" i="10" s="1"/>
  <c r="C19" i="9"/>
  <c r="F19" i="9" s="1"/>
  <c r="C18" i="10"/>
  <c r="A18" i="10" s="1"/>
  <c r="C18" i="9"/>
  <c r="F18" i="9" s="1"/>
  <c r="D8" i="9" l="1"/>
  <c r="F130" i="8" s="1"/>
  <c r="D233" i="12"/>
  <c r="E234" i="6"/>
  <c r="A11" i="12" l="1"/>
  <c r="P11" i="12" s="1"/>
  <c r="O11" i="12" s="1"/>
  <c r="AE130" i="8"/>
  <c r="AA130" i="8"/>
  <c r="AD130" i="8"/>
  <c r="AC130" i="8"/>
  <c r="U130" i="8"/>
  <c r="Y130" i="8"/>
  <c r="Z130" i="8"/>
  <c r="X130" i="8"/>
  <c r="W130" i="8"/>
  <c r="AB130" i="8"/>
  <c r="AF130" i="8"/>
  <c r="V130" i="8"/>
  <c r="E130" i="8"/>
  <c r="R65" i="9" l="1"/>
  <c r="P65" i="9"/>
  <c r="H65" i="9"/>
  <c r="J65" i="9"/>
  <c r="X65" i="9"/>
  <c r="AD65" i="9"/>
  <c r="Z65" i="9"/>
  <c r="V65" i="9"/>
  <c r="T65" i="9"/>
  <c r="L65" i="9"/>
  <c r="AB65" i="9"/>
  <c r="N65" i="9"/>
  <c r="BD229" i="6" l="1"/>
  <c r="BD230" i="6"/>
  <c r="BD234" i="6"/>
  <c r="BD233" i="6"/>
  <c r="BD228" i="6"/>
  <c r="BD231" i="6"/>
  <c r="BD232" i="6"/>
  <c r="BD227" i="6"/>
  <c r="BL231" i="6"/>
  <c r="BL229" i="6"/>
  <c r="BL228" i="6"/>
  <c r="BL227" i="6"/>
  <c r="BL226" i="6"/>
  <c r="BL232" i="6"/>
  <c r="BL230" i="6"/>
  <c r="BL233" i="6"/>
  <c r="BL234" i="6"/>
  <c r="BH233" i="6"/>
  <c r="BH227" i="6"/>
  <c r="BH230" i="6"/>
  <c r="BH226" i="6"/>
  <c r="BH232" i="6"/>
  <c r="BH229" i="6"/>
  <c r="BH234" i="6"/>
  <c r="BH231" i="6"/>
  <c r="BH228" i="6"/>
  <c r="BF228" i="6"/>
  <c r="BF233" i="6"/>
  <c r="BF229" i="6"/>
  <c r="BF230" i="6"/>
  <c r="BF232" i="6"/>
  <c r="BF234" i="6"/>
  <c r="BF226" i="6"/>
  <c r="BF227" i="6"/>
  <c r="BF231" i="6"/>
  <c r="BJ228" i="6"/>
  <c r="BJ229" i="6"/>
  <c r="BJ233" i="6"/>
  <c r="BJ226" i="6"/>
  <c r="BJ234" i="6"/>
  <c r="BJ227" i="6"/>
  <c r="BJ231" i="6"/>
  <c r="BJ232" i="6"/>
  <c r="BJ230" i="6"/>
  <c r="BJ221" i="6"/>
  <c r="BJ220" i="6"/>
  <c r="BJ219" i="6"/>
  <c r="BL219" i="6"/>
  <c r="BL221" i="6"/>
  <c r="BL220" i="6"/>
  <c r="BH220" i="6"/>
  <c r="BH219" i="6"/>
  <c r="BH221" i="6"/>
  <c r="BD217" i="6"/>
  <c r="BL216" i="6"/>
  <c r="BL217" i="6"/>
  <c r="BD220" i="6"/>
  <c r="BD221" i="6"/>
  <c r="BF219" i="6"/>
  <c r="BF220" i="6"/>
  <c r="BF221" i="6"/>
  <c r="BF216" i="6"/>
  <c r="BF217" i="6"/>
  <c r="BH217" i="6"/>
  <c r="BH216" i="6"/>
  <c r="BJ216" i="6"/>
  <c r="BJ217" i="6"/>
  <c r="BD226" i="6"/>
  <c r="BD219" i="6"/>
  <c r="BD216" i="6"/>
  <c r="AB118" i="8" l="1" a="1"/>
  <c r="AB118" i="8" s="1"/>
  <c r="AF115" i="8" a="1"/>
  <c r="AF115" i="8" s="1"/>
  <c r="AF113" i="8" s="1" a="1"/>
  <c r="AF113" i="8" s="1"/>
  <c r="Y118" i="8" a="1"/>
  <c r="Y118" i="8" s="1"/>
  <c r="W112" i="8" a="1"/>
  <c r="W112" i="8" s="1"/>
  <c r="W110" i="8" s="1" a="1"/>
  <c r="W110" i="8" s="1"/>
  <c r="Z115" i="8" a="1"/>
  <c r="Z115" i="8" s="1"/>
  <c r="Z113" i="8" s="1" a="1"/>
  <c r="Z113" i="8" s="1"/>
  <c r="AA115" i="8" a="1"/>
  <c r="AA115" i="8" s="1"/>
  <c r="AA113" i="8" s="1" a="1"/>
  <c r="AA113" i="8" s="1"/>
  <c r="U115" i="8" a="1"/>
  <c r="U115" i="8" s="1"/>
  <c r="U113" i="8" s="1" a="1"/>
  <c r="U113" i="8" s="1"/>
  <c r="AE115" i="8" a="1"/>
  <c r="AE115" i="8" s="1"/>
  <c r="AE113" i="8" s="1" a="1"/>
  <c r="AE113" i="8" s="1"/>
  <c r="X115" i="8" a="1"/>
  <c r="X115" i="8" s="1"/>
  <c r="X113" i="8" s="1" a="1"/>
  <c r="X113" i="8" s="1"/>
  <c r="X112" i="8" a="1"/>
  <c r="X112" i="8" s="1"/>
  <c r="AD112" i="8" a="1"/>
  <c r="AD112" i="8" s="1"/>
  <c r="AA112" i="8" a="1"/>
  <c r="AA112" i="8" s="1"/>
  <c r="U118" i="8" a="1"/>
  <c r="U118" i="8" s="1"/>
  <c r="AB112" i="8" a="1"/>
  <c r="AB112" i="8" s="1"/>
  <c r="V118" i="8" a="1"/>
  <c r="V118" i="8" s="1"/>
  <c r="U112" i="8" a="1"/>
  <c r="U112" i="8" s="1"/>
  <c r="AC112" i="8" a="1"/>
  <c r="AC112" i="8" s="1"/>
  <c r="Z112" i="8" a="1"/>
  <c r="Z112" i="8" s="1"/>
  <c r="V112" i="8" a="1"/>
  <c r="V112" i="8" s="1"/>
  <c r="AB115" i="8" a="1"/>
  <c r="AB115" i="8" s="1"/>
  <c r="AB113" i="8" s="1" a="1"/>
  <c r="AB113" i="8" s="1"/>
  <c r="X118" i="8" a="1"/>
  <c r="X118" i="8" s="1"/>
  <c r="Y115" i="8" a="1"/>
  <c r="Y115" i="8" s="1"/>
  <c r="Y113" i="8" s="1" a="1"/>
  <c r="Y113" i="8" s="1"/>
  <c r="V115" i="8" a="1"/>
  <c r="V115" i="8" s="1"/>
  <c r="V113" i="8" s="1" a="1"/>
  <c r="V113" i="8" s="1"/>
  <c r="AD118" i="8" a="1"/>
  <c r="AD118" i="8" s="1"/>
  <c r="W118" i="8" a="1"/>
  <c r="W118" i="8" s="1"/>
  <c r="AD115" i="8" a="1"/>
  <c r="AD115" i="8" s="1"/>
  <c r="AD113" i="8" s="1" a="1"/>
  <c r="AD113" i="8" s="1"/>
  <c r="E115" i="8" a="1"/>
  <c r="E115" i="8" s="1"/>
  <c r="E113" i="8" s="1" a="1"/>
  <c r="E113" i="8" s="1"/>
  <c r="AE112" i="8" a="1"/>
  <c r="AE112" i="8" s="1"/>
  <c r="AF118" i="8" a="1"/>
  <c r="AF118" i="8" s="1"/>
  <c r="E118" i="8" a="1"/>
  <c r="E118" i="8" s="1"/>
  <c r="Y112" i="8" a="1"/>
  <c r="Y112" i="8" s="1"/>
  <c r="W115" i="8" a="1"/>
  <c r="W115" i="8" s="1"/>
  <c r="W113" i="8" s="1" a="1"/>
  <c r="W113" i="8" s="1"/>
  <c r="AE118" i="8" a="1"/>
  <c r="AE118" i="8" s="1"/>
  <c r="AC118" i="8" a="1"/>
  <c r="AC118" i="8" s="1"/>
  <c r="E112" i="8" a="1"/>
  <c r="E112" i="8" s="1"/>
  <c r="AF112" i="8" a="1"/>
  <c r="AF112" i="8" s="1"/>
  <c r="AC115" i="8" a="1"/>
  <c r="AC115" i="8" s="1"/>
  <c r="AC113" i="8" s="1" a="1"/>
  <c r="AC113" i="8" s="1"/>
  <c r="Z118" i="8" a="1"/>
  <c r="Z118" i="8" s="1"/>
  <c r="AA118" i="8" a="1"/>
  <c r="AA118" i="8" s="1"/>
  <c r="AD116" i="8" l="1" a="1"/>
  <c r="AD116" i="8" s="1"/>
  <c r="AD19" i="8" a="1"/>
  <c r="AD19" i="8" s="1"/>
  <c r="AD17" i="8" s="1" a="1"/>
  <c r="AD17" i="8" s="1"/>
  <c r="AA116" i="8" a="1"/>
  <c r="AA116" i="8" s="1"/>
  <c r="AA19" i="8" a="1"/>
  <c r="AA19" i="8" s="1"/>
  <c r="AA17" i="8" s="1" a="1"/>
  <c r="AA17" i="8" s="1"/>
  <c r="V116" i="8" a="1"/>
  <c r="V116" i="8" s="1"/>
  <c r="V19" i="8" a="1"/>
  <c r="V19" i="8" s="1"/>
  <c r="V17" i="8" s="1" a="1"/>
  <c r="V17" i="8" s="1"/>
  <c r="Z116" i="8" a="1"/>
  <c r="Z116" i="8" s="1"/>
  <c r="Z19" i="8" a="1"/>
  <c r="Z19" i="8" s="1"/>
  <c r="Z17" i="8" s="1" a="1"/>
  <c r="Z17" i="8" s="1"/>
  <c r="E116" i="8" a="1"/>
  <c r="E116" i="8" s="1"/>
  <c r="E19" i="8" a="1"/>
  <c r="E19" i="8" s="1"/>
  <c r="E17" i="8" s="1" a="1"/>
  <c r="E17" i="8" s="1"/>
  <c r="AF116" i="8" a="1"/>
  <c r="AF116" i="8" s="1"/>
  <c r="AF19" i="8" a="1"/>
  <c r="AF19" i="8" s="1"/>
  <c r="AF17" i="8" s="1" a="1"/>
  <c r="AF17" i="8" s="1"/>
  <c r="X116" i="8" a="1"/>
  <c r="X116" i="8" s="1"/>
  <c r="X19" i="8" a="1"/>
  <c r="X19" i="8" s="1"/>
  <c r="X17" i="8" s="1" a="1"/>
  <c r="X17" i="8" s="1"/>
  <c r="U116" i="8" a="1"/>
  <c r="U116" i="8" s="1"/>
  <c r="U19" i="8" a="1"/>
  <c r="U19" i="8" s="1"/>
  <c r="U17" i="8" s="1" a="1"/>
  <c r="U17" i="8" s="1"/>
  <c r="Y116" i="8" a="1"/>
  <c r="Y116" i="8" s="1"/>
  <c r="Y19" i="8" a="1"/>
  <c r="Y19" i="8" s="1"/>
  <c r="Y17" i="8" s="1" a="1"/>
  <c r="Y17" i="8" s="1"/>
  <c r="AC116" i="8" a="1"/>
  <c r="AC116" i="8" s="1"/>
  <c r="AC19" i="8" a="1"/>
  <c r="AC19" i="8" s="1"/>
  <c r="AC17" i="8" s="1" a="1"/>
  <c r="AC17" i="8" s="1"/>
  <c r="AE116" i="8" a="1"/>
  <c r="AE116" i="8" s="1"/>
  <c r="AE19" i="8" a="1"/>
  <c r="AE19" i="8" s="1"/>
  <c r="AE17" i="8" s="1" a="1"/>
  <c r="AE17" i="8" s="1"/>
  <c r="W116" i="8" a="1"/>
  <c r="W116" i="8" s="1"/>
  <c r="W19" i="8" a="1"/>
  <c r="W19" i="8" s="1"/>
  <c r="W17" i="8" s="1" a="1"/>
  <c r="W17" i="8" s="1"/>
  <c r="AB116" i="8" a="1"/>
  <c r="AB116" i="8" s="1"/>
  <c r="AB19" i="8" a="1"/>
  <c r="AB19" i="8" s="1"/>
  <c r="AB17" i="8" s="1" a="1"/>
  <c r="AB17" i="8" s="1"/>
  <c r="AB110" i="8" a="1"/>
  <c r="AB110" i="8" s="1"/>
  <c r="Y110" i="8" a="1"/>
  <c r="Y110" i="8" s="1"/>
  <c r="E110" i="8" a="1"/>
  <c r="E110" i="8" s="1"/>
  <c r="AC110" i="8" a="1"/>
  <c r="AC110" i="8" s="1"/>
  <c r="AF110" i="8" a="1"/>
  <c r="AF110" i="8" s="1"/>
  <c r="AE110" i="8" a="1"/>
  <c r="AE110" i="8" s="1"/>
  <c r="AA110" i="8" a="1"/>
  <c r="AA110" i="8" s="1"/>
  <c r="V110" i="8" a="1"/>
  <c r="V110" i="8" s="1"/>
  <c r="AD110" i="8" a="1"/>
  <c r="AD110" i="8" s="1"/>
  <c r="Z110" i="8" a="1"/>
  <c r="Z110" i="8" s="1"/>
  <c r="U110" i="8" a="1"/>
  <c r="U110" i="8" s="1"/>
  <c r="X110" i="8" a="1"/>
  <c r="X110" i="8" s="1"/>
  <c r="AF16" i="8" l="1" a="1"/>
  <c r="AF16" i="8" s="1"/>
  <c r="AF14" i="8" s="1" a="1"/>
  <c r="AF14" i="8" s="1"/>
  <c r="AD16" i="8" a="1"/>
  <c r="AD16" i="8" s="1"/>
  <c r="AD14" i="8" s="1" a="1"/>
  <c r="AD14" i="8" s="1"/>
  <c r="AA16" i="8" a="1"/>
  <c r="AA16" i="8" s="1"/>
  <c r="AA14" i="8" s="1" a="1"/>
  <c r="AA14" i="8" s="1"/>
  <c r="V16" i="8" a="1"/>
  <c r="V16" i="8" s="1"/>
  <c r="V14" i="8" s="1" a="1"/>
  <c r="V14" i="8" s="1"/>
  <c r="E16" i="8" a="1"/>
  <c r="E16" i="8" s="1"/>
  <c r="E14" i="8" s="1" a="1"/>
  <c r="E14" i="8" s="1"/>
  <c r="Y16" i="8" a="1"/>
  <c r="Y16" i="8" s="1"/>
  <c r="Y14" i="8" s="1" a="1"/>
  <c r="Y14" i="8" s="1"/>
  <c r="X16" i="8" a="1"/>
  <c r="X16" i="8" s="1"/>
  <c r="X14" i="8" s="1" a="1"/>
  <c r="X14" i="8" s="1"/>
  <c r="AE16" i="8" a="1"/>
  <c r="AE16" i="8" s="1"/>
  <c r="AE14" i="8" s="1" a="1"/>
  <c r="AE14" i="8" s="1"/>
  <c r="Z16" i="8" a="1"/>
  <c r="Z16" i="8" s="1"/>
  <c r="Z14" i="8" s="1" a="1"/>
  <c r="Z14" i="8" s="1"/>
  <c r="W16" i="8" a="1"/>
  <c r="W16" i="8" s="1"/>
  <c r="W14" i="8" s="1" a="1"/>
  <c r="W14" i="8" s="1"/>
  <c r="AB16" i="8" a="1"/>
  <c r="AB16" i="8" s="1"/>
  <c r="AB14" i="8" s="1" a="1"/>
  <c r="AB14" i="8" s="1"/>
  <c r="U16" i="8" a="1"/>
  <c r="U16" i="8" s="1"/>
  <c r="U129" i="8" s="1"/>
  <c r="AC16" i="8" a="1"/>
  <c r="AC16" i="8" s="1"/>
  <c r="AC14" i="8" s="1" a="1"/>
  <c r="AC14" i="8" s="1"/>
  <c r="V129" i="8" l="1"/>
  <c r="W129" i="8" s="1"/>
  <c r="W124" i="8" s="1"/>
  <c r="E128" i="8" a="1"/>
  <c r="E128" i="8" s="1"/>
  <c r="E123" i="8" s="1"/>
  <c r="E127" i="8" a="1"/>
  <c r="E127" i="8" s="1"/>
  <c r="E122" i="8" s="1"/>
  <c r="E129" i="8"/>
  <c r="E124" i="8" s="1"/>
  <c r="E120" i="8" s="1"/>
  <c r="U128" i="8" a="1"/>
  <c r="U128" i="8" s="1"/>
  <c r="U123" i="8" s="1"/>
  <c r="U14" i="8" a="1"/>
  <c r="U14" i="8" s="1"/>
  <c r="U127" i="8" a="1"/>
  <c r="U127" i="8" s="1"/>
  <c r="U124" i="8"/>
  <c r="U125" i="8"/>
  <c r="U131" i="8" s="1"/>
  <c r="H64" i="9"/>
  <c r="V125" i="8" l="1"/>
  <c r="J63" i="9" s="1"/>
  <c r="J66" i="9" s="1"/>
  <c r="J64" i="9"/>
  <c r="V124" i="8"/>
  <c r="J62" i="9" s="1"/>
  <c r="X129" i="8"/>
  <c r="X124" i="8" s="1"/>
  <c r="L64" i="9"/>
  <c r="W125" i="8"/>
  <c r="L63" i="9" s="1"/>
  <c r="L66" i="9" s="1"/>
  <c r="E126" i="8"/>
  <c r="E121" i="8" s="1"/>
  <c r="E125" i="8"/>
  <c r="U126" i="8"/>
  <c r="U121" i="8" s="1"/>
  <c r="V128" i="8" a="1"/>
  <c r="V128" i="8" s="1"/>
  <c r="V123" i="8" s="1"/>
  <c r="V127" i="8" a="1"/>
  <c r="V127" i="8" s="1"/>
  <c r="V122" i="8" s="1"/>
  <c r="U122" i="8"/>
  <c r="H63" i="9"/>
  <c r="H66" i="9" s="1"/>
  <c r="H62" i="9"/>
  <c r="U120" i="8"/>
  <c r="H61" i="9" s="1"/>
  <c r="L62" i="9"/>
  <c r="W120" i="8"/>
  <c r="L61" i="9" s="1"/>
  <c r="V131" i="8" l="1"/>
  <c r="V120" i="8"/>
  <c r="J61" i="9" s="1"/>
  <c r="Y129" i="8"/>
  <c r="Y125" i="8" s="1"/>
  <c r="N64" i="9"/>
  <c r="X125" i="8"/>
  <c r="N63" i="9" s="1"/>
  <c r="N66" i="9" s="1"/>
  <c r="W131" i="8"/>
  <c r="W128" i="8" a="1"/>
  <c r="W128" i="8" s="1"/>
  <c r="W123" i="8" s="1"/>
  <c r="V126" i="8"/>
  <c r="V121" i="8" s="1"/>
  <c r="W127" i="8" a="1"/>
  <c r="W127" i="8" s="1"/>
  <c r="X127" i="8" s="1" a="1"/>
  <c r="X127" i="8" s="1"/>
  <c r="N62" i="9"/>
  <c r="X120" i="8"/>
  <c r="N61" i="9" s="1"/>
  <c r="X131" i="8" l="1"/>
  <c r="Z129" i="8"/>
  <c r="R64" i="9" s="1"/>
  <c r="P64" i="9"/>
  <c r="Y124" i="8"/>
  <c r="Y120" i="8" s="1"/>
  <c r="P61" i="9" s="1"/>
  <c r="X128" i="8" a="1"/>
  <c r="X128" i="8" s="1"/>
  <c r="Y128" i="8" s="1" a="1"/>
  <c r="Y128" i="8" s="1"/>
  <c r="W122" i="8"/>
  <c r="W126" i="8"/>
  <c r="W121" i="8" s="1"/>
  <c r="P63" i="9"/>
  <c r="P66" i="9" s="1"/>
  <c r="Y131" i="8"/>
  <c r="Y127" i="8" a="1"/>
  <c r="Y127" i="8" s="1"/>
  <c r="X122" i="8"/>
  <c r="AA129" i="8" l="1"/>
  <c r="AB129" i="8" s="1"/>
  <c r="P62" i="9"/>
  <c r="Z124" i="8"/>
  <c r="R62" i="9" s="1"/>
  <c r="Z125" i="8"/>
  <c r="Z131" i="8" s="1"/>
  <c r="X123" i="8"/>
  <c r="X126" i="8"/>
  <c r="X121" i="8" s="1"/>
  <c r="Z127" i="8" a="1"/>
  <c r="Z127" i="8" s="1"/>
  <c r="Y122" i="8"/>
  <c r="Y123" i="8"/>
  <c r="Z128" i="8" a="1"/>
  <c r="Z128" i="8" s="1"/>
  <c r="Y126" i="8"/>
  <c r="T64" i="9" l="1"/>
  <c r="AA124" i="8"/>
  <c r="AA120" i="8" s="1"/>
  <c r="T61" i="9" s="1"/>
  <c r="R63" i="9"/>
  <c r="R66" i="9" s="1"/>
  <c r="AA125" i="8"/>
  <c r="T63" i="9" s="1"/>
  <c r="T66" i="9" s="1"/>
  <c r="Z120" i="8"/>
  <c r="R61" i="9" s="1"/>
  <c r="Y121" i="8"/>
  <c r="Z123" i="8"/>
  <c r="AA128" i="8" a="1"/>
  <c r="AA128" i="8" s="1"/>
  <c r="Z126" i="8"/>
  <c r="Z121" i="8" s="1"/>
  <c r="V64" i="9"/>
  <c r="AB124" i="8"/>
  <c r="AB125" i="8"/>
  <c r="AC129" i="8"/>
  <c r="Z122" i="8"/>
  <c r="AA127" i="8" a="1"/>
  <c r="AA127" i="8" s="1"/>
  <c r="T62" i="9" l="1"/>
  <c r="AA131" i="8"/>
  <c r="V63" i="9"/>
  <c r="V66" i="9" s="1"/>
  <c r="AB131" i="8"/>
  <c r="AB120" i="8"/>
  <c r="V61" i="9" s="1"/>
  <c r="V62" i="9"/>
  <c r="AA122" i="8"/>
  <c r="AB127" i="8" a="1"/>
  <c r="AB127" i="8" s="1"/>
  <c r="AB128" i="8" a="1"/>
  <c r="AB128" i="8" s="1"/>
  <c r="AA123" i="8"/>
  <c r="AA126" i="8"/>
  <c r="AA121" i="8" s="1"/>
  <c r="AC125" i="8"/>
  <c r="AC131" i="8" s="1"/>
  <c r="AC124" i="8"/>
  <c r="X64" i="9"/>
  <c r="AD129" i="8"/>
  <c r="AB123" i="8" l="1"/>
  <c r="AC128" i="8" a="1"/>
  <c r="AC128" i="8" s="1"/>
  <c r="AB126" i="8"/>
  <c r="AB121" i="8" s="1"/>
  <c r="AB122" i="8"/>
  <c r="AC127" i="8" a="1"/>
  <c r="AC127" i="8" s="1"/>
  <c r="AD124" i="8"/>
  <c r="Z64" i="9"/>
  <c r="AD125" i="8"/>
  <c r="AE129" i="8"/>
  <c r="X62" i="9"/>
  <c r="AC120" i="8"/>
  <c r="X61" i="9" s="1"/>
  <c r="X63" i="9"/>
  <c r="X66" i="9" s="1"/>
  <c r="Z63" i="9" l="1"/>
  <c r="Z66" i="9" s="1"/>
  <c r="AD131" i="8"/>
  <c r="AC122" i="8"/>
  <c r="AD127" i="8" a="1"/>
  <c r="AD127" i="8" s="1"/>
  <c r="AD120" i="8"/>
  <c r="Z61" i="9" s="1"/>
  <c r="Z62" i="9"/>
  <c r="AC123" i="8"/>
  <c r="AD128" i="8" a="1"/>
  <c r="AD128" i="8" s="1"/>
  <c r="AC126" i="8"/>
  <c r="AC121" i="8" s="1"/>
  <c r="AE124" i="8"/>
  <c r="AE125" i="8"/>
  <c r="AB64" i="9"/>
  <c r="AF129" i="8"/>
  <c r="AB63" i="9" l="1"/>
  <c r="AB66" i="9" s="1"/>
  <c r="AE131" i="8"/>
  <c r="B6" i="9" a="1"/>
  <c r="B6" i="9" s="1"/>
  <c r="M13" i="9" s="1"/>
  <c r="K10" i="8" a="1"/>
  <c r="K10" i="8" s="1"/>
  <c r="AF124" i="8"/>
  <c r="AD64" i="9"/>
  <c r="AF125" i="8"/>
  <c r="AF131" i="8" s="1"/>
  <c r="AD122" i="8"/>
  <c r="AE127" i="8" a="1"/>
  <c r="AE127" i="8" s="1"/>
  <c r="AD123" i="8"/>
  <c r="AE128" i="8" a="1"/>
  <c r="AE128" i="8" s="1"/>
  <c r="AD126" i="8"/>
  <c r="AD121" i="8" s="1"/>
  <c r="AB62" i="9"/>
  <c r="AE120" i="8"/>
  <c r="AB61" i="9" s="1"/>
  <c r="T131" i="8" l="1"/>
  <c r="AF128" i="8" a="1"/>
  <c r="AF128" i="8" s="1"/>
  <c r="AE123" i="8"/>
  <c r="AE126" i="8"/>
  <c r="AE121" i="8" s="1"/>
  <c r="AF127" i="8" a="1"/>
  <c r="AF127" i="8" s="1"/>
  <c r="AF122" i="8" s="1"/>
  <c r="AE122" i="8"/>
  <c r="AD63" i="9"/>
  <c r="AD66" i="9" s="1"/>
  <c r="G66" i="9" s="1"/>
  <c r="F11" i="8" a="1"/>
  <c r="F11" i="8" s="1"/>
  <c r="AD62" i="9"/>
  <c r="AF120" i="8"/>
  <c r="AD61" i="9" s="1"/>
  <c r="AF123" i="8" l="1"/>
  <c r="AF126" i="8"/>
  <c r="AF121" i="8" s="1"/>
  <c r="J26" i="8" l="1"/>
  <c r="A26" i="8" s="1"/>
  <c r="G19" i="6" l="1"/>
  <c r="F19" i="12" a="1"/>
  <c r="F19" i="12" s="1"/>
  <c r="G18" i="6"/>
  <c r="F18" i="12" a="1"/>
  <c r="F18" i="12" s="1"/>
  <c r="G22" i="6"/>
  <c r="F22" i="12" a="1"/>
  <c r="F22" i="12" s="1"/>
  <c r="G30" i="6" l="1"/>
  <c r="F30" i="12" a="1"/>
  <c r="F30" i="12" s="1"/>
  <c r="AF64" i="5" l="1" a="1"/>
  <c r="AF211" i="5" a="1"/>
  <c r="AF107" i="5" a="1"/>
  <c r="AF37" i="5" a="1"/>
  <c r="AF80" i="5" a="1"/>
  <c r="AF228" i="5" a="1"/>
  <c r="AF183" i="5" a="1"/>
  <c r="AF67" i="5" a="1"/>
  <c r="AF154" i="5" a="1"/>
  <c r="AF189" i="5" a="1"/>
  <c r="AF144" i="5" a="1"/>
  <c r="AF92" i="5" a="1"/>
  <c r="AF206" i="5" a="1"/>
  <c r="AF227" i="5" a="1"/>
  <c r="AF19" i="5" a="1"/>
  <c r="AF30" i="5" a="1"/>
  <c r="AF176" i="5" a="1"/>
  <c r="AF155" i="5" a="1"/>
  <c r="AF233" i="5" a="1"/>
  <c r="AF72" i="5" a="1"/>
  <c r="AF77" i="5" a="1"/>
  <c r="AF120" i="5" a="1"/>
  <c r="AF134" i="5" a="1"/>
  <c r="AF56" i="5" a="1"/>
  <c r="AF91" i="5" a="1"/>
  <c r="AF27" i="5" a="1"/>
  <c r="AF110" i="5" a="1"/>
  <c r="AF186" i="5" a="1"/>
  <c r="AF185" i="5" a="1"/>
  <c r="AF130" i="5" a="1"/>
  <c r="AF190" i="5" a="1"/>
  <c r="AF197" i="5" a="1"/>
  <c r="AF157" i="5" a="1"/>
  <c r="AF205" i="5" a="1"/>
  <c r="AF195" i="5" a="1"/>
  <c r="AF163" i="5" a="1"/>
  <c r="AF59" i="5" a="1"/>
  <c r="AF61" i="5" a="1"/>
  <c r="AF232" i="5" a="1"/>
  <c r="AF25" i="5" a="1"/>
  <c r="AF180" i="5" a="1"/>
  <c r="AF140" i="5" a="1"/>
  <c r="AF100" i="5" a="1"/>
  <c r="AF18" i="5" a="1"/>
  <c r="AF126" i="5" a="1"/>
  <c r="AF210" i="5" a="1"/>
  <c r="AF98" i="5" a="1"/>
  <c r="AF194" i="5" a="1"/>
  <c r="AF97" i="5" a="1"/>
  <c r="AF99" i="5" a="1"/>
  <c r="AF173" i="5" a="1"/>
  <c r="AF150" i="5" a="1"/>
  <c r="AF151" i="5" a="1"/>
  <c r="AF201" i="5" a="1"/>
  <c r="AF200" i="5" a="1"/>
  <c r="AF58" i="5" a="1"/>
  <c r="AF32" i="5" a="1"/>
  <c r="AF38" i="5" a="1"/>
  <c r="AF44" i="5" a="1"/>
  <c r="AF191" i="5" a="1"/>
  <c r="AF127" i="5" a="1"/>
  <c r="AF65" i="5" a="1"/>
  <c r="AF115" i="5" a="1"/>
  <c r="AF204" i="5" a="1"/>
  <c r="AF156" i="5" a="1"/>
  <c r="AF182" i="5" a="1"/>
  <c r="AF168" i="5" a="1"/>
  <c r="AF192" i="5" a="1"/>
  <c r="AF212" i="5" a="1"/>
  <c r="AF70" i="5" a="1"/>
  <c r="AF158" i="5" a="1"/>
  <c r="AF153" i="5" a="1"/>
  <c r="AF159" i="5" a="1"/>
  <c r="AF82" i="5" a="1"/>
  <c r="AF219" i="5" a="1"/>
  <c r="AF104" i="5" a="1"/>
  <c r="AF164" i="5" a="1"/>
  <c r="AF142" i="5" a="1"/>
  <c r="AF214" i="5" a="1"/>
  <c r="AF50" i="5" a="1"/>
  <c r="AF74" i="5" a="1"/>
  <c r="AF198" i="5" a="1"/>
  <c r="AF179" i="5" a="1"/>
  <c r="AF172" i="5" a="1"/>
  <c r="AF119" i="5" a="1"/>
  <c r="AF188" i="5" a="1"/>
  <c r="AF131" i="5" a="1"/>
  <c r="AF178" i="5" a="1"/>
  <c r="AF20" i="5" a="1"/>
  <c r="AF34" i="5" a="1"/>
  <c r="AF105" i="5" a="1"/>
  <c r="AF46" i="5" a="1"/>
  <c r="AF52" i="5" a="1"/>
  <c r="AF207" i="5" a="1"/>
  <c r="AF53" i="5" a="1"/>
  <c r="AF220" i="5" a="1"/>
  <c r="AF85" i="5" a="1"/>
  <c r="AF208" i="5" a="1"/>
  <c r="AF47" i="5" a="1"/>
  <c r="AF48" i="5" a="1"/>
  <c r="AF62" i="5" a="1"/>
  <c r="AF69" i="5" a="1"/>
  <c r="AF145" i="5" a="1"/>
  <c r="AF41" i="5" a="1"/>
  <c r="AF124" i="5" a="1"/>
  <c r="AF94" i="5" a="1"/>
  <c r="AF83" i="5" a="1"/>
  <c r="AF193" i="5" a="1"/>
  <c r="AF60" i="5" a="1"/>
  <c r="AF216" i="5" a="1"/>
  <c r="AF43" i="5" a="1"/>
  <c r="AF26" i="5" a="1"/>
  <c r="AF213" i="5" a="1"/>
  <c r="AF141" i="5" a="1"/>
  <c r="AF230" i="5" a="1"/>
  <c r="AF222" i="5" a="1"/>
  <c r="AF22" i="5" a="1"/>
  <c r="AF160" i="5" a="1"/>
  <c r="AF148" i="5" a="1"/>
  <c r="AF226" i="5" a="1"/>
  <c r="AF165" i="5" a="1"/>
  <c r="AF223" i="5" a="1"/>
  <c r="AF102" i="5" a="1"/>
  <c r="AF147" i="5" a="1"/>
  <c r="AF229" i="5" a="1"/>
  <c r="AF149" i="5" a="1"/>
  <c r="AF224" i="5" a="1"/>
  <c r="AF199" i="5" a="1"/>
  <c r="AF138" i="5" a="1"/>
  <c r="AF54" i="5" a="1"/>
  <c r="AF108" i="5" a="1"/>
  <c r="AF202" i="5" a="1"/>
  <c r="AF57" i="5" a="1"/>
  <c r="AF73" i="5" a="1"/>
  <c r="AF88" i="5" a="1"/>
  <c r="AF39" i="5" a="1"/>
  <c r="AF161" i="5" a="1"/>
  <c r="AF118" i="5" a="1"/>
  <c r="AF143" i="5" a="1"/>
  <c r="AF136" i="5" a="1"/>
  <c r="AF187" i="5" a="1"/>
  <c r="AF111" i="5" a="1"/>
  <c r="AF103" i="5" a="1"/>
  <c r="AF36" i="5" a="1"/>
  <c r="AF114" i="5" a="1"/>
  <c r="AF128" i="5" a="1"/>
  <c r="AF217" i="5" a="1"/>
  <c r="AF28" i="5" a="1"/>
  <c r="AF40" i="5" a="1"/>
  <c r="AF175" i="5" a="1"/>
  <c r="AF21" i="5" a="1"/>
  <c r="AF113" i="5" a="1"/>
  <c r="AF167" i="5" a="1"/>
  <c r="AF95" i="5" a="1"/>
  <c r="AF87" i="5" a="1"/>
  <c r="AF203" i="5" a="1"/>
  <c r="AF135" i="5" a="1"/>
  <c r="AF63" i="5" a="1"/>
  <c r="AF35" i="5" a="1"/>
  <c r="AF234" i="5" a="1"/>
  <c r="AF139" i="5" a="1"/>
  <c r="AF79" i="5" a="1"/>
  <c r="AF116" i="5" a="1"/>
  <c r="AF81" i="5" a="1"/>
  <c r="AF123" i="5" a="1"/>
  <c r="AF132" i="5" a="1"/>
  <c r="AF121" i="5" a="1"/>
  <c r="AF177" i="5" a="1"/>
  <c r="AF231" i="5" a="1"/>
  <c r="AF133" i="5" a="1"/>
  <c r="AF33" i="5" a="1"/>
  <c r="AF89" i="5" a="1"/>
  <c r="AF117" i="5" a="1"/>
  <c r="AF75" i="5" a="1"/>
  <c r="AF166" i="5" a="1"/>
  <c r="AF171" i="5" a="1"/>
  <c r="AF184" i="5" a="1"/>
  <c r="AF146" i="5" a="1"/>
  <c r="AF221" i="5" a="1"/>
  <c r="AF49" i="5" a="1"/>
  <c r="AF90" i="5" a="1"/>
  <c r="AF24" i="5" a="1"/>
  <c r="AF45" i="5" a="1"/>
  <c r="AF170" i="5" a="1"/>
  <c r="AF170" i="5" l="1"/>
  <c r="AF45" i="5"/>
  <c r="AF24" i="5"/>
  <c r="AF90" i="5"/>
  <c r="AF49" i="5"/>
  <c r="AF221" i="5"/>
  <c r="AF146" i="5"/>
  <c r="AF184" i="5"/>
  <c r="AF171" i="5"/>
  <c r="AF166" i="5"/>
  <c r="AF75" i="5"/>
  <c r="AF117" i="5"/>
  <c r="AF89" i="5"/>
  <c r="AF33" i="5"/>
  <c r="AF133" i="5"/>
  <c r="AF231" i="5"/>
  <c r="AF177" i="5"/>
  <c r="AF121" i="5"/>
  <c r="AF132" i="5"/>
  <c r="AF123" i="5"/>
  <c r="AF81" i="5"/>
  <c r="AF116" i="5"/>
  <c r="AF79" i="5"/>
  <c r="AF139" i="5"/>
  <c r="AF234" i="5"/>
  <c r="AF35" i="5"/>
  <c r="AF63" i="5"/>
  <c r="AF135" i="5"/>
  <c r="AF203" i="5"/>
  <c r="AF87" i="5"/>
  <c r="AF95" i="5"/>
  <c r="AF167" i="5"/>
  <c r="AF113" i="5"/>
  <c r="AF21" i="5"/>
  <c r="AF175" i="5"/>
  <c r="AF40" i="5"/>
  <c r="AF28" i="5"/>
  <c r="AF217" i="5"/>
  <c r="AF128" i="5"/>
  <c r="AF114" i="5"/>
  <c r="AF36" i="5"/>
  <c r="AF103" i="5"/>
  <c r="AF111" i="5"/>
  <c r="AF187" i="5"/>
  <c r="AF136" i="5"/>
  <c r="AF143" i="5"/>
  <c r="AF118" i="5"/>
  <c r="AF161" i="5"/>
  <c r="AF39" i="5"/>
  <c r="AF88" i="5"/>
  <c r="AF73" i="5"/>
  <c r="AF57" i="5"/>
  <c r="AF202" i="5"/>
  <c r="AF108" i="5"/>
  <c r="AF54" i="5"/>
  <c r="AF138" i="5"/>
  <c r="AF199" i="5"/>
  <c r="AF224" i="5"/>
  <c r="AF149" i="5"/>
  <c r="AF229" i="5"/>
  <c r="AF147" i="5"/>
  <c r="AF102" i="5"/>
  <c r="AF223" i="5"/>
  <c r="AF165" i="5"/>
  <c r="AF226" i="5"/>
  <c r="AF148" i="5"/>
  <c r="AF160" i="5"/>
  <c r="AF22" i="5"/>
  <c r="AF222" i="5"/>
  <c r="AF230" i="5"/>
  <c r="AF141" i="5"/>
  <c r="AF213" i="5"/>
  <c r="AF26" i="5"/>
  <c r="AF43" i="5"/>
  <c r="AF216" i="5"/>
  <c r="AF60" i="5"/>
  <c r="AF193" i="5"/>
  <c r="AF83" i="5"/>
  <c r="AF94" i="5"/>
  <c r="AF124" i="5"/>
  <c r="AF41" i="5"/>
  <c r="AF145" i="5"/>
  <c r="AF69" i="5"/>
  <c r="AF62" i="5"/>
  <c r="AF48" i="5"/>
  <c r="AF47" i="5"/>
  <c r="AF208" i="5"/>
  <c r="AF85" i="5"/>
  <c r="AF220" i="5"/>
  <c r="AF53" i="5"/>
  <c r="AF207" i="5"/>
  <c r="AF52" i="5"/>
  <c r="AF46" i="5"/>
  <c r="AF105" i="5"/>
  <c r="AF34" i="5"/>
  <c r="AF20" i="5"/>
  <c r="AF178" i="5"/>
  <c r="AF131" i="5"/>
  <c r="AF188" i="5"/>
  <c r="AF119" i="5"/>
  <c r="AF172" i="5"/>
  <c r="AF179" i="5"/>
  <c r="AF198" i="5"/>
  <c r="AF74" i="5"/>
  <c r="AF50" i="5"/>
  <c r="AF214" i="5"/>
  <c r="AF142" i="5"/>
  <c r="AF164" i="5"/>
  <c r="AF104" i="5"/>
  <c r="AF219" i="5"/>
  <c r="AF82" i="5"/>
  <c r="AF159" i="5"/>
  <c r="AF153" i="5"/>
  <c r="AF158" i="5"/>
  <c r="AF70" i="5"/>
  <c r="AF212" i="5"/>
  <c r="AF192" i="5"/>
  <c r="AF168" i="5"/>
  <c r="AF182" i="5"/>
  <c r="AF156" i="5"/>
  <c r="AF204" i="5"/>
  <c r="AF115" i="5"/>
  <c r="AF65" i="5"/>
  <c r="AF127" i="5"/>
  <c r="AF191" i="5"/>
  <c r="AF44" i="5"/>
  <c r="AF38" i="5"/>
  <c r="AF32" i="5"/>
  <c r="AF58" i="5"/>
  <c r="AF200" i="5"/>
  <c r="AF201" i="5"/>
  <c r="AF151" i="5"/>
  <c r="AF150" i="5"/>
  <c r="AF173" i="5"/>
  <c r="AF99" i="5"/>
  <c r="AF97" i="5"/>
  <c r="AF194" i="5"/>
  <c r="AF98" i="5"/>
  <c r="AF210" i="5"/>
  <c r="AF126" i="5"/>
  <c r="AF18" i="5"/>
  <c r="AF100" i="5"/>
  <c r="AF140" i="5"/>
  <c r="AF180" i="5"/>
  <c r="AF25" i="5"/>
  <c r="AF232" i="5"/>
  <c r="AF61" i="5"/>
  <c r="AF59" i="5"/>
  <c r="AF163" i="5"/>
  <c r="AF195" i="5"/>
  <c r="AF205" i="5"/>
  <c r="AF157" i="5"/>
  <c r="AF197" i="5"/>
  <c r="AF190" i="5"/>
  <c r="AF130" i="5"/>
  <c r="AF185" i="5"/>
  <c r="AF186" i="5"/>
  <c r="AF110" i="5"/>
  <c r="AF27" i="5"/>
  <c r="AF91" i="5"/>
  <c r="AF56" i="5"/>
  <c r="AF134" i="5"/>
  <c r="AF120" i="5"/>
  <c r="AF77" i="5"/>
  <c r="AF72" i="5"/>
  <c r="AF233" i="5"/>
  <c r="AF155" i="5"/>
  <c r="AF176" i="5"/>
  <c r="AF30" i="5"/>
  <c r="AF19" i="5"/>
  <c r="AF227" i="5"/>
  <c r="AF206" i="5"/>
  <c r="AF92" i="5"/>
  <c r="AF144" i="5"/>
  <c r="AF189" i="5"/>
  <c r="AF154" i="5"/>
  <c r="AF67" i="5"/>
  <c r="AF183" i="5"/>
  <c r="AF228" i="5"/>
  <c r="AF80" i="5"/>
  <c r="AF37" i="5"/>
  <c r="AF107" i="5"/>
  <c r="AF211" i="5"/>
  <c r="AF64" i="5"/>
  <c r="S80" i="5" l="1" a="1"/>
  <c r="R151" i="5" a="1"/>
  <c r="R62" i="5" a="1"/>
  <c r="S40" i="5" a="1"/>
  <c r="R155" i="5" a="1"/>
  <c r="S182" i="5" a="1"/>
  <c r="AG141" i="5" a="1"/>
  <c r="S79" i="5" a="1"/>
  <c r="S190" i="5" a="1"/>
  <c r="S214" i="5" a="1"/>
  <c r="S224" i="5" a="1"/>
  <c r="R166" i="5" a="1"/>
  <c r="AG18" i="5" a="1"/>
  <c r="S46" i="5" a="1"/>
  <c r="R136" i="5" a="1"/>
  <c r="AG154" i="5" a="1"/>
  <c r="S32" i="5" a="1"/>
  <c r="S124" i="5" a="1"/>
  <c r="R167" i="5" a="1"/>
  <c r="R120" i="5" a="1"/>
  <c r="R70" i="5" a="1"/>
  <c r="AG160" i="5" a="1"/>
  <c r="R132" i="5" a="1"/>
  <c r="R195" i="5" a="1"/>
  <c r="R179" i="5" a="1"/>
  <c r="R108" i="5" a="1"/>
  <c r="AG221" i="5" a="1"/>
  <c r="S194" i="5" a="1"/>
  <c r="R220" i="5" a="1"/>
  <c r="R36" i="5" a="1"/>
  <c r="S97" i="5" a="1"/>
  <c r="S85" i="5" a="1"/>
  <c r="AG114" i="5" a="1"/>
  <c r="R211" i="5" a="1"/>
  <c r="R99" i="5" a="1"/>
  <c r="R208" i="5" a="1"/>
  <c r="AG128" i="5" a="1"/>
  <c r="AG107" i="5" a="1"/>
  <c r="S115" i="5" a="1"/>
  <c r="AG43" i="5" a="1"/>
  <c r="S35" i="5" a="1"/>
  <c r="R30" i="5" a="1"/>
  <c r="R204" i="5" a="1"/>
  <c r="AG26" i="5" a="1"/>
  <c r="AG234" i="5" a="1"/>
  <c r="AG186" i="5" a="1"/>
  <c r="AG153" i="5" a="1"/>
  <c r="R110" i="5" a="1"/>
  <c r="R186" i="5" a="1"/>
  <c r="S108" i="5" a="1"/>
  <c r="S217" i="5" a="1"/>
  <c r="AG80" i="5" a="1"/>
  <c r="AG151" i="5" a="1"/>
  <c r="AG62" i="5" a="1"/>
  <c r="R40" i="5" a="1"/>
  <c r="S155" i="5" a="1"/>
  <c r="R182" i="5" a="1"/>
  <c r="R141" i="5" a="1"/>
  <c r="R79" i="5" a="1"/>
  <c r="R190" i="5" a="1"/>
  <c r="AG214" i="5" a="1"/>
  <c r="R224" i="5" a="1"/>
  <c r="S166" i="5" a="1"/>
  <c r="R18" i="5" a="1"/>
  <c r="R46" i="5" a="1"/>
  <c r="S136" i="5" a="1"/>
  <c r="S154" i="5" a="1"/>
  <c r="R32" i="5" a="1"/>
  <c r="AG124" i="5" a="1"/>
  <c r="AG123" i="5" a="1"/>
  <c r="S205" i="5" a="1"/>
  <c r="S198" i="5" a="1"/>
  <c r="R54" i="5" a="1"/>
  <c r="R146" i="5" a="1"/>
  <c r="S98" i="5" a="1"/>
  <c r="R53" i="5" a="1"/>
  <c r="S103" i="5" a="1"/>
  <c r="S92" i="5" a="1"/>
  <c r="R191" i="5" a="1"/>
  <c r="R193" i="5" a="1"/>
  <c r="R203" i="5" a="1"/>
  <c r="R206" i="5" a="1"/>
  <c r="R127" i="5" a="1"/>
  <c r="AG60" i="5" a="1"/>
  <c r="R135" i="5" a="1"/>
  <c r="R227" i="5" a="1"/>
  <c r="S65" i="5" a="1"/>
  <c r="S216" i="5" a="1"/>
  <c r="S63" i="5" a="1"/>
  <c r="R19" i="5" a="1"/>
  <c r="R115" i="5" a="1"/>
  <c r="R43" i="5" a="1"/>
  <c r="AG35" i="5" a="1"/>
  <c r="AG204" i="5" a="1"/>
  <c r="S26" i="5" a="1"/>
  <c r="S234" i="5" a="1"/>
  <c r="S219" i="5" a="1"/>
  <c r="S177" i="5" a="1"/>
  <c r="S27" i="5" a="1"/>
  <c r="R133" i="5" a="1"/>
  <c r="R102" i="5" a="1"/>
  <c r="R104" i="5" a="1"/>
  <c r="S179" i="5" a="1"/>
  <c r="S47" i="5" a="1"/>
  <c r="R80" i="5" a="1"/>
  <c r="S151" i="5" a="1"/>
  <c r="S62" i="5" a="1"/>
  <c r="AG155" i="5" a="1"/>
  <c r="AG182" i="5" a="1"/>
  <c r="S141" i="5" a="1"/>
  <c r="AG79" i="5" a="1"/>
  <c r="AG190" i="5" a="1"/>
  <c r="R214" i="5" a="1"/>
  <c r="AG224" i="5" a="1"/>
  <c r="AG166" i="5" a="1"/>
  <c r="R58" i="5" a="1"/>
  <c r="S41" i="5" a="1"/>
  <c r="AG113" i="5" a="1"/>
  <c r="AG77" i="5" a="1"/>
  <c r="AG212" i="5" a="1"/>
  <c r="AG22" i="5" a="1"/>
  <c r="S123" i="5" a="1"/>
  <c r="R205" i="5" a="1"/>
  <c r="R198" i="5" a="1"/>
  <c r="AG54" i="5" a="1"/>
  <c r="AG146" i="5" a="1"/>
  <c r="R98" i="5" a="1"/>
  <c r="AG53" i="5" a="1"/>
  <c r="R103" i="5" a="1"/>
  <c r="AG92" i="5" a="1"/>
  <c r="AG191" i="5" a="1"/>
  <c r="S193" i="5" a="1"/>
  <c r="AG203" i="5" a="1"/>
  <c r="AG206" i="5" a="1"/>
  <c r="AG127" i="5" a="1"/>
  <c r="R60" i="5" a="1"/>
  <c r="AG135" i="5" a="1"/>
  <c r="S227" i="5" a="1"/>
  <c r="R65" i="5" a="1"/>
  <c r="R216" i="5" a="1"/>
  <c r="R63" i="5" a="1"/>
  <c r="AG19" i="5" a="1"/>
  <c r="AG115" i="5" a="1"/>
  <c r="S43" i="5" a="1"/>
  <c r="R35" i="5" a="1"/>
  <c r="S186" i="5" a="1"/>
  <c r="AG104" i="5" a="1"/>
  <c r="S147" i="5" a="1"/>
  <c r="AG89" i="5" a="1"/>
  <c r="AG102" i="5" a="1"/>
  <c r="S159" i="5" a="1"/>
  <c r="R223" i="5" a="1"/>
  <c r="AG33" i="5" a="1"/>
  <c r="S36" i="5" a="1"/>
  <c r="S37" i="5" a="1"/>
  <c r="R176" i="5" a="1"/>
  <c r="S156" i="5" a="1"/>
  <c r="AG213" i="5" a="1"/>
  <c r="S139" i="5" a="1"/>
  <c r="S130" i="5" a="1"/>
  <c r="S142" i="5" a="1"/>
  <c r="AG149" i="5" a="1"/>
  <c r="R75" i="5" a="1"/>
  <c r="R100" i="5" a="1"/>
  <c r="S105" i="5" a="1"/>
  <c r="R143" i="5" a="1"/>
  <c r="S67" i="5" a="1"/>
  <c r="AG58" i="5" a="1"/>
  <c r="R41" i="5" a="1"/>
  <c r="S113" i="5" a="1"/>
  <c r="S77" i="5" a="1"/>
  <c r="R212" i="5" a="1"/>
  <c r="R22" i="5" a="1"/>
  <c r="R123" i="5" a="1"/>
  <c r="AG205" i="5" a="1"/>
  <c r="AG198" i="5" a="1"/>
  <c r="S54" i="5" a="1"/>
  <c r="S146" i="5" a="1"/>
  <c r="AG98" i="5" a="1"/>
  <c r="S53" i="5" a="1"/>
  <c r="AG103" i="5" a="1"/>
  <c r="R92" i="5" a="1"/>
  <c r="S191" i="5" a="1"/>
  <c r="AG193" i="5" a="1"/>
  <c r="S203" i="5" a="1"/>
  <c r="S206" i="5" a="1"/>
  <c r="S127" i="5" a="1"/>
  <c r="S60" i="5" a="1"/>
  <c r="S135" i="5" a="1"/>
  <c r="AG227" i="5" a="1"/>
  <c r="AG216" i="5" a="1"/>
  <c r="AG63" i="5" a="1"/>
  <c r="S110" i="5" a="1"/>
  <c r="R33" i="5" a="1"/>
  <c r="S104" i="5" a="1"/>
  <c r="AG147" i="5" a="1"/>
  <c r="S89" i="5" a="1"/>
  <c r="AG231" i="5" a="1"/>
  <c r="R89" i="5" a="1"/>
  <c r="S221" i="5" a="1"/>
  <c r="R128" i="5" a="1"/>
  <c r="AG176" i="5" a="1"/>
  <c r="R156" i="5" a="1"/>
  <c r="S213" i="5" a="1"/>
  <c r="R139" i="5" a="1"/>
  <c r="AG130" i="5" a="1"/>
  <c r="R142" i="5" a="1"/>
  <c r="R149" i="5" a="1"/>
  <c r="S75" i="5" a="1"/>
  <c r="S100" i="5" a="1"/>
  <c r="R105" i="5" a="1"/>
  <c r="AG143" i="5" a="1"/>
  <c r="AG67" i="5" a="1"/>
  <c r="S58" i="5" a="1"/>
  <c r="AG41" i="5" a="1"/>
  <c r="R113" i="5" a="1"/>
  <c r="R77" i="5" a="1"/>
  <c r="S212" i="5" a="1"/>
  <c r="AG138" i="5" a="1"/>
  <c r="R184" i="5" a="1"/>
  <c r="AG210" i="5" a="1"/>
  <c r="AG207" i="5" a="1"/>
  <c r="R111" i="5" a="1"/>
  <c r="S144" i="5" a="1"/>
  <c r="R44" i="5" a="1"/>
  <c r="S83" i="5" a="1"/>
  <c r="R87" i="5" a="1"/>
  <c r="AG56" i="5" a="1"/>
  <c r="S226" i="5" a="1"/>
  <c r="R91" i="5" a="1"/>
  <c r="AG165" i="5" a="1"/>
  <c r="R82" i="5" a="1"/>
  <c r="R219" i="5" a="1"/>
  <c r="R147" i="5" a="1"/>
  <c r="S208" i="5" a="1"/>
  <c r="S176" i="5" a="1"/>
  <c r="AG156" i="5" a="1"/>
  <c r="R213" i="5" a="1"/>
  <c r="AG139" i="5" a="1"/>
  <c r="R130" i="5" a="1"/>
  <c r="AG142" i="5" a="1"/>
  <c r="S149" i="5" a="1"/>
  <c r="AG75" i="5" a="1"/>
  <c r="AG100" i="5" a="1"/>
  <c r="AG105" i="5" a="1"/>
  <c r="S143" i="5" a="1"/>
  <c r="R67" i="5" a="1"/>
  <c r="AG192" i="5" a="1"/>
  <c r="AG222" i="5" a="1"/>
  <c r="S81" i="5" a="1"/>
  <c r="AG157" i="5" a="1"/>
  <c r="R74" i="5" a="1"/>
  <c r="S138" i="5" a="1"/>
  <c r="S184" i="5" a="1"/>
  <c r="R210" i="5" a="1"/>
  <c r="S207" i="5" a="1"/>
  <c r="S111" i="5" a="1"/>
  <c r="AG144" i="5" a="1"/>
  <c r="S44" i="5" a="1"/>
  <c r="AG83" i="5" a="1"/>
  <c r="AG87" i="5" a="1"/>
  <c r="S56" i="5" a="1"/>
  <c r="S153" i="5" a="1"/>
  <c r="R226" i="5" a="1"/>
  <c r="AG177" i="5" a="1"/>
  <c r="AG91" i="5" a="1"/>
  <c r="R159" i="5" a="1"/>
  <c r="R165" i="5" a="1"/>
  <c r="R231" i="5" a="1"/>
  <c r="AG27" i="5" a="1"/>
  <c r="AG82" i="5" a="1"/>
  <c r="AG223" i="5" a="1"/>
  <c r="S133" i="5" a="1"/>
  <c r="AG110" i="5" a="1"/>
  <c r="AG219" i="5" a="1"/>
  <c r="S102" i="5" a="1"/>
  <c r="S33" i="5" a="1"/>
  <c r="AG25" i="5" a="1"/>
  <c r="R178" i="5" a="1"/>
  <c r="AG39" i="5" a="1"/>
  <c r="R170" i="5" a="1"/>
  <c r="S233" i="5" a="1"/>
  <c r="AG171" i="5" a="1"/>
  <c r="R134" i="5" a="1"/>
  <c r="S188" i="5" a="1"/>
  <c r="AG217" i="5" a="1"/>
  <c r="R85" i="5" a="1"/>
  <c r="AG185" i="5" a="1"/>
  <c r="R164" i="5" a="1"/>
  <c r="S229" i="5" a="1"/>
  <c r="S117" i="5" a="1"/>
  <c r="AG140" i="5" a="1"/>
  <c r="R34" i="5" a="1"/>
  <c r="S118" i="5" a="1"/>
  <c r="AG183" i="5" a="1"/>
  <c r="AG200" i="5" a="1"/>
  <c r="R145" i="5" a="1"/>
  <c r="S21" i="5" a="1"/>
  <c r="AG72" i="5" a="1"/>
  <c r="R192" i="5" a="1"/>
  <c r="S222" i="5" a="1"/>
  <c r="R81" i="5" a="1"/>
  <c r="R157" i="5" a="1"/>
  <c r="AG74" i="5" a="1"/>
  <c r="R138" i="5" a="1"/>
  <c r="AG184" i="5" a="1"/>
  <c r="S210" i="5" a="1"/>
  <c r="R207" i="5" a="1"/>
  <c r="AG111" i="5" a="1"/>
  <c r="R144" i="5" a="1"/>
  <c r="AG44" i="5" a="1"/>
  <c r="R83" i="5" a="1"/>
  <c r="S87" i="5" a="1"/>
  <c r="R56" i="5" a="1"/>
  <c r="R153" i="5" a="1"/>
  <c r="AG226" i="5" a="1"/>
  <c r="R177" i="5" a="1"/>
  <c r="S91" i="5" a="1"/>
  <c r="AG159" i="5" a="1"/>
  <c r="S165" i="5" a="1"/>
  <c r="S231" i="5" a="1"/>
  <c r="R27" i="5" a="1"/>
  <c r="S82" i="5" a="1"/>
  <c r="S223" i="5" a="1"/>
  <c r="AG133" i="5" a="1"/>
  <c r="AG232" i="5" a="1"/>
  <c r="R131" i="5" a="1"/>
  <c r="AG88" i="5" a="1"/>
  <c r="R45" i="5" a="1"/>
  <c r="R25" i="5" a="1"/>
  <c r="S178" i="5" a="1"/>
  <c r="R39" i="5" a="1"/>
  <c r="S170" i="5" a="1"/>
  <c r="S175" i="5" a="1"/>
  <c r="S168" i="5" a="1"/>
  <c r="S197" i="5" a="1"/>
  <c r="AG50" i="5" a="1"/>
  <c r="R187" i="5" a="1"/>
  <c r="S94" i="5" a="1"/>
  <c r="R158" i="5" a="1"/>
  <c r="AG121" i="5" a="1"/>
  <c r="S90" i="5" a="1"/>
  <c r="S61" i="5" a="1"/>
  <c r="S73" i="5" a="1"/>
  <c r="R37" i="5" a="1"/>
  <c r="AG48" i="5" a="1"/>
  <c r="R194" i="5" a="1"/>
  <c r="S107" i="5" a="1"/>
  <c r="R185" i="5" a="1"/>
  <c r="AG164" i="5" a="1"/>
  <c r="AG229" i="5" a="1"/>
  <c r="AG117" i="5" a="1"/>
  <c r="S140" i="5" a="1"/>
  <c r="AG34" i="5" a="1"/>
  <c r="AG118" i="5" a="1"/>
  <c r="S183" i="5" a="1"/>
  <c r="R200" i="5" a="1"/>
  <c r="S145" i="5" a="1"/>
  <c r="AG21" i="5" a="1"/>
  <c r="S72" i="5" a="1"/>
  <c r="S192" i="5" a="1"/>
  <c r="R222" i="5" a="1"/>
  <c r="AG81" i="5" a="1"/>
  <c r="S157" i="5" a="1"/>
  <c r="S74" i="5" a="1"/>
  <c r="S187" i="5" a="1"/>
  <c r="S189" i="5" a="1"/>
  <c r="S38" i="5" a="1"/>
  <c r="AG94" i="5" a="1"/>
  <c r="AG95" i="5" a="1"/>
  <c r="AG134" i="5" a="1"/>
  <c r="S158" i="5" a="1"/>
  <c r="AG148" i="5" a="1"/>
  <c r="R121" i="5" a="1"/>
  <c r="S163" i="5" a="1"/>
  <c r="AG172" i="5" a="1"/>
  <c r="S202" i="5" a="1"/>
  <c r="S49" i="5" a="1"/>
  <c r="AG59" i="5" a="1"/>
  <c r="R119" i="5" a="1"/>
  <c r="R57" i="5" a="1"/>
  <c r="AG90" i="5" a="1"/>
  <c r="AG61" i="5" a="1"/>
  <c r="AG188" i="5" a="1"/>
  <c r="R73" i="5" a="1"/>
  <c r="S24" i="5" a="1"/>
  <c r="S232" i="5" a="1"/>
  <c r="S131" i="5" a="1"/>
  <c r="S88" i="5" a="1"/>
  <c r="AG45" i="5" a="1"/>
  <c r="S25" i="5" a="1"/>
  <c r="AG178" i="5" a="1"/>
  <c r="S39" i="5" a="1"/>
  <c r="AG170" i="5" a="1"/>
  <c r="R201" i="5" a="1"/>
  <c r="R230" i="5" a="1"/>
  <c r="AG199" i="5" a="1"/>
  <c r="R189" i="5" a="1"/>
  <c r="S95" i="5" a="1"/>
  <c r="R148" i="5" a="1"/>
  <c r="R172" i="5" a="1"/>
  <c r="R59" i="5" a="1"/>
  <c r="AG24" i="5" a="1"/>
  <c r="AG150" i="5" a="1"/>
  <c r="R114" i="5" a="1"/>
  <c r="R173" i="5" a="1"/>
  <c r="S185" i="5" a="1"/>
  <c r="S164" i="5" a="1"/>
  <c r="R229" i="5" a="1"/>
  <c r="R117" i="5" a="1"/>
  <c r="R140" i="5" a="1"/>
  <c r="S34" i="5" a="1"/>
  <c r="R118" i="5" a="1"/>
  <c r="R183" i="5" a="1"/>
  <c r="S200" i="5" a="1"/>
  <c r="AG145" i="5" a="1"/>
  <c r="R21" i="5" a="1"/>
  <c r="R72" i="5" a="1"/>
  <c r="R50" i="5" a="1"/>
  <c r="R199" i="5" a="1"/>
  <c r="R171" i="5" a="1"/>
  <c r="S126" i="5" a="1"/>
  <c r="R52" i="5" a="1"/>
  <c r="AG187" i="5" a="1"/>
  <c r="AG189" i="5" a="1"/>
  <c r="R38" i="5" a="1"/>
  <c r="R94" i="5" a="1"/>
  <c r="R95" i="5" a="1"/>
  <c r="S134" i="5" a="1"/>
  <c r="AG158" i="5" a="1"/>
  <c r="S148" i="5" a="1"/>
  <c r="S121" i="5" a="1"/>
  <c r="AG163" i="5" a="1"/>
  <c r="S172" i="5" a="1"/>
  <c r="R202" i="5" a="1"/>
  <c r="R49" i="5" a="1"/>
  <c r="S59" i="5" a="1"/>
  <c r="S119" i="5" a="1"/>
  <c r="S57" i="5" a="1"/>
  <c r="R90" i="5" a="1"/>
  <c r="R61" i="5" a="1"/>
  <c r="R188" i="5" a="1"/>
  <c r="AG73" i="5" a="1"/>
  <c r="R24" i="5" a="1"/>
  <c r="R232" i="5" a="1"/>
  <c r="AG131" i="5" a="1"/>
  <c r="R88" i="5" a="1"/>
  <c r="S45" i="5" a="1"/>
  <c r="S150" i="5" a="1"/>
  <c r="R48" i="5" a="1"/>
  <c r="S28" i="5" a="1"/>
  <c r="S69" i="5" a="1"/>
  <c r="AG116" i="5" a="1"/>
  <c r="S52" i="5" a="1"/>
  <c r="AG38" i="5" a="1"/>
  <c r="R163" i="5" a="1"/>
  <c r="AG119" i="5" a="1"/>
  <c r="AG47" i="5" a="1"/>
  <c r="AG28" i="5" a="1"/>
  <c r="S220" i="5" a="1"/>
  <c r="S204" i="5" a="1"/>
  <c r="AG180" i="5" a="1"/>
  <c r="AG20" i="5" a="1"/>
  <c r="S161" i="5" a="1"/>
  <c r="AG228" i="5" a="1"/>
  <c r="AG126" i="5" a="1"/>
  <c r="AG202" i="5" a="1"/>
  <c r="AG173" i="5" a="1"/>
  <c r="AG97" i="5" a="1"/>
  <c r="R234" i="5" a="1"/>
  <c r="S180" i="5" a="1"/>
  <c r="R20" i="5" a="1"/>
  <c r="R161" i="5" a="1"/>
  <c r="R228" i="5" a="1"/>
  <c r="AG201" i="5" a="1"/>
  <c r="R69" i="5" a="1"/>
  <c r="R175" i="5" a="1"/>
  <c r="AG233" i="5" a="1"/>
  <c r="AG168" i="5" a="1"/>
  <c r="AG230" i="5" a="1"/>
  <c r="R116" i="5" a="1"/>
  <c r="R197" i="5" a="1"/>
  <c r="S50" i="5" a="1"/>
  <c r="S199" i="5" a="1"/>
  <c r="S171" i="5" a="1"/>
  <c r="R126" i="5" a="1"/>
  <c r="AG52" i="5" a="1"/>
  <c r="AG167" i="5" a="1"/>
  <c r="AG120" i="5" a="1"/>
  <c r="AG70" i="5" a="1"/>
  <c r="S160" i="5" a="1"/>
  <c r="S132" i="5" a="1"/>
  <c r="S195" i="5" a="1"/>
  <c r="AG179" i="5" a="1"/>
  <c r="AG108" i="5" a="1"/>
  <c r="R221" i="5" a="1"/>
  <c r="AG194" i="5" a="1"/>
  <c r="AG220" i="5" a="1"/>
  <c r="AG36" i="5" a="1"/>
  <c r="R64" i="5" a="1"/>
  <c r="R97" i="5" a="1"/>
  <c r="AG85" i="5" a="1"/>
  <c r="S114" i="5" a="1"/>
  <c r="AG211" i="5" a="1"/>
  <c r="S99" i="5" a="1"/>
  <c r="AG208" i="5" a="1"/>
  <c r="S128" i="5" a="1"/>
  <c r="R107" i="5" a="1"/>
  <c r="S173" i="5" a="1"/>
  <c r="R47" i="5" a="1"/>
  <c r="R217" i="5" a="1"/>
  <c r="AG37" i="5" a="1"/>
  <c r="R150" i="5" a="1"/>
  <c r="S48" i="5" a="1"/>
  <c r="R28" i="5" a="1"/>
  <c r="R180" i="5" a="1"/>
  <c r="S228" i="5" a="1"/>
  <c r="S201" i="5" a="1"/>
  <c r="AG69" i="5" a="1"/>
  <c r="AG175" i="5" a="1"/>
  <c r="R168" i="5" a="1"/>
  <c r="S230" i="5" a="1"/>
  <c r="S116" i="5" a="1"/>
  <c r="AG46" i="5" a="1"/>
  <c r="AG136" i="5" a="1"/>
  <c r="R124" i="5" a="1"/>
  <c r="S167" i="5" a="1"/>
  <c r="S120" i="5" a="1"/>
  <c r="R160" i="5" a="1"/>
  <c r="AG195" i="5" a="1"/>
  <c r="S64" i="5" a="1"/>
  <c r="AG99" i="5" a="1"/>
  <c r="S20" i="5" a="1"/>
  <c r="AG161" i="5" a="1"/>
  <c r="R233" i="5" a="1"/>
  <c r="AG197" i="5" a="1"/>
  <c r="R154" i="5" a="1"/>
  <c r="AG32" i="5" a="1"/>
  <c r="S70" i="5" a="1"/>
  <c r="AG132" i="5" a="1"/>
  <c r="S211" i="5" a="1"/>
  <c r="R26" i="5" a="1"/>
  <c r="R26" i="5" l="1"/>
  <c r="S211" i="5"/>
  <c r="AG132" i="5"/>
  <c r="S70" i="5"/>
  <c r="AG32" i="5"/>
  <c r="R154" i="5"/>
  <c r="AG197" i="5"/>
  <c r="R233" i="5"/>
  <c r="AG161" i="5"/>
  <c r="S20" i="5"/>
  <c r="AG99" i="5"/>
  <c r="S64" i="5"/>
  <c r="AG195" i="5"/>
  <c r="R160" i="5"/>
  <c r="S120" i="5"/>
  <c r="S167" i="5"/>
  <c r="R124" i="5"/>
  <c r="AG136" i="5"/>
  <c r="AG46" i="5"/>
  <c r="S116" i="5"/>
  <c r="S230" i="5"/>
  <c r="R168" i="5"/>
  <c r="AG175" i="5"/>
  <c r="AG69" i="5"/>
  <c r="S201" i="5"/>
  <c r="S228" i="5"/>
  <c r="R180" i="5"/>
  <c r="R28" i="5"/>
  <c r="S48" i="5"/>
  <c r="R150" i="5"/>
  <c r="AG37" i="5"/>
  <c r="R217" i="5"/>
  <c r="R47" i="5"/>
  <c r="S173" i="5"/>
  <c r="R107" i="5"/>
  <c r="S128" i="5"/>
  <c r="AG208" i="5"/>
  <c r="S99" i="5"/>
  <c r="AG211" i="5"/>
  <c r="S114" i="5"/>
  <c r="AG85" i="5"/>
  <c r="R97" i="5"/>
  <c r="R64" i="5"/>
  <c r="AG36" i="5"/>
  <c r="AG220" i="5"/>
  <c r="AG194" i="5"/>
  <c r="R221" i="5"/>
  <c r="AG108" i="5"/>
  <c r="AG179" i="5"/>
  <c r="S195" i="5"/>
  <c r="S132" i="5"/>
  <c r="S160" i="5"/>
  <c r="AG70" i="5"/>
  <c r="AG120" i="5"/>
  <c r="AG167" i="5"/>
  <c r="AG52" i="5"/>
  <c r="R126" i="5"/>
  <c r="S171" i="5"/>
  <c r="S199" i="5"/>
  <c r="S50" i="5"/>
  <c r="R197" i="5"/>
  <c r="R116" i="5"/>
  <c r="AG230" i="5"/>
  <c r="AG168" i="5"/>
  <c r="AG233" i="5"/>
  <c r="R175" i="5"/>
  <c r="R69" i="5"/>
  <c r="AG201" i="5"/>
  <c r="R228" i="5"/>
  <c r="R161" i="5"/>
  <c r="R20" i="5"/>
  <c r="S180" i="5"/>
  <c r="R234" i="5"/>
  <c r="AG97" i="5"/>
  <c r="AG173" i="5"/>
  <c r="AG202" i="5"/>
  <c r="AG126" i="5"/>
  <c r="AG228" i="5"/>
  <c r="S161" i="5"/>
  <c r="AG20" i="5"/>
  <c r="AG180" i="5"/>
  <c r="S204" i="5"/>
  <c r="S220" i="5"/>
  <c r="AG28" i="5"/>
  <c r="AG47" i="5"/>
  <c r="AG119" i="5"/>
  <c r="R163" i="5"/>
  <c r="AG38" i="5"/>
  <c r="S52" i="5"/>
  <c r="AG116" i="5"/>
  <c r="S69" i="5"/>
  <c r="S28" i="5"/>
  <c r="R48" i="5"/>
  <c r="S150" i="5"/>
  <c r="S45" i="5"/>
  <c r="R88" i="5"/>
  <c r="AG131" i="5"/>
  <c r="R232" i="5"/>
  <c r="R24" i="5"/>
  <c r="AG73" i="5"/>
  <c r="R188" i="5"/>
  <c r="R61" i="5"/>
  <c r="R90" i="5"/>
  <c r="S57" i="5"/>
  <c r="S119" i="5"/>
  <c r="S59" i="5"/>
  <c r="R49" i="5"/>
  <c r="R202" i="5"/>
  <c r="S172" i="5"/>
  <c r="AG163" i="5"/>
  <c r="S121" i="5"/>
  <c r="S148" i="5"/>
  <c r="AG158" i="5"/>
  <c r="S134" i="5"/>
  <c r="R95" i="5"/>
  <c r="R94" i="5"/>
  <c r="R38" i="5"/>
  <c r="AG189" i="5"/>
  <c r="AG187" i="5"/>
  <c r="R52" i="5"/>
  <c r="S126" i="5"/>
  <c r="R171" i="5"/>
  <c r="R199" i="5"/>
  <c r="R50" i="5"/>
  <c r="R72" i="5"/>
  <c r="R21" i="5"/>
  <c r="AG145" i="5"/>
  <c r="S200" i="5"/>
  <c r="R183" i="5"/>
  <c r="R118" i="5"/>
  <c r="S34" i="5"/>
  <c r="R140" i="5"/>
  <c r="R117" i="5"/>
  <c r="R229" i="5"/>
  <c r="S164" i="5"/>
  <c r="S185" i="5"/>
  <c r="R173" i="5"/>
  <c r="R114" i="5"/>
  <c r="AG150" i="5"/>
  <c r="AG24" i="5"/>
  <c r="R59" i="5"/>
  <c r="R172" i="5"/>
  <c r="R148" i="5"/>
  <c r="S95" i="5"/>
  <c r="R189" i="5"/>
  <c r="AG199" i="5"/>
  <c r="R230" i="5"/>
  <c r="R201" i="5"/>
  <c r="AG170" i="5"/>
  <c r="S39" i="5"/>
  <c r="AG178" i="5"/>
  <c r="S25" i="5"/>
  <c r="AG45" i="5"/>
  <c r="S88" i="5"/>
  <c r="S131" i="5"/>
  <c r="S232" i="5"/>
  <c r="S24" i="5"/>
  <c r="R73" i="5"/>
  <c r="AG188" i="5"/>
  <c r="AG61" i="5"/>
  <c r="AG90" i="5"/>
  <c r="R57" i="5"/>
  <c r="R119" i="5"/>
  <c r="AG59" i="5"/>
  <c r="S49" i="5"/>
  <c r="S202" i="5"/>
  <c r="AG172" i="5"/>
  <c r="S163" i="5"/>
  <c r="R121" i="5"/>
  <c r="AG148" i="5"/>
  <c r="S158" i="5"/>
  <c r="AG134" i="5"/>
  <c r="AG95" i="5"/>
  <c r="AG94" i="5"/>
  <c r="S38" i="5"/>
  <c r="S189" i="5"/>
  <c r="S187" i="5"/>
  <c r="S74" i="5"/>
  <c r="S157" i="5"/>
  <c r="AG81" i="5"/>
  <c r="R222" i="5"/>
  <c r="S192" i="5"/>
  <c r="S72" i="5"/>
  <c r="AG21" i="5"/>
  <c r="S145" i="5"/>
  <c r="R200" i="5"/>
  <c r="S183" i="5"/>
  <c r="AG118" i="5"/>
  <c r="AG34" i="5"/>
  <c r="S140" i="5"/>
  <c r="AG117" i="5"/>
  <c r="AG229" i="5"/>
  <c r="AG164" i="5"/>
  <c r="R185" i="5"/>
  <c r="S107" i="5"/>
  <c r="R194" i="5"/>
  <c r="AG48" i="5"/>
  <c r="R37" i="5"/>
  <c r="S73" i="5"/>
  <c r="S61" i="5"/>
  <c r="S90" i="5"/>
  <c r="AG121" i="5"/>
  <c r="R158" i="5"/>
  <c r="S94" i="5"/>
  <c r="R187" i="5"/>
  <c r="AG50" i="5"/>
  <c r="S197" i="5"/>
  <c r="S168" i="5"/>
  <c r="S175" i="5"/>
  <c r="S170" i="5"/>
  <c r="R39" i="5"/>
  <c r="S178" i="5"/>
  <c r="R25" i="5"/>
  <c r="R45" i="5"/>
  <c r="AG88" i="5"/>
  <c r="R131" i="5"/>
  <c r="AG232" i="5"/>
  <c r="AG133" i="5"/>
  <c r="S223" i="5"/>
  <c r="S82" i="5"/>
  <c r="R27" i="5"/>
  <c r="S231" i="5"/>
  <c r="S165" i="5"/>
  <c r="AG159" i="5"/>
  <c r="S91" i="5"/>
  <c r="R177" i="5"/>
  <c r="AG226" i="5"/>
  <c r="R153" i="5"/>
  <c r="R56" i="5"/>
  <c r="S87" i="5"/>
  <c r="R83" i="5"/>
  <c r="AG44" i="5"/>
  <c r="R144" i="5"/>
  <c r="AG111" i="5"/>
  <c r="R207" i="5"/>
  <c r="S210" i="5"/>
  <c r="AG184" i="5"/>
  <c r="R138" i="5"/>
  <c r="AG74" i="5"/>
  <c r="R157" i="5"/>
  <c r="R81" i="5"/>
  <c r="S222" i="5"/>
  <c r="R192" i="5"/>
  <c r="AG72" i="5"/>
  <c r="S21" i="5"/>
  <c r="R145" i="5"/>
  <c r="AG200" i="5"/>
  <c r="AG183" i="5"/>
  <c r="S118" i="5"/>
  <c r="R34" i="5"/>
  <c r="AG140" i="5"/>
  <c r="S117" i="5"/>
  <c r="S229" i="5"/>
  <c r="R164" i="5"/>
  <c r="AG185" i="5"/>
  <c r="R85" i="5"/>
  <c r="AG217" i="5"/>
  <c r="S188" i="5"/>
  <c r="R134" i="5"/>
  <c r="AG171" i="5"/>
  <c r="S233" i="5"/>
  <c r="R170" i="5"/>
  <c r="AG39" i="5"/>
  <c r="R178" i="5"/>
  <c r="AG25" i="5"/>
  <c r="S33" i="5"/>
  <c r="S102" i="5"/>
  <c r="AG219" i="5"/>
  <c r="AG110" i="5"/>
  <c r="S133" i="5"/>
  <c r="AG223" i="5"/>
  <c r="AG82" i="5"/>
  <c r="AG27" i="5"/>
  <c r="R231" i="5"/>
  <c r="R165" i="5"/>
  <c r="R159" i="5"/>
  <c r="AG91" i="5"/>
  <c r="AG177" i="5"/>
  <c r="R226" i="5"/>
  <c r="S153" i="5"/>
  <c r="S56" i="5"/>
  <c r="AG87" i="5"/>
  <c r="AG83" i="5"/>
  <c r="S44" i="5"/>
  <c r="AG144" i="5"/>
  <c r="S111" i="5"/>
  <c r="S207" i="5"/>
  <c r="R210" i="5"/>
  <c r="S184" i="5"/>
  <c r="S138" i="5"/>
  <c r="R74" i="5"/>
  <c r="AG157" i="5"/>
  <c r="S81" i="5"/>
  <c r="AG222" i="5"/>
  <c r="AG192" i="5"/>
  <c r="R67" i="5"/>
  <c r="S143" i="5"/>
  <c r="AG105" i="5"/>
  <c r="AG100" i="5"/>
  <c r="AG75" i="5"/>
  <c r="S149" i="5"/>
  <c r="AG142" i="5"/>
  <c r="R130" i="5"/>
  <c r="AG139" i="5"/>
  <c r="R213" i="5"/>
  <c r="AG156" i="5"/>
  <c r="S176" i="5"/>
  <c r="S208" i="5"/>
  <c r="R147" i="5"/>
  <c r="R219" i="5"/>
  <c r="R82" i="5"/>
  <c r="AG165" i="5"/>
  <c r="R91" i="5"/>
  <c r="S226" i="5"/>
  <c r="AG56" i="5"/>
  <c r="R87" i="5"/>
  <c r="S83" i="5"/>
  <c r="R44" i="5"/>
  <c r="S144" i="5"/>
  <c r="R111" i="5"/>
  <c r="AG207" i="5"/>
  <c r="AG210" i="5"/>
  <c r="R184" i="5"/>
  <c r="AG138" i="5"/>
  <c r="S212" i="5"/>
  <c r="R77" i="5"/>
  <c r="R113" i="5"/>
  <c r="AG41" i="5"/>
  <c r="S58" i="5"/>
  <c r="AG67" i="5"/>
  <c r="AG143" i="5"/>
  <c r="R105" i="5"/>
  <c r="S100" i="5"/>
  <c r="S75" i="5"/>
  <c r="R149" i="5"/>
  <c r="R142" i="5"/>
  <c r="AG130" i="5"/>
  <c r="R139" i="5"/>
  <c r="S213" i="5"/>
  <c r="R156" i="5"/>
  <c r="AG176" i="5"/>
  <c r="R128" i="5"/>
  <c r="S221" i="5"/>
  <c r="R89" i="5"/>
  <c r="AG231" i="5"/>
  <c r="S89" i="5"/>
  <c r="AG147" i="5"/>
  <c r="S104" i="5"/>
  <c r="R33" i="5"/>
  <c r="S110" i="5"/>
  <c r="AG63" i="5"/>
  <c r="AG216" i="5"/>
  <c r="AG227" i="5"/>
  <c r="S135" i="5"/>
  <c r="S60" i="5"/>
  <c r="S127" i="5"/>
  <c r="S206" i="5"/>
  <c r="S203" i="5"/>
  <c r="AG193" i="5"/>
  <c r="S191" i="5"/>
  <c r="R92" i="5"/>
  <c r="AG103" i="5"/>
  <c r="S53" i="5"/>
  <c r="AG98" i="5"/>
  <c r="S146" i="5"/>
  <c r="S54" i="5"/>
  <c r="AG198" i="5"/>
  <c r="AG205" i="5"/>
  <c r="R123" i="5"/>
  <c r="R22" i="5"/>
  <c r="R212" i="5"/>
  <c r="S77" i="5"/>
  <c r="S113" i="5"/>
  <c r="R41" i="5"/>
  <c r="AG58" i="5"/>
  <c r="S67" i="5"/>
  <c r="R143" i="5"/>
  <c r="S105" i="5"/>
  <c r="R100" i="5"/>
  <c r="R75" i="5"/>
  <c r="AG149" i="5"/>
  <c r="S142" i="5"/>
  <c r="S130" i="5"/>
  <c r="S139" i="5"/>
  <c r="AG213" i="5"/>
  <c r="S156" i="5"/>
  <c r="R176" i="5"/>
  <c r="S37" i="5"/>
  <c r="S36" i="5"/>
  <c r="AG33" i="5"/>
  <c r="R223" i="5"/>
  <c r="S159" i="5"/>
  <c r="AG102" i="5"/>
  <c r="AG89" i="5"/>
  <c r="S147" i="5"/>
  <c r="AG104" i="5"/>
  <c r="S186" i="5"/>
  <c r="R35" i="5"/>
  <c r="S43" i="5"/>
  <c r="AG115" i="5"/>
  <c r="AG19" i="5"/>
  <c r="R63" i="5"/>
  <c r="R216" i="5"/>
  <c r="R65" i="5"/>
  <c r="S227" i="5"/>
  <c r="AG135" i="5"/>
  <c r="R60" i="5"/>
  <c r="AG127" i="5"/>
  <c r="AG206" i="5"/>
  <c r="AG203" i="5"/>
  <c r="S193" i="5"/>
  <c r="AG191" i="5"/>
  <c r="AG92" i="5"/>
  <c r="R103" i="5"/>
  <c r="AG53" i="5"/>
  <c r="R98" i="5"/>
  <c r="AG146" i="5"/>
  <c r="AG54" i="5"/>
  <c r="R198" i="5"/>
  <c r="R205" i="5"/>
  <c r="S123" i="5"/>
  <c r="AG22" i="5"/>
  <c r="AG212" i="5"/>
  <c r="AG77" i="5"/>
  <c r="AG113" i="5"/>
  <c r="S41" i="5"/>
  <c r="R58" i="5"/>
  <c r="AG166" i="5"/>
  <c r="AG224" i="5"/>
  <c r="R214" i="5"/>
  <c r="AG190" i="5"/>
  <c r="AG79" i="5"/>
  <c r="S141" i="5"/>
  <c r="AG182" i="5"/>
  <c r="AG155" i="5"/>
  <c r="S62" i="5"/>
  <c r="S151" i="5"/>
  <c r="R80" i="5"/>
  <c r="S47" i="5"/>
  <c r="S179" i="5"/>
  <c r="R104" i="5"/>
  <c r="R102" i="5"/>
  <c r="R133" i="5"/>
  <c r="S27" i="5"/>
  <c r="S177" i="5"/>
  <c r="S219" i="5"/>
  <c r="S234" i="5"/>
  <c r="S26" i="5"/>
  <c r="AG204" i="5"/>
  <c r="AG35" i="5"/>
  <c r="R43" i="5"/>
  <c r="R115" i="5"/>
  <c r="R19" i="5"/>
  <c r="S63" i="5"/>
  <c r="S216" i="5"/>
  <c r="S65" i="5"/>
  <c r="R227" i="5"/>
  <c r="R135" i="5"/>
  <c r="AG60" i="5"/>
  <c r="R127" i="5"/>
  <c r="R206" i="5"/>
  <c r="R203" i="5"/>
  <c r="R193" i="5"/>
  <c r="R191" i="5"/>
  <c r="S92" i="5"/>
  <c r="S103" i="5"/>
  <c r="R53" i="5"/>
  <c r="S98" i="5"/>
  <c r="R146" i="5"/>
  <c r="R54" i="5"/>
  <c r="S198" i="5"/>
  <c r="S205" i="5"/>
  <c r="AG123" i="5"/>
  <c r="AG124" i="5"/>
  <c r="R32" i="5"/>
  <c r="S154" i="5"/>
  <c r="S136" i="5"/>
  <c r="R46" i="5"/>
  <c r="R18" i="5"/>
  <c r="S166" i="5"/>
  <c r="R224" i="5"/>
  <c r="AG214" i="5"/>
  <c r="R190" i="5"/>
  <c r="R79" i="5"/>
  <c r="R141" i="5"/>
  <c r="R182" i="5"/>
  <c r="S155" i="5"/>
  <c r="R40" i="5"/>
  <c r="AG62" i="5"/>
  <c r="AG151" i="5"/>
  <c r="AG80" i="5"/>
  <c r="S217" i="5"/>
  <c r="S108" i="5"/>
  <c r="R186" i="5"/>
  <c r="R110" i="5"/>
  <c r="AG153" i="5"/>
  <c r="AG186" i="5"/>
  <c r="AG234" i="5"/>
  <c r="AG26" i="5"/>
  <c r="R204" i="5"/>
  <c r="R30" i="5"/>
  <c r="S35" i="5"/>
  <c r="AG43" i="5"/>
  <c r="S115" i="5"/>
  <c r="AG107" i="5"/>
  <c r="AG128" i="5"/>
  <c r="R208" i="5"/>
  <c r="R99" i="5"/>
  <c r="R211" i="5"/>
  <c r="AG114" i="5"/>
  <c r="S85" i="5"/>
  <c r="S97" i="5"/>
  <c r="R36" i="5"/>
  <c r="R220" i="5"/>
  <c r="S194" i="5"/>
  <c r="AG221" i="5"/>
  <c r="R108" i="5"/>
  <c r="R179" i="5"/>
  <c r="R195" i="5"/>
  <c r="R132" i="5"/>
  <c r="AG160" i="5"/>
  <c r="R70" i="5"/>
  <c r="R120" i="5"/>
  <c r="R167" i="5"/>
  <c r="S124" i="5"/>
  <c r="S32" i="5"/>
  <c r="AG154" i="5"/>
  <c r="R136" i="5"/>
  <c r="S46" i="5"/>
  <c r="AG18" i="5"/>
  <c r="R166" i="5"/>
  <c r="S224" i="5"/>
  <c r="S214" i="5"/>
  <c r="S190" i="5"/>
  <c r="S79" i="5"/>
  <c r="AG141" i="5"/>
  <c r="S182" i="5"/>
  <c r="R155" i="5"/>
  <c r="S40" i="5"/>
  <c r="R62" i="5"/>
  <c r="R151" i="5"/>
  <c r="S80" i="5"/>
  <c r="G150" i="6" l="1"/>
  <c r="F150" i="12" a="1"/>
  <c r="F150" i="12" s="1"/>
  <c r="F36" i="12" a="1"/>
  <c r="F36" i="12" s="1"/>
  <c r="G36" i="6"/>
  <c r="G146" i="6"/>
  <c r="F146" i="12" a="1"/>
  <c r="F146" i="12" s="1"/>
  <c r="G58" i="6"/>
  <c r="F58" i="12" a="1"/>
  <c r="F58" i="12" s="1"/>
  <c r="G81" i="6"/>
  <c r="F81" i="12" a="1"/>
  <c r="F81" i="12" s="1"/>
  <c r="E144" i="12"/>
  <c r="F144" i="6"/>
  <c r="AC144" i="5" a="1"/>
  <c r="AC144" i="5" s="1"/>
  <c r="J144" i="6" s="1" a="1"/>
  <c r="J144" i="6" s="1"/>
  <c r="F175" i="12" a="1"/>
  <c r="F175" i="12" s="1"/>
  <c r="G175" i="6"/>
  <c r="F145" i="12" a="1"/>
  <c r="F145" i="12" s="1"/>
  <c r="G145" i="6"/>
  <c r="E173" i="12"/>
  <c r="F173" i="6"/>
  <c r="AC173" i="5" a="1"/>
  <c r="AC173" i="5" s="1"/>
  <c r="J173" i="6" s="1" a="1"/>
  <c r="J173" i="6" s="1"/>
  <c r="G52" i="6"/>
  <c r="F52" i="12" a="1"/>
  <c r="F52" i="12" s="1"/>
  <c r="F224" i="12" a="1"/>
  <c r="F224" i="12" s="1"/>
  <c r="G224" i="6"/>
  <c r="F99" i="6"/>
  <c r="E99" i="12"/>
  <c r="AC99" i="5" a="1"/>
  <c r="AC99" i="5" s="1"/>
  <c r="J99" i="6" s="1" a="1"/>
  <c r="J99" i="6" s="1"/>
  <c r="G205" i="6"/>
  <c r="F205" i="12" a="1"/>
  <c r="F205" i="12" s="1"/>
  <c r="G62" i="6"/>
  <c r="F62" i="12" a="1"/>
  <c r="F62" i="12" s="1"/>
  <c r="E166" i="12"/>
  <c r="F166" i="6"/>
  <c r="AC166" i="5" a="1"/>
  <c r="AC166" i="5" s="1"/>
  <c r="J166" i="6" s="1" a="1"/>
  <c r="J166" i="6" s="1"/>
  <c r="E208" i="12"/>
  <c r="F208" i="6"/>
  <c r="AC208" i="5" a="1"/>
  <c r="AC208" i="5" s="1"/>
  <c r="J208" i="6" s="1" a="1"/>
  <c r="J208" i="6" s="1"/>
  <c r="F190" i="6"/>
  <c r="AC190" i="5" a="1"/>
  <c r="AC190" i="5" s="1"/>
  <c r="J190" i="6" s="1" a="1"/>
  <c r="J190" i="6" s="1"/>
  <c r="E190" i="12"/>
  <c r="E179" i="12"/>
  <c r="AC179" i="5" a="1"/>
  <c r="AC179" i="5" s="1"/>
  <c r="J179" i="6" s="1" a="1"/>
  <c r="J179" i="6" s="1"/>
  <c r="F179" i="6"/>
  <c r="E186" i="12"/>
  <c r="F186" i="6"/>
  <c r="AC186" i="5" a="1"/>
  <c r="AC186" i="5" s="1"/>
  <c r="J186" i="6" s="1" a="1"/>
  <c r="J186" i="6" s="1"/>
  <c r="F54" i="6"/>
  <c r="AC54" i="5" a="1"/>
  <c r="AC54" i="5" s="1"/>
  <c r="J54" i="6" s="1" a="1"/>
  <c r="J54" i="6" s="1"/>
  <c r="E54" i="12"/>
  <c r="E135" i="12"/>
  <c r="AC135" i="5" a="1"/>
  <c r="AC135" i="5" s="1"/>
  <c r="J135" i="6" s="1" a="1"/>
  <c r="J135" i="6" s="1"/>
  <c r="F135" i="6"/>
  <c r="E41" i="12"/>
  <c r="F41" i="6"/>
  <c r="AC41" i="5" a="1"/>
  <c r="AC41" i="5" s="1"/>
  <c r="J41" i="6" s="1" a="1"/>
  <c r="J41" i="6" s="1"/>
  <c r="G110" i="6"/>
  <c r="F110" i="12" a="1"/>
  <c r="F110" i="12" s="1"/>
  <c r="G46" i="6"/>
  <c r="F46" i="12" a="1"/>
  <c r="F46" i="12" s="1"/>
  <c r="AC224" i="5" a="1"/>
  <c r="AC224" i="5" s="1"/>
  <c r="J224" i="6" s="1" a="1"/>
  <c r="J224" i="6" s="1"/>
  <c r="E224" i="12"/>
  <c r="F224" i="6"/>
  <c r="AC227" i="5" a="1"/>
  <c r="AC227" i="5" s="1"/>
  <c r="J227" i="6" s="1" a="1"/>
  <c r="J227" i="6" s="1"/>
  <c r="F227" i="6"/>
  <c r="E227" i="12"/>
  <c r="F141" i="12" a="1"/>
  <c r="F141" i="12" s="1"/>
  <c r="G141" i="6"/>
  <c r="F186" i="12" a="1"/>
  <c r="F186" i="12" s="1"/>
  <c r="G186" i="6"/>
  <c r="F113" i="12" a="1"/>
  <c r="F113" i="12" s="1"/>
  <c r="G113" i="6"/>
  <c r="AC33" i="5" a="1"/>
  <c r="AC33" i="5" s="1"/>
  <c r="J33" i="6" s="1" a="1"/>
  <c r="J33" i="6" s="1"/>
  <c r="E33" i="12"/>
  <c r="F33" i="6"/>
  <c r="E91" i="12"/>
  <c r="F91" i="6"/>
  <c r="AC91" i="5" a="1"/>
  <c r="AC91" i="5" s="1"/>
  <c r="J91" i="6" s="1" a="1"/>
  <c r="J91" i="6" s="1"/>
  <c r="F229" i="12" a="1"/>
  <c r="F229" i="12" s="1"/>
  <c r="G229" i="6"/>
  <c r="E121" i="12"/>
  <c r="AC121" i="5" a="1"/>
  <c r="AC121" i="5" s="1"/>
  <c r="J121" i="6" s="1" a="1"/>
  <c r="J121" i="6" s="1"/>
  <c r="F121" i="6"/>
  <c r="E62" i="12"/>
  <c r="AC62" i="5" a="1"/>
  <c r="AC62" i="5" s="1"/>
  <c r="J62" i="6" s="1" a="1"/>
  <c r="J62" i="6" s="1"/>
  <c r="F62" i="6"/>
  <c r="F136" i="6"/>
  <c r="E136" i="12"/>
  <c r="AC136" i="5" a="1"/>
  <c r="AC136" i="5" s="1"/>
  <c r="J136" i="6" s="1" a="1"/>
  <c r="J136" i="6" s="1"/>
  <c r="F115" i="12" a="1"/>
  <c r="F115" i="12" s="1"/>
  <c r="G115" i="6"/>
  <c r="G217" i="6"/>
  <c r="F217" i="12" a="1"/>
  <c r="F217" i="12" s="1"/>
  <c r="G166" i="6"/>
  <c r="F166" i="12" a="1"/>
  <c r="F166" i="12" s="1"/>
  <c r="F98" i="12" a="1"/>
  <c r="F98" i="12" s="1"/>
  <c r="G98" i="6"/>
  <c r="F65" i="12" a="1"/>
  <c r="F65" i="12" s="1"/>
  <c r="G65" i="6"/>
  <c r="G27" i="6"/>
  <c r="F27" i="12" a="1"/>
  <c r="F27" i="12" s="1"/>
  <c r="E205" i="12"/>
  <c r="F205" i="6"/>
  <c r="AC205" i="5" a="1"/>
  <c r="AC205" i="5" s="1"/>
  <c r="J205" i="6" s="1" a="1"/>
  <c r="J205" i="6" s="1"/>
  <c r="F139" i="12" a="1"/>
  <c r="F139" i="12" s="1"/>
  <c r="G139" i="6"/>
  <c r="G77" i="6"/>
  <c r="F77" i="12" a="1"/>
  <c r="F77" i="12" s="1"/>
  <c r="F191" i="12" a="1"/>
  <c r="F191" i="12" s="1"/>
  <c r="G191" i="6"/>
  <c r="G104" i="6"/>
  <c r="F104" i="12" a="1"/>
  <c r="F104" i="12" s="1"/>
  <c r="AC142" i="5" a="1"/>
  <c r="AC142" i="5" s="1"/>
  <c r="J142" i="6" s="1" a="1"/>
  <c r="J142" i="6" s="1"/>
  <c r="E142" i="12"/>
  <c r="F142" i="6"/>
  <c r="F210" i="6"/>
  <c r="AC210" i="5" a="1"/>
  <c r="AC210" i="5" s="1"/>
  <c r="J210" i="6" s="1" a="1"/>
  <c r="J210" i="6" s="1"/>
  <c r="E210" i="12"/>
  <c r="AC159" i="5" a="1"/>
  <c r="AC159" i="5" s="1"/>
  <c r="J159" i="6" s="1" a="1"/>
  <c r="J159" i="6" s="1"/>
  <c r="E159" i="12"/>
  <c r="F159" i="6"/>
  <c r="AC178" i="5" a="1"/>
  <c r="AC178" i="5" s="1"/>
  <c r="J178" i="6" s="1" a="1"/>
  <c r="J178" i="6" s="1"/>
  <c r="E178" i="12"/>
  <c r="F178" i="6"/>
  <c r="F117" i="12" a="1"/>
  <c r="F117" i="12" s="1"/>
  <c r="G117" i="6"/>
  <c r="E157" i="12"/>
  <c r="F157" i="6"/>
  <c r="AC157" i="5" a="1"/>
  <c r="AC157" i="5" s="1"/>
  <c r="J157" i="6" s="1" a="1"/>
  <c r="J157" i="6" s="1"/>
  <c r="AC153" i="5" a="1"/>
  <c r="AC153" i="5" s="1"/>
  <c r="J153" i="6" s="1" a="1"/>
  <c r="J153" i="6" s="1"/>
  <c r="E153" i="12"/>
  <c r="F153" i="6"/>
  <c r="AC131" i="5" a="1"/>
  <c r="AC131" i="5" s="1"/>
  <c r="J131" i="6" s="1" a="1"/>
  <c r="J131" i="6" s="1"/>
  <c r="F131" i="6"/>
  <c r="E131" i="12"/>
  <c r="G94" i="6"/>
  <c r="F94" i="12" a="1"/>
  <c r="F94" i="12" s="1"/>
  <c r="F163" i="12" a="1"/>
  <c r="F163" i="12" s="1"/>
  <c r="G163" i="6"/>
  <c r="G232" i="6"/>
  <c r="F232" i="12" a="1"/>
  <c r="F232" i="12" s="1"/>
  <c r="F95" i="12" a="1"/>
  <c r="F95" i="12" s="1"/>
  <c r="G95" i="6"/>
  <c r="F140" i="6"/>
  <c r="E140" i="12"/>
  <c r="AC140" i="5" a="1"/>
  <c r="AC140" i="5" s="1"/>
  <c r="J140" i="6" s="1" a="1"/>
  <c r="J140" i="6" s="1"/>
  <c r="F52" i="6"/>
  <c r="AC52" i="5" a="1"/>
  <c r="AC52" i="5" s="1"/>
  <c r="J52" i="6" s="1" a="1"/>
  <c r="J52" i="6" s="1"/>
  <c r="E52" i="12"/>
  <c r="F202" i="6"/>
  <c r="AC202" i="5" a="1"/>
  <c r="AC202" i="5" s="1"/>
  <c r="J202" i="6" s="1" a="1"/>
  <c r="J202" i="6" s="1"/>
  <c r="E202" i="12"/>
  <c r="AC88" i="5" a="1"/>
  <c r="AC88" i="5" s="1"/>
  <c r="J88" i="6" s="1" a="1"/>
  <c r="J88" i="6" s="1"/>
  <c r="E88" i="12"/>
  <c r="F88" i="6"/>
  <c r="G180" i="6"/>
  <c r="F180" i="12" a="1"/>
  <c r="F180" i="12" s="1"/>
  <c r="F50" i="12" a="1"/>
  <c r="F50" i="12" s="1"/>
  <c r="G50" i="6"/>
  <c r="F128" i="12" a="1"/>
  <c r="F128" i="12" s="1"/>
  <c r="G128" i="6"/>
  <c r="G64" i="6"/>
  <c r="F64" i="12" a="1"/>
  <c r="F64" i="12" s="1"/>
  <c r="G63" i="6"/>
  <c r="F63" i="12" a="1"/>
  <c r="F63" i="12" s="1"/>
  <c r="E161" i="12"/>
  <c r="AC161" i="5" a="1"/>
  <c r="AC161" i="5" s="1"/>
  <c r="J161" i="6" s="1" a="1"/>
  <c r="J161" i="6" s="1"/>
  <c r="F161" i="6"/>
  <c r="F211" i="6"/>
  <c r="E211" i="12"/>
  <c r="AC211" i="5" a="1"/>
  <c r="AC211" i="5" s="1"/>
  <c r="J211" i="6" s="1" a="1"/>
  <c r="J211" i="6" s="1"/>
  <c r="E141" i="12"/>
  <c r="F141" i="6"/>
  <c r="AC141" i="5" a="1"/>
  <c r="AC141" i="5" s="1"/>
  <c r="J141" i="6" s="1" a="1"/>
  <c r="J141" i="6" s="1"/>
  <c r="G151" i="6"/>
  <c r="F151" i="12" a="1"/>
  <c r="F151" i="12" s="1"/>
  <c r="F56" i="12" a="1"/>
  <c r="F56" i="12" s="1"/>
  <c r="G56" i="6"/>
  <c r="G21" i="6"/>
  <c r="F21" i="12" a="1"/>
  <c r="F21" i="12" s="1"/>
  <c r="AC27" i="5" a="1"/>
  <c r="AC27" i="5" s="1"/>
  <c r="J27" i="6" s="1" a="1"/>
  <c r="J27" i="6" s="1"/>
  <c r="E27" i="12"/>
  <c r="F27" i="6"/>
  <c r="F72" i="6"/>
  <c r="AC72" i="5" a="1"/>
  <c r="AC72" i="5" s="1"/>
  <c r="J72" i="6" s="1" a="1"/>
  <c r="J72" i="6" s="1"/>
  <c r="E72" i="12"/>
  <c r="AC188" i="5" a="1"/>
  <c r="AC188" i="5" s="1"/>
  <c r="J188" i="6" s="1" a="1"/>
  <c r="J188" i="6" s="1"/>
  <c r="F188" i="6"/>
  <c r="E188" i="12"/>
  <c r="F124" i="6"/>
  <c r="E124" i="12"/>
  <c r="AC124" i="5" a="1"/>
  <c r="AC124" i="5" s="1"/>
  <c r="J124" i="6" s="1" a="1"/>
  <c r="J124" i="6" s="1"/>
  <c r="E132" i="12"/>
  <c r="AC132" i="5" a="1"/>
  <c r="AC132" i="5" s="1"/>
  <c r="J132" i="6" s="1" a="1"/>
  <c r="J132" i="6" s="1"/>
  <c r="F132" i="6"/>
  <c r="AC127" i="5" a="1"/>
  <c r="AC127" i="5" s="1"/>
  <c r="J127" i="6" s="1" a="1"/>
  <c r="J127" i="6" s="1"/>
  <c r="F127" i="6"/>
  <c r="E127" i="12"/>
  <c r="G26" i="6"/>
  <c r="F26" i="12" a="1"/>
  <c r="F26" i="12" s="1"/>
  <c r="E195" i="12"/>
  <c r="F195" i="6"/>
  <c r="AC195" i="5" a="1"/>
  <c r="AC195" i="5" s="1"/>
  <c r="J195" i="6" s="1" a="1"/>
  <c r="J195" i="6" s="1"/>
  <c r="AC110" i="5" a="1"/>
  <c r="AC110" i="5" s="1"/>
  <c r="J110" i="6" s="1" a="1"/>
  <c r="J110" i="6" s="1"/>
  <c r="F110" i="6"/>
  <c r="E110" i="12"/>
  <c r="F198" i="12" a="1"/>
  <c r="F198" i="12" s="1"/>
  <c r="G198" i="6"/>
  <c r="F80" i="12" a="1"/>
  <c r="F80" i="12" s="1"/>
  <c r="G80" i="6"/>
  <c r="F219" i="12" a="1"/>
  <c r="F219" i="12" s="1"/>
  <c r="G219" i="6"/>
  <c r="G156" i="6"/>
  <c r="F156" i="12" a="1"/>
  <c r="F156" i="12" s="1"/>
  <c r="AC77" i="5" a="1"/>
  <c r="AC77" i="5" s="1"/>
  <c r="J77" i="6" s="1" a="1"/>
  <c r="J77" i="6" s="1"/>
  <c r="F77" i="6"/>
  <c r="E77" i="12"/>
  <c r="F151" i="6"/>
  <c r="AC151" i="5" a="1"/>
  <c r="AC151" i="5" s="1"/>
  <c r="J151" i="6" s="1" a="1"/>
  <c r="J151" i="6" s="1"/>
  <c r="E151" i="12"/>
  <c r="E108" i="12"/>
  <c r="F108" i="6"/>
  <c r="AC108" i="5" a="1"/>
  <c r="AC108" i="5" s="1"/>
  <c r="J108" i="6" s="1" a="1"/>
  <c r="J108" i="6" s="1"/>
  <c r="F108" i="12" a="1"/>
  <c r="F108" i="12" s="1"/>
  <c r="G108" i="6"/>
  <c r="E146" i="12"/>
  <c r="AC146" i="5" a="1"/>
  <c r="AC146" i="5" s="1"/>
  <c r="J146" i="6" s="1" a="1"/>
  <c r="J146" i="6" s="1"/>
  <c r="F146" i="6"/>
  <c r="G177" i="6"/>
  <c r="F177" i="12" a="1"/>
  <c r="F177" i="12" s="1"/>
  <c r="G123" i="6"/>
  <c r="F123" i="12" a="1"/>
  <c r="F123" i="12" s="1"/>
  <c r="AC92" i="5" a="1"/>
  <c r="AC92" i="5" s="1"/>
  <c r="J92" i="6" s="1" a="1"/>
  <c r="J92" i="6" s="1"/>
  <c r="E92" i="12"/>
  <c r="F92" i="6"/>
  <c r="G212" i="6"/>
  <c r="F212" i="12" a="1"/>
  <c r="F212" i="12" s="1"/>
  <c r="G184" i="6"/>
  <c r="F184" i="12" a="1"/>
  <c r="F184" i="12" s="1"/>
  <c r="E81" i="12"/>
  <c r="F81" i="6"/>
  <c r="AC81" i="5" a="1"/>
  <c r="AC81" i="5" s="1"/>
  <c r="J81" i="6" s="1" a="1"/>
  <c r="J81" i="6" s="1"/>
  <c r="G40" i="6"/>
  <c r="F40" i="12" a="1"/>
  <c r="F40" i="12" s="1"/>
  <c r="G194" i="6"/>
  <c r="F194" i="12" a="1"/>
  <c r="F194" i="12" s="1"/>
  <c r="E18" i="12"/>
  <c r="AC18" i="5" a="1"/>
  <c r="AC18" i="5" s="1"/>
  <c r="F18" i="6"/>
  <c r="AC53" i="5" a="1"/>
  <c r="AC53" i="5" s="1"/>
  <c r="J53" i="6" s="1" a="1"/>
  <c r="J53" i="6" s="1"/>
  <c r="F53" i="6"/>
  <c r="E53" i="12"/>
  <c r="F216" i="12" a="1"/>
  <c r="F216" i="12" s="1"/>
  <c r="G216" i="6"/>
  <c r="F133" i="6"/>
  <c r="AC133" i="5" a="1"/>
  <c r="AC133" i="5" s="1"/>
  <c r="J133" i="6" s="1" a="1"/>
  <c r="J133" i="6" s="1"/>
  <c r="E133" i="12"/>
  <c r="E198" i="12"/>
  <c r="F198" i="6"/>
  <c r="AC198" i="5" a="1"/>
  <c r="AC198" i="5" s="1"/>
  <c r="J198" i="6" s="1" a="1"/>
  <c r="J198" i="6" s="1"/>
  <c r="F60" i="6"/>
  <c r="E60" i="12"/>
  <c r="AC60" i="5" a="1"/>
  <c r="AC60" i="5" s="1"/>
  <c r="J60" i="6" s="1" a="1"/>
  <c r="J60" i="6" s="1"/>
  <c r="G147" i="6"/>
  <c r="F147" i="12" a="1"/>
  <c r="F147" i="12" s="1"/>
  <c r="F130" i="12" a="1"/>
  <c r="F130" i="12" s="1"/>
  <c r="G130" i="6"/>
  <c r="F212" i="6"/>
  <c r="AC212" i="5" a="1"/>
  <c r="AC212" i="5" s="1"/>
  <c r="J212" i="6" s="1" a="1"/>
  <c r="J212" i="6" s="1"/>
  <c r="E212" i="12"/>
  <c r="F149" i="6"/>
  <c r="E149" i="12"/>
  <c r="AC149" i="5" a="1"/>
  <c r="AC149" i="5" s="1"/>
  <c r="J149" i="6" s="1" a="1"/>
  <c r="J149" i="6" s="1"/>
  <c r="E184" i="12"/>
  <c r="AC184" i="5" a="1"/>
  <c r="AC184" i="5" s="1"/>
  <c r="J184" i="6" s="1" a="1"/>
  <c r="J184" i="6" s="1"/>
  <c r="F184" i="6"/>
  <c r="AC82" i="5" a="1"/>
  <c r="AC82" i="5" s="1"/>
  <c r="J82" i="6" s="1" a="1"/>
  <c r="J82" i="6" s="1"/>
  <c r="E82" i="12"/>
  <c r="F82" i="6"/>
  <c r="F207" i="12" a="1"/>
  <c r="F207" i="12" s="1"/>
  <c r="G207" i="6"/>
  <c r="AC165" i="5" a="1"/>
  <c r="AC165" i="5" s="1"/>
  <c r="J165" i="6" s="1" a="1"/>
  <c r="J165" i="6" s="1"/>
  <c r="E165" i="12"/>
  <c r="F165" i="6"/>
  <c r="F158" i="6"/>
  <c r="AC158" i="5" a="1"/>
  <c r="AC158" i="5" s="1"/>
  <c r="J158" i="6" s="1" a="1"/>
  <c r="J158" i="6" s="1"/>
  <c r="E158" i="12"/>
  <c r="F157" i="12" a="1"/>
  <c r="F157" i="12" s="1"/>
  <c r="G157" i="6"/>
  <c r="F131" i="12" a="1"/>
  <c r="F131" i="12" s="1"/>
  <c r="G131" i="6"/>
  <c r="E148" i="12"/>
  <c r="F148" i="6"/>
  <c r="AC148" i="5" a="1"/>
  <c r="AC148" i="5" s="1"/>
  <c r="J148" i="6" s="1" a="1"/>
  <c r="J148" i="6" s="1"/>
  <c r="F34" i="12" a="1"/>
  <c r="F34" i="12" s="1"/>
  <c r="G34" i="6"/>
  <c r="E49" i="12"/>
  <c r="F49" i="6"/>
  <c r="F45" i="12" a="1"/>
  <c r="F45" i="12" s="1"/>
  <c r="G45" i="6"/>
  <c r="G220" i="6"/>
  <c r="F220" i="12" a="1"/>
  <c r="F220" i="12" s="1"/>
  <c r="E20" i="12"/>
  <c r="AC20" i="5" a="1"/>
  <c r="AC20" i="5" s="1"/>
  <c r="J20" i="6" s="1" a="1"/>
  <c r="J20" i="6" s="1"/>
  <c r="F20" i="6"/>
  <c r="G199" i="6"/>
  <c r="F199" i="12" a="1"/>
  <c r="F199" i="12" s="1"/>
  <c r="AC221" i="5" a="1"/>
  <c r="AC221" i="5" s="1"/>
  <c r="J221" i="6" s="1" a="1"/>
  <c r="J221" i="6" s="1"/>
  <c r="E221" i="12"/>
  <c r="F221" i="6"/>
  <c r="AC107" i="5" a="1"/>
  <c r="AC107" i="5" s="1"/>
  <c r="J107" i="6" s="1" a="1"/>
  <c r="J107" i="6" s="1"/>
  <c r="F107" i="6"/>
  <c r="E107" i="12"/>
  <c r="F32" i="12" a="1"/>
  <c r="F32" i="12" s="1"/>
  <c r="G32" i="6"/>
  <c r="G75" i="6"/>
  <c r="F75" i="12" a="1"/>
  <c r="F75" i="12" s="1"/>
  <c r="G88" i="6"/>
  <c r="F88" i="12" a="1"/>
  <c r="F88" i="12" s="1"/>
  <c r="G182" i="6"/>
  <c r="F182" i="12" a="1"/>
  <c r="F182" i="12" s="1"/>
  <c r="G124" i="6"/>
  <c r="F124" i="12" a="1"/>
  <c r="F124" i="12" s="1"/>
  <c r="F36" i="6"/>
  <c r="E36" i="12"/>
  <c r="AC36" i="5" a="1"/>
  <c r="AC36" i="5" s="1"/>
  <c r="J36" i="6" s="1" a="1"/>
  <c r="J36" i="6" s="1"/>
  <c r="E30" i="12"/>
  <c r="F30" i="6"/>
  <c r="F136" i="12" a="1"/>
  <c r="F136" i="12" s="1"/>
  <c r="G136" i="6"/>
  <c r="F92" i="12" a="1"/>
  <c r="F92" i="12" s="1"/>
  <c r="G92" i="6"/>
  <c r="AC19" i="5" a="1"/>
  <c r="AC19" i="5" s="1"/>
  <c r="J19" i="6" s="1" a="1"/>
  <c r="J19" i="6" s="1"/>
  <c r="E19" i="12"/>
  <c r="F19" i="6"/>
  <c r="F104" i="6"/>
  <c r="AC104" i="5" a="1"/>
  <c r="AC104" i="5" s="1"/>
  <c r="J104" i="6" s="1" a="1"/>
  <c r="J104" i="6" s="1"/>
  <c r="E104" i="12"/>
  <c r="G227" i="6"/>
  <c r="F227" i="12" a="1"/>
  <c r="F227" i="12" s="1"/>
  <c r="F123" i="6"/>
  <c r="AC123" i="5" a="1"/>
  <c r="AC123" i="5" s="1"/>
  <c r="J123" i="6" s="1" a="1"/>
  <c r="J123" i="6" s="1"/>
  <c r="E123" i="12"/>
  <c r="G206" i="6"/>
  <c r="F206" i="12" a="1"/>
  <c r="F206" i="12" s="1"/>
  <c r="F100" i="12" a="1"/>
  <c r="F100" i="12" s="1"/>
  <c r="G100" i="6"/>
  <c r="AC147" i="5" a="1"/>
  <c r="AC147" i="5" s="1"/>
  <c r="J147" i="6" s="1" a="1"/>
  <c r="J147" i="6" s="1"/>
  <c r="F147" i="6"/>
  <c r="E147" i="12"/>
  <c r="F143" i="12" a="1"/>
  <c r="F143" i="12" s="1"/>
  <c r="G143" i="6"/>
  <c r="F233" i="12" a="1"/>
  <c r="F233" i="12" s="1"/>
  <c r="G233" i="6"/>
  <c r="F118" i="12" a="1"/>
  <c r="F118" i="12" s="1"/>
  <c r="G118" i="6"/>
  <c r="G91" i="6"/>
  <c r="F91" i="12" a="1"/>
  <c r="F91" i="12" s="1"/>
  <c r="AC25" i="5" a="1"/>
  <c r="AC25" i="5" s="1"/>
  <c r="J25" i="6" s="1" a="1"/>
  <c r="J25" i="6" s="1"/>
  <c r="F25" i="6"/>
  <c r="E25" i="12"/>
  <c r="G90" i="6"/>
  <c r="F90" i="12" a="1"/>
  <c r="F90" i="12" s="1"/>
  <c r="G187" i="6"/>
  <c r="F187" i="12" a="1"/>
  <c r="F187" i="12" s="1"/>
  <c r="F49" i="12" a="1"/>
  <c r="F49" i="12" s="1"/>
  <c r="G49" i="6"/>
  <c r="E59" i="12"/>
  <c r="F59" i="6"/>
  <c r="AC59" i="5" a="1"/>
  <c r="AC59" i="5" s="1"/>
  <c r="J59" i="6" s="1" a="1"/>
  <c r="J59" i="6" s="1"/>
  <c r="AC183" i="5" a="1"/>
  <c r="AC183" i="5" s="1"/>
  <c r="J183" i="6" s="1" a="1"/>
  <c r="J183" i="6" s="1"/>
  <c r="F183" i="6"/>
  <c r="E183" i="12"/>
  <c r="AC38" i="5" a="1"/>
  <c r="AC38" i="5" s="1"/>
  <c r="J38" i="6" s="1" a="1"/>
  <c r="J38" i="6" s="1"/>
  <c r="E38" i="12"/>
  <c r="F38" i="6"/>
  <c r="F119" i="12" a="1"/>
  <c r="F119" i="12" s="1"/>
  <c r="G119" i="6"/>
  <c r="F48" i="6"/>
  <c r="AC48" i="5" a="1"/>
  <c r="AC48" i="5" s="1"/>
  <c r="J48" i="6" s="1" a="1"/>
  <c r="J48" i="6" s="1"/>
  <c r="E48" i="12"/>
  <c r="F228" i="6"/>
  <c r="E228" i="12"/>
  <c r="AC228" i="5" a="1"/>
  <c r="AC228" i="5" s="1"/>
  <c r="J228" i="6" s="1" a="1"/>
  <c r="J228" i="6" s="1"/>
  <c r="AC126" i="5" a="1"/>
  <c r="AC126" i="5" s="1"/>
  <c r="J126" i="6" s="1" a="1"/>
  <c r="J126" i="6" s="1"/>
  <c r="E126" i="12"/>
  <c r="F126" i="6"/>
  <c r="AC47" i="5" a="1"/>
  <c r="AC47" i="5" s="1"/>
  <c r="J47" i="6" s="1" a="1"/>
  <c r="J47" i="6" s="1"/>
  <c r="F47" i="6"/>
  <c r="E47" i="12"/>
  <c r="G230" i="6"/>
  <c r="F230" i="12" a="1"/>
  <c r="F230" i="12" s="1"/>
  <c r="AC220" i="5" a="1"/>
  <c r="AC220" i="5" s="1"/>
  <c r="J220" i="6" s="1" a="1"/>
  <c r="J220" i="6" s="1"/>
  <c r="F220" i="6"/>
  <c r="E220" i="12"/>
  <c r="E102" i="12"/>
  <c r="F102" i="6"/>
  <c r="AC102" i="5" a="1"/>
  <c r="AC102" i="5" s="1"/>
  <c r="J102" i="6" s="1" a="1"/>
  <c r="J102" i="6" s="1"/>
  <c r="G142" i="6"/>
  <c r="F142" i="12" a="1"/>
  <c r="F142" i="12" s="1"/>
  <c r="F34" i="6"/>
  <c r="AC34" i="5" a="1"/>
  <c r="AC34" i="5" s="1"/>
  <c r="J34" i="6" s="1" a="1"/>
  <c r="J34" i="6" s="1"/>
  <c r="E34" i="12"/>
  <c r="E45" i="12"/>
  <c r="AC45" i="5" a="1"/>
  <c r="AC45" i="5" s="1"/>
  <c r="J45" i="6" s="1" a="1"/>
  <c r="J45" i="6" s="1"/>
  <c r="F45" i="6"/>
  <c r="F140" i="12" a="1"/>
  <c r="F140" i="12" s="1"/>
  <c r="G140" i="6"/>
  <c r="AC118" i="5" a="1"/>
  <c r="AC118" i="5" s="1"/>
  <c r="J118" i="6" s="1" a="1"/>
  <c r="J118" i="6" s="1"/>
  <c r="E118" i="12"/>
  <c r="F118" i="6"/>
  <c r="E168" i="12"/>
  <c r="F168" i="6"/>
  <c r="AC168" i="5" a="1"/>
  <c r="AC168" i="5" s="1"/>
  <c r="J168" i="6" s="1" a="1"/>
  <c r="J168" i="6" s="1"/>
  <c r="F167" i="6"/>
  <c r="E167" i="12"/>
  <c r="AC167" i="5" a="1"/>
  <c r="AC167" i="5" s="1"/>
  <c r="J167" i="6" s="1" a="1"/>
  <c r="J167" i="6" s="1"/>
  <c r="G97" i="6"/>
  <c r="F97" i="12" a="1"/>
  <c r="F97" i="12" s="1"/>
  <c r="F204" i="6"/>
  <c r="E204" i="12"/>
  <c r="AC204" i="5" a="1"/>
  <c r="AC204" i="5" s="1"/>
  <c r="J204" i="6" s="1" a="1"/>
  <c r="J204" i="6" s="1"/>
  <c r="F40" i="6"/>
  <c r="E40" i="12"/>
  <c r="G154" i="6"/>
  <c r="F154" i="12" a="1"/>
  <c r="F154" i="12" s="1"/>
  <c r="F191" i="6"/>
  <c r="E191" i="12"/>
  <c r="AC191" i="5" a="1"/>
  <c r="AC191" i="5" s="1"/>
  <c r="J191" i="6" s="1" a="1"/>
  <c r="J191" i="6" s="1"/>
  <c r="E115" i="12"/>
  <c r="AC115" i="5" a="1"/>
  <c r="AC115" i="5" s="1"/>
  <c r="J115" i="6" s="1" a="1"/>
  <c r="J115" i="6" s="1"/>
  <c r="F115" i="6"/>
  <c r="F179" i="12" a="1"/>
  <c r="F179" i="12" s="1"/>
  <c r="G179" i="6"/>
  <c r="AC98" i="5" a="1"/>
  <c r="AC98" i="5" s="1"/>
  <c r="J98" i="6" s="1" a="1"/>
  <c r="J98" i="6" s="1"/>
  <c r="E98" i="12"/>
  <c r="F98" i="6"/>
  <c r="E65" i="12"/>
  <c r="F65" i="6"/>
  <c r="G159" i="6"/>
  <c r="F159" i="12" a="1"/>
  <c r="F159" i="12" s="1"/>
  <c r="AC75" i="5" a="1"/>
  <c r="AC75" i="5" s="1"/>
  <c r="J75" i="6" s="1" a="1"/>
  <c r="J75" i="6" s="1"/>
  <c r="F75" i="6"/>
  <c r="E75" i="12"/>
  <c r="F127" i="12" a="1"/>
  <c r="F127" i="12" s="1"/>
  <c r="G127" i="6"/>
  <c r="F89" i="6"/>
  <c r="AC89" i="5" a="1"/>
  <c r="AC89" i="5" s="1"/>
  <c r="J89" i="6" s="1" a="1"/>
  <c r="J89" i="6" s="1"/>
  <c r="E89" i="12"/>
  <c r="E105" i="12"/>
  <c r="F105" i="6"/>
  <c r="AC105" i="5" a="1"/>
  <c r="AC105" i="5" s="1"/>
  <c r="J105" i="6" s="1" a="1"/>
  <c r="J105" i="6" s="1"/>
  <c r="E111" i="12"/>
  <c r="F111" i="6"/>
  <c r="AC111" i="5" a="1"/>
  <c r="AC111" i="5" s="1"/>
  <c r="J111" i="6" s="1" a="1"/>
  <c r="J111" i="6" s="1"/>
  <c r="F208" i="12" a="1"/>
  <c r="F208" i="12" s="1"/>
  <c r="G208" i="6"/>
  <c r="E67" i="12"/>
  <c r="F67" i="6"/>
  <c r="AC67" i="5" a="1"/>
  <c r="AC67" i="5" s="1"/>
  <c r="J67" i="6" s="1" a="1"/>
  <c r="J67" i="6" s="1"/>
  <c r="G44" i="6"/>
  <c r="F44" i="12" a="1"/>
  <c r="F44" i="12" s="1"/>
  <c r="F210" i="12" a="1"/>
  <c r="F210" i="12" s="1"/>
  <c r="G210" i="6"/>
  <c r="F178" i="12" a="1"/>
  <c r="F178" i="12" s="1"/>
  <c r="G178" i="6"/>
  <c r="F61" i="12" a="1"/>
  <c r="F61" i="12" s="1"/>
  <c r="G61" i="6"/>
  <c r="G189" i="6"/>
  <c r="F189" i="12" a="1"/>
  <c r="F189" i="12" s="1"/>
  <c r="G25" i="6"/>
  <c r="F25" i="12" a="1"/>
  <c r="F25" i="12" s="1"/>
  <c r="G200" i="6"/>
  <c r="F200" i="12" a="1"/>
  <c r="F200" i="12" s="1"/>
  <c r="E94" i="12"/>
  <c r="F94" i="6"/>
  <c r="AC94" i="5" a="1"/>
  <c r="AC94" i="5" s="1"/>
  <c r="J94" i="6" s="1" a="1"/>
  <c r="J94" i="6" s="1"/>
  <c r="F57" i="12" a="1"/>
  <c r="F57" i="12" s="1"/>
  <c r="G57" i="6"/>
  <c r="G28" i="6"/>
  <c r="F28" i="12" a="1"/>
  <c r="F28" i="12" s="1"/>
  <c r="E217" i="12"/>
  <c r="AC217" i="5" a="1"/>
  <c r="AC217" i="5" s="1"/>
  <c r="J217" i="6" s="1" a="1"/>
  <c r="J217" i="6" s="1"/>
  <c r="F217" i="6"/>
  <c r="F116" i="12" a="1"/>
  <c r="F116" i="12" s="1"/>
  <c r="G116" i="6"/>
  <c r="AC233" i="5" a="1"/>
  <c r="AC233" i="5" s="1"/>
  <c r="J233" i="6" s="1" a="1"/>
  <c r="J233" i="6" s="1"/>
  <c r="F233" i="6"/>
  <c r="E233" i="12"/>
  <c r="F35" i="12" a="1"/>
  <c r="F35" i="12" s="1"/>
  <c r="G35" i="6"/>
  <c r="E219" i="12"/>
  <c r="F219" i="6"/>
  <c r="AC219" i="5" a="1"/>
  <c r="AC219" i="5" s="1"/>
  <c r="J219" i="6" s="1" a="1"/>
  <c r="J219" i="6" s="1"/>
  <c r="F74" i="12" a="1"/>
  <c r="F74" i="12" s="1"/>
  <c r="G74" i="6"/>
  <c r="G20" i="6"/>
  <c r="F20" i="12" a="1"/>
  <c r="F20" i="12" s="1"/>
  <c r="G79" i="6"/>
  <c r="F79" i="12" a="1"/>
  <c r="F79" i="12" s="1"/>
  <c r="AC120" i="5" a="1"/>
  <c r="AC120" i="5" s="1"/>
  <c r="J120" i="6" s="1" a="1"/>
  <c r="J120" i="6" s="1"/>
  <c r="E120" i="12"/>
  <c r="F120" i="6"/>
  <c r="G85" i="6"/>
  <c r="F85" i="12" a="1"/>
  <c r="F85" i="12" s="1"/>
  <c r="G155" i="6"/>
  <c r="F155" i="12" a="1"/>
  <c r="F155" i="12" s="1"/>
  <c r="AC32" i="5" a="1"/>
  <c r="AC32" i="5" s="1"/>
  <c r="J32" i="6" s="1" a="1"/>
  <c r="J32" i="6" s="1"/>
  <c r="F32" i="6"/>
  <c r="E32" i="12"/>
  <c r="AC193" i="5" a="1"/>
  <c r="AC193" i="5" s="1"/>
  <c r="J193" i="6" s="1" a="1"/>
  <c r="J193" i="6" s="1"/>
  <c r="F193" i="6"/>
  <c r="E193" i="12"/>
  <c r="E43" i="12"/>
  <c r="F43" i="6"/>
  <c r="AC43" i="5" a="1"/>
  <c r="AC43" i="5" s="1"/>
  <c r="J43" i="6" s="1" a="1"/>
  <c r="J43" i="6" s="1"/>
  <c r="G47" i="6"/>
  <c r="F47" i="12" a="1"/>
  <c r="F47" i="12" s="1"/>
  <c r="E58" i="12"/>
  <c r="AC58" i="5" a="1"/>
  <c r="AC58" i="5" s="1"/>
  <c r="J58" i="6" s="1" a="1"/>
  <c r="J58" i="6" s="1"/>
  <c r="F58" i="6"/>
  <c r="AC216" i="5" a="1"/>
  <c r="AC216" i="5" s="1"/>
  <c r="J216" i="6" s="1" a="1"/>
  <c r="J216" i="6" s="1"/>
  <c r="E216" i="12"/>
  <c r="F216" i="6"/>
  <c r="AC223" i="5" a="1"/>
  <c r="AC223" i="5" s="1"/>
  <c r="J223" i="6" s="1" a="1"/>
  <c r="J223" i="6" s="1"/>
  <c r="E223" i="12"/>
  <c r="F223" i="6"/>
  <c r="AC100" i="5" a="1"/>
  <c r="AC100" i="5" s="1"/>
  <c r="J100" i="6" s="1" a="1"/>
  <c r="J100" i="6" s="1"/>
  <c r="F100" i="6"/>
  <c r="E100" i="12"/>
  <c r="G60" i="6"/>
  <c r="F60" i="12" a="1"/>
  <c r="F60" i="12" s="1"/>
  <c r="F221" i="12" a="1"/>
  <c r="F221" i="12" s="1"/>
  <c r="G221" i="6"/>
  <c r="F144" i="12" a="1"/>
  <c r="F144" i="12" s="1"/>
  <c r="G144" i="6"/>
  <c r="F176" i="12" a="1"/>
  <c r="F176" i="12" s="1"/>
  <c r="G176" i="6"/>
  <c r="E134" i="12"/>
  <c r="AC134" i="5" a="1"/>
  <c r="AC134" i="5" s="1"/>
  <c r="J134" i="6" s="1" a="1"/>
  <c r="J134" i="6" s="1"/>
  <c r="F134" i="6"/>
  <c r="F207" i="6"/>
  <c r="E207" i="12"/>
  <c r="AC207" i="5" a="1"/>
  <c r="AC207" i="5" s="1"/>
  <c r="J207" i="6" s="1" a="1"/>
  <c r="J207" i="6" s="1"/>
  <c r="G165" i="6"/>
  <c r="F165" i="12" a="1"/>
  <c r="F165" i="12" s="1"/>
  <c r="AC39" i="5" a="1"/>
  <c r="AC39" i="5" s="1"/>
  <c r="J39" i="6" s="1" a="1"/>
  <c r="J39" i="6" s="1"/>
  <c r="F39" i="6"/>
  <c r="E39" i="12"/>
  <c r="F73" i="12" a="1"/>
  <c r="F73" i="12" s="1"/>
  <c r="G73" i="6"/>
  <c r="F183" i="12" a="1"/>
  <c r="F183" i="12" s="1"/>
  <c r="G183" i="6"/>
  <c r="G38" i="6"/>
  <c r="F38" i="12" a="1"/>
  <c r="F38" i="12" s="1"/>
  <c r="F119" i="6"/>
  <c r="E119" i="12"/>
  <c r="AC119" i="5" a="1"/>
  <c r="AC119" i="5" s="1"/>
  <c r="J119" i="6" s="1" a="1"/>
  <c r="J119" i="6" s="1"/>
  <c r="F95" i="6"/>
  <c r="AC95" i="5" a="1"/>
  <c r="AC95" i="5" s="1"/>
  <c r="J95" i="6" s="1" a="1"/>
  <c r="J95" i="6" s="1"/>
  <c r="E95" i="12"/>
  <c r="F90" i="6"/>
  <c r="AC90" i="5" a="1"/>
  <c r="AC90" i="5" s="1"/>
  <c r="J90" i="6" s="1" a="1"/>
  <c r="J90" i="6" s="1"/>
  <c r="E90" i="12"/>
  <c r="G69" i="6"/>
  <c r="F69" i="12" a="1"/>
  <c r="F69" i="12" s="1"/>
  <c r="G161" i="6"/>
  <c r="F161" i="12" a="1"/>
  <c r="F161" i="12" s="1"/>
  <c r="E69" i="12"/>
  <c r="AC69" i="5" a="1"/>
  <c r="AC69" i="5" s="1"/>
  <c r="J69" i="6" s="1" a="1"/>
  <c r="J69" i="6" s="1"/>
  <c r="F69" i="6"/>
  <c r="E64" i="12"/>
  <c r="F64" i="6"/>
  <c r="E155" i="12"/>
  <c r="AC155" i="5" a="1"/>
  <c r="AC155" i="5" s="1"/>
  <c r="J155" i="6" s="1" a="1"/>
  <c r="J155" i="6" s="1"/>
  <c r="F155" i="6"/>
  <c r="AC214" i="5" a="1"/>
  <c r="AC214" i="5" s="1"/>
  <c r="J214" i="6" s="1" a="1"/>
  <c r="J214" i="6" s="1"/>
  <c r="E214" i="12"/>
  <c r="F214" i="6"/>
  <c r="G89" i="6"/>
  <c r="F89" i="12" a="1"/>
  <c r="F89" i="12" s="1"/>
  <c r="F138" i="6"/>
  <c r="E138" i="12"/>
  <c r="AC138" i="5" a="1"/>
  <c r="AC138" i="5" s="1"/>
  <c r="J138" i="6" s="1" a="1"/>
  <c r="J138" i="6" s="1"/>
  <c r="AC172" i="5" a="1"/>
  <c r="AC172" i="5" s="1"/>
  <c r="J172" i="6" s="1" a="1"/>
  <c r="J172" i="6" s="1"/>
  <c r="F172" i="6"/>
  <c r="E172" i="12"/>
  <c r="F173" i="12" a="1"/>
  <c r="F173" i="12" s="1"/>
  <c r="G173" i="6"/>
  <c r="G190" i="6"/>
  <c r="F190" i="12" a="1"/>
  <c r="F190" i="12" s="1"/>
  <c r="AC70" i="5" a="1"/>
  <c r="AC70" i="5" s="1"/>
  <c r="J70" i="6" s="1" a="1"/>
  <c r="J70" i="6" s="1"/>
  <c r="F70" i="6"/>
  <c r="E70" i="12"/>
  <c r="AC182" i="5" a="1"/>
  <c r="AC182" i="5" s="1"/>
  <c r="J182" i="6" s="1" a="1"/>
  <c r="J182" i="6" s="1"/>
  <c r="E182" i="12"/>
  <c r="F182" i="6"/>
  <c r="E203" i="12"/>
  <c r="AC203" i="5" a="1"/>
  <c r="AC203" i="5" s="1"/>
  <c r="J203" i="6" s="1" a="1"/>
  <c r="J203" i="6" s="1"/>
  <c r="F203" i="6"/>
  <c r="E80" i="12"/>
  <c r="AC80" i="5" a="1"/>
  <c r="AC80" i="5" s="1"/>
  <c r="J80" i="6" s="1" a="1"/>
  <c r="J80" i="6" s="1"/>
  <c r="F80" i="6"/>
  <c r="G41" i="6"/>
  <c r="F41" i="12" a="1"/>
  <c r="F41" i="12" s="1"/>
  <c r="F103" i="6"/>
  <c r="AC103" i="5" a="1"/>
  <c r="AC103" i="5" s="1"/>
  <c r="J103" i="6" s="1" a="1"/>
  <c r="J103" i="6" s="1"/>
  <c r="E103" i="12"/>
  <c r="F63" i="6"/>
  <c r="E63" i="12"/>
  <c r="AC63" i="5" a="1"/>
  <c r="AC63" i="5" s="1"/>
  <c r="J63" i="6" s="1" a="1"/>
  <c r="J63" i="6" s="1"/>
  <c r="G105" i="6"/>
  <c r="F105" i="12" a="1"/>
  <c r="F105" i="12" s="1"/>
  <c r="G54" i="6"/>
  <c r="F54" i="12" a="1"/>
  <c r="F54" i="12" s="1"/>
  <c r="F135" i="12" a="1"/>
  <c r="F135" i="12" s="1"/>
  <c r="G135" i="6"/>
  <c r="AC128" i="5" a="1"/>
  <c r="AC128" i="5" s="1"/>
  <c r="J128" i="6" s="1" a="1"/>
  <c r="J128" i="6" s="1"/>
  <c r="F128" i="6"/>
  <c r="E128" i="12"/>
  <c r="F44" i="6"/>
  <c r="AC44" i="5" a="1"/>
  <c r="AC44" i="5" s="1"/>
  <c r="J44" i="6" s="1" a="1"/>
  <c r="J44" i="6" s="1"/>
  <c r="E44" i="12"/>
  <c r="F133" i="12" a="1"/>
  <c r="F133" i="12" s="1"/>
  <c r="G133" i="6"/>
  <c r="G188" i="6"/>
  <c r="F188" i="12" a="1"/>
  <c r="F188" i="12" s="1"/>
  <c r="E145" i="12"/>
  <c r="F145" i="6"/>
  <c r="AC145" i="5" a="1"/>
  <c r="AC145" i="5" s="1"/>
  <c r="J145" i="6" s="1" a="1"/>
  <c r="J145" i="6" s="1"/>
  <c r="F231" i="12" a="1"/>
  <c r="F231" i="12" s="1"/>
  <c r="G231" i="6"/>
  <c r="F170" i="12" a="1"/>
  <c r="F170" i="12" s="1"/>
  <c r="G170" i="6"/>
  <c r="F37" i="6"/>
  <c r="E37" i="12"/>
  <c r="AC37" i="5" a="1"/>
  <c r="AC37" i="5" s="1"/>
  <c r="J37" i="6" s="1" a="1"/>
  <c r="J37" i="6" s="1"/>
  <c r="F200" i="6"/>
  <c r="AC200" i="5" a="1"/>
  <c r="AC200" i="5" s="1"/>
  <c r="J200" i="6" s="1" a="1"/>
  <c r="J200" i="6" s="1"/>
  <c r="E200" i="12"/>
  <c r="F57" i="6"/>
  <c r="E57" i="12"/>
  <c r="G39" i="6"/>
  <c r="F39" i="12" a="1"/>
  <c r="F39" i="12" s="1"/>
  <c r="F114" i="6"/>
  <c r="AC114" i="5" a="1"/>
  <c r="AC114" i="5" s="1"/>
  <c r="J114" i="6" s="1" a="1"/>
  <c r="J114" i="6" s="1"/>
  <c r="E114" i="12"/>
  <c r="E21" i="12"/>
  <c r="F21" i="6"/>
  <c r="AC21" i="5" a="1"/>
  <c r="AC21" i="5" s="1"/>
  <c r="J21" i="6" s="1" a="1"/>
  <c r="J21" i="6" s="1"/>
  <c r="F134" i="12" a="1"/>
  <c r="F134" i="12" s="1"/>
  <c r="G134" i="6"/>
  <c r="AC61" i="5" a="1"/>
  <c r="AC61" i="5" s="1"/>
  <c r="J61" i="6" s="1" a="1"/>
  <c r="J61" i="6" s="1"/>
  <c r="E61" i="12"/>
  <c r="F61" i="6"/>
  <c r="AC175" i="5" a="1"/>
  <c r="AC175" i="5" s="1"/>
  <c r="J175" i="6" s="1" a="1"/>
  <c r="J175" i="6" s="1"/>
  <c r="E175" i="12"/>
  <c r="F175" i="6"/>
  <c r="AC97" i="5" a="1"/>
  <c r="AC97" i="5" s="1"/>
  <c r="J97" i="6" s="1" a="1"/>
  <c r="J97" i="6" s="1"/>
  <c r="F97" i="6"/>
  <c r="E97" i="12"/>
  <c r="E150" i="12"/>
  <c r="F150" i="6"/>
  <c r="AC150" i="5" a="1"/>
  <c r="AC150" i="5" s="1"/>
  <c r="J150" i="6" s="1" a="1"/>
  <c r="J150" i="6" s="1"/>
  <c r="E154" i="12"/>
  <c r="F154" i="6"/>
  <c r="AC154" i="5" a="1"/>
  <c r="AC154" i="5" s="1"/>
  <c r="J154" i="6" s="1" a="1"/>
  <c r="J154" i="6" s="1"/>
  <c r="E22" i="12"/>
  <c r="AC22" i="5" a="1"/>
  <c r="AC22" i="5" s="1"/>
  <c r="J22" i="6" s="1" a="1"/>
  <c r="J22" i="6" s="1"/>
  <c r="F22" i="6"/>
  <c r="AC170" i="5" a="1"/>
  <c r="AC170" i="5" s="1"/>
  <c r="J170" i="6" s="1" a="1"/>
  <c r="J170" i="6" s="1"/>
  <c r="E170" i="12"/>
  <c r="F170" i="6"/>
  <c r="F204" i="12" a="1"/>
  <c r="F204" i="12" s="1"/>
  <c r="G204" i="6"/>
  <c r="AC79" i="5" a="1"/>
  <c r="AC79" i="5" s="1"/>
  <c r="J79" i="6" s="1" a="1"/>
  <c r="J79" i="6" s="1"/>
  <c r="F79" i="6"/>
  <c r="E79" i="12"/>
  <c r="F37" i="12" a="1"/>
  <c r="F37" i="12" s="1"/>
  <c r="G37" i="6"/>
  <c r="G67" i="6"/>
  <c r="F67" i="12" a="1"/>
  <c r="F67" i="12" s="1"/>
  <c r="E156" i="12"/>
  <c r="F156" i="6"/>
  <c r="AC156" i="5" a="1"/>
  <c r="AC156" i="5" s="1"/>
  <c r="J156" i="6" s="1" a="1"/>
  <c r="J156" i="6" s="1"/>
  <c r="F87" i="6"/>
  <c r="E87" i="12"/>
  <c r="AC87" i="5" a="1"/>
  <c r="AC87" i="5" s="1"/>
  <c r="J87" i="6" s="1" a="1"/>
  <c r="J87" i="6" s="1"/>
  <c r="F153" i="12" a="1"/>
  <c r="F153" i="12" s="1"/>
  <c r="G153" i="6"/>
  <c r="F85" i="6"/>
  <c r="AC85" i="5" a="1"/>
  <c r="AC85" i="5" s="1"/>
  <c r="J85" i="6" s="1" a="1"/>
  <c r="J85" i="6" s="1"/>
  <c r="E85" i="12"/>
  <c r="G82" i="6"/>
  <c r="F82" i="12" a="1"/>
  <c r="F82" i="12" s="1"/>
  <c r="F168" i="12" a="1"/>
  <c r="F168" i="12" s="1"/>
  <c r="G168" i="6"/>
  <c r="E194" i="12"/>
  <c r="F194" i="6"/>
  <c r="AC194" i="5" a="1"/>
  <c r="AC194" i="5" s="1"/>
  <c r="J194" i="6" s="1" a="1"/>
  <c r="J194" i="6" s="1"/>
  <c r="AC201" i="5" a="1"/>
  <c r="AC201" i="5" s="1"/>
  <c r="J201" i="6" s="1" a="1"/>
  <c r="J201" i="6" s="1"/>
  <c r="F201" i="6"/>
  <c r="E201" i="12"/>
  <c r="G185" i="6"/>
  <c r="F185" i="12" a="1"/>
  <c r="F185" i="12" s="1"/>
  <c r="F50" i="6"/>
  <c r="E50" i="12"/>
  <c r="AC50" i="5" a="1"/>
  <c r="AC50" i="5" s="1"/>
  <c r="J50" i="6" s="1" a="1"/>
  <c r="J50" i="6" s="1"/>
  <c r="G148" i="6"/>
  <c r="F148" i="12" a="1"/>
  <c r="F148" i="12" s="1"/>
  <c r="F160" i="12" a="1"/>
  <c r="F160" i="12" s="1"/>
  <c r="G160" i="6"/>
  <c r="F114" i="12" a="1"/>
  <c r="F114" i="12" s="1"/>
  <c r="G114" i="6"/>
  <c r="AC28" i="5" a="1"/>
  <c r="AC28" i="5" s="1"/>
  <c r="J28" i="6" s="1" a="1"/>
  <c r="J28" i="6" s="1"/>
  <c r="E28" i="12"/>
  <c r="F28" i="6"/>
  <c r="G167" i="6"/>
  <c r="F167" i="12" a="1"/>
  <c r="F167" i="12" s="1"/>
  <c r="F70" i="12" a="1"/>
  <c r="F70" i="12" s="1"/>
  <c r="G70" i="6"/>
  <c r="AC46" i="5" a="1"/>
  <c r="AC46" i="5" s="1"/>
  <c r="J46" i="6" s="1" a="1"/>
  <c r="J46" i="6" s="1"/>
  <c r="F46" i="6"/>
  <c r="E46" i="12"/>
  <c r="F59" i="12" a="1"/>
  <c r="F59" i="12" s="1"/>
  <c r="G59" i="6"/>
  <c r="F206" i="6"/>
  <c r="E206" i="12"/>
  <c r="AC206" i="5" a="1"/>
  <c r="AC206" i="5" s="1"/>
  <c r="J206" i="6" s="1" a="1"/>
  <c r="J206" i="6" s="1"/>
  <c r="G83" i="6"/>
  <c r="F83" i="12" a="1"/>
  <c r="F83" i="12" s="1"/>
  <c r="F234" i="12" a="1"/>
  <c r="F234" i="12" s="1"/>
  <c r="G234" i="6"/>
  <c r="G193" i="6"/>
  <c r="F193" i="12" a="1"/>
  <c r="F193" i="12" s="1"/>
  <c r="G43" i="6"/>
  <c r="F43" i="12" a="1"/>
  <c r="F43" i="12" s="1"/>
  <c r="F176" i="6"/>
  <c r="E176" i="12"/>
  <c r="AC176" i="5" a="1"/>
  <c r="AC176" i="5" s="1"/>
  <c r="J176" i="6" s="1" a="1"/>
  <c r="J176" i="6" s="1"/>
  <c r="G53" i="6"/>
  <c r="F53" i="12" a="1"/>
  <c r="F53" i="12" s="1"/>
  <c r="F213" i="12" a="1"/>
  <c r="F213" i="12" s="1"/>
  <c r="G213" i="6"/>
  <c r="F113" i="6"/>
  <c r="AC113" i="5" a="1"/>
  <c r="AC113" i="5" s="1"/>
  <c r="J113" i="6" s="1" a="1"/>
  <c r="J113" i="6" s="1"/>
  <c r="E113" i="12"/>
  <c r="E130" i="12"/>
  <c r="AC130" i="5" a="1"/>
  <c r="AC130" i="5" s="1"/>
  <c r="J130" i="6" s="1" a="1"/>
  <c r="J130" i="6" s="1"/>
  <c r="F130" i="6"/>
  <c r="F74" i="6"/>
  <c r="AC74" i="5" a="1"/>
  <c r="AC74" i="5" s="1"/>
  <c r="J74" i="6" s="1" a="1"/>
  <c r="J74" i="6" s="1"/>
  <c r="E74" i="12"/>
  <c r="F226" i="6"/>
  <c r="E226" i="12"/>
  <c r="AC226" i="5" a="1"/>
  <c r="AC226" i="5" s="1"/>
  <c r="J226" i="6" s="1" a="1"/>
  <c r="J226" i="6" s="1"/>
  <c r="G102" i="6"/>
  <c r="F102" i="12" a="1"/>
  <c r="F102" i="12" s="1"/>
  <c r="E192" i="12"/>
  <c r="F192" i="6"/>
  <c r="AC192" i="5" a="1"/>
  <c r="AC192" i="5" s="1"/>
  <c r="J192" i="6" s="1" a="1"/>
  <c r="J192" i="6" s="1"/>
  <c r="F83" i="6"/>
  <c r="E83" i="12"/>
  <c r="AC83" i="5" a="1"/>
  <c r="AC83" i="5" s="1"/>
  <c r="J83" i="6" s="1" a="1"/>
  <c r="J83" i="6" s="1"/>
  <c r="F223" i="12" a="1"/>
  <c r="F223" i="12" s="1"/>
  <c r="G223" i="6"/>
  <c r="F197" i="12" a="1"/>
  <c r="F197" i="12" s="1"/>
  <c r="G197" i="6"/>
  <c r="F107" i="12" a="1"/>
  <c r="F107" i="12" s="1"/>
  <c r="G107" i="6"/>
  <c r="G72" i="6"/>
  <c r="F72" i="12" a="1"/>
  <c r="F72" i="12" s="1"/>
  <c r="F158" i="12" a="1"/>
  <c r="F158" i="12" s="1"/>
  <c r="G158" i="6"/>
  <c r="F230" i="6"/>
  <c r="E230" i="12"/>
  <c r="AC230" i="5" a="1"/>
  <c r="AC230" i="5" s="1"/>
  <c r="J230" i="6" s="1" a="1"/>
  <c r="J230" i="6" s="1"/>
  <c r="F164" i="12" a="1"/>
  <c r="F164" i="12" s="1"/>
  <c r="G164" i="6"/>
  <c r="F199" i="6"/>
  <c r="E199" i="12"/>
  <c r="AC199" i="5" a="1"/>
  <c r="AC199" i="5" s="1"/>
  <c r="J199" i="6" s="1" a="1"/>
  <c r="J199" i="6" s="1"/>
  <c r="F121" i="12" a="1"/>
  <c r="F121" i="12" s="1"/>
  <c r="G121" i="6"/>
  <c r="E24" i="12"/>
  <c r="AC24" i="5" a="1"/>
  <c r="AC24" i="5" s="1"/>
  <c r="J24" i="6" s="1" a="1"/>
  <c r="J24" i="6" s="1"/>
  <c r="F24" i="6"/>
  <c r="AC163" i="5" a="1"/>
  <c r="AC163" i="5" s="1"/>
  <c r="J163" i="6" s="1" a="1"/>
  <c r="J163" i="6" s="1"/>
  <c r="E163" i="12"/>
  <c r="F163" i="6"/>
  <c r="G132" i="6"/>
  <c r="F132" i="12" a="1"/>
  <c r="F132" i="12" s="1"/>
  <c r="F180" i="6"/>
  <c r="AC180" i="5" a="1"/>
  <c r="AC180" i="5" s="1"/>
  <c r="J180" i="6" s="1" a="1"/>
  <c r="J180" i="6" s="1"/>
  <c r="E180" i="12"/>
  <c r="F120" i="12" a="1"/>
  <c r="F120" i="12" s="1"/>
  <c r="G120" i="6"/>
  <c r="G103" i="6"/>
  <c r="F103" i="12" a="1"/>
  <c r="F103" i="12" s="1"/>
  <c r="F203" i="12" a="1"/>
  <c r="F203" i="12" s="1"/>
  <c r="G203" i="6"/>
  <c r="F231" i="6"/>
  <c r="E231" i="12"/>
  <c r="AC231" i="5" a="1"/>
  <c r="AC231" i="5" s="1"/>
  <c r="J231" i="6" s="1" a="1"/>
  <c r="J231" i="6" s="1"/>
  <c r="E177" i="12"/>
  <c r="F177" i="6"/>
  <c r="AC177" i="5" a="1"/>
  <c r="AC177" i="5" s="1"/>
  <c r="J177" i="6" s="1" a="1"/>
  <c r="J177" i="6" s="1"/>
  <c r="F202" i="12" a="1"/>
  <c r="F202" i="12" s="1"/>
  <c r="G202" i="6"/>
  <c r="G171" i="6"/>
  <c r="F171" i="12" a="1"/>
  <c r="F171" i="12" s="1"/>
  <c r="F214" i="12" a="1"/>
  <c r="F214" i="12" s="1"/>
  <c r="G214" i="6"/>
  <c r="E213" i="12"/>
  <c r="F213" i="6"/>
  <c r="AC213" i="5" a="1"/>
  <c r="AC213" i="5" s="1"/>
  <c r="J213" i="6" s="1" a="1"/>
  <c r="J213" i="6" s="1"/>
  <c r="AC35" i="5" a="1"/>
  <c r="AC35" i="5" s="1"/>
  <c r="J35" i="6" s="1" a="1"/>
  <c r="J35" i="6" s="1"/>
  <c r="E35" i="12"/>
  <c r="F35" i="6"/>
  <c r="AC139" i="5" a="1"/>
  <c r="AC139" i="5" s="1"/>
  <c r="J139" i="6" s="1" a="1"/>
  <c r="J139" i="6" s="1"/>
  <c r="E139" i="12"/>
  <c r="F139" i="6"/>
  <c r="F226" i="12" a="1"/>
  <c r="F226" i="12" s="1"/>
  <c r="G226" i="6"/>
  <c r="G138" i="6"/>
  <c r="F138" i="12" a="1"/>
  <c r="F138" i="12" s="1"/>
  <c r="F33" i="12" a="1"/>
  <c r="F33" i="12" s="1"/>
  <c r="G33" i="6"/>
  <c r="E164" i="12"/>
  <c r="AC164" i="5" a="1"/>
  <c r="AC164" i="5" s="1"/>
  <c r="J164" i="6" s="1" a="1"/>
  <c r="J164" i="6" s="1"/>
  <c r="F164" i="6"/>
  <c r="F222" i="12" a="1"/>
  <c r="F222" i="12" s="1"/>
  <c r="G222" i="6"/>
  <c r="G87" i="6"/>
  <c r="F87" i="12" a="1"/>
  <c r="F87" i="12" s="1"/>
  <c r="F185" i="6"/>
  <c r="AC185" i="5" a="1"/>
  <c r="AC185" i="5" s="1"/>
  <c r="J185" i="6" s="1" a="1"/>
  <c r="J185" i="6" s="1"/>
  <c r="E185" i="12"/>
  <c r="F192" i="12" a="1"/>
  <c r="F192" i="12" s="1"/>
  <c r="G192" i="6"/>
  <c r="E73" i="12"/>
  <c r="AC73" i="5" a="1"/>
  <c r="AC73" i="5" s="1"/>
  <c r="J73" i="6" s="1" a="1"/>
  <c r="J73" i="6" s="1"/>
  <c r="F73" i="6"/>
  <c r="AC229" i="5" a="1"/>
  <c r="AC229" i="5" s="1"/>
  <c r="J229" i="6" s="1" a="1"/>
  <c r="J229" i="6" s="1"/>
  <c r="E229" i="12"/>
  <c r="F229" i="6"/>
  <c r="F171" i="6"/>
  <c r="E171" i="12"/>
  <c r="AC171" i="5" a="1"/>
  <c r="AC171" i="5" s="1"/>
  <c r="J171" i="6" s="1" a="1"/>
  <c r="J171" i="6" s="1"/>
  <c r="F232" i="6"/>
  <c r="AC232" i="5" a="1"/>
  <c r="AC232" i="5" s="1"/>
  <c r="J232" i="6" s="1" a="1"/>
  <c r="J232" i="6" s="1"/>
  <c r="E232" i="12"/>
  <c r="AC116" i="5" a="1"/>
  <c r="AC116" i="5" s="1"/>
  <c r="J116" i="6" s="1" a="1"/>
  <c r="J116" i="6" s="1"/>
  <c r="E116" i="12"/>
  <c r="F116" i="6"/>
  <c r="G195" i="6"/>
  <c r="F195" i="12" a="1"/>
  <c r="F195" i="12" s="1"/>
  <c r="G99" i="6"/>
  <c r="F99" i="12" a="1"/>
  <c r="F99" i="12" s="1"/>
  <c r="G228" i="6"/>
  <c r="F228" i="12" a="1"/>
  <c r="F228" i="12" s="1"/>
  <c r="F160" i="6"/>
  <c r="AC160" i="5" a="1"/>
  <c r="AC160" i="5" s="1"/>
  <c r="J160" i="6" s="1" a="1"/>
  <c r="J160" i="6" s="1"/>
  <c r="E160" i="12"/>
  <c r="G211" i="6"/>
  <c r="F211" i="12" a="1"/>
  <c r="F211" i="12" s="1"/>
  <c r="F111" i="12" a="1"/>
  <c r="F111" i="12" s="1"/>
  <c r="G111" i="6"/>
  <c r="AC143" i="5" a="1"/>
  <c r="AC143" i="5" s="1"/>
  <c r="J143" i="6" s="1" a="1"/>
  <c r="J143" i="6" s="1"/>
  <c r="F143" i="6"/>
  <c r="E143" i="12"/>
  <c r="F48" i="12" a="1"/>
  <c r="F48" i="12" s="1"/>
  <c r="G48" i="6"/>
  <c r="F149" i="12" a="1"/>
  <c r="F149" i="12" s="1"/>
  <c r="G149" i="6"/>
  <c r="AC56" i="5" a="1"/>
  <c r="AC56" i="5" s="1"/>
  <c r="J56" i="6" s="1" a="1"/>
  <c r="J56" i="6" s="1"/>
  <c r="F56" i="6"/>
  <c r="E56" i="12"/>
  <c r="AC187" i="5" a="1"/>
  <c r="AC187" i="5" s="1"/>
  <c r="J187" i="6" s="1" a="1"/>
  <c r="J187" i="6" s="1"/>
  <c r="F187" i="6"/>
  <c r="E187" i="12"/>
  <c r="E222" i="12"/>
  <c r="F222" i="6"/>
  <c r="AC222" i="5" a="1"/>
  <c r="AC222" i="5" s="1"/>
  <c r="J222" i="6" s="1" a="1"/>
  <c r="J222" i="6" s="1"/>
  <c r="F24" i="12" a="1"/>
  <c r="F24" i="12" s="1"/>
  <c r="G24" i="6"/>
  <c r="E189" i="12"/>
  <c r="F189" i="6"/>
  <c r="AC189" i="5" a="1"/>
  <c r="AC189" i="5" s="1"/>
  <c r="J189" i="6" s="1" a="1"/>
  <c r="J189" i="6" s="1"/>
  <c r="F117" i="6"/>
  <c r="AC117" i="5" a="1"/>
  <c r="AC117" i="5" s="1"/>
  <c r="J117" i="6" s="1" a="1"/>
  <c r="J117" i="6" s="1"/>
  <c r="E117" i="12"/>
  <c r="F126" i="12" a="1"/>
  <c r="F126" i="12" s="1"/>
  <c r="G126" i="6"/>
  <c r="G172" i="6"/>
  <c r="F172" i="12" a="1"/>
  <c r="F172" i="12" s="1"/>
  <c r="AC234" i="5" a="1"/>
  <c r="AC234" i="5" s="1"/>
  <c r="J234" i="6" s="1" a="1"/>
  <c r="J234" i="6" s="1"/>
  <c r="E234" i="12"/>
  <c r="F234" i="6"/>
  <c r="E197" i="12"/>
  <c r="AC197" i="5" a="1"/>
  <c r="AC197" i="5" s="1"/>
  <c r="J197" i="6" s="1" a="1"/>
  <c r="J197" i="6" s="1"/>
  <c r="F197" i="6"/>
  <c r="G201" i="6"/>
  <c r="F201" i="12" a="1"/>
  <c r="F201" i="12" s="1"/>
  <c r="AC26" i="5" a="1"/>
  <c r="AC26" i="5" s="1"/>
  <c r="J26" i="6" s="1" a="1"/>
  <c r="J26" i="6" s="1"/>
  <c r="E26" i="12"/>
  <c r="F26" i="6"/>
  <c r="AG65" i="5" a="1"/>
  <c r="AG64" i="5" a="1"/>
  <c r="AG30" i="5" a="1"/>
  <c r="AG57" i="5" a="1"/>
  <c r="AG49" i="5" a="1"/>
  <c r="AG40" i="5" a="1"/>
  <c r="AG40" i="5" l="1"/>
  <c r="AC40" i="5" s="1" a="1"/>
  <c r="AC40" i="5" s="1"/>
  <c r="J40" i="6" s="1" a="1"/>
  <c r="J40" i="6" s="1"/>
  <c r="AG49" i="5"/>
  <c r="AC49" i="5" s="1" a="1"/>
  <c r="AC49" i="5" s="1"/>
  <c r="J49" i="6" s="1" a="1"/>
  <c r="J49" i="6" s="1"/>
  <c r="AG57" i="5"/>
  <c r="AC57" i="5" s="1" a="1"/>
  <c r="AC57" i="5" s="1"/>
  <c r="J57" i="6" s="1" a="1"/>
  <c r="J57" i="6" s="1"/>
  <c r="AG30" i="5"/>
  <c r="AC30" i="5" s="1" a="1"/>
  <c r="AC30" i="5" s="1"/>
  <c r="J30" i="6" s="1" a="1"/>
  <c r="J30" i="6" s="1"/>
  <c r="AG64" i="5"/>
  <c r="AC64" i="5" s="1" a="1"/>
  <c r="AC64" i="5" s="1"/>
  <c r="J64" i="6" s="1" a="1"/>
  <c r="J64" i="6" s="1"/>
  <c r="AG65" i="5"/>
  <c r="AC65" i="5" s="1" a="1"/>
  <c r="AC65" i="5" s="1"/>
  <c r="J65" i="6" s="1" a="1"/>
  <c r="J65" i="6" s="1"/>
  <c r="J18" i="6" a="1"/>
  <c r="J18" i="6" s="1"/>
  <c r="AC7" i="5" l="1"/>
  <c r="O12" i="5" a="1"/>
  <c r="O12" i="5" s="1"/>
  <c r="AC11" i="5"/>
  <c r="I12" i="6"/>
  <c r="F11" i="6"/>
  <c r="N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2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5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9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sharedStrings.xml><?xml version="1.0" encoding="utf-8"?>
<sst xmlns="http://schemas.openxmlformats.org/spreadsheetml/2006/main" count="3347" uniqueCount="1475">
  <si>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</si>
  <si>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</si>
  <si>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</si>
  <si>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</si>
  <si>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</si>
  <si>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</si>
  <si>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</si>
  <si>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</si>
  <si>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</si>
  <si>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</si>
  <si>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</si>
  <si>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</si>
  <si>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</si>
  <si>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</si>
  <si>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</si>
  <si>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</si>
  <si>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</si>
  <si>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</si>
  <si>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</si>
  <si>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</si>
  <si>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</si>
  <si>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</si>
  <si>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</si>
  <si>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</si>
  <si>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</si>
  <si>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</si>
  <si>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</si>
  <si>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</si>
  <si>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</si>
  <si>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</si>
  <si>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</si>
  <si>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</si>
  <si>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</si>
  <si>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</si>
  <si>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</si>
  <si>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</si>
  <si>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</si>
  <si>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</si>
  <si>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</si>
  <si>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</si>
  <si>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</si>
  <si>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</si>
  <si>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</si>
  <si>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</si>
  <si>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</si>
  <si>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</si>
  <si>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</si>
  <si>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</si>
  <si>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</si>
  <si>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</si>
  <si>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</si>
  <si>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</si>
  <si>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</si>
  <si>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</si>
  <si>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</si>
  <si>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</si>
  <si>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</si>
  <si>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</si>
  <si>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</si>
  <si>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</si>
  <si>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</si>
  <si>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</si>
  <si>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</si>
  <si>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</si>
  <si>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</si>
  <si>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</si>
  <si>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</si>
  <si>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</si>
  <si>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</si>
  <si>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</si>
  <si>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</si>
  <si>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</si>
  <si>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</si>
  <si>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</si>
  <si>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</si>
  <si>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</si>
  <si>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</si>
  <si>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</si>
  <si>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</si>
  <si>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</si>
  <si>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</si>
  <si>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</si>
  <si>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</si>
  <si>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</si>
  <si>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</si>
  <si>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</si>
  <si>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</si>
  <si>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</si>
  <si>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</si>
  <si>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</si>
  <si>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</si>
  <si>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</si>
  <si>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</si>
  <si>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</si>
  <si>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</si>
  <si>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</si>
  <si>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</si>
  <si>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</si>
  <si>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</si>
  <si>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</si>
  <si>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</si>
  <si>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</si>
  <si>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</si>
  <si>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</si>
  <si>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</si>
  <si>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</si>
  <si>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</si>
  <si>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</si>
  <si>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</si>
  <si>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</si>
  <si>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</si>
  <si>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</si>
  <si>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</si>
  <si>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</si>
  <si>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</si>
  <si>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</si>
  <si>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</si>
  <si>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</si>
  <si>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</si>
  <si>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</si>
  <si>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</si>
  <si>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</si>
  <si>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</si>
  <si>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</si>
  <si>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</si>
  <si>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</si>
  <si>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</si>
  <si>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</si>
  <si>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</si>
  <si>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</si>
  <si>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</si>
  <si>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</si>
  <si>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</si>
  <si>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</si>
  <si>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</si>
  <si>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</si>
  <si>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</si>
  <si>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</si>
  <si>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</si>
  <si>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</si>
  <si>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</si>
  <si>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</si>
  <si>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</si>
  <si>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</si>
  <si>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</si>
  <si>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</si>
  <si>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</si>
  <si>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</si>
  <si>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</si>
  <si>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</si>
  <si>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</si>
  <si>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</si>
  <si>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</si>
  <si>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</si>
  <si>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</si>
  <si>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</si>
  <si>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</si>
  <si>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</si>
  <si>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</si>
  <si>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</si>
  <si>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</si>
  <si>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</si>
  <si>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</si>
  <si>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</si>
  <si>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</si>
  <si>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</si>
  <si>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</si>
  <si>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</si>
  <si>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</si>
  <si>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</si>
  <si>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</si>
  <si>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</si>
  <si>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</si>
  <si>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</si>
  <si>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</si>
  <si>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</si>
  <si>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</si>
  <si>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</si>
  <si>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</si>
  <si>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</si>
  <si>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</si>
  <si>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</si>
  <si>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</si>
  <si>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</si>
  <si>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</si>
  <si>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</si>
  <si>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</si>
  <si>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</si>
  <si>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</si>
  <si>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</si>
  <si>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</si>
  <si>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</si>
  <si>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</si>
  <si>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</si>
  <si>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</si>
  <si>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</si>
  <si>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</si>
  <si>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</si>
  <si>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</si>
  <si>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</si>
  <si>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</si>
  <si>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</si>
  <si>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</si>
  <si>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</si>
  <si>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</si>
  <si>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</si>
  <si>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</si>
  <si>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</si>
  <si>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</si>
  <si>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</si>
  <si>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</si>
  <si>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</si>
  <si>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</si>
  <si>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</si>
  <si>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</si>
  <si>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</si>
  <si>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</si>
  <si>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</si>
  <si>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</si>
  <si>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</si>
  <si>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</si>
  <si>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</si>
  <si>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</si>
  <si>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</si>
  <si>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</si>
  <si>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</si>
  <si>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</si>
  <si>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</si>
  <si>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</si>
  <si>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</si>
  <si>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</si>
  <si>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</si>
  <si>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</si>
  <si>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</si>
  <si>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</si>
  <si>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</si>
  <si>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</si>
  <si>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</si>
  <si>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</si>
  <si>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</si>
  <si>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</si>
  <si>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</si>
  <si>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</si>
  <si>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</si>
  <si>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</si>
  <si>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</si>
  <si>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</si>
  <si>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</si>
  <si>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</si>
  <si>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</si>
  <si>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</si>
  <si>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</si>
  <si>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</si>
  <si>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</si>
  <si>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</si>
  <si>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</si>
  <si>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</si>
  <si>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</si>
  <si>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</si>
  <si>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</si>
  <si>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</si>
  <si>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</si>
  <si>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</si>
  <si>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</si>
  <si>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</si>
  <si>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</si>
  <si>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</si>
  <si>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</si>
  <si>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</si>
  <si>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</si>
  <si>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</si>
  <si>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</si>
  <si>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</si>
  <si>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</si>
  <si>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</si>
  <si>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</si>
  <si>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</si>
  <si>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</si>
  <si>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</si>
  <si>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</si>
  <si>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</si>
  <si>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</si>
  <si>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</si>
  <si>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</si>
  <si>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</si>
  <si>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</si>
  <si>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</si>
  <si>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</si>
  <si>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</si>
  <si>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</si>
  <si>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</si>
  <si>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</si>
  <si>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</si>
  <si>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</si>
  <si>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</si>
  <si>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</si>
  <si>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</si>
  <si>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</si>
  <si>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</si>
  <si>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</si>
  <si>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</si>
  <si>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</si>
  <si>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</si>
  <si>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</si>
  <si>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</si>
  <si>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</si>
  <si>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</si>
  <si>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</si>
  <si>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</si>
  <si>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</si>
  <si>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</si>
  <si>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</si>
  <si>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</si>
  <si>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</si>
  <si>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</si>
  <si>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</si>
  <si>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</si>
  <si>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</si>
  <si>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</si>
  <si>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</si>
  <si>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</si>
  <si>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</si>
  <si>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</si>
  <si>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</si>
  <si>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</si>
  <si>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</si>
  <si>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</si>
  <si>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</si>
  <si>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</si>
  <si>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</si>
  <si>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</si>
  <si>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</si>
  <si>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</si>
  <si>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</si>
  <si>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</si>
  <si>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</si>
  <si>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</si>
  <si>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</si>
  <si>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</si>
  <si>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</si>
  <si>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</si>
  <si>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</si>
  <si>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</si>
  <si>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</si>
  <si>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</si>
  <si>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</si>
  <si>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</si>
  <si>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</si>
  <si>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</si>
  <si>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</si>
  <si>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</si>
  <si>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</si>
  <si>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</si>
  <si>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</si>
  <si>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</si>
  <si>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</si>
  <si>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</si>
  <si>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</si>
  <si>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</si>
  <si>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</si>
  <si>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</si>
  <si>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</si>
  <si>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</si>
  <si>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</si>
  <si>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</si>
  <si>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</si>
  <si>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</si>
  <si>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</si>
  <si>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</si>
  <si>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</si>
  <si>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</si>
  <si>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</si>
  <si>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</si>
  <si>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</si>
  <si>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</si>
  <si>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</si>
  <si>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</si>
  <si>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</si>
  <si>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</si>
  <si>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</si>
  <si>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</si>
  <si>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</si>
  <si>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</si>
  <si>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</si>
  <si>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</si>
  <si>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</si>
  <si>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</si>
  <si>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</si>
  <si>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</si>
  <si>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</si>
  <si>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</si>
  <si>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</si>
  <si>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</si>
  <si>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</si>
  <si>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</si>
  <si>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</si>
  <si>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</si>
  <si>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</si>
  <si>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</si>
  <si>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</si>
  <si>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</si>
  <si>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</si>
  <si>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</si>
  <si>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</si>
  <si>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</si>
  <si>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</si>
  <si>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</si>
  <si>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</si>
  <si>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</si>
  <si>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</si>
  <si>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</si>
  <si>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</si>
  <si>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</si>
  <si>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</si>
  <si>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</si>
  <si>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</si>
  <si>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</si>
  <si>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</si>
  <si>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</si>
  <si>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</si>
  <si>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</si>
  <si>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</si>
  <si>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</si>
  <si>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</si>
  <si>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</si>
  <si>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</si>
  <si>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</si>
  <si>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</si>
  <si>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</si>
  <si>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</si>
  <si>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</si>
  <si>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</si>
  <si>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</si>
  <si>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</si>
  <si>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</si>
  <si>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</si>
  <si>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</si>
  <si>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</si>
  <si>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</si>
  <si>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</si>
  <si>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</si>
  <si>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</si>
  <si>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</si>
  <si>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</si>
  <si>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</si>
  <si>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</si>
  <si>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</si>
  <si>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</si>
  <si>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</si>
  <si>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</si>
  <si>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</si>
  <si>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</si>
  <si>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</si>
  <si>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</si>
  <si>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</si>
  <si>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</si>
  <si>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</si>
  <si>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</si>
  <si>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</si>
  <si>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</si>
  <si>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</si>
  <si>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</si>
  <si>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</si>
  <si>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</si>
  <si>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</si>
  <si>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</si>
  <si>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</si>
  <si>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</si>
  <si>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</si>
  <si>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</si>
  <si>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</si>
  <si>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</si>
  <si>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</si>
  <si>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</si>
  <si>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</si>
  <si>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</si>
  <si>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</si>
  <si>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</si>
  <si>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</si>
  <si>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</si>
  <si>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</si>
  <si>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</si>
  <si>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</si>
  <si>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</si>
  <si>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</si>
  <si>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</si>
  <si>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</si>
  <si>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</si>
  <si>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</si>
  <si>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</si>
  <si>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</si>
  <si>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</si>
  <si>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</si>
  <si>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</si>
  <si>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</si>
  <si>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</si>
  <si>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</si>
  <si>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</si>
  <si>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</si>
  <si>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</si>
  <si>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</si>
  <si>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</si>
  <si>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</si>
  <si>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</si>
  <si>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</si>
  <si>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</si>
  <si>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</si>
  <si>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</si>
  <si>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</si>
  <si>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</si>
  <si>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</si>
  <si>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</si>
  <si>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</si>
  <si>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</si>
  <si>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</si>
  <si>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</si>
  <si>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</si>
  <si>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</si>
  <si>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</si>
  <si>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</si>
  <si>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</si>
  <si>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</si>
  <si>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</si>
  <si>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</si>
  <si>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</si>
  <si>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</si>
  <si>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</si>
  <si>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</si>
  <si>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</si>
  <si>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</si>
  <si>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</si>
  <si>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</si>
  <si>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</si>
  <si>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</si>
  <si>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</si>
  <si>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</si>
  <si>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</si>
  <si>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</si>
  <si>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</si>
  <si>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</si>
  <si>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</si>
  <si>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</si>
  <si>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</si>
  <si>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</si>
  <si>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</si>
  <si>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</si>
  <si>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</si>
  <si>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</si>
  <si>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</si>
  <si>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</si>
  <si>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</si>
  <si>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</si>
  <si>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</si>
  <si>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</si>
  <si>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</si>
  <si>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</si>
  <si>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</si>
  <si>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</si>
  <si>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</si>
  <si>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</si>
  <si>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</si>
  <si>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</si>
  <si>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</si>
  <si>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</si>
  <si>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</si>
  <si>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</si>
  <si>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</si>
  <si>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</si>
  <si>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</si>
  <si>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</si>
  <si>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</si>
  <si>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</si>
  <si>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</si>
  <si>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</si>
  <si>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</si>
  <si>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</si>
  <si>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</si>
  <si>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</si>
  <si>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</si>
  <si>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</si>
  <si>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</si>
  <si>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</si>
  <si>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</si>
  <si>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</si>
  <si>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</si>
  <si>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</si>
  <si>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</si>
  <si>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</si>
  <si>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</si>
  <si>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</si>
  <si>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</si>
  <si>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</si>
  <si>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</si>
  <si>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</si>
  <si>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</si>
  <si>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</si>
  <si>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</si>
  <si>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</si>
  <si>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</si>
  <si>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</si>
  <si>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</si>
  <si>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</si>
  <si>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</si>
  <si>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</si>
  <si>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</si>
  <si>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</si>
  <si>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</si>
  <si>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</si>
  <si>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</si>
  <si>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</si>
  <si>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</si>
  <si>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</si>
  <si>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</si>
  <si>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</si>
  <si>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</si>
  <si>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</si>
  <si>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</si>
  <si>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</si>
  <si>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</si>
  <si>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</si>
  <si>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</si>
  <si>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</si>
  <si>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</si>
  <si>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</si>
  <si>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</si>
  <si>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</si>
  <si>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</si>
  <si>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</si>
  <si>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</si>
  <si>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</si>
  <si>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</si>
  <si>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</si>
  <si>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</si>
  <si>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</si>
  <si>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</si>
  <si>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</si>
  <si>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</si>
  <si>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</si>
  <si>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</si>
  <si>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</si>
  <si>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</si>
  <si>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</si>
  <si>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</si>
  <si>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</si>
  <si>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</si>
  <si>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</si>
  <si>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</si>
  <si>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</si>
  <si>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</si>
  <si>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</si>
  <si>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</si>
  <si>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</si>
  <si>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</si>
  <si>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</si>
  <si>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</si>
  <si>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</si>
  <si>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</si>
  <si>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</si>
  <si>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</si>
  <si>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</si>
  <si>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</si>
  <si>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</si>
  <si>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</si>
  <si>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</si>
  <si>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</si>
  <si>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</si>
  <si>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</si>
  <si>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</si>
  <si>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</si>
  <si>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</si>
  <si>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</si>
  <si>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</si>
  <si>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</si>
  <si>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</si>
  <si>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</si>
  <si>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</si>
  <si>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</si>
  <si>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</si>
  <si>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</si>
  <si>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</si>
  <si>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</si>
  <si>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</si>
  <si>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</si>
  <si>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</si>
  <si>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</si>
  <si>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</si>
  <si>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</si>
  <si>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</si>
  <si>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</si>
  <si>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</si>
  <si>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</si>
  <si>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</si>
  <si>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</si>
  <si>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</si>
  <si>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</si>
  <si>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</si>
  <si>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</si>
  <si>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</si>
  <si>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</si>
  <si>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</si>
  <si>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</si>
  <si>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</si>
  <si>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</si>
  <si>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</si>
  <si>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</si>
  <si>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</si>
  <si>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</si>
  <si>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</si>
  <si>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</si>
  <si>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</si>
  <si>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</si>
  <si>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</si>
  <si>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</si>
  <si>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</si>
  <si>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</si>
  <si>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</si>
  <si>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</si>
  <si>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</si>
  <si>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</si>
  <si>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</si>
  <si>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</si>
  <si>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</si>
  <si>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</si>
  <si>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</si>
  <si>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</si>
  <si>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</si>
  <si>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</si>
  <si>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</si>
  <si>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</si>
  <si>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</si>
  <si>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</si>
  <si>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</si>
  <si>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</si>
  <si>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</si>
  <si>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</si>
  <si>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</si>
  <si>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</si>
  <si>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</si>
  <si>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</si>
  <si>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</si>
  <si>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</si>
  <si>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</si>
  <si>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</si>
  <si>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</si>
  <si>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</si>
  <si>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</si>
  <si>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</si>
  <si>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</si>
  <si>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</si>
  <si>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</si>
  <si>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</si>
  <si>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</si>
  <si>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</si>
  <si>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</si>
  <si>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</si>
  <si>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</si>
  <si>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</si>
  <si>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</si>
  <si>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</si>
  <si>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</si>
  <si>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</si>
  <si>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</si>
  <si>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</si>
  <si>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</si>
  <si>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</si>
  <si>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</si>
  <si>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</si>
  <si>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</si>
  <si>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</si>
  <si>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</si>
  <si>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</si>
  <si>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</si>
  <si>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</si>
  <si>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</si>
  <si>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</si>
  <si>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</si>
  <si>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</si>
  <si>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</si>
  <si>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</si>
  <si>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</si>
  <si>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</si>
  <si>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</si>
  <si>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</si>
  <si>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</si>
  <si>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</si>
  <si>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</si>
  <si>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</si>
  <si>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</si>
  <si>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</si>
  <si>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</si>
  <si>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</si>
  <si>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</si>
  <si>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</si>
  <si>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</si>
  <si>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</si>
  <si>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</si>
  <si>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</si>
  <si>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</si>
  <si>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</si>
  <si>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</si>
  <si>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</si>
  <si>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</si>
  <si>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</si>
  <si>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</si>
  <si>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</si>
  <si>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</si>
  <si>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</si>
  <si>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</si>
  <si>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</si>
  <si>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</si>
  <si>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</si>
  <si>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</si>
  <si>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</si>
  <si>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</si>
  <si>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</si>
  <si>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</si>
  <si>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</si>
  <si>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</si>
  <si>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</si>
  <si>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</si>
  <si>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</si>
  <si>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</si>
  <si>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</si>
  <si>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</si>
  <si>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</si>
  <si>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</si>
  <si>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</si>
  <si>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</si>
  <si>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</si>
  <si>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</si>
  <si>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</si>
  <si>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</si>
  <si>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</si>
  <si>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</si>
  <si>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</si>
  <si>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</si>
  <si>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</si>
  <si>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</si>
  <si>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</si>
  <si>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</si>
  <si>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</si>
  <si>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</si>
  <si>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</si>
  <si>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</si>
  <si>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</si>
  <si>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</si>
  <si>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</si>
  <si>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</si>
  <si>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</si>
  <si>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</si>
  <si>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</si>
  <si>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</si>
  <si>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</si>
  <si>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</si>
  <si>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</si>
  <si>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</si>
  <si>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</si>
  <si>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</si>
  <si>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</si>
  <si>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</si>
  <si>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</si>
  <si>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</si>
  <si>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</si>
  <si>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</si>
  <si>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</si>
  <si>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</si>
  <si>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</si>
  <si>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</si>
  <si>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</si>
  <si>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</si>
  <si>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</si>
  <si>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</si>
  <si>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</si>
  <si>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</si>
  <si>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</si>
  <si>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</si>
  <si>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</si>
  <si>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</si>
  <si>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</si>
  <si>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</si>
  <si>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</si>
  <si>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</si>
  <si>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</si>
  <si>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</si>
  <si>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</si>
  <si>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</si>
  <si>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</si>
  <si>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</si>
  <si>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</si>
  <si>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</si>
  <si>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</si>
  <si>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</si>
  <si>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</si>
  <si>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</si>
  <si>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</si>
  <si>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</si>
  <si>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</si>
  <si>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</si>
  <si>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</si>
  <si>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</si>
  <si>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</si>
  <si>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</si>
  <si>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</si>
  <si>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</si>
  <si>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</si>
  <si>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</si>
  <si>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</si>
  <si>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</si>
  <si>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</si>
  <si>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</si>
  <si>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</si>
  <si>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</si>
  <si>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</si>
  <si>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</si>
  <si>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</si>
  <si>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</si>
  <si>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</si>
  <si>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</si>
  <si>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</si>
  <si>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</si>
  <si>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</si>
  <si>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</si>
  <si>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</si>
  <si>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</si>
  <si>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</si>
  <si>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</si>
  <si>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</si>
  <si>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</si>
  <si>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</si>
  <si>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</si>
  <si>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</si>
  <si>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</si>
  <si>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</si>
  <si>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</si>
  <si>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</si>
  <si>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</si>
  <si>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</si>
  <si>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</si>
  <si>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</si>
  <si>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</si>
  <si>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</si>
  <si>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</si>
  <si>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</si>
  <si>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</si>
  <si>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</si>
  <si>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</si>
  <si>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</si>
  <si>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</si>
  <si>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</si>
  <si>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</si>
  <si>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</si>
  <si>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</si>
  <si>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</si>
  <si>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</si>
  <si>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</si>
  <si>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</si>
  <si>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</si>
  <si>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</si>
  <si>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</si>
  <si>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</si>
  <si>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</si>
  <si>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</si>
  <si>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</si>
  <si>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</si>
  <si>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</si>
  <si>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</si>
  <si>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</si>
  <si>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</si>
  <si>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</si>
  <si>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</si>
  <si>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</si>
  <si>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</si>
  <si>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</si>
  <si>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</si>
  <si>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</si>
  <si>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</si>
  <si>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</si>
  <si>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</si>
  <si>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</si>
  <si>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</si>
  <si>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</si>
  <si>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</si>
  <si>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</si>
  <si>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</si>
  <si>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</si>
  <si>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</si>
  <si>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</si>
  <si>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</si>
  <si>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</si>
  <si>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</si>
  <si>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</si>
  <si>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</si>
  <si>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</si>
  <si>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</si>
  <si>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</si>
  <si>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</si>
  <si>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</si>
  <si>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</si>
  <si>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V3.14</t>
  </si>
  <si>
    <t>Ajustes em algumas fórmulas que eram incompatíveis com as versões do Excel anteriores ao Office 365.</t>
  </si>
  <si>
    <t>Ajuste na macro "Gerar arquivo para upload no TransfereGOV". Excluído o procedimento de mesclagem de células, visando a eficiência da macro.</t>
  </si>
  <si>
    <t>Inclusão do botão [RESET]. Para resetar a Planilha Múltipla (apagar todos os dados preenchidos e restaurar o padrão inicial).</t>
  </si>
  <si>
    <t>V3.15</t>
  </si>
  <si>
    <t>Ajuste na fórmula da coluna "Descrição" para corrigir incompatibilidade com as versões do Excel anteriores ao Office 365.</t>
  </si>
  <si>
    <t>v3.16</t>
  </si>
  <si>
    <t>V3.16</t>
  </si>
  <si>
    <t>Corrigidas as fórmulas da descrição dos itens dos BDIs 2 e 3.</t>
  </si>
  <si>
    <t>99061</t>
  </si>
  <si>
    <t>SICOR</t>
  </si>
  <si>
    <t>CO-27423</t>
  </si>
  <si>
    <t>CO-27482</t>
  </si>
  <si>
    <t>CO-27460</t>
  </si>
  <si>
    <t>CO-27390</t>
  </si>
  <si>
    <t>103689</t>
  </si>
  <si>
    <t>CO-28390</t>
  </si>
  <si>
    <t>CO-28389</t>
  </si>
  <si>
    <t>CO-28388</t>
  </si>
  <si>
    <t>CONSTRUÇÃO DE VINTE UNIDADES HABITACIONAIS</t>
  </si>
  <si>
    <t>SERVIÇOS INICIAIS GERAIS</t>
  </si>
  <si>
    <t>ED-50135</t>
  </si>
  <si>
    <t>ADMINISTRAÇÃO LOCAL</t>
  </si>
  <si>
    <t>SAPATAS</t>
  </si>
  <si>
    <t>BALDRAMES</t>
  </si>
  <si>
    <t>96521</t>
  </si>
  <si>
    <t>101616</t>
  </si>
  <si>
    <t>96619</t>
  </si>
  <si>
    <t>96541</t>
  </si>
  <si>
    <t>104919</t>
  </si>
  <si>
    <t>104917</t>
  </si>
  <si>
    <t>104916</t>
  </si>
  <si>
    <t>93382</t>
  </si>
  <si>
    <t>COMP 01</t>
  </si>
  <si>
    <t>96527</t>
  </si>
  <si>
    <t>96536</t>
  </si>
  <si>
    <t>104918</t>
  </si>
  <si>
    <t>COMP 02</t>
  </si>
  <si>
    <t>IMPERMEABILIZAÇÃO</t>
  </si>
  <si>
    <t>87878</t>
  </si>
  <si>
    <t>98562</t>
  </si>
  <si>
    <t>98557</t>
  </si>
  <si>
    <t>PILARES, VIGAS E LAJES</t>
  </si>
  <si>
    <t>92427</t>
  </si>
  <si>
    <t>COMP 03</t>
  </si>
  <si>
    <t>92463</t>
  </si>
  <si>
    <t>92759</t>
  </si>
  <si>
    <t>92760</t>
  </si>
  <si>
    <t>92761</t>
  </si>
  <si>
    <t>92762</t>
  </si>
  <si>
    <t>101963</t>
  </si>
  <si>
    <t>COMP 04</t>
  </si>
  <si>
    <t>COMP 05</t>
  </si>
  <si>
    <t>ALVENARIA</t>
  </si>
  <si>
    <t>103328</t>
  </si>
  <si>
    <t>VERGAS E CONTRAVERGAS</t>
  </si>
  <si>
    <t>105022</t>
  </si>
  <si>
    <t>105030</t>
  </si>
  <si>
    <t>ESQUADRIAS METÁLICAS</t>
  </si>
  <si>
    <t>91338</t>
  </si>
  <si>
    <t>94570</t>
  </si>
  <si>
    <t>94572</t>
  </si>
  <si>
    <t>94569</t>
  </si>
  <si>
    <t>ESQUADRIA DE MADEIRA</t>
  </si>
  <si>
    <t>COBERTURAS</t>
  </si>
  <si>
    <t>FORRO</t>
  </si>
  <si>
    <t>REVESTIMENTOS INTERNOS</t>
  </si>
  <si>
    <t>91314</t>
  </si>
  <si>
    <t>92541</t>
  </si>
  <si>
    <t>94447</t>
  </si>
  <si>
    <t>102233</t>
  </si>
  <si>
    <t>94221</t>
  </si>
  <si>
    <t>92548</t>
  </si>
  <si>
    <t>96111</t>
  </si>
  <si>
    <t>87879</t>
  </si>
  <si>
    <t>87882</t>
  </si>
  <si>
    <t>87545</t>
  </si>
  <si>
    <t>87547</t>
  </si>
  <si>
    <t>104958</t>
  </si>
  <si>
    <t>90408</t>
  </si>
  <si>
    <t>REVESTIMENTOS CERÂMICOS</t>
  </si>
  <si>
    <t>REVESTIMENTOS EXTERNOS</t>
  </si>
  <si>
    <t>PINTURAS INTERNAS</t>
  </si>
  <si>
    <t>87267</t>
  </si>
  <si>
    <t>87265</t>
  </si>
  <si>
    <t>87905</t>
  </si>
  <si>
    <t>87894</t>
  </si>
  <si>
    <t>87792</t>
  </si>
  <si>
    <t>87775</t>
  </si>
  <si>
    <t>88485</t>
  </si>
  <si>
    <t>88484</t>
  </si>
  <si>
    <t>104640</t>
  </si>
  <si>
    <t>104642</t>
  </si>
  <si>
    <t>PINTURAS EXTERNAS</t>
  </si>
  <si>
    <t>88415</t>
  </si>
  <si>
    <t>PINTURA EM ESQUADRIAS</t>
  </si>
  <si>
    <t>102193</t>
  </si>
  <si>
    <t>ED-50493</t>
  </si>
  <si>
    <t>CERÂMICA</t>
  </si>
  <si>
    <t>97084</t>
  </si>
  <si>
    <t>100322</t>
  </si>
  <si>
    <t>97087</t>
  </si>
  <si>
    <t>95241</t>
  </si>
  <si>
    <t>87745</t>
  </si>
  <si>
    <t>87630</t>
  </si>
  <si>
    <t>87247</t>
  </si>
  <si>
    <t>87248</t>
  </si>
  <si>
    <t>87246</t>
  </si>
  <si>
    <t>CIMENTADOS</t>
  </si>
  <si>
    <t>94990</t>
  </si>
  <si>
    <t>RODAPÉS, SOLEIRAS E PEITORIS</t>
  </si>
  <si>
    <t>98695</t>
  </si>
  <si>
    <t>88648</t>
  </si>
  <si>
    <t>101965</t>
  </si>
  <si>
    <t>INSTALAÇÕES ELÉTRICAS/TELEFONE</t>
  </si>
  <si>
    <t>93653</t>
  </si>
  <si>
    <t>93654</t>
  </si>
  <si>
    <t>93656</t>
  </si>
  <si>
    <t>93659</t>
  </si>
  <si>
    <t>93674</t>
  </si>
  <si>
    <t>100860</t>
  </si>
  <si>
    <t>ILUMINAÇÃO, TOMADAS E INTERRUPTORES</t>
  </si>
  <si>
    <t>103782</t>
  </si>
  <si>
    <t>97610</t>
  </si>
  <si>
    <t>91953</t>
  </si>
  <si>
    <t>91959</t>
  </si>
  <si>
    <t>92000</t>
  </si>
  <si>
    <t>91996</t>
  </si>
  <si>
    <t>91993</t>
  </si>
  <si>
    <t>91985</t>
  </si>
  <si>
    <t>91987</t>
  </si>
  <si>
    <t>ED-5618</t>
  </si>
  <si>
    <t>91941</t>
  </si>
  <si>
    <t>91940</t>
  </si>
  <si>
    <t>91939</t>
  </si>
  <si>
    <t>91937</t>
  </si>
  <si>
    <t>FIOS E CABOS</t>
  </si>
  <si>
    <t>91924</t>
  </si>
  <si>
    <t>91926</t>
  </si>
  <si>
    <t>91928</t>
  </si>
  <si>
    <t>101884</t>
  </si>
  <si>
    <t>91834</t>
  </si>
  <si>
    <t>91854</t>
  </si>
  <si>
    <t>91845</t>
  </si>
  <si>
    <t>90447</t>
  </si>
  <si>
    <t>HIDRÁULICAS, GÁS E INCÊNDIO</t>
  </si>
  <si>
    <t>90373</t>
  </si>
  <si>
    <t>89408</t>
  </si>
  <si>
    <t>89395</t>
  </si>
  <si>
    <t>89383</t>
  </si>
  <si>
    <t>89446</t>
  </si>
  <si>
    <t>89356</t>
  </si>
  <si>
    <t>REGISTROS</t>
  </si>
  <si>
    <t>89985</t>
  </si>
  <si>
    <t>89987</t>
  </si>
  <si>
    <t>94490</t>
  </si>
  <si>
    <t>86885</t>
  </si>
  <si>
    <t>ENTRADA E ALIMENTAÇÃO</t>
  </si>
  <si>
    <t>97741</t>
  </si>
  <si>
    <t>89353</t>
  </si>
  <si>
    <t>89402</t>
  </si>
  <si>
    <t>89440</t>
  </si>
  <si>
    <t>CAIXA D'ÁGUA E BARRILETE</t>
  </si>
  <si>
    <t>102605</t>
  </si>
  <si>
    <t>102591</t>
  </si>
  <si>
    <t>102593</t>
  </si>
  <si>
    <t>94703</t>
  </si>
  <si>
    <t>94704</t>
  </si>
  <si>
    <t>94796</t>
  </si>
  <si>
    <t>89413</t>
  </si>
  <si>
    <t>89414</t>
  </si>
  <si>
    <t>103953</t>
  </si>
  <si>
    <t>89443</t>
  </si>
  <si>
    <t>89445</t>
  </si>
  <si>
    <t>89403</t>
  </si>
  <si>
    <t>SANITÁRIAS E PLUVIAIS</t>
  </si>
  <si>
    <t>89726</t>
  </si>
  <si>
    <t>89732</t>
  </si>
  <si>
    <t>89724</t>
  </si>
  <si>
    <t>89731</t>
  </si>
  <si>
    <t>89744</t>
  </si>
  <si>
    <t>89784</t>
  </si>
  <si>
    <t>104345</t>
  </si>
  <si>
    <t>104348</t>
  </si>
  <si>
    <t>89711</t>
  </si>
  <si>
    <t>89712</t>
  </si>
  <si>
    <t>89798</t>
  </si>
  <si>
    <t>89714</t>
  </si>
  <si>
    <t>ACESSÓRIOS/CAIXAS</t>
  </si>
  <si>
    <t>97902</t>
  </si>
  <si>
    <t>89707</t>
  </si>
  <si>
    <t>104327</t>
  </si>
  <si>
    <t>104326</t>
  </si>
  <si>
    <t>98107</t>
  </si>
  <si>
    <t>LOUÇAS</t>
  </si>
  <si>
    <t>86931</t>
  </si>
  <si>
    <t>86943</t>
  </si>
  <si>
    <t>BANCADAS E METAIS</t>
  </si>
  <si>
    <t>86934</t>
  </si>
  <si>
    <t>86925</t>
  </si>
  <si>
    <t>95546</t>
  </si>
  <si>
    <t>CALAFETE / LIMPEZA</t>
  </si>
  <si>
    <t>99818</t>
  </si>
  <si>
    <t>99819</t>
  </si>
  <si>
    <t>99811</t>
  </si>
  <si>
    <t>99826</t>
  </si>
  <si>
    <t>99821</t>
  </si>
  <si>
    <t>99804</t>
  </si>
  <si>
    <t>99822</t>
  </si>
  <si>
    <t>99807</t>
  </si>
  <si>
    <t>99816</t>
  </si>
  <si>
    <t>Foi considerado a área utiol de cada residência, com 47,46m² conforme anteptoejto.</t>
  </si>
  <si>
    <t>A contratada deverá desenvolver e detaçhas o anteprojeto entregue pela admnistração com riqueza de de detalhes executivos. Será nescessário aprenta-lo em uma prancha especifica pra tal</t>
  </si>
  <si>
    <t>A contratada deverá desenvolver e detalhar os anteprojetos entregues pela admnistração com riqueza de de detalhes executivos. Será nescessário aprenta-lo em uma prancha especifica pra cada projeto sendo estes 01 elétrico, 01 sanitário, 01 hiráulico e 01 estrutural, totalizando 04  projetos.</t>
  </si>
  <si>
    <t>a placa terá área de 3,6m x 1,8m = 6,48m² conforme padrão disponibilizado no site www.caixa.gov.br</t>
  </si>
  <si>
    <t>foi considerado um raio de 25km para locomoçaõ do equipamento, de forma que seráo necessários 50km em média para mobilização e desmobilização.</t>
  </si>
  <si>
    <t>Por se tratr de um só terreno a ser "sondado" foi estipulado uma so mobilização e desmobilização</t>
  </si>
  <si>
    <t>De acordo com a área dos lotes, entende-se que serão necessários 4 furo de sondagem com em média 20m cada, ou 4x20= 80 metros de furo de sondagem.</t>
  </si>
  <si>
    <t>Foi considerado um barracão de 3mx5m = 15m2.</t>
  </si>
  <si>
    <t>Serão locadas vinte unidades habitacionais.</t>
  </si>
  <si>
    <t>Serão preparados para cada unidade, 4,68m2 de fundo de vala, totalizando 93,6m2 para toda obra.</t>
  </si>
  <si>
    <t>Conforme projeto estrutural serão escavados 8,74m3 para cada unidade habitacional ou 174,8m3 pra obra toda</t>
  </si>
  <si>
    <t>Toda superficie de fundo de vala anteriormente preparada, recceberá lastro de concreto magro, sendo 4,68m3 por unidade e total para obra de 93,6m3.</t>
  </si>
  <si>
    <t>A armação de sapatas irá contar com 27,7kg por unidade habitacional de bitola 10mm, ou 1.014,00kg para toda obra.</t>
  </si>
  <si>
    <t>Cada unidade habitacional irá uitilizar 1,41m3 de concreto totalizando para toda obra 28,2m3.</t>
  </si>
  <si>
    <t>Conforme projeto estrutural serão escavados 5,46m3 para cada unidade habitacional ou 174,8m3 pra obra toda</t>
  </si>
  <si>
    <t>Toda superficie de fundo de vala anteriormente preparada, recceberá lastro de concreto magro, sendo 6,83m3 por unidade e total para obra de 136,6m3.</t>
  </si>
  <si>
    <t>de acordo com anteprojeto, serão necessarias 28,58m2 de forma para cada unidade ou 571,6m2 para toda obra</t>
  </si>
  <si>
    <t>A armação de baldrames irá contar com 80,4kg por unidade habitacional de bitola 8mm, ou 1.608,00kg para toda obra.</t>
  </si>
  <si>
    <t>A armação de baldrames irá contar com 39kg por unidade habitacional de bitola 5mm, ou 780,00kg para toda obra.</t>
  </si>
  <si>
    <t>A armação de balframes irá contar com 7,7kg por unidade habitacional de bitola 6,3mm, ou 154,00kg para toda obra.</t>
  </si>
  <si>
    <t>Cada unidade habitacional irá uitilizar 1,91m3 de concreto totalizando para toda obra 38,2m3.</t>
  </si>
  <si>
    <t>As área de baldrames a serem impermeabilizadas contaram com 33,93m2 de chapisco por unidade habitacional ou 679,00m2 para todo conjunto</t>
  </si>
  <si>
    <t>Serão necessárias 14,39m2 de formas de pilares para cada unidade habitacional, ou 287,8m2 para todo conjunto.</t>
  </si>
  <si>
    <t>Serão necessárias 20,54m2 de formas de vigas para cada unidade habitacional, ou 410,8m2 para todo conjunto</t>
  </si>
  <si>
    <t>A armação de pilares e vigas será com bitola de 5mm será de 70,4kg por unidade ou 1.408,00kg pelo conjunto.</t>
  </si>
  <si>
    <t>A armação de pilares e vigas será com bitola de 6,3mm será de 15,0kg por unidade ou 300,00kg pelo conjunto.</t>
  </si>
  <si>
    <t>A armação de pilares e vigas será com bitola de 8mm será de 63,39kg por unidade ou 1.306,00kg pelo conjunto.</t>
  </si>
  <si>
    <t>A armação de pilares e vigas será com bitola de 10mm será de 85,6kg por unidade ou 1.712,00kg pelo conjunto.</t>
  </si>
  <si>
    <t>O banheiro terá laje, onde ficara locada a caixa d'água, com área de 5,77m2 por unidade ou 115,4m2 para todo conjunto</t>
  </si>
  <si>
    <t>As formas de vigas não apoiadas em alvenaria terão área de 4,13m2 por unidade ou 82,6m2 para todo conjunto</t>
  </si>
  <si>
    <t>Cada unidade irá utilizar 1,28m3 de concreto para seu pilares, para todo conjunto serão utilizados 25,6m3 de concreto</t>
  </si>
  <si>
    <t>Serão utilizadas 16,2m de vergas conforme descrição para cada unidade, ou 524m para todo conjunto.</t>
  </si>
  <si>
    <t>A alvenria de cada unidade contará com uma área de 86,5m2 e para todo conjunto será necessário o total de 1.730,00m2.</t>
  </si>
  <si>
    <t>Serão utilizadas 9,2m de contravergas conforme descrição para cada unidade, ou 184m para todo conjunto.</t>
  </si>
  <si>
    <t>Cada conjunto contará com 3,36m2 de porta de alumínio e todo conjunto terá 67,2m2.</t>
  </si>
  <si>
    <t>Cada conjunto contará com 2,6m2 de janela de alumínio e todo conjunto terá 52m2.</t>
  </si>
  <si>
    <t>Cada conjunto contará com 2,8m2 de janela de alumínio e todo conjunto terá 56m2.</t>
  </si>
  <si>
    <t>Cada conjunto contará com 0,48m2 de janela de alumínio e todo conjunto terá 9,6m2.</t>
  </si>
  <si>
    <t>Cada unidade terá 3portas de madeira e para todo conjunto serão necessárias 60 portas.</t>
  </si>
  <si>
    <t>Foi considerada a projeção da cobertura e sua área é de 73,49m2 por unidade ou 1.469,80 para todo conjuntgo.</t>
  </si>
  <si>
    <t>A área imunizada terá 103,8m2 por unidade  ou 2.076,00m2</t>
  </si>
  <si>
    <t>Cada cumeeira da unidade terá 10,65m e serão necessários 106,5m de cumeerira para todo conjunto.</t>
  </si>
  <si>
    <t>A área útil de forro por unidade é de 35,9m2, serão necessários 718,00m2 para todo conjunto</t>
  </si>
  <si>
    <t>O chapisco interno  de teto terá área de 4,4m2 por unidade e 88,8 para todo conjunto</t>
  </si>
  <si>
    <t>O chapisco interno  de paredes terá área de 136,1m2 por unidade e 2.722,2 para todo conjunto.</t>
  </si>
  <si>
    <t>O emboco interno terá 23,49m2 de área por unidade e 469,8m2 por todo conjunto</t>
  </si>
  <si>
    <t>A massa única aplicada em paredes internas com áreas maior que 10m2 terá área de 32,56m2 por unidade e 651,20m2 para todo conjunto.</t>
  </si>
  <si>
    <t>A massa única aplicada em paredes internas áreas de 5m2 a 10m2 terá área de 80,05m2 por unidade e 1601,00m2 para todo conjunto.</t>
  </si>
  <si>
    <t>A massa única aplicada em tetos  terá área de 4,44m2 por unidade e 88,80m2 para todo conjunto.</t>
  </si>
  <si>
    <t>O revestimento aplicado cerâmico aplicado a meia altura da parede terá área de 19,65m2 por unidade e 393,00m2 para o conjunto total.</t>
  </si>
  <si>
    <t>O revestimento aplicado cerâmico aplicado na altura total parede terá área de 3,84m2 por unidade e 76,80m2 para o conjunto total.</t>
  </si>
  <si>
    <t>O chapisco aplicado nas fachadas com presença de vãos terá área de 30,35m2 por unidade e 607m2 para todo empreendimento</t>
  </si>
  <si>
    <t>O chapisco aplicado nas fachadas sem presença de vãos terá área de 30,45m2 por unidade e 609m2 para todo empreendimento</t>
  </si>
  <si>
    <t>O emboço aplicado nas fachadas sem presença de vãos terá área de 30,45m2 por unidade e 609m2 para todo empreendimento</t>
  </si>
  <si>
    <t>As paredes internas receberão preparação com fundo selador de área 112,61m2 sendo nescessário 2.252,2m2 para todo conjunto habitacional</t>
  </si>
  <si>
    <t>As paredes internas receberão tintura de área 112,61m2 sendo nescessário 2.252,2m2 para todo conjunto habitacional</t>
  </si>
  <si>
    <t>o teto receberá preparação com fundo selador de área 4,44m2 sendo nescessário 88,8m2 para todo conjunto habitacional</t>
  </si>
  <si>
    <t>o teto receberá pintura de área 4,44m2 sendo nescessário 88,8m2 para todo conjunto habitacional</t>
  </si>
  <si>
    <t>As paredes externas receberão preparação com fundo selador de área 60,8m2 sendo nescessário 1.216,0m2 para todo conjunto habitacional</t>
  </si>
  <si>
    <t>As paredes externas receberão pintura de área 60,8m2 sendo nescessário 1.216,0m2 para todo conjunto habitacional</t>
  </si>
  <si>
    <t>A portas de maderia tem área de 21m2 por unidade e 420m2 para todo conjunto.</t>
  </si>
  <si>
    <t>A área compactada receberá um lastro de brita com 10cm de espessura, rsultando em 5,39m3 por unidade ou 107,8m3 no total da obra</t>
  </si>
  <si>
    <t>O solo a ser compactado dentro dos cômodos teêm área de 53,87m2 totalizando 677,4m2 para todo conjunto</t>
  </si>
  <si>
    <t>A área compactada receberá um lona por toda sua extenção, ou 53,87m2 por  unidade e 677,4m2 pelo total da obra</t>
  </si>
  <si>
    <t>sobre a lona será executado o contrapiso em concreto. Ou lastro</t>
  </si>
  <si>
    <t>Nas áreas molhadas será aplicado contrapiso com argamassa com área de 15,13m2 por unidade totalizando 302,6m2 por todo conjunto</t>
  </si>
  <si>
    <t>Nas áreas secas será aplicado contrapiso com argamassa com área de 32,19m2 por unidade totalizando 643,8m2 por todo conjunto</t>
  </si>
  <si>
    <t>As áreas onde será aplicado revestimento para piso tipo cerâmico maiores que 10m2 utilizararão 19,1m2 para cada unidade ou 382,00m2 para todo conjunto habitacional</t>
  </si>
  <si>
    <t>As áreas onde será aplicado revestimento para piso tipo cerâmico entre 5m2 e 10m2 utilizararão 16,8m2 para cada unidade ou 336,00m2 para todo conjunto habitacional</t>
  </si>
  <si>
    <t>As áreas onde será aplicado revestimento para piso tipo cerâmico menores que 5m2  utilizararão 12,98m2 para cada unidade ou 259,60m2 para todo conjunto habitacional</t>
  </si>
  <si>
    <t>No entorno da obra terá uma calcada com 16,15m2 por unidade, desta forma todo conjunto terá o total de 323,00m2 de calçada</t>
  </si>
  <si>
    <t>o volume necessário para a concretagem das calçadas é de 1,13m3 por unidade ou 22,6m3 para todo conjunto.</t>
  </si>
  <si>
    <t>Para cada unidade serão usadas 2,52m de soleira sob as portas, portanto serão 50,4m para todo conjunto.</t>
  </si>
  <si>
    <t>Para cada unidade serão usadas 38,7m de rodapé, portanto serão 774,0m para todo conjunto.</t>
  </si>
  <si>
    <t>Para cada unidade serão usadas 6,5m de peitoris sob as janelas, portanto serão 130,0m para todo conjunto.</t>
  </si>
  <si>
    <t>Serão utilizados 2 disjuntores por unidade ou 40 unidades para todo conjunto.</t>
  </si>
  <si>
    <t>Será utilizado 01 disjuntor por unidade ou 20 unidades para todo conjunto.</t>
  </si>
  <si>
    <t>Será necessária 01 entrada de energia por unidade ou 20 unidades para todo conjunto.</t>
  </si>
  <si>
    <t>Será necessário 01 chuveiro por unidade ou 20 unidades para todo conjunto.</t>
  </si>
  <si>
    <t>Serão 7 luminárias para cada unidade, ou 140 unidades para todo conjunto</t>
  </si>
  <si>
    <t>Serão 7 lâmpadas para cada unidade, ou 140 unidades para todo conjunto</t>
  </si>
  <si>
    <t>Será utilizado 01 unidade de interruptore do modelo indicado por unidade habitacional e 20 unidades para todo conjunto</t>
  </si>
  <si>
    <t>Serão utilizados 05 unidades de interruptores do modelo indicado por unidade habitacional e 100 unidades para todo conjunto</t>
  </si>
  <si>
    <t>Serão executadas 10 tomadas baixas por unidade ou 200 uidades por todo conjunto habitacional.</t>
  </si>
  <si>
    <t>Serão executadas 06 tomadas médias por unidade ou 120 uidades por todo conjunto habitacional.</t>
  </si>
  <si>
    <t>Será executada 01 tomada alta por unidade ou 20 uidades por todo conjunto habitacional.</t>
  </si>
  <si>
    <t>Cada unidade receberá uma campainha contendo um interruptor e uma campainha do modelo descrito,no total to conjunto tera 20 interruptores e vinte campainhas</t>
  </si>
  <si>
    <t>cada unidade terá dois ponto com placa cega, sendo necessárias 40 placa para toda obra.</t>
  </si>
  <si>
    <t>Serão executadas 12 pontos de caixas baixas por unidade ou 240 uidades por todo conjunto habitacional.</t>
  </si>
  <si>
    <t>Será executada 02 pontos de caixa alta por unidade ou 40 uidades por todo conjunto habitacional.</t>
  </si>
  <si>
    <t>Serão executadas 13 pontos de caixa médias por unidade ou 260 uidades por todo conjunto habitacional.</t>
  </si>
  <si>
    <t>Serão utilizadas 7 caixas octogonais por unidade ou 140 unidades por todo conjunto habitacional</t>
  </si>
  <si>
    <t>Cada unidade utilizará 97,9m de cabos de bitola 1,5mm2 totalizando 1958m por todo conjunto</t>
  </si>
  <si>
    <t>Cada unidade utilizará 258,8m de cabos de bitola 2,5mm2 totalizando 5.176,00m por todo conjunto</t>
  </si>
  <si>
    <t>Cada unidade utilizará 24,8m de cabos de bitola 4mm2 totalizando 496m por todo conjunto</t>
  </si>
  <si>
    <t>Cada unidade utilizará 25,8m de cabos de bitola 10mm2  intalado em eletrocalhas totalizando 516m por todo conjunto</t>
  </si>
  <si>
    <t>Cada unidade utilizará 8,3m de cabos de bitola 10mm2  intalado na rede de distribuição totalizando 166m por todo conjunto</t>
  </si>
  <si>
    <t>Serão utilizados 44,7m de eletrodutos em forro por unidade ou 894m para todo conjunto habitacional</t>
  </si>
  <si>
    <t>Serão utilizados 58,3m de eletrodutos em paredes por unidade ou 1.666,00m para todo conjunto habitacional</t>
  </si>
  <si>
    <t>Serão utilizados 22,06m de eletrodutos em lajes por unidade ou 441,20m para todo conjunto habitacional</t>
  </si>
  <si>
    <t>101560</t>
  </si>
  <si>
    <t>Cada unodade contará com 4 tesouras sendo necessárias 80 tesouras no total.</t>
  </si>
  <si>
    <t>Serão necessárias 7 peças conforme descrição para atender cada unidade, de forma a serem previstas 140 peça spara todo conjunto.</t>
  </si>
  <si>
    <t>Serão necessárias 8 peças conforme descrição para atender cada unidade, de forma a serem previstas 160 peça spara todo conjunto.</t>
  </si>
  <si>
    <t>Serão necessárias 4 peças conforme descrição para atender cada unidade, de forma a serem previstas 80 peça spara todo conjunto.</t>
  </si>
  <si>
    <t>Serão necessários 5,10m de tubo 25mm (prumadas d'água) totalizando102 m para toda obra.</t>
  </si>
  <si>
    <t>Serão necessários 8,70m de tubo 25mm (ramais e sub-ramais) totalizando174 m para toda obra.</t>
  </si>
  <si>
    <t>Será necessário um registro conforme descrição para cada unidade, totalizando 20 registros no total da obra</t>
  </si>
  <si>
    <t>Serão necessários 03 registros conforme descrição para cada unidade, totalizando 60 registros no total da obra</t>
  </si>
  <si>
    <t>Serão necessários 02 registros conforme descrição para cada unidade, totalizando 40 registros no total da obra</t>
  </si>
  <si>
    <t>Serão necessários 04 engates conforme descrição para cada unidade, totalizando 80 registros no total da obra</t>
  </si>
  <si>
    <t>Cada unidade terá uma entrada de água, sendo necessários 20 kits.</t>
  </si>
  <si>
    <t>Serão necessários 3,0m de tubo 25mm (ramais e sub-ramais) totalizando 60 m para toda obra.</t>
  </si>
  <si>
    <t>Serão necessários 6,75m de tubo 25mm (prumadas d'água) totalizando 135 m para toda obra.</t>
  </si>
  <si>
    <t>Serão necessárias 2 peças conforme descrição para atender cada unidade, de forma a serem previstas 40 peça spara todo conjunto.</t>
  </si>
  <si>
    <t>Será necessária uma peça conforme descrição para atender cada unidade, de forma a serem previstas 20 peça spara todo conjunto.</t>
  </si>
  <si>
    <t>Cada unidade será munida de uma caixa d'água, totalizando 20 unidades para toda a obra.</t>
  </si>
  <si>
    <t>Em cada caixa será executado um furo conforme descriçao, sendo necessários 20 furos no total.</t>
  </si>
  <si>
    <t>Em cada caixa serão executados dois furos conforme descriçao, sendo necessários 40 furos no total.</t>
  </si>
  <si>
    <t>Serão necessárias duas peças conforme descrição para atender cada unidade, de forma a serem previstas 40 peças spara todo conjunto.</t>
  </si>
  <si>
    <t>Serão necessárias 3 peças conforme descrição para atender cada unidade, de forma a serem previstas 60 peça spara todo conjunto.</t>
  </si>
  <si>
    <t>Serão necessários 4,40m de tubo 25mm (ramais e sub-ramais) totalizando 88m para toda obra.</t>
  </si>
  <si>
    <t>Serão necessários 10,55m de tubo 32mm (ramais e sub-ramais) totalizando 211 m para toda obra.</t>
  </si>
  <si>
    <t>Serão necessárias 9 peças conforme descrição para atender cada unidade, de forma a serem previstas 180 peça spara todo conjunto.</t>
  </si>
  <si>
    <t>Serão usados 4m de tubo pvc para esgoto  de 50mm (prumadas) por unidade, sendo assim serão 80m para todo conjunto habitacional</t>
  </si>
  <si>
    <t>Serão usados 10,21m de tubo pvc para esgoto de 50mm (ramal de descarga) por unidade, sendo assim serão 204,2m para todo conjunto habitacional</t>
  </si>
  <si>
    <t>Serão usados 3,35m de tubo pvc para esgoto de 40mm por unidade, sendo assim serão 67m para todo conjunto habitacional</t>
  </si>
  <si>
    <t>Serão usados 33,8m de tubo pvc para esgoto de 100mm (ramal de descarga) por unidade, sendo assim serão 676m para todo conjunto habitacional</t>
  </si>
  <si>
    <t>Cada unidade irá receber 5 caixas de passagem, totalizando 100 caixas para todo conjunto.</t>
  </si>
  <si>
    <t>Cada unidade receberá uma unidade de caixa sifonada, uma de ralo sifonado e uma de ralo seco conforme descrição totalizando 20 unidades de cada item para todo a obra.</t>
  </si>
  <si>
    <t>Cada unidade irá receber  uma caixa de passagem, totalizando 20 caixas para todo conjunto.</t>
  </si>
  <si>
    <t>Será instalado um vaso sanitário em cada unidade, totalizando 20 unidades para todo conjunto habitacional.</t>
  </si>
  <si>
    <t>Será instalado um lavatório sanitário em cada unidade, totalizando 20 unidades para todo conjunto habitacional.</t>
  </si>
  <si>
    <t>Cada unidade receberá uma bancada de mármore, sendo necessárias 20 unidades para atender toda a obra.</t>
  </si>
  <si>
    <t>Será instalado um kit de acessórios em cada unidade, totalizando 20 unidades para todo conjunto habitacional.</t>
  </si>
  <si>
    <t>Será instalado um tanque em cada unidade, totalizando 20 unidades para todo conjunto habitacional.</t>
  </si>
  <si>
    <t>Será instalado um vaso sanitário em cada unidade, totalizando 20 unidades para todo conjunto habitacional que deverão ser limpas.</t>
  </si>
  <si>
    <t>Cada unidade receberá uma bancada de mármore, sendo necessárias 20 unidades para atender toda a obra cada uma com 0,72m2 de área a ser limpa..</t>
  </si>
  <si>
    <t>Cada unidade tem 16,15m2 de contrapiso a ser limpo num total de 323m2 para todo conjunto habitacional</t>
  </si>
  <si>
    <t>Cada unidade tem 35,9m2 de contrapiso a ser limpo num total de 518m2 para todo conjunto habitacional</t>
  </si>
  <si>
    <t>Cada unidade tem 47,46m2 de de piso cerâmico a ser limpo num total de 949,20m2 para todo conjunto habitacional</t>
  </si>
  <si>
    <t>Será instalado um vaso sanitário e um tanque em cada unidade, totalizando 90 unidades para todo conjunto habitacional a serem limpas</t>
  </si>
  <si>
    <t>Cada unidade tem 15,92m2 de de axulejo cerâmico a ser limpo num total de 318,40m2 para todo conjunto habitacional</t>
  </si>
  <si>
    <t>Cada unidade trerá 4m2 de janela a serem limpas, totalizando 80m2 em toda obra.</t>
  </si>
  <si>
    <t>Cada unidade trerá 16,8m2 de portas de madeira a serem limpas, totalizando 336m2 em toda obra.</t>
  </si>
  <si>
    <t>COMP 06</t>
  </si>
  <si>
    <t>O itemcontempla 22 horas mensais de engenheiro, 110 horas mensais de técnico de segurança e em período integral um encarregado de obras.</t>
  </si>
  <si>
    <t>PREFEITURA MUNICIPAL DE PIRANGUÇU-MG</t>
  </si>
  <si>
    <t>PIRANGUÇU-MG</t>
  </si>
  <si>
    <t>1. SERVIÇOS ANTERIORES AO INÍCIO DA OBRA</t>
  </si>
  <si>
    <t>3. ADMINISTRAÇÃO LOCAL</t>
  </si>
  <si>
    <t>NILCEZAR AUGUSTO PERES</t>
  </si>
  <si>
    <t>161.233/D-MG</t>
  </si>
  <si>
    <t>ANILSO LÉLIO DA SILVA</t>
  </si>
  <si>
    <t>PREFEITO MUNICIPAL</t>
  </si>
  <si>
    <t>CO-27431</t>
  </si>
  <si>
    <t>Serão necessários 3´pranchas diferentes, sendo uma da ampliação da rede pública, outra para iluminação da rua prevista no projeto e uma de detalhamentos  e especificaçõe s de materiais, baseado nas normas técnicas e orientações da fornecedora local de energia</t>
  </si>
  <si>
    <t>CONTRUÇÃO DE VINTE UNIDADES HABITACIONAIS</t>
  </si>
  <si>
    <t>ETAPA 03 - EXECUÇÃO UNIDADES 11 A 15</t>
  </si>
  <si>
    <t>ETAPA 02 - EXECUÇÃO DAS UNIDADES  DE 06 A 10</t>
  </si>
  <si>
    <t>ETAPA 01 - EXECUÇÃO DAS UNIDADES DE 01 A 05</t>
  </si>
  <si>
    <t>ETAPA 04 - EXECUÇÃO DAS UNIDADES  DE 16 A 20</t>
  </si>
  <si>
    <t>SERVIÇOS TÉCNICOS (PROJETOS, ORÇAMENTOS, SONDAGENS E OUTROS)</t>
  </si>
  <si>
    <t>INTALAÇÃO DE CANTEIRO (BARRACÃO, PLACA DE OBRA)</t>
  </si>
  <si>
    <t>PILARES</t>
  </si>
  <si>
    <t>VIGAS DE RESPALDO</t>
  </si>
  <si>
    <t>LAJES</t>
  </si>
  <si>
    <t>ALVENARIAS</t>
  </si>
  <si>
    <t>ESTRUTURA DE COBERTURA</t>
  </si>
  <si>
    <t>TELHAMENTO</t>
  </si>
  <si>
    <t>1. SERVIÇOS TÉCNICOS (PROJETOS, ORÇAMENTOS, SONDAGENS E OUTROS)</t>
  </si>
  <si>
    <t>2. INTALAÇÃO DE CANTEIRO (BARRACÃO, PLACA DE OBRA)</t>
  </si>
  <si>
    <t>SAPATAS (LOCAÇÃO,ESCAVAÇÕES, FORMAS, AÇO, CONCRETAGEM)</t>
  </si>
  <si>
    <t>BALDRAMES (ESCAVAÇÕES, FORMAS, AÇO, CONCRETAGEM)</t>
  </si>
  <si>
    <t>4. SAPATAS (LOCAÇÃO,ESCAVAÇÕES, FORMAS, AÇO, CONCRETAGEM)</t>
  </si>
  <si>
    <t>5. BALDRAMES (ESCAVAÇÕES, FORMAS, AÇO, CONCRETAGEM)</t>
  </si>
  <si>
    <t>6. IMPERMEABILIZAÇÕES</t>
  </si>
  <si>
    <t>8. PILARES</t>
  </si>
  <si>
    <t>7. VIGAS DE RESPALDO</t>
  </si>
  <si>
    <t>9. LAJES</t>
  </si>
  <si>
    <t>Cada unidade irá utilizar 1,78m3 de concreto para  suas vigas, para todo conjunto serão utilizados 25,6m3 de concreto</t>
  </si>
  <si>
    <t>10. ALVENARIAS</t>
  </si>
  <si>
    <t>ESQUADRIAS DE ALUMÍNIO</t>
  </si>
  <si>
    <t>ESQUADRIAS DE MADEIRA</t>
  </si>
  <si>
    <t>14. TELHAMENTO</t>
  </si>
  <si>
    <t>13. ESTRUTURA DE COBERTURA</t>
  </si>
  <si>
    <t>11. ESQUADRIAS DE ALUMÍNIO</t>
  </si>
  <si>
    <t>12. ESQUADRIAS DE MADEIRA</t>
  </si>
  <si>
    <t>FORROS</t>
  </si>
  <si>
    <t>15. FORROS</t>
  </si>
  <si>
    <t>REVESTIMENTOS INTERNOS DE PAREDES</t>
  </si>
  <si>
    <t>REVESTIMENTOS INTERNOS DE TETO</t>
  </si>
  <si>
    <t>REVESTIMENTOS INTERNOS DE PISO</t>
  </si>
  <si>
    <t>REVESTIMENTOS EXTERNOS DE PAREDES</t>
  </si>
  <si>
    <t>REVESTIMENTOS EXTERNOS DE PISO</t>
  </si>
  <si>
    <t>IMPERMEABILIZAÇÕES DE PISOS</t>
  </si>
  <si>
    <t>IMPERMEABILIZAÇÕES DE ESTRUTURAS DE FUNDAÇÃO</t>
  </si>
  <si>
    <t>18. REVESTIMENTOS INTERNOS DE PISO</t>
  </si>
  <si>
    <t>19. REVESTIMENTOS EXTERNOS DE PAREDES</t>
  </si>
  <si>
    <t>17. REVESTIMENTOS INTERNOS DE TETO</t>
  </si>
  <si>
    <t>16. REVESTIMENTOS INTERNOS DE PAREDES</t>
  </si>
  <si>
    <t>PINTURA DD PAREDES INTERNAS</t>
  </si>
  <si>
    <t>PINTURA DD TETO INTERNAS</t>
  </si>
  <si>
    <t>PINTURA DE PAREDES EXTERNAS</t>
  </si>
  <si>
    <t>PINTURA DE ESQUADRIA DE MADEIRA</t>
  </si>
  <si>
    <t>22. PINTURA DD PAREDES INTERNAS</t>
  </si>
  <si>
    <t>23. PINTURA DD TETO INTERNAS</t>
  </si>
  <si>
    <t>24. PINTURA DE PAREDES EXTERNAS</t>
  </si>
  <si>
    <t>25. PINTURA DE ESQUADRIA DE MADEIRA</t>
  </si>
  <si>
    <t>21. IMPERMEABILIZAÇÕES DE PISOS</t>
  </si>
  <si>
    <t>20. REVESTIMENTOS EXTERNOS DE PISO</t>
  </si>
  <si>
    <t>ACABAMENTO EM PEDRA NATURAL</t>
  </si>
  <si>
    <t>26. ACABAMENTO EM PEDRA NATURAL</t>
  </si>
  <si>
    <t>CAIXAS E DISJUNTORES</t>
  </si>
  <si>
    <t xml:space="preserve">FIOS E CABOS </t>
  </si>
  <si>
    <t>ENTRADA DE ENERGIA</t>
  </si>
  <si>
    <t>ENTRADA DE ÁGUA</t>
  </si>
  <si>
    <t>REDE PLUVIAL E ESGOTO</t>
  </si>
  <si>
    <t>ACABAMENTOS ELÉTRICOS</t>
  </si>
  <si>
    <t>27. CAIXAS E DISJUNTORES</t>
  </si>
  <si>
    <t xml:space="preserve">METAIS </t>
  </si>
  <si>
    <t>EQUIPAMENTOS</t>
  </si>
  <si>
    <t>ELÉTRICA EMBUTIDA EM PAREDE</t>
  </si>
  <si>
    <t>HIDRÁULICA EMBUTIDA EM PAREDE</t>
  </si>
  <si>
    <t xml:space="preserve">28. FIOS E CABOS </t>
  </si>
  <si>
    <t>29. ENTRADA DE ENERGIA</t>
  </si>
  <si>
    <t>ELÉTRICA EMBITIDA EM LAJE E FORROS</t>
  </si>
  <si>
    <t>30. ENTRADA DE ÁGUA</t>
  </si>
  <si>
    <t>RESERVATÓRIO DE ÁGUA</t>
  </si>
  <si>
    <t>PLASTICOS E SINTÉTICOS</t>
  </si>
  <si>
    <t>LIMPEZA FINAL DA OBRA</t>
  </si>
  <si>
    <t>35. EQUIPAMENTOS</t>
  </si>
  <si>
    <t>32. ACABAMENTOS ELÉTRICOS</t>
  </si>
  <si>
    <t>37. ELÉTRICA EMBUTIDA EM PAREDE</t>
  </si>
  <si>
    <t>36. ELÉTRICA EMBITIDA EM LAJE</t>
  </si>
  <si>
    <t>36. ELÉTRICA EMBITIDA EM LAJE E FORROS</t>
  </si>
  <si>
    <t>38. HIDRÁULICA EMBUTIDA EM PAREDE</t>
  </si>
  <si>
    <t>39. RESERVATÓRIO DE ÁGUA</t>
  </si>
  <si>
    <t>31. REDE PLUVIAL E ESGOTO</t>
  </si>
  <si>
    <t>33. LOUÇAS</t>
  </si>
  <si>
    <t>40. PLASTICOS E SINTÉTICOS</t>
  </si>
  <si>
    <t xml:space="preserve">34. METAIS </t>
  </si>
  <si>
    <t>41. LIMPEZA FINAL DA OBRA</t>
  </si>
  <si>
    <t>MÊS 01</t>
  </si>
  <si>
    <t>MÊS 02</t>
  </si>
  <si>
    <t>MÊS 03</t>
  </si>
  <si>
    <t>MÊS 04</t>
  </si>
  <si>
    <t>MÊS 05</t>
  </si>
  <si>
    <t>MÊS 06</t>
  </si>
  <si>
    <t>MÊS 07</t>
  </si>
  <si>
    <t>MÊS 08</t>
  </si>
  <si>
    <t>MÊS 09</t>
  </si>
  <si>
    <t>Cada conjunto terá 3,21m3 de raterro</t>
  </si>
  <si>
    <t>Cada conjunto de sapatassapata tera 7,09m³ de reatrro</t>
  </si>
  <si>
    <t>De acordo com anteprojeto, serão necessarias 14,56m2 de forma para cada unidade ou 291,2m2 para toda obra</t>
  </si>
  <si>
    <t>MG2025435540</t>
  </si>
  <si>
    <t>1103833-63</t>
  </si>
  <si>
    <t>39994/2025</t>
  </si>
  <si>
    <t>100863</t>
  </si>
  <si>
    <t>100867</t>
  </si>
  <si>
    <t>100875</t>
  </si>
  <si>
    <t>Serão instaladas 03 unidades de barra de apoio em cada residência acessivel semdo uma para idoso e uma para PNE</t>
  </si>
  <si>
    <t>Serão instaladas 02 unidades de barra de apoio em cada residência acessivel semdo uma para idoso e uma para PNE</t>
  </si>
  <si>
    <t>Serão instaladas 01 unidade de banco articulado em cada residência acessivel semdo uma para idoso e uma para PNE</t>
  </si>
  <si>
    <t>ED-20579</t>
  </si>
  <si>
    <t xml:space="preserve">PROJETOS (OS PROJETOS INDICADOS SE REFEREM A PROJETOS BÁSICOS E EXECUTIVOS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</si>
</sst>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style="thin">
        <color auto="1"/>
      </top>
      <bottom style="thin">
        <color auto="1"/>
      </bottom>
      <diagonal/>
    </border>
    <border>
      <left style="hair">
        <color indexed="8"/>
      </left>
      <right style="hair">
        <color indexed="8"/>
      </right>
      <top style="thin">
        <color indexed="8"/>
      </top>
      <bottom style="thin">
        <color indexed="8"/>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905">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0" fillId="0" borderId="0" xfId="0"/>
    <xf numFmtId="0" fontId="0" fillId="0" borderId="0" xfId="0"/>
    <xf numFmtId="0" fontId="0" fillId="0" borderId="0" xfId="0"/>
    <xf numFmtId="0" fontId="0" fillId="0" borderId="0" xfId="0" applyAlignment="1">
      <alignment horizontal="center"/>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0" xfId="0"/>
    <xf numFmtId="0" fontId="0" fillId="0" borderId="135" xfId="0" applyBorder="1" applyAlignment="1">
      <alignment horizontal="center"/>
    </xf>
    <xf numFmtId="0" fontId="0" fillId="0" borderId="0" xfId="0" applyAlignment="1">
      <alignment horizontal="center"/>
    </xf>
    <xf numFmtId="0" fontId="0" fillId="0" borderId="0" xfId="0"/>
    <xf numFmtId="0" fontId="0" fillId="0" borderId="0" xfId="0"/>
    <xf numFmtId="0" fontId="24" fillId="0" borderId="0" xfId="0" applyFont="1" applyAlignment="1">
      <alignment horizontal="center" wrapText="1"/>
    </xf>
    <xf numFmtId="0" fontId="0" fillId="0" borderId="0" xfId="0"/>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0" fillId="0" borderId="0" xfId="0" applyAlignment="1">
      <alignment horizontal="center"/>
    </xf>
    <xf numFmtId="0" fontId="0" fillId="0" borderId="0" xfId="0"/>
    <xf numFmtId="0" fontId="0" fillId="0" borderId="0" xfId="0"/>
    <xf numFmtId="0" fontId="0" fillId="0" borderId="0" xfId="0"/>
    <xf numFmtId="0" fontId="80" fillId="0" borderId="0" xfId="0" applyFont="1" applyAlignment="1">
      <alignment horizontal="center" vertical="center"/>
    </xf>
    <xf numFmtId="0" fontId="0" fillId="0" borderId="0" xfId="0" applyAlignment="1">
      <alignment horizontal="center"/>
    </xf>
    <xf numFmtId="0" fontId="0" fillId="0" borderId="0" xfId="0"/>
    <xf numFmtId="0" fontId="0" fillId="0" borderId="142" xfId="0" applyBorder="1"/>
    <xf numFmtId="0" fontId="0" fillId="0" borderId="141" xfId="0" applyBorder="1"/>
    <xf numFmtId="0" fontId="0" fillId="0" borderId="141" xfId="0" applyBorder="1" applyAlignment="1">
      <alignment horizontal="center"/>
    </xf>
    <xf numFmtId="10" fontId="0" fillId="0" borderId="141" xfId="0" applyNumberFormat="1" applyBorder="1" applyAlignment="1">
      <alignment horizontal="center"/>
    </xf>
    <xf numFmtId="0" fontId="38" fillId="0" borderId="0" xfId="0" applyFont="1" applyAlignment="1">
      <alignment horizontal="center"/>
    </xf>
    <xf numFmtId="0" fontId="38" fillId="0" borderId="141" xfId="0" applyFont="1" applyBorder="1"/>
    <xf numFmtId="0" fontId="0" fillId="0" borderId="0" xfId="0" applyAlignment="1">
      <alignment horizontal="left"/>
    </xf>
    <xf numFmtId="0" fontId="56" fillId="0" borderId="143" xfId="50" applyFont="1" applyBorder="1" applyAlignment="1">
      <alignment horizontal="center" vertical="center" wrapText="1"/>
    </xf>
    <xf numFmtId="49" fontId="56" fillId="0" borderId="143" xfId="50" applyNumberFormat="1" applyFont="1" applyBorder="1" applyAlignment="1">
      <alignment horizontal="center" vertical="center" wrapText="1"/>
    </xf>
    <xf numFmtId="49" fontId="56" fillId="0" borderId="143" xfId="50" quotePrefix="1" applyNumberFormat="1" applyFont="1" applyBorder="1" applyAlignment="1">
      <alignment horizontal="center" vertical="center" wrapText="1"/>
    </xf>
    <xf numFmtId="4" fontId="56" fillId="28" borderId="143" xfId="50" applyNumberFormat="1" applyFont="1" applyFill="1" applyBorder="1" applyAlignment="1">
      <alignment horizontal="center" vertical="center"/>
    </xf>
    <xf numFmtId="189" fontId="56" fillId="0" borderId="143" xfId="50" applyNumberFormat="1" applyFont="1" applyBorder="1" applyAlignment="1">
      <alignment horizontal="center" vertical="center"/>
    </xf>
    <xf numFmtId="2" fontId="56" fillId="0" borderId="143" xfId="50" applyNumberFormat="1" applyFont="1" applyBorder="1" applyAlignment="1">
      <alignment horizontal="center" vertical="center"/>
    </xf>
    <xf numFmtId="189" fontId="56" fillId="28" borderId="143" xfId="50" applyNumberFormat="1" applyFont="1" applyFill="1" applyBorder="1" applyAlignment="1">
      <alignment horizontal="center" vertical="center"/>
    </xf>
    <xf numFmtId="189" fontId="56" fillId="28" borderId="143" xfId="50" applyNumberFormat="1" applyFont="1" applyFill="1" applyBorder="1" applyAlignment="1">
      <alignment horizontal="center" vertical="center" wrapText="1"/>
    </xf>
    <xf numFmtId="1" fontId="56" fillId="0" borderId="143" xfId="50" applyNumberFormat="1" applyFont="1" applyBorder="1" applyAlignment="1">
      <alignment horizontal="center" vertical="center" wrapText="1"/>
    </xf>
    <xf numFmtId="4" fontId="56" fillId="0" borderId="143" xfId="50" applyNumberFormat="1" applyFont="1" applyBorder="1" applyAlignment="1">
      <alignment horizontal="center" vertical="center"/>
    </xf>
    <xf numFmtId="0" fontId="0" fillId="0" borderId="0" xfId="0"/>
    <xf numFmtId="0" fontId="0" fillId="0" borderId="0" xfId="0"/>
    <xf numFmtId="0" fontId="0" fillId="0" borderId="39" xfId="0" applyBorder="1" applyAlignment="1">
      <alignment horizontal="left"/>
    </xf>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0" applyAlignment="1">
      <alignment horizontal="center"/>
    </xf>
    <xf numFmtId="0" fontId="0" fillId="0" borderId="39" xfId="0" applyBorder="1" applyAlignment="1">
      <alignment horizontal="left"/>
    </xf>
    <xf numFmtId="0" fontId="0" fillId="0" borderId="0" xfId="0" applyAlignment="1">
      <alignment horizontal="left"/>
    </xf>
    <xf numFmtId="0" fontId="0" fillId="0" borderId="0" xfId="0"/>
    <xf numFmtId="0" fontId="0" fillId="0" borderId="0" xfId="0" applyAlignment="1">
      <alignment horizontal="center"/>
    </xf>
    <xf numFmtId="0" fontId="0" fillId="0" borderId="39" xfId="0" applyBorder="1" applyAlignment="1">
      <alignment horizontal="left"/>
    </xf>
    <xf numFmtId="0" fontId="0" fillId="0" borderId="0" xfId="0"/>
    <xf numFmtId="0" fontId="0" fillId="0" borderId="0" xfId="0" applyAlignment="1">
      <alignment horizontal="center"/>
    </xf>
    <xf numFmtId="0" fontId="0" fillId="0" borderId="0" xfId="0" applyAlignment="1">
      <alignment horizontal="left"/>
    </xf>
    <xf numFmtId="0" fontId="0" fillId="0" borderId="0" xfId="0"/>
    <xf numFmtId="0" fontId="0" fillId="0" borderId="0" xfId="33" applyFont="1" applyAlignment="1">
      <alignment vertical="center"/>
    </xf>
    <xf numFmtId="0" fontId="0" fillId="6" borderId="144" xfId="0" applyFill="1" applyBorder="1" applyAlignment="1" applyProtection="1">
      <alignment horizontal="center" textRotation="90" wrapText="1"/>
      <protection locked="0"/>
    </xf>
    <xf numFmtId="0" fontId="0" fillId="0" borderId="0" xfId="0" applyAlignment="1">
      <alignment horizontal="center"/>
    </xf>
    <xf numFmtId="0" fontId="0" fillId="0" borderId="0" xfId="0" applyAlignment="1">
      <alignment horizontal="left"/>
    </xf>
    <xf numFmtId="0" fontId="0" fillId="0" borderId="0" xfId="0"/>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4" fontId="0" fillId="6" borderId="46" xfId="0" applyNumberFormat="1" applyFill="1" applyBorder="1" applyAlignment="1" applyProtection="1">
      <alignment horizontal="center"/>
      <protection locked="0"/>
    </xf>
    <xf numFmtId="10" fontId="56" fillId="0" borderId="33" xfId="37" applyNumberFormat="1" applyFill="1" applyBorder="1" applyAlignment="1" applyProtection="1">
      <alignment horizontal="center"/>
    </xf>
    <xf numFmtId="176" fontId="24" fillId="8" borderId="31" xfId="0" applyNumberFormat="1" applyFont="1" applyFill="1" applyBorder="1" applyAlignment="1">
      <alignment horizontal="center" shrinkToFit="1"/>
    </xf>
    <xf numFmtId="10" fontId="56" fillId="0" borderId="30" xfId="37" applyNumberFormat="1" applyFill="1" applyBorder="1" applyAlignment="1" applyProtection="1">
      <alignment horizontal="center"/>
    </xf>
    <xf numFmtId="177" fontId="56" fillId="0" borderId="13" xfId="48" applyNumberFormat="1" applyFill="1" applyBorder="1" applyAlignment="1" applyProtection="1">
      <alignment horizontal="center" shrinkToFit="1"/>
    </xf>
    <xf numFmtId="0" fontId="0" fillId="18" borderId="39" xfId="0" applyFill="1" applyBorder="1"/>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0" fontId="31" fillId="0" borderId="99" xfId="0" applyFont="1" applyBorder="1" applyAlignment="1">
      <alignment horizontal="center" vertical="top" wrapText="1"/>
    </xf>
    <xf numFmtId="0" fontId="24" fillId="0" borderId="31" xfId="0" applyFont="1" applyBorder="1" applyAlignment="1">
      <alignment horizontal="right" vertical="center"/>
    </xf>
    <xf numFmtId="14" fontId="0" fillId="6" borderId="36" xfId="0" applyNumberFormat="1" applyFill="1" applyBorder="1" applyAlignment="1" applyProtection="1">
      <alignment horizontal="center"/>
      <protection locked="0"/>
    </xf>
    <xf numFmtId="10" fontId="56" fillId="0" borderId="78" xfId="37" applyNumberFormat="1" applyFill="1" applyBorder="1" applyAlignment="1" applyProtection="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00000000-0005-0000-0000-000023000000}"/>
    <cellStyle name="Normal_FICHA DE VERIFICAÇÃO PRELIMINAR - Plano R" xfId="35" xr:uid="{00000000-0005-0000-0000-000024000000}"/>
    <cellStyle name="Nota" xfId="36" builtinId="10" customBuiltin="1"/>
    <cellStyle name="Porcentagem" xfId="37" builtinId="5"/>
    <cellStyle name="Porcentagem 2" xfId="38" xr:uid="{00000000-0005-0000-0000-000027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F000000}"/>
    <cellStyle name="Total" xfId="47" builtinId="25" customBuiltin="1"/>
    <cellStyle name="Vírgula" xfId="48" builtinId="3"/>
    <cellStyle name="Vírgula 2" xfId="49" xr:uid="{00000000-0005-0000-0000-000032000000}"/>
  </cellStyles>
  <dxfs count="921">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204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twoCellAnchor>
    <xdr:from>
      <xdr:col>13</xdr:col>
      <xdr:colOff>1428751</xdr:colOff>
      <xdr:row>2</xdr:row>
      <xdr:rowOff>28575</xdr:rowOff>
    </xdr:from>
    <xdr:to>
      <xdr:col>13</xdr:col>
      <xdr:colOff>2564131</xdr:colOff>
      <xdr:row>4</xdr:row>
      <xdr:rowOff>11430</xdr:rowOff>
    </xdr:to>
    <xdr:sp macro="[0]!RESET_PM" textlink="">
      <xdr:nvSpPr>
        <xdr:cNvPr id="4" name="Bot.ImprimirProposta">
          <a:extLst>
            <a:ext uri="{FF2B5EF4-FFF2-40B4-BE49-F238E27FC236}">
              <a16:creationId xmlns:a16="http://schemas.microsoft.com/office/drawing/2014/main" id="{00000000-0008-0000-0100-000004000000}"/>
            </a:ext>
          </a:extLst>
        </xdr:cNvPr>
        <xdr:cNvSpPr>
          <a:spLocks noChangeArrowheads="1"/>
        </xdr:cNvSpPr>
      </xdr:nvSpPr>
      <xdr:spPr bwMode="auto">
        <a:xfrm>
          <a:off x="13192126" y="50482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RESET</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3">
    <pageSetUpPr fitToPage="1"/>
  </sheetPr>
  <dimension ref="A3:E193"/>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8" t="s">
        <v>3</v>
      </c>
    </row>
    <row r="9" spans="1:4" ht="15" x14ac:dyDescent="0.25">
      <c r="A9" s="4"/>
      <c r="B9" s="47"/>
      <c r="C9" s="48" t="str">
        <f>IF(D9&lt;&gt;"","▪","")</f>
        <v/>
      </c>
      <c r="D9" s="498"/>
    </row>
    <row r="10" spans="1:4" ht="18.75" x14ac:dyDescent="0.3">
      <c r="A10" s="600" t="s">
        <v>4</v>
      </c>
      <c r="B10" s="601"/>
      <c r="C10" s="601"/>
      <c r="D10" s="602"/>
    </row>
    <row r="11" spans="1:4" ht="15" x14ac:dyDescent="0.25">
      <c r="A11" s="4"/>
      <c r="B11" s="47" t="s">
        <v>2</v>
      </c>
      <c r="C11" s="47"/>
      <c r="D11" s="498"/>
    </row>
    <row r="12" spans="1:4" ht="15" x14ac:dyDescent="0.25">
      <c r="A12" s="4"/>
      <c r="B12" s="47"/>
      <c r="C12" s="48" t="str">
        <f>IF(D12&lt;&gt;"","▪","")</f>
        <v>▪</v>
      </c>
      <c r="D12" s="498" t="s">
        <v>5</v>
      </c>
    </row>
    <row r="13" spans="1:4" ht="15" x14ac:dyDescent="0.25">
      <c r="A13" s="4"/>
      <c r="B13" s="47" t="s">
        <v>6</v>
      </c>
      <c r="C13" s="47"/>
      <c r="D13" s="498"/>
    </row>
    <row r="14" spans="1:4" ht="15" x14ac:dyDescent="0.25">
      <c r="A14" s="414"/>
      <c r="B14" s="47"/>
      <c r="C14" s="48" t="str">
        <f>IF(D14&lt;&gt;"","▪","")</f>
        <v>▪</v>
      </c>
      <c r="D14" s="498" t="s">
        <v>7</v>
      </c>
    </row>
    <row r="15" spans="1:4" ht="15" x14ac:dyDescent="0.2">
      <c r="A15" s="414"/>
      <c r="C15" s="48" t="str">
        <f>IF(D15&lt;&gt;"","▪","")</f>
        <v>▪</v>
      </c>
      <c r="D15" s="498" t="s">
        <v>8</v>
      </c>
    </row>
    <row r="16" spans="1:4" x14ac:dyDescent="0.2">
      <c r="A16" s="418"/>
      <c r="D16" s="86"/>
    </row>
    <row r="17" spans="1:4" ht="18.75" x14ac:dyDescent="0.3">
      <c r="A17" s="600" t="s">
        <v>9</v>
      </c>
      <c r="B17" s="601"/>
      <c r="C17" s="601"/>
      <c r="D17" s="602"/>
    </row>
    <row r="18" spans="1:4" ht="15" x14ac:dyDescent="0.25">
      <c r="A18" s="4"/>
      <c r="B18" s="47" t="s">
        <v>2</v>
      </c>
      <c r="C18" s="47"/>
      <c r="D18" s="498"/>
    </row>
    <row r="19" spans="1:4" ht="15" x14ac:dyDescent="0.25">
      <c r="A19" s="4"/>
      <c r="B19" s="47"/>
      <c r="C19" s="48" t="str">
        <f>IF(D19&lt;&gt;"","▪","")</f>
        <v>▪</v>
      </c>
      <c r="D19" s="498" t="s">
        <v>5</v>
      </c>
    </row>
    <row r="20" spans="1:4" ht="15" x14ac:dyDescent="0.25">
      <c r="A20" s="4"/>
      <c r="B20" s="47"/>
      <c r="C20" s="48" t="str">
        <f>IF(D20&lt;&gt;"","▪","")</f>
        <v>▪</v>
      </c>
      <c r="D20" s="498" t="s">
        <v>10</v>
      </c>
    </row>
    <row r="21" spans="1:4" ht="15" x14ac:dyDescent="0.25">
      <c r="A21" s="414"/>
      <c r="B21" s="47" t="s">
        <v>11</v>
      </c>
      <c r="C21" s="47"/>
      <c r="D21" s="498"/>
    </row>
    <row r="22" spans="1:4" ht="15" x14ac:dyDescent="0.25">
      <c r="A22" s="414"/>
      <c r="B22" s="47"/>
      <c r="C22" s="48" t="str">
        <f>IF(D22&lt;&gt;"","▪","")</f>
        <v>▪</v>
      </c>
      <c r="D22" s="498" t="s">
        <v>12</v>
      </c>
    </row>
    <row r="23" spans="1:4" ht="15" x14ac:dyDescent="0.25">
      <c r="A23" s="414"/>
      <c r="B23" s="47" t="s">
        <v>13</v>
      </c>
      <c r="C23" s="47"/>
      <c r="D23" s="498"/>
    </row>
    <row r="24" spans="1:4" ht="15" x14ac:dyDescent="0.25">
      <c r="A24" s="414"/>
      <c r="B24" s="47"/>
      <c r="C24" s="48" t="str">
        <f>IF(D24&lt;&gt;"","▪","")</f>
        <v>▪</v>
      </c>
      <c r="D24" s="498" t="s">
        <v>14</v>
      </c>
    </row>
    <row r="25" spans="1:4" ht="15" x14ac:dyDescent="0.25">
      <c r="A25" s="414"/>
      <c r="B25" s="47" t="s">
        <v>15</v>
      </c>
      <c r="C25" s="47"/>
      <c r="D25" s="498"/>
    </row>
    <row r="26" spans="1:4" ht="15" x14ac:dyDescent="0.25">
      <c r="A26" s="414"/>
      <c r="B26" s="47"/>
      <c r="C26" s="48" t="str">
        <f>IF(D26&lt;&gt;"","▪","")</f>
        <v>▪</v>
      </c>
      <c r="D26" s="498" t="s">
        <v>16</v>
      </c>
    </row>
    <row r="27" spans="1:4" ht="15" x14ac:dyDescent="0.25">
      <c r="A27" s="414"/>
      <c r="B27" s="47" t="s">
        <v>17</v>
      </c>
      <c r="C27" s="47"/>
      <c r="D27" s="498"/>
    </row>
    <row r="28" spans="1:4" ht="15" x14ac:dyDescent="0.25">
      <c r="A28" s="414"/>
      <c r="B28" s="47"/>
      <c r="C28" s="48" t="str">
        <f>IF(D28&lt;&gt;"","▪","")</f>
        <v>▪</v>
      </c>
      <c r="D28" s="498" t="s">
        <v>18</v>
      </c>
    </row>
    <row r="29" spans="1:4" x14ac:dyDescent="0.2">
      <c r="A29" s="418"/>
      <c r="D29" s="86"/>
    </row>
    <row r="30" spans="1:4" ht="18.75" x14ac:dyDescent="0.3">
      <c r="A30" s="600" t="s">
        <v>19</v>
      </c>
      <c r="B30" s="601"/>
      <c r="C30" s="601"/>
      <c r="D30" s="602"/>
    </row>
    <row r="31" spans="1:4" ht="15" x14ac:dyDescent="0.25">
      <c r="A31" s="4"/>
      <c r="B31" s="47" t="s">
        <v>2</v>
      </c>
      <c r="C31" s="47"/>
      <c r="D31" s="498"/>
    </row>
    <row r="32" spans="1:4" ht="15" x14ac:dyDescent="0.25">
      <c r="A32" s="4"/>
      <c r="B32" s="47"/>
      <c r="C32" s="48" t="str">
        <f>IF(D32&lt;&gt;"","▪","")</f>
        <v>▪</v>
      </c>
      <c r="D32" s="498" t="s">
        <v>10</v>
      </c>
    </row>
    <row r="33" spans="1:5" ht="15" x14ac:dyDescent="0.25">
      <c r="A33" s="4"/>
      <c r="B33" s="47" t="s">
        <v>20</v>
      </c>
      <c r="C33" s="48"/>
      <c r="D33" s="498"/>
    </row>
    <row r="34" spans="1:5" ht="15" x14ac:dyDescent="0.25">
      <c r="A34" s="4"/>
      <c r="B34" s="47"/>
      <c r="C34" s="48" t="str">
        <f>IF(D34&lt;&gt;"","▪","")</f>
        <v>▪</v>
      </c>
      <c r="D34" s="498" t="s">
        <v>21</v>
      </c>
    </row>
    <row r="35" spans="1:5" ht="15" x14ac:dyDescent="0.25">
      <c r="A35" s="4"/>
      <c r="B35" s="47"/>
      <c r="C35" s="47"/>
      <c r="D35" s="499"/>
      <c r="E35" s="47"/>
    </row>
    <row r="36" spans="1:5" x14ac:dyDescent="0.2">
      <c r="A36" s="418"/>
      <c r="D36" s="86"/>
    </row>
    <row r="37" spans="1:5" ht="18.75" x14ac:dyDescent="0.3">
      <c r="A37" s="600" t="s">
        <v>22</v>
      </c>
      <c r="B37" s="601"/>
      <c r="C37" s="601"/>
      <c r="D37" s="602"/>
    </row>
    <row r="38" spans="1:5" ht="15" x14ac:dyDescent="0.25">
      <c r="A38" s="4"/>
      <c r="B38" s="47" t="s">
        <v>23</v>
      </c>
      <c r="C38" s="47"/>
      <c r="D38" s="498"/>
    </row>
    <row r="39" spans="1:5" ht="15" x14ac:dyDescent="0.25">
      <c r="A39" s="4"/>
      <c r="B39" s="47"/>
      <c r="C39" s="48" t="str">
        <f>IF(D39&lt;&gt;"","▪","")</f>
        <v>▪</v>
      </c>
      <c r="D39" s="498" t="s">
        <v>24</v>
      </c>
    </row>
    <row r="40" spans="1:5" ht="15" x14ac:dyDescent="0.25">
      <c r="A40" s="4"/>
      <c r="B40" s="47" t="s">
        <v>13</v>
      </c>
      <c r="C40" s="47"/>
      <c r="D40" s="498"/>
    </row>
    <row r="41" spans="1:5" ht="15" x14ac:dyDescent="0.25">
      <c r="A41" s="4"/>
      <c r="B41" s="47"/>
      <c r="C41" s="48" t="str">
        <f>IF(D41&lt;&gt;"","▪","")</f>
        <v>▪</v>
      </c>
      <c r="D41" s="498" t="s">
        <v>25</v>
      </c>
    </row>
    <row r="42" spans="1:5" ht="15" x14ac:dyDescent="0.25">
      <c r="A42" s="4"/>
      <c r="B42" s="47" t="s">
        <v>15</v>
      </c>
      <c r="C42" s="47"/>
      <c r="D42" s="498"/>
      <c r="E42" s="47"/>
    </row>
    <row r="43" spans="1:5" ht="15" x14ac:dyDescent="0.25">
      <c r="A43" s="4"/>
      <c r="B43" s="47"/>
      <c r="C43" s="48" t="str">
        <f>IF(D43&lt;&gt;"","▪","")</f>
        <v>▪</v>
      </c>
      <c r="D43" s="498" t="s">
        <v>26</v>
      </c>
    </row>
    <row r="44" spans="1:5" ht="15" x14ac:dyDescent="0.25">
      <c r="A44" s="4"/>
      <c r="B44" s="47"/>
      <c r="C44" s="47"/>
      <c r="D44" s="499"/>
    </row>
    <row r="45" spans="1:5" ht="18.75" x14ac:dyDescent="0.3">
      <c r="A45" s="600" t="s">
        <v>27</v>
      </c>
      <c r="B45" s="601"/>
      <c r="C45" s="601"/>
      <c r="D45" s="602"/>
    </row>
    <row r="46" spans="1:5" ht="15" x14ac:dyDescent="0.25">
      <c r="A46" s="4"/>
      <c r="B46" s="47" t="s">
        <v>2</v>
      </c>
      <c r="C46" s="47"/>
      <c r="D46" s="498"/>
    </row>
    <row r="47" spans="1:5" ht="15" x14ac:dyDescent="0.25">
      <c r="A47" s="4"/>
      <c r="B47" s="47"/>
      <c r="C47" s="48" t="str">
        <f>IF(D47&lt;&gt;"","▪","")</f>
        <v>▪</v>
      </c>
      <c r="D47" s="498" t="s">
        <v>28</v>
      </c>
    </row>
    <row r="48" spans="1:5" ht="15" x14ac:dyDescent="0.25">
      <c r="A48" s="4"/>
      <c r="B48" s="47"/>
      <c r="C48" s="47"/>
      <c r="D48" s="499"/>
    </row>
    <row r="49" spans="1:4" ht="18.75" x14ac:dyDescent="0.3">
      <c r="A49" s="600" t="s">
        <v>29</v>
      </c>
      <c r="B49" s="601"/>
      <c r="C49" s="601"/>
      <c r="D49" s="602"/>
    </row>
    <row r="50" spans="1:4" ht="15" x14ac:dyDescent="0.25">
      <c r="A50" s="4"/>
      <c r="B50" s="47" t="s">
        <v>2</v>
      </c>
      <c r="C50" s="47"/>
      <c r="D50" s="498"/>
    </row>
    <row r="51" spans="1:4" ht="15" x14ac:dyDescent="0.25">
      <c r="A51" s="4"/>
      <c r="B51" s="47"/>
      <c r="C51" s="48" t="str">
        <f>IF(D51&lt;&gt;"","▪","")</f>
        <v>▪</v>
      </c>
      <c r="D51" s="498" t="s">
        <v>30</v>
      </c>
    </row>
    <row r="52" spans="1:4" ht="15" x14ac:dyDescent="0.25">
      <c r="A52" s="4"/>
      <c r="B52" s="47"/>
      <c r="C52" s="48" t="str">
        <f>IF(D52&lt;&gt;"","▪","")</f>
        <v>▪</v>
      </c>
      <c r="D52" s="498" t="s">
        <v>31</v>
      </c>
    </row>
    <row r="53" spans="1:4" ht="15" x14ac:dyDescent="0.25">
      <c r="A53" s="4"/>
      <c r="B53" s="47"/>
      <c r="C53" s="47"/>
      <c r="D53" s="499"/>
    </row>
    <row r="54" spans="1:4" ht="18.75" x14ac:dyDescent="0.3">
      <c r="A54" s="603" t="s">
        <v>32</v>
      </c>
      <c r="B54" s="601"/>
      <c r="C54" s="601"/>
      <c r="D54" s="602"/>
    </row>
    <row r="55" spans="1:4" ht="15" x14ac:dyDescent="0.25">
      <c r="A55" s="414"/>
      <c r="B55" s="47" t="s">
        <v>2</v>
      </c>
      <c r="C55" s="47"/>
      <c r="D55" s="498"/>
    </row>
    <row r="56" spans="1:4" ht="15" x14ac:dyDescent="0.25">
      <c r="A56" s="414"/>
      <c r="B56" s="47"/>
      <c r="C56" s="48" t="str">
        <f>IF(D56&lt;&gt;"","▪","")</f>
        <v>▪</v>
      </c>
      <c r="D56" s="498" t="s">
        <v>33</v>
      </c>
    </row>
    <row r="57" spans="1:4" ht="30" customHeight="1" x14ac:dyDescent="0.25">
      <c r="A57" s="414"/>
      <c r="B57" s="47"/>
      <c r="C57" s="48" t="str">
        <f t="shared" ref="C57:C62" si="0">IF(D57&lt;&gt;"","▪","")</f>
        <v>▪</v>
      </c>
      <c r="D57" s="498" t="s">
        <v>34</v>
      </c>
    </row>
    <row r="58" spans="1:4" ht="30" customHeight="1" x14ac:dyDescent="0.25">
      <c r="A58" s="414"/>
      <c r="B58" s="47"/>
      <c r="C58" s="48" t="str">
        <f t="shared" si="0"/>
        <v>▪</v>
      </c>
      <c r="D58" s="498" t="s">
        <v>35</v>
      </c>
    </row>
    <row r="59" spans="1:4" ht="30" customHeight="1" x14ac:dyDescent="0.25">
      <c r="A59" s="414"/>
      <c r="B59" s="47"/>
      <c r="C59" s="48" t="str">
        <f t="shared" si="0"/>
        <v>▪</v>
      </c>
      <c r="D59" s="498" t="s">
        <v>36</v>
      </c>
    </row>
    <row r="60" spans="1:4" ht="25.5" x14ac:dyDescent="0.25">
      <c r="A60" s="414"/>
      <c r="B60" s="47"/>
      <c r="C60" s="48" t="str">
        <f t="shared" si="0"/>
        <v>▪</v>
      </c>
      <c r="D60" s="498" t="s">
        <v>37</v>
      </c>
    </row>
    <row r="61" spans="1:4" ht="15" x14ac:dyDescent="0.25">
      <c r="A61" s="414"/>
      <c r="B61" s="47"/>
      <c r="C61" s="48" t="str">
        <f t="shared" si="0"/>
        <v>▪</v>
      </c>
      <c r="D61" s="498" t="s">
        <v>38</v>
      </c>
    </row>
    <row r="62" spans="1:4" ht="30" customHeight="1" x14ac:dyDescent="0.25">
      <c r="A62" s="414"/>
      <c r="B62" s="47"/>
      <c r="C62" s="48" t="str">
        <f t="shared" si="0"/>
        <v>▪</v>
      </c>
      <c r="D62" s="498" t="s">
        <v>39</v>
      </c>
    </row>
    <row r="63" spans="1:4" ht="15" x14ac:dyDescent="0.25">
      <c r="A63" s="414"/>
      <c r="B63" s="47" t="s">
        <v>40</v>
      </c>
      <c r="C63" s="47"/>
      <c r="D63" s="498"/>
    </row>
    <row r="64" spans="1:4" ht="15" x14ac:dyDescent="0.25">
      <c r="A64" s="414"/>
      <c r="B64" s="47"/>
      <c r="C64" s="48" t="str">
        <f>IF(D64&lt;&gt;"","▪","")</f>
        <v>▪</v>
      </c>
      <c r="D64" s="498" t="s">
        <v>41</v>
      </c>
    </row>
    <row r="65" spans="1:4" ht="15" x14ac:dyDescent="0.25">
      <c r="A65" s="414"/>
      <c r="B65" s="47"/>
      <c r="C65" s="48" t="str">
        <f>IF(D65&lt;&gt;"","▪","")</f>
        <v>▪</v>
      </c>
      <c r="D65" s="498" t="s">
        <v>42</v>
      </c>
    </row>
    <row r="66" spans="1:4" ht="15" x14ac:dyDescent="0.25">
      <c r="A66" s="414"/>
      <c r="B66" s="47"/>
      <c r="C66" s="48"/>
      <c r="D66" s="500" t="s">
        <v>43</v>
      </c>
    </row>
    <row r="67" spans="1:4" ht="15" x14ac:dyDescent="0.25">
      <c r="A67" s="414"/>
      <c r="B67" s="47"/>
      <c r="C67" s="48" t="str">
        <f>IF(D67&lt;&gt;"","▪","")</f>
        <v>▪</v>
      </c>
      <c r="D67" s="498" t="s">
        <v>44</v>
      </c>
    </row>
    <row r="68" spans="1:4" ht="15" x14ac:dyDescent="0.25">
      <c r="A68" s="414"/>
      <c r="B68" s="47"/>
      <c r="C68" s="48"/>
      <c r="D68" s="500" t="s">
        <v>45</v>
      </c>
    </row>
    <row r="69" spans="1:4" ht="15" x14ac:dyDescent="0.25">
      <c r="A69" s="414"/>
      <c r="B69" s="47"/>
      <c r="C69" s="48" t="str">
        <f>IF(D69&lt;&gt;"","▪","")</f>
        <v>▪</v>
      </c>
      <c r="D69" s="498" t="s">
        <v>46</v>
      </c>
    </row>
    <row r="70" spans="1:4" ht="15" x14ac:dyDescent="0.25">
      <c r="A70" s="414"/>
      <c r="B70" s="47"/>
      <c r="C70" s="48" t="str">
        <f>IF(D70&lt;&gt;"","▪","")</f>
        <v>▪</v>
      </c>
      <c r="D70" s="498" t="s">
        <v>47</v>
      </c>
    </row>
    <row r="71" spans="1:4" ht="15" x14ac:dyDescent="0.25">
      <c r="A71" s="414"/>
      <c r="B71" s="47" t="s">
        <v>23</v>
      </c>
      <c r="C71" s="47"/>
      <c r="D71" s="498"/>
    </row>
    <row r="72" spans="1:4" ht="15" x14ac:dyDescent="0.25">
      <c r="A72" s="414"/>
      <c r="B72" s="47"/>
      <c r="C72" s="48" t="str">
        <f>IF(D72&lt;&gt;"","▪","")</f>
        <v>▪</v>
      </c>
      <c r="D72" s="498" t="s">
        <v>48</v>
      </c>
    </row>
    <row r="73" spans="1:4" ht="15" x14ac:dyDescent="0.25">
      <c r="A73" s="414"/>
      <c r="B73" s="47" t="s">
        <v>49</v>
      </c>
      <c r="C73" s="47"/>
      <c r="D73" s="498"/>
    </row>
    <row r="74" spans="1:4" ht="15" x14ac:dyDescent="0.25">
      <c r="A74" s="414"/>
      <c r="B74" s="47"/>
      <c r="C74" s="48" t="str">
        <f>IF(D74&lt;&gt;"","▪","")</f>
        <v>▪</v>
      </c>
      <c r="D74" s="498" t="s">
        <v>50</v>
      </c>
    </row>
    <row r="75" spans="1:4" ht="15" x14ac:dyDescent="0.25">
      <c r="A75" s="414"/>
      <c r="B75" s="47"/>
      <c r="C75" s="48" t="str">
        <f>IF(D75&lt;&gt;"","▪","")</f>
        <v>▪</v>
      </c>
      <c r="D75" s="498" t="s">
        <v>51</v>
      </c>
    </row>
    <row r="76" spans="1:4" ht="15" x14ac:dyDescent="0.25">
      <c r="A76" s="414"/>
      <c r="B76" s="47"/>
      <c r="C76" s="48" t="str">
        <f>IF(D76&lt;&gt;"","▪","")</f>
        <v>▪</v>
      </c>
      <c r="D76" s="498" t="s">
        <v>52</v>
      </c>
    </row>
    <row r="77" spans="1:4" ht="15" x14ac:dyDescent="0.25">
      <c r="A77" s="414"/>
      <c r="B77" s="47"/>
      <c r="C77" s="48" t="str">
        <f>IF(D77&lt;&gt;"","▪","")</f>
        <v>▪</v>
      </c>
      <c r="D77" s="498" t="s">
        <v>53</v>
      </c>
    </row>
    <row r="78" spans="1:4" ht="15" x14ac:dyDescent="0.25">
      <c r="A78" s="414"/>
      <c r="B78" s="47" t="s">
        <v>54</v>
      </c>
      <c r="C78" s="47"/>
      <c r="D78" s="498"/>
    </row>
    <row r="79" spans="1:4" ht="15" x14ac:dyDescent="0.25">
      <c r="A79" s="414"/>
      <c r="B79" s="47"/>
      <c r="C79" s="48" t="str">
        <f>IF(D79&lt;&gt;"","▪","")</f>
        <v>▪</v>
      </c>
      <c r="D79" s="498" t="s">
        <v>50</v>
      </c>
    </row>
    <row r="80" spans="1:4" ht="15" x14ac:dyDescent="0.25">
      <c r="A80" s="414"/>
      <c r="B80" s="47"/>
      <c r="C80" s="48" t="str">
        <f>IF(D80&lt;&gt;"","▪","")</f>
        <v>▪</v>
      </c>
      <c r="D80" s="498" t="s">
        <v>55</v>
      </c>
    </row>
    <row r="81" spans="1:4" ht="15" x14ac:dyDescent="0.25">
      <c r="A81" s="414"/>
      <c r="B81" s="47"/>
      <c r="C81" s="48" t="str">
        <f>IF(D81&lt;&gt;"","▪","")</f>
        <v>▪</v>
      </c>
      <c r="D81" s="498" t="s">
        <v>52</v>
      </c>
    </row>
    <row r="82" spans="1:4" ht="15" x14ac:dyDescent="0.25">
      <c r="A82" s="414"/>
      <c r="B82" s="47"/>
      <c r="C82" s="48" t="str">
        <f>IF(D82&lt;&gt;"","▪","")</f>
        <v>▪</v>
      </c>
      <c r="D82" s="498" t="s">
        <v>53</v>
      </c>
    </row>
    <row r="83" spans="1:4" ht="15" x14ac:dyDescent="0.25">
      <c r="A83" s="414"/>
      <c r="B83" s="47" t="s">
        <v>17</v>
      </c>
      <c r="C83" s="47"/>
      <c r="D83" s="498"/>
    </row>
    <row r="84" spans="1:4" ht="20.100000000000001" customHeight="1" x14ac:dyDescent="0.25">
      <c r="A84" s="414"/>
      <c r="B84" s="47"/>
      <c r="C84" s="48" t="str">
        <f>IF(D84&lt;&gt;"","▪","")</f>
        <v>▪</v>
      </c>
      <c r="D84" s="498" t="s">
        <v>56</v>
      </c>
    </row>
    <row r="85" spans="1:4" ht="15" x14ac:dyDescent="0.25">
      <c r="A85" s="414"/>
      <c r="B85" s="47" t="s">
        <v>57</v>
      </c>
      <c r="C85" s="47"/>
      <c r="D85" s="498"/>
    </row>
    <row r="86" spans="1:4" ht="20.100000000000001" customHeight="1" x14ac:dyDescent="0.25">
      <c r="A86" s="414"/>
      <c r="B86" s="47"/>
      <c r="C86" s="48" t="str">
        <f>IF(D86&lt;&gt;"","▪","")</f>
        <v>▪</v>
      </c>
      <c r="D86" s="498" t="s">
        <v>58</v>
      </c>
    </row>
    <row r="87" spans="1:4" ht="15" x14ac:dyDescent="0.25">
      <c r="A87" s="418"/>
      <c r="B87" s="476"/>
      <c r="C87" s="476"/>
      <c r="D87" s="501"/>
    </row>
    <row r="88" spans="1:4" ht="18.75" x14ac:dyDescent="0.3">
      <c r="A88" s="600" t="s">
        <v>59</v>
      </c>
      <c r="B88" s="601"/>
      <c r="C88" s="601"/>
      <c r="D88" s="602"/>
    </row>
    <row r="89" spans="1:4" ht="15" x14ac:dyDescent="0.25">
      <c r="A89" s="4"/>
      <c r="B89" s="47" t="s">
        <v>2</v>
      </c>
      <c r="C89" s="47"/>
      <c r="D89" s="498"/>
    </row>
    <row r="90" spans="1:4" ht="15" x14ac:dyDescent="0.25">
      <c r="A90" s="4"/>
      <c r="B90" s="47"/>
      <c r="C90" s="48" t="str">
        <f>IF(D90&lt;&gt;"","▪","")</f>
        <v>▪</v>
      </c>
      <c r="D90" s="498" t="s">
        <v>60</v>
      </c>
    </row>
    <row r="91" spans="1:4" ht="15" x14ac:dyDescent="0.25">
      <c r="A91" s="4"/>
      <c r="B91" s="47" t="s">
        <v>40</v>
      </c>
      <c r="C91" s="47"/>
      <c r="D91" s="498"/>
    </row>
    <row r="92" spans="1:4" ht="15" x14ac:dyDescent="0.25">
      <c r="A92" s="4"/>
      <c r="B92" s="47"/>
      <c r="C92" s="48" t="str">
        <f>IF(D92&lt;&gt;"","▪","")</f>
        <v>▪</v>
      </c>
      <c r="D92" s="498" t="s">
        <v>61</v>
      </c>
    </row>
    <row r="93" spans="1:4" ht="38.25" x14ac:dyDescent="0.25">
      <c r="A93" s="4"/>
      <c r="B93" s="47"/>
      <c r="C93" s="48" t="str">
        <f>IF(D93&lt;&gt;"","▪","")</f>
        <v>▪</v>
      </c>
      <c r="D93" s="498" t="s">
        <v>62</v>
      </c>
    </row>
    <row r="94" spans="1:4" ht="25.5" x14ac:dyDescent="0.25">
      <c r="A94" s="4"/>
      <c r="B94" s="47"/>
      <c r="C94" s="48" t="str">
        <f>IF(D94&lt;&gt;"","▪","")</f>
        <v>▪</v>
      </c>
      <c r="D94" s="498" t="s">
        <v>63</v>
      </c>
    </row>
    <row r="95" spans="1:4" ht="15" x14ac:dyDescent="0.25">
      <c r="A95" s="4"/>
      <c r="B95" s="47" t="s">
        <v>23</v>
      </c>
      <c r="C95" s="47"/>
      <c r="D95" s="498"/>
    </row>
    <row r="96" spans="1:4" ht="15" x14ac:dyDescent="0.25">
      <c r="A96" s="4"/>
      <c r="B96" s="47"/>
      <c r="C96" s="48" t="str">
        <f>IF(D96&lt;&gt;"","▪","")</f>
        <v>▪</v>
      </c>
      <c r="D96" s="498" t="s">
        <v>64</v>
      </c>
    </row>
    <row r="97" spans="1:4" ht="15" x14ac:dyDescent="0.25">
      <c r="A97" s="4"/>
      <c r="B97" s="47" t="s">
        <v>11</v>
      </c>
      <c r="C97" s="47"/>
      <c r="D97" s="498"/>
    </row>
    <row r="98" spans="1:4" ht="15" x14ac:dyDescent="0.25">
      <c r="A98" s="4"/>
      <c r="B98" s="47"/>
      <c r="C98" s="48" t="str">
        <f>IF(D98&lt;&gt;"","▪","")</f>
        <v>▪</v>
      </c>
      <c r="D98" s="498" t="s">
        <v>65</v>
      </c>
    </row>
    <row r="99" spans="1:4" ht="15" x14ac:dyDescent="0.25">
      <c r="A99" s="414"/>
      <c r="B99" s="47" t="s">
        <v>49</v>
      </c>
      <c r="C99" s="47"/>
      <c r="D99" s="498"/>
    </row>
    <row r="100" spans="1:4" ht="25.5" x14ac:dyDescent="0.25">
      <c r="A100" s="414"/>
      <c r="B100" s="47"/>
      <c r="C100" s="48" t="str">
        <f>IF(D100&lt;&gt;"","▪","")</f>
        <v>▪</v>
      </c>
      <c r="D100" s="498" t="s">
        <v>66</v>
      </c>
    </row>
    <row r="101" spans="1:4" ht="15" x14ac:dyDescent="0.25">
      <c r="A101" s="414"/>
      <c r="B101" s="47"/>
      <c r="C101" s="48" t="str">
        <f>IF(D101&lt;&gt;"","▪","")</f>
        <v>▪</v>
      </c>
      <c r="D101" s="498" t="s">
        <v>67</v>
      </c>
    </row>
    <row r="102" spans="1:4" ht="15" x14ac:dyDescent="0.25">
      <c r="A102" s="414"/>
      <c r="B102" s="47" t="s">
        <v>20</v>
      </c>
      <c r="C102" s="47"/>
      <c r="D102" s="498"/>
    </row>
    <row r="103" spans="1:4" ht="15" x14ac:dyDescent="0.25">
      <c r="A103" s="414"/>
      <c r="B103" s="47"/>
      <c r="C103" s="48" t="str">
        <f>IF(D103&lt;&gt;"","▪","")</f>
        <v>▪</v>
      </c>
      <c r="D103" s="498" t="s">
        <v>68</v>
      </c>
    </row>
    <row r="104" spans="1:4" ht="15" x14ac:dyDescent="0.25">
      <c r="A104" s="4"/>
      <c r="B104" s="47" t="s">
        <v>54</v>
      </c>
      <c r="C104" s="47"/>
      <c r="D104" s="498"/>
    </row>
    <row r="105" spans="1:4" ht="15" x14ac:dyDescent="0.25">
      <c r="A105" s="4"/>
      <c r="B105" s="47"/>
      <c r="C105" s="48" t="str">
        <f>IF(D105&lt;&gt;"","▪","")</f>
        <v>▪</v>
      </c>
      <c r="D105" s="498" t="s">
        <v>69</v>
      </c>
    </row>
    <row r="106" spans="1:4" ht="15" x14ac:dyDescent="0.25">
      <c r="A106" s="4"/>
      <c r="B106" s="47"/>
      <c r="C106" s="48" t="str">
        <f>IF(D106&lt;&gt;"","▪","")</f>
        <v>▪</v>
      </c>
      <c r="D106" s="498" t="s">
        <v>70</v>
      </c>
    </row>
    <row r="107" spans="1:4" ht="15" x14ac:dyDescent="0.25">
      <c r="A107" s="4"/>
      <c r="B107" s="47" t="s">
        <v>71</v>
      </c>
      <c r="C107" s="47"/>
      <c r="D107" s="498"/>
    </row>
    <row r="108" spans="1:4" ht="15" x14ac:dyDescent="0.25">
      <c r="A108" s="4"/>
      <c r="B108" s="47"/>
      <c r="C108" s="48" t="str">
        <f>IF(D108&lt;&gt;"","▪","")</f>
        <v>▪</v>
      </c>
      <c r="D108" s="498" t="s">
        <v>72</v>
      </c>
    </row>
    <row r="109" spans="1:4" ht="15" x14ac:dyDescent="0.25">
      <c r="A109" s="4"/>
      <c r="B109" s="47"/>
      <c r="C109" s="48" t="str">
        <f>IF(D109&lt;&gt;"","▪","")</f>
        <v>▪</v>
      </c>
      <c r="D109" s="498" t="s">
        <v>73</v>
      </c>
    </row>
    <row r="110" spans="1:4" ht="15" x14ac:dyDescent="0.25">
      <c r="A110" s="4"/>
      <c r="B110" s="47"/>
      <c r="C110" s="48" t="str">
        <f>IF(D110&lt;&gt;"","▪","")</f>
        <v>▪</v>
      </c>
      <c r="D110" s="498" t="s">
        <v>74</v>
      </c>
    </row>
    <row r="111" spans="1:4" ht="15" x14ac:dyDescent="0.25">
      <c r="A111" s="4"/>
      <c r="B111" s="47" t="s">
        <v>17</v>
      </c>
      <c r="C111" s="47"/>
      <c r="D111" s="498"/>
    </row>
    <row r="112" spans="1:4" ht="15" x14ac:dyDescent="0.25">
      <c r="A112" s="4"/>
      <c r="B112" s="47"/>
      <c r="C112" s="48" t="str">
        <f>IF(D112&lt;&gt;"","▪","")</f>
        <v>▪</v>
      </c>
      <c r="D112" s="498" t="s">
        <v>75</v>
      </c>
    </row>
    <row r="113" spans="1:4" ht="15" x14ac:dyDescent="0.25">
      <c r="A113" s="4"/>
      <c r="B113" s="47" t="s">
        <v>76</v>
      </c>
      <c r="C113" s="47"/>
      <c r="D113" s="498"/>
    </row>
    <row r="114" spans="1:4" ht="15" x14ac:dyDescent="0.25">
      <c r="A114" s="4"/>
      <c r="B114" s="47"/>
      <c r="C114" s="48" t="str">
        <f>IF(D114&lt;&gt;"","▪","")</f>
        <v>▪</v>
      </c>
      <c r="D114" s="498" t="s">
        <v>77</v>
      </c>
    </row>
    <row r="115" spans="1:4" ht="15" x14ac:dyDescent="0.25">
      <c r="A115" s="4"/>
      <c r="B115" s="47" t="s">
        <v>78</v>
      </c>
      <c r="C115" s="47"/>
      <c r="D115" s="498"/>
    </row>
    <row r="116" spans="1:4" ht="15" x14ac:dyDescent="0.25">
      <c r="A116" s="4"/>
      <c r="B116" s="47"/>
      <c r="C116" s="48" t="str">
        <f>IF(D116&lt;&gt;"","▪","")</f>
        <v>▪</v>
      </c>
      <c r="D116" s="498" t="s">
        <v>79</v>
      </c>
    </row>
    <row r="117" spans="1:4" ht="15" x14ac:dyDescent="0.25">
      <c r="A117" s="418"/>
      <c r="B117" s="476"/>
      <c r="C117" s="476"/>
      <c r="D117" s="501"/>
    </row>
    <row r="118" spans="1:4" ht="18.75" x14ac:dyDescent="0.3">
      <c r="A118" s="600" t="s">
        <v>80</v>
      </c>
      <c r="B118" s="601"/>
      <c r="C118" s="601"/>
      <c r="D118" s="602"/>
    </row>
    <row r="119" spans="1:4" ht="15" x14ac:dyDescent="0.25">
      <c r="A119" s="4"/>
      <c r="B119" s="47" t="s">
        <v>40</v>
      </c>
      <c r="C119" s="47"/>
      <c r="D119" s="498"/>
    </row>
    <row r="120" spans="1:4" ht="25.5" x14ac:dyDescent="0.25">
      <c r="A120" s="4"/>
      <c r="B120" s="47"/>
      <c r="C120" s="48" t="str">
        <f>IF(D120&lt;&gt;"","▪","")</f>
        <v>▪</v>
      </c>
      <c r="D120" s="498" t="s">
        <v>81</v>
      </c>
    </row>
    <row r="121" spans="1:4" ht="15" x14ac:dyDescent="0.25">
      <c r="A121" s="4"/>
      <c r="B121" s="47" t="s">
        <v>11</v>
      </c>
      <c r="C121" s="47"/>
      <c r="D121" s="498"/>
    </row>
    <row r="122" spans="1:4" ht="15" x14ac:dyDescent="0.25">
      <c r="A122" s="4"/>
      <c r="B122" s="47"/>
      <c r="C122" s="48" t="str">
        <f>IF(D122&lt;&gt;"","▪","")</f>
        <v>▪</v>
      </c>
      <c r="D122" s="498" t="s">
        <v>82</v>
      </c>
    </row>
    <row r="123" spans="1:4" ht="15" x14ac:dyDescent="0.25">
      <c r="A123" s="4"/>
      <c r="B123" s="47" t="s">
        <v>23</v>
      </c>
      <c r="C123" s="47"/>
      <c r="D123" s="498"/>
    </row>
    <row r="124" spans="1:4" ht="15" x14ac:dyDescent="0.25">
      <c r="A124" s="4"/>
      <c r="B124" s="47"/>
      <c r="C124" s="48" t="str">
        <f>IF(D124&lt;&gt;"","▪","")</f>
        <v>▪</v>
      </c>
      <c r="D124" s="498" t="s">
        <v>83</v>
      </c>
    </row>
    <row r="125" spans="1:4" ht="15" x14ac:dyDescent="0.25">
      <c r="A125" s="418"/>
      <c r="B125" s="476"/>
      <c r="C125" s="476"/>
      <c r="D125" s="501"/>
    </row>
    <row r="126" spans="1:4" ht="18.75" x14ac:dyDescent="0.3">
      <c r="A126" s="600" t="s">
        <v>931</v>
      </c>
      <c r="B126" s="601"/>
      <c r="C126" s="601"/>
      <c r="D126" s="602"/>
    </row>
    <row r="127" spans="1:4" ht="15" x14ac:dyDescent="0.25">
      <c r="A127" s="4"/>
      <c r="B127" s="47" t="s">
        <v>2</v>
      </c>
      <c r="C127" s="47"/>
      <c r="D127" s="498"/>
    </row>
    <row r="128" spans="1:4" ht="15" x14ac:dyDescent="0.25">
      <c r="A128" s="4"/>
      <c r="B128" s="47"/>
      <c r="C128" s="48" t="str">
        <f>IF(D128&lt;&gt;"","▪","")</f>
        <v>▪</v>
      </c>
      <c r="D128" s="498" t="s">
        <v>932</v>
      </c>
    </row>
    <row r="129" spans="1:4" ht="15" x14ac:dyDescent="0.25">
      <c r="A129" s="418"/>
      <c r="B129" s="476"/>
      <c r="C129" s="476"/>
      <c r="D129" s="501"/>
    </row>
    <row r="130" spans="1:4" s="649" customFormat="1" ht="18.75" x14ac:dyDescent="0.3">
      <c r="A130" s="600" t="s">
        <v>933</v>
      </c>
      <c r="B130" s="601"/>
      <c r="C130" s="601"/>
      <c r="D130" s="602"/>
    </row>
    <row r="131" spans="1:4" s="649" customFormat="1" ht="15" x14ac:dyDescent="0.25">
      <c r="A131" s="4"/>
      <c r="B131" s="47" t="s">
        <v>40</v>
      </c>
      <c r="C131" s="47"/>
      <c r="D131" s="498"/>
    </row>
    <row r="132" spans="1:4" s="649" customFormat="1" ht="15" x14ac:dyDescent="0.25">
      <c r="A132" s="4"/>
      <c r="B132" s="47"/>
      <c r="C132" s="48" t="str">
        <f>IF(D132&lt;&gt;"","▪","")</f>
        <v>▪</v>
      </c>
      <c r="D132" s="498" t="s">
        <v>935</v>
      </c>
    </row>
    <row r="133" spans="1:4" s="650" customFormat="1" ht="15" x14ac:dyDescent="0.25">
      <c r="A133" s="4"/>
      <c r="B133" s="47"/>
      <c r="C133" s="48" t="str">
        <f>IF(D133&lt;&gt;"","▪","")</f>
        <v>▪</v>
      </c>
      <c r="D133" s="498" t="s">
        <v>938</v>
      </c>
    </row>
    <row r="134" spans="1:4" s="649" customFormat="1" ht="15" x14ac:dyDescent="0.25">
      <c r="A134" s="4"/>
      <c r="B134" s="47" t="s">
        <v>71</v>
      </c>
      <c r="C134" s="47"/>
      <c r="D134" s="498"/>
    </row>
    <row r="135" spans="1:4" s="649" customFormat="1" ht="15" x14ac:dyDescent="0.25">
      <c r="A135" s="414"/>
      <c r="B135" s="47"/>
      <c r="C135" s="48" t="str">
        <f>IF(D135&lt;&gt;"","▪","")</f>
        <v>▪</v>
      </c>
      <c r="D135" s="498" t="s">
        <v>936</v>
      </c>
    </row>
    <row r="136" spans="1:4" s="649" customFormat="1" ht="15" x14ac:dyDescent="0.25">
      <c r="A136" s="4"/>
      <c r="B136" s="47" t="s">
        <v>17</v>
      </c>
      <c r="C136" s="47"/>
      <c r="D136" s="498"/>
    </row>
    <row r="137" spans="1:4" s="649" customFormat="1" ht="15" x14ac:dyDescent="0.2">
      <c r="A137" s="414"/>
      <c r="C137" s="48" t="str">
        <f>IF(D137&lt;&gt;"","▪","")</f>
        <v>▪</v>
      </c>
      <c r="D137" s="498" t="s">
        <v>934</v>
      </c>
    </row>
    <row r="138" spans="1:4" s="649" customFormat="1" ht="15" x14ac:dyDescent="0.25">
      <c r="A138" s="418"/>
      <c r="B138" s="476"/>
      <c r="C138" s="476"/>
      <c r="D138" s="501"/>
    </row>
    <row r="139" spans="1:4" ht="18.75" x14ac:dyDescent="0.3">
      <c r="A139" s="600" t="s">
        <v>944</v>
      </c>
      <c r="B139" s="601"/>
      <c r="C139" s="601"/>
      <c r="D139" s="602"/>
    </row>
    <row r="140" spans="1:4" ht="15" x14ac:dyDescent="0.25">
      <c r="A140" s="4"/>
      <c r="B140" s="47" t="s">
        <v>40</v>
      </c>
      <c r="C140" s="47"/>
      <c r="D140" s="498"/>
    </row>
    <row r="141" spans="1:4" ht="25.5" x14ac:dyDescent="0.25">
      <c r="A141" s="4"/>
      <c r="B141" s="47"/>
      <c r="C141" s="48" t="str">
        <f>IF(D141&lt;&gt;"","▪","")</f>
        <v>▪</v>
      </c>
      <c r="D141" s="498" t="s">
        <v>949</v>
      </c>
    </row>
    <row r="142" spans="1:4" ht="15" x14ac:dyDescent="0.25">
      <c r="A142" s="4"/>
      <c r="B142" s="47" t="s">
        <v>23</v>
      </c>
      <c r="C142" s="47"/>
      <c r="D142" s="498"/>
    </row>
    <row r="143" spans="1:4" ht="15" x14ac:dyDescent="0.25">
      <c r="A143" s="414"/>
      <c r="B143" s="47"/>
      <c r="C143" s="48" t="str">
        <f>IF(D143&lt;&gt;"","▪","")</f>
        <v>▪</v>
      </c>
      <c r="D143" s="498" t="s">
        <v>945</v>
      </c>
    </row>
    <row r="144" spans="1:4" ht="15" x14ac:dyDescent="0.25">
      <c r="A144" s="4"/>
      <c r="B144" s="47" t="s">
        <v>11</v>
      </c>
      <c r="C144" s="47"/>
      <c r="D144" s="498"/>
    </row>
    <row r="145" spans="1:4" ht="15" x14ac:dyDescent="0.2">
      <c r="A145" s="414"/>
      <c r="B145" s="655"/>
      <c r="C145" s="48" t="str">
        <f>IF(D145&lt;&gt;"","▪","")</f>
        <v>▪</v>
      </c>
      <c r="D145" s="498" t="s">
        <v>945</v>
      </c>
    </row>
    <row r="146" spans="1:4" s="655" customFormat="1" ht="15" x14ac:dyDescent="0.25">
      <c r="A146" s="4"/>
      <c r="B146" s="47" t="s">
        <v>49</v>
      </c>
      <c r="C146" s="47"/>
      <c r="D146" s="498"/>
    </row>
    <row r="147" spans="1:4" s="655" customFormat="1" ht="15" x14ac:dyDescent="0.2">
      <c r="A147" s="414"/>
      <c r="C147" s="48" t="str">
        <f>IF(D147&lt;&gt;"","▪","")</f>
        <v>▪</v>
      </c>
      <c r="D147" s="498" t="s">
        <v>946</v>
      </c>
    </row>
    <row r="148" spans="1:4" s="655" customFormat="1" ht="15" x14ac:dyDescent="0.25">
      <c r="A148" s="4"/>
      <c r="B148" s="47" t="s">
        <v>20</v>
      </c>
      <c r="C148" s="47"/>
      <c r="D148" s="498"/>
    </row>
    <row r="149" spans="1:4" s="655" customFormat="1" ht="15" x14ac:dyDescent="0.2">
      <c r="A149" s="414"/>
      <c r="C149" s="48" t="str">
        <f>IF(D149&lt;&gt;"","▪","")</f>
        <v>▪</v>
      </c>
      <c r="D149" s="498" t="s">
        <v>945</v>
      </c>
    </row>
    <row r="150" spans="1:4" s="658" customFormat="1" ht="15" x14ac:dyDescent="0.25">
      <c r="A150" s="4"/>
      <c r="B150" s="47" t="s">
        <v>54</v>
      </c>
      <c r="C150" s="47"/>
      <c r="D150" s="498"/>
    </row>
    <row r="151" spans="1:4" s="658" customFormat="1" ht="15" x14ac:dyDescent="0.2">
      <c r="A151" s="414"/>
      <c r="C151" s="48" t="str">
        <f>IF(D151&lt;&gt;"","▪","")</f>
        <v>▪</v>
      </c>
      <c r="D151" s="498" t="s">
        <v>947</v>
      </c>
    </row>
    <row r="152" spans="1:4" s="658" customFormat="1" ht="15" x14ac:dyDescent="0.25">
      <c r="A152" s="4"/>
      <c r="B152" s="47" t="s">
        <v>71</v>
      </c>
      <c r="C152" s="47"/>
      <c r="D152" s="498"/>
    </row>
    <row r="153" spans="1:4" s="658" customFormat="1" ht="15" x14ac:dyDescent="0.2">
      <c r="A153" s="414"/>
      <c r="C153" s="48" t="str">
        <f>IF(D153&lt;&gt;"","▪","")</f>
        <v>▪</v>
      </c>
      <c r="D153" s="498" t="s">
        <v>948</v>
      </c>
    </row>
    <row r="154" spans="1:4" ht="15" x14ac:dyDescent="0.25">
      <c r="A154" s="418"/>
      <c r="B154" s="476"/>
      <c r="C154" s="476"/>
      <c r="D154" s="501"/>
    </row>
    <row r="155" spans="1:4" ht="18.75" x14ac:dyDescent="0.3">
      <c r="A155" s="600" t="s">
        <v>951</v>
      </c>
      <c r="B155" s="601"/>
      <c r="C155" s="601"/>
      <c r="D155" s="602"/>
    </row>
    <row r="156" spans="1:4" s="661" customFormat="1" ht="15" x14ac:dyDescent="0.25">
      <c r="A156" s="4"/>
      <c r="B156" s="47" t="s">
        <v>2</v>
      </c>
      <c r="C156" s="47"/>
      <c r="D156" s="498"/>
    </row>
    <row r="157" spans="1:4" s="661" customFormat="1" ht="15" x14ac:dyDescent="0.25">
      <c r="A157" s="4"/>
      <c r="B157" s="47"/>
      <c r="C157" s="48" t="str">
        <f>IF(D157&lt;&gt;"","▪","")</f>
        <v>▪</v>
      </c>
      <c r="D157" s="498" t="s">
        <v>986</v>
      </c>
    </row>
    <row r="158" spans="1:4" ht="15" x14ac:dyDescent="0.25">
      <c r="A158" s="4"/>
      <c r="B158" s="47" t="s">
        <v>40</v>
      </c>
      <c r="C158" s="47"/>
      <c r="D158" s="498"/>
    </row>
    <row r="159" spans="1:4" s="669" customFormat="1" ht="25.5" x14ac:dyDescent="0.25">
      <c r="A159" s="4"/>
      <c r="B159" s="47"/>
      <c r="C159" s="48" t="str">
        <f>IF(D159&lt;&gt;"","▪","")</f>
        <v>▪</v>
      </c>
      <c r="D159" s="498" t="s">
        <v>987</v>
      </c>
    </row>
    <row r="160" spans="1:4" s="669" customFormat="1" ht="25.5" x14ac:dyDescent="0.25">
      <c r="A160" s="4"/>
      <c r="B160" s="47"/>
      <c r="C160" s="48" t="str">
        <f>IF(D160&lt;&gt;"","▪","")</f>
        <v>▪</v>
      </c>
      <c r="D160" s="498" t="s">
        <v>993</v>
      </c>
    </row>
    <row r="161" spans="1:4" ht="38.25" x14ac:dyDescent="0.25">
      <c r="A161" s="4"/>
      <c r="B161" s="47"/>
      <c r="C161" s="48" t="str">
        <f>IF(D161&lt;&gt;"","▪","")</f>
        <v>▪</v>
      </c>
      <c r="D161" s="498" t="s">
        <v>953</v>
      </c>
    </row>
    <row r="162" spans="1:4" ht="15" x14ac:dyDescent="0.25">
      <c r="A162" s="4"/>
      <c r="B162" s="47" t="s">
        <v>11</v>
      </c>
      <c r="C162" s="47"/>
      <c r="D162" s="498"/>
    </row>
    <row r="163" spans="1:4" ht="15" x14ac:dyDescent="0.2">
      <c r="A163" s="414"/>
      <c r="B163" s="659"/>
      <c r="C163" s="48" t="str">
        <f>IF(D163&lt;&gt;"","▪","")</f>
        <v>▪</v>
      </c>
      <c r="D163" s="498" t="s">
        <v>983</v>
      </c>
    </row>
    <row r="164" spans="1:4" s="659" customFormat="1" ht="15" x14ac:dyDescent="0.2">
      <c r="A164" s="414"/>
      <c r="C164" s="48" t="str">
        <f>IF(D164&lt;&gt;"","▪","")</f>
        <v>▪</v>
      </c>
      <c r="D164" s="498" t="s">
        <v>952</v>
      </c>
    </row>
    <row r="165" spans="1:4" s="672" customFormat="1" ht="15" x14ac:dyDescent="0.2">
      <c r="A165" s="414"/>
      <c r="C165" s="48" t="str">
        <f>IF(D165&lt;&gt;"","▪","")</f>
        <v>▪</v>
      </c>
      <c r="D165" s="498" t="s">
        <v>997</v>
      </c>
    </row>
    <row r="166" spans="1:4" s="669" customFormat="1" ht="15" x14ac:dyDescent="0.2">
      <c r="A166" s="414"/>
      <c r="C166" s="48" t="str">
        <f>IF(D166&lt;&gt;"","▪","")</f>
        <v>▪</v>
      </c>
      <c r="D166" s="498" t="s">
        <v>988</v>
      </c>
    </row>
    <row r="167" spans="1:4" s="659" customFormat="1" ht="15" x14ac:dyDescent="0.2">
      <c r="A167" s="414"/>
      <c r="C167" s="48" t="str">
        <f>IF(D167&lt;&gt;"","▪","")</f>
        <v>▪</v>
      </c>
      <c r="D167" s="498" t="s">
        <v>989</v>
      </c>
    </row>
    <row r="168" spans="1:4" s="669" customFormat="1" ht="15" x14ac:dyDescent="0.25">
      <c r="A168" s="4"/>
      <c r="B168" s="47" t="s">
        <v>20</v>
      </c>
      <c r="C168" s="47"/>
      <c r="D168" s="498"/>
    </row>
    <row r="169" spans="1:4" s="669" customFormat="1" ht="25.5" x14ac:dyDescent="0.2">
      <c r="A169" s="414"/>
      <c r="C169" s="48" t="str">
        <f>IF(D169&lt;&gt;"","▪","")</f>
        <v>▪</v>
      </c>
      <c r="D169" s="498" t="s">
        <v>990</v>
      </c>
    </row>
    <row r="170" spans="1:4" s="669" customFormat="1" ht="15" x14ac:dyDescent="0.2">
      <c r="A170" s="414"/>
      <c r="C170" s="48" t="str">
        <f>IF(D170&lt;&gt;"","▪","")</f>
        <v>▪</v>
      </c>
      <c r="D170" s="498" t="s">
        <v>991</v>
      </c>
    </row>
    <row r="171" spans="1:4" s="669" customFormat="1" ht="15" x14ac:dyDescent="0.2">
      <c r="A171" s="414"/>
      <c r="C171" s="48" t="str">
        <f>IF(D171&lt;&gt;"","▪","")</f>
        <v>▪</v>
      </c>
      <c r="D171" s="498" t="s">
        <v>992</v>
      </c>
    </row>
    <row r="172" spans="1:4" s="659" customFormat="1" ht="15" x14ac:dyDescent="0.25">
      <c r="A172" s="4"/>
      <c r="B172" s="47" t="s">
        <v>54</v>
      </c>
      <c r="C172" s="47"/>
      <c r="D172" s="498"/>
    </row>
    <row r="173" spans="1:4" s="659" customFormat="1" ht="15" x14ac:dyDescent="0.2">
      <c r="A173" s="414"/>
      <c r="C173" s="48" t="str">
        <f>IF(D173&lt;&gt;"","▪","")</f>
        <v>▪</v>
      </c>
      <c r="D173" s="498" t="s">
        <v>947</v>
      </c>
    </row>
    <row r="174" spans="1:4" s="667" customFormat="1" ht="15" x14ac:dyDescent="0.25">
      <c r="A174" s="4"/>
      <c r="B174" s="47" t="s">
        <v>76</v>
      </c>
      <c r="C174" s="47"/>
      <c r="D174" s="498"/>
    </row>
    <row r="175" spans="1:4" s="667" customFormat="1" ht="15" x14ac:dyDescent="0.2">
      <c r="A175" s="414"/>
      <c r="C175" s="48" t="str">
        <f>IF(D175&lt;&gt;"","▪","")</f>
        <v>▪</v>
      </c>
      <c r="D175" s="498" t="s">
        <v>984</v>
      </c>
    </row>
    <row r="176" spans="1:4" s="668" customFormat="1" ht="15" x14ac:dyDescent="0.25">
      <c r="A176" s="4"/>
      <c r="B176" s="47" t="s">
        <v>17</v>
      </c>
      <c r="C176" s="47"/>
      <c r="D176" s="498"/>
    </row>
    <row r="177" spans="1:4" s="668" customFormat="1" ht="15" x14ac:dyDescent="0.2">
      <c r="A177" s="414"/>
      <c r="C177" s="48" t="str">
        <f>IF(D177&lt;&gt;"","▪","")</f>
        <v>▪</v>
      </c>
      <c r="D177" s="498" t="s">
        <v>985</v>
      </c>
    </row>
    <row r="178" spans="1:4" s="659" customFormat="1" ht="15" x14ac:dyDescent="0.25">
      <c r="A178" s="418"/>
      <c r="B178" s="476"/>
      <c r="C178" s="476"/>
      <c r="D178" s="501"/>
    </row>
    <row r="179" spans="1:4" s="690" customFormat="1" ht="18.75" x14ac:dyDescent="0.3">
      <c r="A179" s="600" t="s">
        <v>998</v>
      </c>
      <c r="B179" s="601"/>
      <c r="C179" s="601"/>
      <c r="D179" s="602"/>
    </row>
    <row r="180" spans="1:4" s="690" customFormat="1" ht="15" x14ac:dyDescent="0.25">
      <c r="A180" s="4"/>
      <c r="B180" s="47" t="s">
        <v>2</v>
      </c>
      <c r="C180" s="47"/>
      <c r="D180" s="498"/>
    </row>
    <row r="181" spans="1:4" s="690" customFormat="1" ht="15" x14ac:dyDescent="0.25">
      <c r="A181" s="4"/>
      <c r="B181" s="47"/>
      <c r="C181" s="48" t="str">
        <f>IF(D181&lt;&gt;"","▪","")</f>
        <v>▪</v>
      </c>
      <c r="D181" s="498" t="s">
        <v>999</v>
      </c>
    </row>
    <row r="182" spans="1:4" s="690" customFormat="1" ht="15" x14ac:dyDescent="0.25">
      <c r="A182" s="4"/>
      <c r="B182" s="47" t="s">
        <v>40</v>
      </c>
      <c r="C182" s="47"/>
      <c r="D182" s="498"/>
    </row>
    <row r="183" spans="1:4" s="690" customFormat="1" ht="15" x14ac:dyDescent="0.25">
      <c r="A183" s="4"/>
      <c r="B183" s="47"/>
      <c r="C183" s="48" t="str">
        <f>IF(D183&lt;&gt;"","▪","")</f>
        <v>▪</v>
      </c>
      <c r="D183" s="498" t="s">
        <v>1000</v>
      </c>
    </row>
    <row r="184" spans="1:4" s="690" customFormat="1" ht="15" x14ac:dyDescent="0.25">
      <c r="A184" s="4"/>
      <c r="B184" s="47"/>
      <c r="C184" s="48" t="str">
        <f>IF(D184&lt;&gt;"","▪","")</f>
        <v>▪</v>
      </c>
      <c r="D184" s="498" t="s">
        <v>1001</v>
      </c>
    </row>
    <row r="185" spans="1:4" s="690" customFormat="1" ht="15" x14ac:dyDescent="0.25">
      <c r="A185" s="418"/>
      <c r="B185" s="476"/>
      <c r="C185" s="476"/>
      <c r="D185" s="501"/>
    </row>
    <row r="186" spans="1:4" s="691" customFormat="1" ht="18.75" x14ac:dyDescent="0.3">
      <c r="A186" s="600" t="s">
        <v>1002</v>
      </c>
      <c r="B186" s="601"/>
      <c r="C186" s="601"/>
      <c r="D186" s="602"/>
    </row>
    <row r="187" spans="1:4" s="691" customFormat="1" ht="15" x14ac:dyDescent="0.25">
      <c r="A187" s="4"/>
      <c r="B187" s="47" t="s">
        <v>11</v>
      </c>
      <c r="C187" s="47"/>
      <c r="D187" s="498"/>
    </row>
    <row r="188" spans="1:4" s="691" customFormat="1" ht="15" x14ac:dyDescent="0.25">
      <c r="A188" s="4"/>
      <c r="B188" s="47"/>
      <c r="C188" s="48" t="str">
        <f>IF(D188&lt;&gt;"","▪","")</f>
        <v>▪</v>
      </c>
      <c r="D188" s="498" t="s">
        <v>1003</v>
      </c>
    </row>
    <row r="189" spans="1:4" s="691" customFormat="1" ht="15" x14ac:dyDescent="0.25">
      <c r="A189" s="418"/>
      <c r="B189" s="476"/>
      <c r="C189" s="476"/>
      <c r="D189" s="501"/>
    </row>
    <row r="190" spans="1:4" s="696" customFormat="1" ht="18.75" x14ac:dyDescent="0.3">
      <c r="A190" s="600" t="s">
        <v>1005</v>
      </c>
      <c r="B190" s="601"/>
      <c r="C190" s="601"/>
      <c r="D190" s="602"/>
    </row>
    <row r="191" spans="1:4" s="696" customFormat="1" ht="15" x14ac:dyDescent="0.25">
      <c r="A191" s="4"/>
      <c r="B191" s="47" t="s">
        <v>23</v>
      </c>
      <c r="C191" s="47"/>
      <c r="D191" s="498"/>
    </row>
    <row r="192" spans="1:4" s="696" customFormat="1" ht="15" x14ac:dyDescent="0.25">
      <c r="A192" s="4"/>
      <c r="B192" s="47"/>
      <c r="C192" s="48" t="str">
        <f>IF(D192&lt;&gt;"","▪","")</f>
        <v>▪</v>
      </c>
      <c r="D192" s="498" t="s">
        <v>1006</v>
      </c>
    </row>
    <row r="193" spans="1:4" s="696" customFormat="1" ht="15" x14ac:dyDescent="0.25">
      <c r="A193" s="418"/>
      <c r="B193" s="476"/>
      <c r="C193" s="476"/>
      <c r="D193" s="501"/>
    </row>
  </sheetData>
  <sheetProtection algorithmName="SHA-512" hashValue="qgc+fPhp3RTjOJeSHW89HZ/f6D4+ozpMmbq+9sQknglujItRZe1hT+1wEM6xWc0F/myE87DhXorq814ltOZlsQ==" saltValue="gF9BiS8xlQ+vvRmVitagvg=="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&amp;LPMv3.16&amp;R&amp;P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0" t="s">
        <v>84</v>
      </c>
      <c r="K1" s="509" t="b">
        <v>1</v>
      </c>
    </row>
    <row r="2" spans="1:15" ht="22.5" customHeight="1" x14ac:dyDescent="0.2">
      <c r="A2" s="404"/>
      <c r="B2" s="406"/>
      <c r="C2" s="406"/>
      <c r="D2" s="406"/>
      <c r="E2" s="719" t="str">
        <f>CHOOSE(MATCH(Objeto,{"PM","PO"}),"PLANILHA MÚLTIPLA ","PLANILHA ORÇAMENTÁRIA ")&amp; Versao</f>
        <v>PLANILHA MÚLTIPLA v3.16</v>
      </c>
      <c r="F2" s="719"/>
      <c r="G2" s="719"/>
      <c r="H2" s="408"/>
      <c r="I2" s="406"/>
      <c r="J2" s="490" t="s">
        <v>1004</v>
      </c>
      <c r="K2" s="509" t="b">
        <v>1</v>
      </c>
    </row>
    <row r="3" spans="1:15" ht="22.5" customHeight="1" x14ac:dyDescent="0.2">
      <c r="A3" s="404"/>
      <c r="B3" s="406"/>
      <c r="C3" s="406"/>
      <c r="D3" s="406"/>
      <c r="E3" s="719"/>
      <c r="F3" s="719"/>
      <c r="G3" s="719"/>
      <c r="H3" s="408"/>
      <c r="I3" s="406"/>
      <c r="O3" s="604">
        <v>1</v>
      </c>
    </row>
    <row r="4" spans="1:15" ht="17.100000000000001" customHeight="1" x14ac:dyDescent="0.2">
      <c r="A4" s="404"/>
      <c r="B4" s="406"/>
      <c r="C4" s="406"/>
      <c r="D4" s="406"/>
      <c r="E4" s="406"/>
      <c r="F4" s="407"/>
      <c r="G4" s="408"/>
      <c r="H4" s="408"/>
      <c r="I4" s="406"/>
      <c r="J4" s="151" t="str">
        <f>IF(VALUE(MENU!$O$4)=2,"BM","PLE")</f>
        <v>PLE</v>
      </c>
      <c r="O4" s="604">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8" t="s">
        <v>86</v>
      </c>
      <c r="F6" s="405"/>
      <c r="G6" s="508" t="s">
        <v>87</v>
      </c>
      <c r="H6" s="404"/>
      <c r="I6" s="404"/>
      <c r="J6" s="151" t="s">
        <v>88</v>
      </c>
    </row>
    <row r="7" spans="1:15" x14ac:dyDescent="0.2">
      <c r="A7" s="404"/>
      <c r="B7" s="404"/>
      <c r="C7" s="404"/>
      <c r="D7" s="404"/>
      <c r="E7" s="404"/>
      <c r="F7" s="404"/>
      <c r="G7" s="404"/>
      <c r="H7" s="404"/>
      <c r="I7" s="404"/>
      <c r="J7" s="151" t="s">
        <v>76</v>
      </c>
      <c r="K7" s="605"/>
      <c r="L7" s="606"/>
      <c r="M7" s="606"/>
      <c r="N7" s="607"/>
    </row>
    <row r="8" spans="1:15" ht="21" customHeight="1" x14ac:dyDescent="0.2">
      <c r="A8" s="406"/>
      <c r="B8" s="718" t="str">
        <f>IF($O$3&lt;&gt;2,"DOCUMENTAÇÃO DA PROPOSTA","PROPOSTA: Para visualizar/preencher esta seção, altere o TIPO DE ORÇAMENTO para 'Proposto'")</f>
        <v>DOCUMENTAÇÃO DA PROPOSTA</v>
      </c>
      <c r="C8" s="718"/>
      <c r="D8" s="718"/>
      <c r="E8" s="718"/>
      <c r="F8" s="718"/>
      <c r="G8" s="718"/>
      <c r="H8" s="718"/>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7" t="str">
        <f t="array" ref="C10">IF(TIPOORCAMENTO&lt;&gt;"Proposto","","                    BDI                    ")</f>
        <v xml:space="preserve">                    BDI                    </v>
      </c>
      <c r="D10" s="405"/>
      <c r="E10" s="477" t="str">
        <f t="array" ref="E10">IF(TIPOORCAMENTO&lt;&gt;"Proposto","","             ORÇAMENTO             ")</f>
        <v xml:space="preserve">             ORÇAMENTO             </v>
      </c>
      <c r="F10" s="405"/>
      <c r="G10" s="479" t="str">
        <f t="array" ref="G10">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7" t="str">
        <f t="array" ref="C12">IF(TIPOORCAMENTO&lt;&gt;"Proposto","","                    QCI                    ")</f>
        <v xml:space="preserve">                    QCI                    </v>
      </c>
      <c r="D12" s="405"/>
      <c r="E12" s="478" t="str">
        <f t="array" ref="E12">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f t="array" aca="1" ref="C14" ca="1">IF(TIPOORCAMENTO&lt;&gt;"Proposto","","Obs: Composições e Cotações devem ser preenchidas diretamente no arquivo Referência "&amp;IF(ISBLANK(Import.DataBase),"mm-aaaa",TEXT(Import.DataBase,"mm-aaaa"))&amp;".xlsm.")</f>
        <v>Obs: Composições e Cotações devem ser preenchidas diretamente no arquivo Referência 08-2025.xlsm.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718" t="str">
        <f>IF($O$3&lt;&gt;2,"PÓS-LICITADO: Para visualizar/preencher esta seção, altere o TIPO DE ORÇAMENTO para 'Licitado'","RESULTADO DO PROCESSO LICITATÓRIO")</f>
        <v>PÓS-LICITADO: Para visualizar/preencher esta seção, altere o TIPO DE ORÇAMENTO para 'Licitado'</v>
      </c>
      <c r="C16" s="718"/>
      <c r="D16" s="718"/>
      <c r="E16" s="718"/>
      <c r="F16" s="718"/>
      <c r="G16" s="718"/>
      <c r="H16" s="718"/>
      <c r="I16" s="404"/>
      <c r="K16" s="412"/>
      <c r="L16" s="480"/>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7" t="str">
        <f t="array" ref="C18">IF(TIPOORCAMENTO&lt;&gt;"Licitado","","             ORÇAMENTO             ")</f>
        <v/>
      </c>
      <c r="D18" s="405"/>
      <c r="E18" s="477" t="str">
        <f t="array" ref="E18">IF(TIPOORCAMENTO&lt;&gt;"Licitado","","                    QCI                    ")</f>
        <v/>
      </c>
      <c r="F18" s="405"/>
      <c r="G18" s="478" t="str">
        <f t="array" ref="G18">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718" t="str">
        <f>IF($O$3&lt;&gt;2,"ACOMPANHAMENTO: Para visualizar/preencher esta seção, altere o TIPO DE ORÇAMENTO para 'Licitado'","ACOMPANHAMENTO DO EMPREENDIMENTO")</f>
        <v>ACOMPANHAMENTO: Para visualizar/preencher esta seção, altere o TIPO DE ORÇAMENTO para 'Licitado'</v>
      </c>
      <c r="C20" s="718"/>
      <c r="D20" s="718"/>
      <c r="E20" s="718"/>
      <c r="F20" s="718"/>
      <c r="G20" s="718"/>
      <c r="H20" s="718"/>
      <c r="I20" s="404"/>
    </row>
    <row r="21" spans="1:14" ht="13.5" thickBot="1" x14ac:dyDescent="0.25">
      <c r="A21" s="404"/>
      <c r="B21" s="404"/>
      <c r="C21" s="404"/>
      <c r="D21" s="404"/>
      <c r="E21" s="404"/>
      <c r="F21" s="404"/>
      <c r="G21" s="404"/>
      <c r="H21" s="404"/>
      <c r="I21" s="404"/>
    </row>
    <row r="22" spans="1:14" ht="21" customHeight="1" thickBot="1" x14ac:dyDescent="0.25">
      <c r="A22" s="404"/>
      <c r="B22" s="404"/>
      <c r="C22" s="481" t="str">
        <f t="array" ref="C22">IF(OR(TIPOORCAMENTO&lt;&gt;"Licitado",ACOMPANHAMENTO&lt;&gt;"PLE"),"","PLAN. DE LEVANT. DE EVENTOS - PLE")</f>
        <v/>
      </c>
      <c r="D22" s="405"/>
      <c r="E22" s="477" t="str">
        <f t="array" ref="E22">IF(TIPOORCAMENTO&lt;&gt;"Licitado","","                    RRE                    ")</f>
        <v/>
      </c>
      <c r="F22" s="405"/>
      <c r="G22" s="479" t="str">
        <f t="array" ref="G22">IF(OR(TIPOORCAMENTO&lt;&gt;"Licitado",ACOMPANHAMENTO&lt;&gt;"BM"),"","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1" t="str">
        <f t="array" ref="E24">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FEk3dk1xL/lSX4IDRQQ2sonbN1RNlSy6t8SG/9xtOlVRneD+3lnT+QnS2QrdNC1cKCOyBKGDjrjNUGJL9NzoQg==" saltValue="7TknUhPYq4a73pJXDBHzIw==" spinCount="100000" sheet="1" objects="1" scenarios="1" autoFilter="0"/>
  <mergeCells count="4">
    <mergeCell ref="B20:H20"/>
    <mergeCell ref="B8:H8"/>
    <mergeCell ref="E2:G3"/>
    <mergeCell ref="B16:H16"/>
  </mergeCells>
  <phoneticPr fontId="38" type="noConversion"/>
  <conditionalFormatting sqref="C10:G14">
    <cfRule type="expression" dxfId="920" priority="70" stopIfTrue="1">
      <formula>TIPOORCAMENTO="Licitado"</formula>
    </cfRule>
  </conditionalFormatting>
  <conditionalFormatting sqref="C18:G18 E22:E24">
    <cfRule type="expression" dxfId="919" priority="71" stopIfTrue="1">
      <formula>TIPOORCAMENTO&lt;&gt;"Licitado"</formula>
    </cfRule>
  </conditionalFormatting>
  <conditionalFormatting sqref="C22">
    <cfRule type="expression" dxfId="918" priority="73" stopIfTrue="1">
      <formula>OR(TIPOORCAMENTO&lt;&gt;"Licitado",ACOMPANHAMENTO&lt;&gt;"PLE")</formula>
    </cfRule>
  </conditionalFormatting>
  <conditionalFormatting sqref="G22">
    <cfRule type="expression" dxfId="917" priority="74" stopIfTrue="1">
      <formula>OR(TIPOORCAMENTO&lt;&gt;"Licitado",ACOMPANHAMENTO&lt;&gt;"BM")</formula>
    </cfRule>
  </conditionalFormatting>
  <conditionalFormatting sqref="B16:H16 B20:H20">
    <cfRule type="expression" dxfId="916" priority="599" stopIfTrue="1">
      <formula>$O$3&lt;&gt;2</formula>
    </cfRule>
  </conditionalFormatting>
  <conditionalFormatting sqref="B8:H8">
    <cfRule type="expression" dxfId="915" priority="601" stopIfTrue="1">
      <formula>$O$3&lt;&gt;1</formula>
    </cfRule>
  </conditionalFormatting>
  <hyperlinks>
    <hyperlink ref="E6" location="DADOS!E3" display="DADOS DO CONTRATO" xr:uid="{00000000-0004-0000-0100-000000000000}"/>
    <hyperlink ref="G6" location="Novo!A1" display="NOVIDADES DA VERSÃO" xr:uid="{00000000-0004-0000-0100-000001000000}"/>
    <hyperlink ref="C10" location="BDI!Q11" display="BDI!Q11" xr:uid="{00000000-0004-0000-0100-000002000000}"/>
    <hyperlink ref="E10" location="ORÇAMENTO!M13" display="ORÇAMENTO" xr:uid="{00000000-0004-0000-0100-000003000000}"/>
    <hyperlink ref="G10" location="CÁLCULO!D13" display="MEMÓRIA DE CÁLCULO / PLQ" xr:uid="{00000000-0004-0000-0100-000004000000}"/>
    <hyperlink ref="E12" location="CRONO!G12" display="CRONOGRAMA FÍSICO-FINANCEIRO" xr:uid="{00000000-0004-0000-0100-000005000000}"/>
    <hyperlink ref="C18" location="ORÇAMENTO!AM15" display="             ORÇAMENTO             " xr:uid="{00000000-0004-0000-0100-000006000000}"/>
    <hyperlink ref="E18" location="QCI!D13" display="                    QCI                    " xr:uid="{00000000-0004-0000-0100-000007000000}"/>
    <hyperlink ref="G18" location="CRONO!G12" display="CRONOGRAMA FÍSICO-FINANCEIRO" xr:uid="{00000000-0004-0000-0100-000008000000}"/>
    <hyperlink ref="E22" location="RRE!E13" display="                    RRE                    " xr:uid="{00000000-0004-0000-0100-000009000000}"/>
    <hyperlink ref="G22" location="BM!D13" display="BM!D13" xr:uid="{00000000-0004-0000-0100-00000A000000}"/>
    <hyperlink ref="E24" location="Ofício!C6" display="OF. DE SOLICITAÇÃO DE DESBLOQUEIO" xr:uid="{00000000-0004-0000-0100-00000B000000}"/>
    <hyperlink ref="C12" location="QCI!D13" display="QCI!D13" xr:uid="{00000000-0004-0000-0100-00000C000000}"/>
    <hyperlink ref="C22" location="PLE!J8" display="PLAN. DE LEVANT. DE EVENTOS - PLE" xr:uid="{00000000-0004-0000-0100-00000D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&amp;LPMv3.16&amp;R&amp;P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2">
    <pageSetUpPr fitToPage="1"/>
  </sheetPr>
  <dimension ref="B1:AW222"/>
  <sheetViews>
    <sheetView showGridLines="0" zoomScaleNormal="100" workbookViewId="0">
      <pane ySplit="2" topLeftCell="A3" activePane="bottomLeft" state="frozen"/>
      <selection pane="bottomLeft"/>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style="661" hidden="1" customWidth="1"/>
    <col min="11" max="11" width="9.140625" style="661"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2"/>
      <c r="D1" s="519"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959</v>
      </c>
      <c r="I1" s="9" t="s">
        <v>960</v>
      </c>
      <c r="J1" s="9" t="s">
        <v>709</v>
      </c>
      <c r="M1" s="608"/>
      <c r="N1" s="721" t="s">
        <v>97</v>
      </c>
      <c r="O1" s="721"/>
      <c r="P1" s="721"/>
      <c r="Q1" s="721"/>
      <c r="R1" s="721"/>
      <c r="S1" s="721"/>
      <c r="T1" s="721"/>
      <c r="U1" s="721"/>
      <c r="V1" s="721"/>
      <c r="W1" s="721"/>
      <c r="X1" s="721"/>
      <c r="Y1" s="721"/>
      <c r="Z1" s="721"/>
      <c r="AA1" s="721"/>
      <c r="AB1" s="721"/>
      <c r="AC1" s="721"/>
      <c r="AD1" s="721"/>
      <c r="AE1" s="721"/>
      <c r="AF1" s="721"/>
      <c r="AG1" s="721"/>
      <c r="AH1" s="721"/>
      <c r="AI1" s="721"/>
      <c r="AJ1" s="721"/>
      <c r="AK1" s="721"/>
      <c r="AL1" s="721"/>
      <c r="AM1" s="721"/>
      <c r="AN1" s="721"/>
      <c r="AO1" s="721"/>
      <c r="AP1" s="721"/>
      <c r="AQ1" s="721"/>
      <c r="AR1" s="721"/>
      <c r="AS1" s="721"/>
      <c r="AT1" s="721"/>
      <c r="AV1" s="609" t="s">
        <v>98</v>
      </c>
      <c r="AW1" s="610"/>
    </row>
    <row r="2" spans="2:49" ht="12.75" customHeight="1" thickBot="1" x14ac:dyDescent="0.25">
      <c r="B2" s="8"/>
      <c r="G2" s="661" t="s">
        <v>139</v>
      </c>
      <c r="H2" s="661" t="s">
        <v>139</v>
      </c>
      <c r="I2" s="661" t="s">
        <v>139</v>
      </c>
      <c r="J2" s="661" t="s">
        <v>961</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8" t="s">
        <v>117</v>
      </c>
      <c r="AW2" s="84" t="s">
        <v>118</v>
      </c>
    </row>
    <row r="3" spans="2:49" ht="15.75" thickBot="1" x14ac:dyDescent="0.3">
      <c r="B3" s="720" t="s">
        <v>119</v>
      </c>
      <c r="C3" s="720"/>
      <c r="D3" s="560" t="str">
        <f ca="1">IF(COUNTIF(D4:D13,"◄")=0,"","Falta preencher a linha "&amp;MATCH("◄",D4:D13,0)+ROW(D3))</f>
        <v/>
      </c>
      <c r="G3" s="661" t="s">
        <v>962</v>
      </c>
      <c r="H3" s="661" t="s">
        <v>964</v>
      </c>
      <c r="I3" s="661" t="s">
        <v>967</v>
      </c>
      <c r="J3" s="661" t="s">
        <v>950</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962</v>
      </c>
      <c r="D4" s="561" t="str">
        <f ca="1">IF(OR(OFFSET(D4,0,-1)="",OFFSET(D4,0,-1)="(SELECIONAR)"),"◄","")</f>
        <v/>
      </c>
      <c r="G4" s="661" t="s">
        <v>963</v>
      </c>
      <c r="H4" s="661" t="s">
        <v>965</v>
      </c>
      <c r="I4" s="661" t="s">
        <v>968</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1356</v>
      </c>
      <c r="D5" s="561" t="str">
        <f t="shared" ref="D5:D11" ca="1" si="0">IF(OFFSET(D5,0,-1)="","◄","")</f>
        <v/>
      </c>
      <c r="H5" s="661" t="s">
        <v>966</v>
      </c>
      <c r="I5" s="661" t="s">
        <v>969</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1357</v>
      </c>
      <c r="D6" s="561" t="str">
        <f t="shared" ca="1" si="0"/>
        <v/>
      </c>
      <c r="I6" s="661" t="s">
        <v>970</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1465</v>
      </c>
      <c r="D7" s="561" t="str">
        <f t="shared" ca="1" si="0"/>
        <v/>
      </c>
      <c r="I7" s="661" t="s">
        <v>971</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1466</v>
      </c>
      <c r="D8" s="561" t="str">
        <f ca="1">IF(AND(Import.TipoArredondamento="TransfereGOV",OFFSET(D8,0,-1)=""),"◄","")</f>
        <v/>
      </c>
      <c r="I8" s="661" t="s">
        <v>972</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2730000</v>
      </c>
      <c r="D9" s="561" t="str">
        <f t="shared" ca="1" si="0"/>
        <v/>
      </c>
      <c r="I9" s="661" t="s">
        <v>973</v>
      </c>
      <c r="L9" s="12" t="s">
        <v>106</v>
      </c>
      <c r="U9" t="s">
        <v>198</v>
      </c>
      <c r="V9" s="7" t="s">
        <v>126</v>
      </c>
      <c r="W9" t="s">
        <v>199</v>
      </c>
      <c r="X9" s="7" t="s">
        <v>128</v>
      </c>
      <c r="AV9" t="s">
        <v>200</v>
      </c>
      <c r="AW9" t="s">
        <v>201</v>
      </c>
    </row>
    <row r="10" spans="2:49" x14ac:dyDescent="0.2">
      <c r="B10" s="17" t="s">
        <v>202</v>
      </c>
      <c r="C10" s="19">
        <v>0</v>
      </c>
      <c r="D10" s="561" t="str">
        <f t="shared" ca="1" si="0"/>
        <v/>
      </c>
      <c r="L10" s="12" t="s">
        <v>107</v>
      </c>
      <c r="U10" t="s">
        <v>203</v>
      </c>
      <c r="V10" s="7" t="s">
        <v>148</v>
      </c>
      <c r="W10" t="s">
        <v>204</v>
      </c>
      <c r="X10" s="7" t="s">
        <v>121</v>
      </c>
      <c r="AV10" t="s">
        <v>205</v>
      </c>
      <c r="AW10" t="s">
        <v>206</v>
      </c>
    </row>
    <row r="11" spans="2:49" x14ac:dyDescent="0.2">
      <c r="B11" s="17" t="s">
        <v>207</v>
      </c>
      <c r="C11" s="20">
        <v>0</v>
      </c>
      <c r="D11" s="561"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720" t="s">
        <v>220</v>
      </c>
      <c r="C15" s="720"/>
      <c r="D15" s="560" t="str">
        <f ca="1">IF(COUNTIF(D16:D19,"◄")=0,"","Falta preencher a linha "&amp;MATCH("◄",D16:D19,0)+ROW(D15))</f>
        <v/>
      </c>
      <c r="L15" s="12" t="s">
        <v>112</v>
      </c>
      <c r="AV15" t="s">
        <v>221</v>
      </c>
      <c r="AW15" t="s">
        <v>222</v>
      </c>
    </row>
    <row r="16" spans="2:49" x14ac:dyDescent="0.2">
      <c r="B16" s="24" t="s">
        <v>223</v>
      </c>
      <c r="C16" s="25" t="s">
        <v>1017</v>
      </c>
      <c r="D16" s="561" t="str">
        <f ca="1">IF(OFFSET(D16,0,-1)="","◄","")</f>
        <v/>
      </c>
      <c r="L16" s="12" t="s">
        <v>113</v>
      </c>
      <c r="AV16" t="s">
        <v>224</v>
      </c>
      <c r="AW16" t="s">
        <v>225</v>
      </c>
    </row>
    <row r="17" spans="2:49" x14ac:dyDescent="0.2">
      <c r="B17" s="17" t="s">
        <v>226</v>
      </c>
      <c r="C17" s="26" t="s">
        <v>1017</v>
      </c>
      <c r="D17" s="561" t="str">
        <f ca="1">IF(OFFSET(D17,0,-1)="","◄","")</f>
        <v/>
      </c>
      <c r="L17" s="12" t="s">
        <v>114</v>
      </c>
      <c r="AV17" t="s">
        <v>227</v>
      </c>
      <c r="AW17" t="s">
        <v>228</v>
      </c>
    </row>
    <row r="18" spans="2:49" x14ac:dyDescent="0.2">
      <c r="B18" s="17" t="s">
        <v>229</v>
      </c>
      <c r="C18" s="27" t="s">
        <v>966</v>
      </c>
      <c r="D18" s="561" t="str">
        <f ca="1">IF(OR(OFFSET(D18,0,-1)="",OFFSET(D18,0,-1)="(SELECIONAR)"),"◄","")</f>
        <v/>
      </c>
      <c r="L18" s="12" t="s">
        <v>115</v>
      </c>
      <c r="AV18" t="s">
        <v>230</v>
      </c>
      <c r="AW18" t="s">
        <v>231</v>
      </c>
    </row>
    <row r="19" spans="2:49" ht="13.5" thickBot="1" x14ac:dyDescent="0.25">
      <c r="B19" s="28" t="s">
        <v>232</v>
      </c>
      <c r="C19" s="29">
        <v>45870</v>
      </c>
      <c r="D19" s="561" t="str">
        <f ca="1">IF(OFFSET(D19,0,-1)="","◄","")</f>
        <v/>
      </c>
      <c r="L19" s="12" t="s">
        <v>116</v>
      </c>
      <c r="AV19" t="s">
        <v>233</v>
      </c>
      <c r="AW19" t="s">
        <v>234</v>
      </c>
    </row>
    <row r="20" spans="2:49" ht="13.5" thickBot="1" x14ac:dyDescent="0.25">
      <c r="C20" s="30"/>
      <c r="L20" s="12"/>
      <c r="AV20" t="s">
        <v>235</v>
      </c>
      <c r="AW20" t="s">
        <v>236</v>
      </c>
    </row>
    <row r="21" spans="2:49" ht="15.75" thickBot="1" x14ac:dyDescent="0.3">
      <c r="B21" s="720" t="s">
        <v>237</v>
      </c>
      <c r="C21" s="720"/>
      <c r="D21" s="560" t="str">
        <f ca="1">IF(COUNTIF(D22:D25,"◄")=0,"","Falta preencher a linha "&amp;MATCH("◄",D22:D25,0)+ROW(D21))</f>
        <v/>
      </c>
      <c r="L21" s="12"/>
      <c r="AV21" t="s">
        <v>238</v>
      </c>
      <c r="AW21" t="s">
        <v>239</v>
      </c>
    </row>
    <row r="22" spans="2:49" x14ac:dyDescent="0.2">
      <c r="B22" s="15" t="s">
        <v>240</v>
      </c>
      <c r="C22" s="31" t="s">
        <v>1360</v>
      </c>
      <c r="D22" s="561" t="str">
        <f ca="1">IF(OFFSET(D22,0,-1)="","◄","")</f>
        <v/>
      </c>
      <c r="AV22" t="s">
        <v>241</v>
      </c>
      <c r="AW22" t="s">
        <v>242</v>
      </c>
    </row>
    <row r="23" spans="2:49" x14ac:dyDescent="0.2">
      <c r="B23" s="17" t="s">
        <v>243</v>
      </c>
      <c r="C23" s="18" t="s">
        <v>1361</v>
      </c>
      <c r="D23" s="561" t="str">
        <f ca="1">IF(OFFSET(D23,0,-1)="","◄","")</f>
        <v/>
      </c>
      <c r="AV23" t="s">
        <v>244</v>
      </c>
      <c r="AW23" t="s">
        <v>245</v>
      </c>
    </row>
    <row r="24" spans="2:49" x14ac:dyDescent="0.2">
      <c r="B24" s="17" t="s">
        <v>246</v>
      </c>
      <c r="C24" s="18" t="s">
        <v>1464</v>
      </c>
      <c r="D24" s="561" t="str">
        <f ca="1">IF(OFFSET(D24,0,-1)="","◄","")</f>
        <v/>
      </c>
      <c r="AV24" t="s">
        <v>247</v>
      </c>
      <c r="AW24" t="s">
        <v>248</v>
      </c>
    </row>
    <row r="25" spans="2:49" ht="13.5" thickBot="1" x14ac:dyDescent="0.25">
      <c r="B25" s="21" t="s">
        <v>249</v>
      </c>
      <c r="C25" s="32">
        <v>45939</v>
      </c>
      <c r="D25" s="561" t="s">
        <v>250</v>
      </c>
      <c r="AV25" t="s">
        <v>251</v>
      </c>
      <c r="AW25" t="s">
        <v>252</v>
      </c>
    </row>
    <row r="26" spans="2:49" ht="13.5" thickBot="1" x14ac:dyDescent="0.25">
      <c r="AV26" t="s">
        <v>253</v>
      </c>
      <c r="AW26" t="s">
        <v>254</v>
      </c>
    </row>
    <row r="27" spans="2:49" ht="15.75" thickBot="1" x14ac:dyDescent="0.3">
      <c r="B27" s="720" t="s">
        <v>255</v>
      </c>
      <c r="C27" s="720"/>
      <c r="D27" s="560" t="str">
        <f ca="1">IF(COUNTIF(D28:D29,"◄")=0,"","Falta preencher a linha "&amp;MATCH("◄",D28:D29,0)+ROW(D27))</f>
        <v/>
      </c>
      <c r="AV27" t="s">
        <v>256</v>
      </c>
      <c r="AW27" t="s">
        <v>257</v>
      </c>
    </row>
    <row r="28" spans="2:49" x14ac:dyDescent="0.2">
      <c r="B28" s="13" t="s">
        <v>240</v>
      </c>
      <c r="C28" s="33" t="s">
        <v>1362</v>
      </c>
      <c r="D28" s="561" t="str">
        <f ca="1">IF(OFFSET(D28,0,-1)="","◄","")</f>
        <v/>
      </c>
      <c r="AV28" t="s">
        <v>258</v>
      </c>
      <c r="AW28" t="s">
        <v>259</v>
      </c>
    </row>
    <row r="29" spans="2:49" ht="13.5" thickBot="1" x14ac:dyDescent="0.25">
      <c r="B29" s="21" t="s">
        <v>260</v>
      </c>
      <c r="C29" s="34" t="s">
        <v>1363</v>
      </c>
      <c r="D29" s="561" t="str">
        <f ca="1">IF(OFFSET(D29,0,-1)="","◄","")</f>
        <v/>
      </c>
      <c r="AV29" t="s">
        <v>261</v>
      </c>
      <c r="AW29" t="s">
        <v>262</v>
      </c>
    </row>
    <row r="30" spans="2:49" ht="16.5" thickBot="1" x14ac:dyDescent="0.25">
      <c r="B30" s="8"/>
      <c r="AV30" t="s">
        <v>263</v>
      </c>
      <c r="AW30" t="s">
        <v>262</v>
      </c>
    </row>
    <row r="31" spans="2:49" ht="13.5" thickBot="1" x14ac:dyDescent="0.25">
      <c r="B31" s="473" t="s">
        <v>264</v>
      </c>
      <c r="C31" s="474" t="s">
        <v>950</v>
      </c>
      <c r="D31" s="561"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720" t="s">
        <v>273</v>
      </c>
      <c r="C35" s="720"/>
      <c r="D35" s="560" t="str">
        <f ca="1">IF(COUNTIF(D36:D39,"◄")=0,"","Falta preencher a linha "&amp;MATCH("◄",D36:D39,0)+ROW(D35))</f>
        <v/>
      </c>
      <c r="AV35" t="s">
        <v>274</v>
      </c>
      <c r="AW35" t="s">
        <v>275</v>
      </c>
    </row>
    <row r="36" spans="2:49" x14ac:dyDescent="0.2">
      <c r="B36" s="13" t="s">
        <v>276</v>
      </c>
      <c r="C36" s="35"/>
      <c r="D36" s="561" t="str">
        <f t="array" aca="1" ref="D36" ca="1">IF(AND(TIPOORCAMENTO="Licitado",OFFSET(D36,0,-1)=""),"◄","")</f>
        <v/>
      </c>
      <c r="AV36" t="s">
        <v>277</v>
      </c>
      <c r="AW36" t="s">
        <v>278</v>
      </c>
    </row>
    <row r="37" spans="2:49" x14ac:dyDescent="0.2">
      <c r="B37" s="15" t="s">
        <v>279</v>
      </c>
      <c r="C37" s="16"/>
      <c r="D37" s="561" t="str">
        <f t="array" aca="1" ref="D37" ca="1">IF(AND(TIPOORCAMENTO="Licitado",OFFSET(D37,0,-1)=""),"◄","")</f>
        <v/>
      </c>
      <c r="AV37" t="s">
        <v>280</v>
      </c>
      <c r="AW37" t="s">
        <v>281</v>
      </c>
    </row>
    <row r="38" spans="2:49" x14ac:dyDescent="0.2">
      <c r="B38" s="17" t="s">
        <v>282</v>
      </c>
      <c r="C38" s="18"/>
      <c r="D38" s="561" t="str">
        <f t="array" aca="1" ref="D38" ca="1">IF(AND(TIPOORCAMENTO="Licitado",OFFSET(D38,0,-1)=""),"◄","")</f>
        <v/>
      </c>
      <c r="AV38" t="s">
        <v>283</v>
      </c>
      <c r="AW38" t="s">
        <v>284</v>
      </c>
    </row>
    <row r="39" spans="2:49" x14ac:dyDescent="0.2">
      <c r="B39" s="17" t="s">
        <v>285</v>
      </c>
      <c r="C39" s="18"/>
      <c r="D39" s="561" t="str">
        <f t="array" aca="1" ref="D39" ca="1">IF(AND(TIPOORCAMENTO="Licitado",OFFSET(D39,0,-1)=""),"◄","")</f>
        <v/>
      </c>
      <c r="AV39" t="s">
        <v>286</v>
      </c>
      <c r="AW39" t="s">
        <v>287</v>
      </c>
    </row>
    <row r="40" spans="2:49" x14ac:dyDescent="0.2">
      <c r="B40" s="17" t="s">
        <v>288</v>
      </c>
      <c r="C40" s="27" t="s">
        <v>972</v>
      </c>
      <c r="D40" s="561" t="str">
        <f t="array" aca="1" ref="D40" ca="1">IF(AND(TIPOORCAMENTO="Licitado",OR(OFFSET(D40,0,-1)="",OFFSET(D40,0,-1)="(SELECIONAR)")),"◄","")</f>
        <v/>
      </c>
      <c r="AV40" t="s">
        <v>289</v>
      </c>
      <c r="AW40" t="s">
        <v>290</v>
      </c>
    </row>
    <row r="41" spans="2:49" ht="13.5" thickBot="1" x14ac:dyDescent="0.25">
      <c r="B41" s="28" t="s">
        <v>291</v>
      </c>
      <c r="C41" s="36"/>
      <c r="D41" s="561" t="str">
        <f t="array" aca="1" ref="D41"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720" t="s">
        <v>303</v>
      </c>
      <c r="C46" s="720"/>
      <c r="D46" s="560" t="str">
        <f ca="1">IF(COUNTIF(D47:D48,"◄")=0,"","Falta preencher a linha "&amp;MATCH("◄",D47:D48,0)+ROW(D46))</f>
        <v/>
      </c>
      <c r="AV46" t="s">
        <v>304</v>
      </c>
      <c r="AW46" t="s">
        <v>305</v>
      </c>
    </row>
    <row r="47" spans="2:49" x14ac:dyDescent="0.2">
      <c r="B47" s="13" t="s">
        <v>306</v>
      </c>
      <c r="C47" s="35"/>
      <c r="D47" s="561" t="str">
        <f t="array" aca="1" ref="D47" ca="1">IF(AND(TIPOORCAMENTO="Licitado",OFFSET(D47,0,-1)="",IFERROR(RRE!$O$28,0)&gt;0),"◄","")</f>
        <v/>
      </c>
      <c r="AV47" t="s">
        <v>307</v>
      </c>
      <c r="AW47" t="s">
        <v>308</v>
      </c>
    </row>
    <row r="48" spans="2:49" ht="13.5" thickBot="1" x14ac:dyDescent="0.25">
      <c r="B48" s="28" t="s">
        <v>309</v>
      </c>
      <c r="C48" s="37"/>
      <c r="D48" s="561" t="str">
        <f t="array" aca="1" ref="D48"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720" t="s">
        <v>314</v>
      </c>
      <c r="C50" s="720"/>
      <c r="D50" s="560" t="str">
        <f ca="1">IF(COUNTIF(D51:D54,"◄")=0,"","Falta preencher a linha "&amp;MATCH("◄",D51:D54,0)+ROW(D50))</f>
        <v/>
      </c>
      <c r="AV50" t="s">
        <v>315</v>
      </c>
      <c r="AW50" t="s">
        <v>316</v>
      </c>
    </row>
    <row r="51" spans="2:49" x14ac:dyDescent="0.2">
      <c r="B51" s="13" t="s">
        <v>240</v>
      </c>
      <c r="C51" s="38"/>
      <c r="D51" s="561" t="str">
        <f t="array" aca="1" ref="D51" ca="1">IF(AND(TIPOORCAMENTO="Licitado",OFFSET(D51,0,-1)="",IFERROR(RRE!$O$28,0)&gt;0),"◄","")</f>
        <v/>
      </c>
      <c r="AV51" t="s">
        <v>317</v>
      </c>
      <c r="AW51" t="s">
        <v>318</v>
      </c>
    </row>
    <row r="52" spans="2:49" x14ac:dyDescent="0.2">
      <c r="B52" s="17" t="s">
        <v>319</v>
      </c>
      <c r="C52" s="18"/>
      <c r="D52" s="561" t="str">
        <f t="array" aca="1" ref="D52" ca="1">IF(AND(TIPOORCAMENTO="Licitado",OFFSET(D52,0,-1)="",IFERROR(RRE!$O$28,0)&gt;0),"◄","")</f>
        <v/>
      </c>
      <c r="AV52" t="s">
        <v>320</v>
      </c>
      <c r="AW52" t="s">
        <v>321</v>
      </c>
    </row>
    <row r="53" spans="2:49" x14ac:dyDescent="0.2">
      <c r="B53" s="17" t="s">
        <v>322</v>
      </c>
      <c r="C53" s="18"/>
      <c r="D53" s="561" t="str">
        <f t="array" aca="1" ref="D53" ca="1">IF(AND(TIPOORCAMENTO="Licitado",OFFSET(D53,0,-1)="",IFERROR(RRE!$O$28,0)&gt;0),"◄","")</f>
        <v/>
      </c>
      <c r="AV53" t="s">
        <v>323</v>
      </c>
      <c r="AW53" t="s">
        <v>324</v>
      </c>
    </row>
    <row r="54" spans="2:49" ht="13.5" thickBot="1" x14ac:dyDescent="0.25">
      <c r="B54" s="21" t="s">
        <v>325</v>
      </c>
      <c r="C54" s="39"/>
      <c r="D54" s="561" t="str">
        <f t="array" aca="1" ref="D54"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720" t="s">
        <v>337</v>
      </c>
      <c r="C59" s="720"/>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8"/>
      <c r="AW222" s="84"/>
    </row>
  </sheetData>
  <sheetProtection algorithmName="SHA-512" hashValue="ASoigdhTA6NaX22QUtlCzs4t+SFyrTS2DPrrsS5wrOzctn1Nv2Cpul0hqPUrONOAp5VkiIEAYGxRD+dJids0kg==" saltValue="NmCGW9Y70f/fsDc2UuDpr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914" priority="2" stopIfTrue="1">
      <formula>CAIXA.Modo=FALSE</formula>
    </cfRule>
  </conditionalFormatting>
  <conditionalFormatting sqref="B59:C61">
    <cfRule type="expression" dxfId="913"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2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200-000001000000}">
      <formula1>DADOS.Lista.RegimePreviden</formula1>
    </dataValidation>
    <dataValidation type="decimal" allowBlank="1" showErrorMessage="1" error="Digite um valor em percentual._x000a__x000a_Ou seja um valor de 0% (zero) até 100% (cem). " sqref="C11 C13:C14" xr:uid="{00000000-0002-0000-0200-000002000000}">
      <formula1>0</formula1>
      <formula2>1</formula2>
    </dataValidation>
    <dataValidation type="list" allowBlank="1" showInputMessage="1" showErrorMessage="1" errorTitle="Erro:" error="Selecione na lista a fonte de recursos." prompt="Selecione na lista a fonte de recursos." sqref="C4" xr:uid="{00000000-0002-0000-0200-000003000000}">
      <formula1>DADOS.Lista.FonteRecursos</formula1>
    </dataValidation>
    <dataValidation type="decimal" operator="greaterThan" allowBlank="1" showErrorMessage="1" error="Digite um valor maior do que 0." sqref="C12" xr:uid="{00000000-0002-0000-02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2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2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723" t="s">
        <v>644</v>
      </c>
      <c r="S1" s="723"/>
    </row>
    <row r="2" spans="1:21" x14ac:dyDescent="0.2">
      <c r="A2" s="49" t="s">
        <v>645</v>
      </c>
      <c r="B2" s="53" t="s">
        <v>646</v>
      </c>
      <c r="C2" s="49" t="str">
        <f t="shared" ref="C2:C49" si="0">CONCATENATE(A2,"-",B2)</f>
        <v>Construção e Reforma de Edifícios-AC</v>
      </c>
      <c r="E2" s="54">
        <v>0.03</v>
      </c>
      <c r="F2" s="54">
        <v>0.04</v>
      </c>
      <c r="G2" s="54">
        <v>5.5E-2</v>
      </c>
      <c r="R2" s="724" t="s">
        <v>647</v>
      </c>
      <c r="S2" s="724"/>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725" t="s">
        <v>650</v>
      </c>
      <c r="K4" s="725"/>
      <c r="L4" s="725" t="s">
        <v>651</v>
      </c>
      <c r="M4" s="725"/>
      <c r="N4" s="725" t="s">
        <v>652</v>
      </c>
      <c r="O4" s="725"/>
      <c r="P4" s="725"/>
      <c r="Q4" s="725"/>
      <c r="R4" s="725"/>
      <c r="S4" s="725"/>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722" t="str">
        <f>Import.CR</f>
        <v>1103833-63</v>
      </c>
      <c r="K5" s="722"/>
      <c r="L5" s="722" t="str">
        <f>Import.TransfereGOV</f>
        <v>39994/2025</v>
      </c>
      <c r="M5" s="722"/>
      <c r="N5" s="722" t="str">
        <f>Import.Proponente</f>
        <v>PREFEITURA MUNICIPAL DE PIRANGUÇU-MG</v>
      </c>
      <c r="O5" s="722"/>
      <c r="P5" s="722"/>
      <c r="Q5" s="722"/>
      <c r="R5" s="722"/>
      <c r="S5" s="722"/>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51"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51"/>
      <c r="J7" s="725" t="s">
        <v>657</v>
      </c>
      <c r="K7" s="725"/>
      <c r="L7" s="725"/>
      <c r="M7" s="725"/>
      <c r="N7" s="725"/>
      <c r="O7" s="725"/>
      <c r="P7" s="725"/>
      <c r="Q7" s="725"/>
      <c r="R7" s="725"/>
      <c r="S7" s="725"/>
      <c r="U7" s="519"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51"/>
      <c r="J8" s="728" t="str">
        <f>Import.Apelido&amp;" / "&amp;Import.DescLote</f>
        <v>CONSTRUÇÃO DE VINTE UNIDADES HABITACIONAIS / CONSTRUÇÃO DE VINTE UNIDADES HABITACIONAIS</v>
      </c>
      <c r="K8" s="728"/>
      <c r="L8" s="728"/>
      <c r="M8" s="728"/>
      <c r="N8" s="728"/>
      <c r="O8" s="728"/>
      <c r="P8" s="728"/>
      <c r="Q8" s="728"/>
      <c r="R8" s="728"/>
      <c r="S8" s="728"/>
      <c r="U8" s="519"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51"/>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51"/>
      <c r="J10" s="729" t="s">
        <v>659</v>
      </c>
      <c r="K10" s="729"/>
      <c r="L10" s="729"/>
      <c r="M10" s="729"/>
      <c r="N10" s="729"/>
      <c r="O10" s="729"/>
      <c r="P10" s="729"/>
      <c r="Q10" s="729"/>
      <c r="R10" s="727">
        <v>1</v>
      </c>
      <c r="S10" s="727"/>
      <c r="U10" s="569"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726" t="s">
        <v>661</v>
      </c>
      <c r="K11" s="726"/>
      <c r="L11" s="726"/>
      <c r="M11" s="726"/>
      <c r="N11" s="726"/>
      <c r="O11" s="726"/>
      <c r="P11" s="726"/>
      <c r="Q11" s="726"/>
      <c r="R11" s="727">
        <v>0.02</v>
      </c>
      <c r="S11" s="727"/>
      <c r="U11" s="569"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734" t="s">
        <v>663</v>
      </c>
      <c r="K14" s="734"/>
      <c r="L14" s="734"/>
      <c r="M14" s="734"/>
      <c r="N14" s="734"/>
      <c r="O14" s="734"/>
      <c r="P14" s="734"/>
      <c r="Q14" s="734"/>
      <c r="R14" s="734"/>
      <c r="S14" s="734"/>
      <c r="U14" s="519" t="str">
        <f ca="1">IF(COUNTIF(ORÇAMENTO!$V$15:$V$235,BDI_1.Título)=0,"",IF(OR(Import.BDI.Tipo1="(SELECIONAR)",Import.BDI.Tipo1="",U17&lt;&gt;"",AND($J17&lt;&gt;$A$145,OR(S21="",S22="",AND($J17&lt;&gt;$A$146,OR(S23="",S24="")),S25="",S26=""))),"Falta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725" t="s">
        <v>664</v>
      </c>
      <c r="K16" s="725"/>
      <c r="L16" s="725"/>
      <c r="M16" s="725"/>
      <c r="N16" s="725"/>
      <c r="O16" s="725"/>
      <c r="P16" s="725"/>
      <c r="Q16" s="725"/>
      <c r="R16" s="725"/>
      <c r="S16" s="725"/>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731" t="s">
        <v>690</v>
      </c>
      <c r="K17" s="731"/>
      <c r="L17" s="731"/>
      <c r="M17" s="731"/>
      <c r="N17" s="731"/>
      <c r="O17" s="731"/>
      <c r="P17" s="731"/>
      <c r="Q17" s="731"/>
      <c r="R17" s="731"/>
      <c r="S17" s="731"/>
      <c r="T17" s="561" t="str">
        <f ca="1">IF(U17="","","◄")</f>
        <v/>
      </c>
      <c r="U17" s="560" t="str">
        <f ca="1">IF(AND(OR(S29&gt;0,COUNTIF(ORÇAMENTO!$V$15:$V$235,BDI_1.Título)&gt;0),OR(Import.BDI.Tipo1="(SELECIONAR)",Import.BDI.Tipo1="")),"Selecione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733" t="s">
        <v>666</v>
      </c>
      <c r="K19" s="733"/>
      <c r="L19" s="733"/>
      <c r="M19" s="733"/>
      <c r="N19" s="733"/>
      <c r="O19" s="733"/>
      <c r="P19" s="733"/>
      <c r="Q19" s="733"/>
      <c r="R19" s="733" t="s">
        <v>667</v>
      </c>
      <c r="S19" s="732" t="s">
        <v>668</v>
      </c>
      <c r="U19" s="732" t="s">
        <v>669</v>
      </c>
      <c r="V19" s="732"/>
      <c r="W19" s="732"/>
      <c r="X19" s="730" t="s">
        <v>670</v>
      </c>
      <c r="Y19" s="730" t="s">
        <v>671</v>
      </c>
      <c r="Z19" s="730"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733"/>
      <c r="K20" s="733"/>
      <c r="L20" s="733"/>
      <c r="M20" s="733"/>
      <c r="N20" s="733"/>
      <c r="O20" s="733"/>
      <c r="P20" s="733"/>
      <c r="Q20" s="733"/>
      <c r="R20" s="733"/>
      <c r="S20" s="732"/>
      <c r="U20" s="732"/>
      <c r="V20" s="732"/>
      <c r="W20" s="732"/>
      <c r="X20" s="730"/>
      <c r="Y20" s="730"/>
      <c r="Z20" s="730"/>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735" t="str">
        <f>IF($J$17=$A$146,"Encargos Sociais incidentes sobre a mão de obra","Administração Central")</f>
        <v>Encargos Sociais incidentes sobre a mão de obra</v>
      </c>
      <c r="K21" s="735"/>
      <c r="L21" s="735"/>
      <c r="M21" s="735"/>
      <c r="N21" s="735"/>
      <c r="O21" s="735"/>
      <c r="P21" s="735"/>
      <c r="Q21" s="735"/>
      <c r="R21" s="60" t="str">
        <f>IF($J17=$A$146,"K1","AC")</f>
        <v>K1</v>
      </c>
      <c r="S21" s="61">
        <v>0.05</v>
      </c>
      <c r="T21" s="570" t="str">
        <f t="shared" ref="T21:T26" ca="1" si="1">IF(AND($U$14&lt;&gt;"",$U$17="",R21&lt;&gt;"",S21=""),"◄","")</f>
        <v/>
      </c>
      <c r="U21" s="736" t="str">
        <f ca="1">IFERROR(IF(T21="◄","FALTA PREENCHER",IF(AND(OR(S21&gt;=X21,X21="-"),OR(S21&lt;=Z21,Z21="-")),"OK","FORA DO INTERVALO")),"-")</f>
        <v>OK</v>
      </c>
      <c r="V21" s="736"/>
      <c r="W21" s="736"/>
      <c r="X21" s="62" t="str">
        <f>VLOOKUP(CONCATENATE(J17,"-",R21),$C$2:$G$136,3,FALSE)</f>
        <v>-</v>
      </c>
      <c r="Y21" s="62" t="str">
        <f>VLOOKUP(CONCATENATE(J17,"-",R21),$C$2:$G$136,4,FALSE)</f>
        <v>-</v>
      </c>
      <c r="Z21" s="62" t="str">
        <f>VLOOKUP(CONCATENATE(J17,"-",R21),$C$2:$G$136,5,FALSE)</f>
        <v>-</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735" t="str">
        <f>IF($J$17=$A$146,"Administração Central da empresa ou consultoria - overhead","Seguro e Garantia")</f>
        <v>Administração Central da empresa ou consultoria - overhead</v>
      </c>
      <c r="K22" s="735"/>
      <c r="L22" s="735"/>
      <c r="M22" s="735"/>
      <c r="N22" s="735"/>
      <c r="O22" s="735"/>
      <c r="P22" s="735"/>
      <c r="Q22" s="735"/>
      <c r="R22" s="60" t="str">
        <f>IF($J17=$A$146,"K2","SG")</f>
        <v>K2</v>
      </c>
      <c r="S22" s="61">
        <v>0.04</v>
      </c>
      <c r="T22" s="570" t="str">
        <f t="shared" ca="1" si="1"/>
        <v/>
      </c>
      <c r="U22" s="736" t="str">
        <f t="shared" ref="U22:U28" ca="1" si="2">IFERROR(IF(T22="◄","FALTA PREENCHER",IF(AND(OR(S22&gt;=X22,X22="-"),OR(S22&lt;=Z22,Z22="-")),"OK","FORA DO INTERVALO")),"-")</f>
        <v>OK</v>
      </c>
      <c r="V22" s="736"/>
      <c r="W22" s="736"/>
      <c r="X22" s="62" t="str">
        <f>VLOOKUP(CONCATENATE(J17,"-",R22),$C$2:$G$136,3,FALSE)</f>
        <v>-</v>
      </c>
      <c r="Y22" s="62">
        <f>VLOOKUP(CONCATENATE(J17,"-",R22),$C$2:$G$136,4,FALSE)</f>
        <v>0.2</v>
      </c>
      <c r="Z22" s="62" t="str">
        <f>VLOOKUP(CONCATENATE(J17,"-",R22),$C$2:$G$136,5,FALSE)</f>
        <v>-</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735" t="s">
        <v>942</v>
      </c>
      <c r="K23" s="735"/>
      <c r="L23" s="735"/>
      <c r="M23" s="735"/>
      <c r="N23" s="735"/>
      <c r="O23" s="735"/>
      <c r="P23" s="735"/>
      <c r="Q23" s="735"/>
      <c r="R23" s="60" t="str">
        <f>IF($J17=$A$146,"","R")</f>
        <v/>
      </c>
      <c r="S23" s="61"/>
      <c r="T23" s="570" t="str">
        <f t="shared" ca="1" si="1"/>
        <v/>
      </c>
      <c r="U23" s="736" t="str">
        <f t="shared" ca="1" si="2"/>
        <v>OK</v>
      </c>
      <c r="V23" s="736"/>
      <c r="W23" s="736"/>
      <c r="X23" s="62" t="str">
        <f>VLOOKUP(CONCATENATE(J17,"-",R23),$C$2:$G$136,3,FALSE)</f>
        <v>-</v>
      </c>
      <c r="Y23" s="62" t="str">
        <f>VLOOKUP(CONCATENATE(J17,"-",R23),$C$2:$G$136,4,FALSE)</f>
        <v>-</v>
      </c>
      <c r="Z23" s="62" t="str">
        <f>VLOOKUP(CONCATENATE(J17,"-",R23),$C$2:$G$136,5,FALSE)</f>
        <v>-</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735" t="s">
        <v>943</v>
      </c>
      <c r="K24" s="735"/>
      <c r="L24" s="735"/>
      <c r="M24" s="735"/>
      <c r="N24" s="735"/>
      <c r="O24" s="735"/>
      <c r="P24" s="735"/>
      <c r="Q24" s="735"/>
      <c r="R24" s="60" t="str">
        <f>IF($J17=$A$146,"","DF")</f>
        <v/>
      </c>
      <c r="S24" s="61"/>
      <c r="T24" s="570" t="str">
        <f t="shared" ca="1" si="1"/>
        <v/>
      </c>
      <c r="U24" s="736" t="str">
        <f t="shared" ca="1" si="2"/>
        <v>OK</v>
      </c>
      <c r="V24" s="736"/>
      <c r="W24" s="736"/>
      <c r="X24" s="62" t="str">
        <f>VLOOKUP(CONCATENATE(J17,"-",R24),$C$2:$G$136,3,FALSE)</f>
        <v>-</v>
      </c>
      <c r="Y24" s="62" t="str">
        <f>VLOOKUP(CONCATENATE(J17,"-",R24),$C$2:$G$136,4,FALSE)</f>
        <v>-</v>
      </c>
      <c r="Z24" s="62" t="str">
        <f>VLOOKUP(CONCATENATE(J17,"-",R24),$C$2:$G$136,5,FALSE)</f>
        <v>-</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735" t="str">
        <f>IF($J$17=$A$146,"Margem bruta da empresa de consultoria","Lucro")</f>
        <v>Margem bruta da empresa de consultoria</v>
      </c>
      <c r="K25" s="735"/>
      <c r="L25" s="735"/>
      <c r="M25" s="735"/>
      <c r="N25" s="735"/>
      <c r="O25" s="735"/>
      <c r="P25" s="735"/>
      <c r="Q25" s="735"/>
      <c r="R25" s="60" t="str">
        <f>IF($J17=$A$146,"K3","L")</f>
        <v>K3</v>
      </c>
      <c r="S25" s="61">
        <v>0.12</v>
      </c>
      <c r="T25" s="570" t="str">
        <f t="shared" ca="1" si="1"/>
        <v/>
      </c>
      <c r="U25" s="736" t="str">
        <f t="shared" ca="1" si="2"/>
        <v>OK</v>
      </c>
      <c r="V25" s="736"/>
      <c r="W25" s="736"/>
      <c r="X25" s="62" t="str">
        <f>VLOOKUP(CONCATENATE(J17,"-",R25),$C$2:$G$136,3,FALSE)</f>
        <v>-</v>
      </c>
      <c r="Y25" s="62">
        <f>VLOOKUP(CONCATENATE(J17,"-",R25),$C$2:$G$136,4,FALSE)</f>
        <v>0.12</v>
      </c>
      <c r="Z25" s="62" t="str">
        <f>VLOOKUP(CONCATENATE(J17,"-",R25),$C$2:$G$136,5,FALSE)</f>
        <v>-</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735" t="s">
        <v>675</v>
      </c>
      <c r="K26" s="735"/>
      <c r="L26" s="735"/>
      <c r="M26" s="735"/>
      <c r="N26" s="735"/>
      <c r="O26" s="735"/>
      <c r="P26" s="735"/>
      <c r="Q26" s="735"/>
      <c r="R26" s="60" t="s">
        <v>456</v>
      </c>
      <c r="S26" s="61">
        <v>3.6499999999999998E-2</v>
      </c>
      <c r="T26" s="570" t="str">
        <f t="shared" ca="1" si="1"/>
        <v/>
      </c>
      <c r="U26" s="736" t="str">
        <f t="shared" ca="1" si="2"/>
        <v>OK</v>
      </c>
      <c r="V26" s="736"/>
      <c r="W26" s="736"/>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735" t="s">
        <v>676</v>
      </c>
      <c r="K27" s="735"/>
      <c r="L27" s="735"/>
      <c r="M27" s="735"/>
      <c r="N27" s="735"/>
      <c r="O27" s="735"/>
      <c r="P27" s="735"/>
      <c r="Q27" s="735"/>
      <c r="R27" s="60" t="s">
        <v>677</v>
      </c>
      <c r="S27" s="62">
        <f ca="1">IF(AND($J17&lt;&gt;$A$145,COUNTA(OFFSET(S20,1,0,6))&gt;0),$R$11*$R$10,0)</f>
        <v>0.02</v>
      </c>
      <c r="U27" s="736" t="str">
        <f t="shared" ca="1" si="2"/>
        <v>OK</v>
      </c>
      <c r="V27" s="736"/>
      <c r="W27" s="736"/>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735" t="s">
        <v>678</v>
      </c>
      <c r="K28" s="735"/>
      <c r="L28" s="735"/>
      <c r="M28" s="735"/>
      <c r="N28" s="735"/>
      <c r="O28" s="735"/>
      <c r="P28" s="735"/>
      <c r="Q28" s="735"/>
      <c r="R28" s="60" t="s">
        <v>679</v>
      </c>
      <c r="S28" s="62">
        <f t="array" aca="1" ref="S28" ca="1">IF(BDI.Opcao&lt;&gt;"Desonerado",0,IF(AND($J17&lt;&gt;$A$145,COUNTA(OFFSET(S20,1,0,6))&gt;0),IF(YEAR(Import.DataBase)&lt;2025,4.5%,IF(YEAR(Import.DataBase)=2025,3.6%,IF(YEAR(Import.DataBase)=2026,2.7%,IF(YEAR(Import.DataBase)=2027,1.8%,0%)))),0%))</f>
        <v>0</v>
      </c>
      <c r="U28" s="736" t="str">
        <f t="shared" ca="1" si="2"/>
        <v>OK</v>
      </c>
      <c r="V28" s="736"/>
      <c r="W28" s="736"/>
      <c r="X28" s="63">
        <f ca="1">$S28</f>
        <v>0</v>
      </c>
      <c r="Y28" s="63">
        <f ca="1">$S28</f>
        <v>0</v>
      </c>
      <c r="Z28" s="63">
        <f ca="1">$S28</f>
        <v>0</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735" t="s">
        <v>680</v>
      </c>
      <c r="K29" s="735"/>
      <c r="L29" s="735"/>
      <c r="M29" s="735"/>
      <c r="N29" s="735"/>
      <c r="O29" s="735"/>
      <c r="P29" s="735"/>
      <c r="Q29" s="735"/>
      <c r="R29" s="64" t="s">
        <v>656</v>
      </c>
      <c r="S29" s="62">
        <f ca="1">IF($J17=$A$145,0,ROUND((((1+S21+S22+S23)*(1+S24)*(1+S25)/(1-(S26+S27)))-1),4))</f>
        <v>0.29389999999999999</v>
      </c>
      <c r="U29" s="732" t="str">
        <f ca="1">IFERROR(IF(AND(OR(S29&gt;=X29,X29="-"),OR(S29&lt;=Z29,Z29="-")),"OK","FORA DO INTERVALO"),IF(S29=0,"OK","Selecione o Tipo de obra"))</f>
        <v>OK</v>
      </c>
      <c r="V29" s="732"/>
      <c r="W29" s="732"/>
      <c r="X29" s="62" t="str">
        <f>IF($J17=$A$145,0,VLOOKUP(CONCATENATE($J17,"-",$R29),$C$2:$G$136,3,FALSE))</f>
        <v>-</v>
      </c>
      <c r="Y29" s="62" t="str">
        <f>IF($J17=$A$145,0,VLOOKUP(CONCATENATE($J17,"-",$R29),$C$2:$G$136,4,FALSE))</f>
        <v>-</v>
      </c>
      <c r="Z29" s="62" t="str">
        <f>IF($J17=$A$145,0,VLOOKUP(CONCATENATE($J17,"-",$R29),$C$2:$G$136,5,FALSE))</f>
        <v>-</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739" t="s">
        <v>681</v>
      </c>
      <c r="K30" s="739"/>
      <c r="L30" s="739"/>
      <c r="M30" s="739"/>
      <c r="N30" s="739"/>
      <c r="O30" s="739"/>
      <c r="P30" s="739"/>
      <c r="Q30" s="739"/>
      <c r="R30" s="65" t="s">
        <v>682</v>
      </c>
      <c r="S30" s="66">
        <f ca="1">IF($J17=$A$145,0,ROUND((((1+S21+S22+S23)*(1+S24)*(1+S25)/(1-(S26+S27+S28)))-1),4))</f>
        <v>0.29389999999999999</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740" t="str">
        <f ca="1">IF(U29&lt;&gt;"ok","Anexo: Relatório Técnico Circunstanciado justificando a adoção do percentual de cada parcela do BDI.","")</f>
        <v/>
      </c>
      <c r="L32" s="740"/>
      <c r="M32" s="740"/>
      <c r="N32" s="740"/>
      <c r="O32" s="740"/>
      <c r="P32" s="740"/>
      <c r="Q32" s="740"/>
      <c r="R32" s="740"/>
      <c r="S32" s="740"/>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41" t="s">
        <v>683</v>
      </c>
      <c r="K34" s="741"/>
      <c r="L34" s="741"/>
      <c r="M34" s="741"/>
      <c r="N34" s="741"/>
      <c r="O34" s="741"/>
      <c r="P34" s="741"/>
      <c r="Q34" s="741"/>
      <c r="R34" s="741"/>
      <c r="S34" s="741"/>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42" t="s">
        <v>684</v>
      </c>
      <c r="N35" s="748" t="str">
        <f>IF($J17=$A$146,"(1+K1+K2)*(1+K3)","(1+AC + S + R + G)*(1 + DF)*(1+L)")</f>
        <v>(1+K1+K2)*(1+K3)</v>
      </c>
      <c r="O35" s="748"/>
      <c r="P35" s="748"/>
      <c r="Q35" s="749"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42"/>
      <c r="N36" s="737" t="s">
        <v>686</v>
      </c>
      <c r="O36" s="737"/>
      <c r="P36" s="737"/>
      <c r="Q36" s="749"/>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73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738"/>
      <c r="L38" s="738"/>
      <c r="M38" s="738"/>
      <c r="N38" s="738"/>
      <c r="O38" s="738"/>
      <c r="P38" s="738"/>
      <c r="Q38" s="738"/>
      <c r="R38" s="738"/>
      <c r="S38" s="738"/>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738" t="str">
        <f t="array" aca="1" ref="J4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738"/>
      <c r="L40" s="738"/>
      <c r="M40" s="738"/>
      <c r="N40" s="738"/>
      <c r="O40" s="738"/>
      <c r="P40" s="738"/>
      <c r="Q40" s="738"/>
      <c r="R40" s="738"/>
      <c r="S40" s="738"/>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50"/>
      <c r="K43" s="750"/>
      <c r="L43" s="750"/>
      <c r="M43" s="750"/>
      <c r="N43" s="750"/>
      <c r="O43" s="750"/>
      <c r="P43" s="750"/>
      <c r="Q43" s="750"/>
      <c r="R43" s="750"/>
      <c r="S43" s="750"/>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44" t="str">
        <f>Import.Município</f>
        <v>PIRANGUÇU-MG</v>
      </c>
      <c r="K45" s="744"/>
      <c r="L45" s="744"/>
      <c r="M45" s="744"/>
      <c r="P45" s="745">
        <f>DADOS!$C$25</f>
        <v>45939</v>
      </c>
      <c r="Q45" s="745"/>
      <c r="R45" s="745"/>
      <c r="S45" s="745"/>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46" t="s">
        <v>693</v>
      </c>
      <c r="K46" s="746"/>
      <c r="L46" s="746"/>
      <c r="M46" s="746"/>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47"/>
      <c r="K48" s="747"/>
      <c r="L48" s="747"/>
      <c r="M48" s="747"/>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43" t="s">
        <v>696</v>
      </c>
      <c r="K49" s="743"/>
      <c r="L49" s="743"/>
      <c r="M49" s="743"/>
    </row>
    <row r="50" spans="1:26" ht="14.25" x14ac:dyDescent="0.2">
      <c r="B50" s="58"/>
      <c r="E50" s="54"/>
      <c r="F50" s="54"/>
      <c r="G50" s="54"/>
      <c r="I50" t="s">
        <v>536</v>
      </c>
      <c r="J50" s="77" t="s">
        <v>240</v>
      </c>
      <c r="K50" s="78" t="str">
        <f t="array" ref="K50:K52">Import.RespOrçamento</f>
        <v>NILCEZAR AUGUSTO PERES</v>
      </c>
      <c r="L50" s="79"/>
      <c r="M50" s="79"/>
      <c r="N50" s="76"/>
    </row>
    <row r="51" spans="1:26" ht="14.25" x14ac:dyDescent="0.2">
      <c r="A51"/>
      <c r="B51"/>
      <c r="C51"/>
      <c r="D51"/>
      <c r="E51"/>
      <c r="F51"/>
      <c r="G51"/>
      <c r="I51" t="s">
        <v>536</v>
      </c>
      <c r="J51" s="77" t="s">
        <v>243</v>
      </c>
      <c r="K51" s="78" t="str">
        <v>161.233/D-MG</v>
      </c>
      <c r="L51" s="79"/>
      <c r="M51" s="79"/>
      <c r="N51" s="76"/>
    </row>
    <row r="52" spans="1:26" ht="14.25" x14ac:dyDescent="0.2">
      <c r="A52"/>
      <c r="B52"/>
      <c r="C52"/>
      <c r="D52"/>
      <c r="E52"/>
      <c r="F52"/>
      <c r="G52"/>
      <c r="I52" t="s">
        <v>536</v>
      </c>
      <c r="J52" s="77" t="s">
        <v>246</v>
      </c>
      <c r="K52" s="78" t="str">
        <v>MG2025435540</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F</v>
      </c>
      <c r="J54" s="734" t="s">
        <v>697</v>
      </c>
      <c r="K54" s="734"/>
      <c r="L54" s="734"/>
      <c r="M54" s="734"/>
      <c r="N54" s="734"/>
      <c r="O54" s="734"/>
      <c r="P54" s="734"/>
      <c r="Q54" s="734"/>
      <c r="R54" s="734"/>
      <c r="S54" s="734"/>
      <c r="U54" s="519" t="str">
        <f ca="1">IF(COUNTIF(ORÇAMENTO!$V$15:$V$235,BDI_2.Título)=0,"",IF(OR(Import.BDI.Tipo2="(SELECIONAR)",Import.BDI.Tipo2="",U57&lt;&gt;"",AND($J57&lt;&gt;$A$145,OR(S61="",S62="",AND($J57&lt;&gt;$A$146,OR(S63="",S64="")),S65="",S66=""))),"Falta preencher o BDI 2",""))</f>
        <v/>
      </c>
    </row>
    <row r="55" spans="1:26" x14ac:dyDescent="0.2">
      <c r="A55"/>
      <c r="B55"/>
      <c r="C55"/>
      <c r="D55"/>
      <c r="E55"/>
      <c r="F55"/>
      <c r="G55"/>
      <c r="I55" t="str">
        <f t="shared" ref="I55:I93" ca="1" si="3">IF($S$69=0,"","F")</f>
        <v>F</v>
      </c>
    </row>
    <row r="56" spans="1:26" x14ac:dyDescent="0.2">
      <c r="A56"/>
      <c r="B56"/>
      <c r="C56"/>
      <c r="D56"/>
      <c r="E56"/>
      <c r="F56"/>
      <c r="G56"/>
      <c r="I56" t="str">
        <f t="shared" ca="1" si="3"/>
        <v>F</v>
      </c>
      <c r="J56" s="725" t="s">
        <v>664</v>
      </c>
      <c r="K56" s="725"/>
      <c r="L56" s="725"/>
      <c r="M56" s="725"/>
      <c r="N56" s="725"/>
      <c r="O56" s="725"/>
      <c r="P56" s="725"/>
      <c r="Q56" s="725"/>
      <c r="R56" s="725"/>
      <c r="S56" s="725"/>
    </row>
    <row r="57" spans="1:26" ht="15" x14ac:dyDescent="0.25">
      <c r="A57"/>
      <c r="B57"/>
      <c r="C57"/>
      <c r="D57"/>
      <c r="E57"/>
      <c r="F57"/>
      <c r="G57"/>
      <c r="I57" t="str">
        <f t="shared" ca="1" si="3"/>
        <v>F</v>
      </c>
      <c r="J57" s="731" t="s">
        <v>645</v>
      </c>
      <c r="K57" s="731"/>
      <c r="L57" s="731"/>
      <c r="M57" s="731"/>
      <c r="N57" s="731"/>
      <c r="O57" s="731"/>
      <c r="P57" s="731"/>
      <c r="Q57" s="731"/>
      <c r="R57" s="731"/>
      <c r="S57" s="731"/>
      <c r="T57" s="561" t="str">
        <f ca="1">IF(U57="","","◄")</f>
        <v/>
      </c>
      <c r="U57" s="560" t="str">
        <f ca="1">IF(AND(OR(S69&gt;0,COUNTIF(ORÇAMENTO!$V$15:$V$235,BDI_2.Título)&gt;0),OR(Import.BDI.Tipo2="(SELECIONAR)",Import.BDI.Tipo2="")),"Selecione o Tipo de obra","")</f>
        <v/>
      </c>
    </row>
    <row r="58" spans="1:26" x14ac:dyDescent="0.2">
      <c r="A58"/>
      <c r="B58"/>
      <c r="C58"/>
      <c r="D58"/>
      <c r="E58"/>
      <c r="F58"/>
      <c r="G58"/>
      <c r="I58" t="str">
        <f t="shared" ca="1" si="3"/>
        <v>F</v>
      </c>
    </row>
    <row r="59" spans="1:26" ht="12.75" customHeight="1" x14ac:dyDescent="0.2">
      <c r="A59"/>
      <c r="B59"/>
      <c r="C59"/>
      <c r="D59"/>
      <c r="E59"/>
      <c r="F59"/>
      <c r="G59"/>
      <c r="I59" t="str">
        <f t="shared" ca="1" si="3"/>
        <v>F</v>
      </c>
      <c r="J59" s="733" t="s">
        <v>666</v>
      </c>
      <c r="K59" s="733"/>
      <c r="L59" s="733"/>
      <c r="M59" s="733"/>
      <c r="N59" s="733"/>
      <c r="O59" s="733"/>
      <c r="P59" s="733"/>
      <c r="Q59" s="733"/>
      <c r="R59" s="733" t="s">
        <v>667</v>
      </c>
      <c r="S59" s="732" t="s">
        <v>668</v>
      </c>
      <c r="U59" s="732" t="s">
        <v>669</v>
      </c>
      <c r="V59" s="732"/>
      <c r="W59" s="732"/>
      <c r="X59" s="730" t="s">
        <v>670</v>
      </c>
      <c r="Y59" s="730" t="s">
        <v>671</v>
      </c>
      <c r="Z59" s="730" t="s">
        <v>672</v>
      </c>
    </row>
    <row r="60" spans="1:26" ht="12.75" customHeight="1" x14ac:dyDescent="0.2">
      <c r="A60"/>
      <c r="B60"/>
      <c r="C60"/>
      <c r="D60"/>
      <c r="E60"/>
      <c r="F60"/>
      <c r="G60"/>
      <c r="I60" t="str">
        <f t="shared" ca="1" si="3"/>
        <v>F</v>
      </c>
      <c r="J60" s="733"/>
      <c r="K60" s="733"/>
      <c r="L60" s="733"/>
      <c r="M60" s="733"/>
      <c r="N60" s="733"/>
      <c r="O60" s="733"/>
      <c r="P60" s="733"/>
      <c r="Q60" s="733"/>
      <c r="R60" s="733"/>
      <c r="S60" s="732"/>
      <c r="U60" s="732"/>
      <c r="V60" s="732"/>
      <c r="W60" s="732"/>
      <c r="X60" s="730"/>
      <c r="Y60" s="730"/>
      <c r="Z60" s="730"/>
    </row>
    <row r="61" spans="1:26" ht="15" customHeight="1" x14ac:dyDescent="0.2">
      <c r="A61"/>
      <c r="B61"/>
      <c r="C61"/>
      <c r="D61"/>
      <c r="E61"/>
      <c r="F61"/>
      <c r="G61"/>
      <c r="I61" t="str">
        <f t="shared" ca="1" si="3"/>
        <v>F</v>
      </c>
      <c r="J61" s="735" t="str">
        <f>IF($J$57=$A$146,"Encargos Sociais incidentes sobre a mão de obra","Administração Central")</f>
        <v>Administração Central</v>
      </c>
      <c r="K61" s="735"/>
      <c r="L61" s="735"/>
      <c r="M61" s="735"/>
      <c r="N61" s="735"/>
      <c r="O61" s="735"/>
      <c r="P61" s="735"/>
      <c r="Q61" s="735"/>
      <c r="R61" s="60" t="str">
        <f>IF($J57=$A$146,"K1","AC")</f>
        <v>AC</v>
      </c>
      <c r="S61" s="61">
        <v>0.03</v>
      </c>
      <c r="T61" s="570" t="str">
        <f t="shared" ref="T61:T66" ca="1" si="4">IF(AND($U$54&lt;&gt;"",$U$57="",R61&lt;&gt;"",S61=""),"◄","")</f>
        <v/>
      </c>
      <c r="U61" s="736" t="str">
        <f ca="1">IFERROR(IF(T61="◄","FALTA PREENCHER",IF(AND(OR(S61&gt;=X61,X61="-"),OR(S61&lt;=Z61,Z61="-")),"OK","FORA DO INTERVALO")),"-")</f>
        <v>OK</v>
      </c>
      <c r="V61" s="736"/>
      <c r="W61" s="736"/>
      <c r="X61" s="62">
        <f>VLOOKUP(CONCATENATE(J57,"-",R61),$C$2:$G$136,3,FALSE)</f>
        <v>0.03</v>
      </c>
      <c r="Y61" s="62">
        <f>VLOOKUP(CONCATENATE(J57,"-",R61),$C$2:$G$136,4,FALSE)</f>
        <v>0.04</v>
      </c>
      <c r="Z61" s="62">
        <f>VLOOKUP(CONCATENATE(J57,"-",R61),$C$2:$G$136,5,FALSE)</f>
        <v>5.5E-2</v>
      </c>
    </row>
    <row r="62" spans="1:26" ht="15" customHeight="1" x14ac:dyDescent="0.2">
      <c r="A62"/>
      <c r="B62"/>
      <c r="C62"/>
      <c r="D62"/>
      <c r="E62"/>
      <c r="F62"/>
      <c r="G62"/>
      <c r="I62" t="str">
        <f t="shared" ca="1" si="3"/>
        <v>F</v>
      </c>
      <c r="J62" s="735" t="str">
        <f>IF($J$57=$A$146,"Administração Central da empresa ou consultoria - overhead","Seguro e Garantia")</f>
        <v>Seguro e Garantia</v>
      </c>
      <c r="K62" s="735"/>
      <c r="L62" s="735"/>
      <c r="M62" s="735"/>
      <c r="N62" s="735"/>
      <c r="O62" s="735"/>
      <c r="P62" s="735"/>
      <c r="Q62" s="735"/>
      <c r="R62" s="60" t="str">
        <f>IF($J57=$A$146,"K2","SG")</f>
        <v>SG</v>
      </c>
      <c r="S62" s="61">
        <v>8.0000000000000002E-3</v>
      </c>
      <c r="T62" s="570" t="str">
        <f t="shared" ca="1" si="4"/>
        <v/>
      </c>
      <c r="U62" s="736" t="str">
        <f t="shared" ref="U62:U68" ca="1" si="5">IFERROR(IF(T62="◄","FALTA PREENCHER",IF(AND(OR(S62&gt;=X62,X62="-"),OR(S62&lt;=Z62,Z62="-")),"OK","FORA DO INTERVALO")),"-")</f>
        <v>OK</v>
      </c>
      <c r="V62" s="736"/>
      <c r="W62" s="736"/>
      <c r="X62" s="62">
        <f>VLOOKUP(CONCATENATE(J57,"-",R62),$C$2:$G$136,3,FALSE)</f>
        <v>8.0000000000000002E-3</v>
      </c>
      <c r="Y62" s="62">
        <f>VLOOKUP(CONCATENATE(J57,"-",R62),$C$2:$G$136,4,FALSE)</f>
        <v>8.0000000000000002E-3</v>
      </c>
      <c r="Z62" s="62">
        <f>VLOOKUP(CONCATENATE(J57,"-",R62),$C$2:$G$136,5,FALSE)</f>
        <v>0.01</v>
      </c>
    </row>
    <row r="63" spans="1:26" ht="15" customHeight="1" x14ac:dyDescent="0.2">
      <c r="A63"/>
      <c r="B63"/>
      <c r="C63"/>
      <c r="D63"/>
      <c r="E63"/>
      <c r="F63"/>
      <c r="G63"/>
      <c r="I63" t="str">
        <f t="shared" ca="1" si="3"/>
        <v>F</v>
      </c>
      <c r="J63" s="735" t="s">
        <v>942</v>
      </c>
      <c r="K63" s="735"/>
      <c r="L63" s="735"/>
      <c r="M63" s="735"/>
      <c r="N63" s="735"/>
      <c r="O63" s="735"/>
      <c r="P63" s="735"/>
      <c r="Q63" s="735"/>
      <c r="R63" s="60" t="str">
        <f>IF($J57=$A$146,"","R")</f>
        <v>R</v>
      </c>
      <c r="S63" s="61">
        <v>1.2699999999999999E-2</v>
      </c>
      <c r="T63" s="570" t="str">
        <f t="shared" ca="1" si="4"/>
        <v/>
      </c>
      <c r="U63" s="736" t="str">
        <f t="shared" ca="1" si="5"/>
        <v>OK</v>
      </c>
      <c r="V63" s="736"/>
      <c r="W63" s="736"/>
      <c r="X63" s="62">
        <f>VLOOKUP(CONCATENATE(J57,"-",R63),$C$2:$G$136,3,FALSE)</f>
        <v>9.7000000000000003E-3</v>
      </c>
      <c r="Y63" s="62">
        <f>VLOOKUP(CONCATENATE(J57,"-",R63),$C$2:$G$136,4,FALSE)</f>
        <v>1.2699999999999999E-2</v>
      </c>
      <c r="Z63" s="62">
        <f>VLOOKUP(CONCATENATE(J57,"-",R63),$C$2:$G$136,5,FALSE)</f>
        <v>1.2699999999999999E-2</v>
      </c>
    </row>
    <row r="64" spans="1:26" ht="15" customHeight="1" x14ac:dyDescent="0.2">
      <c r="A64"/>
      <c r="B64"/>
      <c r="C64"/>
      <c r="D64"/>
      <c r="E64"/>
      <c r="F64"/>
      <c r="G64"/>
      <c r="I64" t="str">
        <f t="shared" ca="1" si="3"/>
        <v>F</v>
      </c>
      <c r="J64" s="735" t="s">
        <v>943</v>
      </c>
      <c r="K64" s="735"/>
      <c r="L64" s="735"/>
      <c r="M64" s="735"/>
      <c r="N64" s="735"/>
      <c r="O64" s="735"/>
      <c r="P64" s="735"/>
      <c r="Q64" s="735"/>
      <c r="R64" s="60" t="str">
        <f>IF($J57=$A$146,"","DF")</f>
        <v>DF</v>
      </c>
      <c r="S64" s="61">
        <v>1.23E-2</v>
      </c>
      <c r="T64" s="570" t="str">
        <f t="shared" ca="1" si="4"/>
        <v/>
      </c>
      <c r="U64" s="736" t="str">
        <f t="shared" ca="1" si="5"/>
        <v>OK</v>
      </c>
      <c r="V64" s="736"/>
      <c r="W64" s="736"/>
      <c r="X64" s="62">
        <f>VLOOKUP(CONCATENATE(J57,"-",R64),$C$2:$G$136,3,FALSE)</f>
        <v>5.8999999999999999E-3</v>
      </c>
      <c r="Y64" s="62">
        <f>VLOOKUP(CONCATENATE(J57,"-",R64),$C$2:$G$136,4,FALSE)</f>
        <v>1.23E-2</v>
      </c>
      <c r="Z64" s="62">
        <f>VLOOKUP(CONCATENATE(J57,"-",R64),$C$2:$G$136,5,FALSE)</f>
        <v>1.3899999999999999E-2</v>
      </c>
    </row>
    <row r="65" spans="1:26" ht="15" customHeight="1" x14ac:dyDescent="0.2">
      <c r="A65"/>
      <c r="B65"/>
      <c r="C65"/>
      <c r="D65"/>
      <c r="E65"/>
      <c r="F65"/>
      <c r="G65"/>
      <c r="I65" t="str">
        <f t="shared" ca="1" si="3"/>
        <v>F</v>
      </c>
      <c r="J65" s="735" t="str">
        <f>IF($J$57=$A$146,"Margem bruta da empresa de consultoria","Lucro")</f>
        <v>Lucro</v>
      </c>
      <c r="K65" s="735"/>
      <c r="L65" s="735"/>
      <c r="M65" s="735"/>
      <c r="N65" s="735"/>
      <c r="O65" s="735"/>
      <c r="P65" s="735"/>
      <c r="Q65" s="735"/>
      <c r="R65" s="60" t="str">
        <f>IF($J57=$A$146,"K3","L")</f>
        <v>L</v>
      </c>
      <c r="S65" s="61">
        <v>6.7500000000000004E-2</v>
      </c>
      <c r="T65" s="570" t="str">
        <f t="shared" ca="1" si="4"/>
        <v/>
      </c>
      <c r="U65" s="736" t="str">
        <f t="shared" ca="1" si="5"/>
        <v>OK</v>
      </c>
      <c r="V65" s="736"/>
      <c r="W65" s="736"/>
      <c r="X65" s="62">
        <f>VLOOKUP(CONCATENATE(J57,"-",R65),$C$2:$G$136,3,FALSE)</f>
        <v>6.1600000000000002E-2</v>
      </c>
      <c r="Y65" s="62">
        <f>VLOOKUP(CONCATENATE(J57,"-",R65),$C$2:$G$136,4,FALSE)</f>
        <v>7.400000000000001E-2</v>
      </c>
      <c r="Z65" s="62">
        <f>VLOOKUP(CONCATENATE(J57,"-",R65),$C$2:$G$136,5,FALSE)</f>
        <v>8.9600000000000013E-2</v>
      </c>
    </row>
    <row r="66" spans="1:26" ht="15" customHeight="1" x14ac:dyDescent="0.2">
      <c r="A66"/>
      <c r="B66"/>
      <c r="C66"/>
      <c r="D66"/>
      <c r="E66"/>
      <c r="F66"/>
      <c r="G66"/>
      <c r="I66" t="str">
        <f t="shared" ca="1" si="3"/>
        <v>F</v>
      </c>
      <c r="J66" s="735" t="s">
        <v>675</v>
      </c>
      <c r="K66" s="735"/>
      <c r="L66" s="735"/>
      <c r="M66" s="735"/>
      <c r="N66" s="735"/>
      <c r="O66" s="735"/>
      <c r="P66" s="735"/>
      <c r="Q66" s="735"/>
      <c r="R66" s="60" t="s">
        <v>456</v>
      </c>
      <c r="S66" s="61">
        <v>3.6499999999999998E-2</v>
      </c>
      <c r="T66" s="570" t="str">
        <f t="shared" ca="1" si="4"/>
        <v/>
      </c>
      <c r="U66" s="736" t="str">
        <f t="shared" ca="1" si="5"/>
        <v>OK</v>
      </c>
      <c r="V66" s="736"/>
      <c r="W66" s="736"/>
      <c r="X66" s="62">
        <f>Y66</f>
        <v>3.6499999999999998E-2</v>
      </c>
      <c r="Y66" s="62">
        <f>IF($J57=$A$145,"-",3.65%)</f>
        <v>3.6499999999999998E-2</v>
      </c>
      <c r="Z66" s="62">
        <f>Y66</f>
        <v>3.6499999999999998E-2</v>
      </c>
    </row>
    <row r="67" spans="1:26" ht="15" customHeight="1" x14ac:dyDescent="0.2">
      <c r="A67"/>
      <c r="B67"/>
      <c r="C67"/>
      <c r="D67"/>
      <c r="E67"/>
      <c r="F67"/>
      <c r="G67"/>
      <c r="I67" t="str">
        <f t="shared" ca="1" si="3"/>
        <v>F</v>
      </c>
      <c r="J67" s="735" t="s">
        <v>676</v>
      </c>
      <c r="K67" s="735"/>
      <c r="L67" s="735"/>
      <c r="M67" s="735"/>
      <c r="N67" s="735"/>
      <c r="O67" s="735"/>
      <c r="P67" s="735"/>
      <c r="Q67" s="735"/>
      <c r="R67" s="60" t="s">
        <v>677</v>
      </c>
      <c r="S67" s="62">
        <f ca="1">IF(AND($J57&lt;&gt;$A$145,COUNTA(OFFSET(S60,1,0,6))&gt;0),$R$11*$R$10,0)</f>
        <v>0.02</v>
      </c>
      <c r="U67" s="736" t="str">
        <f t="shared" ca="1" si="5"/>
        <v>OK</v>
      </c>
      <c r="V67" s="736"/>
      <c r="W67" s="736"/>
      <c r="X67" s="62">
        <v>0</v>
      </c>
      <c r="Y67" s="62">
        <v>2.5000000000000001E-2</v>
      </c>
      <c r="Z67" s="62">
        <v>0.05</v>
      </c>
    </row>
    <row r="68" spans="1:26" ht="15" customHeight="1" x14ac:dyDescent="0.2">
      <c r="A68"/>
      <c r="B68"/>
      <c r="C68"/>
      <c r="D68"/>
      <c r="E68"/>
      <c r="F68"/>
      <c r="G68"/>
      <c r="I68" t="str">
        <f t="shared" ca="1" si="3"/>
        <v>F</v>
      </c>
      <c r="J68" s="735" t="s">
        <v>678</v>
      </c>
      <c r="K68" s="735"/>
      <c r="L68" s="735"/>
      <c r="M68" s="735"/>
      <c r="N68" s="735"/>
      <c r="O68" s="735"/>
      <c r="P68" s="735"/>
      <c r="Q68" s="735"/>
      <c r="R68" s="60" t="s">
        <v>679</v>
      </c>
      <c r="S68" s="62">
        <f t="array" aca="1" ref="S68" ca="1">IF(BDI.Opcao&lt;&gt;"Desonerado",0,IF(AND($J57&lt;&gt;$A$145,COUNTA(OFFSET(S60,1,0,6))&gt;0),IF(YEAR(Import.DataBase)&lt;2025,4.5%,IF(YEAR(Import.DataBase)=2025,3.6%,IF(YEAR(Import.DataBase)=2026,2.7%,IF(YEAR(Import.DataBase)=2027,1.8%,0%)))),0%))</f>
        <v>0</v>
      </c>
      <c r="U68" s="736" t="str">
        <f t="shared" ca="1" si="5"/>
        <v>OK</v>
      </c>
      <c r="V68" s="736"/>
      <c r="W68" s="736"/>
      <c r="X68" s="63">
        <f ca="1">$S68</f>
        <v>0</v>
      </c>
      <c r="Y68" s="63">
        <f ca="1">$S68</f>
        <v>0</v>
      </c>
      <c r="Z68" s="63">
        <f ca="1">$S68</f>
        <v>0</v>
      </c>
    </row>
    <row r="69" spans="1:26" ht="15" customHeight="1" x14ac:dyDescent="0.2">
      <c r="A69"/>
      <c r="B69"/>
      <c r="C69"/>
      <c r="D69"/>
      <c r="E69"/>
      <c r="F69"/>
      <c r="G69"/>
      <c r="I69" t="str">
        <f t="shared" ca="1" si="3"/>
        <v>F</v>
      </c>
      <c r="J69" s="735" t="s">
        <v>680</v>
      </c>
      <c r="K69" s="735"/>
      <c r="L69" s="735"/>
      <c r="M69" s="735"/>
      <c r="N69" s="735"/>
      <c r="O69" s="735"/>
      <c r="P69" s="735"/>
      <c r="Q69" s="735"/>
      <c r="R69" s="64" t="s">
        <v>656</v>
      </c>
      <c r="S69" s="62">
        <f ca="1">IF($J57=$A$145,0,ROUND((((1+S61+S62+S63)*(1+S64)*(1+S65)/(1-(S66+S67)))-1),4))</f>
        <v>0.2034</v>
      </c>
      <c r="U69" s="732" t="str">
        <f ca="1">IFERROR(IF(AND(OR(S69&gt;=X69,X69="-"),OR(S69&lt;=Z69,Z69="-")),"OK","FORA DO INTERVALO"),IF(S69=0,"OK","Selecione o Tipo de obra"))</f>
        <v>OK</v>
      </c>
      <c r="V69" s="732"/>
      <c r="W69" s="732"/>
      <c r="X69" s="62">
        <f>IF($J57=$A$145,0,VLOOKUP(CONCATENATE($J57,"-",$R69),$C$2:$G$136,3,FALSE))</f>
        <v>0.2034</v>
      </c>
      <c r="Y69" s="62">
        <f>IF($J57=$A$145,0,VLOOKUP(CONCATENATE($J57,"-",$R69),$C$2:$G$136,4,FALSE))</f>
        <v>0.22120000000000001</v>
      </c>
      <c r="Z69" s="62">
        <f>IF($J57=$A$145,0,VLOOKUP(CONCATENATE($J57,"-",$R69),$C$2:$G$136,5,FALSE))</f>
        <v>0.25</v>
      </c>
    </row>
    <row r="70" spans="1:26" ht="15" customHeight="1" x14ac:dyDescent="0.2">
      <c r="A70"/>
      <c r="B70"/>
      <c r="C70"/>
      <c r="D70"/>
      <c r="E70"/>
      <c r="F70"/>
      <c r="G70"/>
      <c r="I70" t="str">
        <f t="shared" ca="1" si="3"/>
        <v>F</v>
      </c>
      <c r="J70" s="739" t="s">
        <v>681</v>
      </c>
      <c r="K70" s="739"/>
      <c r="L70" s="739"/>
      <c r="M70" s="739"/>
      <c r="N70" s="739"/>
      <c r="O70" s="739"/>
      <c r="P70" s="739"/>
      <c r="Q70" s="739"/>
      <c r="R70" s="65" t="s">
        <v>682</v>
      </c>
      <c r="S70" s="66">
        <f ca="1">IF($J57=$A$145,0,ROUND((((1+S61+S62+S63)*(1+S64)*(1+S65)/(1-(S66+S67+S68)))-1),4))</f>
        <v>0.2034</v>
      </c>
    </row>
    <row r="71" spans="1:26" ht="15" customHeight="1" x14ac:dyDescent="0.2">
      <c r="A71"/>
      <c r="B71"/>
      <c r="C71"/>
      <c r="D71"/>
      <c r="E71"/>
      <c r="F71"/>
      <c r="G71"/>
      <c r="I71" t="str">
        <f t="shared" ca="1" si="3"/>
        <v>F</v>
      </c>
    </row>
    <row r="72" spans="1:26" ht="15.75" x14ac:dyDescent="0.2">
      <c r="A72"/>
      <c r="B72"/>
      <c r="C72"/>
      <c r="D72"/>
      <c r="E72"/>
      <c r="F72"/>
      <c r="G72"/>
      <c r="I72" t="str">
        <f t="shared" ca="1" si="3"/>
        <v>F</v>
      </c>
      <c r="J72" s="67" t="str">
        <f ca="1">IF(U69&lt;&gt;"ok","X","")</f>
        <v/>
      </c>
      <c r="K72" s="740" t="str">
        <f ca="1">IF(U69&lt;&gt;"ok","Anexo: Relatório Técnico Circunstanciado justificando a adoção do percentual de cada parcela do BDI.","")</f>
        <v/>
      </c>
      <c r="L72" s="740"/>
      <c r="M72" s="740"/>
      <c r="N72" s="740"/>
      <c r="O72" s="740"/>
      <c r="P72" s="740"/>
      <c r="Q72" s="740"/>
      <c r="R72" s="740"/>
      <c r="S72" s="740"/>
    </row>
    <row r="73" spans="1:26" x14ac:dyDescent="0.2">
      <c r="A73"/>
      <c r="B73"/>
      <c r="C73"/>
      <c r="D73"/>
      <c r="E73"/>
      <c r="F73"/>
      <c r="G73"/>
      <c r="I73" t="str">
        <f t="shared" ca="1" si="3"/>
        <v>F</v>
      </c>
    </row>
    <row r="74" spans="1:26" x14ac:dyDescent="0.2">
      <c r="A74"/>
      <c r="B74"/>
      <c r="C74"/>
      <c r="D74"/>
      <c r="E74"/>
      <c r="F74"/>
      <c r="G74"/>
      <c r="I74" t="str">
        <f t="shared" ca="1" si="3"/>
        <v>F</v>
      </c>
      <c r="J74" s="741" t="s">
        <v>683</v>
      </c>
      <c r="K74" s="741"/>
      <c r="L74" s="741"/>
      <c r="M74" s="741"/>
      <c r="N74" s="741"/>
      <c r="O74" s="741"/>
      <c r="P74" s="741"/>
      <c r="Q74" s="741"/>
      <c r="R74" s="741"/>
      <c r="S74" s="741"/>
    </row>
    <row r="75" spans="1:26" ht="15.75" x14ac:dyDescent="0.25">
      <c r="A75"/>
      <c r="B75"/>
      <c r="C75"/>
      <c r="D75"/>
      <c r="E75"/>
      <c r="F75"/>
      <c r="G75"/>
      <c r="I75" t="str">
        <f t="shared" ca="1" si="3"/>
        <v>F</v>
      </c>
      <c r="J75" s="68"/>
      <c r="K75" s="68"/>
      <c r="L75" s="68"/>
      <c r="M75" s="742" t="s">
        <v>684</v>
      </c>
      <c r="N75" s="748" t="str">
        <f>IF($J57=$A$146,"(1+K1+K2)*(1+K3)","(1+AC + S + R + G)*(1 + DF)*(1+L)")</f>
        <v>(1+AC + S + R + G)*(1 + DF)*(1+L)</v>
      </c>
      <c r="O75" s="748"/>
      <c r="P75" s="748"/>
      <c r="Q75" s="749" t="s">
        <v>685</v>
      </c>
      <c r="R75" s="68"/>
      <c r="S75" s="68"/>
    </row>
    <row r="76" spans="1:26" ht="15.75" x14ac:dyDescent="0.2">
      <c r="A76"/>
      <c r="B76"/>
      <c r="C76"/>
      <c r="D76"/>
      <c r="E76"/>
      <c r="F76"/>
      <c r="G76"/>
      <c r="I76" t="str">
        <f t="shared" ca="1" si="3"/>
        <v>F</v>
      </c>
      <c r="J76" s="68"/>
      <c r="K76" s="68"/>
      <c r="L76" s="68"/>
      <c r="M76" s="742"/>
      <c r="N76" s="737" t="s">
        <v>686</v>
      </c>
      <c r="O76" s="737"/>
      <c r="P76" s="737"/>
      <c r="Q76" s="749"/>
      <c r="R76" s="68"/>
      <c r="S76" s="68"/>
    </row>
    <row r="77" spans="1:26" ht="15" customHeight="1" x14ac:dyDescent="0.2">
      <c r="A77"/>
      <c r="B77"/>
      <c r="C77"/>
      <c r="D77"/>
      <c r="E77"/>
      <c r="F77"/>
      <c r="G77"/>
      <c r="I77" t="str">
        <f t="shared" ca="1" si="3"/>
        <v>F</v>
      </c>
      <c r="J77" s="68"/>
      <c r="K77" s="68"/>
      <c r="L77" s="68"/>
      <c r="M77" s="69"/>
      <c r="N77" s="71"/>
      <c r="O77" s="71"/>
      <c r="P77" s="71"/>
      <c r="Q77" s="70"/>
      <c r="R77" s="68"/>
      <c r="S77" s="68"/>
    </row>
    <row r="78" spans="1:26" ht="50.1" customHeight="1" x14ac:dyDescent="0.2">
      <c r="A78"/>
      <c r="B78"/>
      <c r="C78"/>
      <c r="D78"/>
      <c r="E78"/>
      <c r="F78"/>
      <c r="G78"/>
      <c r="I78" t="str">
        <f t="shared" ca="1" si="3"/>
        <v>F</v>
      </c>
      <c r="J78" s="73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738"/>
      <c r="L78" s="738"/>
      <c r="M78" s="738"/>
      <c r="N78" s="738"/>
      <c r="O78" s="738"/>
      <c r="P78" s="738"/>
      <c r="Q78" s="738"/>
      <c r="R78" s="738"/>
      <c r="S78" s="738"/>
    </row>
    <row r="79" spans="1:26" x14ac:dyDescent="0.2">
      <c r="A79"/>
      <c r="B79"/>
      <c r="C79"/>
      <c r="D79"/>
      <c r="E79"/>
      <c r="F79"/>
      <c r="G79"/>
      <c r="I79" t="str">
        <f t="shared" ca="1" si="3"/>
        <v>F</v>
      </c>
    </row>
    <row r="80" spans="1:26" ht="50.1" customHeight="1" x14ac:dyDescent="0.2">
      <c r="A80"/>
      <c r="B80"/>
      <c r="C80"/>
      <c r="D80"/>
      <c r="E80"/>
      <c r="F80"/>
      <c r="G80"/>
      <c r="I80" t="str">
        <f t="shared" ca="1" si="3"/>
        <v>F</v>
      </c>
      <c r="J80" s="738" t="str">
        <f t="array" aca="1" ref="J8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738"/>
      <c r="L80" s="738"/>
      <c r="M80" s="738"/>
      <c r="N80" s="738"/>
      <c r="O80" s="738"/>
      <c r="P80" s="738"/>
      <c r="Q80" s="738"/>
      <c r="R80" s="738"/>
      <c r="S80" s="738"/>
    </row>
    <row r="81" spans="1:21" x14ac:dyDescent="0.2">
      <c r="A81"/>
      <c r="B81"/>
      <c r="C81"/>
      <c r="D81"/>
      <c r="E81"/>
      <c r="F81"/>
      <c r="G81"/>
      <c r="I81" t="str">
        <f t="shared" ca="1" si="3"/>
        <v>F</v>
      </c>
    </row>
    <row r="82" spans="1:21" x14ac:dyDescent="0.2">
      <c r="A82"/>
      <c r="B82"/>
      <c r="C82"/>
      <c r="D82"/>
      <c r="E82"/>
      <c r="F82"/>
      <c r="G82"/>
      <c r="I82" t="str">
        <f t="shared" ca="1" si="3"/>
        <v>F</v>
      </c>
      <c r="J82" s="49" t="s">
        <v>689</v>
      </c>
    </row>
    <row r="83" spans="1:21" ht="99.95" customHeight="1" x14ac:dyDescent="0.2">
      <c r="A83"/>
      <c r="B83"/>
      <c r="C83"/>
      <c r="D83"/>
      <c r="E83"/>
      <c r="F83"/>
      <c r="G83"/>
      <c r="I83" t="str">
        <f t="shared" ca="1" si="3"/>
        <v>F</v>
      </c>
      <c r="J83" s="750"/>
      <c r="K83" s="750"/>
      <c r="L83" s="750"/>
      <c r="M83" s="750"/>
      <c r="N83" s="750"/>
      <c r="O83" s="750"/>
      <c r="P83" s="750"/>
      <c r="Q83" s="750"/>
      <c r="R83" s="750"/>
      <c r="S83" s="750"/>
    </row>
    <row r="84" spans="1:21" x14ac:dyDescent="0.2">
      <c r="A84"/>
      <c r="B84"/>
      <c r="C84"/>
      <c r="D84"/>
      <c r="E84"/>
      <c r="F84"/>
      <c r="G84"/>
      <c r="I84" t="str">
        <f t="shared" ca="1" si="3"/>
        <v>F</v>
      </c>
    </row>
    <row r="85" spans="1:21" x14ac:dyDescent="0.2">
      <c r="A85"/>
      <c r="B85"/>
      <c r="C85"/>
      <c r="D85"/>
      <c r="E85"/>
      <c r="F85"/>
      <c r="G85"/>
      <c r="I85" t="str">
        <f t="shared" ca="1" si="3"/>
        <v>F</v>
      </c>
      <c r="J85" s="744" t="str">
        <f>Import.Município</f>
        <v>PIRANGUÇU-MG</v>
      </c>
      <c r="K85" s="744"/>
      <c r="L85" s="744"/>
      <c r="M85" s="744"/>
      <c r="P85" s="745">
        <f>DADOS!$C$25</f>
        <v>45939</v>
      </c>
      <c r="Q85" s="745"/>
      <c r="R85" s="745"/>
      <c r="S85" s="745"/>
    </row>
    <row r="86" spans="1:21" x14ac:dyDescent="0.2">
      <c r="A86"/>
      <c r="B86"/>
      <c r="C86"/>
      <c r="D86"/>
      <c r="E86"/>
      <c r="F86"/>
      <c r="G86"/>
      <c r="I86" t="str">
        <f t="shared" ca="1" si="3"/>
        <v>F</v>
      </c>
      <c r="J86" s="746" t="s">
        <v>693</v>
      </c>
      <c r="K86" s="746"/>
      <c r="L86" s="746"/>
      <c r="M86" s="746"/>
      <c r="O86" s="73"/>
      <c r="P86" s="74" t="s">
        <v>694</v>
      </c>
      <c r="Q86" s="75"/>
      <c r="R86" s="75"/>
      <c r="S86" s="75"/>
    </row>
    <row r="87" spans="1:21" ht="30" customHeight="1" x14ac:dyDescent="0.2">
      <c r="A87"/>
      <c r="B87"/>
      <c r="C87"/>
      <c r="D87"/>
      <c r="E87"/>
      <c r="F87"/>
      <c r="G87"/>
      <c r="I87" t="str">
        <f t="shared" ca="1" si="3"/>
        <v>F</v>
      </c>
    </row>
    <row r="88" spans="1:21" ht="15" x14ac:dyDescent="0.2">
      <c r="A88"/>
      <c r="B88"/>
      <c r="C88"/>
      <c r="D88"/>
      <c r="E88"/>
      <c r="F88"/>
      <c r="G88"/>
      <c r="I88" t="str">
        <f t="shared" ca="1" si="3"/>
        <v>F</v>
      </c>
      <c r="J88" s="747"/>
      <c r="K88" s="747"/>
      <c r="L88" s="747"/>
      <c r="M88" s="747"/>
      <c r="N88" s="76"/>
    </row>
    <row r="89" spans="1:21" x14ac:dyDescent="0.2">
      <c r="A89"/>
      <c r="B89"/>
      <c r="C89"/>
      <c r="D89"/>
      <c r="E89"/>
      <c r="F89"/>
      <c r="G89"/>
      <c r="I89" t="str">
        <f t="shared" ca="1" si="3"/>
        <v>F</v>
      </c>
      <c r="J89" s="743" t="s">
        <v>696</v>
      </c>
      <c r="K89" s="743"/>
      <c r="L89" s="743"/>
      <c r="M89" s="743"/>
    </row>
    <row r="90" spans="1:21" ht="14.25" x14ac:dyDescent="0.2">
      <c r="A90"/>
      <c r="B90"/>
      <c r="C90"/>
      <c r="D90"/>
      <c r="E90"/>
      <c r="F90"/>
      <c r="G90"/>
      <c r="I90" t="str">
        <f t="shared" ca="1" si="3"/>
        <v>F</v>
      </c>
      <c r="J90" s="77" t="s">
        <v>240</v>
      </c>
      <c r="K90" s="78" t="str">
        <f t="array" ref="K90:K92">Import.RespOrçamento</f>
        <v>NILCEZAR AUGUSTO PERES</v>
      </c>
      <c r="L90" s="79"/>
      <c r="M90" s="79"/>
      <c r="N90" s="76"/>
    </row>
    <row r="91" spans="1:21" ht="14.25" x14ac:dyDescent="0.2">
      <c r="A91"/>
      <c r="B91"/>
      <c r="C91"/>
      <c r="D91"/>
      <c r="E91"/>
      <c r="F91"/>
      <c r="G91"/>
      <c r="I91" t="str">
        <f t="shared" ca="1" si="3"/>
        <v>F</v>
      </c>
      <c r="J91" s="77" t="s">
        <v>243</v>
      </c>
      <c r="K91" s="78" t="str">
        <v>161.233/D-MG</v>
      </c>
      <c r="L91" s="79"/>
      <c r="M91" s="79"/>
      <c r="N91" s="76"/>
    </row>
    <row r="92" spans="1:21" ht="14.25" x14ac:dyDescent="0.2">
      <c r="A92"/>
      <c r="B92"/>
      <c r="C92"/>
      <c r="D92"/>
      <c r="E92"/>
      <c r="F92"/>
      <c r="G92"/>
      <c r="I92" t="str">
        <f t="shared" ca="1" si="3"/>
        <v>F</v>
      </c>
      <c r="J92" s="77" t="s">
        <v>246</v>
      </c>
      <c r="K92" s="78" t="str">
        <v>MG2025435540</v>
      </c>
      <c r="L92" s="79"/>
      <c r="M92" s="79"/>
      <c r="N92" s="76"/>
    </row>
    <row r="93" spans="1:21" ht="14.25" x14ac:dyDescent="0.2">
      <c r="A93"/>
      <c r="B93"/>
      <c r="C93"/>
      <c r="D93"/>
      <c r="E93"/>
      <c r="F93"/>
      <c r="G93"/>
      <c r="I93" t="str">
        <f t="shared" ca="1" si="3"/>
        <v>F</v>
      </c>
      <c r="J93" s="77"/>
      <c r="K93" s="80"/>
      <c r="L93" s="79"/>
      <c r="M93" s="79"/>
      <c r="N93" s="76"/>
    </row>
    <row r="94" spans="1:21" ht="15.75" hidden="1" x14ac:dyDescent="0.25">
      <c r="A94"/>
      <c r="B94"/>
      <c r="C94"/>
      <c r="D94"/>
      <c r="E94"/>
      <c r="F94"/>
      <c r="G94"/>
      <c r="I94" t="str">
        <f ca="1">IF($S$109=0,"","F")</f>
        <v/>
      </c>
      <c r="J94" s="734" t="s">
        <v>698</v>
      </c>
      <c r="K94" s="734"/>
      <c r="L94" s="734"/>
      <c r="M94" s="734"/>
      <c r="N94" s="734"/>
      <c r="O94" s="734"/>
      <c r="P94" s="734"/>
      <c r="Q94" s="734"/>
      <c r="R94" s="734"/>
      <c r="S94" s="734"/>
      <c r="U94" s="519" t="str">
        <f>IF(COUNTIF(ORÇAMENTO!$V$15:$V$235,BDI_3.Título)=0,"",IF(OR(Import.BDI.Tipo3="(SELECIONAR)",Import.BDI.Tipo3="",U97&lt;&gt;"",AND($J97&lt;&gt;$A$145,OR(S101="",S102="",AND($J97&lt;&gt;$A$146,OR(S103="",S104="")),S105="",S106=""))),"Falta preencher o BDI 3",""))</f>
        <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725" t="s">
        <v>664</v>
      </c>
      <c r="K96" s="725"/>
      <c r="L96" s="725"/>
      <c r="M96" s="725"/>
      <c r="N96" s="725"/>
      <c r="O96" s="725"/>
      <c r="P96" s="725"/>
      <c r="Q96" s="725"/>
      <c r="R96" s="725"/>
      <c r="S96" s="725"/>
    </row>
    <row r="97" spans="1:26" ht="15" hidden="1" x14ac:dyDescent="0.25">
      <c r="A97"/>
      <c r="B97"/>
      <c r="C97"/>
      <c r="D97"/>
      <c r="E97"/>
      <c r="F97"/>
      <c r="G97"/>
      <c r="I97" t="str">
        <f t="shared" ca="1" si="6"/>
        <v/>
      </c>
      <c r="J97" s="731" t="s">
        <v>139</v>
      </c>
      <c r="K97" s="731"/>
      <c r="L97" s="731"/>
      <c r="M97" s="731"/>
      <c r="N97" s="731"/>
      <c r="O97" s="731"/>
      <c r="P97" s="731"/>
      <c r="Q97" s="731"/>
      <c r="R97" s="731"/>
      <c r="S97" s="731"/>
      <c r="T97" s="561" t="str">
        <f ca="1">IF(U97="","","◄")</f>
        <v/>
      </c>
      <c r="U97" s="560" t="str">
        <f ca="1">IF(AND(OR(S109&gt;0,COUNTIF(ORÇAMENTO!$V$15:$V$235,BDI_3.Título)&gt;0),OR(Import.BDI.Tipo3="(SELECIONAR)",Import.BDI.Tipo3="")),"Selecione o Tipo de obra","")</f>
        <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733" t="s">
        <v>666</v>
      </c>
      <c r="K99" s="733"/>
      <c r="L99" s="733"/>
      <c r="M99" s="733"/>
      <c r="N99" s="733"/>
      <c r="O99" s="733"/>
      <c r="P99" s="733"/>
      <c r="Q99" s="733"/>
      <c r="R99" s="733" t="s">
        <v>667</v>
      </c>
      <c r="S99" s="732" t="s">
        <v>668</v>
      </c>
      <c r="U99" s="732" t="s">
        <v>669</v>
      </c>
      <c r="V99" s="732"/>
      <c r="W99" s="732"/>
      <c r="X99" s="730" t="s">
        <v>670</v>
      </c>
      <c r="Y99" s="730" t="s">
        <v>671</v>
      </c>
      <c r="Z99" s="730" t="s">
        <v>672</v>
      </c>
    </row>
    <row r="100" spans="1:26" ht="12.75" hidden="1" customHeight="1" x14ac:dyDescent="0.2">
      <c r="A100"/>
      <c r="B100"/>
      <c r="C100"/>
      <c r="D100"/>
      <c r="E100"/>
      <c r="F100"/>
      <c r="G100"/>
      <c r="I100" t="str">
        <f t="shared" ca="1" si="6"/>
        <v/>
      </c>
      <c r="J100" s="733"/>
      <c r="K100" s="733"/>
      <c r="L100" s="733"/>
      <c r="M100" s="733"/>
      <c r="N100" s="733"/>
      <c r="O100" s="733"/>
      <c r="P100" s="733"/>
      <c r="Q100" s="733"/>
      <c r="R100" s="733"/>
      <c r="S100" s="732"/>
      <c r="U100" s="732"/>
      <c r="V100" s="732"/>
      <c r="W100" s="732"/>
      <c r="X100" s="730"/>
      <c r="Y100" s="730"/>
      <c r="Z100" s="730"/>
    </row>
    <row r="101" spans="1:26" ht="15" hidden="1" customHeight="1" x14ac:dyDescent="0.2">
      <c r="A101"/>
      <c r="B101"/>
      <c r="C101"/>
      <c r="D101"/>
      <c r="E101"/>
      <c r="F101"/>
      <c r="G101"/>
      <c r="I101" t="str">
        <f t="shared" ca="1" si="6"/>
        <v/>
      </c>
      <c r="J101" s="735" t="str">
        <f>IF($J$97=$A$146,"Encargos Sociais incidentes sobre a mão de obra","Administração Central")</f>
        <v>Administração Central</v>
      </c>
      <c r="K101" s="735"/>
      <c r="L101" s="735"/>
      <c r="M101" s="735"/>
      <c r="N101" s="735"/>
      <c r="O101" s="735"/>
      <c r="P101" s="735"/>
      <c r="Q101" s="735"/>
      <c r="R101" s="60" t="str">
        <f>IF($J97=$A$146,"K1","AC")</f>
        <v>AC</v>
      </c>
      <c r="S101" s="61"/>
      <c r="T101" s="570" t="str">
        <f t="shared" ref="T101:T106" ca="1" si="7">IF(AND($U$94&lt;&gt;"",$U$97="",R101&lt;&gt;"",S101=""),"◄","")</f>
        <v/>
      </c>
      <c r="U101" s="736" t="str">
        <f ca="1">IFERROR(IF(T101="◄","FALTA PREENCHER",IF(AND(OR(S101&gt;=X101,X101="-"),OR(S101&lt;=Z101,Z101="-")),"OK","FORA DO INTERVALO")),"-")</f>
        <v>-</v>
      </c>
      <c r="V101" s="736"/>
      <c r="W101" s="736"/>
      <c r="X101" s="62" t="e">
        <f>VLOOKUP(CONCATENATE(J97,"-",R101),$C$2:$G$136,3,FALSE)</f>
        <v>#N/A</v>
      </c>
      <c r="Y101" s="62" t="e">
        <f>VLOOKUP(CONCATENATE(J97,"-",R101),$C$2:$G$136,4,FALSE)</f>
        <v>#N/A</v>
      </c>
      <c r="Z101" s="62" t="e">
        <f>VLOOKUP(CONCATENATE(J97,"-",R101),$C$2:$G$136,5,FALSE)</f>
        <v>#N/A</v>
      </c>
    </row>
    <row r="102" spans="1:26" ht="15" hidden="1" customHeight="1" x14ac:dyDescent="0.2">
      <c r="A102"/>
      <c r="B102"/>
      <c r="C102"/>
      <c r="D102"/>
      <c r="E102"/>
      <c r="F102"/>
      <c r="G102"/>
      <c r="I102" t="str">
        <f t="shared" ca="1" si="6"/>
        <v/>
      </c>
      <c r="J102" s="735" t="str">
        <f>IF($J$97=$A$146,"Administração Central da empresa ou consultoria - overhead","Seguro e Garantia")</f>
        <v>Seguro e Garantia</v>
      </c>
      <c r="K102" s="735"/>
      <c r="L102" s="735"/>
      <c r="M102" s="735"/>
      <c r="N102" s="735"/>
      <c r="O102" s="735"/>
      <c r="P102" s="735"/>
      <c r="Q102" s="735"/>
      <c r="R102" s="60" t="str">
        <f>IF($J97=$A$146,"K2","SG")</f>
        <v>SG</v>
      </c>
      <c r="S102" s="61"/>
      <c r="T102" s="570" t="str">
        <f t="shared" ca="1" si="7"/>
        <v/>
      </c>
      <c r="U102" s="736" t="str">
        <f t="shared" ref="U102:U108" ca="1" si="8">IFERROR(IF(T102="◄","FALTA PREENCHER",IF(AND(OR(S102&gt;=X102,X102="-"),OR(S102&lt;=Z102,Z102="-")),"OK","FORA DO INTERVALO")),"-")</f>
        <v>-</v>
      </c>
      <c r="V102" s="736"/>
      <c r="W102" s="736"/>
      <c r="X102" s="62" t="e">
        <f>VLOOKUP(CONCATENATE(J97,"-",R102),$C$2:$G$136,3,FALSE)</f>
        <v>#N/A</v>
      </c>
      <c r="Y102" s="62" t="e">
        <f>VLOOKUP(CONCATENATE(J97,"-",R102),$C$2:$G$136,4,FALSE)</f>
        <v>#N/A</v>
      </c>
      <c r="Z102" s="62" t="e">
        <f>VLOOKUP(CONCATENATE(J97,"-",R102),$C$2:$G$136,5,FALSE)</f>
        <v>#N/A</v>
      </c>
    </row>
    <row r="103" spans="1:26" ht="15" hidden="1" customHeight="1" x14ac:dyDescent="0.2">
      <c r="A103"/>
      <c r="B103"/>
      <c r="C103"/>
      <c r="D103"/>
      <c r="E103"/>
      <c r="F103"/>
      <c r="G103"/>
      <c r="I103" t="str">
        <f t="shared" ca="1" si="6"/>
        <v/>
      </c>
      <c r="J103" s="735" t="s">
        <v>942</v>
      </c>
      <c r="K103" s="735"/>
      <c r="L103" s="735"/>
      <c r="M103" s="735"/>
      <c r="N103" s="735"/>
      <c r="O103" s="735"/>
      <c r="P103" s="735"/>
      <c r="Q103" s="735"/>
      <c r="R103" s="60" t="str">
        <f>IF($J97=$A$146,"","R")</f>
        <v>R</v>
      </c>
      <c r="S103" s="61"/>
      <c r="T103" s="570" t="str">
        <f t="shared" ca="1" si="7"/>
        <v/>
      </c>
      <c r="U103" s="736" t="str">
        <f t="shared" ca="1" si="8"/>
        <v>-</v>
      </c>
      <c r="V103" s="736"/>
      <c r="W103" s="736"/>
      <c r="X103" s="62" t="e">
        <f>VLOOKUP(CONCATENATE(J97,"-",R103),$C$2:$G$136,3,FALSE)</f>
        <v>#N/A</v>
      </c>
      <c r="Y103" s="62" t="e">
        <f>VLOOKUP(CONCATENATE(J97,"-",R103),$C$2:$G$136,4,FALSE)</f>
        <v>#N/A</v>
      </c>
      <c r="Z103" s="62" t="e">
        <f>VLOOKUP(CONCATENATE(J97,"-",R103),$C$2:$G$136,5,FALSE)</f>
        <v>#N/A</v>
      </c>
    </row>
    <row r="104" spans="1:26" ht="15" hidden="1" customHeight="1" x14ac:dyDescent="0.2">
      <c r="A104"/>
      <c r="B104"/>
      <c r="C104"/>
      <c r="D104"/>
      <c r="E104"/>
      <c r="F104"/>
      <c r="G104"/>
      <c r="I104" t="str">
        <f t="shared" ca="1" si="6"/>
        <v/>
      </c>
      <c r="J104" s="735" t="s">
        <v>943</v>
      </c>
      <c r="K104" s="735"/>
      <c r="L104" s="735"/>
      <c r="M104" s="735"/>
      <c r="N104" s="735"/>
      <c r="O104" s="735"/>
      <c r="P104" s="735"/>
      <c r="Q104" s="735"/>
      <c r="R104" s="60" t="str">
        <f>IF($J97=$A$146,"","DF")</f>
        <v>DF</v>
      </c>
      <c r="S104" s="61"/>
      <c r="T104" s="570" t="str">
        <f t="shared" ca="1" si="7"/>
        <v/>
      </c>
      <c r="U104" s="736" t="str">
        <f t="shared" ca="1" si="8"/>
        <v>-</v>
      </c>
      <c r="V104" s="736"/>
      <c r="W104" s="736"/>
      <c r="X104" s="62" t="e">
        <f>VLOOKUP(CONCATENATE(J97,"-",R104),$C$2:$G$136,3,FALSE)</f>
        <v>#N/A</v>
      </c>
      <c r="Y104" s="62" t="e">
        <f>VLOOKUP(CONCATENATE(J97,"-",R104),$C$2:$G$136,4,FALSE)</f>
        <v>#N/A</v>
      </c>
      <c r="Z104" s="62" t="e">
        <f>VLOOKUP(CONCATENATE(J97,"-",R104),$C$2:$G$136,5,FALSE)</f>
        <v>#N/A</v>
      </c>
    </row>
    <row r="105" spans="1:26" ht="15" hidden="1" customHeight="1" x14ac:dyDescent="0.2">
      <c r="A105"/>
      <c r="B105"/>
      <c r="C105"/>
      <c r="D105"/>
      <c r="E105"/>
      <c r="F105"/>
      <c r="G105"/>
      <c r="I105" t="str">
        <f t="shared" ca="1" si="6"/>
        <v/>
      </c>
      <c r="J105" s="735" t="str">
        <f>IF($J$57=$A$146,"Margem bruta da empresa de consultoria","Lucro")</f>
        <v>Lucro</v>
      </c>
      <c r="K105" s="735"/>
      <c r="L105" s="735"/>
      <c r="M105" s="735"/>
      <c r="N105" s="735"/>
      <c r="O105" s="735"/>
      <c r="P105" s="735"/>
      <c r="Q105" s="735"/>
      <c r="R105" s="60" t="str">
        <f>IF($J97=$A$146,"K3","L")</f>
        <v>L</v>
      </c>
      <c r="S105" s="61"/>
      <c r="T105" s="570" t="str">
        <f t="shared" ca="1" si="7"/>
        <v/>
      </c>
      <c r="U105" s="736" t="str">
        <f t="shared" ca="1" si="8"/>
        <v>-</v>
      </c>
      <c r="V105" s="736"/>
      <c r="W105" s="736"/>
      <c r="X105" s="62" t="e">
        <f>VLOOKUP(CONCATENATE(J97,"-",R105),$C$2:$G$136,3,FALSE)</f>
        <v>#N/A</v>
      </c>
      <c r="Y105" s="62" t="e">
        <f>VLOOKUP(CONCATENATE(J97,"-",R105),$C$2:$G$136,4,FALSE)</f>
        <v>#N/A</v>
      </c>
      <c r="Z105" s="62" t="e">
        <f>VLOOKUP(CONCATENATE(J97,"-",R105),$C$2:$G$136,5,FALSE)</f>
        <v>#N/A</v>
      </c>
    </row>
    <row r="106" spans="1:26" ht="15" hidden="1" customHeight="1" x14ac:dyDescent="0.2">
      <c r="A106"/>
      <c r="B106"/>
      <c r="C106"/>
      <c r="D106"/>
      <c r="E106"/>
      <c r="F106"/>
      <c r="G106"/>
      <c r="I106" t="str">
        <f t="shared" ca="1" si="6"/>
        <v/>
      </c>
      <c r="J106" s="735" t="s">
        <v>675</v>
      </c>
      <c r="K106" s="735"/>
      <c r="L106" s="735"/>
      <c r="M106" s="735"/>
      <c r="N106" s="735"/>
      <c r="O106" s="735"/>
      <c r="P106" s="735"/>
      <c r="Q106" s="735"/>
      <c r="R106" s="60" t="s">
        <v>456</v>
      </c>
      <c r="S106" s="61"/>
      <c r="T106" s="570" t="str">
        <f t="shared" ca="1" si="7"/>
        <v/>
      </c>
      <c r="U106" s="736" t="str">
        <f t="shared" ca="1" si="8"/>
        <v>FORA DO INTERVALO</v>
      </c>
      <c r="V106" s="736"/>
      <c r="W106" s="736"/>
      <c r="X106" s="62">
        <f>Y106</f>
        <v>3.6499999999999998E-2</v>
      </c>
      <c r="Y106" s="62">
        <f>IF($J97=$A$145,"-",3.65%)</f>
        <v>3.6499999999999998E-2</v>
      </c>
      <c r="Z106" s="62">
        <f>Y106</f>
        <v>3.6499999999999998E-2</v>
      </c>
    </row>
    <row r="107" spans="1:26" ht="15" hidden="1" customHeight="1" x14ac:dyDescent="0.2">
      <c r="A107"/>
      <c r="B107"/>
      <c r="C107"/>
      <c r="D107"/>
      <c r="E107"/>
      <c r="F107"/>
      <c r="G107"/>
      <c r="I107" t="str">
        <f t="shared" ca="1" si="6"/>
        <v/>
      </c>
      <c r="J107" s="735" t="s">
        <v>676</v>
      </c>
      <c r="K107" s="735"/>
      <c r="L107" s="735"/>
      <c r="M107" s="735"/>
      <c r="N107" s="735"/>
      <c r="O107" s="735"/>
      <c r="P107" s="735"/>
      <c r="Q107" s="735"/>
      <c r="R107" s="60" t="s">
        <v>677</v>
      </c>
      <c r="S107" s="62">
        <f ca="1">IF(AND($J97&lt;&gt;$A$145,COUNTA(OFFSET(S100,1,0,6))&gt;0),$R$11*$R$10,0)</f>
        <v>0</v>
      </c>
      <c r="U107" s="736" t="str">
        <f t="shared" ca="1" si="8"/>
        <v>OK</v>
      </c>
      <c r="V107" s="736"/>
      <c r="W107" s="736"/>
      <c r="X107" s="62">
        <v>0</v>
      </c>
      <c r="Y107" s="62">
        <v>2.5000000000000001E-2</v>
      </c>
      <c r="Z107" s="62">
        <v>0.05</v>
      </c>
    </row>
    <row r="108" spans="1:26" ht="15" hidden="1" customHeight="1" x14ac:dyDescent="0.2">
      <c r="A108"/>
      <c r="B108"/>
      <c r="C108"/>
      <c r="D108"/>
      <c r="E108"/>
      <c r="F108"/>
      <c r="G108"/>
      <c r="I108" t="str">
        <f t="shared" ca="1" si="6"/>
        <v/>
      </c>
      <c r="J108" s="735" t="s">
        <v>678</v>
      </c>
      <c r="K108" s="735"/>
      <c r="L108" s="735"/>
      <c r="M108" s="735"/>
      <c r="N108" s="735"/>
      <c r="O108" s="735"/>
      <c r="P108" s="735"/>
      <c r="Q108" s="735"/>
      <c r="R108" s="60" t="s">
        <v>679</v>
      </c>
      <c r="S108" s="62">
        <f t="array" aca="1" ref="S108" ca="1">IF(BDI.Opcao&lt;&gt;"Desonerado",0,IF(AND($J97&lt;&gt;$A$145,COUNTA(OFFSET(S100,1,0,6))&gt;0),IF(YEAR(Import.DataBase)&lt;2025,4.5%,IF(YEAR(Import.DataBase)=2025,3.6%,IF(YEAR(Import.DataBase)=2026,2.7%,IF(YEAR(Import.DataBase)=2027,1.8%,0%)))),0%))</f>
        <v>0</v>
      </c>
      <c r="U108" s="736" t="str">
        <f t="shared" ca="1" si="8"/>
        <v>OK</v>
      </c>
      <c r="V108" s="736"/>
      <c r="W108" s="736"/>
      <c r="X108" s="63">
        <f ca="1">$S108</f>
        <v>0</v>
      </c>
      <c r="Y108" s="63">
        <f ca="1">$S108</f>
        <v>0</v>
      </c>
      <c r="Z108" s="63">
        <f ca="1">$S108</f>
        <v>0</v>
      </c>
    </row>
    <row r="109" spans="1:26" ht="15" hidden="1" customHeight="1" x14ac:dyDescent="0.2">
      <c r="A109"/>
      <c r="B109"/>
      <c r="C109"/>
      <c r="D109"/>
      <c r="E109"/>
      <c r="F109"/>
      <c r="G109"/>
      <c r="I109" t="str">
        <f t="shared" ca="1" si="6"/>
        <v/>
      </c>
      <c r="J109" s="735" t="s">
        <v>680</v>
      </c>
      <c r="K109" s="735"/>
      <c r="L109" s="735"/>
      <c r="M109" s="735"/>
      <c r="N109" s="735"/>
      <c r="O109" s="735"/>
      <c r="P109" s="735"/>
      <c r="Q109" s="735"/>
      <c r="R109" s="64" t="s">
        <v>656</v>
      </c>
      <c r="S109" s="62">
        <f ca="1">IF($J97=$A$145,0,ROUND((((1+S101+S102+S103)*(1+S104)*(1+S105)/(1-(S106+S107)))-1),4))</f>
        <v>0</v>
      </c>
      <c r="U109" s="732" t="str">
        <f ca="1">IFERROR(IF(AND(OR(S109&gt;=X109,X109="-"),OR(S109&lt;=Z109,Z109="-")),"OK","FORA DO INTERVALO"),IF(S109=0,"OK","Selecione o Tipo de obra"))</f>
        <v>OK</v>
      </c>
      <c r="V109" s="732"/>
      <c r="W109" s="732"/>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
      <c r="A110"/>
      <c r="B110"/>
      <c r="C110"/>
      <c r="D110"/>
      <c r="E110"/>
      <c r="F110"/>
      <c r="G110"/>
      <c r="I110" t="str">
        <f t="shared" ca="1" si="6"/>
        <v/>
      </c>
      <c r="J110" s="739" t="s">
        <v>681</v>
      </c>
      <c r="K110" s="739"/>
      <c r="L110" s="739"/>
      <c r="M110" s="739"/>
      <c r="N110" s="739"/>
      <c r="O110" s="739"/>
      <c r="P110" s="739"/>
      <c r="Q110" s="739"/>
      <c r="R110" s="65" t="s">
        <v>682</v>
      </c>
      <c r="S110" s="66">
        <f ca="1">IF($J97=$A$145,0,ROUND((((1+S101+S102+S103)*(1+S104)*(1+S105)/(1-(S106+S107+S108)))-1),4))</f>
        <v>0</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67" t="str">
        <f ca="1">IF(U109&lt;&gt;"ok","X","")</f>
        <v/>
      </c>
      <c r="K112" s="740" t="str">
        <f ca="1">IF(U109&lt;&gt;"ok","Anexo: Relatório Técnico Circunstanciado justificando a adoção do percentual de cada parcela do BDI.","")</f>
        <v/>
      </c>
      <c r="L112" s="740"/>
      <c r="M112" s="740"/>
      <c r="N112" s="740"/>
      <c r="O112" s="740"/>
      <c r="P112" s="740"/>
      <c r="Q112" s="740"/>
      <c r="R112" s="740"/>
      <c r="S112" s="740"/>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741" t="s">
        <v>683</v>
      </c>
      <c r="K114" s="741"/>
      <c r="L114" s="741"/>
      <c r="M114" s="741"/>
      <c r="N114" s="741"/>
      <c r="O114" s="741"/>
      <c r="P114" s="741"/>
      <c r="Q114" s="741"/>
      <c r="R114" s="741"/>
      <c r="S114" s="741"/>
    </row>
    <row r="115" spans="1:19" ht="15.75" hidden="1" x14ac:dyDescent="0.25">
      <c r="A115"/>
      <c r="B115"/>
      <c r="C115"/>
      <c r="D115"/>
      <c r="E115"/>
      <c r="F115"/>
      <c r="G115"/>
      <c r="I115" t="str">
        <f t="shared" ca="1" si="6"/>
        <v/>
      </c>
      <c r="J115" s="68"/>
      <c r="K115" s="68"/>
      <c r="L115" s="68"/>
      <c r="M115" s="742" t="s">
        <v>684</v>
      </c>
      <c r="N115" s="748" t="str">
        <f>IF($J97=$A$146,"(1+K1+K2)*(1+K3)","(1+AC + S + R + G)*(1 + DF)*(1+L)")</f>
        <v>(1+AC + S + R + G)*(1 + DF)*(1+L)</v>
      </c>
      <c r="O115" s="748"/>
      <c r="P115" s="748"/>
      <c r="Q115" s="749" t="s">
        <v>685</v>
      </c>
      <c r="R115" s="68"/>
      <c r="S115" s="68"/>
    </row>
    <row r="116" spans="1:19" ht="15.75" hidden="1" x14ac:dyDescent="0.2">
      <c r="A116"/>
      <c r="B116"/>
      <c r="C116"/>
      <c r="D116"/>
      <c r="E116"/>
      <c r="F116"/>
      <c r="G116"/>
      <c r="I116" t="str">
        <f t="shared" ca="1" si="6"/>
        <v/>
      </c>
      <c r="J116" s="68"/>
      <c r="K116" s="68"/>
      <c r="L116" s="68"/>
      <c r="M116" s="742"/>
      <c r="N116" s="737" t="s">
        <v>686</v>
      </c>
      <c r="O116" s="737"/>
      <c r="P116" s="737"/>
      <c r="Q116" s="749"/>
      <c r="R116" s="68"/>
      <c r="S116" s="68"/>
    </row>
    <row r="117" spans="1:19" ht="15" hidden="1" customHeight="1" x14ac:dyDescent="0.2">
      <c r="A117"/>
      <c r="B117"/>
      <c r="C117"/>
      <c r="D117"/>
      <c r="E117"/>
      <c r="F117"/>
      <c r="G117"/>
      <c r="I117" t="str">
        <f t="shared" ca="1" si="6"/>
        <v/>
      </c>
      <c r="J117" s="68"/>
      <c r="K117" s="68"/>
      <c r="L117" s="68"/>
      <c r="M117" s="69"/>
      <c r="N117" s="71"/>
      <c r="O117" s="71"/>
      <c r="P117" s="71"/>
      <c r="Q117" s="70"/>
      <c r="R117" s="68"/>
      <c r="S117" s="68"/>
    </row>
    <row r="118" spans="1:19" ht="50.1" hidden="1" customHeight="1" x14ac:dyDescent="0.2">
      <c r="A118"/>
      <c r="B118"/>
      <c r="C118"/>
      <c r="D118"/>
      <c r="E118"/>
      <c r="F118"/>
      <c r="G118"/>
      <c r="I118" t="str">
        <f t="shared" ca="1" si="6"/>
        <v/>
      </c>
      <c r="J118" s="738"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738"/>
      <c r="L118" s="738"/>
      <c r="M118" s="738"/>
      <c r="N118" s="738"/>
      <c r="O118" s="738"/>
      <c r="P118" s="738"/>
      <c r="Q118" s="738"/>
      <c r="R118" s="738"/>
      <c r="S118" s="738"/>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738" t="str">
        <f t="array" aca="1" ref="J120"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738"/>
      <c r="L120" s="738"/>
      <c r="M120" s="738"/>
      <c r="N120" s="738"/>
      <c r="O120" s="738"/>
      <c r="P120" s="738"/>
      <c r="Q120" s="738"/>
      <c r="R120" s="738"/>
      <c r="S120" s="738"/>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49" t="s">
        <v>689</v>
      </c>
    </row>
    <row r="123" spans="1:19" ht="110.1" hidden="1" customHeight="1" x14ac:dyDescent="0.2">
      <c r="A123"/>
      <c r="B123"/>
      <c r="C123"/>
      <c r="D123"/>
      <c r="E123"/>
      <c r="F123"/>
      <c r="G123"/>
      <c r="I123" t="str">
        <f t="shared" ca="1" si="6"/>
        <v/>
      </c>
      <c r="J123" s="750"/>
      <c r="K123" s="750"/>
      <c r="L123" s="750"/>
      <c r="M123" s="750"/>
      <c r="N123" s="750"/>
      <c r="O123" s="750"/>
      <c r="P123" s="750"/>
      <c r="Q123" s="750"/>
      <c r="R123" s="750"/>
      <c r="S123" s="750"/>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744" t="str">
        <f>Import.Município</f>
        <v>PIRANGUÇU-MG</v>
      </c>
      <c r="K125" s="744"/>
      <c r="L125" s="744"/>
      <c r="M125" s="744"/>
      <c r="P125" s="745">
        <f>DADOS!$C$25</f>
        <v>45939</v>
      </c>
      <c r="Q125" s="745"/>
      <c r="R125" s="745"/>
      <c r="S125" s="745"/>
    </row>
    <row r="126" spans="1:19" hidden="1" x14ac:dyDescent="0.2">
      <c r="A126"/>
      <c r="B126"/>
      <c r="C126"/>
      <c r="D126"/>
      <c r="E126"/>
      <c r="F126"/>
      <c r="G126"/>
      <c r="I126" t="str">
        <f t="shared" ca="1" si="6"/>
        <v/>
      </c>
      <c r="J126" s="746" t="s">
        <v>693</v>
      </c>
      <c r="K126" s="746"/>
      <c r="L126" s="746"/>
      <c r="M126" s="746"/>
      <c r="O126" s="73"/>
      <c r="P126" s="74" t="s">
        <v>694</v>
      </c>
      <c r="Q126" s="75"/>
      <c r="R126" s="75"/>
      <c r="S126" s="75"/>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747"/>
      <c r="K128" s="747"/>
      <c r="L128" s="747"/>
      <c r="M128" s="747"/>
      <c r="N128" s="76"/>
    </row>
    <row r="129" spans="1:14" hidden="1" x14ac:dyDescent="0.2">
      <c r="A129"/>
      <c r="B129"/>
      <c r="C129"/>
      <c r="D129"/>
      <c r="E129"/>
      <c r="F129"/>
      <c r="G129"/>
      <c r="I129" t="str">
        <f t="shared" ca="1" si="6"/>
        <v/>
      </c>
      <c r="J129" s="743" t="s">
        <v>696</v>
      </c>
      <c r="K129" s="743"/>
      <c r="L129" s="743"/>
      <c r="M129" s="743"/>
    </row>
    <row r="130" spans="1:14" ht="14.25" hidden="1" x14ac:dyDescent="0.2">
      <c r="A130"/>
      <c r="B130"/>
      <c r="C130"/>
      <c r="D130"/>
      <c r="E130"/>
      <c r="F130"/>
      <c r="G130"/>
      <c r="I130" t="str">
        <f t="shared" ca="1" si="6"/>
        <v/>
      </c>
      <c r="J130" s="77" t="s">
        <v>240</v>
      </c>
      <c r="K130" s="78" t="str">
        <f t="array" ref="K130:K132">Import.RespOrçamento</f>
        <v>NILCEZAR AUGUSTO PERES</v>
      </c>
      <c r="L130" s="79"/>
      <c r="M130" s="79"/>
      <c r="N130" s="76"/>
    </row>
    <row r="131" spans="1:14" ht="14.25" hidden="1" x14ac:dyDescent="0.2">
      <c r="A131"/>
      <c r="B131"/>
      <c r="C131"/>
      <c r="D131"/>
      <c r="E131"/>
      <c r="F131"/>
      <c r="G131"/>
      <c r="I131" t="str">
        <f t="shared" ca="1" si="6"/>
        <v/>
      </c>
      <c r="J131" s="77" t="s">
        <v>243</v>
      </c>
      <c r="K131" s="78" t="str">
        <v>161.233/D-MG</v>
      </c>
      <c r="L131" s="79"/>
      <c r="M131" s="79"/>
      <c r="N131" s="76"/>
    </row>
    <row r="132" spans="1:14" ht="14.25" hidden="1" x14ac:dyDescent="0.2">
      <c r="A132"/>
      <c r="B132"/>
      <c r="C132"/>
      <c r="D132"/>
      <c r="E132"/>
      <c r="F132"/>
      <c r="G132"/>
      <c r="I132" t="str">
        <f t="shared" ca="1" si="6"/>
        <v/>
      </c>
      <c r="J132" s="77" t="s">
        <v>246</v>
      </c>
      <c r="K132" s="78" t="str">
        <v>MG2025435540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PtkPQszbpCIMVm9A8WTaqO3Ic2T+oH7BFlZpoMaaID1/C+e6CgzTvfutxyrvQtRN42Dyt6Esk9S6edJR0K2U9A==" saltValue="9aBow2aRiiNCf2zv7CQVQg==" spinCount="100000" sheet="1" objects="1" scenarios="1" autoFilter="0"/>
  <autoFilter ref="I11:I132" xr:uid="{00000000-0009-0000-0000-000003000000}">
    <filterColumn colId="0">
      <filters>
        <filter val="F"/>
      </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912" priority="11" stopIfTrue="1">
      <formula>DESONERACAO="não"</formula>
    </cfRule>
  </conditionalFormatting>
  <conditionalFormatting sqref="U69:W69 U29:W29 U109:W109">
    <cfRule type="expression" dxfId="911" priority="12" stopIfTrue="1">
      <formula>AND(U29&lt;&gt;"OK",U29&lt;&gt;"-",U29&lt;&gt;"")</formula>
    </cfRule>
    <cfRule type="cellIs" dxfId="910" priority="13" stopIfTrue="1" operator="equal">
      <formula>"OK"</formula>
    </cfRule>
  </conditionalFormatting>
  <conditionalFormatting sqref="S29 S69 S109">
    <cfRule type="expression" dxfId="909" priority="14" stopIfTrue="1">
      <formula>DESONERACAO="não"</formula>
    </cfRule>
  </conditionalFormatting>
  <conditionalFormatting sqref="J23:S24">
    <cfRule type="expression" dxfId="908" priority="9">
      <formula>$J$17=$A$146</formula>
    </cfRule>
  </conditionalFormatting>
  <conditionalFormatting sqref="S21:S26">
    <cfRule type="expression" dxfId="907" priority="8">
      <formula>$J$17=$A$145</formula>
    </cfRule>
  </conditionalFormatting>
  <conditionalFormatting sqref="J63:S64">
    <cfRule type="expression" dxfId="906" priority="7">
      <formula>$J$57=$A$146</formula>
    </cfRule>
  </conditionalFormatting>
  <conditionalFormatting sqref="S61:S66">
    <cfRule type="expression" dxfId="905" priority="6">
      <formula>$J$57=$A$145</formula>
    </cfRule>
  </conditionalFormatting>
  <conditionalFormatting sqref="J103:S104">
    <cfRule type="expression" dxfId="904" priority="5">
      <formula>$J$97=$A$146</formula>
    </cfRule>
  </conditionalFormatting>
  <conditionalFormatting sqref="S101:S106">
    <cfRule type="expression" dxfId="903" priority="4">
      <formula>$J$97=$A$145</formula>
    </cfRule>
  </conditionalFormatting>
  <conditionalFormatting sqref="U21:W28">
    <cfRule type="cellIs" dxfId="902" priority="3" operator="notEqual">
      <formula>"OK"</formula>
    </cfRule>
  </conditionalFormatting>
  <conditionalFormatting sqref="U61:W68">
    <cfRule type="cellIs" dxfId="901" priority="2" operator="notEqual">
      <formula>"OK"</formula>
    </cfRule>
  </conditionalFormatting>
  <conditionalFormatting sqref="U101:W108">
    <cfRule type="cellIs" dxfId="900"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&amp;LPMv3.16&amp;R&amp;P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65765"/>
  <sheetViews>
    <sheetView showGridLines="0" zoomScale="90" zoomScaleNormal="9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75" t="s">
        <v>700</v>
      </c>
      <c r="E2" s="675" t="s">
        <v>701</v>
      </c>
      <c r="F2" s="675" t="s">
        <v>702</v>
      </c>
      <c r="G2" s="675" t="s">
        <v>703</v>
      </c>
      <c r="H2" s="675" t="s">
        <v>704</v>
      </c>
      <c r="I2" s="675" t="s">
        <v>705</v>
      </c>
      <c r="R2" s="83" t="str">
        <f t="array" ref="R2">IF(TIPOORCAMENTO="licitado","Orçamento Licitado","Orçamento Base para Licitação")&amp;" - "&amp;import.recurso</f>
        <v>Orçamento Base para Licitação - OGU</v>
      </c>
      <c r="X2" s="11" t="s">
        <v>647</v>
      </c>
      <c r="Y2" s="84"/>
      <c r="Z2" s="84"/>
      <c r="AA2" s="84"/>
      <c r="AB2" s="84"/>
    </row>
    <row r="3" spans="1:40" x14ac:dyDescent="0.2">
      <c r="D3" s="671"/>
      <c r="E3" s="675" t="s">
        <v>750</v>
      </c>
      <c r="F3" s="675" t="s">
        <v>954</v>
      </c>
      <c r="G3" s="675" t="s">
        <v>955</v>
      </c>
      <c r="H3" s="675" t="s">
        <v>956</v>
      </c>
      <c r="I3" s="675" t="s">
        <v>957</v>
      </c>
      <c r="R3" s="86"/>
    </row>
    <row r="4" spans="1:40" x14ac:dyDescent="0.2">
      <c r="A4" s="673" t="s">
        <v>706</v>
      </c>
      <c r="D4" s="671"/>
      <c r="E4" s="671"/>
      <c r="F4" s="675" t="s">
        <v>663</v>
      </c>
      <c r="G4" s="675" t="s">
        <v>697</v>
      </c>
      <c r="H4" s="675" t="s">
        <v>698</v>
      </c>
      <c r="I4" s="676">
        <v>0</v>
      </c>
      <c r="O4" s="725" t="s">
        <v>650</v>
      </c>
      <c r="P4" s="725"/>
      <c r="Q4" s="87" t="s">
        <v>707</v>
      </c>
      <c r="R4" s="87" t="s">
        <v>652</v>
      </c>
      <c r="S4" s="725" t="s">
        <v>708</v>
      </c>
      <c r="T4" s="725"/>
      <c r="U4" s="725"/>
      <c r="V4" s="725"/>
      <c r="W4" s="725"/>
      <c r="X4" s="725"/>
      <c r="Y4" s="77"/>
      <c r="Z4" s="77"/>
      <c r="AA4" s="77"/>
      <c r="AB4" s="77"/>
    </row>
    <row r="5" spans="1:40" ht="12.75" customHeight="1" x14ac:dyDescent="0.2">
      <c r="A5" s="450">
        <f ca="1">MAX($C$15:$C$235)</f>
        <v>2</v>
      </c>
      <c r="B5" s="7"/>
      <c r="C5" s="7"/>
      <c r="D5" s="671"/>
      <c r="E5" s="671"/>
      <c r="F5" s="676">
        <f ca="1">IF(BDI.Opcao="DESONERADO",BDI!$S$30,BDI!$S$29)</f>
        <v>0.29389999999999999</v>
      </c>
      <c r="G5" s="676">
        <f ca="1">IF(BDI.Opcao="DESONERADO",BDI!$S$70,BDI!$S$69)</f>
        <v>0.2034</v>
      </c>
      <c r="H5" s="676">
        <f ca="1">IF(BDI.Opcao="DESONERADO",BDI!$S$110,BDI!$S$109)</f>
        <v>0</v>
      </c>
      <c r="I5" s="671"/>
      <c r="O5" s="722" t="str">
        <f>Import.CR</f>
        <v>1103833-63</v>
      </c>
      <c r="P5" s="722"/>
      <c r="Q5" s="90" t="str">
        <f t="array" ref="Q5">Import.TransfereGOV</f>
        <v>39994/2025</v>
      </c>
      <c r="R5" s="91" t="str">
        <f>Import.Proponente</f>
        <v>PREFEITURA MUNICIPAL DE PIRANGUÇU-MG</v>
      </c>
      <c r="S5" s="722" t="str">
        <f>Import.Apelido</f>
        <v>CONSTRUÇÃO DE VINTE UNIDADES HABITACIONAIS</v>
      </c>
      <c r="T5" s="722"/>
      <c r="U5" s="722"/>
      <c r="V5" s="722"/>
      <c r="W5" s="722"/>
      <c r="X5" s="722"/>
      <c r="Y5" s="92"/>
      <c r="Z5" s="92"/>
      <c r="AA5" s="92"/>
      <c r="AB5" s="92"/>
      <c r="AE5" s="762" t="s">
        <v>709</v>
      </c>
      <c r="AF5" s="762"/>
    </row>
    <row r="6" spans="1:40" ht="5.0999999999999996" customHeight="1" x14ac:dyDescent="0.2">
      <c r="A6" s="7"/>
      <c r="B6" s="7"/>
      <c r="C6" s="7"/>
      <c r="D6" s="671"/>
      <c r="E6" s="671"/>
      <c r="F6" s="671"/>
      <c r="G6" s="671"/>
      <c r="H6" s="677"/>
      <c r="I6" s="671"/>
      <c r="O6" s="93"/>
      <c r="P6" s="93"/>
      <c r="Q6" s="94"/>
      <c r="R6" s="94"/>
      <c r="S6" s="93"/>
      <c r="T6" s="93"/>
      <c r="U6" s="93"/>
      <c r="V6" s="93"/>
      <c r="W6" s="93"/>
      <c r="X6" s="93"/>
      <c r="Y6" s="92"/>
      <c r="Z6" s="92"/>
      <c r="AA6" s="92"/>
      <c r="AB6" s="92"/>
      <c r="AC6" s="95"/>
      <c r="AE6" s="88"/>
      <c r="AF6" s="89"/>
    </row>
    <row r="7" spans="1:40" ht="12.75" customHeight="1" x14ac:dyDescent="0.2">
      <c r="D7" s="671"/>
      <c r="E7" s="671"/>
      <c r="F7" s="675" t="s">
        <v>751</v>
      </c>
      <c r="G7" s="675" t="s">
        <v>958</v>
      </c>
      <c r="H7" s="675" t="s">
        <v>456</v>
      </c>
      <c r="I7" s="675" t="s">
        <v>794</v>
      </c>
      <c r="O7" s="725" t="s">
        <v>710</v>
      </c>
      <c r="P7" s="725"/>
      <c r="Q7" s="87" t="s">
        <v>711</v>
      </c>
      <c r="R7" s="87" t="str">
        <f t="array" ref="R7">IF(TIPOORCAMENTO="Licitado","NOME DA EMPRESA","DESCRIÇÃO DO LOTE")</f>
        <v>DESCRIÇÃO DO LOTE</v>
      </c>
      <c r="S7" s="763" t="str">
        <f t="array" ref="S7">IF(TIPOORCAMENTO="Licitado","REGIME DE EXECUÇÃO","MUNICÍPIO / UF")</f>
        <v>MUNICÍPIO / UF</v>
      </c>
      <c r="T7" s="763"/>
      <c r="U7" s="763"/>
      <c r="V7" s="97" t="str">
        <f t="array" ref="V7">IF(TIPOORCAMENTO="Licitado","","BDI 1")</f>
        <v>BDI 1</v>
      </c>
      <c r="W7" s="97" t="str">
        <f t="array" ref="W7">IF(TIPOORCAMENTO="Licitado","","BDI 2")</f>
        <v>BDI 2</v>
      </c>
      <c r="X7" s="98" t="str">
        <f t="array" ref="X7">IF(TIPOORCAMENTO="Licitado","Nº CTEF","BDI 3")</f>
        <v>BDI 3</v>
      </c>
      <c r="Y7" s="97"/>
      <c r="Z7" s="97"/>
      <c r="AC7" s="569" t="str">
        <f ca="1">IF(COUNTIFS($L$15:$L$235,"F",$AC$15:$AC$235,"JUSTIFICAR BDI")&gt;0,"JUSTIFICAR BDI","")</f>
        <v/>
      </c>
      <c r="AE7" s="88" t="s">
        <v>712</v>
      </c>
      <c r="AF7" s="89" t="b">
        <v>1</v>
      </c>
      <c r="AJ7" s="766" t="s">
        <v>713</v>
      </c>
      <c r="AL7" s="764" t="s">
        <v>714</v>
      </c>
    </row>
    <row r="8" spans="1:40" ht="12.75" customHeight="1" x14ac:dyDescent="0.2">
      <c r="A8" s="7"/>
      <c r="B8" s="7"/>
      <c r="C8" s="7"/>
      <c r="E8" s="505" t="s">
        <v>996</v>
      </c>
      <c r="F8" s="760" t="str">
        <f t="array" aca="1" ref="F8" ca="1">IF(LEN(INFO("release"))&gt;5,"'Referência "&amp;Excel_BuiltIn_Database&amp;".xlsm'#Banco.$a5:$a$65536","'[Referência "&amp;Excel_BuiltIn_Database&amp;".xlsm]Banco'!$a5:$a$65536")</f>
        <v>'[Referência 08-2025.xlsm]Banco'!$a5:$a$65536</v>
      </c>
      <c r="G8" s="760"/>
      <c r="H8" s="760"/>
      <c r="I8" s="760"/>
      <c r="J8" s="760"/>
      <c r="K8" s="760"/>
      <c r="L8" s="751" t="s">
        <v>655</v>
      </c>
      <c r="O8" s="722" t="str">
        <f t="array" aca="1" ref="O8" ca="1">IF(ISERROR(INDIRECT($F$9)),"(N/D: 'Referência "&amp;Excel_BuiltIn_Database&amp;".xlsm)",INDIRECT($F$9))</f>
        <v>BELO HORIZONTE</v>
      </c>
      <c r="P8" s="722"/>
      <c r="Q8" s="99" t="str">
        <f t="array" aca="1" ref="Q8" ca="1">TEXT(Import.DataBase,"mm-aa")&amp;IF(DESONERACAO="Sim"," (DES.)"," (N DES.)")</f>
        <v>08-25 (N DES.)</v>
      </c>
      <c r="R8" s="91" t="str">
        <f t="array" ref="R8">IF(TIPOORCAMENTO="Licitado",Import.empresa,Import.DescLote)</f>
        <v>CONSTRUÇÃO DE VINTE UNIDADES HABITACIONAIS</v>
      </c>
      <c r="S8" s="761" t="str">
        <f t="array" ref="S8">IF(TIPOORCAMENTO="Licitado",Import.RegimeExecução,Import.Município)</f>
        <v>PIRANGUÇU-MG</v>
      </c>
      <c r="T8" s="761"/>
      <c r="U8" s="761"/>
      <c r="V8" s="100" t="str">
        <f t="array" aca="1" ref="V8" ca="1">IF(TIPOORCAMENTO="Licitado","",TEXT(F5,"0,00%"))</f>
        <v>29,39%</v>
      </c>
      <c r="W8" s="100" t="str">
        <f t="array" aca="1" ref="W8" ca="1">IF(TIPOORCAMENTO="Licitado","",TEXT(G5,"0,00%"))</f>
        <v>20,34%</v>
      </c>
      <c r="X8" s="101" t="str">
        <f t="array" aca="1" ref="X8" ca="1">IF(TIPOORCAMENTO="Licitado",Import.CTEF,TEXT(H5,"0,00%"))</f>
        <v>0,00%</v>
      </c>
      <c r="Y8" s="751" t="s">
        <v>715</v>
      </c>
      <c r="Z8" s="751" t="s">
        <v>716</v>
      </c>
      <c r="AA8" s="102"/>
      <c r="AB8" s="102"/>
      <c r="AE8" s="88" t="s">
        <v>717</v>
      </c>
      <c r="AF8" s="89" t="b">
        <v>1</v>
      </c>
      <c r="AJ8" s="766"/>
      <c r="AL8" s="764"/>
    </row>
    <row r="9" spans="1:40" ht="12.75" customHeight="1" x14ac:dyDescent="0.2">
      <c r="E9" s="505" t="s">
        <v>994</v>
      </c>
      <c r="F9" s="760" t="str">
        <f t="array" aca="1" ref="F9" ca="1">IF(LEN(INFO("release"))&gt;5,"'Referência "&amp;Excel_BuiltIn_Database&amp;".xlsm'#Banco.$d$3","'[Referência "&amp;Excel_BuiltIn_Database&amp;".xlsm]Banco'!$d$3")</f>
        <v>'[Referência 08-2025.xlsm]Banco'!$d$3</v>
      </c>
      <c r="G9" s="760"/>
      <c r="H9" s="760"/>
      <c r="I9" s="760"/>
      <c r="J9" s="760"/>
      <c r="K9" s="760"/>
      <c r="L9" s="751"/>
      <c r="T9" s="670" t="str">
        <f>IF(AND(Import.TipoArredondamento="TransfereGOV",$AF$7=FALSE),"▼","")</f>
        <v/>
      </c>
      <c r="U9" s="670" t="str">
        <f>IF(AND(Import.TipoArredondamento="TransfereGOV",$AF$8=FALSE),"▼","")</f>
        <v/>
      </c>
      <c r="V9" s="670" t="str">
        <f>IF(AND(Import.TipoArredondamento="TransfereGOV",$AF$9=FALSE),"▼","")</f>
        <v/>
      </c>
      <c r="W9" s="670" t="str">
        <f>IF(AND(Import.TipoArredondamento="TransfereGOV",$AF$10=FALSE),"▼","")</f>
        <v/>
      </c>
      <c r="X9" s="670" t="str">
        <f>IF(AND(Import.TipoArredondamento="TransfereGOV",$AF$11=FALSE),"▼","")</f>
        <v/>
      </c>
      <c r="Y9" s="751"/>
      <c r="Z9" s="751"/>
      <c r="AE9" s="88" t="s">
        <v>23</v>
      </c>
      <c r="AF9" s="89" t="b">
        <v>1</v>
      </c>
      <c r="AJ9" s="766"/>
      <c r="AL9" s="764"/>
    </row>
    <row r="10" spans="1:40" x14ac:dyDescent="0.2">
      <c r="E10" s="505" t="s">
        <v>995</v>
      </c>
      <c r="F10" s="760" t="str">
        <f t="array" aca="1" ref="F10" ca="1">IF(LEN(INFO("release"))&gt;5,"'Referência "&amp;Excel_BuiltIn_Database&amp;".xlsm'#Banco.$B$3","'[Referência "&amp;Excel_BuiltIn_Database&amp;".xlsm]Banco'!$B$3")</f>
        <v>'[Referência 08-2025.xlsm]Banco'!$B$3</v>
      </c>
      <c r="G10" s="760"/>
      <c r="H10" s="760"/>
      <c r="I10" s="760"/>
      <c r="J10" s="760"/>
      <c r="K10" s="760"/>
      <c r="L10" s="751"/>
      <c r="Y10" s="751"/>
      <c r="Z10" s="751"/>
      <c r="AC10" s="103" t="s">
        <v>718</v>
      </c>
      <c r="AE10" s="88" t="s">
        <v>719</v>
      </c>
      <c r="AF10" s="89" t="b">
        <v>1</v>
      </c>
      <c r="AJ10" s="766"/>
      <c r="AL10" s="764"/>
    </row>
    <row r="11" spans="1:40" x14ac:dyDescent="0.2">
      <c r="F11" s="674" t="str">
        <f t="array" aca="1" ref="F11" ca="1">IFERROR(INDIRECT(F10),"")</f>
        <v>08/2025</v>
      </c>
      <c r="G11" s="678" t="str">
        <f t="array" aca="1" ref="G11" ca="1">IFERROR(TEXT(Import.DataBase,"mm/aaaa"),"")</f>
        <v>08/2025</v>
      </c>
      <c r="H11" s="104"/>
      <c r="L11" s="751"/>
      <c r="Y11" s="751"/>
      <c r="Z11" s="751"/>
      <c r="AC11" s="105" t="str">
        <f ca="1">IF(COUNTIFS($L$15:$L$235,"F",$AC$15:$AC$235,"&lt;&gt;"&amp;" ",$AC$15:$AC$235,"&lt;&gt;"&amp;"JUSTIFICAR BDI")&gt;0,"NÃO OK","OK")</f>
        <v>OK</v>
      </c>
      <c r="AE11" s="88" t="s">
        <v>720</v>
      </c>
      <c r="AF11" s="89" t="b">
        <v>1</v>
      </c>
      <c r="AJ11" s="766"/>
      <c r="AL11" s="764"/>
    </row>
    <row r="12" spans="1:40" ht="20.100000000000001" customHeight="1" x14ac:dyDescent="0.2">
      <c r="G12" s="85"/>
      <c r="H12" s="85"/>
      <c r="L12" s="751"/>
      <c r="O12" s="595" t="str">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IF(COUNTIF($AC$15:$AC$235,"FONTE")&gt;0,"Falta preencher a Fonte (coluna P) na Linha "&amp;(14+MATCH("FONTE",$AC$15:$AC$235,0)),
 IF(COUNTIF($AC$15:$AC$235,"CÓDIGO")&gt;0,"Falta preencher o Código (coluna Q) na Linha "&amp;(14+MATCH("CÓDIGO",$AC$15:$AC$235,0)),
 IF(COUNTIF($AC$15:$AC$235,"CÓDIGO N/ID")&gt;0,"Código (coluna Q) não identificado na Linha "&amp;(14+MATCH("CÓDIGO N/ID",$AC$15:$AC$235,0))&amp;". Verifique se o código está correto ou busque outro código",
 IF(COUNTIF($AC$15:$AC$235,"DESCRIÇÃO")&gt;0,"Falta preencher a Descrição (coluna R) na Linha "&amp;(14+MATCH("DESCRIÇÃO",$AC$15:$AC$235,0)),
 IF(COUNTIF($AC$15:$AC$235,"UNIDADE")&gt;0,"Falta preencher a Unidade (coluna S) na Linha "&amp;(14+MATCH("UNIDADE",$AC$15:$AC$235,0)),
 IF(COUNTIF($AC$15:$AC$235,"SEM CUSTO")&gt;0,"Falta preencher o Custo Unitário (coluna U) na Linha "&amp;(14+MATCH("SEM CUSTO",$AC$15:$AC$235,0)),
 IF(COUNTIF($AC$15:$AC$235,"SEM PREÇO")&gt;0,"Falta preencher o Preço Unitário licitado (coluna AL) na Linha "&amp;(14+MATCH("SEM CUSTO",$AC$15:$AC$235,0)),
 IF(COUNTIF($AC$15:$AC$235,"BDI")&gt;0,"Falta definir o BDI (coluna V) na Linha "&amp;(14+MATCH("BDI",$AC$15:$AC$235,0)),
 IF(COUNTIF($AC$15:$AC$235,"ACIMA REF.")&gt;0,
         IF(TIPOORCAMENTO="Proposto","O custo unitário (coluna U) na Linha "&amp;(14+MATCH("ACIMA REF.",$AC$15:$AC$235,0))&amp;" está acima do custo referencial (coluna AG)",
            "O preço unitário licitado (coluna AL) na Linha "&amp;(14+MATCH("ACIMA REF.",$AC$15:$AC$235,0))&amp;" está acima do preço referencial do edital (coluna AN)"),
 IF(COUNTIF($AC$15:$AC$235,"QUANT.")&gt;0,"Falta a Quantidade do serviço na Linha "&amp;(14+MATCH("QUANT.",$AC$15:$AC$235,0))&amp;IF(ACOMPANHAMENTO="PLE",". Preencher na aba CÁLCULO",". Preencher na coluna AJ"),
 IF(COUNTIF($AC$15:$AC$235,"Código &gt;13")&gt;0,"O tamanho do código do serviço no TransfereGOV é limitado a 13 caracteres. Resuma o código (coluna Q) na Linha "&amp;(14+MATCH("Código &gt;13",$AC$15:$AC$235,0)),
 IF(COUNTIF($AC$15:$AC$235,"Descrição &gt;100")&gt;0,"O tamanho da descrição de macrosserviço no TransfereGOV é limitado a 100 caracteres. Resuma a descrição (coluna R) na Linha "&amp;(14+MATCH("Descrição &gt;100",$AC$15:$AC$235,0)),
 IF(COUNTIF($AC$15:$AC$235,"Descrição &gt;500")&gt;0,"O tamanho da descrição de serviço no TransfereGOV é limitado a 500 caracteres. Resuma a descrição (coluna R) na Linha "&amp;(14+MATCH("Descrição &gt;500",$AC$15:$AC$235,0)),
 IF(COUNTIF($AC$15:$AC$235,"Unid. Não Disp")&gt;0,"Unidade não disponível na lista do TransfereGOV. Reveja a unidade (coluna S) na Linha "&amp;(14+MATCH("Unid. Não Disp",$AC$15:$AC$235,0)),
 IF(AND(TIPOORCAMENTO="Proposto",LEFT($O$8,5)="(N/D:"),"Abra o arquivo Referência "&amp;Excel_BuiltIn_Database&amp;".xlsm","")))))))))))))))))</f>
        <v/>
      </c>
      <c r="Y12" s="751"/>
      <c r="Z12" s="751"/>
      <c r="AA12" s="765" t="s">
        <v>721</v>
      </c>
      <c r="AB12" s="765"/>
      <c r="AJ12" s="106" t="s">
        <v>660</v>
      </c>
      <c r="AL12" s="457"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f t="array" ref="U13">IF(TIPOORCAMENTO="Licitado","","Custo Unitário (sem BDI) (R$)")</f>
        <v>Custo Unitário (sem BDI) (R$)</v>
      </c>
      <c r="V13" s="107" t="str">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IF(OR($C14="S",$C14=0),0,MATCH(0,OFFSET($D14,1,$C14,ROW($C$235)-ROW($C14)),0))</f>
        <v>0</v>
      </c>
      <c r="K14">
        <f ca="1">IF(OR($C14="S",$C14=0),0,MATCH(OFFSET($D14,0,$C14)+IF($C14&lt;&gt;1,1,COUNTIF(QCI!$A$13:$A$24,ORÇAMENTO!E14)),OFFSET($D14,1,$C14,ROW($C$235)-ROW($C14)),0))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f t="array" aca="1" ref="R14" ca="1">IF($C14="S",REFERENCIA.Descricao,"(digite a descrição aqui)")</f>
        <v>(Sem Código)</v>
      </c>
      <c r="S14" s="121" t="str">
        <f t="array" aca="1" ref="S14" ca="1">REFERENCIA.Unidade</f>
        <v>-</v>
      </c>
      <c r="T14" s="122">
        <f ca="1">OFFSET(CÁLCULO!H$15,ROW($T14)-ROW(T$15),0)</f>
        <v>0</v>
      </c>
      <c r="U14" s="123"/>
      <c r="V14" s="124" t="s">
        <v>663</v>
      </c>
      <c r="W14" s="122">
        <f t="array" aca="1" ref="W14" ca="1">IF($C14="S",ROUND(IF(TIPOORCAMENTO="Proposto",ORÇAMENTO.CustoUnitario*(1+$AH14),ORÇAMENTO.PrecoUnitarioLicitado),15-13*$AF$10),0)</f>
        <v>0</v>
      </c>
      <c r="X14" s="125">
        <f t="array" aca="1" ref="X14" ca="1">IF($C14="S",IF(OR(Import.TipoArredondamento&lt;&gt;"TransfereGOV",ACOMPANHAMENTO="BM"),VTOTAL1,SUM(OFFSET(CÁLCULO!$AI$15,ROW($X14)-ROW($X$15),1):OFFSET(CÁLCULO!$BB$15,ROW($X14)-ROW($X$15),-1))),IF($C14=0,0,ROUND(SomaAgrup,15-13*$AF$11)))</f>
        <v>0</v>
      </c>
      <c r="Y14" s="126" t="s">
        <v>751</v>
      </c>
      <c r="Z14" t="str">
        <f ca="1">IF(AND($C14="S",$X14&gt;0),IF(ISBLANK($Y14),"RA",LEFT($Y14,2)),"")</f>
        <v/>
      </c>
      <c r="AA14" s="127">
        <f t="array" aca="1" ref="AA14" ca="1">IF($C14="S",IF($Z14="CP",$X14,IF($Z14="RA",(($X14)*QCI!$AA$3),0)),SomaAgrup)</f>
        <v>0</v>
      </c>
      <c r="AB14" s="128">
        <f t="array" aca="1" ref="AB14" ca="1">IF($C14="S",IF($Z14="OU",ROUND($X14,2),0),SomaAgrup)</f>
        <v>0</v>
      </c>
      <c r="AC14" s="563" t="str">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t="array" aca="1" ref="AE14" ca="1">IF(AND($C14="S",ORÇAMENTO.CodBarra&lt;&gt;""),IF(ORÇAMENTO.Fonte="",ORÇAMENTO.CodBarra,CONCATENATE(ORÇAMENTO.Fonte," ",ORÇAMENTO.CodBarra)))</f>
        <v>0</v>
      </c>
      <c r="AF14" s="679" t="str">
        <f t="array" aca="1" ref="AF14" ca="1">IF(ISERROR(ORÇAMENTO.BancoRef),"(abra o arquivo 'Referência "&amp;Excel_BuiltIn_Database&amp;".xlsm)",IF(OR($C14&lt;&gt;"S",ORÇAMENTO.CodBarra=""),"(Sem Código)",IF(ISERROR(MATCH($AE14,INDIRECT(ORÇAMENTO.BancoRef),0)),"(Código não identificado nas referências)",MATCH($AE14,INDIRECT(ORÇAMENTO.BancoRef),0))))</f>
        <v>(Sem Código)</v>
      </c>
      <c r="AG14" s="428">
        <f t="array" aca="1" ref="AG14" ca="1">ROUND(IF(DESONERACAO="sim",REFERENCIA.Desonerado,REFERENCIA.NaoDesonerado),2)</f>
        <v>0</v>
      </c>
      <c r="AH14" s="429">
        <f ca="1">ROUND(IF(ISNUMBER(ORÇAMENTO.OpcaoBDI),ORÇAMENTO.OpcaoBDI,IF(LEFT(ORÇAMENTO.OpcaoBDI,3)="BDI",HLOOKUP(ORÇAMENTO.OpcaoBDI,$F$4:$H$5,2,FALSE),0)),15-11*$AF$9)</f>
        <v>0.29389999999999999</v>
      </c>
      <c r="AJ14" s="431"/>
      <c r="AL14" s="439"/>
      <c r="AM14" s="336">
        <f t="shared" ref="AM14:AM234" ca="1" si="0">$X14</f>
        <v>0</v>
      </c>
      <c r="AN14" s="469">
        <f t="array" aca="1" ref="AN14" ca="1">ROUND(ORÇAMENTO.CustoUnitario*(1+$AH14),2)</f>
        <v>0</v>
      </c>
    </row>
    <row r="15" spans="1:40" ht="12.75" customHeight="1" x14ac:dyDescent="0.2">
      <c r="A15">
        <v>0</v>
      </c>
      <c r="C15" t="s">
        <v>654</v>
      </c>
      <c r="D15">
        <f ca="1">COUNTA(OFFSET(D15,1,0):D$235)</f>
        <v>219</v>
      </c>
      <c r="E15">
        <v>0</v>
      </c>
      <c r="L15" s="114" t="s">
        <v>536</v>
      </c>
      <c r="M15" s="130" t="str">
        <f t="array" ref="M15">IF(TIPOORCAMENTO="LICITADO","CTEF","LOTE")</f>
        <v>LOTE</v>
      </c>
      <c r="N15" s="130" t="str">
        <f t="array" ref="N15">IF(TIPOORCAMENTO="LICITADO","CTEF","LOTE")</f>
        <v>LOTE</v>
      </c>
      <c r="O15" s="753" t="str">
        <f>Import.DescLote</f>
        <v>CONSTRUÇÃO DE VINTE UNIDADES HABITACIONAIS</v>
      </c>
      <c r="P15" s="754"/>
      <c r="Q15" s="754"/>
      <c r="R15" s="754"/>
      <c r="S15" s="611"/>
      <c r="T15" s="612"/>
      <c r="U15" s="612"/>
      <c r="V15" s="613"/>
      <c r="W15" s="612"/>
      <c r="X15" s="131">
        <f ca="1">SUMIF(OFFSET($C15,1,0,ROW(X235)-ROW(X15)-1),"S",OFFSET(X15,1,0,ROW(X235)-ROW(X15)-1))</f>
        <v>2675612.4200000023</v>
      </c>
      <c r="Y15" s="7"/>
      <c r="Z15" t="str">
        <f ca="1">IF(AND($C15="S",$X15&gt;0),LEFT($Y15,2),"")</f>
        <v/>
      </c>
      <c r="AA15" s="426">
        <f ca="1">SUMIF(OFFSET($C15,1,0,ROW(AA235)-ROW(AA15)-1),"S",OFFSET(AA15,1,0,ROW(AA235)-ROW(AA15)-1))</f>
        <v>0</v>
      </c>
      <c r="AB15" s="132">
        <f ca="1">SUMIF(OFFSET($C15,1,0,ROW(AB235)-ROW(AB15)-1),"S",OFFSET(AB15,1,0,ROW(AB235)-ROW(AB15)-1))</f>
        <v>0</v>
      </c>
      <c r="AC15" s="563" t="s">
        <v>752</v>
      </c>
      <c r="AG15" s="441"/>
      <c r="AH15" s="442"/>
      <c r="AJ15" s="430"/>
      <c r="AL15" s="440"/>
      <c r="AM15" s="470">
        <f t="shared" ca="1" si="0"/>
        <v>2675612.4200000023</v>
      </c>
      <c r="AN15" s="471"/>
    </row>
    <row r="16" spans="1:40" s="696" customFormat="1" x14ac:dyDescent="0.2">
      <c r="A16" s="696">
        <f t="shared" ref="A16:A74" si="1">CHOOSE(1+LOG(1+2*(ORÇAMENTO.Nivel="Meta")+4*(ORÇAMENTO.Nivel="Nível 2")+8*(ORÇAMENTO.Nivel="Nível 3")+16*(ORÇAMENTO.Nivel="Nível 4")+32*(ORÇAMENTO.Nivel="Serviço"),2),0,1,2,3,4,"S")</f>
        <v>1</v>
      </c>
      <c r="B16" s="696">
        <f t="shared" ref="B16:B74" ca="1" si="2">IF(OR(C16="s",C16=0),OFFSET(B16,-1,0),C16)</f>
        <v>1</v>
      </c>
      <c r="C16" s="696">
        <f t="shared" ref="C16:C74" ca="1" si="3">IF(OFFSET(C16,-1,0)="L",1,IF(OFFSET(C16,-1,0)=1,2,IF(OR(A16="s",A16=0),"S",IF(AND(OFFSET(C16,-1,0)=2,A16=4),3,IF(AND(OR(OFFSET(C16,-1,0)="s",OFFSET(C16,-1,0)=0),A16&lt;&gt;"s",A16&gt;OFFSET(B16,-1,0)),OFFSET(B16,-1,0),A16)))))</f>
        <v>1</v>
      </c>
      <c r="D16" s="696">
        <f t="shared" ref="D16:D74" ca="1" si="4">IF(OR(C16="S",C16=0),0,IF(ISERROR(K16),J16,SMALL(J16:K16,1)))</f>
        <v>219</v>
      </c>
      <c r="E16" s="696">
        <f ca="1">IF($C16=1,OFFSET(E16,-1,0)+MAX(1,COUNTIF(QCI!$A$13:$A$24,OFFSET(ORÇAMENTO!E16,-1,0))),OFFSET(E16,-1,0))</f>
        <v>1</v>
      </c>
      <c r="F16" s="696">
        <f t="shared" ref="F16:F74" ca="1" si="5">IF($C16=1,0,IF($C16=2,OFFSET(F16,-1,0)+1,OFFSET(F16,-1,0)))</f>
        <v>0</v>
      </c>
      <c r="G16" s="696">
        <f t="shared" ref="G16:G74" ca="1" si="6">IF(AND($C16&lt;=2,$C16&lt;&gt;0),0,IF($C16=3,OFFSET(G16,-1,0)+1,OFFSET(G16,-1,0)))</f>
        <v>0</v>
      </c>
      <c r="H16" s="696">
        <f t="shared" ref="H16:H74" ca="1" si="7">IF(AND($C16&lt;=3,$C16&lt;&gt;0),0,IF($C16=4,OFFSET(H16,-1,0)+1,OFFSET(H16,-1,0)))</f>
        <v>0</v>
      </c>
      <c r="I16" s="696">
        <f t="shared" ref="I16:I74" ca="1" si="8">IF(AND($C16&lt;=4,$C16&lt;&gt;0),0,IF(AND($C16="S",$X16&gt;0),OFFSET(I16,-1,0)+1,OFFSET(I16,-1,0)))</f>
        <v>0</v>
      </c>
      <c r="J16" s="696">
        <f t="shared" ref="J16:J79" ca="1" si="9">IF(OR($C16="S",$C16=0),0,MATCH(0,OFFSET($D16,1,$C16,ROW($C$235)-ROW($C16)),0))</f>
        <v>219</v>
      </c>
      <c r="K16" s="696" t="e">
        <f ca="1">IF(OR($C16="S",$C16=0),0,MATCH(OFFSET($D16,0,$C16)+IF($C16&lt;&gt;1,1,COUNTIF(QCI!$A$13:$A$24,ORÇAMENTO!E16)),OFFSET($D16,1,$C16,ROW($C$235)-ROW($C16)),0))</f>
        <v>#N/A</v>
      </c>
      <c r="L16" s="114" t="str">
        <f t="shared" ref="L16:L74" ca="1" si="10">IF(OR($X16&gt;0,$C16=1,$C16=2,$C16=3,$C16=4),"F","")</f>
        <v>F</v>
      </c>
      <c r="M16" s="115" t="s">
        <v>701</v>
      </c>
      <c r="N16" s="116" t="str">
        <f t="shared" ref="N16:N74" ca="1" si="11">CHOOSE(1+LOG(1+2*(C16=1)+4*(C16=2)+8*(C16=3)+16*(C16=4)+32*(C16="S"),2),"","Meta","Nível 2","Nível 3","Nível 4","Serviço")</f>
        <v>Meta</v>
      </c>
      <c r="O16" s="117" t="str">
        <f t="shared" ref="O16:O74" ca="1" si="12">IF(OR($C16=0,$L16=""),"-",CONCATENATE(E16&amp;".",IF(AND($A$5&gt;=2,$C16&gt;=2),F16&amp;".",""),IF(AND($A$5&gt;=3,$C16&gt;=3),G16&amp;".",""),IF(AND($A$5&gt;=4,$C16&gt;=4),H16&amp;".",""),IF($C16="S",I16&amp;".","")))</f>
        <v>1.</v>
      </c>
      <c r="P16" s="118" t="s">
        <v>750</v>
      </c>
      <c r="Q16" s="119"/>
      <c r="R16" s="120" t="s">
        <v>1366</v>
      </c>
      <c r="S16" s="121" t="s">
        <v>688</v>
      </c>
      <c r="T16" s="122">
        <f ca="1">OFFSET(CÁLCULO!H$15,ROW($T16)-ROW(T$15),0)</f>
        <v>0</v>
      </c>
      <c r="U16" s="123"/>
      <c r="V16" s="124" t="s">
        <v>663</v>
      </c>
      <c r="W16" s="122">
        <f t="array" aca="1" ref="W16" ca="1">IF($C16="S",ROUND(IF(TIPOORCAMENTO="Proposto",ORÇAMENTO.CustoUnitario*(1+$AH16),ORÇAMENTO.PrecoUnitarioLicitado),15-13*$AF$10),0)</f>
        <v>0</v>
      </c>
      <c r="X16" s="125">
        <f t="array" aca="1" ref="X16" ca="1">IF($C16="S",IF(OR(Import.TipoArredondamento&lt;&gt;"TransfereGOV",ACOMPANHAMENTO="BM"),VTOTAL1,SUM(OFFSET(CÁLCULO!$AI$15,ROW($X16)-ROW($X$15),1):OFFSET(CÁLCULO!$BB$15,ROW($X16)-ROW($X$15),-1))),IF($C16=0,0,ROUND(SomaAgrup,15-13*$AF$11)))</f>
        <v>2675612.42</v>
      </c>
      <c r="Y16" s="126" t="s">
        <v>751</v>
      </c>
      <c r="Z16" s="696" t="str">
        <f t="shared" ref="Z16:Z74" ca="1" si="13">IF(AND($C16="S",$X16&gt;0),IF(ISBLANK($Y16),"RA",LEFT($Y16,2)),"")</f>
        <v/>
      </c>
      <c r="AA16" s="127">
        <f t="array" aca="1" ref="AA16" ca="1">IF($C16="S",IF($Z16="CP",$X16,IF($Z16="RA",(($X16)*QCI!$AA$3),0)),SomaAgrup)</f>
        <v>0</v>
      </c>
      <c r="AB16" s="128">
        <f t="array" aca="1" ref="AB16" ca="1">IF($C16="S",IF($Z16="OU",ROUND($X16,2),0),SomaAgrup)</f>
        <v>0</v>
      </c>
      <c r="AC16" s="563" t="str">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s="696">
        <f ca="1">IF(C16&lt;=CRONO.NivelExibicao,MAX($AD$15:OFFSET(AD16,-1,0))+IF($C16&lt;&gt;1,1,MAX(1,COUNTIF(QCI!$A$13:$A$24,OFFSET($E16,-1,0)))),"")</f>
        <v>1</v>
      </c>
      <c r="AE16" s="694" t="b">
        <f t="array" aca="1" ref="AE16" ca="1">IF(AND($C16="S",ORÇAMENTO.CodBarra&lt;&gt;""),IF(ORÇAMENTO.Fonte="",ORÇAMENTO.CodBarra,CONCATENATE(ORÇAMENTO.Fonte," ",ORÇAMENTO.CodBarra)))</f>
        <v>0</v>
      </c>
      <c r="AF16" s="695" t="str">
        <f t="array" aca="1" ref="AF16" ca="1">IF(ISERROR(ORÇAMENTO.BancoRef),"(abra o arquivo 'Referência "&amp;Excel_BuiltIn_Database&amp;".xlsm)",IF(OR($C16&lt;&gt;"S",ORÇAMENTO.CodBarra=""),"(Sem Código)",IF(ISERROR(MATCH($AE16,INDIRECT(ORÇAMENTO.BancoRef),0)),"(Código não identificado nas referências)",MATCH($AE16,INDIRECT(ORÇAMENTO.BancoRef),0))))</f>
        <v>(Sem Código)</v>
      </c>
      <c r="AG16" s="428">
        <f t="array" aca="1" ref="AG16" ca="1">ROUND(IF(DESONERACAO="sim",REFERENCIA.Desonerado,REFERENCIA.NaoDesonerado),2)</f>
        <v>0</v>
      </c>
      <c r="AH16" s="429">
        <f t="shared" ref="AH16:AH74" ca="1" si="14">ROUND(IF(ISNUMBER(ORÇAMENTO.OpcaoBDI),ORÇAMENTO.OpcaoBDI,IF(LEFT(ORÇAMENTO.OpcaoBDI,3)="BDI",HLOOKUP(ORÇAMENTO.OpcaoBDI,$F$4:$H$5,2,FALSE),0)),15-11*$AF$9)</f>
        <v>0.29389999999999999</v>
      </c>
      <c r="AJ16" s="431"/>
      <c r="AL16" s="439"/>
      <c r="AM16" s="336">
        <f t="shared" ca="1" si="0"/>
        <v>2675612.42</v>
      </c>
      <c r="AN16" s="469">
        <f t="array" aca="1" ref="AN16" ca="1">ROUND(ORÇAMENTO.CustoUnitario*(1+$AH16),2)</f>
        <v>0</v>
      </c>
    </row>
    <row r="17" spans="1:40" s="696" customFormat="1" ht="25.5" x14ac:dyDescent="0.2">
      <c r="A17" s="696">
        <f t="shared" si="1"/>
        <v>2</v>
      </c>
      <c r="B17" s="696">
        <f t="shared" ca="1" si="2"/>
        <v>2</v>
      </c>
      <c r="C17" s="696">
        <f t="shared" ca="1" si="3"/>
        <v>2</v>
      </c>
      <c r="D17" s="696">
        <f t="shared" ca="1" si="4"/>
        <v>6</v>
      </c>
      <c r="E17" s="696">
        <f ca="1">IF($C17=1,OFFSET(E17,-1,0)+MAX(1,COUNTIF(QCI!$A$13:$A$24,OFFSET(ORÇAMENTO!E17,-1,0))),OFFSET(E17,-1,0))</f>
        <v>1</v>
      </c>
      <c r="F17" s="696">
        <f t="shared" ca="1" si="5"/>
        <v>1</v>
      </c>
      <c r="G17" s="696">
        <f t="shared" ca="1" si="6"/>
        <v>0</v>
      </c>
      <c r="H17" s="696">
        <f t="shared" ca="1" si="7"/>
        <v>0</v>
      </c>
      <c r="I17" s="696">
        <f t="shared" ca="1" si="8"/>
        <v>0</v>
      </c>
      <c r="J17" s="696">
        <f t="shared" ca="1" si="9"/>
        <v>218</v>
      </c>
      <c r="K17" s="696">
        <f ca="1">IF(OR($C17="S",$C17=0),0,MATCH(OFFSET($D17,0,$C17)+IF($C17&lt;&gt;1,1,COUNTIF(QCI!$A$13:$A$24,ORÇAMENTO!E17)),OFFSET($D17,1,$C17,ROW($C$235)-ROW($C17)),0))</f>
        <v>6</v>
      </c>
      <c r="L17" s="114" t="str">
        <f t="shared" ca="1" si="10"/>
        <v>F</v>
      </c>
      <c r="M17" s="115" t="s">
        <v>702</v>
      </c>
      <c r="N17" s="116" t="str">
        <f t="shared" ca="1" si="11"/>
        <v>Nível 2</v>
      </c>
      <c r="O17" s="117" t="str">
        <f t="shared" ca="1" si="12"/>
        <v>1.1.</v>
      </c>
      <c r="P17" s="118" t="s">
        <v>750</v>
      </c>
      <c r="Q17" s="119"/>
      <c r="R17" s="120" t="s">
        <v>1474</v>
      </c>
      <c r="S17" s="121" t="s">
        <v>688</v>
      </c>
      <c r="T17" s="122">
        <f ca="1">OFFSET(CÁLCULO!H$15,ROW($T17)-ROW(T$15),0)</f>
        <v>0</v>
      </c>
      <c r="U17" s="123"/>
      <c r="V17" s="124" t="s">
        <v>663</v>
      </c>
      <c r="W17" s="122">
        <f t="array" aca="1" ref="W17" ca="1">IF($C17="S",ROUND(IF(TIPOORCAMENTO="Proposto",ORÇAMENTO.CustoUnitario*(1+$AH17),ORÇAMENTO.PrecoUnitarioLicitado),15-13*$AF$10),0)</f>
        <v>0</v>
      </c>
      <c r="X17" s="125">
        <f t="array" aca="1" ref="X17" ca="1">IF($C17="S",IF(OR(Import.TipoArredondamento&lt;&gt;"TransfereGOV",ACOMPANHAMENTO="BM"),VTOTAL1,SUM(OFFSET(CÁLCULO!$AI$15,ROW($X17)-ROW($X$15),1):OFFSET(CÁLCULO!$BB$15,ROW($X17)-ROW($X$15),-1))),IF($C17=0,0,ROUND(SomaAgrup,15-13*$AF$11)))</f>
        <v>10301.870000000001</v>
      </c>
      <c r="Y17" s="126" t="s">
        <v>751</v>
      </c>
      <c r="Z17" s="696" t="str">
        <f t="shared" ca="1" si="13"/>
        <v/>
      </c>
      <c r="AA17" s="127">
        <f t="array" aca="1" ref="AA17" ca="1">IF($C17="S",IF($Z17="CP",$X17,IF($Z17="RA",(($X17)*QCI!$AA$3),0)),SomaAgrup)</f>
        <v>0</v>
      </c>
      <c r="AB17" s="128">
        <f t="array" aca="1" ref="AB17" ca="1">IF($C17="S",IF($Z17="OU",ROUND($X17,2),0),SomaAgrup)</f>
        <v>0</v>
      </c>
      <c r="AC17" s="563" t="str">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s="696">
        <f ca="1">IF(C17&lt;=CRONO.NivelExibicao,MAX($AD$15:OFFSET(AD17,-1,0))+IF($C17&lt;&gt;1,1,MAX(1,COUNTIF(QCI!$A$13:$A$24,OFFSET($E17,-1,0)))),"")</f>
        <v>2</v>
      </c>
      <c r="AE17" s="694" t="b">
        <f t="array" aca="1" ref="AE17" ca="1">IF(AND($C17="S",ORÇAMENTO.CodBarra&lt;&gt;""),IF(ORÇAMENTO.Fonte="",ORÇAMENTO.CodBarra,CONCATENATE(ORÇAMENTO.Fonte," ",ORÇAMENTO.CodBarra)))</f>
        <v>0</v>
      </c>
      <c r="AF17" s="695" t="str">
        <f t="array" aca="1" ref="AF17" ca="1">IF(ISERROR(ORÇAMENTO.BancoRef),"(abra o arquivo 'Referência "&amp;Excel_BuiltIn_Database&amp;".xlsm)",IF(OR($C17&lt;&gt;"S",ORÇAMENTO.CodBarra=""),"(Sem Código)",IF(ISERROR(MATCH($AE17,INDIRECT(ORÇAMENTO.BancoRef),0)),"(Código não identificado nas referências)",MATCH($AE17,INDIRECT(ORÇAMENTO.BancoRef),0))))</f>
        <v>(Sem Código)</v>
      </c>
      <c r="AG17" s="428">
        <f t="array" aca="1" ref="AG17" ca="1">ROUND(IF(DESONERACAO="sim",REFERENCIA.Desonerado,REFERENCIA.NaoDesonerado),2)</f>
        <v>0</v>
      </c>
      <c r="AH17" s="429">
        <f t="shared" ca="1" si="14"/>
        <v>0.29389999999999999</v>
      </c>
      <c r="AJ17" s="431"/>
      <c r="AL17" s="439"/>
      <c r="AM17" s="336">
        <f t="shared" ca="1" si="0"/>
        <v>10301.870000000001</v>
      </c>
      <c r="AN17" s="469">
        <f t="array" aca="1" ref="AN17" ca="1">ROUND(ORÇAMENTO.CustoUnitario*(1+$AH17),2)</f>
        <v>0</v>
      </c>
    </row>
    <row r="18" spans="1:40" s="696" customFormat="1" ht="25.5" x14ac:dyDescent="0.2">
      <c r="A18" s="696" t="str">
        <f t="shared" si="1"/>
        <v>S</v>
      </c>
      <c r="B18" s="696">
        <f t="shared" ca="1" si="2"/>
        <v>2</v>
      </c>
      <c r="C18" s="696" t="str">
        <f t="shared" ca="1" si="3"/>
        <v>S</v>
      </c>
      <c r="D18" s="696">
        <f t="shared" ca="1" si="4"/>
        <v>0</v>
      </c>
      <c r="E18" s="696">
        <f ca="1">IF($C18=1,OFFSET(E18,-1,0)+MAX(1,COUNTIF(QCI!$A$13:$A$24,OFFSET(ORÇAMENTO!E18,-1,0))),OFFSET(E18,-1,0))</f>
        <v>1</v>
      </c>
      <c r="F18" s="696">
        <f t="shared" ca="1" si="5"/>
        <v>1</v>
      </c>
      <c r="G18" s="696">
        <f t="shared" ca="1" si="6"/>
        <v>0</v>
      </c>
      <c r="H18" s="696">
        <f t="shared" ca="1" si="7"/>
        <v>0</v>
      </c>
      <c r="I18" s="696">
        <f t="shared" ca="1" si="8"/>
        <v>1</v>
      </c>
      <c r="J18" s="696">
        <f t="shared" ca="1" si="9"/>
        <v>0</v>
      </c>
      <c r="K18" s="696">
        <f ca="1">IF(OR($C18="S",$C18=0),0,MATCH(OFFSET($D18,0,$C18)+IF($C18&lt;&gt;1,1,COUNTIF(QCI!$A$13:$A$24,ORÇAMENTO!E18)),OFFSET($D18,1,$C18,ROW($C$235)-ROW($C18)),0))</f>
        <v>0</v>
      </c>
      <c r="L18" s="114" t="str">
        <f t="shared" ca="1" si="10"/>
        <v>F</v>
      </c>
      <c r="M18" s="115" t="s">
        <v>705</v>
      </c>
      <c r="N18" s="116" t="str">
        <f t="shared" ca="1" si="11"/>
        <v>Serviço</v>
      </c>
      <c r="O18" s="117" t="str">
        <f t="shared" ca="1" si="12"/>
        <v>1.1.1.</v>
      </c>
      <c r="P18" s="118" t="s">
        <v>1008</v>
      </c>
      <c r="Q18" s="119" t="s">
        <v>1009</v>
      </c>
      <c r="R18" s="120" t="str">
        <f t="array" aca="1" ref="R18" ca="1">IF($C18="S",REFERENCIA.Descricao,"(digite a descrição aqui)")</f>
        <v>DESENVOLVIMENTO E DETALHAMENTO DE PROJETO ARQUITETÔNICO</v>
      </c>
      <c r="S18" s="121" t="s">
        <v>639</v>
      </c>
      <c r="T18" s="122">
        <f ca="1">OFFSET(CÁLCULO!H$15,ROW($T18)-ROW(T$15),0)</f>
        <v>1</v>
      </c>
      <c r="U18" s="123">
        <f>532.27*0.94</f>
        <v>500.33379999999994</v>
      </c>
      <c r="V18" s="124" t="s">
        <v>663</v>
      </c>
      <c r="W18" s="122">
        <f t="array" aca="1" ref="W18" ca="1">IF($C18="S",ROUND(IF(TIPOORCAMENTO="Proposto",ORÇAMENTO.CustoUnitario*(1+$AH18),ORÇAMENTO.PrecoUnitarioLicitado),15-13*$AF$10),0)</f>
        <v>647.38</v>
      </c>
      <c r="X18" s="125">
        <f t="array" aca="1" ref="X18" ca="1">IF($C18="S",IF(OR(Import.TipoArredondamento&lt;&gt;"TransfereGOV",ACOMPANHAMENTO="BM"),VTOTAL1,SUM(OFFSET(CÁLCULO!$AI$15,ROW($X18)-ROW($X$15),1):OFFSET(CÁLCULO!$BB$15,ROW($X18)-ROW($X$15),-1))),IF($C18=0,0,ROUND(SomaAgrup,15-13*$AF$11)))</f>
        <v>647.38</v>
      </c>
      <c r="Y18" s="126" t="s">
        <v>751</v>
      </c>
      <c r="Z18" s="696" t="str">
        <f t="shared" ca="1" si="13"/>
        <v>RA</v>
      </c>
      <c r="AA18" s="127">
        <f t="array" aca="1" ref="AA18" ca="1">IF($C18="S",IF($Z18="CP",$X18,IF($Z18="RA",(($X18)*QCI!$AA$3),0)),SomaAgrup)</f>
        <v>0</v>
      </c>
      <c r="AB18" s="128">
        <f t="array" aca="1" ref="AB18" ca="1">IF($C18="S",IF($Z18="OU",ROUND($X18,2),0),SomaAgrup)</f>
        <v>0</v>
      </c>
      <c r="AC18" s="563" t="str">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s="696" t="str">
        <f ca="1">IF(C18&lt;=CRONO.NivelExibicao,MAX($AD$15:OFFSET(AD18,-1,0))+IF($C18&lt;&gt;1,1,MAX(1,COUNTIF(QCI!$A$13:$A$24,OFFSET($E18,-1,0)))),"")</f>
        <v/>
      </c>
      <c r="AE18" s="694" t="str">
        <f t="array" aca="1" ref="AE18" ca="1">IF(AND($C18="S",ORÇAMENTO.CodBarra&lt;&gt;""),IF(ORÇAMENTO.Fonte="",ORÇAMENTO.CodBarra,CONCATENATE(ORÇAMENTO.Fonte," ",ORÇAMENTO.CodBarra)))</f>
        <v>SICOR CO-27423</v>
      </c>
      <c r="AF18" s="695">
        <f t="array" aca="1" ref="AF18" ca="1">IF(ISERROR(ORÇAMENTO.BancoRef),"(abra o arquivo 'Referência "&amp;Excel_BuiltIn_Database&amp;".xlsm)",IF(OR($C18&lt;&gt;"S",ORÇAMENTO.CodBarra=""),"(Sem Código)",IF(ISERROR(MATCH($AE18,INDIRECT(ORÇAMENTO.BancoRef),0)),"(Código não identificado nas referências)",MATCH($AE18,INDIRECT(ORÇAMENTO.BancoRef),0))))</f>
        <v>20797</v>
      </c>
      <c r="AG18" s="428">
        <f t="array" aca="1" ref="AG18" ca="1">ROUND(IF(DESONERACAO="sim",REFERENCIA.Desonerado,REFERENCIA.NaoDesonerado),2)</f>
        <v>532.27</v>
      </c>
      <c r="AH18" s="429">
        <f t="shared" ca="1" si="14"/>
        <v>0.29389999999999999</v>
      </c>
      <c r="AJ18" s="431"/>
      <c r="AL18" s="439"/>
      <c r="AM18" s="336">
        <f t="shared" ca="1" si="0"/>
        <v>647.38</v>
      </c>
      <c r="AN18" s="469">
        <f t="array" aca="1" ref="AN18" ca="1">ROUND(ORÇAMENTO.CustoUnitario*(1+$AH18),2)</f>
        <v>647.38</v>
      </c>
    </row>
    <row r="19" spans="1:40" s="696" customFormat="1" ht="25.5" x14ac:dyDescent="0.2">
      <c r="A19" s="696" t="str">
        <f t="shared" si="1"/>
        <v>S</v>
      </c>
      <c r="B19" s="696">
        <f t="shared" ca="1" si="2"/>
        <v>2</v>
      </c>
      <c r="C19" s="696" t="str">
        <f t="shared" ca="1" si="3"/>
        <v>S</v>
      </c>
      <c r="D19" s="696">
        <f t="shared" ca="1" si="4"/>
        <v>0</v>
      </c>
      <c r="E19" s="696">
        <f ca="1">IF($C19=1,OFFSET(E19,-1,0)+MAX(1,COUNTIF(QCI!$A$13:$A$24,OFFSET(ORÇAMENTO!E19,-1,0))),OFFSET(E19,-1,0))</f>
        <v>1</v>
      </c>
      <c r="F19" s="696">
        <f t="shared" ca="1" si="5"/>
        <v>1</v>
      </c>
      <c r="G19" s="696">
        <f t="shared" ca="1" si="6"/>
        <v>0</v>
      </c>
      <c r="H19" s="696">
        <f t="shared" ca="1" si="7"/>
        <v>0</v>
      </c>
      <c r="I19" s="696">
        <f t="shared" ca="1" si="8"/>
        <v>2</v>
      </c>
      <c r="J19" s="696">
        <f t="shared" ca="1" si="9"/>
        <v>0</v>
      </c>
      <c r="K19" s="696">
        <f ca="1">IF(OR($C19="S",$C19=0),0,MATCH(OFFSET($D19,0,$C19)+IF($C19&lt;&gt;1,1,COUNTIF(QCI!$A$13:$A$24,ORÇAMENTO!E19)),OFFSET($D19,1,$C19,ROW($C$235)-ROW($C19)),0))</f>
        <v>0</v>
      </c>
      <c r="L19" s="114" t="str">
        <f t="shared" ca="1" si="10"/>
        <v>F</v>
      </c>
      <c r="M19" s="115" t="s">
        <v>705</v>
      </c>
      <c r="N19" s="116" t="str">
        <f t="shared" ca="1" si="11"/>
        <v>Serviço</v>
      </c>
      <c r="O19" s="117" t="str">
        <f t="shared" ca="1" si="12"/>
        <v>1.1.2.</v>
      </c>
      <c r="P19" s="118" t="s">
        <v>1008</v>
      </c>
      <c r="Q19" s="119" t="s">
        <v>1010</v>
      </c>
      <c r="R19" s="120" t="str">
        <f t="array" aca="1" ref="R19" ca="1">IF($C19="S",REFERENCIA.Descricao,"(digite a descrição aqui)")</f>
        <v>DESENVOLVIMENTO E DETALHAMENTO DE PROJETOS COMPLEMENTARES</v>
      </c>
      <c r="S19" s="121" t="s">
        <v>639</v>
      </c>
      <c r="T19" s="122">
        <f ca="1">OFFSET(CÁLCULO!H$15,ROW($T19)-ROW(T$15),0)</f>
        <v>4</v>
      </c>
      <c r="U19" s="123">
        <f>540.51*0.94</f>
        <v>508.07939999999996</v>
      </c>
      <c r="V19" s="124" t="s">
        <v>663</v>
      </c>
      <c r="W19" s="122">
        <f t="array" aca="1" ref="W19" ca="1">IF($C19="S",ROUND(IF(TIPOORCAMENTO="Proposto",ORÇAMENTO.CustoUnitario*(1+$AH19),ORÇAMENTO.PrecoUnitarioLicitado),15-13*$AF$10),0)</f>
        <v>657.4</v>
      </c>
      <c r="X19" s="125">
        <f t="array" aca="1" ref="X19" ca="1">IF($C19="S",IF(OR(Import.TipoArredondamento&lt;&gt;"TransfereGOV",ACOMPANHAMENTO="BM"),VTOTAL1,SUM(OFFSET(CÁLCULO!$AI$15,ROW($X19)-ROW($X$15),1):OFFSET(CÁLCULO!$BB$15,ROW($X19)-ROW($X$15),-1))),IF($C19=0,0,ROUND(SomaAgrup,15-13*$AF$11)))</f>
        <v>2629.6</v>
      </c>
      <c r="Y19" s="126" t="s">
        <v>751</v>
      </c>
      <c r="Z19" s="696" t="str">
        <f t="shared" ca="1" si="13"/>
        <v>RA</v>
      </c>
      <c r="AA19" s="127">
        <f t="array" aca="1" ref="AA19" ca="1">IF($C19="S",IF($Z19="CP",$X19,IF($Z19="RA",(($X19)*QCI!$AA$3),0)),SomaAgrup)</f>
        <v>0</v>
      </c>
      <c r="AB19" s="128">
        <f t="array" aca="1" ref="AB19" ca="1">IF($C19="S",IF($Z19="OU",ROUND($X19,2),0),SomaAgrup)</f>
        <v>0</v>
      </c>
      <c r="AC19" s="563" t="str">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96" t="str">
        <f ca="1">IF(C19&lt;=CRONO.NivelExibicao,MAX($AD$15:OFFSET(AD19,-1,0))+IF($C19&lt;&gt;1,1,MAX(1,COUNTIF(QCI!$A$13:$A$24,OFFSET($E19,-1,0)))),"")</f>
        <v/>
      </c>
      <c r="AE19" s="694" t="str">
        <f t="array" aca="1" ref="AE19" ca="1">IF(AND($C19="S",ORÇAMENTO.CodBarra&lt;&gt;""),IF(ORÇAMENTO.Fonte="",ORÇAMENTO.CodBarra,CONCATENATE(ORÇAMENTO.Fonte," ",ORÇAMENTO.CodBarra)))</f>
        <v>SICOR CO-27482</v>
      </c>
      <c r="AF19" s="695">
        <f t="array" aca="1" ref="AF19" ca="1">IF(ISERROR(ORÇAMENTO.BancoRef),"(abra o arquivo 'Referência "&amp;Excel_BuiltIn_Database&amp;".xlsm)",IF(OR($C19&lt;&gt;"S",ORÇAMENTO.CodBarra=""),"(Sem Código)",IF(ISERROR(MATCH($AE19,INDIRECT(ORÇAMENTO.BancoRef),0)),"(Código não identificado nas referências)",MATCH($AE19,INDIRECT(ORÇAMENTO.BancoRef),0))))</f>
        <v>20798</v>
      </c>
      <c r="AG19" s="428">
        <f t="array" aca="1" ref="AG19" ca="1">ROUND(IF(DESONERACAO="sim",REFERENCIA.Desonerado,REFERENCIA.NaoDesonerado),2)</f>
        <v>540.51</v>
      </c>
      <c r="AH19" s="429">
        <f t="shared" ca="1" si="14"/>
        <v>0.29389999999999999</v>
      </c>
      <c r="AJ19" s="431"/>
      <c r="AL19" s="439"/>
      <c r="AM19" s="336">
        <f t="shared" ca="1" si="0"/>
        <v>2629.6</v>
      </c>
      <c r="AN19" s="469">
        <f t="array" aca="1" ref="AN19" ca="1">ROUND(ORÇAMENTO.CustoUnitario*(1+$AH19),2)</f>
        <v>657.4</v>
      </c>
    </row>
    <row r="20" spans="1:40" s="696" customFormat="1" ht="38.25" x14ac:dyDescent="0.2">
      <c r="A20" s="696" t="str">
        <f t="shared" si="1"/>
        <v>S</v>
      </c>
      <c r="B20" s="696">
        <f t="shared" ca="1" si="2"/>
        <v>2</v>
      </c>
      <c r="C20" s="696" t="str">
        <f t="shared" ca="1" si="3"/>
        <v>S</v>
      </c>
      <c r="D20" s="696">
        <f t="shared" ca="1" si="4"/>
        <v>0</v>
      </c>
      <c r="E20" s="696">
        <f ca="1">IF($C20=1,OFFSET(E20,-1,0)+MAX(1,COUNTIF(QCI!$A$13:$A$24,OFFSET(ORÇAMENTO!E20,-1,0))),OFFSET(E20,-1,0))</f>
        <v>1</v>
      </c>
      <c r="F20" s="696">
        <f t="shared" ca="1" si="5"/>
        <v>1</v>
      </c>
      <c r="G20" s="696">
        <f t="shared" ca="1" si="6"/>
        <v>0</v>
      </c>
      <c r="H20" s="696">
        <f t="shared" ca="1" si="7"/>
        <v>0</v>
      </c>
      <c r="I20" s="696">
        <f t="shared" ca="1" si="8"/>
        <v>3</v>
      </c>
      <c r="J20" s="696">
        <f t="shared" ca="1" si="9"/>
        <v>0</v>
      </c>
      <c r="K20" s="696">
        <f ca="1">IF(OR($C20="S",$C20=0),0,MATCH(OFFSET($D20,0,$C20)+IF($C20&lt;&gt;1,1,COUNTIF(QCI!$A$13:$A$24,ORÇAMENTO!E20)),OFFSET($D20,1,$C20,ROW($C$235)-ROW($C20)),0))</f>
        <v>0</v>
      </c>
      <c r="L20" s="114" t="str">
        <f t="shared" ca="1" si="10"/>
        <v>F</v>
      </c>
      <c r="M20" s="115" t="s">
        <v>705</v>
      </c>
      <c r="N20" s="116" t="str">
        <f t="shared" ca="1" si="11"/>
        <v>Serviço</v>
      </c>
      <c r="O20" s="117" t="str">
        <f t="shared" ca="1" si="12"/>
        <v>1.1.3.</v>
      </c>
      <c r="P20" s="118" t="s">
        <v>1008</v>
      </c>
      <c r="Q20" s="119" t="s">
        <v>1011</v>
      </c>
      <c r="R20" s="120" t="str">
        <f t="array" aca="1" ref="R20" ca="1">IF($C20="S",REFERENCIA.Descricao,"(digite a descrição aqui)")</f>
        <v>ESPECIFICAÇÃO DOS MATERIAIS COM MEMORIAL DESCRITIVO DE CADA AMBIENTE E EQUIPAMENTOS PARA CONSTRUÇÕES NOVAS - ÁREA ATÉ 1.000 M2</v>
      </c>
      <c r="S20" s="121" t="str">
        <f t="array" aca="1" ref="S20" ca="1">REFERENCIA.Unidade</f>
        <v>m2</v>
      </c>
      <c r="T20" s="122">
        <f ca="1">OFFSET(CÁLCULO!H$15,ROW($T20)-ROW(T$15),0)</f>
        <v>47.46</v>
      </c>
      <c r="U20" s="123">
        <f>2.44*0.94</f>
        <v>2.2935999999999996</v>
      </c>
      <c r="V20" s="124" t="s">
        <v>663</v>
      </c>
      <c r="W20" s="122">
        <f t="array" aca="1" ref="W20" ca="1">IF($C20="S",ROUND(IF(TIPOORCAMENTO="Proposto",ORÇAMENTO.CustoUnitario*(1+$AH20),ORÇAMENTO.PrecoUnitarioLicitado),15-13*$AF$10),0)</f>
        <v>2.96</v>
      </c>
      <c r="X20" s="125">
        <f t="array" aca="1" ref="X20" ca="1">IF($C20="S",IF(OR(Import.TipoArredondamento&lt;&gt;"TransfereGOV",ACOMPANHAMENTO="BM"),VTOTAL1,SUM(OFFSET(CÁLCULO!$AI$15,ROW($X20)-ROW($X$15),1):OFFSET(CÁLCULO!$BB$15,ROW($X20)-ROW($X$15),-1))),IF($C20=0,0,ROUND(SomaAgrup,15-13*$AF$11)))</f>
        <v>140.47999999999999</v>
      </c>
      <c r="Y20" s="126" t="s">
        <v>751</v>
      </c>
      <c r="Z20" s="696" t="str">
        <f t="shared" ca="1" si="13"/>
        <v>RA</v>
      </c>
      <c r="AA20" s="127">
        <f t="array" aca="1" ref="AA20" ca="1">IF($C20="S",IF($Z20="CP",$X20,IF($Z20="RA",(($X20)*QCI!$AA$3),0)),SomaAgrup)</f>
        <v>0</v>
      </c>
      <c r="AB20" s="128">
        <f t="array" aca="1" ref="AB20" ca="1">IF($C20="S",IF($Z20="OU",ROUND($X20,2),0),SomaAgrup)</f>
        <v>0</v>
      </c>
      <c r="AC20" s="563" t="str">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s="696" t="str">
        <f ca="1">IF(C20&lt;=CRONO.NivelExibicao,MAX($AD$15:OFFSET(AD20,-1,0))+IF($C20&lt;&gt;1,1,MAX(1,COUNTIF(QCI!$A$13:$A$24,OFFSET($E20,-1,0)))),"")</f>
        <v/>
      </c>
      <c r="AE20" s="694" t="str">
        <f t="array" aca="1" ref="AE20" ca="1">IF(AND($C20="S",ORÇAMENTO.CodBarra&lt;&gt;""),IF(ORÇAMENTO.Fonte="",ORÇAMENTO.CodBarra,CONCATENATE(ORÇAMENTO.Fonte," ",ORÇAMENTO.CodBarra)))</f>
        <v>SICOR CO-27460</v>
      </c>
      <c r="AF20" s="695">
        <f t="array" aca="1" ref="AF20" ca="1">IF(ISERROR(ORÇAMENTO.BancoRef),"(abra o arquivo 'Referência "&amp;Excel_BuiltIn_Database&amp;".xlsm)",IF(OR($C20&lt;&gt;"S",ORÇAMENTO.CodBarra=""),"(Sem Código)",IF(ISERROR(MATCH($AE20,INDIRECT(ORÇAMENTO.BancoRef),0)),"(Código não identificado nas referências)",MATCH($AE20,INDIRECT(ORÇAMENTO.BancoRef),0))))</f>
        <v>20851</v>
      </c>
      <c r="AG20" s="428">
        <f t="array" aca="1" ref="AG20" ca="1">ROUND(IF(DESONERACAO="sim",REFERENCIA.Desonerado,REFERENCIA.NaoDesonerado),2)</f>
        <v>2.44</v>
      </c>
      <c r="AH20" s="429">
        <f t="shared" ca="1" si="14"/>
        <v>0.29389999999999999</v>
      </c>
      <c r="AJ20" s="431"/>
      <c r="AL20" s="439"/>
      <c r="AM20" s="336">
        <f t="shared" ca="1" si="0"/>
        <v>140.47999999999999</v>
      </c>
      <c r="AN20" s="469">
        <f t="array" aca="1" ref="AN20" ca="1">ROUND(ORÇAMENTO.CustoUnitario*(1+$AH20),2)</f>
        <v>2.96</v>
      </c>
    </row>
    <row r="21" spans="1:40" s="696" customFormat="1" ht="25.5" x14ac:dyDescent="0.2">
      <c r="A21" s="696" t="str">
        <f t="shared" si="1"/>
        <v>S</v>
      </c>
      <c r="B21" s="696">
        <f t="shared" ca="1" si="2"/>
        <v>2</v>
      </c>
      <c r="C21" s="696" t="str">
        <f t="shared" ca="1" si="3"/>
        <v>S</v>
      </c>
      <c r="D21" s="696">
        <f t="shared" ca="1" si="4"/>
        <v>0</v>
      </c>
      <c r="E21" s="696">
        <f ca="1">IF($C21=1,OFFSET(E21,-1,0)+MAX(1,COUNTIF(QCI!$A$13:$A$24,OFFSET(ORÇAMENTO!E21,-1,0))),OFFSET(E21,-1,0))</f>
        <v>1</v>
      </c>
      <c r="F21" s="696">
        <f t="shared" ca="1" si="5"/>
        <v>1</v>
      </c>
      <c r="G21" s="696">
        <f t="shared" ca="1" si="6"/>
        <v>0</v>
      </c>
      <c r="H21" s="696">
        <f t="shared" ca="1" si="7"/>
        <v>0</v>
      </c>
      <c r="I21" s="696">
        <f t="shared" ca="1" si="8"/>
        <v>4</v>
      </c>
      <c r="J21" s="696">
        <f t="shared" ca="1" si="9"/>
        <v>0</v>
      </c>
      <c r="K21" s="696">
        <f ca="1">IF(OR($C21="S",$C21=0),0,MATCH(OFFSET($D21,0,$C21)+IF($C21&lt;&gt;1,1,COUNTIF(QCI!$A$13:$A$24,ORÇAMENTO!E21)),OFFSET($D21,1,$C21,ROW($C$235)-ROW($C21)),0))</f>
        <v>0</v>
      </c>
      <c r="L21" s="114" t="str">
        <f t="shared" ca="1" si="10"/>
        <v>F</v>
      </c>
      <c r="M21" s="115" t="s">
        <v>705</v>
      </c>
      <c r="N21" s="116" t="str">
        <f t="shared" ca="1" si="11"/>
        <v>Serviço</v>
      </c>
      <c r="O21" s="117" t="str">
        <f t="shared" ca="1" si="12"/>
        <v>1.1.4.</v>
      </c>
      <c r="P21" s="118" t="s">
        <v>1008</v>
      </c>
      <c r="Q21" s="119" t="s">
        <v>1012</v>
      </c>
      <c r="R21" s="120" t="str">
        <f t="array" aca="1" ref="R21" ca="1">IF($C21="S",REFERENCIA.Descricao,"(digite a descrição aqui)")</f>
        <v>PLANILHA ORÇAMENTÁRIA PARA CONSTRUÇÕES NOVAS - ÁREA ATÉ 1.000 M2</v>
      </c>
      <c r="S21" s="121" t="str">
        <f t="array" aca="1" ref="S21" ca="1">REFERENCIA.Unidade</f>
        <v>m2</v>
      </c>
      <c r="T21" s="122">
        <f ca="1">OFFSET(CÁLCULO!H$15,ROW($T21)-ROW(T$15),0)</f>
        <v>47.46</v>
      </c>
      <c r="U21" s="123">
        <f>4.97*0.94</f>
        <v>4.6717999999999993</v>
      </c>
      <c r="V21" s="124" t="s">
        <v>663</v>
      </c>
      <c r="W21" s="122">
        <f t="array" aca="1" ref="W21" ca="1">IF($C21="S",ROUND(IF(TIPOORCAMENTO="Proposto",ORÇAMENTO.CustoUnitario*(1+$AH21),ORÇAMENTO.PrecoUnitarioLicitado),15-13*$AF$10),0)</f>
        <v>6.04</v>
      </c>
      <c r="X21" s="125">
        <f t="array" aca="1" ref="X21" ca="1">IF($C21="S",IF(OR(Import.TipoArredondamento&lt;&gt;"TransfereGOV",ACOMPANHAMENTO="BM"),VTOTAL1,SUM(OFFSET(CÁLCULO!$AI$15,ROW($X21)-ROW($X$15),1):OFFSET(CÁLCULO!$BB$15,ROW($X21)-ROW($X$15),-1))),IF($C21=0,0,ROUND(SomaAgrup,15-13*$AF$11)))</f>
        <v>286.66000000000003</v>
      </c>
      <c r="Y21" s="126" t="s">
        <v>751</v>
      </c>
      <c r="Z21" s="696" t="str">
        <f t="shared" ca="1" si="13"/>
        <v>RA</v>
      </c>
      <c r="AA21" s="127">
        <f t="array" aca="1" ref="AA21" ca="1">IF($C21="S",IF($Z21="CP",$X21,IF($Z21="RA",(($X21)*QCI!$AA$3),0)),SomaAgrup)</f>
        <v>0</v>
      </c>
      <c r="AB21" s="128">
        <f t="array" aca="1" ref="AB21" ca="1">IF($C21="S",IF($Z21="OU",ROUND($X21,2),0),SomaAgrup)</f>
        <v>0</v>
      </c>
      <c r="AC21" s="563" t="str">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s="696" t="str">
        <f ca="1">IF(C21&lt;=CRONO.NivelExibicao,MAX($AD$15:OFFSET(AD21,-1,0))+IF($C21&lt;&gt;1,1,MAX(1,COUNTIF(QCI!$A$13:$A$24,OFFSET($E21,-1,0)))),"")</f>
        <v/>
      </c>
      <c r="AE21" s="694" t="str">
        <f t="array" aca="1" ref="AE21" ca="1">IF(AND($C21="S",ORÇAMENTO.CodBarra&lt;&gt;""),IF(ORÇAMENTO.Fonte="",ORÇAMENTO.CodBarra,CONCATENATE(ORÇAMENTO.Fonte," ",ORÇAMENTO.CodBarra)))</f>
        <v>SICOR CO-27390</v>
      </c>
      <c r="AF21" s="695">
        <f t="array" aca="1" ref="AF21" ca="1">IF(ISERROR(ORÇAMENTO.BancoRef),"(abra o arquivo 'Referência "&amp;Excel_BuiltIn_Database&amp;".xlsm)",IF(OR($C21&lt;&gt;"S",ORÇAMENTO.CodBarra=""),"(Sem Código)",IF(ISERROR(MATCH($AE21,INDIRECT(ORÇAMENTO.BancoRef),0)),"(Código não identificado nas referências)",MATCH($AE21,INDIRECT(ORÇAMENTO.BancoRef),0))))</f>
        <v>20750</v>
      </c>
      <c r="AG21" s="428">
        <f t="array" aca="1" ref="AG21" ca="1">ROUND(IF(DESONERACAO="sim",REFERENCIA.Desonerado,REFERENCIA.NaoDesonerado),2)</f>
        <v>4.97</v>
      </c>
      <c r="AH21" s="429">
        <f t="shared" ca="1" si="14"/>
        <v>0.29389999999999999</v>
      </c>
      <c r="AJ21" s="431"/>
      <c r="AL21" s="439"/>
      <c r="AM21" s="336">
        <f t="shared" ca="1" si="0"/>
        <v>286.66000000000003</v>
      </c>
      <c r="AN21" s="469">
        <f t="array" aca="1" ref="AN21" ca="1">ROUND(ORÇAMENTO.CustoUnitario*(1+$AH21),2)</f>
        <v>6.04</v>
      </c>
    </row>
    <row r="22" spans="1:40" s="706" customFormat="1" x14ac:dyDescent="0.2">
      <c r="A22" s="706" t="str">
        <f>CHOOSE(1+LOG(1+2*(ORÇAMENTO.Nivel="Meta")+4*(ORÇAMENTO.Nivel="Nível 2")+8*(ORÇAMENTO.Nivel="Nível 3")+16*(ORÇAMENTO.Nivel="Nível 4")+32*(ORÇAMENTO.Nivel="Serviço"),2),0,1,2,3,4,"S")</f>
        <v>S</v>
      </c>
      <c r="B22" s="706">
        <f ca="1">IF(OR(C22="s",C22=0),OFFSET(B22,-1,0),C22)</f>
        <v>2</v>
      </c>
      <c r="C22" s="706" t="str">
        <f ca="1">IF(OFFSET(C22,-1,0)="L",1,IF(OFFSET(C22,-1,0)=1,2,IF(OR(A22="s",A22=0),"S",IF(AND(OFFSET(C22,-1,0)=2,A22=4),3,IF(AND(OR(OFFSET(C22,-1,0)="s",OFFSET(C22,-1,0)=0),A22&lt;&gt;"s",A22&gt;OFFSET(B22,-1,0)),OFFSET(B22,-1,0),A22)))))</f>
        <v>S</v>
      </c>
      <c r="D22" s="706">
        <f ca="1">IF(OR(C22="S",C22=0),0,IF(ISERROR(K22),J22,SMALL(J22:K22,1)))</f>
        <v>0</v>
      </c>
      <c r="E22" s="706">
        <f ca="1">IF($C22=1,OFFSET(E22,-1,0)+MAX(1,COUNTIF(QCI!$A$13:$A$24,OFFSET(ORÇAMENTO!E22,-1,0))),OFFSET(E22,-1,0))</f>
        <v>1</v>
      </c>
      <c r="F22" s="706">
        <f ca="1">IF($C22=1,0,IF($C22=2,OFFSET(F22,-1,0)+1,OFFSET(F22,-1,0)))</f>
        <v>1</v>
      </c>
      <c r="G22" s="706">
        <f ca="1">IF(AND($C22&lt;=2,$C22&lt;&gt;0),0,IF($C22=3,OFFSET(G22,-1,0)+1,OFFSET(G22,-1,0)))</f>
        <v>0</v>
      </c>
      <c r="H22" s="706">
        <f ca="1">IF(AND($C22&lt;=3,$C22&lt;&gt;0),0,IF($C22=4,OFFSET(H22,-1,0)+1,OFFSET(H22,-1,0)))</f>
        <v>0</v>
      </c>
      <c r="I22" s="706">
        <f ca="1">IF(AND($C22&lt;=4,$C22&lt;&gt;0),0,IF(AND($C22="S",$X22&gt;0),OFFSET(I22,-1,0)+1,OFFSET(I22,-1,0)))</f>
        <v>5</v>
      </c>
      <c r="J22" s="706">
        <f t="shared" ca="1" si="9"/>
        <v>0</v>
      </c>
      <c r="K22" s="706">
        <f ca="1">IF(OR($C22="S",$C22=0),0,MATCH(OFFSET($D22,0,$C22)+IF($C22&lt;&gt;1,1,COUNTIF(QCI!$A$13:$A$24,ORÇAMENTO!E22)),OFFSET($D22,1,$C22,ROW($C$235)-ROW($C22)),0))</f>
        <v>0</v>
      </c>
      <c r="L22" s="114" t="str">
        <f ca="1">IF(OR($X22&gt;0,$C22=1,$C22=2,$C22=3,$C22=4),"F","")</f>
        <v>F</v>
      </c>
      <c r="M22" s="115" t="s">
        <v>705</v>
      </c>
      <c r="N22" s="116" t="str">
        <f ca="1">CHOOSE(1+LOG(1+2*(C22=1)+4*(C22=2)+8*(C22=3)+16*(C22=4)+32*(C22="S"),2),"","Meta","Nível 2","Nível 3","Nível 4","Serviço")</f>
        <v>Serviço</v>
      </c>
      <c r="O22" s="117" t="str">
        <f ca="1">IF(OR($C22=0,$L22=""),"-",CONCATENATE(E22&amp;".",IF(AND($A$5&gt;=2,$C22&gt;=2),F22&amp;".",""),IF(AND($A$5&gt;=3,$C22&gt;=3),G22&amp;".",""),IF(AND($A$5&gt;=4,$C22&gt;=4),H22&amp;".",""),IF($C22="S",I22&amp;".","")))</f>
        <v>1.1.5.</v>
      </c>
      <c r="P22" s="118" t="s">
        <v>1008</v>
      </c>
      <c r="Q22" s="119" t="s">
        <v>1364</v>
      </c>
      <c r="R22" s="120" t="str">
        <f t="array" aca="1" ref="R22" ca="1">IF($C22="S",REFERENCIA.Descricao,"(digite a descrição aqui)")</f>
        <v>PROJETO EXECUTIVO DE INSTALAÇÕES ELÉTRICAS</v>
      </c>
      <c r="S22" s="121" t="s">
        <v>639</v>
      </c>
      <c r="T22" s="122">
        <f ca="1">OFFSET(CÁLCULO!H$15,ROW($T22)-ROW(T$15),0)</f>
        <v>3</v>
      </c>
      <c r="U22" s="123">
        <f>1808.2*0.94</f>
        <v>1699.7079999999999</v>
      </c>
      <c r="V22" s="124" t="s">
        <v>663</v>
      </c>
      <c r="W22" s="122">
        <f t="array" aca="1" ref="W22" ca="1">IF($C22="S",ROUND(IF(TIPOORCAMENTO="Proposto",ORÇAMENTO.CustoUnitario*(1+$AH22),ORÇAMENTO.PrecoUnitarioLicitado),15-13*$AF$10),0)</f>
        <v>2199.25</v>
      </c>
      <c r="X22" s="125">
        <f t="array" aca="1" ref="X22" ca="1">IF($C22="S",IF(OR(Import.TipoArredondamento&lt;&gt;"TransfereGOV",ACOMPANHAMENTO="BM"),VTOTAL1,SUM(OFFSET(CÁLCULO!$AI$15,ROW($X22)-ROW($X$15),1):OFFSET(CÁLCULO!$BB$15,ROW($X22)-ROW($X$15),-1))),IF($C22=0,0,ROUND(SomaAgrup,15-13*$AF$11)))</f>
        <v>6597.75</v>
      </c>
      <c r="Y22" s="126" t="s">
        <v>751</v>
      </c>
      <c r="Z22" s="706" t="str">
        <f ca="1">IF(AND($C22="S",$X22&gt;0),IF(ISBLANK($Y22),"RA",LEFT($Y22,2)),"")</f>
        <v>RA</v>
      </c>
      <c r="AA22" s="127">
        <f t="array" aca="1" ref="AA22" ca="1">IF($C22="S",IF($Z22="CP",$X22,IF($Z22="RA",(($X22)*QCI!$AA$3),0)),SomaAgrup)</f>
        <v>0</v>
      </c>
      <c r="AB22" s="128">
        <f t="array" aca="1" ref="AB22" ca="1">IF($C22="S",IF($Z22="OU",ROUND($X22,2),0),SomaAgrup)</f>
        <v>0</v>
      </c>
      <c r="AC22" s="563" t="str">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s="706" t="str">
        <f ca="1">IF(C22&lt;=CRONO.NivelExibicao,MAX($AD$15:OFFSET(AD22,-1,0))+IF($C22&lt;&gt;1,1,MAX(1,COUNTIF(QCI!$A$13:$A$24,OFFSET($E22,-1,0)))),"")</f>
        <v/>
      </c>
      <c r="AE22" s="703" t="str">
        <f t="array" aca="1" ref="AE22" ca="1">IF(AND($C22="S",ORÇAMENTO.CodBarra&lt;&gt;""),IF(ORÇAMENTO.Fonte="",ORÇAMENTO.CodBarra,CONCATENATE(ORÇAMENTO.Fonte," ",ORÇAMENTO.CodBarra)))</f>
        <v>SICOR CO-27431</v>
      </c>
      <c r="AF22" s="705">
        <f t="array" aca="1" ref="AF22" ca="1">IF(ISERROR(ORÇAMENTO.BancoRef),"(abra o arquivo 'Referência "&amp;Excel_BuiltIn_Database&amp;".xlsm)",IF(OR($C22&lt;&gt;"S",ORÇAMENTO.CodBarra=""),"(Sem Código)",IF(ISERROR(MATCH($AE22,INDIRECT(ORÇAMENTO.BancoRef),0)),"(Código não identificado nas referências)",MATCH($AE22,INDIRECT(ORÇAMENTO.BancoRef),0))))</f>
        <v>20822</v>
      </c>
      <c r="AG22" s="428">
        <f t="array" aca="1" ref="AG22" ca="1">ROUND(IF(DESONERACAO="sim",REFERENCIA.Desonerado,REFERENCIA.NaoDesonerado),2)</f>
        <v>1808.2</v>
      </c>
      <c r="AH22" s="429">
        <f ca="1">ROUND(IF(ISNUMBER(ORÇAMENTO.OpcaoBDI),ORÇAMENTO.OpcaoBDI,IF(LEFT(ORÇAMENTO.OpcaoBDI,3)="BDI",HLOOKUP(ORÇAMENTO.OpcaoBDI,$F$4:$H$5,2,FALSE),0)),15-11*$AF$9)</f>
        <v>0.29389999999999999</v>
      </c>
      <c r="AJ22" s="431"/>
      <c r="AL22" s="439"/>
      <c r="AM22" s="336">
        <f t="shared" ca="1" si="0"/>
        <v>6597.75</v>
      </c>
      <c r="AN22" s="469">
        <f t="array" aca="1" ref="AN22" ca="1">ROUND(ORÇAMENTO.CustoUnitario*(1+$AH22),2)</f>
        <v>2199.25</v>
      </c>
    </row>
    <row r="23" spans="1:40" s="696" customFormat="1" x14ac:dyDescent="0.2">
      <c r="A23" s="696">
        <f t="shared" si="1"/>
        <v>2</v>
      </c>
      <c r="B23" s="696">
        <f t="shared" ca="1" si="2"/>
        <v>2</v>
      </c>
      <c r="C23" s="696">
        <f t="shared" ca="1" si="3"/>
        <v>2</v>
      </c>
      <c r="D23" s="696">
        <f t="shared" ca="1" si="4"/>
        <v>6</v>
      </c>
      <c r="E23" s="696">
        <f ca="1">IF($C23=1,OFFSET(E23,-1,0)+MAX(1,COUNTIF(QCI!$A$13:$A$24,OFFSET(ORÇAMENTO!E23,-1,0))),OFFSET(E23,-1,0))</f>
        <v>1</v>
      </c>
      <c r="F23" s="696">
        <f t="shared" ca="1" si="5"/>
        <v>2</v>
      </c>
      <c r="G23" s="696">
        <f t="shared" ca="1" si="6"/>
        <v>0</v>
      </c>
      <c r="H23" s="696">
        <f t="shared" ca="1" si="7"/>
        <v>0</v>
      </c>
      <c r="I23" s="696">
        <f t="shared" ca="1" si="8"/>
        <v>0</v>
      </c>
      <c r="J23" s="696">
        <f t="shared" ca="1" si="9"/>
        <v>212</v>
      </c>
      <c r="K23" s="696">
        <f ca="1">IF(OR($C23="S",$C23=0),0,MATCH(OFFSET($D23,0,$C23)+IF($C23&lt;&gt;1,1,COUNTIF(QCI!$A$13:$A$24,ORÇAMENTO!E23)),OFFSET($D23,1,$C23,ROW($C$235)-ROW($C23)),0))</f>
        <v>6</v>
      </c>
      <c r="L23" s="114" t="str">
        <f t="shared" ca="1" si="10"/>
        <v>F</v>
      </c>
      <c r="M23" s="115" t="s">
        <v>702</v>
      </c>
      <c r="N23" s="116" t="str">
        <f t="shared" ca="1" si="11"/>
        <v>Nível 2</v>
      </c>
      <c r="O23" s="117" t="str">
        <f t="shared" ca="1" si="12"/>
        <v>1.2.</v>
      </c>
      <c r="P23" s="118" t="s">
        <v>750</v>
      </c>
      <c r="Q23" s="119"/>
      <c r="R23" s="120" t="s">
        <v>1018</v>
      </c>
      <c r="S23" s="121" t="s">
        <v>688</v>
      </c>
      <c r="T23" s="122">
        <f ca="1">OFFSET(CÁLCULO!H$15,ROW($T23)-ROW(T$15),0)</f>
        <v>0</v>
      </c>
      <c r="U23" s="123"/>
      <c r="V23" s="124" t="s">
        <v>663</v>
      </c>
      <c r="W23" s="122">
        <f t="array" aca="1" ref="W23" ca="1">IF($C23="S",ROUND(IF(TIPOORCAMENTO="Proposto",ORÇAMENTO.CustoUnitario*(1+$AH23),ORÇAMENTO.PrecoUnitarioLicitado),15-13*$AF$10),0)</f>
        <v>0</v>
      </c>
      <c r="X23" s="125">
        <f t="array" aca="1" ref="X23" ca="1">IF($C23="S",IF(OR(Import.TipoArredondamento&lt;&gt;"TransfereGOV",ACOMPANHAMENTO="BM"),VTOTAL1,SUM(OFFSET(CÁLCULO!$AI$15,ROW($X23)-ROW($X$15),1):OFFSET(CÁLCULO!$BB$15,ROW($X23)-ROW($X$15),-1))),IF($C23=0,0,ROUND(SomaAgrup,15-13*$AF$11)))</f>
        <v>23397.47</v>
      </c>
      <c r="Y23" s="126" t="s">
        <v>751</v>
      </c>
      <c r="Z23" s="696" t="str">
        <f t="shared" ca="1" si="13"/>
        <v/>
      </c>
      <c r="AA23" s="127">
        <f t="array" aca="1" ref="AA23" ca="1">IF($C23="S",IF($Z23="CP",$X23,IF($Z23="RA",(($X23)*QCI!$AA$3),0)),SomaAgrup)</f>
        <v>0</v>
      </c>
      <c r="AB23" s="128">
        <f t="array" aca="1" ref="AB23" ca="1">IF($C23="S",IF($Z23="OU",ROUND($X23,2),0),SomaAgrup)</f>
        <v>0</v>
      </c>
      <c r="AC23" s="563" t="str">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s="696">
        <f ca="1">IF(C23&lt;=CRONO.NivelExibicao,MAX($AD$15:OFFSET(AD23,-1,0))+IF($C23&lt;&gt;1,1,MAX(1,COUNTIF(QCI!$A$13:$A$24,OFFSET($E23,-1,0)))),"")</f>
        <v>3</v>
      </c>
      <c r="AE23" s="694" t="b">
        <f t="array" aca="1" ref="AE23" ca="1">IF(AND($C23="S",ORÇAMENTO.CodBarra&lt;&gt;""),IF(ORÇAMENTO.Fonte="",ORÇAMENTO.CodBarra,CONCATENATE(ORÇAMENTO.Fonte," ",ORÇAMENTO.CodBarra)))</f>
        <v>0</v>
      </c>
      <c r="AF23" s="695" t="str">
        <f t="array" aca="1" ref="AF23" ca="1">IF(ISERROR(ORÇAMENTO.BancoRef),"(abra o arquivo 'Referência "&amp;Excel_BuiltIn_Database&amp;".xlsm)",IF(OR($C23&lt;&gt;"S",ORÇAMENTO.CodBarra=""),"(Sem Código)",IF(ISERROR(MATCH($AE23,INDIRECT(ORÇAMENTO.BancoRef),0)),"(Código não identificado nas referências)",MATCH($AE23,INDIRECT(ORÇAMENTO.BancoRef),0))))</f>
        <v>(Sem Código)</v>
      </c>
      <c r="AG23" s="428">
        <f t="array" aca="1" ref="AG23" ca="1">ROUND(IF(DESONERACAO="sim",REFERENCIA.Desonerado,REFERENCIA.NaoDesonerado),2)</f>
        <v>0</v>
      </c>
      <c r="AH23" s="429">
        <f t="shared" ca="1" si="14"/>
        <v>0.29389999999999999</v>
      </c>
      <c r="AJ23" s="431"/>
      <c r="AL23" s="439"/>
      <c r="AM23" s="336">
        <f t="shared" ca="1" si="0"/>
        <v>23397.47</v>
      </c>
      <c r="AN23" s="469">
        <f t="array" aca="1" ref="AN23" ca="1">ROUND(ORÇAMENTO.CustoUnitario*(1+$AH23),2)</f>
        <v>0</v>
      </c>
    </row>
    <row r="24" spans="1:40" s="696" customFormat="1" ht="25.5" x14ac:dyDescent="0.2">
      <c r="A24" s="696" t="str">
        <f t="shared" si="1"/>
        <v>S</v>
      </c>
      <c r="B24" s="696">
        <f t="shared" ca="1" si="2"/>
        <v>2</v>
      </c>
      <c r="C24" s="696" t="str">
        <f t="shared" ca="1" si="3"/>
        <v>S</v>
      </c>
      <c r="D24" s="696">
        <f t="shared" ca="1" si="4"/>
        <v>0</v>
      </c>
      <c r="E24" s="696">
        <f ca="1">IF($C24=1,OFFSET(E24,-1,0)+MAX(1,COUNTIF(QCI!$A$13:$A$24,OFFSET(ORÇAMENTO!E24,-1,0))),OFFSET(E24,-1,0))</f>
        <v>1</v>
      </c>
      <c r="F24" s="696">
        <f t="shared" ca="1" si="5"/>
        <v>2</v>
      </c>
      <c r="G24" s="696">
        <f t="shared" ca="1" si="6"/>
        <v>0</v>
      </c>
      <c r="H24" s="696">
        <f t="shared" ca="1" si="7"/>
        <v>0</v>
      </c>
      <c r="I24" s="696">
        <f t="shared" ca="1" si="8"/>
        <v>1</v>
      </c>
      <c r="J24" s="696">
        <f t="shared" ca="1" si="9"/>
        <v>0</v>
      </c>
      <c r="K24" s="696">
        <f ca="1">IF(OR($C24="S",$C24=0),0,MATCH(OFFSET($D24,0,$C24)+IF($C24&lt;&gt;1,1,COUNTIF(QCI!$A$13:$A$24,ORÇAMENTO!E24)),OFFSET($D24,1,$C24,ROW($C$235)-ROW($C24)),0))</f>
        <v>0</v>
      </c>
      <c r="L24" s="114" t="str">
        <f t="shared" ca="1" si="10"/>
        <v>F</v>
      </c>
      <c r="M24" s="115" t="s">
        <v>705</v>
      </c>
      <c r="N24" s="116" t="str">
        <f t="shared" ca="1" si="11"/>
        <v>Serviço</v>
      </c>
      <c r="O24" s="117" t="str">
        <f t="shared" ca="1" si="12"/>
        <v>1.2.1.</v>
      </c>
      <c r="P24" s="118" t="s">
        <v>750</v>
      </c>
      <c r="Q24" s="119" t="s">
        <v>1013</v>
      </c>
      <c r="R24" s="120" t="str">
        <f t="array" aca="1" ref="R24" ca="1">IF($C24="S",REFERENCIA.Descricao,"(digite a descrição aqui)")</f>
        <v>FORNECIMENTO E INSTALAÇÃO DE PLACA DE OBRA COM CHAPA GALVANIZADA E ESTRUTURA DE MADEIRA. AF_03/2022_PS</v>
      </c>
      <c r="S24" s="121" t="str">
        <f t="array" aca="1" ref="S24" ca="1">REFERENCIA.Unidade</f>
        <v>M2</v>
      </c>
      <c r="T24" s="122">
        <f ca="1">OFFSET(CÁLCULO!H$15,ROW($T24)-ROW(T$15),0)</f>
        <v>6.49</v>
      </c>
      <c r="U24" s="123">
        <f>501.25*0.94</f>
        <v>471.17499999999995</v>
      </c>
      <c r="V24" s="124" t="s">
        <v>697</v>
      </c>
      <c r="W24" s="122">
        <f t="array" aca="1" ref="W24" ca="1">IF($C24="S",ROUND(IF(TIPOORCAMENTO="Proposto",ORÇAMENTO.CustoUnitario*(1+$AH24),ORÇAMENTO.PrecoUnitarioLicitado),15-13*$AF$10),0)</f>
        <v>567.02</v>
      </c>
      <c r="X24" s="125">
        <f t="array" aca="1" ref="X24" ca="1">IF($C24="S",IF(OR(Import.TipoArredondamento&lt;&gt;"TransfereGOV",ACOMPANHAMENTO="BM"),VTOTAL1,SUM(OFFSET(CÁLCULO!$AI$15,ROW($X24)-ROW($X$15),1):OFFSET(CÁLCULO!$BB$15,ROW($X24)-ROW($X$15),-1))),IF($C24=0,0,ROUND(SomaAgrup,15-13*$AF$11)))</f>
        <v>3679.96</v>
      </c>
      <c r="Y24" s="126" t="s">
        <v>751</v>
      </c>
      <c r="Z24" s="696" t="str">
        <f t="shared" ca="1" si="13"/>
        <v>RA</v>
      </c>
      <c r="AA24" s="127">
        <f t="array" aca="1" ref="AA24" ca="1">IF($C24="S",IF($Z24="CP",$X24,IF($Z24="RA",(($X24)*QCI!$AA$3),0)),SomaAgrup)</f>
        <v>0</v>
      </c>
      <c r="AB24" s="128">
        <f t="array" aca="1" ref="AB24" ca="1">IF($C24="S",IF($Z24="OU",ROUND($X24,2),0),SomaAgrup)</f>
        <v>0</v>
      </c>
      <c r="AC24" s="563" t="str">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s="696" t="str">
        <f ca="1">IF(C24&lt;=CRONO.NivelExibicao,MAX($AD$15:OFFSET(AD24,-1,0))+IF($C24&lt;&gt;1,1,MAX(1,COUNTIF(QCI!$A$13:$A$24,OFFSET($E24,-1,0)))),"")</f>
        <v/>
      </c>
      <c r="AE24" s="694" t="str">
        <f t="array" aca="1" ref="AE24" ca="1">IF(AND($C24="S",ORÇAMENTO.CodBarra&lt;&gt;""),IF(ORÇAMENTO.Fonte="",ORÇAMENTO.CodBarra,CONCATENATE(ORÇAMENTO.Fonte," ",ORÇAMENTO.CodBarra)))</f>
        <v>SINAPI 103689</v>
      </c>
      <c r="AF24" s="695">
        <f t="array" aca="1" ref="AF24" ca="1">IF(ISERROR(ORÇAMENTO.BancoRef),"(abra o arquivo 'Referência "&amp;Excel_BuiltIn_Database&amp;".xlsm)",IF(OR($C24&lt;&gt;"S",ORÇAMENTO.CodBarra=""),"(Sem Código)",IF(ISERROR(MATCH($AE24,INDIRECT(ORÇAMENTO.BancoRef),0)),"(Código não identificado nas referências)",MATCH($AE24,INDIRECT(ORÇAMENTO.BancoRef),0))))</f>
        <v>14873</v>
      </c>
      <c r="AG24" s="428">
        <f t="array" aca="1" ref="AG24" ca="1">ROUND(IF(DESONERACAO="sim",REFERENCIA.Desonerado,REFERENCIA.NaoDesonerado),2)</f>
        <v>501.25</v>
      </c>
      <c r="AH24" s="429">
        <f t="shared" ca="1" si="14"/>
        <v>0.2034</v>
      </c>
      <c r="AJ24" s="431"/>
      <c r="AL24" s="439"/>
      <c r="AM24" s="336">
        <f t="shared" ca="1" si="0"/>
        <v>3679.96</v>
      </c>
      <c r="AN24" s="469">
        <f t="array" aca="1" ref="AN24" ca="1">ROUND(ORÇAMENTO.CustoUnitario*(1+$AH24),2)</f>
        <v>567.02</v>
      </c>
    </row>
    <row r="25" spans="1:40" s="696" customFormat="1" ht="38.25" x14ac:dyDescent="0.2">
      <c r="A25" s="696" t="str">
        <f t="shared" si="1"/>
        <v>S</v>
      </c>
      <c r="B25" s="696">
        <f t="shared" ca="1" si="2"/>
        <v>2</v>
      </c>
      <c r="C25" s="696" t="str">
        <f t="shared" ca="1" si="3"/>
        <v>S</v>
      </c>
      <c r="D25" s="696">
        <f t="shared" ca="1" si="4"/>
        <v>0</v>
      </c>
      <c r="E25" s="696">
        <f ca="1">IF($C25=1,OFFSET(E25,-1,0)+MAX(1,COUNTIF(QCI!$A$13:$A$24,OFFSET(ORÇAMENTO!E25,-1,0))),OFFSET(E25,-1,0))</f>
        <v>1</v>
      </c>
      <c r="F25" s="696">
        <f t="shared" ca="1" si="5"/>
        <v>2</v>
      </c>
      <c r="G25" s="696">
        <f t="shared" ca="1" si="6"/>
        <v>0</v>
      </c>
      <c r="H25" s="696">
        <f t="shared" ca="1" si="7"/>
        <v>0</v>
      </c>
      <c r="I25" s="696">
        <f t="shared" ca="1" si="8"/>
        <v>2</v>
      </c>
      <c r="J25" s="696">
        <f t="shared" ca="1" si="9"/>
        <v>0</v>
      </c>
      <c r="K25" s="696">
        <f ca="1">IF(OR($C25="S",$C25=0),0,MATCH(OFFSET($D25,0,$C25)+IF($C25&lt;&gt;1,1,COUNTIF(QCI!$A$13:$A$24,ORÇAMENTO!E25)),OFFSET($D25,1,$C25,ROW($C$235)-ROW($C25)),0))</f>
        <v>0</v>
      </c>
      <c r="L25" s="114" t="str">
        <f t="shared" ca="1" si="10"/>
        <v>F</v>
      </c>
      <c r="M25" s="115" t="s">
        <v>705</v>
      </c>
      <c r="N25" s="116" t="str">
        <f t="shared" ca="1" si="11"/>
        <v>Serviço</v>
      </c>
      <c r="O25" s="117" t="str">
        <f t="shared" ca="1" si="12"/>
        <v>1.2.2.</v>
      </c>
      <c r="P25" s="118" t="s">
        <v>1008</v>
      </c>
      <c r="Q25" s="119" t="s">
        <v>1014</v>
      </c>
      <c r="R25" s="120" t="str">
        <f t="array" aca="1" ref="R25" ca="1">IF($C25="S",REFERENCIA.Descricao,"(digite a descrição aqui)")</f>
        <v>MOBILIZAÇÃO E DESMOBILIZAÇÃO DE EQUIPAMENTO DE SONDAGEM A PERCUSSÃO COM ENSAIO DE PENETRAÇÃO PADRÃO (SPT) - (CUSTO FIXO)</v>
      </c>
      <c r="S25" s="121" t="str">
        <f t="array" aca="1" ref="S25" ca="1">REFERENCIA.Unidade</f>
        <v>un</v>
      </c>
      <c r="T25" s="122">
        <f ca="1">OFFSET(CÁLCULO!H$15,ROW($T25)-ROW(T$15),0)</f>
        <v>1</v>
      </c>
      <c r="U25" s="123">
        <f>873.6*0.94</f>
        <v>821.18399999999997</v>
      </c>
      <c r="V25" s="124" t="s">
        <v>697</v>
      </c>
      <c r="W25" s="122">
        <f t="array" aca="1" ref="W25" ca="1">IF($C25="S",ROUND(IF(TIPOORCAMENTO="Proposto",ORÇAMENTO.CustoUnitario*(1+$AH25),ORÇAMENTO.PrecoUnitarioLicitado),15-13*$AF$10),0)</f>
        <v>988.21</v>
      </c>
      <c r="X25" s="125">
        <f t="array" aca="1" ref="X25" ca="1">IF($C25="S",IF(OR(Import.TipoArredondamento&lt;&gt;"TransfereGOV",ACOMPANHAMENTO="BM"),VTOTAL1,SUM(OFFSET(CÁLCULO!$AI$15,ROW($X25)-ROW($X$15),1):OFFSET(CÁLCULO!$BB$15,ROW($X25)-ROW($X$15),-1))),IF($C25=0,0,ROUND(SomaAgrup,15-13*$AF$11)))</f>
        <v>988.21</v>
      </c>
      <c r="Y25" s="126" t="s">
        <v>751</v>
      </c>
      <c r="Z25" s="696" t="str">
        <f t="shared" ca="1" si="13"/>
        <v>RA</v>
      </c>
      <c r="AA25" s="127">
        <f t="array" aca="1" ref="AA25" ca="1">IF($C25="S",IF($Z25="CP",$X25,IF($Z25="RA",(($X25)*QCI!$AA$3),0)),SomaAgrup)</f>
        <v>0</v>
      </c>
      <c r="AB25" s="128">
        <f t="array" aca="1" ref="AB25" ca="1">IF($C25="S",IF($Z25="OU",ROUND($X25,2),0),SomaAgrup)</f>
        <v>0</v>
      </c>
      <c r="AC25" s="563" t="str">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s="696" t="str">
        <f ca="1">IF(C25&lt;=CRONO.NivelExibicao,MAX($AD$15:OFFSET(AD25,-1,0))+IF($C25&lt;&gt;1,1,MAX(1,COUNTIF(QCI!$A$13:$A$24,OFFSET($E25,-1,0)))),"")</f>
        <v/>
      </c>
      <c r="AE25" s="694" t="str">
        <f t="array" aca="1" ref="AE25" ca="1">IF(AND($C25="S",ORÇAMENTO.CodBarra&lt;&gt;""),IF(ORÇAMENTO.Fonte="",ORÇAMENTO.CodBarra,CONCATENATE(ORÇAMENTO.Fonte," ",ORÇAMENTO.CodBarra)))</f>
        <v>SICOR CO-28390</v>
      </c>
      <c r="AF25" s="695">
        <f t="array" aca="1" ref="AF25" ca="1">IF(ISERROR(ORÇAMENTO.BancoRef),"(abra o arquivo 'Referência "&amp;Excel_BuiltIn_Database&amp;".xlsm)",IF(OR($C25&lt;&gt;"S",ORÇAMENTO.CodBarra=""),"(Sem Código)",IF(ISERROR(MATCH($AE25,INDIRECT(ORÇAMENTO.BancoRef),0)),"(Código não identificado nas referências)",MATCH($AE25,INDIRECT(ORÇAMENTO.BancoRef),0))))</f>
        <v>20905</v>
      </c>
      <c r="AG25" s="428">
        <f t="array" aca="1" ref="AG25" ca="1">ROUND(IF(DESONERACAO="sim",REFERENCIA.Desonerado,REFERENCIA.NaoDesonerado),2)</f>
        <v>873.6</v>
      </c>
      <c r="AH25" s="429">
        <f t="shared" ca="1" si="14"/>
        <v>0.2034</v>
      </c>
      <c r="AJ25" s="431"/>
      <c r="AL25" s="439"/>
      <c r="AM25" s="336">
        <f t="shared" ca="1" si="0"/>
        <v>988.21</v>
      </c>
      <c r="AN25" s="469">
        <f t="array" aca="1" ref="AN25" ca="1">ROUND(ORÇAMENTO.CustoUnitario*(1+$AH25),2)</f>
        <v>988.21</v>
      </c>
    </row>
    <row r="26" spans="1:40" s="696" customFormat="1" ht="38.25" x14ac:dyDescent="0.2">
      <c r="A26" s="696" t="str">
        <f t="shared" si="1"/>
        <v>S</v>
      </c>
      <c r="B26" s="696">
        <f t="shared" ca="1" si="2"/>
        <v>2</v>
      </c>
      <c r="C26" s="696" t="str">
        <f t="shared" ca="1" si="3"/>
        <v>S</v>
      </c>
      <c r="D26" s="696">
        <f t="shared" ca="1" si="4"/>
        <v>0</v>
      </c>
      <c r="E26" s="696">
        <f ca="1">IF($C26=1,OFFSET(E26,-1,0)+MAX(1,COUNTIF(QCI!$A$13:$A$24,OFFSET(ORÇAMENTO!E26,-1,0))),OFFSET(E26,-1,0))</f>
        <v>1</v>
      </c>
      <c r="F26" s="696">
        <f t="shared" ca="1" si="5"/>
        <v>2</v>
      </c>
      <c r="G26" s="696">
        <f t="shared" ca="1" si="6"/>
        <v>0</v>
      </c>
      <c r="H26" s="696">
        <f t="shared" ca="1" si="7"/>
        <v>0</v>
      </c>
      <c r="I26" s="696">
        <f t="shared" ca="1" si="8"/>
        <v>3</v>
      </c>
      <c r="J26" s="696">
        <f t="shared" ca="1" si="9"/>
        <v>0</v>
      </c>
      <c r="K26" s="696">
        <f ca="1">IF(OR($C26="S",$C26=0),0,MATCH(OFFSET($D26,0,$C26)+IF($C26&lt;&gt;1,1,COUNTIF(QCI!$A$13:$A$24,ORÇAMENTO!E26)),OFFSET($D26,1,$C26,ROW($C$235)-ROW($C26)),0))</f>
        <v>0</v>
      </c>
      <c r="L26" s="114" t="str">
        <f t="shared" ca="1" si="10"/>
        <v>F</v>
      </c>
      <c r="M26" s="115" t="s">
        <v>705</v>
      </c>
      <c r="N26" s="116" t="str">
        <f t="shared" ca="1" si="11"/>
        <v>Serviço</v>
      </c>
      <c r="O26" s="117" t="str">
        <f t="shared" ca="1" si="12"/>
        <v>1.2.3.</v>
      </c>
      <c r="P26" s="118" t="s">
        <v>1008</v>
      </c>
      <c r="Q26" s="119" t="s">
        <v>1015</v>
      </c>
      <c r="R26" s="120" t="str">
        <f t="array" aca="1" ref="R26" ca="1">IF($C26="S",REFERENCIA.Descricao,"(digite a descrição aqui)")</f>
        <v>MOBILIZAÇÃO E DESMOBILIZAÇÃO DE EQUIPAMENTO DE SONDAGEM A PERCUSSÃO COM ENSAIO DE PENETRAÇÃO PADRÃO (SPT) - (CUSTO VARIÁVEL), EXCLUSIVE CUSTO FIXO</v>
      </c>
      <c r="S26" s="121" t="str">
        <f t="array" aca="1" ref="S26" ca="1">REFERENCIA.Unidade</f>
        <v>km</v>
      </c>
      <c r="T26" s="122">
        <f ca="1">OFFSET(CÁLCULO!H$15,ROW($T26)-ROW(T$15),0)</f>
        <v>50</v>
      </c>
      <c r="U26" s="123">
        <f>2.04*0.94</f>
        <v>1.9176</v>
      </c>
      <c r="V26" s="124" t="s">
        <v>697</v>
      </c>
      <c r="W26" s="122">
        <f t="array" aca="1" ref="W26" ca="1">IF($C26="S",ROUND(IF(TIPOORCAMENTO="Proposto",ORÇAMENTO.CustoUnitario*(1+$AH26),ORÇAMENTO.PrecoUnitarioLicitado),15-13*$AF$10),0)</f>
        <v>2.31</v>
      </c>
      <c r="X26" s="125">
        <f t="array" aca="1" ref="X26" ca="1">IF($C26="S",IF(OR(Import.TipoArredondamento&lt;&gt;"TransfereGOV",ACOMPANHAMENTO="BM"),VTOTAL1,SUM(OFFSET(CÁLCULO!$AI$15,ROW($X26)-ROW($X$15),1):OFFSET(CÁLCULO!$BB$15,ROW($X26)-ROW($X$15),-1))),IF($C26=0,0,ROUND(SomaAgrup,15-13*$AF$11)))</f>
        <v>115.5</v>
      </c>
      <c r="Y26" s="126" t="s">
        <v>751</v>
      </c>
      <c r="Z26" s="696" t="str">
        <f t="shared" ca="1" si="13"/>
        <v>RA</v>
      </c>
      <c r="AA26" s="127">
        <f t="array" aca="1" ref="AA26" ca="1">IF($C26="S",IF($Z26="CP",$X26,IF($Z26="RA",(($X26)*QCI!$AA$3),0)),SomaAgrup)</f>
        <v>0</v>
      </c>
      <c r="AB26" s="128">
        <f t="array" aca="1" ref="AB26" ca="1">IF($C26="S",IF($Z26="OU",ROUND($X26,2),0),SomaAgrup)</f>
        <v>0</v>
      </c>
      <c r="AC26" s="563" t="str">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s="696" t="str">
        <f ca="1">IF(C26&lt;=CRONO.NivelExibicao,MAX($AD$15:OFFSET(AD26,-1,0))+IF($C26&lt;&gt;1,1,MAX(1,COUNTIF(QCI!$A$13:$A$24,OFFSET($E26,-1,0)))),"")</f>
        <v/>
      </c>
      <c r="AE26" s="694" t="str">
        <f t="array" aca="1" ref="AE26" ca="1">IF(AND($C26="S",ORÇAMENTO.CodBarra&lt;&gt;""),IF(ORÇAMENTO.Fonte="",ORÇAMENTO.CodBarra,CONCATENATE(ORÇAMENTO.Fonte," ",ORÇAMENTO.CodBarra)))</f>
        <v>SICOR CO-28389</v>
      </c>
      <c r="AF26" s="695">
        <f t="array" aca="1" ref="AF26" ca="1">IF(ISERROR(ORÇAMENTO.BancoRef),"(abra o arquivo 'Referência "&amp;Excel_BuiltIn_Database&amp;".xlsm)",IF(OR($C26&lt;&gt;"S",ORÇAMENTO.CodBarra=""),"(Sem Código)",IF(ISERROR(MATCH($AE26,INDIRECT(ORÇAMENTO.BancoRef),0)),"(Código não identificado nas referências)",MATCH($AE26,INDIRECT(ORÇAMENTO.BancoRef),0))))</f>
        <v>20906</v>
      </c>
      <c r="AG26" s="428">
        <f t="array" aca="1" ref="AG26" ca="1">ROUND(IF(DESONERACAO="sim",REFERENCIA.Desonerado,REFERENCIA.NaoDesonerado),2)</f>
        <v>2.04</v>
      </c>
      <c r="AH26" s="429">
        <f t="shared" ca="1" si="14"/>
        <v>0.2034</v>
      </c>
      <c r="AJ26" s="431"/>
      <c r="AL26" s="439"/>
      <c r="AM26" s="336">
        <f t="shared" ca="1" si="0"/>
        <v>115.5</v>
      </c>
      <c r="AN26" s="469">
        <f t="array" aca="1" ref="AN26" ca="1">ROUND(ORÇAMENTO.CustoUnitario*(1+$AH26),2)</f>
        <v>2.31</v>
      </c>
    </row>
    <row r="27" spans="1:40" s="696" customFormat="1" ht="38.25" x14ac:dyDescent="0.2">
      <c r="A27" s="696" t="str">
        <f t="shared" si="1"/>
        <v>S</v>
      </c>
      <c r="B27" s="696">
        <f t="shared" ca="1" si="2"/>
        <v>2</v>
      </c>
      <c r="C27" s="696" t="str">
        <f t="shared" ca="1" si="3"/>
        <v>S</v>
      </c>
      <c r="D27" s="696">
        <f t="shared" ca="1" si="4"/>
        <v>0</v>
      </c>
      <c r="E27" s="696">
        <f ca="1">IF($C27=1,OFFSET(E27,-1,0)+MAX(1,COUNTIF(QCI!$A$13:$A$24,OFFSET(ORÇAMENTO!E27,-1,0))),OFFSET(E27,-1,0))</f>
        <v>1</v>
      </c>
      <c r="F27" s="696">
        <f t="shared" ca="1" si="5"/>
        <v>2</v>
      </c>
      <c r="G27" s="696">
        <f t="shared" ca="1" si="6"/>
        <v>0</v>
      </c>
      <c r="H27" s="696">
        <f t="shared" ca="1" si="7"/>
        <v>0</v>
      </c>
      <c r="I27" s="696">
        <f t="shared" ca="1" si="8"/>
        <v>4</v>
      </c>
      <c r="J27" s="696">
        <f t="shared" ca="1" si="9"/>
        <v>0</v>
      </c>
      <c r="K27" s="696">
        <f ca="1">IF(OR($C27="S",$C27=0),0,MATCH(OFFSET($D27,0,$C27)+IF($C27&lt;&gt;1,1,COUNTIF(QCI!$A$13:$A$24,ORÇAMENTO!E27)),OFFSET($D27,1,$C27,ROW($C$235)-ROW($C27)),0))</f>
        <v>0</v>
      </c>
      <c r="L27" s="114" t="str">
        <f t="shared" ca="1" si="10"/>
        <v>F</v>
      </c>
      <c r="M27" s="115" t="s">
        <v>705</v>
      </c>
      <c r="N27" s="116" t="str">
        <f t="shared" ca="1" si="11"/>
        <v>Serviço</v>
      </c>
      <c r="O27" s="117" t="str">
        <f t="shared" ca="1" si="12"/>
        <v>1.2.4.</v>
      </c>
      <c r="P27" s="118" t="s">
        <v>1008</v>
      </c>
      <c r="Q27" s="119" t="s">
        <v>1016</v>
      </c>
      <c r="R27" s="120" t="str">
        <f t="array" aca="1" ref="R27" ca="1">IF($C27="S",REFERENCIA.Descricao,"(digite a descrição aqui)")</f>
        <v>SONDAGEM A PERCUSSÃO COM ENSAIO DE PENETRAÇÃO PADRÃO (SPT), DIÂMETRO 2.1/2", EXCLUSIVE MOBILIZAÇÃO E DESMOBILIZAÇÃO</v>
      </c>
      <c r="S27" s="121" t="str">
        <f t="array" aca="1" ref="S27" ca="1">REFERENCIA.Unidade</f>
        <v>m</v>
      </c>
      <c r="T27" s="122">
        <f ca="1">OFFSET(CÁLCULO!H$15,ROW($T27)-ROW(T$15),0)</f>
        <v>80</v>
      </c>
      <c r="U27" s="123">
        <f>79.09*0.94</f>
        <v>74.3446</v>
      </c>
      <c r="V27" s="124" t="s">
        <v>697</v>
      </c>
      <c r="W27" s="122">
        <f t="array" aca="1" ref="W27" ca="1">IF($C27="S",ROUND(IF(TIPOORCAMENTO="Proposto",ORÇAMENTO.CustoUnitario*(1+$AH27),ORÇAMENTO.PrecoUnitarioLicitado),15-13*$AF$10),0)</f>
        <v>89.46</v>
      </c>
      <c r="X27" s="125">
        <f t="array" aca="1" ref="X27" ca="1">IF($C27="S",IF(OR(Import.TipoArredondamento&lt;&gt;"TransfereGOV",ACOMPANHAMENTO="BM"),VTOTAL1,SUM(OFFSET(CÁLCULO!$AI$15,ROW($X27)-ROW($X$15),1):OFFSET(CÁLCULO!$BB$15,ROW($X27)-ROW($X$15),-1))),IF($C27=0,0,ROUND(SomaAgrup,15-13*$AF$11)))</f>
        <v>7156.8</v>
      </c>
      <c r="Y27" s="126" t="s">
        <v>751</v>
      </c>
      <c r="Z27" s="696" t="str">
        <f t="shared" ca="1" si="13"/>
        <v>RA</v>
      </c>
      <c r="AA27" s="127">
        <f t="array" aca="1" ref="AA27" ca="1">IF($C27="S",IF($Z27="CP",$X27,IF($Z27="RA",(($X27)*QCI!$AA$3),0)),SomaAgrup)</f>
        <v>0</v>
      </c>
      <c r="AB27" s="128">
        <f t="array" aca="1" ref="AB27" ca="1">IF($C27="S",IF($Z27="OU",ROUND($X27,2),0),SomaAgrup)</f>
        <v>0</v>
      </c>
      <c r="AC27" s="563" t="str">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696" t="str">
        <f ca="1">IF(C27&lt;=CRONO.NivelExibicao,MAX($AD$15:OFFSET(AD27,-1,0))+IF($C27&lt;&gt;1,1,MAX(1,COUNTIF(QCI!$A$13:$A$24,OFFSET($E27,-1,0)))),"")</f>
        <v/>
      </c>
      <c r="AE27" s="694" t="str">
        <f t="array" aca="1" ref="AE27" ca="1">IF(AND($C27="S",ORÇAMENTO.CodBarra&lt;&gt;""),IF(ORÇAMENTO.Fonte="",ORÇAMENTO.CodBarra,CONCATENATE(ORÇAMENTO.Fonte," ",ORÇAMENTO.CodBarra)))</f>
        <v>SICOR CO-28388</v>
      </c>
      <c r="AF27" s="695">
        <f t="array" aca="1" ref="AF27" ca="1">IF(ISERROR(ORÇAMENTO.BancoRef),"(abra o arquivo 'Referência "&amp;Excel_BuiltIn_Database&amp;".xlsm)",IF(OR($C27&lt;&gt;"S",ORÇAMENTO.CodBarra=""),"(Sem Código)",IF(ISERROR(MATCH($AE27,INDIRECT(ORÇAMENTO.BancoRef),0)),"(Código não identificado nas referências)",MATCH($AE27,INDIRECT(ORÇAMENTO.BancoRef),0))))</f>
        <v>20907</v>
      </c>
      <c r="AG27" s="428">
        <f t="array" aca="1" ref="AG27" ca="1">ROUND(IF(DESONERACAO="sim",REFERENCIA.Desonerado,REFERENCIA.NaoDesonerado),2)</f>
        <v>79.09</v>
      </c>
      <c r="AH27" s="429">
        <f t="shared" ca="1" si="14"/>
        <v>0.2034</v>
      </c>
      <c r="AJ27" s="431"/>
      <c r="AL27" s="439"/>
      <c r="AM27" s="336">
        <f t="shared" ca="1" si="0"/>
        <v>7156.8</v>
      </c>
      <c r="AN27" s="469">
        <f t="array" aca="1" ref="AN27" ca="1">ROUND(ORÇAMENTO.CustoUnitario*(1+$AH27),2)</f>
        <v>89.46</v>
      </c>
    </row>
    <row r="28" spans="1:40" s="699" customFormat="1" ht="38.25" x14ac:dyDescent="0.2">
      <c r="A28" s="699" t="str">
        <f>CHOOSE(1+LOG(1+2*(ORÇAMENTO.Nivel="Meta")+4*(ORÇAMENTO.Nivel="Nível 2")+8*(ORÇAMENTO.Nivel="Nível 3")+16*(ORÇAMENTO.Nivel="Nível 4")+32*(ORÇAMENTO.Nivel="Serviço"),2),0,1,2,3,4,"S")</f>
        <v>S</v>
      </c>
      <c r="B28" s="699">
        <f ca="1">IF(OR(C28="s",C28=0),OFFSET(B28,-1,0),C28)</f>
        <v>2</v>
      </c>
      <c r="C28" s="699" t="str">
        <f ca="1">IF(OFFSET(C28,-1,0)="L",1,IF(OFFSET(C28,-1,0)=1,2,IF(OR(A28="s",A28=0),"S",IF(AND(OFFSET(C28,-1,0)=2,A28=4),3,IF(AND(OR(OFFSET(C28,-1,0)="s",OFFSET(C28,-1,0)=0),A28&lt;&gt;"s",A28&gt;OFFSET(B28,-1,0)),OFFSET(B28,-1,0),A28)))))</f>
        <v>S</v>
      </c>
      <c r="D28" s="699">
        <f ca="1">IF(OR(C28="S",C28=0),0,IF(ISERROR(K28),J28,SMALL(J28:K28,1)))</f>
        <v>0</v>
      </c>
      <c r="E28" s="699">
        <f ca="1">IF($C28=1,OFFSET(E28,-1,0)+MAX(1,COUNTIF(QCI!$A$13:$A$24,OFFSET(ORÇAMENTO!E28,-1,0))),OFFSET(E28,-1,0))</f>
        <v>1</v>
      </c>
      <c r="F28" s="699">
        <f ca="1">IF($C28=1,0,IF($C28=2,OFFSET(F28,-1,0)+1,OFFSET(F28,-1,0)))</f>
        <v>2</v>
      </c>
      <c r="G28" s="699">
        <f ca="1">IF(AND($C28&lt;=2,$C28&lt;&gt;0),0,IF($C28=3,OFFSET(G28,-1,0)+1,OFFSET(G28,-1,0)))</f>
        <v>0</v>
      </c>
      <c r="H28" s="699">
        <f ca="1">IF(AND($C28&lt;=3,$C28&lt;&gt;0),0,IF($C28=4,OFFSET(H28,-1,0)+1,OFFSET(H28,-1,0)))</f>
        <v>0</v>
      </c>
      <c r="I28" s="699">
        <f ca="1">IF(AND($C28&lt;=4,$C28&lt;&gt;0),0,IF(AND($C28="S",$X28&gt;0),OFFSET(I28,-1,0)+1,OFFSET(I28,-1,0)))</f>
        <v>5</v>
      </c>
      <c r="J28" s="699">
        <f t="shared" ca="1" si="9"/>
        <v>0</v>
      </c>
      <c r="K28" s="699">
        <f ca="1">IF(OR($C28="S",$C28=0),0,MATCH(OFFSET($D28,0,$C28)+IF($C28&lt;&gt;1,1,COUNTIF(QCI!$A$13:$A$24,ORÇAMENTO!E28)),OFFSET($D28,1,$C28,ROW($C$235)-ROW($C28)),0))</f>
        <v>0</v>
      </c>
      <c r="L28" s="114" t="str">
        <f ca="1">IF(OR($X28&gt;0,$C28=1,$C28=2,$C28=3,$C28=4),"F","")</f>
        <v>F</v>
      </c>
      <c r="M28" s="115" t="s">
        <v>705</v>
      </c>
      <c r="N28" s="116" t="str">
        <f ca="1">CHOOSE(1+LOG(1+2*(C28=1)+4*(C28=2)+8*(C28=3)+16*(C28=4)+32*(C28="S"),2),"","Meta","Nível 2","Nível 3","Nível 4","Serviço")</f>
        <v>Serviço</v>
      </c>
      <c r="O28" s="117" t="str">
        <f ca="1">IF(OR($C28=0,$L28=""),"-",CONCATENATE(E28&amp;".",IF(AND($A$5&gt;=2,$C28&gt;=2),F28&amp;".",""),IF(AND($A$5&gt;=3,$C28&gt;=3),G28&amp;".",""),IF(AND($A$5&gt;=4,$C28&gt;=4),H28&amp;".",""),IF($C28="S",I28&amp;".","")))</f>
        <v>1.2.5.</v>
      </c>
      <c r="P28" s="118" t="s">
        <v>1008</v>
      </c>
      <c r="Q28" s="119" t="s">
        <v>1019</v>
      </c>
      <c r="R28" s="120" t="str">
        <f t="array" aca="1" ref="R28" ca="1">IF($C28="S",REFERENCIA.Descricao,"(digite a descrição aqui)")</f>
        <v>BARRACÃO DE OBRA, EM CHAPA DE COMPENSADO RESINADO, INCLUSIVE  INSTALAÇÕES SANITÁRIAS E MOBILIÁRIO - PADRÃO DER-MG</v>
      </c>
      <c r="S28" s="121" t="str">
        <f t="array" aca="1" ref="S28" ca="1">REFERENCIA.Unidade</f>
        <v>m2</v>
      </c>
      <c r="T28" s="122">
        <f ca="1">OFFSET(CÁLCULO!H$15,ROW($T28)-ROW(T$15),0)</f>
        <v>15</v>
      </c>
      <c r="U28" s="123">
        <f>675.21*0.94</f>
        <v>634.69740000000002</v>
      </c>
      <c r="V28" s="124" t="s">
        <v>697</v>
      </c>
      <c r="W28" s="122">
        <f t="array" aca="1" ref="W28" ca="1">IF($C28="S",ROUND(IF(TIPOORCAMENTO="Proposto",ORÇAMENTO.CustoUnitario*(1+$AH28),ORÇAMENTO.PrecoUnitarioLicitado),15-13*$AF$10),0)</f>
        <v>763.8</v>
      </c>
      <c r="X28" s="125">
        <f t="array" aca="1" ref="X28" ca="1">IF($C28="S",IF(OR(Import.TipoArredondamento&lt;&gt;"TransfereGOV",ACOMPANHAMENTO="BM"),VTOTAL1,SUM(OFFSET(CÁLCULO!$AI$15,ROW($X28)-ROW($X$15),1):OFFSET(CÁLCULO!$BB$15,ROW($X28)-ROW($X$15),-1))),IF($C28=0,0,ROUND(SomaAgrup,15-13*$AF$11)))</f>
        <v>11457</v>
      </c>
      <c r="Y28" s="126" t="s">
        <v>751</v>
      </c>
      <c r="Z28" s="699" t="str">
        <f ca="1">IF(AND($C28="S",$X28&gt;0),IF(ISBLANK($Y28),"RA",LEFT($Y28,2)),"")</f>
        <v>RA</v>
      </c>
      <c r="AA28" s="127">
        <f t="array" aca="1" ref="AA28" ca="1">IF($C28="S",IF($Z28="CP",$X28,IF($Z28="RA",(($X28)*QCI!$AA$3),0)),SomaAgrup)</f>
        <v>0</v>
      </c>
      <c r="AB28" s="128">
        <f t="array" aca="1" ref="AB28" ca="1">IF($C28="S",IF($Z28="OU",ROUND($X28,2),0),SomaAgrup)</f>
        <v>0</v>
      </c>
      <c r="AC28" s="563" t="str">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s="699" t="str">
        <f ca="1">IF(C28&lt;=CRONO.NivelExibicao,MAX($AD$15:OFFSET(AD28,-1,0))+IF($C28&lt;&gt;1,1,MAX(1,COUNTIF(QCI!$A$13:$A$24,OFFSET($E28,-1,0)))),"")</f>
        <v/>
      </c>
      <c r="AE28" s="697" t="str">
        <f t="array" aca="1" ref="AE28" ca="1">IF(AND($C28="S",ORÇAMENTO.CodBarra&lt;&gt;""),IF(ORÇAMENTO.Fonte="",ORÇAMENTO.CodBarra,CONCATENATE(ORÇAMENTO.Fonte," ",ORÇAMENTO.CodBarra)))</f>
        <v>SICOR ED-50135</v>
      </c>
      <c r="AF28" s="698">
        <f t="array" aca="1" ref="AF28" ca="1">IF(ISERROR(ORÇAMENTO.BancoRef),"(abra o arquivo 'Referência "&amp;Excel_BuiltIn_Database&amp;".xlsm)",IF(OR($C28&lt;&gt;"S",ORÇAMENTO.CodBarra=""),"(Sem Código)",IF(ISERROR(MATCH($AE28,INDIRECT(ORÇAMENTO.BancoRef),0)),"(Código não identificado nas referências)",MATCH($AE28,INDIRECT(ORÇAMENTO.BancoRef),0))))</f>
        <v>15899</v>
      </c>
      <c r="AG28" s="428">
        <f t="array" aca="1" ref="AG28" ca="1">ROUND(IF(DESONERACAO="sim",REFERENCIA.Desonerado,REFERENCIA.NaoDesonerado),2)</f>
        <v>675.21</v>
      </c>
      <c r="AH28" s="429">
        <f ca="1">ROUND(IF(ISNUMBER(ORÇAMENTO.OpcaoBDI),ORÇAMENTO.OpcaoBDI,IF(LEFT(ORÇAMENTO.OpcaoBDI,3)="BDI",HLOOKUP(ORÇAMENTO.OpcaoBDI,$F$4:$H$5,2,FALSE),0)),15-11*$AF$9)</f>
        <v>0.2034</v>
      </c>
      <c r="AJ28" s="431"/>
      <c r="AL28" s="439"/>
      <c r="AM28" s="336">
        <f t="shared" ca="1" si="0"/>
        <v>11457</v>
      </c>
      <c r="AN28" s="469">
        <f t="array" aca="1" ref="AN28" ca="1">ROUND(ORÇAMENTO.CustoUnitario*(1+$AH28),2)</f>
        <v>763.8</v>
      </c>
    </row>
    <row r="29" spans="1:40" s="696" customFormat="1" x14ac:dyDescent="0.2">
      <c r="A29" s="696">
        <f t="shared" si="1"/>
        <v>2</v>
      </c>
      <c r="B29" s="696">
        <f t="shared" ca="1" si="2"/>
        <v>2</v>
      </c>
      <c r="C29" s="696">
        <f t="shared" ca="1" si="3"/>
        <v>2</v>
      </c>
      <c r="D29" s="696">
        <f t="shared" ca="1" si="4"/>
        <v>2</v>
      </c>
      <c r="E29" s="696">
        <f ca="1">IF($C29=1,OFFSET(E29,-1,0)+MAX(1,COUNTIF(QCI!$A$13:$A$24,OFFSET(ORÇAMENTO!E29,-1,0))),OFFSET(E29,-1,0))</f>
        <v>1</v>
      </c>
      <c r="F29" s="696">
        <f t="shared" ca="1" si="5"/>
        <v>3</v>
      </c>
      <c r="G29" s="696">
        <f t="shared" ca="1" si="6"/>
        <v>0</v>
      </c>
      <c r="H29" s="696">
        <f t="shared" ca="1" si="7"/>
        <v>0</v>
      </c>
      <c r="I29" s="696">
        <f t="shared" ca="1" si="8"/>
        <v>0</v>
      </c>
      <c r="J29" s="696">
        <f t="shared" ca="1" si="9"/>
        <v>206</v>
      </c>
      <c r="K29" s="696">
        <f ca="1">IF(OR($C29="S",$C29=0),0,MATCH(OFFSET($D29,0,$C29)+IF($C29&lt;&gt;1,1,COUNTIF(QCI!$A$13:$A$24,ORÇAMENTO!E29)),OFFSET($D29,1,$C29,ROW($C$235)-ROW($C29)),0))</f>
        <v>2</v>
      </c>
      <c r="L29" s="114" t="str">
        <f t="shared" ca="1" si="10"/>
        <v>F</v>
      </c>
      <c r="M29" s="115" t="s">
        <v>702</v>
      </c>
      <c r="N29" s="116" t="str">
        <f t="shared" ca="1" si="11"/>
        <v>Nível 2</v>
      </c>
      <c r="O29" s="117" t="str">
        <f t="shared" ca="1" si="12"/>
        <v>1.3.</v>
      </c>
      <c r="P29" s="118" t="s">
        <v>750</v>
      </c>
      <c r="Q29" s="119" t="s">
        <v>1007</v>
      </c>
      <c r="R29" s="120" t="s">
        <v>1020</v>
      </c>
      <c r="S29" s="121" t="s">
        <v>688</v>
      </c>
      <c r="T29" s="122">
        <f ca="1">OFFSET(CÁLCULO!H$15,ROW($T29)-ROW(T$15),0)</f>
        <v>0</v>
      </c>
      <c r="U29" s="123"/>
      <c r="V29" s="124" t="s">
        <v>663</v>
      </c>
      <c r="W29" s="122">
        <f t="array" aca="1" ref="W29" ca="1">IF($C29="S",ROUND(IF(TIPOORCAMENTO="Proposto",ORÇAMENTO.CustoUnitario*(1+$AH29),ORÇAMENTO.PrecoUnitarioLicitado),15-13*$AF$10),0)</f>
        <v>0</v>
      </c>
      <c r="X29" s="125">
        <f t="array" aca="1" ref="X29" ca="1">IF($C29="S",IF(OR(Import.TipoArredondamento&lt;&gt;"TransfereGOV",ACOMPANHAMENTO="BM"),VTOTAL1,SUM(OFFSET(CÁLCULO!$AI$15,ROW($X29)-ROW($X$15),1):OFFSET(CÁLCULO!$BB$15,ROW($X29)-ROW($X$15),-1))),IF($C29=0,0,ROUND(SomaAgrup,15-13*$AF$11)))</f>
        <v>102880.01</v>
      </c>
      <c r="Y29" s="126" t="s">
        <v>958</v>
      </c>
      <c r="Z29" s="696" t="str">
        <f t="shared" ca="1" si="13"/>
        <v/>
      </c>
      <c r="AA29" s="127">
        <f t="array" aca="1" ref="AA29" ca="1">IF($C29="S",IF($Z29="CP",$X29,IF($Z29="RA",(($X29)*QCI!$AA$3),0)),SomaAgrup)</f>
        <v>0</v>
      </c>
      <c r="AB29" s="128">
        <f t="array" aca="1" ref="AB29" ca="1">IF($C29="S",IF($Z29="OU",ROUND($X29,2),0),SomaAgrup)</f>
        <v>0</v>
      </c>
      <c r="AC29" s="563" t="str">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s="696">
        <f ca="1">IF(C29&lt;=CRONO.NivelExibicao,MAX($AD$15:OFFSET(AD29,-1,0))+IF($C29&lt;&gt;1,1,MAX(1,COUNTIF(QCI!$A$13:$A$24,OFFSET($E29,-1,0)))),"")</f>
        <v>4</v>
      </c>
      <c r="AE29" s="694" t="b">
        <f t="array" aca="1" ref="AE29" ca="1">IF(AND($C29="S",ORÇAMENTO.CodBarra&lt;&gt;""),IF(ORÇAMENTO.Fonte="",ORÇAMENTO.CodBarra,CONCATENATE(ORÇAMENTO.Fonte," ",ORÇAMENTO.CodBarra)))</f>
        <v>0</v>
      </c>
      <c r="AF29" s="695" t="str">
        <f t="array" aca="1" ref="AF29" ca="1">IF(ISERROR(ORÇAMENTO.BancoRef),"(abra o arquivo 'Referência "&amp;Excel_BuiltIn_Database&amp;".xlsm)",IF(OR($C29&lt;&gt;"S",ORÇAMENTO.CodBarra=""),"(Sem Código)",IF(ISERROR(MATCH($AE29,INDIRECT(ORÇAMENTO.BancoRef),0)),"(Código não identificado nas referências)",MATCH($AE29,INDIRECT(ORÇAMENTO.BancoRef),0))))</f>
        <v>(Sem Código)</v>
      </c>
      <c r="AG29" s="428">
        <f t="array" aca="1" ref="AG29" ca="1">ROUND(IF(DESONERACAO="sim",REFERENCIA.Desonerado,REFERENCIA.NaoDesonerado),2)</f>
        <v>0</v>
      </c>
      <c r="AH29" s="429">
        <f t="shared" ca="1" si="14"/>
        <v>0.29389999999999999</v>
      </c>
      <c r="AJ29" s="431"/>
      <c r="AL29" s="439"/>
      <c r="AM29" s="336">
        <f t="shared" ca="1" si="0"/>
        <v>102880.01</v>
      </c>
      <c r="AN29" s="469">
        <f t="array" aca="1" ref="AN29" ca="1">ROUND(ORÇAMENTO.CustoUnitario*(1+$AH29),2)</f>
        <v>0</v>
      </c>
    </row>
    <row r="30" spans="1:40" s="696" customFormat="1" x14ac:dyDescent="0.2">
      <c r="A30" s="696" t="str">
        <f t="shared" si="1"/>
        <v>S</v>
      </c>
      <c r="B30" s="696">
        <f t="shared" ca="1" si="2"/>
        <v>2</v>
      </c>
      <c r="C30" s="696" t="str">
        <f t="shared" ca="1" si="3"/>
        <v>S</v>
      </c>
      <c r="D30" s="696">
        <f t="shared" ca="1" si="4"/>
        <v>0</v>
      </c>
      <c r="E30" s="696">
        <f ca="1">IF($C30=1,OFFSET(E30,-1,0)+MAX(1,COUNTIF(QCI!$A$13:$A$24,OFFSET(ORÇAMENTO!E30,-1,0))),OFFSET(E30,-1,0))</f>
        <v>1</v>
      </c>
      <c r="F30" s="696">
        <f t="shared" ca="1" si="5"/>
        <v>3</v>
      </c>
      <c r="G30" s="696">
        <f t="shared" ca="1" si="6"/>
        <v>0</v>
      </c>
      <c r="H30" s="696">
        <f t="shared" ca="1" si="7"/>
        <v>0</v>
      </c>
      <c r="I30" s="696">
        <f t="shared" ca="1" si="8"/>
        <v>1</v>
      </c>
      <c r="J30" s="696">
        <f t="shared" ca="1" si="9"/>
        <v>0</v>
      </c>
      <c r="K30" s="696">
        <f ca="1">IF(OR($C30="S",$C30=0),0,MATCH(OFFSET($D30,0,$C30)+IF($C30&lt;&gt;1,1,COUNTIF(QCI!$A$13:$A$24,ORÇAMENTO!E30)),OFFSET($D30,1,$C30,ROW($C$235)-ROW($C30)),0))</f>
        <v>0</v>
      </c>
      <c r="L30" s="114" t="str">
        <f t="shared" ca="1" si="10"/>
        <v>F</v>
      </c>
      <c r="M30" s="115" t="s">
        <v>705</v>
      </c>
      <c r="N30" s="116" t="str">
        <f t="shared" ca="1" si="11"/>
        <v>Serviço</v>
      </c>
      <c r="O30" s="117" t="str">
        <f t="shared" ca="1" si="12"/>
        <v>1.3.1.</v>
      </c>
      <c r="P30" s="118" t="s">
        <v>956</v>
      </c>
      <c r="Q30" s="119" t="s">
        <v>1354</v>
      </c>
      <c r="R30" s="120" t="str">
        <f t="array" aca="1" ref="R30" ca="1">IF($C30="S",REFERENCIA.Descricao,"(digite a descrição aqui)")</f>
        <v>ADMINISTAÇÃO LOCAL</v>
      </c>
      <c r="S30" s="121" t="s">
        <v>135</v>
      </c>
      <c r="T30" s="122">
        <f ca="1">OFFSET(CÁLCULO!H$15,ROW($T30)-ROW(T$15),0)</f>
        <v>100</v>
      </c>
      <c r="U30" s="123">
        <v>854.91</v>
      </c>
      <c r="V30" s="124" t="s">
        <v>697</v>
      </c>
      <c r="W30" s="122">
        <f t="array" aca="1" ref="W30" ca="1">IF($C30="S",ROUND(IF(TIPOORCAMENTO="Proposto",ORÇAMENTO.CustoUnitario*(1+$AH30),ORÇAMENTO.PrecoUnitarioLicitado),15-13*$AF$10),0)</f>
        <v>1028.8</v>
      </c>
      <c r="X30" s="125">
        <f t="array" aca="1" ref="X30" ca="1">IF($C30="S",IF(OR(Import.TipoArredondamento&lt;&gt;"TransfereGOV",ACOMPANHAMENTO="BM"),VTOTAL1,SUM(OFFSET(CÁLCULO!$AI$15,ROW($X30)-ROW($X$15),1):OFFSET(CÁLCULO!$BB$15,ROW($X30)-ROW($X$15),-1))),IF($C30=0,0,ROUND(SomaAgrup,15-13*$AF$11)))</f>
        <v>102880.01000000001</v>
      </c>
      <c r="Y30" s="126" t="s">
        <v>751</v>
      </c>
      <c r="Z30" s="696" t="str">
        <f t="shared" ca="1" si="13"/>
        <v>RA</v>
      </c>
      <c r="AA30" s="127">
        <f t="array" aca="1" ref="AA30" ca="1">IF($C30="S",IF($Z30="CP",$X30,IF($Z30="RA",(($X30)*QCI!$AA$3),0)),SomaAgrup)</f>
        <v>0</v>
      </c>
      <c r="AB30" s="128">
        <f t="array" aca="1" ref="AB30" ca="1">IF($C30="S",IF($Z30="OU",ROUND($X30,2),0),SomaAgrup)</f>
        <v>0</v>
      </c>
      <c r="AC30" s="563" t="str">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s="696" t="str">
        <f ca="1">IF(C30&lt;=CRONO.NivelExibicao,MAX($AD$15:OFFSET(AD30,-1,0))+IF($C30&lt;&gt;1,1,MAX(1,COUNTIF(QCI!$A$13:$A$24,OFFSET($E30,-1,0)))),"")</f>
        <v/>
      </c>
      <c r="AE30" s="694" t="str">
        <f t="array" aca="1" ref="AE30" ca="1">IF(AND($C30="S",ORÇAMENTO.CodBarra&lt;&gt;""),IF(ORÇAMENTO.Fonte="",ORÇAMENTO.CodBarra,CONCATENATE(ORÇAMENTO.Fonte," ",ORÇAMENTO.CodBarra)))</f>
        <v>Composição COMP 06</v>
      </c>
      <c r="AF30" s="695">
        <f t="array" aca="1" ref="AF30" ca="1">IF(ISERROR(ORÇAMENTO.BancoRef),"(abra o arquivo 'Referência "&amp;Excel_BuiltIn_Database&amp;".xlsm)",IF(OR($C30&lt;&gt;"S",ORÇAMENTO.CodBarra=""),"(Sem Código)",IF(ISERROR(MATCH($AE30,INDIRECT(ORÇAMENTO.BancoRef),0)),"(Código não identificado nas referências)",MATCH($AE30,INDIRECT(ORÇAMENTO.BancoRef),0))))</f>
        <v>8</v>
      </c>
      <c r="AG30" s="428">
        <f t="array" aca="1" ref="AG30" ca="1">ROUND(IF(DESONERACAO="sim",REFERENCIA.Desonerado,REFERENCIA.NaoDesonerado),2)</f>
        <v>854.91</v>
      </c>
      <c r="AH30" s="429">
        <f t="shared" ca="1" si="14"/>
        <v>0.2034</v>
      </c>
      <c r="AJ30" s="431"/>
      <c r="AL30" s="439"/>
      <c r="AM30" s="336">
        <f t="shared" ca="1" si="0"/>
        <v>102880.01000000001</v>
      </c>
      <c r="AN30" s="469">
        <f t="array" aca="1" ref="AN30" ca="1">ROUND(ORÇAMENTO.CustoUnitario*(1+$AH30),2)</f>
        <v>1028.8</v>
      </c>
    </row>
    <row r="31" spans="1:40" s="696" customFormat="1" x14ac:dyDescent="0.2">
      <c r="A31" s="696">
        <f t="shared" si="1"/>
        <v>2</v>
      </c>
      <c r="B31" s="696">
        <f t="shared" ca="1" si="2"/>
        <v>2</v>
      </c>
      <c r="C31" s="696">
        <f t="shared" ca="1" si="3"/>
        <v>2</v>
      </c>
      <c r="D31" s="696">
        <f t="shared" ca="1" si="4"/>
        <v>11</v>
      </c>
      <c r="E31" s="696">
        <f ca="1">IF($C31=1,OFFSET(E31,-1,0)+MAX(1,COUNTIF(QCI!$A$13:$A$24,OFFSET(ORÇAMENTO!E31,-1,0))),OFFSET(E31,-1,0))</f>
        <v>1</v>
      </c>
      <c r="F31" s="696">
        <f t="shared" ca="1" si="5"/>
        <v>4</v>
      </c>
      <c r="G31" s="696">
        <f t="shared" ca="1" si="6"/>
        <v>0</v>
      </c>
      <c r="H31" s="696">
        <f t="shared" ca="1" si="7"/>
        <v>0</v>
      </c>
      <c r="I31" s="696">
        <f t="shared" ca="1" si="8"/>
        <v>0</v>
      </c>
      <c r="J31" s="696">
        <f t="shared" ca="1" si="9"/>
        <v>204</v>
      </c>
      <c r="K31" s="696">
        <f ca="1">IF(OR($C31="S",$C31=0),0,MATCH(OFFSET($D31,0,$C31)+IF($C31&lt;&gt;1,1,COUNTIF(QCI!$A$13:$A$24,ORÇAMENTO!E31)),OFFSET($D31,1,$C31,ROW($C$235)-ROW($C31)),0))</f>
        <v>11</v>
      </c>
      <c r="L31" s="114" t="str">
        <f t="shared" ca="1" si="10"/>
        <v>F</v>
      </c>
      <c r="M31" s="115" t="s">
        <v>702</v>
      </c>
      <c r="N31" s="116" t="str">
        <f t="shared" ca="1" si="11"/>
        <v>Nível 2</v>
      </c>
      <c r="O31" s="117" t="str">
        <f t="shared" ca="1" si="12"/>
        <v>1.4.</v>
      </c>
      <c r="P31" s="118" t="s">
        <v>750</v>
      </c>
      <c r="Q31" s="119"/>
      <c r="R31" s="120" t="s">
        <v>1021</v>
      </c>
      <c r="S31" s="121" t="s">
        <v>688</v>
      </c>
      <c r="T31" s="122">
        <f ca="1">OFFSET(CÁLCULO!H$15,ROW($T31)-ROW(T$15),0)</f>
        <v>0</v>
      </c>
      <c r="U31" s="123"/>
      <c r="V31" s="124" t="s">
        <v>663</v>
      </c>
      <c r="W31" s="122">
        <f t="array" aca="1" ref="W31" ca="1">IF($C31="S",ROUND(IF(TIPOORCAMENTO="Proposto",ORÇAMENTO.CustoUnitario*(1+$AH31),ORÇAMENTO.PrecoUnitarioLicitado),15-13*$AF$10),0)</f>
        <v>0</v>
      </c>
      <c r="X31" s="125">
        <f t="array" aca="1" ref="X31" ca="1">IF($C31="S",IF(OR(Import.TipoArredondamento&lt;&gt;"TransfereGOV",ACOMPANHAMENTO="BM"),VTOTAL1,SUM(OFFSET(CÁLCULO!$AI$15,ROW($X31)-ROW($X$15),1):OFFSET(CÁLCULO!$BB$15,ROW($X31)-ROW($X$15),-1))),IF($C31=0,0,ROUND(SomaAgrup,15-13*$AF$11)))</f>
        <v>138162.01</v>
      </c>
      <c r="Y31" s="126" t="s">
        <v>751</v>
      </c>
      <c r="Z31" s="696" t="str">
        <f t="shared" ca="1" si="13"/>
        <v/>
      </c>
      <c r="AA31" s="127">
        <f t="array" aca="1" ref="AA31" ca="1">IF($C31="S",IF($Z31="CP",$X31,IF($Z31="RA",(($X31)*QCI!$AA$3),0)),SomaAgrup)</f>
        <v>0</v>
      </c>
      <c r="AB31" s="128">
        <f t="array" aca="1" ref="AB31" ca="1">IF($C31="S",IF($Z31="OU",ROUND($X31,2),0),SomaAgrup)</f>
        <v>0</v>
      </c>
      <c r="AC31" s="563" t="str">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696">
        <f ca="1">IF(C31&lt;=CRONO.NivelExibicao,MAX($AD$15:OFFSET(AD31,-1,0))+IF($C31&lt;&gt;1,1,MAX(1,COUNTIF(QCI!$A$13:$A$24,OFFSET($E31,-1,0)))),"")</f>
        <v>5</v>
      </c>
      <c r="AE31" s="694" t="b">
        <f t="array" aca="1" ref="AE31" ca="1">IF(AND($C31="S",ORÇAMENTO.CodBarra&lt;&gt;""),IF(ORÇAMENTO.Fonte="",ORÇAMENTO.CodBarra,CONCATENATE(ORÇAMENTO.Fonte," ",ORÇAMENTO.CodBarra)))</f>
        <v>0</v>
      </c>
      <c r="AF31" s="695" t="str">
        <f t="array" aca="1" ref="AF31" ca="1">IF(ISERROR(ORÇAMENTO.BancoRef),"(abra o arquivo 'Referência "&amp;Excel_BuiltIn_Database&amp;".xlsm)",IF(OR($C31&lt;&gt;"S",ORÇAMENTO.CodBarra=""),"(Sem Código)",IF(ISERROR(MATCH($AE31,INDIRECT(ORÇAMENTO.BancoRef),0)),"(Código não identificado nas referências)",MATCH($AE31,INDIRECT(ORÇAMENTO.BancoRef),0))))</f>
        <v>(Sem Código)</v>
      </c>
      <c r="AG31" s="428">
        <f t="array" aca="1" ref="AG31" ca="1">ROUND(IF(DESONERACAO="sim",REFERENCIA.Desonerado,REFERENCIA.NaoDesonerado),2)</f>
        <v>0</v>
      </c>
      <c r="AH31" s="429">
        <f t="shared" ca="1" si="14"/>
        <v>0.29389999999999999</v>
      </c>
      <c r="AJ31" s="431"/>
      <c r="AL31" s="439"/>
      <c r="AM31" s="336">
        <f t="shared" ca="1" si="0"/>
        <v>138162.01</v>
      </c>
      <c r="AN31" s="469">
        <f t="array" aca="1" ref="AN31" ca="1">ROUND(ORÇAMENTO.CustoUnitario*(1+$AH31),2)</f>
        <v>0</v>
      </c>
    </row>
    <row r="32" spans="1:40" s="696" customFormat="1" ht="25.5" x14ac:dyDescent="0.2">
      <c r="A32" s="696" t="str">
        <f t="shared" si="1"/>
        <v>S</v>
      </c>
      <c r="B32" s="696">
        <f t="shared" ca="1" si="2"/>
        <v>2</v>
      </c>
      <c r="C32" s="696" t="str">
        <f t="shared" ca="1" si="3"/>
        <v>S</v>
      </c>
      <c r="D32" s="696">
        <f t="shared" ca="1" si="4"/>
        <v>0</v>
      </c>
      <c r="E32" s="696">
        <f ca="1">IF($C32=1,OFFSET(E32,-1,0)+MAX(1,COUNTIF(QCI!$A$13:$A$24,OFFSET(ORÇAMENTO!E32,-1,0))),OFFSET(E32,-1,0))</f>
        <v>1</v>
      </c>
      <c r="F32" s="696">
        <f t="shared" ca="1" si="5"/>
        <v>4</v>
      </c>
      <c r="G32" s="696">
        <f t="shared" ca="1" si="6"/>
        <v>0</v>
      </c>
      <c r="H32" s="696">
        <f t="shared" ca="1" si="7"/>
        <v>0</v>
      </c>
      <c r="I32" s="696">
        <f t="shared" ca="1" si="8"/>
        <v>1</v>
      </c>
      <c r="J32" s="696">
        <f t="shared" ca="1" si="9"/>
        <v>0</v>
      </c>
      <c r="K32" s="696">
        <f ca="1">IF(OR($C32="S",$C32=0),0,MATCH(OFFSET($D32,0,$C32)+IF($C32&lt;&gt;1,1,COUNTIF(QCI!$A$13:$A$24,ORÇAMENTO!E32)),OFFSET($D32,1,$C32,ROW($C$235)-ROW($C32)),0))</f>
        <v>0</v>
      </c>
      <c r="L32" s="114" t="str">
        <f t="shared" ca="1" si="10"/>
        <v>F</v>
      </c>
      <c r="M32" s="115" t="s">
        <v>705</v>
      </c>
      <c r="N32" s="116" t="str">
        <f t="shared" ca="1" si="11"/>
        <v>Serviço</v>
      </c>
      <c r="O32" s="117" t="str">
        <f t="shared" ca="1" si="12"/>
        <v>1.4.1.</v>
      </c>
      <c r="P32" s="118" t="s">
        <v>750</v>
      </c>
      <c r="Q32" s="119" t="s">
        <v>1007</v>
      </c>
      <c r="R32" s="120" t="str">
        <f t="array" aca="1" ref="R32" ca="1">IF($C32="S",REFERENCIA.Descricao,"(digite a descrição aqui)")</f>
        <v>LOCAÇÃO COM CAVALETE COM ALTURA DE 0,50 M - 2 UTILIZAÇÕES. AF_03/2024</v>
      </c>
      <c r="S32" s="121" t="str">
        <f t="array" aca="1" ref="S32" ca="1">REFERENCIA.Unidade</f>
        <v>UN</v>
      </c>
      <c r="T32" s="122">
        <f ca="1">OFFSET(CÁLCULO!H$15,ROW($T32)-ROW(T$15),0)</f>
        <v>20</v>
      </c>
      <c r="U32" s="123">
        <f>133.69*0.94</f>
        <v>125.66859999999998</v>
      </c>
      <c r="V32" s="124" t="s">
        <v>697</v>
      </c>
      <c r="W32" s="122">
        <f t="array" aca="1" ref="W32" ca="1">IF($C32="S",ROUND(IF(TIPOORCAMENTO="Proposto",ORÇAMENTO.CustoUnitario*(1+$AH32),ORÇAMENTO.PrecoUnitarioLicitado),15-13*$AF$10),0)</f>
        <v>151.22999999999999</v>
      </c>
      <c r="X32" s="125">
        <f t="array" aca="1" ref="X32" ca="1">IF($C32="S",IF(OR(Import.TipoArredondamento&lt;&gt;"TransfereGOV",ACOMPANHAMENTO="BM"),VTOTAL1,SUM(OFFSET(CÁLCULO!$AI$15,ROW($X32)-ROW($X$15),1):OFFSET(CÁLCULO!$BB$15,ROW($X32)-ROW($X$15),-1))),IF($C32=0,0,ROUND(SomaAgrup,15-13*$AF$11)))</f>
        <v>3024.6</v>
      </c>
      <c r="Y32" s="126" t="s">
        <v>751</v>
      </c>
      <c r="Z32" s="696" t="str">
        <f t="shared" ca="1" si="13"/>
        <v>RA</v>
      </c>
      <c r="AA32" s="127">
        <f t="array" aca="1" ref="AA32" ca="1">IF($C32="S",IF($Z32="CP",$X32,IF($Z32="RA",(($X32)*QCI!$AA$3),0)),SomaAgrup)</f>
        <v>0</v>
      </c>
      <c r="AB32" s="128">
        <f t="array" aca="1" ref="AB32" ca="1">IF($C32="S",IF($Z32="OU",ROUND($X32,2),0),SomaAgrup)</f>
        <v>0</v>
      </c>
      <c r="AC32" s="563" t="str">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696" t="str">
        <f ca="1">IF(C32&lt;=CRONO.NivelExibicao,MAX($AD$15:OFFSET(AD32,-1,0))+IF($C32&lt;&gt;1,1,MAX(1,COUNTIF(QCI!$A$13:$A$24,OFFSET($E32,-1,0)))),"")</f>
        <v/>
      </c>
      <c r="AE32" s="694" t="str">
        <f t="array" aca="1" ref="AE32" ca="1">IF(AND($C32="S",ORÇAMENTO.CodBarra&lt;&gt;""),IF(ORÇAMENTO.Fonte="",ORÇAMENTO.CodBarra,CONCATENATE(ORÇAMENTO.Fonte," ",ORÇAMENTO.CodBarra)))</f>
        <v>SINAPI 99061</v>
      </c>
      <c r="AF32" s="695">
        <f t="array" aca="1" ref="AF32" ca="1">IF(ISERROR(ORÇAMENTO.BancoRef),"(abra o arquivo 'Referência "&amp;Excel_BuiltIn_Database&amp;".xlsm)",IF(OR($C32&lt;&gt;"S",ORÇAMENTO.CodBarra=""),"(Sem Código)",IF(ISERROR(MATCH($AE32,INDIRECT(ORÇAMENTO.BancoRef),0)),"(Código não identificado nas referências)",MATCH($AE32,INDIRECT(ORÇAMENTO.BancoRef),0))))</f>
        <v>13167</v>
      </c>
      <c r="AG32" s="428">
        <f t="array" aca="1" ref="AG32" ca="1">ROUND(IF(DESONERACAO="sim",REFERENCIA.Desonerado,REFERENCIA.NaoDesonerado),2)</f>
        <v>133.69</v>
      </c>
      <c r="AH32" s="429">
        <f t="shared" ca="1" si="14"/>
        <v>0.2034</v>
      </c>
      <c r="AJ32" s="431"/>
      <c r="AL32" s="439"/>
      <c r="AM32" s="336">
        <f t="shared" ca="1" si="0"/>
        <v>3024.6</v>
      </c>
      <c r="AN32" s="469">
        <f t="array" aca="1" ref="AN32" ca="1">ROUND(ORÇAMENTO.CustoUnitario*(1+$AH32),2)</f>
        <v>151.22999999999999</v>
      </c>
    </row>
    <row r="33" spans="1:40" s="696" customFormat="1" ht="38.25" x14ac:dyDescent="0.2">
      <c r="A33" s="696" t="str">
        <f t="shared" si="1"/>
        <v>S</v>
      </c>
      <c r="B33" s="696">
        <f t="shared" ca="1" si="2"/>
        <v>2</v>
      </c>
      <c r="C33" s="696" t="str">
        <f t="shared" ca="1" si="3"/>
        <v>S</v>
      </c>
      <c r="D33" s="696">
        <f t="shared" ca="1" si="4"/>
        <v>0</v>
      </c>
      <c r="E33" s="696">
        <f ca="1">IF($C33=1,OFFSET(E33,-1,0)+MAX(1,COUNTIF(QCI!$A$13:$A$24,OFFSET(ORÇAMENTO!E33,-1,0))),OFFSET(E33,-1,0))</f>
        <v>1</v>
      </c>
      <c r="F33" s="696">
        <f t="shared" ca="1" si="5"/>
        <v>4</v>
      </c>
      <c r="G33" s="696">
        <f t="shared" ca="1" si="6"/>
        <v>0</v>
      </c>
      <c r="H33" s="696">
        <f t="shared" ca="1" si="7"/>
        <v>0</v>
      </c>
      <c r="I33" s="696">
        <f t="shared" ca="1" si="8"/>
        <v>2</v>
      </c>
      <c r="J33" s="696">
        <f t="shared" ca="1" si="9"/>
        <v>0</v>
      </c>
      <c r="K33" s="696">
        <f ca="1">IF(OR($C33="S",$C33=0),0,MATCH(OFFSET($D33,0,$C33)+IF($C33&lt;&gt;1,1,COUNTIF(QCI!$A$13:$A$24,ORÇAMENTO!E33)),OFFSET($D33,1,$C33,ROW($C$235)-ROW($C33)),0))</f>
        <v>0</v>
      </c>
      <c r="L33" s="114" t="str">
        <f t="shared" ca="1" si="10"/>
        <v>F</v>
      </c>
      <c r="M33" s="115" t="s">
        <v>705</v>
      </c>
      <c r="N33" s="116" t="str">
        <f t="shared" ca="1" si="11"/>
        <v>Serviço</v>
      </c>
      <c r="O33" s="117" t="str">
        <f t="shared" ca="1" si="12"/>
        <v>1.4.2.</v>
      </c>
      <c r="P33" s="118" t="s">
        <v>750</v>
      </c>
      <c r="Q33" s="119" t="s">
        <v>1023</v>
      </c>
      <c r="R33" s="120" t="str">
        <f t="array" aca="1" ref="R33" ca="1">IF($C33="S",REFERENCIA.Descricao,"(digite a descrição aqui)")</f>
        <v>ESCAVAÇÃO MECANIZADA PARA BLOCO DE COROAMENTO OU SAPATA COM RETROESCAVADEIRA (INCLUINDO ESCAVAÇÃO PARA COLOCAÇÃO DE FÔRMAS). AF_01/2024</v>
      </c>
      <c r="S33" s="121" t="str">
        <f t="array" aca="1" ref="S33" ca="1">REFERENCIA.Unidade</f>
        <v>M3</v>
      </c>
      <c r="T33" s="122">
        <f ca="1">OFFSET(CÁLCULO!H$15,ROW($T33)-ROW(T$15),0)</f>
        <v>64.849999999999994</v>
      </c>
      <c r="U33" s="123">
        <f>44.4*0.94</f>
        <v>41.735999999999997</v>
      </c>
      <c r="V33" s="124" t="s">
        <v>697</v>
      </c>
      <c r="W33" s="122">
        <f t="array" aca="1" ref="W33" ca="1">IF($C33="S",ROUND(IF(TIPOORCAMENTO="Proposto",ORÇAMENTO.CustoUnitario*(1+$AH33),ORÇAMENTO.PrecoUnitarioLicitado),15-13*$AF$10),0)</f>
        <v>50.23</v>
      </c>
      <c r="X33" s="125">
        <f t="array" aca="1" ref="X33" ca="1">IF($C33="S",IF(OR(Import.TipoArredondamento&lt;&gt;"TransfereGOV",ACOMPANHAMENTO="BM"),VTOTAL1,SUM(OFFSET(CÁLCULO!$AI$15,ROW($X33)-ROW($X$15),1):OFFSET(CÁLCULO!$BB$15,ROW($X33)-ROW($X$15),-1))),IF($C33=0,0,ROUND(SomaAgrup,15-13*$AF$11)))</f>
        <v>3257.4100000000003</v>
      </c>
      <c r="Y33" s="126" t="s">
        <v>751</v>
      </c>
      <c r="Z33" s="696" t="str">
        <f t="shared" ca="1" si="13"/>
        <v>RA</v>
      </c>
      <c r="AA33" s="127">
        <f t="array" aca="1" ref="AA33" ca="1">IF($C33="S",IF($Z33="CP",$X33,IF($Z33="RA",(($X33)*QCI!$AA$3),0)),SomaAgrup)</f>
        <v>0</v>
      </c>
      <c r="AB33" s="128">
        <f t="array" aca="1" ref="AB33" ca="1">IF($C33="S",IF($Z33="OU",ROUND($X33,2),0),SomaAgrup)</f>
        <v>0</v>
      </c>
      <c r="AC33" s="563" t="str">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696" t="str">
        <f ca="1">IF(C33&lt;=CRONO.NivelExibicao,MAX($AD$15:OFFSET(AD33,-1,0))+IF($C33&lt;&gt;1,1,MAX(1,COUNTIF(QCI!$A$13:$A$24,OFFSET($E33,-1,0)))),"")</f>
        <v/>
      </c>
      <c r="AE33" s="694" t="str">
        <f t="array" aca="1" ref="AE33" ca="1">IF(AND($C33="S",ORÇAMENTO.CodBarra&lt;&gt;""),IF(ORÇAMENTO.Fonte="",ORÇAMENTO.CodBarra,CONCATENATE(ORÇAMENTO.Fonte," ",ORÇAMENTO.CodBarra)))</f>
        <v>SINAPI 96521</v>
      </c>
      <c r="AF33" s="695">
        <f t="array" aca="1" ref="AF33" ca="1">IF(ISERROR(ORÇAMENTO.BancoRef),"(abra o arquivo 'Referência "&amp;Excel_BuiltIn_Database&amp;".xlsm)",IF(OR($C33&lt;&gt;"S",ORÇAMENTO.CodBarra=""),"(Sem Código)",IF(ISERROR(MATCH($AE33,INDIRECT(ORÇAMENTO.BancoRef),0)),"(Código não identificado nas referências)",MATCH($AE33,INDIRECT(ORÇAMENTO.BancoRef),0))))</f>
        <v>9997</v>
      </c>
      <c r="AG33" s="428">
        <f t="array" aca="1" ref="AG33" ca="1">ROUND(IF(DESONERACAO="sim",REFERENCIA.Desonerado,REFERENCIA.NaoDesonerado),2)</f>
        <v>44.4</v>
      </c>
      <c r="AH33" s="429">
        <f t="shared" ca="1" si="14"/>
        <v>0.2034</v>
      </c>
      <c r="AJ33" s="431"/>
      <c r="AL33" s="439"/>
      <c r="AM33" s="336">
        <f t="shared" ca="1" si="0"/>
        <v>3257.4100000000003</v>
      </c>
      <c r="AN33" s="469">
        <f t="array" aca="1" ref="AN33" ca="1">ROUND(ORÇAMENTO.CustoUnitario*(1+$AH33),2)</f>
        <v>50.23</v>
      </c>
    </row>
    <row r="34" spans="1:40" s="696" customFormat="1" ht="25.5" x14ac:dyDescent="0.2">
      <c r="A34" s="696" t="str">
        <f t="shared" si="1"/>
        <v>S</v>
      </c>
      <c r="B34" s="696">
        <f t="shared" ca="1" si="2"/>
        <v>2</v>
      </c>
      <c r="C34" s="696" t="str">
        <f t="shared" ca="1" si="3"/>
        <v>S</v>
      </c>
      <c r="D34" s="696">
        <f t="shared" ca="1" si="4"/>
        <v>0</v>
      </c>
      <c r="E34" s="696">
        <f ca="1">IF($C34=1,OFFSET(E34,-1,0)+MAX(1,COUNTIF(QCI!$A$13:$A$24,OFFSET(ORÇAMENTO!E34,-1,0))),OFFSET(E34,-1,0))</f>
        <v>1</v>
      </c>
      <c r="F34" s="696">
        <f t="shared" ca="1" si="5"/>
        <v>4</v>
      </c>
      <c r="G34" s="696">
        <f t="shared" ca="1" si="6"/>
        <v>0</v>
      </c>
      <c r="H34" s="696">
        <f t="shared" ca="1" si="7"/>
        <v>0</v>
      </c>
      <c r="I34" s="696">
        <f t="shared" ca="1" si="8"/>
        <v>3</v>
      </c>
      <c r="J34" s="696">
        <f t="shared" ca="1" si="9"/>
        <v>0</v>
      </c>
      <c r="K34" s="696">
        <f ca="1">IF(OR($C34="S",$C34=0),0,MATCH(OFFSET($D34,0,$C34)+IF($C34&lt;&gt;1,1,COUNTIF(QCI!$A$13:$A$24,ORÇAMENTO!E34)),OFFSET($D34,1,$C34,ROW($C$235)-ROW($C34)),0))</f>
        <v>0</v>
      </c>
      <c r="L34" s="114" t="str">
        <f t="shared" ca="1" si="10"/>
        <v>F</v>
      </c>
      <c r="M34" s="115" t="s">
        <v>705</v>
      </c>
      <c r="N34" s="116" t="str">
        <f t="shared" ca="1" si="11"/>
        <v>Serviço</v>
      </c>
      <c r="O34" s="117" t="str">
        <f t="shared" ca="1" si="12"/>
        <v>1.4.3.</v>
      </c>
      <c r="P34" s="118" t="s">
        <v>750</v>
      </c>
      <c r="Q34" s="119" t="s">
        <v>1024</v>
      </c>
      <c r="R34" s="120" t="str">
        <f t="array" aca="1" ref="R34" ca="1">IF($C34="S",REFERENCIA.Descricao,"(digite a descrição aqui)")</f>
        <v>PREPARO DE FUNDO DE VALA COM LARGURA MENOR QUE 1,5 M (ACERTO DO SOLO NATURAL). AF_08/2020</v>
      </c>
      <c r="S34" s="121" t="str">
        <f t="array" aca="1" ref="S34" ca="1">REFERENCIA.Unidade</f>
        <v>M2</v>
      </c>
      <c r="T34" s="122">
        <f ca="1">OFFSET(CÁLCULO!H$15,ROW($T34)-ROW(T$15),0)</f>
        <v>93.6</v>
      </c>
      <c r="U34" s="123">
        <f>6.93*0.94</f>
        <v>6.5141999999999998</v>
      </c>
      <c r="V34" s="124" t="s">
        <v>697</v>
      </c>
      <c r="W34" s="122">
        <f t="array" aca="1" ref="W34" ca="1">IF($C34="S",ROUND(IF(TIPOORCAMENTO="Proposto",ORÇAMENTO.CustoUnitario*(1+$AH34),ORÇAMENTO.PrecoUnitarioLicitado),15-13*$AF$10),0)</f>
        <v>7.83</v>
      </c>
      <c r="X34" s="125">
        <f t="array" aca="1" ref="X34" ca="1">IF($C34="S",IF(OR(Import.TipoArredondamento&lt;&gt;"TransfereGOV",ACOMPANHAMENTO="BM"),VTOTAL1,SUM(OFFSET(CÁLCULO!$AI$15,ROW($X34)-ROW($X$15),1):OFFSET(CÁLCULO!$BB$15,ROW($X34)-ROW($X$15),-1))),IF($C34=0,0,ROUND(SomaAgrup,15-13*$AF$11)))</f>
        <v>732.88</v>
      </c>
      <c r="Y34" s="126" t="s">
        <v>751</v>
      </c>
      <c r="Z34" s="696" t="str">
        <f t="shared" ca="1" si="13"/>
        <v>RA</v>
      </c>
      <c r="AA34" s="127">
        <f t="array" aca="1" ref="AA34" ca="1">IF($C34="S",IF($Z34="CP",$X34,IF($Z34="RA",(($X34)*QCI!$AA$3),0)),SomaAgrup)</f>
        <v>0</v>
      </c>
      <c r="AB34" s="128">
        <f t="array" aca="1" ref="AB34" ca="1">IF($C34="S",IF($Z34="OU",ROUND($X34,2),0),SomaAgrup)</f>
        <v>0</v>
      </c>
      <c r="AC34" s="563" t="str">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s="696" t="str">
        <f ca="1">IF(C34&lt;=CRONO.NivelExibicao,MAX($AD$15:OFFSET(AD34,-1,0))+IF($C34&lt;&gt;1,1,MAX(1,COUNTIF(QCI!$A$13:$A$24,OFFSET($E34,-1,0)))),"")</f>
        <v/>
      </c>
      <c r="AE34" s="694" t="str">
        <f t="array" aca="1" ref="AE34" ca="1">IF(AND($C34="S",ORÇAMENTO.CodBarra&lt;&gt;""),IF(ORÇAMENTO.Fonte="",ORÇAMENTO.CodBarra,CONCATENATE(ORÇAMENTO.Fonte," ",ORÇAMENTO.CodBarra)))</f>
        <v>SINAPI 101616</v>
      </c>
      <c r="AF34" s="695">
        <f t="array" aca="1" ref="AF34" ca="1">IF(ISERROR(ORÇAMENTO.BancoRef),"(abra o arquivo 'Referência "&amp;Excel_BuiltIn_Database&amp;".xlsm)",IF(OR($C34&lt;&gt;"S",ORÇAMENTO.CodBarra=""),"(Sem Código)",IF(ISERROR(MATCH($AE34,INDIRECT(ORÇAMENTO.BancoRef),0)),"(Código não identificado nas referências)",MATCH($AE34,INDIRECT(ORÇAMENTO.BancoRef),0))))</f>
        <v>9408</v>
      </c>
      <c r="AG34" s="428">
        <f t="array" aca="1" ref="AG34" ca="1">ROUND(IF(DESONERACAO="sim",REFERENCIA.Desonerado,REFERENCIA.NaoDesonerado),2)</f>
        <v>6.93</v>
      </c>
      <c r="AH34" s="429">
        <f t="shared" ca="1" si="14"/>
        <v>0.2034</v>
      </c>
      <c r="AJ34" s="431"/>
      <c r="AL34" s="439"/>
      <c r="AM34" s="336">
        <f t="shared" ca="1" si="0"/>
        <v>732.88</v>
      </c>
      <c r="AN34" s="469">
        <f t="array" aca="1" ref="AN34" ca="1">ROUND(ORÇAMENTO.CustoUnitario*(1+$AH34),2)</f>
        <v>7.83</v>
      </c>
    </row>
    <row r="35" spans="1:40" s="696" customFormat="1" ht="25.5" x14ac:dyDescent="0.2">
      <c r="A35" s="696" t="str">
        <f t="shared" si="1"/>
        <v>S</v>
      </c>
      <c r="B35" s="696">
        <f t="shared" ca="1" si="2"/>
        <v>2</v>
      </c>
      <c r="C35" s="696" t="str">
        <f t="shared" ca="1" si="3"/>
        <v>S</v>
      </c>
      <c r="D35" s="696">
        <f t="shared" ca="1" si="4"/>
        <v>0</v>
      </c>
      <c r="E35" s="696">
        <f ca="1">IF($C35=1,OFFSET(E35,-1,0)+MAX(1,COUNTIF(QCI!$A$13:$A$24,OFFSET(ORÇAMENTO!E35,-1,0))),OFFSET(E35,-1,0))</f>
        <v>1</v>
      </c>
      <c r="F35" s="696">
        <f t="shared" ca="1" si="5"/>
        <v>4</v>
      </c>
      <c r="G35" s="696">
        <f t="shared" ca="1" si="6"/>
        <v>0</v>
      </c>
      <c r="H35" s="696">
        <f t="shared" ca="1" si="7"/>
        <v>0</v>
      </c>
      <c r="I35" s="696">
        <f t="shared" ca="1" si="8"/>
        <v>4</v>
      </c>
      <c r="J35" s="696">
        <f t="shared" ca="1" si="9"/>
        <v>0</v>
      </c>
      <c r="K35" s="696">
        <f ca="1">IF(OR($C35="S",$C35=0),0,MATCH(OFFSET($D35,0,$C35)+IF($C35&lt;&gt;1,1,COUNTIF(QCI!$A$13:$A$24,ORÇAMENTO!E35)),OFFSET($D35,1,$C35,ROW($C$235)-ROW($C35)),0))</f>
        <v>0</v>
      </c>
      <c r="L35" s="114" t="str">
        <f t="shared" ca="1" si="10"/>
        <v>F</v>
      </c>
      <c r="M35" s="115" t="s">
        <v>705</v>
      </c>
      <c r="N35" s="116" t="str">
        <f t="shared" ca="1" si="11"/>
        <v>Serviço</v>
      </c>
      <c r="O35" s="117" t="str">
        <f t="shared" ca="1" si="12"/>
        <v>1.4.4.</v>
      </c>
      <c r="P35" s="118" t="s">
        <v>750</v>
      </c>
      <c r="Q35" s="119" t="s">
        <v>1025</v>
      </c>
      <c r="R35" s="120" t="str">
        <f t="array" aca="1" ref="R35" ca="1">IF($C35="S",REFERENCIA.Descricao,"(digite a descrição aqui)")</f>
        <v>LASTRO DE CONCRETO MAGRO, APLICADO EM BLOCOS DE COROAMENTO OU SAPATAS, ESPESSURA DE 5 CM. AF_01/2024</v>
      </c>
      <c r="S35" s="121" t="str">
        <f t="array" aca="1" ref="S35" ca="1">REFERENCIA.Unidade</f>
        <v>M2</v>
      </c>
      <c r="T35" s="122">
        <f ca="1">OFFSET(CÁLCULO!H$15,ROW($T35)-ROW(T$15),0)</f>
        <v>93.6</v>
      </c>
      <c r="U35" s="123">
        <f>45.37*0.94</f>
        <v>42.647799999999997</v>
      </c>
      <c r="V35" s="124" t="s">
        <v>697</v>
      </c>
      <c r="W35" s="122">
        <f t="array" aca="1" ref="W35" ca="1">IF($C35="S",ROUND(IF(TIPOORCAMENTO="Proposto",ORÇAMENTO.CustoUnitario*(1+$AH35),ORÇAMENTO.PrecoUnitarioLicitado),15-13*$AF$10),0)</f>
        <v>51.33</v>
      </c>
      <c r="X35" s="125">
        <f t="array" aca="1" ref="X35" ca="1">IF($C35="S",IF(OR(Import.TipoArredondamento&lt;&gt;"TransfereGOV",ACOMPANHAMENTO="BM"),VTOTAL1,SUM(OFFSET(CÁLCULO!$AI$15,ROW($X35)-ROW($X$15),1):OFFSET(CÁLCULO!$BB$15,ROW($X35)-ROW($X$15),-1))),IF($C35=0,0,ROUND(SomaAgrup,15-13*$AF$11)))</f>
        <v>4804.4799999999996</v>
      </c>
      <c r="Y35" s="126" t="s">
        <v>751</v>
      </c>
      <c r="Z35" s="696" t="str">
        <f t="shared" ca="1" si="13"/>
        <v>RA</v>
      </c>
      <c r="AA35" s="127">
        <f t="array" aca="1" ref="AA35" ca="1">IF($C35="S",IF($Z35="CP",$X35,IF($Z35="RA",(($X35)*QCI!$AA$3),0)),SomaAgrup)</f>
        <v>0</v>
      </c>
      <c r="AB35" s="128">
        <f t="array" aca="1" ref="AB35" ca="1">IF($C35="S",IF($Z35="OU",ROUND($X35,2),0),SomaAgrup)</f>
        <v>0</v>
      </c>
      <c r="AC35" s="563" t="str">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s="696" t="str">
        <f ca="1">IF(C35&lt;=CRONO.NivelExibicao,MAX($AD$15:OFFSET(AD35,-1,0))+IF($C35&lt;&gt;1,1,MAX(1,COUNTIF(QCI!$A$13:$A$24,OFFSET($E35,-1,0)))),"")</f>
        <v/>
      </c>
      <c r="AE35" s="694" t="str">
        <f t="array" aca="1" ref="AE35" ca="1">IF(AND($C35="S",ORÇAMENTO.CodBarra&lt;&gt;""),IF(ORÇAMENTO.Fonte="",ORÇAMENTO.CodBarra,CONCATENATE(ORÇAMENTO.Fonte," ",ORÇAMENTO.CodBarra)))</f>
        <v>SINAPI 96619</v>
      </c>
      <c r="AF35" s="695">
        <f t="array" aca="1" ref="AF35" ca="1">IF(ISERROR(ORÇAMENTO.BancoRef),"(abra o arquivo 'Referência "&amp;Excel_BuiltIn_Database&amp;".xlsm)",IF(OR($C35&lt;&gt;"S",ORÇAMENTO.CodBarra=""),"(Sem Código)",IF(ISERROR(MATCH($AE35,INDIRECT(ORÇAMENTO.BancoRef),0)),"(Código não identificado nas referências)",MATCH($AE35,INDIRECT(ORÇAMENTO.BancoRef),0))))</f>
        <v>12713</v>
      </c>
      <c r="AG35" s="428">
        <f t="array" aca="1" ref="AG35" ca="1">ROUND(IF(DESONERACAO="sim",REFERENCIA.Desonerado,REFERENCIA.NaoDesonerado),2)</f>
        <v>45.37</v>
      </c>
      <c r="AH35" s="429">
        <f t="shared" ca="1" si="14"/>
        <v>0.2034</v>
      </c>
      <c r="AJ35" s="431"/>
      <c r="AL35" s="439"/>
      <c r="AM35" s="336">
        <f t="shared" ca="1" si="0"/>
        <v>4804.4799999999996</v>
      </c>
      <c r="AN35" s="469">
        <f t="array" aca="1" ref="AN35" ca="1">ROUND(ORÇAMENTO.CustoUnitario*(1+$AH35),2)</f>
        <v>51.33</v>
      </c>
    </row>
    <row r="36" spans="1:40" s="712" customFormat="1" ht="38.25" x14ac:dyDescent="0.2">
      <c r="A36" s="712" t="str">
        <f>CHOOSE(1+LOG(1+2*(ORÇAMENTO.Nivel="Meta")+4*(ORÇAMENTO.Nivel="Nível 2")+8*(ORÇAMENTO.Nivel="Nível 3")+16*(ORÇAMENTO.Nivel="Nível 4")+32*(ORÇAMENTO.Nivel="Serviço"),2),0,1,2,3,4,"S")</f>
        <v>S</v>
      </c>
      <c r="B36" s="712">
        <f ca="1">IF(OR(C36="s",C36=0),OFFSET(B36,-1,0),C36)</f>
        <v>2</v>
      </c>
      <c r="C36" s="712" t="str">
        <f ca="1">IF(OFFSET(C36,-1,0)="L",1,IF(OFFSET(C36,-1,0)=1,2,IF(OR(A36="s",A36=0),"S",IF(AND(OFFSET(C36,-1,0)=2,A36=4),3,IF(AND(OR(OFFSET(C36,-1,0)="s",OFFSET(C36,-1,0)=0),A36&lt;&gt;"s",A36&gt;OFFSET(B36,-1,0)),OFFSET(B36,-1,0),A36)))))</f>
        <v>S</v>
      </c>
      <c r="D36" s="712">
        <f ca="1">IF(OR(C36="S",C36=0),0,IF(ISERROR(K36),J36,SMALL(J36:K36,1)))</f>
        <v>0</v>
      </c>
      <c r="E36" s="712">
        <f ca="1">IF($C36=1,OFFSET(E36,-1,0)+MAX(1,COUNTIF(QCI!$A$13:$A$24,OFFSET(ORÇAMENTO!E36,-1,0))),OFFSET(E36,-1,0))</f>
        <v>1</v>
      </c>
      <c r="F36" s="712">
        <f ca="1">IF($C36=1,0,IF($C36=2,OFFSET(F36,-1,0)+1,OFFSET(F36,-1,0)))</f>
        <v>4</v>
      </c>
      <c r="G36" s="712">
        <f ca="1">IF(AND($C36&lt;=2,$C36&lt;&gt;0),0,IF($C36=3,OFFSET(G36,-1,0)+1,OFFSET(G36,-1,0)))</f>
        <v>0</v>
      </c>
      <c r="H36" s="712">
        <f ca="1">IF(AND($C36&lt;=3,$C36&lt;&gt;0),0,IF($C36=4,OFFSET(H36,-1,0)+1,OFFSET(H36,-1,0)))</f>
        <v>0</v>
      </c>
      <c r="I36" s="712">
        <f ca="1">IF(AND($C36&lt;=4,$C36&lt;&gt;0),0,IF(AND($C36="S",$X36&gt;0),OFFSET(I36,-1,0)+1,OFFSET(I36,-1,0)))</f>
        <v>5</v>
      </c>
      <c r="J36" s="712">
        <f t="shared" ca="1" si="9"/>
        <v>0</v>
      </c>
      <c r="K36" s="712">
        <f ca="1">IF(OR($C36="S",$C36=0),0,MATCH(OFFSET($D36,0,$C36)+IF($C36&lt;&gt;1,1,COUNTIF(QCI!$A$13:$A$24,ORÇAMENTO!E36)),OFFSET($D36,1,$C36,ROW($C$235)-ROW($C36)),0))</f>
        <v>0</v>
      </c>
      <c r="L36" s="114" t="str">
        <f ca="1">IF(OR($X36&gt;0,$C36=1,$C36=2,$C36=3,$C36=4),"F","")</f>
        <v>F</v>
      </c>
      <c r="M36" s="115" t="s">
        <v>705</v>
      </c>
      <c r="N36" s="116" t="str">
        <f ca="1">CHOOSE(1+LOG(1+2*(C36=1)+4*(C36=2)+8*(C36=3)+16*(C36=4)+32*(C36="S"),2),"","Meta","Nível 2","Nível 3","Nível 4","Serviço")</f>
        <v>Serviço</v>
      </c>
      <c r="O36" s="117" t="str">
        <f ca="1">IF(OR($C36=0,$L36=""),"-",CONCATENATE(E36&amp;".",IF(AND($A$5&gt;=2,$C36&gt;=2),F36&amp;".",""),IF(AND($A$5&gt;=3,$C36&gt;=3),G36&amp;".",""),IF(AND($A$5&gt;=4,$C36&gt;=4),H36&amp;".",""),IF($C36="S",I36&amp;".","")))</f>
        <v>1.4.5.</v>
      </c>
      <c r="P36" s="118" t="s">
        <v>750</v>
      </c>
      <c r="Q36" s="119" t="s">
        <v>1026</v>
      </c>
      <c r="R36" s="120" t="str">
        <f t="array" aca="1" ref="R36" ca="1">IF($C36="S",REFERENCIA.Descricao,"(digite a descrição aqui)")</f>
        <v>FABRICAÇÃO, MONTAGEM E DESMONTAGEM DE FÔRMA PARA SAPATA, EM CHAPA DE MADEIRA COMPENSADA RESINADA, E=17 MM, 4 UTILIZAÇÕES. AF_01/2024</v>
      </c>
      <c r="S36" s="121" t="str">
        <f t="array" aca="1" ref="S36" ca="1">REFERENCIA.Unidade</f>
        <v>M2</v>
      </c>
      <c r="T36" s="122">
        <f ca="1">OFFSET(CÁLCULO!H$15,ROW($T36)-ROW(T$15),0)</f>
        <v>291.2</v>
      </c>
      <c r="U36" s="123">
        <f>192.43*0.94</f>
        <v>180.88419999999999</v>
      </c>
      <c r="V36" s="124" t="s">
        <v>663</v>
      </c>
      <c r="W36" s="122">
        <f t="array" aca="1" ref="W36" ca="1">IF($C36="S",ROUND(IF(TIPOORCAMENTO="Proposto",ORÇAMENTO.CustoUnitario*(1+$AH36),ORÇAMENTO.PrecoUnitarioLicitado),15-13*$AF$10),0)</f>
        <v>234.04</v>
      </c>
      <c r="X36" s="125">
        <f t="array" aca="1" ref="X36" ca="1">IF($C36="S",IF(OR(Import.TipoArredondamento&lt;&gt;"TransfereGOV",ACOMPANHAMENTO="BM"),VTOTAL1,SUM(OFFSET(CÁLCULO!$AI$15,ROW($X36)-ROW($X$15),1):OFFSET(CÁLCULO!$BB$15,ROW($X36)-ROW($X$15),-1))),IF($C36=0,0,ROUND(SomaAgrup,15-13*$AF$11)))</f>
        <v>68152.44</v>
      </c>
      <c r="Y36" s="126" t="s">
        <v>751</v>
      </c>
      <c r="Z36" s="712" t="str">
        <f ca="1">IF(AND($C36="S",$X36&gt;0),IF(ISBLANK($Y36),"RA",LEFT($Y36,2)),"")</f>
        <v>RA</v>
      </c>
      <c r="AA36" s="127">
        <f t="array" aca="1" ref="AA36" ca="1">IF($C36="S",IF($Z36="CP",$X36,IF($Z36="RA",(($X36)*QCI!$AA$3),0)),SomaAgrup)</f>
        <v>0</v>
      </c>
      <c r="AB36" s="128">
        <f t="array" aca="1" ref="AB36" ca="1">IF($C36="S",IF($Z36="OU",ROUND($X36,2),0),SomaAgrup)</f>
        <v>0</v>
      </c>
      <c r="AC36" s="563" t="str">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s="712" t="str">
        <f ca="1">IF(C36&lt;=CRONO.NivelExibicao,MAX($AD$15:OFFSET(AD36,-1,0))+IF($C36&lt;&gt;1,1,MAX(1,COUNTIF(QCI!$A$13:$A$24,OFFSET($E36,-1,0)))),"")</f>
        <v/>
      </c>
      <c r="AE36" s="710" t="str">
        <f t="array" aca="1" ref="AE36" ca="1">IF(AND($C36="S",ORÇAMENTO.CodBarra&lt;&gt;""),IF(ORÇAMENTO.Fonte="",ORÇAMENTO.CodBarra,CONCATENATE(ORÇAMENTO.Fonte," ",ORÇAMENTO.CodBarra)))</f>
        <v>SINAPI 96541</v>
      </c>
      <c r="AF36" s="711">
        <f t="array" aca="1" ref="AF36" ca="1">IF(ISERROR(ORÇAMENTO.BancoRef),"(abra o arquivo 'Referência "&amp;Excel_BuiltIn_Database&amp;".xlsm)",IF(OR($C36&lt;&gt;"S",ORÇAMENTO.CodBarra=""),"(Sem Código)",IF(ISERROR(MATCH($AE36,INDIRECT(ORÇAMENTO.BancoRef),0)),"(Código não identificado nas referências)",MATCH($AE36,INDIRECT(ORÇAMENTO.BancoRef),0))))</f>
        <v>10012</v>
      </c>
      <c r="AG36" s="428">
        <f t="array" aca="1" ref="AG36" ca="1">ROUND(IF(DESONERACAO="sim",REFERENCIA.Desonerado,REFERENCIA.NaoDesonerado),2)</f>
        <v>192.43</v>
      </c>
      <c r="AH36" s="429">
        <f ca="1">ROUND(IF(ISNUMBER(ORÇAMENTO.OpcaoBDI),ORÇAMENTO.OpcaoBDI,IF(LEFT(ORÇAMENTO.OpcaoBDI,3)="BDI",HLOOKUP(ORÇAMENTO.OpcaoBDI,$F$4:$H$5,2,FALSE),0)),15-11*$AF$9)</f>
        <v>0.29389999999999999</v>
      </c>
      <c r="AJ36" s="431"/>
      <c r="AL36" s="439"/>
      <c r="AM36" s="336">
        <f t="shared" ca="1" si="0"/>
        <v>68152.44</v>
      </c>
      <c r="AN36" s="469">
        <f t="array" aca="1" ref="AN36" ca="1">ROUND(ORÇAMENTO.CustoUnitario*(1+$AH36),2)</f>
        <v>234.04</v>
      </c>
    </row>
    <row r="37" spans="1:40" s="696" customFormat="1" ht="25.5" x14ac:dyDescent="0.2">
      <c r="A37" s="696" t="str">
        <f t="shared" si="1"/>
        <v>S</v>
      </c>
      <c r="B37" s="696">
        <f t="shared" ca="1" si="2"/>
        <v>2</v>
      </c>
      <c r="C37" s="696" t="str">
        <f t="shared" ca="1" si="3"/>
        <v>S</v>
      </c>
      <c r="D37" s="696">
        <f t="shared" ca="1" si="4"/>
        <v>0</v>
      </c>
      <c r="E37" s="696">
        <f ca="1">IF($C37=1,OFFSET(E37,-1,0)+MAX(1,COUNTIF(QCI!$A$13:$A$24,OFFSET(ORÇAMENTO!E37,-1,0))),OFFSET(E37,-1,0))</f>
        <v>1</v>
      </c>
      <c r="F37" s="696">
        <f t="shared" ca="1" si="5"/>
        <v>4</v>
      </c>
      <c r="G37" s="696">
        <f t="shared" ca="1" si="6"/>
        <v>0</v>
      </c>
      <c r="H37" s="696">
        <f t="shared" ca="1" si="7"/>
        <v>0</v>
      </c>
      <c r="I37" s="696">
        <f t="shared" ca="1" si="8"/>
        <v>6</v>
      </c>
      <c r="J37" s="696">
        <f t="shared" ca="1" si="9"/>
        <v>0</v>
      </c>
      <c r="K37" s="696">
        <f ca="1">IF(OR($C37="S",$C37=0),0,MATCH(OFFSET($D37,0,$C37)+IF($C37&lt;&gt;1,1,COUNTIF(QCI!$A$13:$A$24,ORÇAMENTO!E37)),OFFSET($D37,1,$C37,ROW($C$235)-ROW($C37)),0))</f>
        <v>0</v>
      </c>
      <c r="L37" s="114" t="str">
        <f t="shared" ca="1" si="10"/>
        <v>F</v>
      </c>
      <c r="M37" s="115" t="s">
        <v>705</v>
      </c>
      <c r="N37" s="116" t="str">
        <f t="shared" ca="1" si="11"/>
        <v>Serviço</v>
      </c>
      <c r="O37" s="117" t="str">
        <f t="shared" ca="1" si="12"/>
        <v>1.4.6.</v>
      </c>
      <c r="P37" s="118" t="s">
        <v>750</v>
      </c>
      <c r="Q37" s="119" t="s">
        <v>1027</v>
      </c>
      <c r="R37" s="120" t="str">
        <f t="array" aca="1" ref="R37" ca="1">IF($C37="S",REFERENCIA.Descricao,"(digite a descrição aqui)")</f>
        <v>ARMAÇÃO DE SAPATA ISOLADA, VIGA BALDRAME E SAPATA CORRIDA UTILIZANDO AÇO CA-50 DE 10 MM - MONTAGEM. AF_01/2024</v>
      </c>
      <c r="S37" s="121" t="str">
        <f t="array" aca="1" ref="S37" ca="1">REFERENCIA.Unidade</f>
        <v>KG</v>
      </c>
      <c r="T37" s="122">
        <f ca="1">OFFSET(CÁLCULO!H$15,ROW($T37)-ROW(T$15),0)</f>
        <v>1014</v>
      </c>
      <c r="U37" s="123">
        <f>12.64*0.94</f>
        <v>11.881600000000001</v>
      </c>
      <c r="V37" s="124" t="s">
        <v>697</v>
      </c>
      <c r="W37" s="122">
        <f t="array" aca="1" ref="W37" ca="1">IF($C37="S",ROUND(IF(TIPOORCAMENTO="Proposto",ORÇAMENTO.CustoUnitario*(1+$AH37),ORÇAMENTO.PrecoUnitarioLicitado),15-13*$AF$10),0)</f>
        <v>14.3</v>
      </c>
      <c r="X37" s="125">
        <f t="array" aca="1" ref="X37" ca="1">IF($C37="S",IF(OR(Import.TipoArredondamento&lt;&gt;"TransfereGOV",ACOMPANHAMENTO="BM"),VTOTAL1,SUM(OFFSET(CÁLCULO!$AI$15,ROW($X37)-ROW($X$15),1):OFFSET(CÁLCULO!$BB$15,ROW($X37)-ROW($X$15),-1))),IF($C37=0,0,ROUND(SomaAgrup,15-13*$AF$11)))</f>
        <v>14500.2</v>
      </c>
      <c r="Y37" s="126" t="s">
        <v>751</v>
      </c>
      <c r="Z37" s="696" t="str">
        <f t="shared" ca="1" si="13"/>
        <v>RA</v>
      </c>
      <c r="AA37" s="127">
        <f t="array" aca="1" ref="AA37" ca="1">IF($C37="S",IF($Z37="CP",$X37,IF($Z37="RA",(($X37)*QCI!$AA$3),0)),SomaAgrup)</f>
        <v>0</v>
      </c>
      <c r="AB37" s="128">
        <f t="array" aca="1" ref="AB37" ca="1">IF($C37="S",IF($Z37="OU",ROUND($X37,2),0),SomaAgrup)</f>
        <v>0</v>
      </c>
      <c r="AC37" s="563" t="str">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s="696" t="str">
        <f ca="1">IF(C37&lt;=CRONO.NivelExibicao,MAX($AD$15:OFFSET(AD37,-1,0))+IF($C37&lt;&gt;1,1,MAX(1,COUNTIF(QCI!$A$13:$A$24,OFFSET($E37,-1,0)))),"")</f>
        <v/>
      </c>
      <c r="AE37" s="694" t="str">
        <f t="array" aca="1" ref="AE37" ca="1">IF(AND($C37="S",ORÇAMENTO.CodBarra&lt;&gt;""),IF(ORÇAMENTO.Fonte="",ORÇAMENTO.CodBarra,CONCATENATE(ORÇAMENTO.Fonte," ",ORÇAMENTO.CodBarra)))</f>
        <v>SINAPI 104919</v>
      </c>
      <c r="AF37" s="695">
        <f t="array" aca="1" ref="AF37" ca="1">IF(ISERROR(ORÇAMENTO.BancoRef),"(abra o arquivo 'Referência "&amp;Excel_BuiltIn_Database&amp;".xlsm)",IF(OR($C37&lt;&gt;"S",ORÇAMENTO.CodBarra=""),"(Sem Código)",IF(ISERROR(MATCH($AE37,INDIRECT(ORÇAMENTO.BancoRef),0)),"(Código não identificado nas referências)",MATCH($AE37,INDIRECT(ORÇAMENTO.BancoRef),0))))</f>
        <v>9983</v>
      </c>
      <c r="AG37" s="428">
        <f t="array" aca="1" ref="AG37" ca="1">ROUND(IF(DESONERACAO="sim",REFERENCIA.Desonerado,REFERENCIA.NaoDesonerado),2)</f>
        <v>12.64</v>
      </c>
      <c r="AH37" s="429">
        <f t="shared" ca="1" si="14"/>
        <v>0.2034</v>
      </c>
      <c r="AJ37" s="431"/>
      <c r="AL37" s="439"/>
      <c r="AM37" s="336">
        <f t="shared" ca="1" si="0"/>
        <v>14500.2</v>
      </c>
      <c r="AN37" s="469">
        <f t="array" aca="1" ref="AN37" ca="1">ROUND(ORÇAMENTO.CustoUnitario*(1+$AH37),2)</f>
        <v>14.3</v>
      </c>
    </row>
    <row r="38" spans="1:40" s="696" customFormat="1" ht="38.25" x14ac:dyDescent="0.2">
      <c r="A38" s="696" t="str">
        <f t="shared" si="1"/>
        <v>S</v>
      </c>
      <c r="B38" s="696">
        <f t="shared" ca="1" si="2"/>
        <v>2</v>
      </c>
      <c r="C38" s="696" t="str">
        <f t="shared" ca="1" si="3"/>
        <v>S</v>
      </c>
      <c r="D38" s="696">
        <f t="shared" ca="1" si="4"/>
        <v>0</v>
      </c>
      <c r="E38" s="696">
        <f ca="1">IF($C38=1,OFFSET(E38,-1,0)+MAX(1,COUNTIF(QCI!$A$13:$A$24,OFFSET(ORÇAMENTO!E38,-1,0))),OFFSET(E38,-1,0))</f>
        <v>1</v>
      </c>
      <c r="F38" s="696">
        <f t="shared" ca="1" si="5"/>
        <v>4</v>
      </c>
      <c r="G38" s="696">
        <f t="shared" ca="1" si="6"/>
        <v>0</v>
      </c>
      <c r="H38" s="696">
        <f t="shared" ca="1" si="7"/>
        <v>0</v>
      </c>
      <c r="I38" s="696">
        <f t="shared" ca="1" si="8"/>
        <v>7</v>
      </c>
      <c r="J38" s="696">
        <f t="shared" ca="1" si="9"/>
        <v>0</v>
      </c>
      <c r="K38" s="696">
        <f ca="1">IF(OR($C38="S",$C38=0),0,MATCH(OFFSET($D38,0,$C38)+IF($C38&lt;&gt;1,1,COUNTIF(QCI!$A$13:$A$24,ORÇAMENTO!E38)),OFFSET($D38,1,$C38,ROW($C$235)-ROW($C38)),0))</f>
        <v>0</v>
      </c>
      <c r="L38" s="114" t="str">
        <f t="shared" ca="1" si="10"/>
        <v>F</v>
      </c>
      <c r="M38" s="115" t="s">
        <v>705</v>
      </c>
      <c r="N38" s="116" t="str">
        <f t="shared" ca="1" si="11"/>
        <v>Serviço</v>
      </c>
      <c r="O38" s="117" t="str">
        <f t="shared" ca="1" si="12"/>
        <v>1.4.7.</v>
      </c>
      <c r="P38" s="118" t="s">
        <v>750</v>
      </c>
      <c r="Q38" s="119" t="s">
        <v>1028</v>
      </c>
      <c r="R38" s="120" t="str">
        <f t="array" aca="1" ref="R38" ca="1">IF($C38="S",REFERENCIA.Descricao,"(digite a descrição aqui)")</f>
        <v>ARMAÇÃO DE SAPATA ISOLADA, VIGA BALDRAME E SAPATA CORRIDA UTILIZANDO AÇO CA-50 DE 6,3 MM - MONTAGEM. AF_01/2024</v>
      </c>
      <c r="S38" s="121" t="str">
        <f t="array" aca="1" ref="S38" ca="1">REFERENCIA.Unidade</f>
        <v>KG</v>
      </c>
      <c r="T38" s="122">
        <f ca="1">OFFSET(CÁLCULO!H$15,ROW($T38)-ROW(T$15),0)</f>
        <v>534</v>
      </c>
      <c r="U38" s="123">
        <f>15.64*0.94</f>
        <v>14.701599999999999</v>
      </c>
      <c r="V38" s="124" t="s">
        <v>697</v>
      </c>
      <c r="W38" s="122">
        <f t="array" aca="1" ref="W38" ca="1">IF($C38="S",ROUND(IF(TIPOORCAMENTO="Proposto",ORÇAMENTO.CustoUnitario*(1+$AH38),ORÇAMENTO.PrecoUnitarioLicitado),15-13*$AF$10),0)</f>
        <v>17.690000000000001</v>
      </c>
      <c r="X38" s="125">
        <f t="array" aca="1" ref="X38" ca="1">IF($C38="S",IF(OR(Import.TipoArredondamento&lt;&gt;"TransfereGOV",ACOMPANHAMENTO="BM"),VTOTAL1,SUM(OFFSET(CÁLCULO!$AI$15,ROW($X38)-ROW($X$15),1):OFFSET(CÁLCULO!$BB$15,ROW($X38)-ROW($X$15),-1))),IF($C38=0,0,ROUND(SomaAgrup,15-13*$AF$11)))</f>
        <v>9446.48</v>
      </c>
      <c r="Y38" s="126" t="s">
        <v>751</v>
      </c>
      <c r="Z38" s="696" t="str">
        <f t="shared" ca="1" si="13"/>
        <v>RA</v>
      </c>
      <c r="AA38" s="127">
        <f t="array" aca="1" ref="AA38" ca="1">IF($C38="S",IF($Z38="CP",$X38,IF($Z38="RA",(($X38)*QCI!$AA$3),0)),SomaAgrup)</f>
        <v>0</v>
      </c>
      <c r="AB38" s="128">
        <f t="array" aca="1" ref="AB38" ca="1">IF($C38="S",IF($Z38="OU",ROUND($X38,2),0),SomaAgrup)</f>
        <v>0</v>
      </c>
      <c r="AC38" s="563" t="str">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s="696" t="str">
        <f ca="1">IF(C38&lt;=CRONO.NivelExibicao,MAX($AD$15:OFFSET(AD38,-1,0))+IF($C38&lt;&gt;1,1,MAX(1,COUNTIF(QCI!$A$13:$A$24,OFFSET($E38,-1,0)))),"")</f>
        <v/>
      </c>
      <c r="AE38" s="694" t="str">
        <f t="array" aca="1" ref="AE38" ca="1">IF(AND($C38="S",ORÇAMENTO.CodBarra&lt;&gt;""),IF(ORÇAMENTO.Fonte="",ORÇAMENTO.CodBarra,CONCATENATE(ORÇAMENTO.Fonte," ",ORÇAMENTO.CodBarra)))</f>
        <v>SINAPI 104917</v>
      </c>
      <c r="AF38" s="695">
        <f t="array" aca="1" ref="AF38" ca="1">IF(ISERROR(ORÇAMENTO.BancoRef),"(abra o arquivo 'Referência "&amp;Excel_BuiltIn_Database&amp;".xlsm)",IF(OR($C38&lt;&gt;"S",ORÇAMENTO.CodBarra=""),"(Sem Código)",IF(ISERROR(MATCH($AE38,INDIRECT(ORÇAMENTO.BancoRef),0)),"(Código não identificado nas referências)",MATCH($AE38,INDIRECT(ORÇAMENTO.BancoRef),0))))</f>
        <v>9984</v>
      </c>
      <c r="AG38" s="428">
        <f t="array" aca="1" ref="AG38" ca="1">ROUND(IF(DESONERACAO="sim",REFERENCIA.Desonerado,REFERENCIA.NaoDesonerado),2)</f>
        <v>15.64</v>
      </c>
      <c r="AH38" s="429">
        <f t="shared" ca="1" si="14"/>
        <v>0.2034</v>
      </c>
      <c r="AJ38" s="431"/>
      <c r="AL38" s="439"/>
      <c r="AM38" s="336">
        <f t="shared" ca="1" si="0"/>
        <v>9446.48</v>
      </c>
      <c r="AN38" s="469">
        <f t="array" aca="1" ref="AN38" ca="1">ROUND(ORÇAMENTO.CustoUnitario*(1+$AH38),2)</f>
        <v>17.690000000000001</v>
      </c>
    </row>
    <row r="39" spans="1:40" s="696" customFormat="1" ht="25.5" x14ac:dyDescent="0.2">
      <c r="A39" s="696" t="str">
        <f t="shared" si="1"/>
        <v>S</v>
      </c>
      <c r="B39" s="696">
        <f t="shared" ca="1" si="2"/>
        <v>2</v>
      </c>
      <c r="C39" s="696" t="str">
        <f t="shared" ca="1" si="3"/>
        <v>S</v>
      </c>
      <c r="D39" s="696">
        <f t="shared" ca="1" si="4"/>
        <v>0</v>
      </c>
      <c r="E39" s="696">
        <f ca="1">IF($C39=1,OFFSET(E39,-1,0)+MAX(1,COUNTIF(QCI!$A$13:$A$24,OFFSET(ORÇAMENTO!E39,-1,0))),OFFSET(E39,-1,0))</f>
        <v>1</v>
      </c>
      <c r="F39" s="696">
        <f t="shared" ca="1" si="5"/>
        <v>4</v>
      </c>
      <c r="G39" s="696">
        <f t="shared" ca="1" si="6"/>
        <v>0</v>
      </c>
      <c r="H39" s="696">
        <f t="shared" ca="1" si="7"/>
        <v>0</v>
      </c>
      <c r="I39" s="696">
        <f t="shared" ca="1" si="8"/>
        <v>8</v>
      </c>
      <c r="J39" s="696">
        <f t="shared" ca="1" si="9"/>
        <v>0</v>
      </c>
      <c r="K39" s="696">
        <f ca="1">IF(OR($C39="S",$C39=0),0,MATCH(OFFSET($D39,0,$C39)+IF($C39&lt;&gt;1,1,COUNTIF(QCI!$A$13:$A$24,ORÇAMENTO!E39)),OFFSET($D39,1,$C39,ROW($C$235)-ROW($C39)),0))</f>
        <v>0</v>
      </c>
      <c r="L39" s="114" t="str">
        <f t="shared" ca="1" si="10"/>
        <v>F</v>
      </c>
      <c r="M39" s="115" t="s">
        <v>705</v>
      </c>
      <c r="N39" s="116" t="str">
        <f t="shared" ca="1" si="11"/>
        <v>Serviço</v>
      </c>
      <c r="O39" s="117" t="str">
        <f t="shared" ca="1" si="12"/>
        <v>1.4.8.</v>
      </c>
      <c r="P39" s="118" t="s">
        <v>750</v>
      </c>
      <c r="Q39" s="119" t="s">
        <v>1029</v>
      </c>
      <c r="R39" s="120" t="str">
        <f t="array" aca="1" ref="R39" ca="1">IF($C39="S",REFERENCIA.Descricao,"(digite a descrição aqui)")</f>
        <v>ARMAÇÃO DE SAPATA ISOLADA, VIGA BALDRAME E SAPATA CORRIDA UTILIZANDO AÇO CA-60 DE 5 MM - MONTAGEM. AF_01/2024</v>
      </c>
      <c r="S39" s="121" t="str">
        <f t="array" aca="1" ref="S39" ca="1">REFERENCIA.Unidade</f>
        <v>KG</v>
      </c>
      <c r="T39" s="122">
        <f ca="1">OFFSET(CÁLCULO!H$15,ROW($T39)-ROW(T$15),0)</f>
        <v>256</v>
      </c>
      <c r="U39" s="123">
        <f>17.17*0.94</f>
        <v>16.139800000000001</v>
      </c>
      <c r="V39" s="124" t="s">
        <v>697</v>
      </c>
      <c r="W39" s="122">
        <f t="array" aca="1" ref="W39" ca="1">IF($C39="S",ROUND(IF(TIPOORCAMENTO="Proposto",ORÇAMENTO.CustoUnitario*(1+$AH39),ORÇAMENTO.PrecoUnitarioLicitado),15-13*$AF$10),0)</f>
        <v>19.420000000000002</v>
      </c>
      <c r="X39" s="125">
        <f t="array" aca="1" ref="X39" ca="1">IF($C39="S",IF(OR(Import.TipoArredondamento&lt;&gt;"TransfereGOV",ACOMPANHAMENTO="BM"),VTOTAL1,SUM(OFFSET(CÁLCULO!$AI$15,ROW($X39)-ROW($X$15),1):OFFSET(CÁLCULO!$BB$15,ROW($X39)-ROW($X$15),-1))),IF($C39=0,0,ROUND(SomaAgrup,15-13*$AF$11)))</f>
        <v>4971.5200000000004</v>
      </c>
      <c r="Y39" s="126" t="s">
        <v>751</v>
      </c>
      <c r="Z39" s="696" t="str">
        <f t="shared" ca="1" si="13"/>
        <v>RA</v>
      </c>
      <c r="AA39" s="127">
        <f t="array" aca="1" ref="AA39" ca="1">IF($C39="S",IF($Z39="CP",$X39,IF($Z39="RA",(($X39)*QCI!$AA$3),0)),SomaAgrup)</f>
        <v>0</v>
      </c>
      <c r="AB39" s="128">
        <f t="array" aca="1" ref="AB39" ca="1">IF($C39="S",IF($Z39="OU",ROUND($X39,2),0),SomaAgrup)</f>
        <v>0</v>
      </c>
      <c r="AC39" s="563" t="str">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s="696" t="str">
        <f ca="1">IF(C39&lt;=CRONO.NivelExibicao,MAX($AD$15:OFFSET(AD39,-1,0))+IF($C39&lt;&gt;1,1,MAX(1,COUNTIF(QCI!$A$13:$A$24,OFFSET($E39,-1,0)))),"")</f>
        <v/>
      </c>
      <c r="AE39" s="694" t="str">
        <f t="array" aca="1" ref="AE39" ca="1">IF(AND($C39="S",ORÇAMENTO.CodBarra&lt;&gt;""),IF(ORÇAMENTO.Fonte="",ORÇAMENTO.CodBarra,CONCATENATE(ORÇAMENTO.Fonte," ",ORÇAMENTO.CodBarra)))</f>
        <v>SINAPI 104916</v>
      </c>
      <c r="AF39" s="695">
        <f t="array" aca="1" ref="AF39" ca="1">IF(ISERROR(ORÇAMENTO.BancoRef),"(abra o arquivo 'Referência "&amp;Excel_BuiltIn_Database&amp;".xlsm)",IF(OR($C39&lt;&gt;"S",ORÇAMENTO.CodBarra=""),"(Sem Código)",IF(ISERROR(MATCH($AE39,INDIRECT(ORÇAMENTO.BancoRef),0)),"(Código não identificado nas referências)",MATCH($AE39,INDIRECT(ORÇAMENTO.BancoRef),0))))</f>
        <v>9986</v>
      </c>
      <c r="AG39" s="428">
        <f t="array" aca="1" ref="AG39" ca="1">ROUND(IF(DESONERACAO="sim",REFERENCIA.Desonerado,REFERENCIA.NaoDesonerado),2)</f>
        <v>17.170000000000002</v>
      </c>
      <c r="AH39" s="429">
        <f t="shared" ca="1" si="14"/>
        <v>0.2034</v>
      </c>
      <c r="AJ39" s="431"/>
      <c r="AL39" s="439"/>
      <c r="AM39" s="336">
        <f t="shared" ca="1" si="0"/>
        <v>4971.5200000000004</v>
      </c>
      <c r="AN39" s="469">
        <f t="array" aca="1" ref="AN39" ca="1">ROUND(ORÇAMENTO.CustoUnitario*(1+$AH39),2)</f>
        <v>19.420000000000002</v>
      </c>
    </row>
    <row r="40" spans="1:40" s="696" customFormat="1" ht="25.5" x14ac:dyDescent="0.2">
      <c r="A40" s="696" t="str">
        <f t="shared" si="1"/>
        <v>S</v>
      </c>
      <c r="B40" s="696">
        <f t="shared" ca="1" si="2"/>
        <v>2</v>
      </c>
      <c r="C40" s="696" t="str">
        <f t="shared" ca="1" si="3"/>
        <v>S</v>
      </c>
      <c r="D40" s="696">
        <f t="shared" ca="1" si="4"/>
        <v>0</v>
      </c>
      <c r="E40" s="696">
        <f ca="1">IF($C40=1,OFFSET(E40,-1,0)+MAX(1,COUNTIF(QCI!$A$13:$A$24,OFFSET(ORÇAMENTO!E40,-1,0))),OFFSET(E40,-1,0))</f>
        <v>1</v>
      </c>
      <c r="F40" s="696">
        <f t="shared" ca="1" si="5"/>
        <v>4</v>
      </c>
      <c r="G40" s="696">
        <f t="shared" ca="1" si="6"/>
        <v>0</v>
      </c>
      <c r="H40" s="696">
        <f t="shared" ca="1" si="7"/>
        <v>0</v>
      </c>
      <c r="I40" s="696">
        <f t="shared" ca="1" si="8"/>
        <v>9</v>
      </c>
      <c r="J40" s="696">
        <f t="shared" ca="1" si="9"/>
        <v>0</v>
      </c>
      <c r="K40" s="696">
        <f ca="1">IF(OR($C40="S",$C40=0),0,MATCH(OFFSET($D40,0,$C40)+IF($C40&lt;&gt;1,1,COUNTIF(QCI!$A$13:$A$24,ORÇAMENTO!E40)),OFFSET($D40,1,$C40,ROW($C$235)-ROW($C40)),0))</f>
        <v>0</v>
      </c>
      <c r="L40" s="114" t="str">
        <f t="shared" ca="1" si="10"/>
        <v>F</v>
      </c>
      <c r="M40" s="115" t="s">
        <v>705</v>
      </c>
      <c r="N40" s="116" t="str">
        <f t="shared" ca="1" si="11"/>
        <v>Serviço</v>
      </c>
      <c r="O40" s="117" t="str">
        <f t="shared" ca="1" si="12"/>
        <v>1.4.9.</v>
      </c>
      <c r="P40" s="118" t="s">
        <v>956</v>
      </c>
      <c r="Q40" s="119" t="s">
        <v>1031</v>
      </c>
      <c r="R40" s="120" t="str">
        <f t="array" aca="1" ref="R40" ca="1">IF($C40="S",REFERENCIA.Descricao,"(digite a descrição aqui)")</f>
        <v>CONCRETAGEM DE SAPATA, FCK 20 MPA, COM USO DE JERICA - LANÇAMENTO, ADENSAMENTO E ACABAMENTO.</v>
      </c>
      <c r="S40" s="121" t="str">
        <f t="array" aca="1" ref="S40" ca="1">REFERENCIA.Unidade</f>
        <v>M3</v>
      </c>
      <c r="T40" s="122">
        <f ca="1">OFFSET(CÁLCULO!H$15,ROW($T40)-ROW(T$15),0)</f>
        <v>28.2</v>
      </c>
      <c r="U40" s="123">
        <f>796.45*0.94</f>
        <v>748.66300000000001</v>
      </c>
      <c r="V40" s="124" t="s">
        <v>697</v>
      </c>
      <c r="W40" s="122">
        <f t="array" aca="1" ref="W40" ca="1">IF($C40="S",ROUND(IF(TIPOORCAMENTO="Proposto",ORÇAMENTO.CustoUnitario*(1+$AH40),ORÇAMENTO.PrecoUnitarioLicitado),15-13*$AF$10),0)</f>
        <v>900.94</v>
      </c>
      <c r="X40" s="125">
        <f t="array" aca="1" ref="X40" ca="1">IF($C40="S",IF(OR(Import.TipoArredondamento&lt;&gt;"TransfereGOV",ACOMPANHAMENTO="BM"),VTOTAL1,SUM(OFFSET(CÁLCULO!$AI$15,ROW($X40)-ROW($X$15),1):OFFSET(CÁLCULO!$BB$15,ROW($X40)-ROW($X$15),-1))),IF($C40=0,0,ROUND(SomaAgrup,15-13*$AF$11)))</f>
        <v>25406.52</v>
      </c>
      <c r="Y40" s="126" t="s">
        <v>751</v>
      </c>
      <c r="Z40" s="696" t="str">
        <f t="shared" ca="1" si="13"/>
        <v>RA</v>
      </c>
      <c r="AA40" s="127">
        <f t="array" aca="1" ref="AA40" ca="1">IF($C40="S",IF($Z40="CP",$X40,IF($Z40="RA",(($X40)*QCI!$AA$3),0)),SomaAgrup)</f>
        <v>0</v>
      </c>
      <c r="AB40" s="128">
        <f t="array" aca="1" ref="AB40" ca="1">IF($C40="S",IF($Z40="OU",ROUND($X40,2),0),SomaAgrup)</f>
        <v>0</v>
      </c>
      <c r="AC40" s="563" t="str">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s="696" t="str">
        <f ca="1">IF(C40&lt;=CRONO.NivelExibicao,MAX($AD$15:OFFSET(AD40,-1,0))+IF($C40&lt;&gt;1,1,MAX(1,COUNTIF(QCI!$A$13:$A$24,OFFSET($E40,-1,0)))),"")</f>
        <v/>
      </c>
      <c r="AE40" s="694" t="str">
        <f t="array" aca="1" ref="AE40" ca="1">IF(AND($C40="S",ORÇAMENTO.CodBarra&lt;&gt;""),IF(ORÇAMENTO.Fonte="",ORÇAMENTO.CodBarra,CONCATENATE(ORÇAMENTO.Fonte," ",ORÇAMENTO.CodBarra)))</f>
        <v>Composição COMP 01</v>
      </c>
      <c r="AF40" s="695">
        <f t="array" aca="1" ref="AF40" ca="1">IF(ISERROR(ORÇAMENTO.BancoRef),"(abra o arquivo 'Referência "&amp;Excel_BuiltIn_Database&amp;".xlsm)",IF(OR($C40&lt;&gt;"S",ORÇAMENTO.CodBarra=""),"(Sem Código)",IF(ISERROR(MATCH($AE40,INDIRECT(ORÇAMENTO.BancoRef),0)),"(Código não identificado nas referências)",MATCH($AE40,INDIRECT(ORÇAMENTO.BancoRef),0))))</f>
        <v>3</v>
      </c>
      <c r="AG40" s="428">
        <f t="array" aca="1" ref="AG40" ca="1">ROUND(IF(DESONERACAO="sim",REFERENCIA.Desonerado,REFERENCIA.NaoDesonerado),2)</f>
        <v>826.32</v>
      </c>
      <c r="AH40" s="429">
        <f t="shared" ca="1" si="14"/>
        <v>0.2034</v>
      </c>
      <c r="AJ40" s="431"/>
      <c r="AL40" s="439"/>
      <c r="AM40" s="336">
        <f t="shared" ca="1" si="0"/>
        <v>25406.52</v>
      </c>
      <c r="AN40" s="469">
        <f t="array" aca="1" ref="AN40" ca="1">ROUND(ORÇAMENTO.CustoUnitario*(1+$AH40),2)</f>
        <v>900.94</v>
      </c>
    </row>
    <row r="41" spans="1:40" s="712" customFormat="1" ht="25.5" x14ac:dyDescent="0.2">
      <c r="A41" s="712" t="str">
        <f>CHOOSE(1+LOG(1+2*(ORÇAMENTO.Nivel="Meta")+4*(ORÇAMENTO.Nivel="Nível 2")+8*(ORÇAMENTO.Nivel="Nível 3")+16*(ORÇAMENTO.Nivel="Nível 4")+32*(ORÇAMENTO.Nivel="Serviço"),2),0,1,2,3,4,"S")</f>
        <v>S</v>
      </c>
      <c r="B41" s="712">
        <f ca="1">IF(OR(C41="s",C41=0),OFFSET(B41,-1,0),C41)</f>
        <v>2</v>
      </c>
      <c r="C41" s="712" t="str">
        <f ca="1">IF(OFFSET(C41,-1,0)="L",1,IF(OFFSET(C41,-1,0)=1,2,IF(OR(A41="s",A41=0),"S",IF(AND(OFFSET(C41,-1,0)=2,A41=4),3,IF(AND(OR(OFFSET(C41,-1,0)="s",OFFSET(C41,-1,0)=0),A41&lt;&gt;"s",A41&gt;OFFSET(B41,-1,0)),OFFSET(B41,-1,0),A41)))))</f>
        <v>S</v>
      </c>
      <c r="D41" s="712">
        <f ca="1">IF(OR(C41="S",C41=0),0,IF(ISERROR(K41),J41,SMALL(J41:K41,1)))</f>
        <v>0</v>
      </c>
      <c r="E41" s="712">
        <f ca="1">IF($C41=1,OFFSET(E41,-1,0)+MAX(1,COUNTIF(QCI!$A$13:$A$24,OFFSET(ORÇAMENTO!E41,-1,0))),OFFSET(E41,-1,0))</f>
        <v>1</v>
      </c>
      <c r="F41" s="712">
        <f ca="1">IF($C41=1,0,IF($C41=2,OFFSET(F41,-1,0)+1,OFFSET(F41,-1,0)))</f>
        <v>4</v>
      </c>
      <c r="G41" s="712">
        <f ca="1">IF(AND($C41&lt;=2,$C41&lt;&gt;0),0,IF($C41=3,OFFSET(G41,-1,0)+1,OFFSET(G41,-1,0)))</f>
        <v>0</v>
      </c>
      <c r="H41" s="712">
        <f ca="1">IF(AND($C41&lt;=3,$C41&lt;&gt;0),0,IF($C41=4,OFFSET(H41,-1,0)+1,OFFSET(H41,-1,0)))</f>
        <v>0</v>
      </c>
      <c r="I41" s="712">
        <f ca="1">IF(AND($C41&lt;=4,$C41&lt;&gt;0),0,IF(AND($C41="S",$X41&gt;0),OFFSET(I41,-1,0)+1,OFFSET(I41,-1,0)))</f>
        <v>10</v>
      </c>
      <c r="J41" s="712">
        <f t="shared" ca="1" si="9"/>
        <v>0</v>
      </c>
      <c r="K41" s="712">
        <f ca="1">IF(OR($C41="S",$C41=0),0,MATCH(OFFSET($D41,0,$C41)+IF($C41&lt;&gt;1,1,COUNTIF(QCI!$A$13:$A$24,ORÇAMENTO!E41)),OFFSET($D41,1,$C41,ROW($C$235)-ROW($C41)),0))</f>
        <v>0</v>
      </c>
      <c r="L41" s="114" t="str">
        <f ca="1">IF(OR($X41&gt;0,$C41=1,$C41=2,$C41=3,$C41=4),"F","")</f>
        <v>F</v>
      </c>
      <c r="M41" s="115" t="s">
        <v>705</v>
      </c>
      <c r="N41" s="116" t="str">
        <f ca="1">CHOOSE(1+LOG(1+2*(C41=1)+4*(C41=2)+8*(C41=3)+16*(C41=4)+32*(C41="S"),2),"","Meta","Nível 2","Nível 3","Nível 4","Serviço")</f>
        <v>Serviço</v>
      </c>
      <c r="O41" s="117" t="str">
        <f ca="1">IF(OR($C41=0,$L41=""),"-",CONCATENATE(E41&amp;".",IF(AND($A$5&gt;=2,$C41&gt;=2),F41&amp;".",""),IF(AND($A$5&gt;=3,$C41&gt;=3),G41&amp;".",""),IF(AND($A$5&gt;=4,$C41&gt;=4),H41&amp;".",""),IF($C41="S",I41&amp;".","")))</f>
        <v>1.4.10.</v>
      </c>
      <c r="P41" s="118" t="s">
        <v>750</v>
      </c>
      <c r="Q41" s="119" t="s">
        <v>1030</v>
      </c>
      <c r="R41" s="120" t="str">
        <f t="array" aca="1" ref="R41" ca="1">IF($C41="S",REFERENCIA.Descricao,"(digite a descrição aqui)")</f>
        <v>REATERRO MANUAL DE VALAS, COM COMPACTADOR DE SOLOS DE PERCUSSÃO. AF_08/2023</v>
      </c>
      <c r="S41" s="121" t="str">
        <f t="array" aca="1" ref="S41" ca="1">REFERENCIA.Unidade</f>
        <v>M3</v>
      </c>
      <c r="T41" s="122">
        <f ca="1">OFFSET(CÁLCULO!H$15,ROW($T41)-ROW(T$15),0)</f>
        <v>141.80000000000001</v>
      </c>
      <c r="U41" s="123">
        <f>22.42*0.94</f>
        <v>21.0748</v>
      </c>
      <c r="V41" s="124" t="s">
        <v>663</v>
      </c>
      <c r="W41" s="122">
        <f t="array" aca="1" ref="W41" ca="1">IF($C41="S",ROUND(IF(TIPOORCAMENTO="Proposto",ORÇAMENTO.CustoUnitario*(1+$AH41),ORÇAMENTO.PrecoUnitarioLicitado),15-13*$AF$10),0)</f>
        <v>27.26</v>
      </c>
      <c r="X41" s="125">
        <f t="array" aca="1" ref="X41" ca="1">IF($C41="S",IF(OR(Import.TipoArredondamento&lt;&gt;"TransfereGOV",ACOMPANHAMENTO="BM"),VTOTAL1,SUM(OFFSET(CÁLCULO!$AI$15,ROW($X41)-ROW($X$15),1):OFFSET(CÁLCULO!$BB$15,ROW($X41)-ROW($X$15),-1))),IF($C41=0,0,ROUND(SomaAgrup,15-13*$AF$11)))</f>
        <v>3865.48</v>
      </c>
      <c r="Y41" s="126" t="s">
        <v>751</v>
      </c>
      <c r="Z41" s="712" t="str">
        <f ca="1">IF(AND($C41="S",$X41&gt;0),IF(ISBLANK($Y41),"RA",LEFT($Y41,2)),"")</f>
        <v>RA</v>
      </c>
      <c r="AA41" s="127">
        <f t="array" aca="1" ref="AA41" ca="1">IF($C41="S",IF($Z41="CP",$X41,IF($Z41="RA",(($X41)*QCI!$AA$3),0)),SomaAgrup)</f>
        <v>0</v>
      </c>
      <c r="AB41" s="128">
        <f t="array" aca="1" ref="AB41" ca="1">IF($C41="S",IF($Z41="OU",ROUND($X41,2),0),SomaAgrup)</f>
        <v>0</v>
      </c>
      <c r="AC41" s="563" t="str">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s="712" t="str">
        <f ca="1">IF(C41&lt;=CRONO.NivelExibicao,MAX($AD$15:OFFSET(AD41,-1,0))+IF($C41&lt;&gt;1,1,MAX(1,COUNTIF(QCI!$A$13:$A$24,OFFSET($E41,-1,0)))),"")</f>
        <v/>
      </c>
      <c r="AE41" s="710" t="str">
        <f t="array" aca="1" ref="AE41" ca="1">IF(AND($C41="S",ORÇAMENTO.CodBarra&lt;&gt;""),IF(ORÇAMENTO.Fonte="",ORÇAMENTO.CodBarra,CONCATENATE(ORÇAMENTO.Fonte," ",ORÇAMENTO.CodBarra)))</f>
        <v>SINAPI 93382</v>
      </c>
      <c r="AF41" s="711">
        <f t="array" aca="1" ref="AF41" ca="1">IF(ISERROR(ORÇAMENTO.BancoRef),"(abra o arquivo 'Referência "&amp;Excel_BuiltIn_Database&amp;".xlsm)",IF(OR($C41&lt;&gt;"S",ORÇAMENTO.CodBarra=""),"(Sem Código)",IF(ISERROR(MATCH($AE41,INDIRECT(ORÇAMENTO.BancoRef),0)),"(Código não identificado nas referências)",MATCH($AE41,INDIRECT(ORÇAMENTO.BancoRef),0))))</f>
        <v>6738</v>
      </c>
      <c r="AG41" s="428">
        <f t="array" aca="1" ref="AG41" ca="1">ROUND(IF(DESONERACAO="sim",REFERENCIA.Desonerado,REFERENCIA.NaoDesonerado),2)</f>
        <v>28.46</v>
      </c>
      <c r="AH41" s="429">
        <f ca="1">ROUND(IF(ISNUMBER(ORÇAMENTO.OpcaoBDI),ORÇAMENTO.OpcaoBDI,IF(LEFT(ORÇAMENTO.OpcaoBDI,3)="BDI",HLOOKUP(ORÇAMENTO.OpcaoBDI,$F$4:$H$5,2,FALSE),0)),15-11*$AF$9)</f>
        <v>0.29389999999999999</v>
      </c>
      <c r="AJ41" s="431"/>
      <c r="AL41" s="439"/>
      <c r="AM41" s="336">
        <f t="shared" ca="1" si="0"/>
        <v>3865.48</v>
      </c>
      <c r="AN41" s="469">
        <f t="array" aca="1" ref="AN41" ca="1">ROUND(ORÇAMENTO.CustoUnitario*(1+$AH41),2)</f>
        <v>27.26</v>
      </c>
    </row>
    <row r="42" spans="1:40" s="696" customFormat="1" x14ac:dyDescent="0.2">
      <c r="A42" s="696">
        <f t="shared" si="1"/>
        <v>2</v>
      </c>
      <c r="B42" s="696">
        <f t="shared" ca="1" si="2"/>
        <v>2</v>
      </c>
      <c r="C42" s="696">
        <f t="shared" ca="1" si="3"/>
        <v>2</v>
      </c>
      <c r="D42" s="696">
        <f t="shared" ca="1" si="4"/>
        <v>9</v>
      </c>
      <c r="E42" s="696">
        <f ca="1">IF($C42=1,OFFSET(E42,-1,0)+MAX(1,COUNTIF(QCI!$A$13:$A$24,OFFSET(ORÇAMENTO!E42,-1,0))),OFFSET(E42,-1,0))</f>
        <v>1</v>
      </c>
      <c r="F42" s="696">
        <f t="shared" ca="1" si="5"/>
        <v>5</v>
      </c>
      <c r="G42" s="696">
        <f t="shared" ca="1" si="6"/>
        <v>0</v>
      </c>
      <c r="H42" s="696">
        <f t="shared" ca="1" si="7"/>
        <v>0</v>
      </c>
      <c r="I42" s="696">
        <f t="shared" ca="1" si="8"/>
        <v>0</v>
      </c>
      <c r="J42" s="696">
        <f t="shared" ca="1" si="9"/>
        <v>193</v>
      </c>
      <c r="K42" s="696">
        <f ca="1">IF(OR($C42="S",$C42=0),0,MATCH(OFFSET($D42,0,$C42)+IF($C42&lt;&gt;1,1,COUNTIF(QCI!$A$13:$A$24,ORÇAMENTO!E42)),OFFSET($D42,1,$C42,ROW($C$235)-ROW($C42)),0))</f>
        <v>9</v>
      </c>
      <c r="L42" s="114" t="str">
        <f t="shared" ca="1" si="10"/>
        <v>F</v>
      </c>
      <c r="M42" s="115" t="s">
        <v>702</v>
      </c>
      <c r="N42" s="116" t="str">
        <f t="shared" ca="1" si="11"/>
        <v>Nível 2</v>
      </c>
      <c r="O42" s="117" t="str">
        <f t="shared" ca="1" si="12"/>
        <v>1.5.</v>
      </c>
      <c r="P42" s="118" t="s">
        <v>750</v>
      </c>
      <c r="Q42" s="119"/>
      <c r="R42" s="120" t="s">
        <v>1022</v>
      </c>
      <c r="S42" s="121" t="s">
        <v>688</v>
      </c>
      <c r="T42" s="122">
        <f ca="1">OFFSET(CÁLCULO!H$15,ROW($T42)-ROW(T$15),0)</f>
        <v>0</v>
      </c>
      <c r="U42" s="123"/>
      <c r="V42" s="124" t="s">
        <v>663</v>
      </c>
      <c r="W42" s="122">
        <f t="array" aca="1" ref="W42" ca="1">IF($C42="S",ROUND(IF(TIPOORCAMENTO="Proposto",ORÇAMENTO.CustoUnitario*(1+$AH42),ORÇAMENTO.PrecoUnitarioLicitado),15-13*$AF$10),0)</f>
        <v>0</v>
      </c>
      <c r="X42" s="125">
        <f t="array" aca="1" ref="X42" ca="1">IF($C42="S",IF(OR(Import.TipoArredondamento&lt;&gt;"TransfereGOV",ACOMPANHAMENTO="BM"),VTOTAL1,SUM(OFFSET(CÁLCULO!$AI$15,ROW($X42)-ROW($X$15),1):OFFSET(CÁLCULO!$BB$15,ROW($X42)-ROW($X$15),-1))),IF($C42=0,0,ROUND(SomaAgrup,15-13*$AF$11)))</f>
        <v>138717.84</v>
      </c>
      <c r="Y42" s="126" t="s">
        <v>751</v>
      </c>
      <c r="Z42" s="696" t="str">
        <f t="shared" ca="1" si="13"/>
        <v/>
      </c>
      <c r="AA42" s="127">
        <f t="array" aca="1" ref="AA42" ca="1">IF($C42="S",IF($Z42="CP",$X42,IF($Z42="RA",(($X42)*QCI!$AA$3),0)),SomaAgrup)</f>
        <v>0</v>
      </c>
      <c r="AB42" s="128">
        <f t="array" aca="1" ref="AB42" ca="1">IF($C42="S",IF($Z42="OU",ROUND($X42,2),0),SomaAgrup)</f>
        <v>0</v>
      </c>
      <c r="AC42" s="563" t="str">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s="696">
        <f ca="1">IF(C42&lt;=CRONO.NivelExibicao,MAX($AD$15:OFFSET(AD42,-1,0))+IF($C42&lt;&gt;1,1,MAX(1,COUNTIF(QCI!$A$13:$A$24,OFFSET($E42,-1,0)))),"")</f>
        <v>6</v>
      </c>
      <c r="AE42" s="694" t="b">
        <f t="array" aca="1" ref="AE42" ca="1">IF(AND($C42="S",ORÇAMENTO.CodBarra&lt;&gt;""),IF(ORÇAMENTO.Fonte="",ORÇAMENTO.CodBarra,CONCATENATE(ORÇAMENTO.Fonte," ",ORÇAMENTO.CodBarra)))</f>
        <v>0</v>
      </c>
      <c r="AF42" s="695" t="str">
        <f t="array" aca="1" ref="AF42" ca="1">IF(ISERROR(ORÇAMENTO.BancoRef),"(abra o arquivo 'Referência "&amp;Excel_BuiltIn_Database&amp;".xlsm)",IF(OR($C42&lt;&gt;"S",ORÇAMENTO.CodBarra=""),"(Sem Código)",IF(ISERROR(MATCH($AE42,INDIRECT(ORÇAMENTO.BancoRef),0)),"(Código não identificado nas referências)",MATCH($AE42,INDIRECT(ORÇAMENTO.BancoRef),0))))</f>
        <v>(Sem Código)</v>
      </c>
      <c r="AG42" s="428">
        <f t="array" aca="1" ref="AG42" ca="1">ROUND(IF(DESONERACAO="sim",REFERENCIA.Desonerado,REFERENCIA.NaoDesonerado),2)</f>
        <v>0</v>
      </c>
      <c r="AH42" s="429">
        <f t="shared" ca="1" si="14"/>
        <v>0.29389999999999999</v>
      </c>
      <c r="AJ42" s="431"/>
      <c r="AL42" s="439"/>
      <c r="AM42" s="336">
        <f t="shared" ca="1" si="0"/>
        <v>138717.84</v>
      </c>
      <c r="AN42" s="469">
        <f t="array" aca="1" ref="AN42" ca="1">ROUND(ORÇAMENTO.CustoUnitario*(1+$AH42),2)</f>
        <v>0</v>
      </c>
    </row>
    <row r="43" spans="1:40" s="696" customFormat="1" ht="38.25" x14ac:dyDescent="0.2">
      <c r="A43" s="696" t="str">
        <f t="shared" si="1"/>
        <v>S</v>
      </c>
      <c r="B43" s="696">
        <f t="shared" ca="1" si="2"/>
        <v>2</v>
      </c>
      <c r="C43" s="696" t="str">
        <f t="shared" ca="1" si="3"/>
        <v>S</v>
      </c>
      <c r="D43" s="696">
        <f t="shared" ca="1" si="4"/>
        <v>0</v>
      </c>
      <c r="E43" s="696">
        <f ca="1">IF($C43=1,OFFSET(E43,-1,0)+MAX(1,COUNTIF(QCI!$A$13:$A$24,OFFSET(ORÇAMENTO!E43,-1,0))),OFFSET(E43,-1,0))</f>
        <v>1</v>
      </c>
      <c r="F43" s="696">
        <f t="shared" ca="1" si="5"/>
        <v>5</v>
      </c>
      <c r="G43" s="696">
        <f t="shared" ca="1" si="6"/>
        <v>0</v>
      </c>
      <c r="H43" s="696">
        <f t="shared" ca="1" si="7"/>
        <v>0</v>
      </c>
      <c r="I43" s="696">
        <f t="shared" ca="1" si="8"/>
        <v>1</v>
      </c>
      <c r="J43" s="696">
        <f t="shared" ca="1" si="9"/>
        <v>0</v>
      </c>
      <c r="K43" s="696">
        <f ca="1">IF(OR($C43="S",$C43=0),0,MATCH(OFFSET($D43,0,$C43)+IF($C43&lt;&gt;1,1,COUNTIF(QCI!$A$13:$A$24,ORÇAMENTO!E43)),OFFSET($D43,1,$C43,ROW($C$235)-ROW($C43)),0))</f>
        <v>0</v>
      </c>
      <c r="L43" s="114" t="str">
        <f t="shared" ca="1" si="10"/>
        <v>F</v>
      </c>
      <c r="M43" s="115" t="s">
        <v>705</v>
      </c>
      <c r="N43" s="116" t="str">
        <f t="shared" ca="1" si="11"/>
        <v>Serviço</v>
      </c>
      <c r="O43" s="117" t="str">
        <f t="shared" ca="1" si="12"/>
        <v>1.5.1.</v>
      </c>
      <c r="P43" s="118" t="s">
        <v>750</v>
      </c>
      <c r="Q43" s="119" t="s">
        <v>1032</v>
      </c>
      <c r="R43" s="120" t="str">
        <f t="array" aca="1" ref="R43" ca="1">IF($C43="S",REFERENCIA.Descricao,"(digite a descrição aqui)")</f>
        <v>ESCAVAÇÃO MANUAL PARA VIGA BALDRAME OU SAPATA CORRIDA (INCLUINDO ESCAVAÇÃO PARA COLOCAÇÃO DE FÔRMAS). AF_01/2024</v>
      </c>
      <c r="S43" s="121" t="str">
        <f t="array" aca="1" ref="S43" ca="1">REFERENCIA.Unidade</f>
        <v>M3</v>
      </c>
      <c r="T43" s="122">
        <f ca="1">OFFSET(CÁLCULO!H$15,ROW($T43)-ROW(T$15),0)</f>
        <v>109.2</v>
      </c>
      <c r="U43" s="123">
        <f>110.9*0.94</f>
        <v>104.246</v>
      </c>
      <c r="V43" s="124" t="s">
        <v>697</v>
      </c>
      <c r="W43" s="122">
        <f t="array" aca="1" ref="W43" ca="1">IF($C43="S",ROUND(IF(TIPOORCAMENTO="Proposto",ORÇAMENTO.CustoUnitario*(1+$AH43),ORÇAMENTO.PrecoUnitarioLicitado),15-13*$AF$10),0)</f>
        <v>125.45</v>
      </c>
      <c r="X43" s="125">
        <f t="array" aca="1" ref="X43" ca="1">IF($C43="S",IF(OR(Import.TipoArredondamento&lt;&gt;"TransfereGOV",ACOMPANHAMENTO="BM"),VTOTAL1,SUM(OFFSET(CÁLCULO!$AI$15,ROW($X43)-ROW($X$15),1):OFFSET(CÁLCULO!$BB$15,ROW($X43)-ROW($X$15),-1))),IF($C43=0,0,ROUND(SomaAgrup,15-13*$AF$11)))</f>
        <v>13699.16</v>
      </c>
      <c r="Y43" s="126" t="s">
        <v>751</v>
      </c>
      <c r="Z43" s="696" t="str">
        <f t="shared" ca="1" si="13"/>
        <v>RA</v>
      </c>
      <c r="AA43" s="127">
        <f t="array" aca="1" ref="AA43" ca="1">IF($C43="S",IF($Z43="CP",$X43,IF($Z43="RA",(($X43)*QCI!$AA$3),0)),SomaAgrup)</f>
        <v>0</v>
      </c>
      <c r="AB43" s="128">
        <f t="array" aca="1" ref="AB43" ca="1">IF($C43="S",IF($Z43="OU",ROUND($X43,2),0),SomaAgrup)</f>
        <v>0</v>
      </c>
      <c r="AC43" s="563" t="str">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s="696" t="str">
        <f ca="1">IF(C43&lt;=CRONO.NivelExibicao,MAX($AD$15:OFFSET(AD43,-1,0))+IF($C43&lt;&gt;1,1,MAX(1,COUNTIF(QCI!$A$13:$A$24,OFFSET($E43,-1,0)))),"")</f>
        <v/>
      </c>
      <c r="AE43" s="694" t="str">
        <f t="array" aca="1" ref="AE43" ca="1">IF(AND($C43="S",ORÇAMENTO.CodBarra&lt;&gt;""),IF(ORÇAMENTO.Fonte="",ORÇAMENTO.CodBarra,CONCATENATE(ORÇAMENTO.Fonte," ",ORÇAMENTO.CodBarra)))</f>
        <v>SINAPI 96527</v>
      </c>
      <c r="AF43" s="695">
        <f t="array" aca="1" ref="AF43" ca="1">IF(ISERROR(ORÇAMENTO.BancoRef),"(abra o arquivo 'Referência "&amp;Excel_BuiltIn_Database&amp;".xlsm)",IF(OR($C43&lt;&gt;"S",ORÇAMENTO.CodBarra=""),"(Sem Código)",IF(ISERROR(MATCH($AE43,INDIRECT(ORÇAMENTO.BancoRef),0)),"(Código não identificado nas referências)",MATCH($AE43,INDIRECT(ORÇAMENTO.BancoRef),0))))</f>
        <v>9995</v>
      </c>
      <c r="AG43" s="428">
        <f t="array" aca="1" ref="AG43" ca="1">ROUND(IF(DESONERACAO="sim",REFERENCIA.Desonerado,REFERENCIA.NaoDesonerado),2)</f>
        <v>110.9</v>
      </c>
      <c r="AH43" s="429">
        <f t="shared" ca="1" si="14"/>
        <v>0.2034</v>
      </c>
      <c r="AJ43" s="431"/>
      <c r="AL43" s="439"/>
      <c r="AM43" s="336">
        <f t="shared" ca="1" si="0"/>
        <v>13699.16</v>
      </c>
      <c r="AN43" s="469">
        <f t="array" aca="1" ref="AN43" ca="1">ROUND(ORÇAMENTO.CustoUnitario*(1+$AH43),2)</f>
        <v>125.45</v>
      </c>
    </row>
    <row r="44" spans="1:40" s="696" customFormat="1" ht="25.5" x14ac:dyDescent="0.2">
      <c r="A44" s="696" t="str">
        <f t="shared" si="1"/>
        <v>S</v>
      </c>
      <c r="B44" s="696">
        <f t="shared" ca="1" si="2"/>
        <v>2</v>
      </c>
      <c r="C44" s="696" t="str">
        <f t="shared" ca="1" si="3"/>
        <v>S</v>
      </c>
      <c r="D44" s="696">
        <f t="shared" ca="1" si="4"/>
        <v>0</v>
      </c>
      <c r="E44" s="696">
        <f ca="1">IF($C44=1,OFFSET(E44,-1,0)+MAX(1,COUNTIF(QCI!$A$13:$A$24,OFFSET(ORÇAMENTO!E44,-1,0))),OFFSET(E44,-1,0))</f>
        <v>1</v>
      </c>
      <c r="F44" s="696">
        <f t="shared" ca="1" si="5"/>
        <v>5</v>
      </c>
      <c r="G44" s="696">
        <f t="shared" ca="1" si="6"/>
        <v>0</v>
      </c>
      <c r="H44" s="696">
        <f t="shared" ca="1" si="7"/>
        <v>0</v>
      </c>
      <c r="I44" s="696">
        <f t="shared" ca="1" si="8"/>
        <v>2</v>
      </c>
      <c r="J44" s="696">
        <f t="shared" ca="1" si="9"/>
        <v>0</v>
      </c>
      <c r="K44" s="696">
        <f ca="1">IF(OR($C44="S",$C44=0),0,MATCH(OFFSET($D44,0,$C44)+IF($C44&lt;&gt;1,1,COUNTIF(QCI!$A$13:$A$24,ORÇAMENTO!E44)),OFFSET($D44,1,$C44,ROW($C$235)-ROW($C44)),0))</f>
        <v>0</v>
      </c>
      <c r="L44" s="114" t="str">
        <f t="shared" ca="1" si="10"/>
        <v>F</v>
      </c>
      <c r="M44" s="115" t="s">
        <v>705</v>
      </c>
      <c r="N44" s="116" t="str">
        <f t="shared" ca="1" si="11"/>
        <v>Serviço</v>
      </c>
      <c r="O44" s="117" t="str">
        <f t="shared" ca="1" si="12"/>
        <v>1.5.2.</v>
      </c>
      <c r="P44" s="118" t="s">
        <v>750</v>
      </c>
      <c r="Q44" s="119" t="s">
        <v>1025</v>
      </c>
      <c r="R44" s="120" t="str">
        <f t="array" aca="1" ref="R44" ca="1">IF($C44="S",REFERENCIA.Descricao,"(digite a descrição aqui)")</f>
        <v>LASTRO DE CONCRETO MAGRO, APLICADO EM BLOCOS DE COROAMENTO OU SAPATAS, ESPESSURA DE 5 CM. AF_01/2024</v>
      </c>
      <c r="S44" s="121" t="str">
        <f t="array" aca="1" ref="S44" ca="1">REFERENCIA.Unidade</f>
        <v>M2</v>
      </c>
      <c r="T44" s="122">
        <f ca="1">OFFSET(CÁLCULO!H$15,ROW($T44)-ROW(T$15),0)</f>
        <v>136.6</v>
      </c>
      <c r="U44" s="123">
        <f>45.37*0.94</f>
        <v>42.647799999999997</v>
      </c>
      <c r="V44" s="124" t="s">
        <v>697</v>
      </c>
      <c r="W44" s="122">
        <f t="array" aca="1" ref="W44" ca="1">IF($C44="S",ROUND(IF(TIPOORCAMENTO="Proposto",ORÇAMENTO.CustoUnitario*(1+$AH44),ORÇAMENTO.PrecoUnitarioLicitado),15-13*$AF$10),0)</f>
        <v>51.33</v>
      </c>
      <c r="X44" s="125">
        <f t="array" aca="1" ref="X44" ca="1">IF($C44="S",IF(OR(Import.TipoArredondamento&lt;&gt;"TransfereGOV",ACOMPANHAMENTO="BM"),VTOTAL1,SUM(OFFSET(CÁLCULO!$AI$15,ROW($X44)-ROW($X$15),1):OFFSET(CÁLCULO!$BB$15,ROW($X44)-ROW($X$15),-1))),IF($C44=0,0,ROUND(SomaAgrup,15-13*$AF$11)))</f>
        <v>7011.68</v>
      </c>
      <c r="Y44" s="126" t="s">
        <v>751</v>
      </c>
      <c r="Z44" s="696" t="str">
        <f t="shared" ca="1" si="13"/>
        <v>RA</v>
      </c>
      <c r="AA44" s="127">
        <f t="array" aca="1" ref="AA44" ca="1">IF($C44="S",IF($Z44="CP",$X44,IF($Z44="RA",(($X44)*QCI!$AA$3),0)),SomaAgrup)</f>
        <v>0</v>
      </c>
      <c r="AB44" s="128">
        <f t="array" aca="1" ref="AB44" ca="1">IF($C44="S",IF($Z44="OU",ROUND($X44,2),0),SomaAgrup)</f>
        <v>0</v>
      </c>
      <c r="AC44" s="563" t="str">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s="696" t="str">
        <f ca="1">IF(C44&lt;=CRONO.NivelExibicao,MAX($AD$15:OFFSET(AD44,-1,0))+IF($C44&lt;&gt;1,1,MAX(1,COUNTIF(QCI!$A$13:$A$24,OFFSET($E44,-1,0)))),"")</f>
        <v/>
      </c>
      <c r="AE44" s="694" t="str">
        <f t="array" aca="1" ref="AE44" ca="1">IF(AND($C44="S",ORÇAMENTO.CodBarra&lt;&gt;""),IF(ORÇAMENTO.Fonte="",ORÇAMENTO.CodBarra,CONCATENATE(ORÇAMENTO.Fonte," ",ORÇAMENTO.CodBarra)))</f>
        <v>SINAPI 96619</v>
      </c>
      <c r="AF44" s="695">
        <f t="array" aca="1" ref="AF44" ca="1">IF(ISERROR(ORÇAMENTO.BancoRef),"(abra o arquivo 'Referência "&amp;Excel_BuiltIn_Database&amp;".xlsm)",IF(OR($C44&lt;&gt;"S",ORÇAMENTO.CodBarra=""),"(Sem Código)",IF(ISERROR(MATCH($AE44,INDIRECT(ORÇAMENTO.BancoRef),0)),"(Código não identificado nas referências)",MATCH($AE44,INDIRECT(ORÇAMENTO.BancoRef),0))))</f>
        <v>12713</v>
      </c>
      <c r="AG44" s="428">
        <f t="array" aca="1" ref="AG44" ca="1">ROUND(IF(DESONERACAO="sim",REFERENCIA.Desonerado,REFERENCIA.NaoDesonerado),2)</f>
        <v>45.37</v>
      </c>
      <c r="AH44" s="429">
        <f t="shared" ca="1" si="14"/>
        <v>0.2034</v>
      </c>
      <c r="AJ44" s="431"/>
      <c r="AL44" s="439"/>
      <c r="AM44" s="336">
        <f t="shared" ca="1" si="0"/>
        <v>7011.68</v>
      </c>
      <c r="AN44" s="469">
        <f t="array" aca="1" ref="AN44" ca="1">ROUND(ORÇAMENTO.CustoUnitario*(1+$AH44),2)</f>
        <v>51.33</v>
      </c>
    </row>
    <row r="45" spans="1:40" s="712" customFormat="1" ht="38.25" x14ac:dyDescent="0.2">
      <c r="A45" s="712" t="str">
        <f>CHOOSE(1+LOG(1+2*(ORÇAMENTO.Nivel="Meta")+4*(ORÇAMENTO.Nivel="Nível 2")+8*(ORÇAMENTO.Nivel="Nível 3")+16*(ORÇAMENTO.Nivel="Nível 4")+32*(ORÇAMENTO.Nivel="Serviço"),2),0,1,2,3,4,"S")</f>
        <v>S</v>
      </c>
      <c r="B45" s="712">
        <f ca="1">IF(OR(C45="s",C45=0),OFFSET(B45,-1,0),C45)</f>
        <v>2</v>
      </c>
      <c r="C45" s="712" t="str">
        <f ca="1">IF(OFFSET(C45,-1,0)="L",1,IF(OFFSET(C45,-1,0)=1,2,IF(OR(A45="s",A45=0),"S",IF(AND(OFFSET(C45,-1,0)=2,A45=4),3,IF(AND(OR(OFFSET(C45,-1,0)="s",OFFSET(C45,-1,0)=0),A45&lt;&gt;"s",A45&gt;OFFSET(B45,-1,0)),OFFSET(B45,-1,0),A45)))))</f>
        <v>S</v>
      </c>
      <c r="D45" s="712">
        <f ca="1">IF(OR(C45="S",C45=0),0,IF(ISERROR(K45),J45,SMALL(J45:K45,1)))</f>
        <v>0</v>
      </c>
      <c r="E45" s="712">
        <f ca="1">IF($C45=1,OFFSET(E45,-1,0)+MAX(1,COUNTIF(QCI!$A$13:$A$24,OFFSET(ORÇAMENTO!E45,-1,0))),OFFSET(E45,-1,0))</f>
        <v>1</v>
      </c>
      <c r="F45" s="712">
        <f ca="1">IF($C45=1,0,IF($C45=2,OFFSET(F45,-1,0)+1,OFFSET(F45,-1,0)))</f>
        <v>5</v>
      </c>
      <c r="G45" s="712">
        <f ca="1">IF(AND($C45&lt;=2,$C45&lt;&gt;0),0,IF($C45=3,OFFSET(G45,-1,0)+1,OFFSET(G45,-1,0)))</f>
        <v>0</v>
      </c>
      <c r="H45" s="712">
        <f ca="1">IF(AND($C45&lt;=3,$C45&lt;&gt;0),0,IF($C45=4,OFFSET(H45,-1,0)+1,OFFSET(H45,-1,0)))</f>
        <v>0</v>
      </c>
      <c r="I45" s="712">
        <f ca="1">IF(AND($C45&lt;=4,$C45&lt;&gt;0),0,IF(AND($C45="S",$X45&gt;0),OFFSET(I45,-1,0)+1,OFFSET(I45,-1,0)))</f>
        <v>3</v>
      </c>
      <c r="J45" s="712">
        <f t="shared" ca="1" si="9"/>
        <v>0</v>
      </c>
      <c r="K45" s="712">
        <f ca="1">IF(OR($C45="S",$C45=0),0,MATCH(OFFSET($D45,0,$C45)+IF($C45&lt;&gt;1,1,COUNTIF(QCI!$A$13:$A$24,ORÇAMENTO!E45)),OFFSET($D45,1,$C45,ROW($C$235)-ROW($C45)),0))</f>
        <v>0</v>
      </c>
      <c r="L45" s="114" t="str">
        <f ca="1">IF(OR($X45&gt;0,$C45=1,$C45=2,$C45=3,$C45=4),"F","")</f>
        <v>F</v>
      </c>
      <c r="M45" s="115" t="s">
        <v>705</v>
      </c>
      <c r="N45" s="116" t="str">
        <f ca="1">CHOOSE(1+LOG(1+2*(C45=1)+4*(C45=2)+8*(C45=3)+16*(C45=4)+32*(C45="S"),2),"","Meta","Nível 2","Nível 3","Nível 4","Serviço")</f>
        <v>Serviço</v>
      </c>
      <c r="O45" s="117" t="str">
        <f ca="1">IF(OR($C45=0,$L45=""),"-",CONCATENATE(E45&amp;".",IF(AND($A$5&gt;=2,$C45&gt;=2),F45&amp;".",""),IF(AND($A$5&gt;=3,$C45&gt;=3),G45&amp;".",""),IF(AND($A$5&gt;=4,$C45&gt;=4),H45&amp;".",""),IF($C45="S",I45&amp;".","")))</f>
        <v>1.5.3.</v>
      </c>
      <c r="P45" s="118" t="s">
        <v>750</v>
      </c>
      <c r="Q45" s="119" t="s">
        <v>1033</v>
      </c>
      <c r="R45" s="120" t="str">
        <f t="array" aca="1" ref="R45" ca="1">IF($C45="S",REFERENCIA.Descricao,"(digite a descrição aqui)")</f>
        <v>FABRICAÇÃO, MONTAGEM E DESMONTAGEM DE FÔRMA PARA VIGA BALDRAME, EM MADEIRA SERRADA, E=25 MM, 4 UTILIZAÇÕES. AF_01/2024</v>
      </c>
      <c r="S45" s="121" t="str">
        <f t="array" aca="1" ref="S45" ca="1">REFERENCIA.Unidade</f>
        <v>M2</v>
      </c>
      <c r="T45" s="122">
        <f ca="1">OFFSET(CÁLCULO!H$15,ROW($T45)-ROW(T$15),0)</f>
        <v>511.6</v>
      </c>
      <c r="U45" s="123">
        <f>70.58*0.94</f>
        <v>66.345199999999991</v>
      </c>
      <c r="V45" s="124" t="s">
        <v>663</v>
      </c>
      <c r="W45" s="122">
        <f t="array" aca="1" ref="W45" ca="1">IF($C45="S",ROUND(IF(TIPOORCAMENTO="Proposto",ORÇAMENTO.CustoUnitario*(1+$AH45),ORÇAMENTO.PrecoUnitarioLicitado),15-13*$AF$10),0)</f>
        <v>85.85</v>
      </c>
      <c r="X45" s="125">
        <f t="array" aca="1" ref="X45" ca="1">IF($C45="S",IF(OR(Import.TipoArredondamento&lt;&gt;"TransfereGOV",ACOMPANHAMENTO="BM"),VTOTAL1,SUM(OFFSET(CÁLCULO!$AI$15,ROW($X45)-ROW($X$15),1):OFFSET(CÁLCULO!$BB$15,ROW($X45)-ROW($X$15),-1))),IF($C45=0,0,ROUND(SomaAgrup,15-13*$AF$11)))</f>
        <v>43920.88</v>
      </c>
      <c r="Y45" s="126" t="s">
        <v>751</v>
      </c>
      <c r="Z45" s="712" t="str">
        <f ca="1">IF(AND($C45="S",$X45&gt;0),IF(ISBLANK($Y45),"RA",LEFT($Y45,2)),"")</f>
        <v>RA</v>
      </c>
      <c r="AA45" s="127">
        <f t="array" aca="1" ref="AA45" ca="1">IF($C45="S",IF($Z45="CP",$X45,IF($Z45="RA",(($X45)*QCI!$AA$3),0)),SomaAgrup)</f>
        <v>0</v>
      </c>
      <c r="AB45" s="128">
        <f t="array" aca="1" ref="AB45" ca="1">IF($C45="S",IF($Z45="OU",ROUND($X45,2),0),SomaAgrup)</f>
        <v>0</v>
      </c>
      <c r="AC45" s="563" t="str">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s="712" t="str">
        <f ca="1">IF(C45&lt;=CRONO.NivelExibicao,MAX($AD$15:OFFSET(AD45,-1,0))+IF($C45&lt;&gt;1,1,MAX(1,COUNTIF(QCI!$A$13:$A$24,OFFSET($E45,-1,0)))),"")</f>
        <v/>
      </c>
      <c r="AE45" s="710" t="str">
        <f t="array" aca="1" ref="AE45" ca="1">IF(AND($C45="S",ORÇAMENTO.CodBarra&lt;&gt;""),IF(ORÇAMENTO.Fonte="",ORÇAMENTO.CodBarra,CONCATENATE(ORÇAMENTO.Fonte," ",ORÇAMENTO.CodBarra)))</f>
        <v>SINAPI 96536</v>
      </c>
      <c r="AF45" s="711">
        <f t="array" aca="1" ref="AF45" ca="1">IF(ISERROR(ORÇAMENTO.BancoRef),"(abra o arquivo 'Referência "&amp;Excel_BuiltIn_Database&amp;".xlsm)",IF(OR($C45&lt;&gt;"S",ORÇAMENTO.CodBarra=""),"(Sem Código)",IF(ISERROR(MATCH($AE45,INDIRECT(ORÇAMENTO.BancoRef),0)),"(Código não identificado nas referências)",MATCH($AE45,INDIRECT(ORÇAMENTO.BancoRef),0))))</f>
        <v>10020</v>
      </c>
      <c r="AG45" s="428">
        <f t="array" aca="1" ref="AG45" ca="1">ROUND(IF(DESONERACAO="sim",REFERENCIA.Desonerado,REFERENCIA.NaoDesonerado),2)</f>
        <v>70.58</v>
      </c>
      <c r="AH45" s="429">
        <f ca="1">ROUND(IF(ISNUMBER(ORÇAMENTO.OpcaoBDI),ORÇAMENTO.OpcaoBDI,IF(LEFT(ORÇAMENTO.OpcaoBDI,3)="BDI",HLOOKUP(ORÇAMENTO.OpcaoBDI,$F$4:$H$5,2,FALSE),0)),15-11*$AF$9)</f>
        <v>0.29389999999999999</v>
      </c>
      <c r="AJ45" s="431"/>
      <c r="AL45" s="439"/>
      <c r="AM45" s="336">
        <f t="shared" ca="1" si="0"/>
        <v>43920.88</v>
      </c>
      <c r="AN45" s="469">
        <f t="array" aca="1" ref="AN45" ca="1">ROUND(ORÇAMENTO.CustoUnitario*(1+$AH45),2)</f>
        <v>85.85</v>
      </c>
    </row>
    <row r="46" spans="1:40" s="696" customFormat="1" ht="25.5" x14ac:dyDescent="0.2">
      <c r="A46" s="696" t="str">
        <f t="shared" si="1"/>
        <v>S</v>
      </c>
      <c r="B46" s="696">
        <f t="shared" ca="1" si="2"/>
        <v>2</v>
      </c>
      <c r="C46" s="696" t="str">
        <f t="shared" ca="1" si="3"/>
        <v>S</v>
      </c>
      <c r="D46" s="696">
        <f t="shared" ca="1" si="4"/>
        <v>0</v>
      </c>
      <c r="E46" s="696">
        <f ca="1">IF($C46=1,OFFSET(E46,-1,0)+MAX(1,COUNTIF(QCI!$A$13:$A$24,OFFSET(ORÇAMENTO!E46,-1,0))),OFFSET(E46,-1,0))</f>
        <v>1</v>
      </c>
      <c r="F46" s="696">
        <f t="shared" ca="1" si="5"/>
        <v>5</v>
      </c>
      <c r="G46" s="696">
        <f t="shared" ca="1" si="6"/>
        <v>0</v>
      </c>
      <c r="H46" s="696">
        <f t="shared" ca="1" si="7"/>
        <v>0</v>
      </c>
      <c r="I46" s="696">
        <f t="shared" ca="1" si="8"/>
        <v>4</v>
      </c>
      <c r="J46" s="696">
        <f t="shared" ca="1" si="9"/>
        <v>0</v>
      </c>
      <c r="K46" s="696">
        <f ca="1">IF(OR($C46="S",$C46=0),0,MATCH(OFFSET($D46,0,$C46)+IF($C46&lt;&gt;1,1,COUNTIF(QCI!$A$13:$A$24,ORÇAMENTO!E46)),OFFSET($D46,1,$C46,ROW($C$235)-ROW($C46)),0))</f>
        <v>0</v>
      </c>
      <c r="L46" s="114" t="str">
        <f t="shared" ca="1" si="10"/>
        <v>F</v>
      </c>
      <c r="M46" s="115" t="s">
        <v>705</v>
      </c>
      <c r="N46" s="116" t="str">
        <f t="shared" ca="1" si="11"/>
        <v>Serviço</v>
      </c>
      <c r="O46" s="117" t="str">
        <f t="shared" ca="1" si="12"/>
        <v>1.5.4.</v>
      </c>
      <c r="P46" s="118" t="s">
        <v>750</v>
      </c>
      <c r="Q46" s="119" t="s">
        <v>1034</v>
      </c>
      <c r="R46" s="120" t="str">
        <f t="array" aca="1" ref="R46" ca="1">IF($C46="S",REFERENCIA.Descricao,"(digite a descrição aqui)")</f>
        <v>ARMAÇÃO DE SAPATA ISOLADA, VIGA BALDRAME E SAPATA CORRIDA UTILIZANDO AÇO CA-50 DE 8 MM - MONTAGEM. AF_01/2024</v>
      </c>
      <c r="S46" s="121" t="str">
        <f t="array" aca="1" ref="S46" ca="1">REFERENCIA.Unidade</f>
        <v>KG</v>
      </c>
      <c r="T46" s="122">
        <f ca="1">OFFSET(CÁLCULO!H$15,ROW($T46)-ROW(T$15),0)</f>
        <v>1608</v>
      </c>
      <c r="U46" s="123">
        <f>14.29*0.94</f>
        <v>13.432599999999999</v>
      </c>
      <c r="V46" s="124" t="s">
        <v>697</v>
      </c>
      <c r="W46" s="122">
        <f t="array" aca="1" ref="W46" ca="1">IF($C46="S",ROUND(IF(TIPOORCAMENTO="Proposto",ORÇAMENTO.CustoUnitario*(1+$AH46),ORÇAMENTO.PrecoUnitarioLicitado),15-13*$AF$10),0)</f>
        <v>16.16</v>
      </c>
      <c r="X46" s="125">
        <f t="array" aca="1" ref="X46" ca="1">IF($C46="S",IF(OR(Import.TipoArredondamento&lt;&gt;"TransfereGOV",ACOMPANHAMENTO="BM"),VTOTAL1,SUM(OFFSET(CÁLCULO!$AI$15,ROW($X46)-ROW($X$15),1):OFFSET(CÁLCULO!$BB$15,ROW($X46)-ROW($X$15),-1))),IF($C46=0,0,ROUND(SomaAgrup,15-13*$AF$11)))</f>
        <v>25985.279999999999</v>
      </c>
      <c r="Y46" s="126" t="s">
        <v>751</v>
      </c>
      <c r="Z46" s="696" t="str">
        <f t="shared" ca="1" si="13"/>
        <v>RA</v>
      </c>
      <c r="AA46" s="127">
        <f t="array" aca="1" ref="AA46" ca="1">IF($C46="S",IF($Z46="CP",$X46,IF($Z46="RA",(($X46)*QCI!$AA$3),0)),SomaAgrup)</f>
        <v>0</v>
      </c>
      <c r="AB46" s="128">
        <f t="array" aca="1" ref="AB46" ca="1">IF($C46="S",IF($Z46="OU",ROUND($X46,2),0),SomaAgrup)</f>
        <v>0</v>
      </c>
      <c r="AC46" s="563" t="str">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s="696" t="str">
        <f ca="1">IF(C46&lt;=CRONO.NivelExibicao,MAX($AD$15:OFFSET(AD46,-1,0))+IF($C46&lt;&gt;1,1,MAX(1,COUNTIF(QCI!$A$13:$A$24,OFFSET($E46,-1,0)))),"")</f>
        <v/>
      </c>
      <c r="AE46" s="694" t="str">
        <f t="array" aca="1" ref="AE46" ca="1">IF(AND($C46="S",ORÇAMENTO.CodBarra&lt;&gt;""),IF(ORÇAMENTO.Fonte="",ORÇAMENTO.CodBarra,CONCATENATE(ORÇAMENTO.Fonte," ",ORÇAMENTO.CodBarra)))</f>
        <v>SINAPI 104918</v>
      </c>
      <c r="AF46" s="695">
        <f t="array" aca="1" ref="AF46" ca="1">IF(ISERROR(ORÇAMENTO.BancoRef),"(abra o arquivo 'Referência "&amp;Excel_BuiltIn_Database&amp;".xlsm)",IF(OR($C46&lt;&gt;"S",ORÇAMENTO.CodBarra=""),"(Sem Código)",IF(ISERROR(MATCH($AE46,INDIRECT(ORÇAMENTO.BancoRef),0)),"(Código não identificado nas referências)",MATCH($AE46,INDIRECT(ORÇAMENTO.BancoRef),0))))</f>
        <v>9985</v>
      </c>
      <c r="AG46" s="428">
        <f t="array" aca="1" ref="AG46" ca="1">ROUND(IF(DESONERACAO="sim",REFERENCIA.Desonerado,REFERENCIA.NaoDesonerado),2)</f>
        <v>14.29</v>
      </c>
      <c r="AH46" s="429">
        <f t="shared" ca="1" si="14"/>
        <v>0.2034</v>
      </c>
      <c r="AJ46" s="431"/>
      <c r="AL46" s="439"/>
      <c r="AM46" s="336">
        <f t="shared" ca="1" si="0"/>
        <v>25985.279999999999</v>
      </c>
      <c r="AN46" s="469">
        <f t="array" aca="1" ref="AN46" ca="1">ROUND(ORÇAMENTO.CustoUnitario*(1+$AH46),2)</f>
        <v>16.16</v>
      </c>
    </row>
    <row r="47" spans="1:40" s="696" customFormat="1" ht="38.25" x14ac:dyDescent="0.2">
      <c r="A47" s="696" t="str">
        <f t="shared" si="1"/>
        <v>S</v>
      </c>
      <c r="B47" s="696">
        <f t="shared" ca="1" si="2"/>
        <v>2</v>
      </c>
      <c r="C47" s="696" t="str">
        <f t="shared" ca="1" si="3"/>
        <v>S</v>
      </c>
      <c r="D47" s="696">
        <f t="shared" ca="1" si="4"/>
        <v>0</v>
      </c>
      <c r="E47" s="696">
        <f ca="1">IF($C47=1,OFFSET(E47,-1,0)+MAX(1,COUNTIF(QCI!$A$13:$A$24,OFFSET(ORÇAMENTO!E47,-1,0))),OFFSET(E47,-1,0))</f>
        <v>1</v>
      </c>
      <c r="F47" s="696">
        <f t="shared" ca="1" si="5"/>
        <v>5</v>
      </c>
      <c r="G47" s="696">
        <f t="shared" ca="1" si="6"/>
        <v>0</v>
      </c>
      <c r="H47" s="696">
        <f t="shared" ca="1" si="7"/>
        <v>0</v>
      </c>
      <c r="I47" s="696">
        <f t="shared" ca="1" si="8"/>
        <v>5</v>
      </c>
      <c r="J47" s="696">
        <f t="shared" ca="1" si="9"/>
        <v>0</v>
      </c>
      <c r="K47" s="696">
        <f ca="1">IF(OR($C47="S",$C47=0),0,MATCH(OFFSET($D47,0,$C47)+IF($C47&lt;&gt;1,1,COUNTIF(QCI!$A$13:$A$24,ORÇAMENTO!E47)),OFFSET($D47,1,$C47,ROW($C$235)-ROW($C47)),0))</f>
        <v>0</v>
      </c>
      <c r="L47" s="114" t="str">
        <f t="shared" ca="1" si="10"/>
        <v>F</v>
      </c>
      <c r="M47" s="115" t="s">
        <v>705</v>
      </c>
      <c r="N47" s="116" t="str">
        <f t="shared" ca="1" si="11"/>
        <v>Serviço</v>
      </c>
      <c r="O47" s="117" t="str">
        <f t="shared" ca="1" si="12"/>
        <v>1.5.5.</v>
      </c>
      <c r="P47" s="118" t="s">
        <v>750</v>
      </c>
      <c r="Q47" s="119" t="s">
        <v>1028</v>
      </c>
      <c r="R47" s="120" t="str">
        <f t="array" aca="1" ref="R47" ca="1">IF($C47="S",REFERENCIA.Descricao,"(digite a descrição aqui)")</f>
        <v>ARMAÇÃO DE SAPATA ISOLADA, VIGA BALDRAME E SAPATA CORRIDA UTILIZANDO AÇO CA-50 DE 6,3 MM - MONTAGEM. AF_01/2024</v>
      </c>
      <c r="S47" s="121" t="str">
        <f t="array" aca="1" ref="S47" ca="1">REFERENCIA.Unidade</f>
        <v>KG</v>
      </c>
      <c r="T47" s="122">
        <f ca="1">OFFSET(CÁLCULO!H$15,ROW($T47)-ROW(T$15),0)</f>
        <v>154</v>
      </c>
      <c r="U47" s="123">
        <f>15.64*0.94</f>
        <v>14.701599999999999</v>
      </c>
      <c r="V47" s="124" t="s">
        <v>697</v>
      </c>
      <c r="W47" s="122">
        <f t="array" aca="1" ref="W47" ca="1">IF($C47="S",ROUND(IF(TIPOORCAMENTO="Proposto",ORÇAMENTO.CustoUnitario*(1+$AH47),ORÇAMENTO.PrecoUnitarioLicitado),15-13*$AF$10),0)</f>
        <v>17.690000000000001</v>
      </c>
      <c r="X47" s="125">
        <f t="array" aca="1" ref="X47" ca="1">IF($C47="S",IF(OR(Import.TipoArredondamento&lt;&gt;"TransfereGOV",ACOMPANHAMENTO="BM"),VTOTAL1,SUM(OFFSET(CÁLCULO!$AI$15,ROW($X47)-ROW($X$15),1):OFFSET(CÁLCULO!$BB$15,ROW($X47)-ROW($X$15),-1))),IF($C47=0,0,ROUND(SomaAgrup,15-13*$AF$11)))</f>
        <v>2724.28</v>
      </c>
      <c r="Y47" s="126" t="s">
        <v>751</v>
      </c>
      <c r="Z47" s="696" t="str">
        <f t="shared" ca="1" si="13"/>
        <v>RA</v>
      </c>
      <c r="AA47" s="127">
        <f t="array" aca="1" ref="AA47" ca="1">IF($C47="S",IF($Z47="CP",$X47,IF($Z47="RA",(($X47)*QCI!$AA$3),0)),SomaAgrup)</f>
        <v>0</v>
      </c>
      <c r="AB47" s="128">
        <f t="array" aca="1" ref="AB47" ca="1">IF($C47="S",IF($Z47="OU",ROUND($X47,2),0),SomaAgrup)</f>
        <v>0</v>
      </c>
      <c r="AC47" s="563" t="str">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s="696" t="str">
        <f ca="1">IF(C47&lt;=CRONO.NivelExibicao,MAX($AD$15:OFFSET(AD47,-1,0))+IF($C47&lt;&gt;1,1,MAX(1,COUNTIF(QCI!$A$13:$A$24,OFFSET($E47,-1,0)))),"")</f>
        <v/>
      </c>
      <c r="AE47" s="694" t="str">
        <f t="array" aca="1" ref="AE47" ca="1">IF(AND($C47="S",ORÇAMENTO.CodBarra&lt;&gt;""),IF(ORÇAMENTO.Fonte="",ORÇAMENTO.CodBarra,CONCATENATE(ORÇAMENTO.Fonte," ",ORÇAMENTO.CodBarra)))</f>
        <v>SINAPI 104917</v>
      </c>
      <c r="AF47" s="695">
        <f t="array" aca="1" ref="AF47" ca="1">IF(ISERROR(ORÇAMENTO.BancoRef),"(abra o arquivo 'Referência "&amp;Excel_BuiltIn_Database&amp;".xlsm)",IF(OR($C47&lt;&gt;"S",ORÇAMENTO.CodBarra=""),"(Sem Código)",IF(ISERROR(MATCH($AE47,INDIRECT(ORÇAMENTO.BancoRef),0)),"(Código não identificado nas referências)",MATCH($AE47,INDIRECT(ORÇAMENTO.BancoRef),0))))</f>
        <v>9984</v>
      </c>
      <c r="AG47" s="428">
        <f t="array" aca="1" ref="AG47" ca="1">ROUND(IF(DESONERACAO="sim",REFERENCIA.Desonerado,REFERENCIA.NaoDesonerado),2)</f>
        <v>15.64</v>
      </c>
      <c r="AH47" s="429">
        <f t="shared" ca="1" si="14"/>
        <v>0.2034</v>
      </c>
      <c r="AJ47" s="431"/>
      <c r="AL47" s="439"/>
      <c r="AM47" s="336">
        <f t="shared" ca="1" si="0"/>
        <v>2724.28</v>
      </c>
      <c r="AN47" s="469">
        <f t="array" aca="1" ref="AN47" ca="1">ROUND(ORÇAMENTO.CustoUnitario*(1+$AH47),2)</f>
        <v>17.690000000000001</v>
      </c>
    </row>
    <row r="48" spans="1:40" s="696" customFormat="1" ht="25.5" x14ac:dyDescent="0.2">
      <c r="A48" s="696" t="str">
        <f t="shared" si="1"/>
        <v>S</v>
      </c>
      <c r="B48" s="696">
        <f t="shared" ca="1" si="2"/>
        <v>2</v>
      </c>
      <c r="C48" s="696" t="str">
        <f t="shared" ca="1" si="3"/>
        <v>S</v>
      </c>
      <c r="D48" s="696">
        <f t="shared" ca="1" si="4"/>
        <v>0</v>
      </c>
      <c r="E48" s="696">
        <f ca="1">IF($C48=1,OFFSET(E48,-1,0)+MAX(1,COUNTIF(QCI!$A$13:$A$24,OFFSET(ORÇAMENTO!E48,-1,0))),OFFSET(E48,-1,0))</f>
        <v>1</v>
      </c>
      <c r="F48" s="696">
        <f t="shared" ca="1" si="5"/>
        <v>5</v>
      </c>
      <c r="G48" s="696">
        <f t="shared" ca="1" si="6"/>
        <v>0</v>
      </c>
      <c r="H48" s="696">
        <f t="shared" ca="1" si="7"/>
        <v>0</v>
      </c>
      <c r="I48" s="696">
        <f t="shared" ca="1" si="8"/>
        <v>6</v>
      </c>
      <c r="J48" s="696">
        <f t="shared" ca="1" si="9"/>
        <v>0</v>
      </c>
      <c r="K48" s="696">
        <f ca="1">IF(OR($C48="S",$C48=0),0,MATCH(OFFSET($D48,0,$C48)+IF($C48&lt;&gt;1,1,COUNTIF(QCI!$A$13:$A$24,ORÇAMENTO!E48)),OFFSET($D48,1,$C48,ROW($C$235)-ROW($C48)),0))</f>
        <v>0</v>
      </c>
      <c r="L48" s="114" t="str">
        <f t="shared" ca="1" si="10"/>
        <v>F</v>
      </c>
      <c r="M48" s="115" t="s">
        <v>705</v>
      </c>
      <c r="N48" s="116" t="str">
        <f t="shared" ca="1" si="11"/>
        <v>Serviço</v>
      </c>
      <c r="O48" s="117" t="str">
        <f t="shared" ca="1" si="12"/>
        <v>1.5.6.</v>
      </c>
      <c r="P48" s="118" t="s">
        <v>750</v>
      </c>
      <c r="Q48" s="119" t="s">
        <v>1029</v>
      </c>
      <c r="R48" s="120" t="str">
        <f t="array" aca="1" ref="R48" ca="1">IF($C48="S",REFERENCIA.Descricao,"(digite a descrição aqui)")</f>
        <v>ARMAÇÃO DE SAPATA ISOLADA, VIGA BALDRAME E SAPATA CORRIDA UTILIZANDO AÇO CA-60 DE 5 MM - MONTAGEM. AF_01/2024</v>
      </c>
      <c r="S48" s="121" t="str">
        <f t="array" aca="1" ref="S48" ca="1">REFERENCIA.Unidade</f>
        <v>KG</v>
      </c>
      <c r="T48" s="122">
        <f ca="1">OFFSET(CÁLCULO!H$15,ROW($T48)-ROW(T$15),0)</f>
        <v>780</v>
      </c>
      <c r="U48" s="123">
        <f>17.17*0.94</f>
        <v>16.139800000000001</v>
      </c>
      <c r="V48" s="124" t="s">
        <v>697</v>
      </c>
      <c r="W48" s="122">
        <f t="array" aca="1" ref="W48" ca="1">IF($C48="S",ROUND(IF(TIPOORCAMENTO="Proposto",ORÇAMENTO.CustoUnitario*(1+$AH48),ORÇAMENTO.PrecoUnitarioLicitado),15-13*$AF$10),0)</f>
        <v>19.420000000000002</v>
      </c>
      <c r="X48" s="125">
        <f t="array" aca="1" ref="X48" ca="1">IF($C48="S",IF(OR(Import.TipoArredondamento&lt;&gt;"TransfereGOV",ACOMPANHAMENTO="BM"),VTOTAL1,SUM(OFFSET(CÁLCULO!$AI$15,ROW($X48)-ROW($X$15),1):OFFSET(CÁLCULO!$BB$15,ROW($X48)-ROW($X$15),-1))),IF($C48=0,0,ROUND(SomaAgrup,15-13*$AF$11)))</f>
        <v>15147.6</v>
      </c>
      <c r="Y48" s="126" t="s">
        <v>751</v>
      </c>
      <c r="Z48" s="696" t="str">
        <f t="shared" ca="1" si="13"/>
        <v>RA</v>
      </c>
      <c r="AA48" s="127">
        <f t="array" aca="1" ref="AA48" ca="1">IF($C48="S",IF($Z48="CP",$X48,IF($Z48="RA",(($X48)*QCI!$AA$3),0)),SomaAgrup)</f>
        <v>0</v>
      </c>
      <c r="AB48" s="128">
        <f t="array" aca="1" ref="AB48" ca="1">IF($C48="S",IF($Z48="OU",ROUND($X48,2),0),SomaAgrup)</f>
        <v>0</v>
      </c>
      <c r="AC48" s="563" t="str">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s="696" t="str">
        <f ca="1">IF(C48&lt;=CRONO.NivelExibicao,MAX($AD$15:OFFSET(AD48,-1,0))+IF($C48&lt;&gt;1,1,MAX(1,COUNTIF(QCI!$A$13:$A$24,OFFSET($E48,-1,0)))),"")</f>
        <v/>
      </c>
      <c r="AE48" s="694" t="str">
        <f t="array" aca="1" ref="AE48" ca="1">IF(AND($C48="S",ORÇAMENTO.CodBarra&lt;&gt;""),IF(ORÇAMENTO.Fonte="",ORÇAMENTO.CodBarra,CONCATENATE(ORÇAMENTO.Fonte," ",ORÇAMENTO.CodBarra)))</f>
        <v>SINAPI 104916</v>
      </c>
      <c r="AF48" s="695">
        <f t="array" aca="1" ref="AF48" ca="1">IF(ISERROR(ORÇAMENTO.BancoRef),"(abra o arquivo 'Referência "&amp;Excel_BuiltIn_Database&amp;".xlsm)",IF(OR($C48&lt;&gt;"S",ORÇAMENTO.CodBarra=""),"(Sem Código)",IF(ISERROR(MATCH($AE48,INDIRECT(ORÇAMENTO.BancoRef),0)),"(Código não identificado nas referências)",MATCH($AE48,INDIRECT(ORÇAMENTO.BancoRef),0))))</f>
        <v>9986</v>
      </c>
      <c r="AG48" s="428">
        <f t="array" aca="1" ref="AG48" ca="1">ROUND(IF(DESONERACAO="sim",REFERENCIA.Desonerado,REFERENCIA.NaoDesonerado),2)</f>
        <v>17.170000000000002</v>
      </c>
      <c r="AH48" s="429">
        <f t="shared" ca="1" si="14"/>
        <v>0.2034</v>
      </c>
      <c r="AJ48" s="431"/>
      <c r="AL48" s="439"/>
      <c r="AM48" s="336">
        <f t="shared" ca="1" si="0"/>
        <v>15147.6</v>
      </c>
      <c r="AN48" s="469">
        <f t="array" aca="1" ref="AN48" ca="1">ROUND(ORÇAMENTO.CustoUnitario*(1+$AH48),2)</f>
        <v>19.420000000000002</v>
      </c>
    </row>
    <row r="49" spans="1:40" s="696" customFormat="1" ht="38.25" x14ac:dyDescent="0.2">
      <c r="A49" s="696" t="str">
        <f t="shared" si="1"/>
        <v>S</v>
      </c>
      <c r="B49" s="696">
        <f t="shared" ca="1" si="2"/>
        <v>2</v>
      </c>
      <c r="C49" s="696" t="str">
        <f t="shared" ca="1" si="3"/>
        <v>S</v>
      </c>
      <c r="D49" s="696">
        <f t="shared" ca="1" si="4"/>
        <v>0</v>
      </c>
      <c r="E49" s="696">
        <f ca="1">IF($C49=1,OFFSET(E49,-1,0)+MAX(1,COUNTIF(QCI!$A$13:$A$24,OFFSET(ORÇAMENTO!E49,-1,0))),OFFSET(E49,-1,0))</f>
        <v>1</v>
      </c>
      <c r="F49" s="696">
        <f t="shared" ca="1" si="5"/>
        <v>5</v>
      </c>
      <c r="G49" s="696">
        <f t="shared" ca="1" si="6"/>
        <v>0</v>
      </c>
      <c r="H49" s="696">
        <f t="shared" ca="1" si="7"/>
        <v>0</v>
      </c>
      <c r="I49" s="696">
        <f t="shared" ca="1" si="8"/>
        <v>7</v>
      </c>
      <c r="J49" s="696">
        <f t="shared" ca="1" si="9"/>
        <v>0</v>
      </c>
      <c r="K49" s="696">
        <f ca="1">IF(OR($C49="S",$C49=0),0,MATCH(OFFSET($D49,0,$C49)+IF($C49&lt;&gt;1,1,COUNTIF(QCI!$A$13:$A$24,ORÇAMENTO!E49)),OFFSET($D49,1,$C49,ROW($C$235)-ROW($C49)),0))</f>
        <v>0</v>
      </c>
      <c r="L49" s="114" t="str">
        <f t="shared" ca="1" si="10"/>
        <v>F</v>
      </c>
      <c r="M49" s="115" t="s">
        <v>705</v>
      </c>
      <c r="N49" s="116" t="str">
        <f t="shared" ca="1" si="11"/>
        <v>Serviço</v>
      </c>
      <c r="O49" s="117" t="str">
        <f t="shared" ca="1" si="12"/>
        <v>1.5.7.</v>
      </c>
      <c r="P49" s="118" t="s">
        <v>956</v>
      </c>
      <c r="Q49" s="119" t="s">
        <v>1035</v>
      </c>
      <c r="R49" s="120" t="str">
        <f t="array" aca="1" ref="R49" ca="1">IF($C49="S",REFERENCIA.Descricao,"(digite a descrição aqui)")</f>
        <v>CONCRETAGEM DE BLOCO DE COROAMENTO OU VIGA BALDRAME, FCK 20 MPA, COM USO DE JERICA - LANÇAMENTO, ADENSAMENTO E ACABAMENTO.</v>
      </c>
      <c r="S49" s="121" t="str">
        <f t="array" aca="1" ref="S49" ca="1">REFERENCIA.Unidade</f>
        <v>M3</v>
      </c>
      <c r="T49" s="122">
        <f ca="1">OFFSET(CÁLCULO!H$15,ROW($T49)-ROW(T$15),0)</f>
        <v>38.200000000000003</v>
      </c>
      <c r="U49" s="123">
        <f>659.05*0.94</f>
        <v>619.50699999999995</v>
      </c>
      <c r="V49" s="124" t="s">
        <v>697</v>
      </c>
      <c r="W49" s="122">
        <f t="array" aca="1" ref="W49" ca="1">IF($C49="S",ROUND(IF(TIPOORCAMENTO="Proposto",ORÇAMENTO.CustoUnitario*(1+$AH49),ORÇAMENTO.PrecoUnitarioLicitado),15-13*$AF$10),0)</f>
        <v>745.52</v>
      </c>
      <c r="X49" s="125">
        <f t="array" aca="1" ref="X49" ca="1">IF($C49="S",IF(OR(Import.TipoArredondamento&lt;&gt;"TransfereGOV",ACOMPANHAMENTO="BM"),VTOTAL1,SUM(OFFSET(CÁLCULO!$AI$15,ROW($X49)-ROW($X$15),1):OFFSET(CÁLCULO!$BB$15,ROW($X49)-ROW($X$15),-1))),IF($C49=0,0,ROUND(SomaAgrup,15-13*$AF$11)))</f>
        <v>28478.880000000001</v>
      </c>
      <c r="Y49" s="126" t="s">
        <v>751</v>
      </c>
      <c r="Z49" s="696" t="str">
        <f t="shared" ca="1" si="13"/>
        <v>RA</v>
      </c>
      <c r="AA49" s="127">
        <f t="array" aca="1" ref="AA49" ca="1">IF($C49="S",IF($Z49="CP",$X49,IF($Z49="RA",(($X49)*QCI!$AA$3),0)),SomaAgrup)</f>
        <v>0</v>
      </c>
      <c r="AB49" s="128">
        <f t="array" aca="1" ref="AB49" ca="1">IF($C49="S",IF($Z49="OU",ROUND($X49,2),0),SomaAgrup)</f>
        <v>0</v>
      </c>
      <c r="AC49" s="563" t="str">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s="696" t="str">
        <f ca="1">IF(C49&lt;=CRONO.NivelExibicao,MAX($AD$15:OFFSET(AD49,-1,0))+IF($C49&lt;&gt;1,1,MAX(1,COUNTIF(QCI!$A$13:$A$24,OFFSET($E49,-1,0)))),"")</f>
        <v/>
      </c>
      <c r="AE49" s="694" t="str">
        <f t="array" aca="1" ref="AE49" ca="1">IF(AND($C49="S",ORÇAMENTO.CodBarra&lt;&gt;""),IF(ORÇAMENTO.Fonte="",ORÇAMENTO.CodBarra,CONCATENATE(ORÇAMENTO.Fonte," ",ORÇAMENTO.CodBarra)))</f>
        <v>Composição COMP 02</v>
      </c>
      <c r="AF49" s="695">
        <f t="array" aca="1" ref="AF49" ca="1">IF(ISERROR(ORÇAMENTO.BancoRef),"(abra o arquivo 'Referência "&amp;Excel_BuiltIn_Database&amp;".xlsm)",IF(OR($C49&lt;&gt;"S",ORÇAMENTO.CodBarra=""),"(Sem Código)",IF(ISERROR(MATCH($AE49,INDIRECT(ORÇAMENTO.BancoRef),0)),"(Código não identificado nas referências)",MATCH($AE49,INDIRECT(ORÇAMENTO.BancoRef),0))))</f>
        <v>4</v>
      </c>
      <c r="AG49" s="428">
        <f t="array" aca="1" ref="AG49" ca="1">ROUND(IF(DESONERACAO="sim",REFERENCIA.Desonerado,REFERENCIA.NaoDesonerado),2)</f>
        <v>676.87</v>
      </c>
      <c r="AH49" s="429">
        <f t="shared" ca="1" si="14"/>
        <v>0.2034</v>
      </c>
      <c r="AJ49" s="431"/>
      <c r="AL49" s="439"/>
      <c r="AM49" s="336">
        <f t="shared" ca="1" si="0"/>
        <v>28478.880000000001</v>
      </c>
      <c r="AN49" s="469">
        <f t="array" aca="1" ref="AN49" ca="1">ROUND(ORÇAMENTO.CustoUnitario*(1+$AH49),2)</f>
        <v>745.52</v>
      </c>
    </row>
    <row r="50" spans="1:40" s="712" customFormat="1" ht="25.5" x14ac:dyDescent="0.2">
      <c r="A50" s="712" t="str">
        <f>CHOOSE(1+LOG(1+2*(ORÇAMENTO.Nivel="Meta")+4*(ORÇAMENTO.Nivel="Nível 2")+8*(ORÇAMENTO.Nivel="Nível 3")+16*(ORÇAMENTO.Nivel="Nível 4")+32*(ORÇAMENTO.Nivel="Serviço"),2),0,1,2,3,4,"S")</f>
        <v>S</v>
      </c>
      <c r="B50" s="712">
        <f ca="1">IF(OR(C50="s",C50=0),OFFSET(B50,-1,0),C50)</f>
        <v>2</v>
      </c>
      <c r="C50" s="712" t="str">
        <f ca="1">IF(OFFSET(C50,-1,0)="L",1,IF(OFFSET(C50,-1,0)=1,2,IF(OR(A50="s",A50=0),"S",IF(AND(OFFSET(C50,-1,0)=2,A50=4),3,IF(AND(OR(OFFSET(C50,-1,0)="s",OFFSET(C50,-1,0)=0),A50&lt;&gt;"s",A50&gt;OFFSET(B50,-1,0)),OFFSET(B50,-1,0),A50)))))</f>
        <v>S</v>
      </c>
      <c r="D50" s="712">
        <f ca="1">IF(OR(C50="S",C50=0),0,IF(ISERROR(K50),J50,SMALL(J50:K50,1)))</f>
        <v>0</v>
      </c>
      <c r="E50" s="712">
        <f ca="1">IF($C50=1,OFFSET(E50,-1,0)+MAX(1,COUNTIF(QCI!$A$13:$A$24,OFFSET(ORÇAMENTO!E50,-1,0))),OFFSET(E50,-1,0))</f>
        <v>1</v>
      </c>
      <c r="F50" s="712">
        <f ca="1">IF($C50=1,0,IF($C50=2,OFFSET(F50,-1,0)+1,OFFSET(F50,-1,0)))</f>
        <v>5</v>
      </c>
      <c r="G50" s="712">
        <f ca="1">IF(AND($C50&lt;=2,$C50&lt;&gt;0),0,IF($C50=3,OFFSET(G50,-1,0)+1,OFFSET(G50,-1,0)))</f>
        <v>0</v>
      </c>
      <c r="H50" s="712">
        <f ca="1">IF(AND($C50&lt;=3,$C50&lt;&gt;0),0,IF($C50=4,OFFSET(H50,-1,0)+1,OFFSET(H50,-1,0)))</f>
        <v>0</v>
      </c>
      <c r="I50" s="712">
        <f ca="1">IF(AND($C50&lt;=4,$C50&lt;&gt;0),0,IF(AND($C50="S",$X50&gt;0),OFFSET(I50,-1,0)+1,OFFSET(I50,-1,0)))</f>
        <v>8</v>
      </c>
      <c r="J50" s="712">
        <f t="shared" ca="1" si="9"/>
        <v>0</v>
      </c>
      <c r="K50" s="712">
        <f ca="1">IF(OR($C50="S",$C50=0),0,MATCH(OFFSET($D50,0,$C50)+IF($C50&lt;&gt;1,1,COUNTIF(QCI!$A$13:$A$24,ORÇAMENTO!E50)),OFFSET($D50,1,$C50,ROW($C$235)-ROW($C50)),0))</f>
        <v>0</v>
      </c>
      <c r="L50" s="114" t="str">
        <f ca="1">IF(OR($X50&gt;0,$C50=1,$C50=2,$C50=3,$C50=4),"F","")</f>
        <v>F</v>
      </c>
      <c r="M50" s="115" t="s">
        <v>705</v>
      </c>
      <c r="N50" s="116" t="str">
        <f ca="1">CHOOSE(1+LOG(1+2*(C50=1)+4*(C50=2)+8*(C50=3)+16*(C50=4)+32*(C50="S"),2),"","Meta","Nível 2","Nível 3","Nível 4","Serviço")</f>
        <v>Serviço</v>
      </c>
      <c r="O50" s="117" t="str">
        <f ca="1">IF(OR($C50=0,$L50=""),"-",CONCATENATE(E50&amp;".",IF(AND($A$5&gt;=2,$C50&gt;=2),F50&amp;".",""),IF(AND($A$5&gt;=3,$C50&gt;=3),G50&amp;".",""),IF(AND($A$5&gt;=4,$C50&gt;=4),H50&amp;".",""),IF($C50="S",I50&amp;".","")))</f>
        <v>1.5.8.</v>
      </c>
      <c r="P50" s="118" t="s">
        <v>750</v>
      </c>
      <c r="Q50" s="119" t="s">
        <v>1030</v>
      </c>
      <c r="R50" s="120" t="str">
        <f t="array" aca="1" ref="R50" ca="1">IF($C50="S",REFERENCIA.Descricao,"(digite a descrição aqui)")</f>
        <v>REATERRO MANUAL DE VALAS, COM COMPACTADOR DE SOLOS DE PERCUSSÃO. AF_08/2023</v>
      </c>
      <c r="S50" s="121" t="str">
        <f t="array" aca="1" ref="S50" ca="1">REFERENCIA.Unidade</f>
        <v>M3</v>
      </c>
      <c r="T50" s="122">
        <f ca="1">OFFSET(CÁLCULO!H$15,ROW($T50)-ROW(T$15),0)</f>
        <v>64.2</v>
      </c>
      <c r="U50" s="123">
        <f>22.42*0.94</f>
        <v>21.0748</v>
      </c>
      <c r="V50" s="124" t="s">
        <v>663</v>
      </c>
      <c r="W50" s="122">
        <f t="array" aca="1" ref="W50" ca="1">IF($C50="S",ROUND(IF(TIPOORCAMENTO="Proposto",ORÇAMENTO.CustoUnitario*(1+$AH50),ORÇAMENTO.PrecoUnitarioLicitado),15-13*$AF$10),0)</f>
        <v>27.26</v>
      </c>
      <c r="X50" s="125">
        <f t="array" aca="1" ref="X50" ca="1">IF($C50="S",IF(OR(Import.TipoArredondamento&lt;&gt;"TransfereGOV",ACOMPANHAMENTO="BM"),VTOTAL1,SUM(OFFSET(CÁLCULO!$AI$15,ROW($X50)-ROW($X$15),1):OFFSET(CÁLCULO!$BB$15,ROW($X50)-ROW($X$15),-1))),IF($C50=0,0,ROUND(SomaAgrup,15-13*$AF$11)))</f>
        <v>1750.08</v>
      </c>
      <c r="Y50" s="126" t="s">
        <v>751</v>
      </c>
      <c r="Z50" s="712" t="str">
        <f ca="1">IF(AND($C50="S",$X50&gt;0),IF(ISBLANK($Y50),"RA",LEFT($Y50,2)),"")</f>
        <v>RA</v>
      </c>
      <c r="AA50" s="127">
        <f t="array" aca="1" ref="AA50" ca="1">IF($C50="S",IF($Z50="CP",$X50,IF($Z50="RA",(($X50)*QCI!$AA$3),0)),SomaAgrup)</f>
        <v>0</v>
      </c>
      <c r="AB50" s="128">
        <f t="array" aca="1" ref="AB50" ca="1">IF($C50="S",IF($Z50="OU",ROUND($X50,2),0),SomaAgrup)</f>
        <v>0</v>
      </c>
      <c r="AC50" s="563" t="str">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s="712" t="str">
        <f ca="1">IF(C50&lt;=CRONO.NivelExibicao,MAX($AD$15:OFFSET(AD50,-1,0))+IF($C50&lt;&gt;1,1,MAX(1,COUNTIF(QCI!$A$13:$A$24,OFFSET($E50,-1,0)))),"")</f>
        <v/>
      </c>
      <c r="AE50" s="710" t="str">
        <f t="array" aca="1" ref="AE50" ca="1">IF(AND($C50="S",ORÇAMENTO.CodBarra&lt;&gt;""),IF(ORÇAMENTO.Fonte="",ORÇAMENTO.CodBarra,CONCATENATE(ORÇAMENTO.Fonte," ",ORÇAMENTO.CodBarra)))</f>
        <v>SINAPI 93382</v>
      </c>
      <c r="AF50" s="711">
        <f t="array" aca="1" ref="AF50" ca="1">IF(ISERROR(ORÇAMENTO.BancoRef),"(abra o arquivo 'Referência "&amp;Excel_BuiltIn_Database&amp;".xlsm)",IF(OR($C50&lt;&gt;"S",ORÇAMENTO.CodBarra=""),"(Sem Código)",IF(ISERROR(MATCH($AE50,INDIRECT(ORÇAMENTO.BancoRef),0)),"(Código não identificado nas referências)",MATCH($AE50,INDIRECT(ORÇAMENTO.BancoRef),0))))</f>
        <v>6738</v>
      </c>
      <c r="AG50" s="428">
        <f t="array" aca="1" ref="AG50" ca="1">ROUND(IF(DESONERACAO="sim",REFERENCIA.Desonerado,REFERENCIA.NaoDesonerado),2)</f>
        <v>28.46</v>
      </c>
      <c r="AH50" s="429">
        <f ca="1">ROUND(IF(ISNUMBER(ORÇAMENTO.OpcaoBDI),ORÇAMENTO.OpcaoBDI,IF(LEFT(ORÇAMENTO.OpcaoBDI,3)="BDI",HLOOKUP(ORÇAMENTO.OpcaoBDI,$F$4:$H$5,2,FALSE),0)),15-11*$AF$9)</f>
        <v>0.29389999999999999</v>
      </c>
      <c r="AJ50" s="431"/>
      <c r="AL50" s="439"/>
      <c r="AM50" s="336">
        <f t="shared" ca="1" si="0"/>
        <v>1750.08</v>
      </c>
      <c r="AN50" s="469">
        <f t="array" aca="1" ref="AN50" ca="1">ROUND(ORÇAMENTO.CustoUnitario*(1+$AH50),2)</f>
        <v>27.26</v>
      </c>
    </row>
    <row r="51" spans="1:40" s="696" customFormat="1" x14ac:dyDescent="0.2">
      <c r="A51" s="696">
        <f t="shared" si="1"/>
        <v>2</v>
      </c>
      <c r="B51" s="696">
        <f t="shared" ca="1" si="2"/>
        <v>2</v>
      </c>
      <c r="C51" s="696">
        <f t="shared" ca="1" si="3"/>
        <v>2</v>
      </c>
      <c r="D51" s="696">
        <f t="shared" ca="1" si="4"/>
        <v>4</v>
      </c>
      <c r="E51" s="696">
        <f ca="1">IF($C51=1,OFFSET(E51,-1,0)+MAX(1,COUNTIF(QCI!$A$13:$A$24,OFFSET(ORÇAMENTO!E51,-1,0))),OFFSET(E51,-1,0))</f>
        <v>1</v>
      </c>
      <c r="F51" s="696">
        <f t="shared" ca="1" si="5"/>
        <v>6</v>
      </c>
      <c r="G51" s="696">
        <f t="shared" ca="1" si="6"/>
        <v>0</v>
      </c>
      <c r="H51" s="696">
        <f t="shared" ca="1" si="7"/>
        <v>0</v>
      </c>
      <c r="I51" s="696">
        <f t="shared" ca="1" si="8"/>
        <v>0</v>
      </c>
      <c r="J51" s="696">
        <f t="shared" ca="1" si="9"/>
        <v>184</v>
      </c>
      <c r="K51" s="696">
        <f ca="1">IF(OR($C51="S",$C51=0),0,MATCH(OFFSET($D51,0,$C51)+IF($C51&lt;&gt;1,1,COUNTIF(QCI!$A$13:$A$24,ORÇAMENTO!E51)),OFFSET($D51,1,$C51,ROW($C$235)-ROW($C51)),0))</f>
        <v>4</v>
      </c>
      <c r="L51" s="114" t="str">
        <f t="shared" ca="1" si="10"/>
        <v>F</v>
      </c>
      <c r="M51" s="115" t="s">
        <v>702</v>
      </c>
      <c r="N51" s="116" t="str">
        <f t="shared" ca="1" si="11"/>
        <v>Nível 2</v>
      </c>
      <c r="O51" s="117" t="str">
        <f t="shared" ca="1" si="12"/>
        <v>1.6.</v>
      </c>
      <c r="P51" s="118" t="s">
        <v>750</v>
      </c>
      <c r="Q51" s="119"/>
      <c r="R51" s="120" t="s">
        <v>1036</v>
      </c>
      <c r="S51" s="121" t="s">
        <v>688</v>
      </c>
      <c r="T51" s="122">
        <f ca="1">OFFSET(CÁLCULO!H$15,ROW($T51)-ROW(T$15),0)</f>
        <v>0</v>
      </c>
      <c r="U51" s="123"/>
      <c r="V51" s="124" t="s">
        <v>663</v>
      </c>
      <c r="W51" s="122">
        <f t="array" aca="1" ref="W51" ca="1">IF($C51="S",ROUND(IF(TIPOORCAMENTO="Proposto",ORÇAMENTO.CustoUnitario*(1+$AH51),ORÇAMENTO.PrecoUnitarioLicitado),15-13*$AF$10),0)</f>
        <v>0</v>
      </c>
      <c r="X51" s="125">
        <f t="array" aca="1" ref="X51" ca="1">IF($C51="S",IF(OR(Import.TipoArredondamento&lt;&gt;"TransfereGOV",ACOMPANHAMENTO="BM"),VTOTAL1,SUM(OFFSET(CÁLCULO!$AI$15,ROW($X51)-ROW($X$15),1):OFFSET(CÁLCULO!$BB$15,ROW($X51)-ROW($X$15),-1))),IF($C51=0,0,ROUND(SomaAgrup,15-13*$AF$11)))</f>
        <v>77243.08</v>
      </c>
      <c r="Y51" s="126" t="s">
        <v>751</v>
      </c>
      <c r="Z51" s="696" t="str">
        <f t="shared" ca="1" si="13"/>
        <v/>
      </c>
      <c r="AA51" s="127">
        <f t="array" aca="1" ref="AA51" ca="1">IF($C51="S",IF($Z51="CP",$X51,IF($Z51="RA",(($X51)*QCI!$AA$3),0)),SomaAgrup)</f>
        <v>0</v>
      </c>
      <c r="AB51" s="128">
        <f t="array" aca="1" ref="AB51" ca="1">IF($C51="S",IF($Z51="OU",ROUND($X51,2),0),SomaAgrup)</f>
        <v>0</v>
      </c>
      <c r="AC51" s="563" t="str">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s="696">
        <f ca="1">IF(C51&lt;=CRONO.NivelExibicao,MAX($AD$15:OFFSET(AD51,-1,0))+IF($C51&lt;&gt;1,1,MAX(1,COUNTIF(QCI!$A$13:$A$24,OFFSET($E51,-1,0)))),"")</f>
        <v>7</v>
      </c>
      <c r="AE51" s="694" t="b">
        <f t="array" aca="1" ref="AE51" ca="1">IF(AND($C51="S",ORÇAMENTO.CodBarra&lt;&gt;""),IF(ORÇAMENTO.Fonte="",ORÇAMENTO.CodBarra,CONCATENATE(ORÇAMENTO.Fonte," ",ORÇAMENTO.CodBarra)))</f>
        <v>0</v>
      </c>
      <c r="AF51" s="695" t="str">
        <f t="array" aca="1" ref="AF51" ca="1">IF(ISERROR(ORÇAMENTO.BancoRef),"(abra o arquivo 'Referência "&amp;Excel_BuiltIn_Database&amp;".xlsm)",IF(OR($C51&lt;&gt;"S",ORÇAMENTO.CodBarra=""),"(Sem Código)",IF(ISERROR(MATCH($AE51,INDIRECT(ORÇAMENTO.BancoRef),0)),"(Código não identificado nas referências)",MATCH($AE51,INDIRECT(ORÇAMENTO.BancoRef),0))))</f>
        <v>(Sem Código)</v>
      </c>
      <c r="AG51" s="428">
        <f t="array" aca="1" ref="AG51" ca="1">ROUND(IF(DESONERACAO="sim",REFERENCIA.Desonerado,REFERENCIA.NaoDesonerado),2)</f>
        <v>0</v>
      </c>
      <c r="AH51" s="429">
        <f t="shared" ca="1" si="14"/>
        <v>0.29389999999999999</v>
      </c>
      <c r="AJ51" s="431"/>
      <c r="AL51" s="439"/>
      <c r="AM51" s="336">
        <f t="shared" ca="1" si="0"/>
        <v>77243.08</v>
      </c>
      <c r="AN51" s="469">
        <f t="array" aca="1" ref="AN51" ca="1">ROUND(ORÇAMENTO.CustoUnitario*(1+$AH51),2)</f>
        <v>0</v>
      </c>
    </row>
    <row r="52" spans="1:40" s="696" customFormat="1" ht="38.25" x14ac:dyDescent="0.2">
      <c r="A52" s="696" t="str">
        <f t="shared" si="1"/>
        <v>S</v>
      </c>
      <c r="B52" s="696">
        <f t="shared" ca="1" si="2"/>
        <v>2</v>
      </c>
      <c r="C52" s="696" t="str">
        <f t="shared" ca="1" si="3"/>
        <v>S</v>
      </c>
      <c r="D52" s="696">
        <f t="shared" ca="1" si="4"/>
        <v>0</v>
      </c>
      <c r="E52" s="696">
        <f ca="1">IF($C52=1,OFFSET(E52,-1,0)+MAX(1,COUNTIF(QCI!$A$13:$A$24,OFFSET(ORÇAMENTO!E52,-1,0))),OFFSET(E52,-1,0))</f>
        <v>1</v>
      </c>
      <c r="F52" s="696">
        <f t="shared" ca="1" si="5"/>
        <v>6</v>
      </c>
      <c r="G52" s="696">
        <f t="shared" ca="1" si="6"/>
        <v>0</v>
      </c>
      <c r="H52" s="696">
        <f t="shared" ca="1" si="7"/>
        <v>0</v>
      </c>
      <c r="I52" s="696">
        <f t="shared" ca="1" si="8"/>
        <v>1</v>
      </c>
      <c r="J52" s="696">
        <f t="shared" ca="1" si="9"/>
        <v>0</v>
      </c>
      <c r="K52" s="696">
        <f ca="1">IF(OR($C52="S",$C52=0),0,MATCH(OFFSET($D52,0,$C52)+IF($C52&lt;&gt;1,1,COUNTIF(QCI!$A$13:$A$24,ORÇAMENTO!E52)),OFFSET($D52,1,$C52,ROW($C$235)-ROW($C52)),0))</f>
        <v>0</v>
      </c>
      <c r="L52" s="114" t="str">
        <f t="shared" ca="1" si="10"/>
        <v>F</v>
      </c>
      <c r="M52" s="115" t="s">
        <v>705</v>
      </c>
      <c r="N52" s="116" t="str">
        <f t="shared" ca="1" si="11"/>
        <v>Serviço</v>
      </c>
      <c r="O52" s="117" t="str">
        <f t="shared" ca="1" si="12"/>
        <v>1.6.1.</v>
      </c>
      <c r="P52" s="118" t="s">
        <v>750</v>
      </c>
      <c r="Q52" s="119" t="s">
        <v>1037</v>
      </c>
      <c r="R52" s="120" t="str">
        <f t="array" aca="1" ref="R52" ca="1">IF($C52="S",REFERENCIA.Descricao,"(digite a descrição aqui)")</f>
        <v>CHAPISCO APLICADO EM ALVENARIAS E ESTRUTURAS DE CONCRETO INTERNAS, COM COLHER DE PEDREIRO. ARGAMASSA TRAÇO 1:3 COM PREPARO MANUAL. AF_10/2022</v>
      </c>
      <c r="S52" s="121" t="str">
        <f t="array" aca="1" ref="S52" ca="1">REFERENCIA.Unidade</f>
        <v>M2</v>
      </c>
      <c r="T52" s="122">
        <f ca="1">OFFSET(CÁLCULO!H$15,ROW($T52)-ROW(T$15),0)</f>
        <v>679</v>
      </c>
      <c r="U52" s="123">
        <f>5.38*0.94</f>
        <v>5.0571999999999999</v>
      </c>
      <c r="V52" s="124" t="s">
        <v>697</v>
      </c>
      <c r="W52" s="122">
        <f t="array" aca="1" ref="W52" ca="1">IF($C52="S",ROUND(IF(TIPOORCAMENTO="Proposto",ORÇAMENTO.CustoUnitario*(1+$AH52),ORÇAMENTO.PrecoUnitarioLicitado),15-13*$AF$10),0)</f>
        <v>6.09</v>
      </c>
      <c r="X52" s="125">
        <f t="array" aca="1" ref="X52" ca="1">IF($C52="S",IF(OR(Import.TipoArredondamento&lt;&gt;"TransfereGOV",ACOMPANHAMENTO="BM"),VTOTAL1,SUM(OFFSET(CÁLCULO!$AI$15,ROW($X52)-ROW($X$15),1):OFFSET(CÁLCULO!$BB$15,ROW($X52)-ROW($X$15),-1))),IF($C52=0,0,ROUND(SomaAgrup,15-13*$AF$11)))</f>
        <v>4135.12</v>
      </c>
      <c r="Y52" s="126" t="s">
        <v>751</v>
      </c>
      <c r="Z52" s="696" t="str">
        <f t="shared" ca="1" si="13"/>
        <v>RA</v>
      </c>
      <c r="AA52" s="127">
        <f t="array" aca="1" ref="AA52" ca="1">IF($C52="S",IF($Z52="CP",$X52,IF($Z52="RA",(($X52)*QCI!$AA$3),0)),SomaAgrup)</f>
        <v>0</v>
      </c>
      <c r="AB52" s="128">
        <f t="array" aca="1" ref="AB52" ca="1">IF($C52="S",IF($Z52="OU",ROUND($X52,2),0),SomaAgrup)</f>
        <v>0</v>
      </c>
      <c r="AC52" s="563" t="str">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s="696" t="str">
        <f ca="1">IF(C52&lt;=CRONO.NivelExibicao,MAX($AD$15:OFFSET(AD52,-1,0))+IF($C52&lt;&gt;1,1,MAX(1,COUNTIF(QCI!$A$13:$A$24,OFFSET($E52,-1,0)))),"")</f>
        <v/>
      </c>
      <c r="AE52" s="694" t="str">
        <f t="array" aca="1" ref="AE52" ca="1">IF(AND($C52="S",ORÇAMENTO.CodBarra&lt;&gt;""),IF(ORÇAMENTO.Fonte="",ORÇAMENTO.CodBarra,CONCATENATE(ORÇAMENTO.Fonte," ",ORÇAMENTO.CodBarra)))</f>
        <v>SINAPI 87878</v>
      </c>
      <c r="AF52" s="695">
        <f t="array" aca="1" ref="AF52" ca="1">IF(ISERROR(ORÇAMENTO.BancoRef),"(abra o arquivo 'Referência "&amp;Excel_BuiltIn_Database&amp;".xlsm)",IF(OR($C52&lt;&gt;"S",ORÇAMENTO.CodBarra=""),"(Sem Código)",IF(ISERROR(MATCH($AE52,INDIRECT(ORÇAMENTO.BancoRef),0)),"(Código não identificado nas referências)",MATCH($AE52,INDIRECT(ORÇAMENTO.BancoRef),0))))</f>
        <v>7286</v>
      </c>
      <c r="AG52" s="428">
        <f t="array" aca="1" ref="AG52" ca="1">ROUND(IF(DESONERACAO="sim",REFERENCIA.Desonerado,REFERENCIA.NaoDesonerado),2)</f>
        <v>5.38</v>
      </c>
      <c r="AH52" s="429">
        <f t="shared" ca="1" si="14"/>
        <v>0.2034</v>
      </c>
      <c r="AJ52" s="431"/>
      <c r="AL52" s="439"/>
      <c r="AM52" s="336">
        <f t="shared" ca="1" si="0"/>
        <v>4135.12</v>
      </c>
      <c r="AN52" s="469">
        <f t="array" aca="1" ref="AN52" ca="1">ROUND(ORÇAMENTO.CustoUnitario*(1+$AH52),2)</f>
        <v>6.09</v>
      </c>
    </row>
    <row r="53" spans="1:40" s="696" customFormat="1" ht="38.25" x14ac:dyDescent="0.2">
      <c r="A53" s="696" t="str">
        <f t="shared" si="1"/>
        <v>S</v>
      </c>
      <c r="B53" s="696">
        <f t="shared" ca="1" si="2"/>
        <v>2</v>
      </c>
      <c r="C53" s="696" t="str">
        <f t="shared" ca="1" si="3"/>
        <v>S</v>
      </c>
      <c r="D53" s="696">
        <f t="shared" ca="1" si="4"/>
        <v>0</v>
      </c>
      <c r="E53" s="696">
        <f ca="1">IF($C53=1,OFFSET(E53,-1,0)+MAX(1,COUNTIF(QCI!$A$13:$A$24,OFFSET(ORÇAMENTO!E53,-1,0))),OFFSET(E53,-1,0))</f>
        <v>1</v>
      </c>
      <c r="F53" s="696">
        <f t="shared" ca="1" si="5"/>
        <v>6</v>
      </c>
      <c r="G53" s="696">
        <f t="shared" ca="1" si="6"/>
        <v>0</v>
      </c>
      <c r="H53" s="696">
        <f t="shared" ca="1" si="7"/>
        <v>0</v>
      </c>
      <c r="I53" s="696">
        <f t="shared" ca="1" si="8"/>
        <v>2</v>
      </c>
      <c r="J53" s="696">
        <f t="shared" ca="1" si="9"/>
        <v>0</v>
      </c>
      <c r="K53" s="696">
        <f ca="1">IF(OR($C53="S",$C53=0),0,MATCH(OFFSET($D53,0,$C53)+IF($C53&lt;&gt;1,1,COUNTIF(QCI!$A$13:$A$24,ORÇAMENTO!E53)),OFFSET($D53,1,$C53,ROW($C$235)-ROW($C53)),0))</f>
        <v>0</v>
      </c>
      <c r="L53" s="114" t="str">
        <f t="shared" ca="1" si="10"/>
        <v>F</v>
      </c>
      <c r="M53" s="115" t="s">
        <v>705</v>
      </c>
      <c r="N53" s="116" t="str">
        <f t="shared" ca="1" si="11"/>
        <v>Serviço</v>
      </c>
      <c r="O53" s="117" t="str">
        <f t="shared" ca="1" si="12"/>
        <v>1.6.2.</v>
      </c>
      <c r="P53" s="118" t="s">
        <v>750</v>
      </c>
      <c r="Q53" s="119" t="s">
        <v>1038</v>
      </c>
      <c r="R53" s="120" t="str">
        <f t="array" aca="1" ref="R53" ca="1">IF($C53="S",REFERENCIA.Descricao,"(digite a descrição aqui)")</f>
        <v>IMPERMEABILIZAÇÃO DE SUPERFÍCIE COM ARGAMASSA DE CIMENTO E AREIA, COM ADITIVO IMPERMEABILIZANTE, E = 1,5CM. AF_09/2023</v>
      </c>
      <c r="S53" s="121" t="str">
        <f t="array" aca="1" ref="S53" ca="1">REFERENCIA.Unidade</f>
        <v>M2</v>
      </c>
      <c r="T53" s="122">
        <f ca="1">OFFSET(CÁLCULO!H$15,ROW($T53)-ROW(T$15),0)</f>
        <v>679</v>
      </c>
      <c r="U53" s="123">
        <f>54.22*0.94</f>
        <v>50.966799999999999</v>
      </c>
      <c r="V53" s="124" t="s">
        <v>697</v>
      </c>
      <c r="W53" s="122">
        <f t="array" aca="1" ref="W53" ca="1">IF($C53="S",ROUND(IF(TIPOORCAMENTO="Proposto",ORÇAMENTO.CustoUnitario*(1+$AH53),ORÇAMENTO.PrecoUnitarioLicitado),15-13*$AF$10),0)</f>
        <v>61.34</v>
      </c>
      <c r="X53" s="125">
        <f t="array" aca="1" ref="X53" ca="1">IF($C53="S",IF(OR(Import.TipoArredondamento&lt;&gt;"TransfereGOV",ACOMPANHAMENTO="BM"),VTOTAL1,SUM(OFFSET(CÁLCULO!$AI$15,ROW($X53)-ROW($X$15),1):OFFSET(CÁLCULO!$BB$15,ROW($X53)-ROW($X$15),-1))),IF($C53=0,0,ROUND(SomaAgrup,15-13*$AF$11)))</f>
        <v>41649.879999999997</v>
      </c>
      <c r="Y53" s="126" t="s">
        <v>751</v>
      </c>
      <c r="Z53" s="696" t="str">
        <f t="shared" ca="1" si="13"/>
        <v>RA</v>
      </c>
      <c r="AA53" s="127">
        <f t="array" aca="1" ref="AA53" ca="1">IF($C53="S",IF($Z53="CP",$X53,IF($Z53="RA",(($X53)*QCI!$AA$3),0)),SomaAgrup)</f>
        <v>0</v>
      </c>
      <c r="AB53" s="128">
        <f t="array" aca="1" ref="AB53" ca="1">IF($C53="S",IF($Z53="OU",ROUND($X53,2),0),SomaAgrup)</f>
        <v>0</v>
      </c>
      <c r="AC53" s="563" t="str">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s="696" t="str">
        <f ca="1">IF(C53&lt;=CRONO.NivelExibicao,MAX($AD$15:OFFSET(AD53,-1,0))+IF($C53&lt;&gt;1,1,MAX(1,COUNTIF(QCI!$A$13:$A$24,OFFSET($E53,-1,0)))),"")</f>
        <v/>
      </c>
      <c r="AE53" s="694" t="str">
        <f t="array" aca="1" ref="AE53" ca="1">IF(AND($C53="S",ORÇAMENTO.CodBarra&lt;&gt;""),IF(ORÇAMENTO.Fonte="",ORÇAMENTO.CodBarra,CONCATENATE(ORÇAMENTO.Fonte," ",ORÇAMENTO.CodBarra)))</f>
        <v>SINAPI 98562</v>
      </c>
      <c r="AF53" s="695">
        <f t="array" aca="1" ref="AF53" ca="1">IF(ISERROR(ORÇAMENTO.BancoRef),"(abra o arquivo 'Referência "&amp;Excel_BuiltIn_Database&amp;".xlsm)",IF(OR($C53&lt;&gt;"S",ORÇAMENTO.CodBarra=""),"(Sem Código)",IF(ISERROR(MATCH($AE53,INDIRECT(ORÇAMENTO.BancoRef),0)),"(Código não identificado nas referências)",MATCH($AE53,INDIRECT(ORÇAMENTO.BancoRef),0))))</f>
        <v>10329</v>
      </c>
      <c r="AG53" s="428">
        <f t="array" aca="1" ref="AG53" ca="1">ROUND(IF(DESONERACAO="sim",REFERENCIA.Desonerado,REFERENCIA.NaoDesonerado),2)</f>
        <v>54.22</v>
      </c>
      <c r="AH53" s="429">
        <f t="shared" ca="1" si="14"/>
        <v>0.2034</v>
      </c>
      <c r="AJ53" s="431"/>
      <c r="AL53" s="439"/>
      <c r="AM53" s="336">
        <f t="shared" ca="1" si="0"/>
        <v>41649.879999999997</v>
      </c>
      <c r="AN53" s="469">
        <f t="array" aca="1" ref="AN53" ca="1">ROUND(ORÇAMENTO.CustoUnitario*(1+$AH53),2)</f>
        <v>61.34</v>
      </c>
    </row>
    <row r="54" spans="1:40" s="696" customFormat="1" ht="25.5" x14ac:dyDescent="0.2">
      <c r="A54" s="696" t="str">
        <f t="shared" si="1"/>
        <v>S</v>
      </c>
      <c r="B54" s="696">
        <f t="shared" ca="1" si="2"/>
        <v>2</v>
      </c>
      <c r="C54" s="696" t="str">
        <f t="shared" ca="1" si="3"/>
        <v>S</v>
      </c>
      <c r="D54" s="696">
        <f t="shared" ca="1" si="4"/>
        <v>0</v>
      </c>
      <c r="E54" s="696">
        <f ca="1">IF($C54=1,OFFSET(E54,-1,0)+MAX(1,COUNTIF(QCI!$A$13:$A$24,OFFSET(ORÇAMENTO!E54,-1,0))),OFFSET(E54,-1,0))</f>
        <v>1</v>
      </c>
      <c r="F54" s="696">
        <f t="shared" ca="1" si="5"/>
        <v>6</v>
      </c>
      <c r="G54" s="696">
        <f t="shared" ca="1" si="6"/>
        <v>0</v>
      </c>
      <c r="H54" s="696">
        <f t="shared" ca="1" si="7"/>
        <v>0</v>
      </c>
      <c r="I54" s="696">
        <f t="shared" ca="1" si="8"/>
        <v>3</v>
      </c>
      <c r="J54" s="696">
        <f t="shared" ca="1" si="9"/>
        <v>0</v>
      </c>
      <c r="K54" s="696">
        <f ca="1">IF(OR($C54="S",$C54=0),0,MATCH(OFFSET($D54,0,$C54)+IF($C54&lt;&gt;1,1,COUNTIF(QCI!$A$13:$A$24,ORÇAMENTO!E54)),OFFSET($D54,1,$C54,ROW($C$235)-ROW($C54)),0))</f>
        <v>0</v>
      </c>
      <c r="L54" s="114" t="str">
        <f t="shared" ca="1" si="10"/>
        <v>F</v>
      </c>
      <c r="M54" s="115" t="s">
        <v>705</v>
      </c>
      <c r="N54" s="116" t="str">
        <f t="shared" ca="1" si="11"/>
        <v>Serviço</v>
      </c>
      <c r="O54" s="117" t="str">
        <f t="shared" ca="1" si="12"/>
        <v>1.6.3.</v>
      </c>
      <c r="P54" s="118" t="s">
        <v>750</v>
      </c>
      <c r="Q54" s="119" t="s">
        <v>1039</v>
      </c>
      <c r="R54" s="120" t="str">
        <f t="array" aca="1" ref="R54" ca="1">IF($C54="S",REFERENCIA.Descricao,"(digite a descrição aqui)")</f>
        <v>IMPERMEABILIZAÇÃO DE SUPERFÍCIE COM EMULSÃO ASFÁLTICA, 2 DEMÃOS. AF_09/2023</v>
      </c>
      <c r="S54" s="121" t="str">
        <f t="array" aca="1" ref="S54" ca="1">REFERENCIA.Unidade</f>
        <v>M2</v>
      </c>
      <c r="T54" s="122">
        <f ca="1">OFFSET(CÁLCULO!H$15,ROW($T54)-ROW(T$15),0)</f>
        <v>679</v>
      </c>
      <c r="U54" s="123">
        <f>40.96*0.94</f>
        <v>38.502400000000002</v>
      </c>
      <c r="V54" s="124" t="s">
        <v>697</v>
      </c>
      <c r="W54" s="122">
        <f t="array" aca="1" ref="W54" ca="1">IF($C54="S",ROUND(IF(TIPOORCAMENTO="Proposto",ORÇAMENTO.CustoUnitario*(1+$AH54),ORÇAMENTO.PrecoUnitarioLicitado),15-13*$AF$10),0)</f>
        <v>46.33</v>
      </c>
      <c r="X54" s="125">
        <f t="array" aca="1" ref="X54" ca="1">IF($C54="S",IF(OR(Import.TipoArredondamento&lt;&gt;"TransfereGOV",ACOMPANHAMENTO="BM"),VTOTAL1,SUM(OFFSET(CÁLCULO!$AI$15,ROW($X54)-ROW($X$15),1):OFFSET(CÁLCULO!$BB$15,ROW($X54)-ROW($X$15),-1))),IF($C54=0,0,ROUND(SomaAgrup,15-13*$AF$11)))</f>
        <v>31458.080000000002</v>
      </c>
      <c r="Y54" s="126" t="s">
        <v>751</v>
      </c>
      <c r="Z54" s="696" t="str">
        <f t="shared" ca="1" si="13"/>
        <v>RA</v>
      </c>
      <c r="AA54" s="127">
        <f t="array" aca="1" ref="AA54" ca="1">IF($C54="S",IF($Z54="CP",$X54,IF($Z54="RA",(($X54)*QCI!$AA$3),0)),SomaAgrup)</f>
        <v>0</v>
      </c>
      <c r="AB54" s="128">
        <f t="array" aca="1" ref="AB54" ca="1">IF($C54="S",IF($Z54="OU",ROUND($X54,2),0),SomaAgrup)</f>
        <v>0</v>
      </c>
      <c r="AC54" s="563" t="str">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s="696" t="str">
        <f ca="1">IF(C54&lt;=CRONO.NivelExibicao,MAX($AD$15:OFFSET(AD54,-1,0))+IF($C54&lt;&gt;1,1,MAX(1,COUNTIF(QCI!$A$13:$A$24,OFFSET($E54,-1,0)))),"")</f>
        <v/>
      </c>
      <c r="AE54" s="694" t="str">
        <f t="array" aca="1" ref="AE54" ca="1">IF(AND($C54="S",ORÇAMENTO.CodBarra&lt;&gt;""),IF(ORÇAMENTO.Fonte="",ORÇAMENTO.CodBarra,CONCATENATE(ORÇAMENTO.Fonte," ",ORÇAMENTO.CodBarra)))</f>
        <v>SINAPI 98557</v>
      </c>
      <c r="AF54" s="695">
        <f t="array" aca="1" ref="AF54" ca="1">IF(ISERROR(ORÇAMENTO.BancoRef),"(abra o arquivo 'Referência "&amp;Excel_BuiltIn_Database&amp;".xlsm)",IF(OR($C54&lt;&gt;"S",ORÇAMENTO.CodBarra=""),"(Sem Código)",IF(ISERROR(MATCH($AE54,INDIRECT(ORÇAMENTO.BancoRef),0)),"(Código não identificado nas referências)",MATCH($AE54,INDIRECT(ORÇAMENTO.BancoRef),0))))</f>
        <v>10332</v>
      </c>
      <c r="AG54" s="428">
        <f t="array" aca="1" ref="AG54" ca="1">ROUND(IF(DESONERACAO="sim",REFERENCIA.Desonerado,REFERENCIA.NaoDesonerado),2)</f>
        <v>40.96</v>
      </c>
      <c r="AH54" s="429">
        <f t="shared" ca="1" si="14"/>
        <v>0.2034</v>
      </c>
      <c r="AJ54" s="431"/>
      <c r="AL54" s="439"/>
      <c r="AM54" s="336">
        <f t="shared" ca="1" si="0"/>
        <v>31458.080000000002</v>
      </c>
      <c r="AN54" s="469">
        <f t="array" aca="1" ref="AN54" ca="1">ROUND(ORÇAMENTO.CustoUnitario*(1+$AH54),2)</f>
        <v>46.33</v>
      </c>
    </row>
    <row r="55" spans="1:40" s="696" customFormat="1" x14ac:dyDescent="0.2">
      <c r="A55" s="696">
        <f t="shared" si="1"/>
        <v>2</v>
      </c>
      <c r="B55" s="696">
        <f t="shared" ca="1" si="2"/>
        <v>2</v>
      </c>
      <c r="C55" s="696">
        <f t="shared" ca="1" si="3"/>
        <v>2</v>
      </c>
      <c r="D55" s="696">
        <f t="shared" ca="1" si="4"/>
        <v>11</v>
      </c>
      <c r="E55" s="696">
        <f ca="1">IF($C55=1,OFFSET(E55,-1,0)+MAX(1,COUNTIF(QCI!$A$13:$A$24,OFFSET(ORÇAMENTO!E55,-1,0))),OFFSET(E55,-1,0))</f>
        <v>1</v>
      </c>
      <c r="F55" s="696">
        <f t="shared" ca="1" si="5"/>
        <v>7</v>
      </c>
      <c r="G55" s="696">
        <f t="shared" ca="1" si="6"/>
        <v>0</v>
      </c>
      <c r="H55" s="696">
        <f t="shared" ca="1" si="7"/>
        <v>0</v>
      </c>
      <c r="I55" s="696">
        <f t="shared" ca="1" si="8"/>
        <v>0</v>
      </c>
      <c r="J55" s="696">
        <f t="shared" ca="1" si="9"/>
        <v>180</v>
      </c>
      <c r="K55" s="696">
        <f ca="1">IF(OR($C55="S",$C55=0),0,MATCH(OFFSET($D55,0,$C55)+IF($C55&lt;&gt;1,1,COUNTIF(QCI!$A$13:$A$24,ORÇAMENTO!E55)),OFFSET($D55,1,$C55,ROW($C$235)-ROW($C55)),0))</f>
        <v>11</v>
      </c>
      <c r="L55" s="114" t="str">
        <f t="shared" ca="1" si="10"/>
        <v>F</v>
      </c>
      <c r="M55" s="115" t="s">
        <v>702</v>
      </c>
      <c r="N55" s="116" t="str">
        <f t="shared" ca="1" si="11"/>
        <v>Nível 2</v>
      </c>
      <c r="O55" s="117" t="str">
        <f t="shared" ca="1" si="12"/>
        <v>1.7.</v>
      </c>
      <c r="P55" s="118" t="s">
        <v>750</v>
      </c>
      <c r="Q55" s="119"/>
      <c r="R55" s="120" t="s">
        <v>1040</v>
      </c>
      <c r="S55" s="121" t="s">
        <v>688</v>
      </c>
      <c r="T55" s="122">
        <f ca="1">OFFSET(CÁLCULO!H$15,ROW($T55)-ROW(T$15),0)</f>
        <v>0</v>
      </c>
      <c r="U55" s="123"/>
      <c r="V55" s="124" t="s">
        <v>663</v>
      </c>
      <c r="W55" s="122">
        <f t="array" aca="1" ref="W55" ca="1">IF($C55="S",ROUND(IF(TIPOORCAMENTO="Proposto",ORÇAMENTO.CustoUnitario*(1+$AH55),ORÇAMENTO.PrecoUnitarioLicitado),15-13*$AF$10),0)</f>
        <v>0</v>
      </c>
      <c r="X55" s="125">
        <f t="array" aca="1" ref="X55" ca="1">IF($C55="S",IF(OR(Import.TipoArredondamento&lt;&gt;"TransfereGOV",ACOMPANHAMENTO="BM"),VTOTAL1,SUM(OFFSET(CÁLCULO!$AI$15,ROW($X55)-ROW($X$15),1):OFFSET(CÁLCULO!$BB$15,ROW($X55)-ROW($X$15),-1))),IF($C55=0,0,ROUND(SomaAgrup,15-13*$AF$11)))</f>
        <v>221034.12</v>
      </c>
      <c r="Y55" s="126" t="s">
        <v>751</v>
      </c>
      <c r="Z55" s="696" t="str">
        <f t="shared" ca="1" si="13"/>
        <v/>
      </c>
      <c r="AA55" s="127">
        <f t="array" aca="1" ref="AA55" ca="1">IF($C55="S",IF($Z55="CP",$X55,IF($Z55="RA",(($X55)*QCI!$AA$3),0)),SomaAgrup)</f>
        <v>0</v>
      </c>
      <c r="AB55" s="128">
        <f t="array" aca="1" ref="AB55" ca="1">IF($C55="S",IF($Z55="OU",ROUND($X55,2),0),SomaAgrup)</f>
        <v>0</v>
      </c>
      <c r="AC55" s="563" t="str">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s="696">
        <f ca="1">IF(C55&lt;=CRONO.NivelExibicao,MAX($AD$15:OFFSET(AD55,-1,0))+IF($C55&lt;&gt;1,1,MAX(1,COUNTIF(QCI!$A$13:$A$24,OFFSET($E55,-1,0)))),"")</f>
        <v>8</v>
      </c>
      <c r="AE55" s="694" t="b">
        <f t="array" aca="1" ref="AE55" ca="1">IF(AND($C55="S",ORÇAMENTO.CodBarra&lt;&gt;""),IF(ORÇAMENTO.Fonte="",ORÇAMENTO.CodBarra,CONCATENATE(ORÇAMENTO.Fonte," ",ORÇAMENTO.CodBarra)))</f>
        <v>0</v>
      </c>
      <c r="AF55" s="695" t="str">
        <f t="array" aca="1" ref="AF55" ca="1">IF(ISERROR(ORÇAMENTO.BancoRef),"(abra o arquivo 'Referência "&amp;Excel_BuiltIn_Database&amp;".xlsm)",IF(OR($C55&lt;&gt;"S",ORÇAMENTO.CodBarra=""),"(Sem Código)",IF(ISERROR(MATCH($AE55,INDIRECT(ORÇAMENTO.BancoRef),0)),"(Código não identificado nas referências)",MATCH($AE55,INDIRECT(ORÇAMENTO.BancoRef),0))))</f>
        <v>(Sem Código)</v>
      </c>
      <c r="AG55" s="428">
        <f t="array" aca="1" ref="AG55" ca="1">ROUND(IF(DESONERACAO="sim",REFERENCIA.Desonerado,REFERENCIA.NaoDesonerado),2)</f>
        <v>0</v>
      </c>
      <c r="AH55" s="429">
        <f t="shared" ca="1" si="14"/>
        <v>0.29389999999999999</v>
      </c>
      <c r="AJ55" s="431"/>
      <c r="AL55" s="439"/>
      <c r="AM55" s="336">
        <f t="shared" ca="1" si="0"/>
        <v>221034.12</v>
      </c>
      <c r="AN55" s="469">
        <f t="array" aca="1" ref="AN55" ca="1">ROUND(ORÇAMENTO.CustoUnitario*(1+$AH55),2)</f>
        <v>0</v>
      </c>
    </row>
    <row r="56" spans="1:40" s="696" customFormat="1" ht="51" x14ac:dyDescent="0.2">
      <c r="A56" s="696" t="str">
        <f t="shared" si="1"/>
        <v>S</v>
      </c>
      <c r="B56" s="696">
        <f t="shared" ca="1" si="2"/>
        <v>2</v>
      </c>
      <c r="C56" s="696" t="str">
        <f t="shared" ca="1" si="3"/>
        <v>S</v>
      </c>
      <c r="D56" s="696">
        <f t="shared" ca="1" si="4"/>
        <v>0</v>
      </c>
      <c r="E56" s="696">
        <f ca="1">IF($C56=1,OFFSET(E56,-1,0)+MAX(1,COUNTIF(QCI!$A$13:$A$24,OFFSET(ORÇAMENTO!E56,-1,0))),OFFSET(E56,-1,0))</f>
        <v>1</v>
      </c>
      <c r="F56" s="696">
        <f t="shared" ca="1" si="5"/>
        <v>7</v>
      </c>
      <c r="G56" s="696">
        <f t="shared" ca="1" si="6"/>
        <v>0</v>
      </c>
      <c r="H56" s="696">
        <f t="shared" ca="1" si="7"/>
        <v>0</v>
      </c>
      <c r="I56" s="696">
        <f t="shared" ca="1" si="8"/>
        <v>1</v>
      </c>
      <c r="J56" s="696">
        <f t="shared" ca="1" si="9"/>
        <v>0</v>
      </c>
      <c r="K56" s="696">
        <f ca="1">IF(OR($C56="S",$C56=0),0,MATCH(OFFSET($D56,0,$C56)+IF($C56&lt;&gt;1,1,COUNTIF(QCI!$A$13:$A$24,ORÇAMENTO!E56)),OFFSET($D56,1,$C56,ROW($C$235)-ROW($C56)),0))</f>
        <v>0</v>
      </c>
      <c r="L56" s="114" t="str">
        <f t="shared" ca="1" si="10"/>
        <v>F</v>
      </c>
      <c r="M56" s="115" t="s">
        <v>705</v>
      </c>
      <c r="N56" s="116" t="str">
        <f t="shared" ca="1" si="11"/>
        <v>Serviço</v>
      </c>
      <c r="O56" s="117" t="str">
        <f t="shared" ca="1" si="12"/>
        <v>1.7.1.</v>
      </c>
      <c r="P56" s="118" t="s">
        <v>750</v>
      </c>
      <c r="Q56" s="119" t="s">
        <v>1041</v>
      </c>
      <c r="R56" s="120" t="str">
        <f t="array" aca="1" ref="R56" ca="1">IF($C56="S",REFERENCIA.Descricao,"(digite a descrição aqui)")</f>
        <v>MONTAGEM E DESMONTAGEM DE FÔRMA DE PILARES RETANGULARES E ESTRUTURAS SIMILARES, PÉ-DIREITO SIMPLES, EM CHAPA DE MADEIRA COMPENSADA RESINADA, 8 UTILIZAÇÕES. AF_09/2020</v>
      </c>
      <c r="S56" s="121" t="str">
        <f t="array" aca="1" ref="S56" ca="1">REFERENCIA.Unidade</f>
        <v>M2</v>
      </c>
      <c r="T56" s="122">
        <f ca="1">OFFSET(CÁLCULO!H$15,ROW($T56)-ROW(T$15),0)</f>
        <v>287.8</v>
      </c>
      <c r="U56" s="123">
        <f>64.6*0.94</f>
        <v>60.72399999999999</v>
      </c>
      <c r="V56" s="124" t="s">
        <v>697</v>
      </c>
      <c r="W56" s="122">
        <f t="array" aca="1" ref="W56" ca="1">IF($C56="S",ROUND(IF(TIPOORCAMENTO="Proposto",ORÇAMENTO.CustoUnitario*(1+$AH56),ORÇAMENTO.PrecoUnitarioLicitado),15-13*$AF$10),0)</f>
        <v>73.069999999999993</v>
      </c>
      <c r="X56" s="125">
        <f t="array" aca="1" ref="X56" ca="1">IF($C56="S",IF(OR(Import.TipoArredondamento&lt;&gt;"TransfereGOV",ACOMPANHAMENTO="BM"),VTOTAL1,SUM(OFFSET(CÁLCULO!$AI$15,ROW($X56)-ROW($X$15),1):OFFSET(CÁLCULO!$BB$15,ROW($X56)-ROW($X$15),-1))),IF($C56=0,0,ROUND(SomaAgrup,15-13*$AF$11)))</f>
        <v>21029.56</v>
      </c>
      <c r="Y56" s="126" t="s">
        <v>751</v>
      </c>
      <c r="Z56" s="696" t="str">
        <f t="shared" ca="1" si="13"/>
        <v>RA</v>
      </c>
      <c r="AA56" s="127">
        <f t="array" aca="1" ref="AA56" ca="1">IF($C56="S",IF($Z56="CP",$X56,IF($Z56="RA",(($X56)*QCI!$AA$3),0)),SomaAgrup)</f>
        <v>0</v>
      </c>
      <c r="AB56" s="128">
        <f t="array" aca="1" ref="AB56" ca="1">IF($C56="S",IF($Z56="OU",ROUND($X56,2),0),SomaAgrup)</f>
        <v>0</v>
      </c>
      <c r="AC56" s="563" t="str">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s="696" t="str">
        <f ca="1">IF(C56&lt;=CRONO.NivelExibicao,MAX($AD$15:OFFSET(AD56,-1,0))+IF($C56&lt;&gt;1,1,MAX(1,COUNTIF(QCI!$A$13:$A$24,OFFSET($E56,-1,0)))),"")</f>
        <v/>
      </c>
      <c r="AE56" s="694" t="str">
        <f t="array" aca="1" ref="AE56" ca="1">IF(AND($C56="S",ORÇAMENTO.CodBarra&lt;&gt;""),IF(ORÇAMENTO.Fonte="",ORÇAMENTO.CodBarra,CONCATENATE(ORÇAMENTO.Fonte," ",ORÇAMENTO.CodBarra)))</f>
        <v>SINAPI 92427</v>
      </c>
      <c r="AF56" s="695">
        <f t="array" aca="1" ref="AF56" ca="1">IF(ISERROR(ORÇAMENTO.BancoRef),"(abra o arquivo 'Referência "&amp;Excel_BuiltIn_Database&amp;".xlsm)",IF(OR($C56&lt;&gt;"S",ORÇAMENTO.CodBarra=""),"(Sem Código)",IF(ISERROR(MATCH($AE56,INDIRECT(ORÇAMENTO.BancoRef),0)),"(Código não identificado nas referências)",MATCH($AE56,INDIRECT(ORÇAMENTO.BancoRef),0))))</f>
        <v>10087</v>
      </c>
      <c r="AG56" s="428">
        <f t="array" aca="1" ref="AG56" ca="1">ROUND(IF(DESONERACAO="sim",REFERENCIA.Desonerado,REFERENCIA.NaoDesonerado),2)</f>
        <v>64.599999999999994</v>
      </c>
      <c r="AH56" s="429">
        <f t="shared" ca="1" si="14"/>
        <v>0.2034</v>
      </c>
      <c r="AJ56" s="431"/>
      <c r="AL56" s="439"/>
      <c r="AM56" s="336">
        <f t="shared" ca="1" si="0"/>
        <v>21029.56</v>
      </c>
      <c r="AN56" s="469">
        <f t="array" aca="1" ref="AN56" ca="1">ROUND(ORÇAMENTO.CustoUnitario*(1+$AH56),2)</f>
        <v>73.069999999999993</v>
      </c>
    </row>
    <row r="57" spans="1:40" s="696" customFormat="1" ht="38.25" x14ac:dyDescent="0.2">
      <c r="A57" s="696" t="str">
        <f t="shared" si="1"/>
        <v>S</v>
      </c>
      <c r="B57" s="696">
        <f t="shared" ca="1" si="2"/>
        <v>2</v>
      </c>
      <c r="C57" s="696" t="str">
        <f t="shared" ca="1" si="3"/>
        <v>S</v>
      </c>
      <c r="D57" s="696">
        <f t="shared" ca="1" si="4"/>
        <v>0</v>
      </c>
      <c r="E57" s="696">
        <f ca="1">IF($C57=1,OFFSET(E57,-1,0)+MAX(1,COUNTIF(QCI!$A$13:$A$24,OFFSET(ORÇAMENTO!E57,-1,0))),OFFSET(E57,-1,0))</f>
        <v>1</v>
      </c>
      <c r="F57" s="696">
        <f t="shared" ca="1" si="5"/>
        <v>7</v>
      </c>
      <c r="G57" s="696">
        <f t="shared" ca="1" si="6"/>
        <v>0</v>
      </c>
      <c r="H57" s="696">
        <f t="shared" ca="1" si="7"/>
        <v>0</v>
      </c>
      <c r="I57" s="696">
        <f t="shared" ca="1" si="8"/>
        <v>2</v>
      </c>
      <c r="J57" s="696">
        <f t="shared" ca="1" si="9"/>
        <v>0</v>
      </c>
      <c r="K57" s="696">
        <f ca="1">IF(OR($C57="S",$C57=0),0,MATCH(OFFSET($D57,0,$C57)+IF($C57&lt;&gt;1,1,COUNTIF(QCI!$A$13:$A$24,ORÇAMENTO!E57)),OFFSET($D57,1,$C57,ROW($C$235)-ROW($C57)),0))</f>
        <v>0</v>
      </c>
      <c r="L57" s="114" t="str">
        <f t="shared" ca="1" si="10"/>
        <v>F</v>
      </c>
      <c r="M57" s="115" t="s">
        <v>705</v>
      </c>
      <c r="N57" s="116" t="str">
        <f t="shared" ca="1" si="11"/>
        <v>Serviço</v>
      </c>
      <c r="O57" s="117" t="str">
        <f t="shared" ca="1" si="12"/>
        <v>1.7.2.</v>
      </c>
      <c r="P57" s="118" t="s">
        <v>956</v>
      </c>
      <c r="Q57" s="119" t="s">
        <v>1042</v>
      </c>
      <c r="R57" s="120" t="str">
        <f t="array" aca="1" ref="R57" ca="1">IF($C57="S",REFERENCIA.Descricao,"(digite a descrição aqui)")</f>
        <v xml:space="preserve">MONTAGEM E DESMONTAGEM DE FÔRMA DE VIGA, SEM ESCORAMENTO, PÉ-DIREITO SIMPLES, EM CHAPA DE MADEIRA RESINADA, 8 UTILIZAÇÕES. </v>
      </c>
      <c r="S57" s="121" t="str">
        <f t="array" aca="1" ref="S57" ca="1">REFERENCIA.Unidade</f>
        <v>M2</v>
      </c>
      <c r="T57" s="122">
        <f ca="1">OFFSET(CÁLCULO!H$15,ROW($T57)-ROW(T$15),0)</f>
        <v>410.8</v>
      </c>
      <c r="U57" s="123">
        <f>66.07*0.94</f>
        <v>62.105799999999988</v>
      </c>
      <c r="V57" s="124" t="s">
        <v>697</v>
      </c>
      <c r="W57" s="122">
        <f t="array" aca="1" ref="W57" ca="1">IF($C57="S",ROUND(IF(TIPOORCAMENTO="Proposto",ORÇAMENTO.CustoUnitario*(1+$AH57),ORÇAMENTO.PrecoUnitarioLicitado),15-13*$AF$10),0)</f>
        <v>74.739999999999995</v>
      </c>
      <c r="X57" s="125">
        <f t="array" aca="1" ref="X57" ca="1">IF($C57="S",IF(OR(Import.TipoArredondamento&lt;&gt;"TransfereGOV",ACOMPANHAMENTO="BM"),VTOTAL1,SUM(OFFSET(CÁLCULO!$AI$15,ROW($X57)-ROW($X$15),1):OFFSET(CÁLCULO!$BB$15,ROW($X57)-ROW($X$15),-1))),IF($C57=0,0,ROUND(SomaAgrup,15-13*$AF$11)))</f>
        <v>30703.200000000001</v>
      </c>
      <c r="Y57" s="126" t="s">
        <v>751</v>
      </c>
      <c r="Z57" s="696" t="str">
        <f t="shared" ca="1" si="13"/>
        <v>RA</v>
      </c>
      <c r="AA57" s="127">
        <f t="array" aca="1" ref="AA57" ca="1">IF($C57="S",IF($Z57="CP",$X57,IF($Z57="RA",(($X57)*QCI!$AA$3),0)),SomaAgrup)</f>
        <v>0</v>
      </c>
      <c r="AB57" s="128">
        <f t="array" aca="1" ref="AB57" ca="1">IF($C57="S",IF($Z57="OU",ROUND($X57,2),0),SomaAgrup)</f>
        <v>0</v>
      </c>
      <c r="AC57" s="563" t="str">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s="696" t="str">
        <f ca="1">IF(C57&lt;=CRONO.NivelExibicao,MAX($AD$15:OFFSET(AD57,-1,0))+IF($C57&lt;&gt;1,1,MAX(1,COUNTIF(QCI!$A$13:$A$24,OFFSET($E57,-1,0)))),"")</f>
        <v/>
      </c>
      <c r="AE57" s="694" t="str">
        <f t="array" aca="1" ref="AE57" ca="1">IF(AND($C57="S",ORÇAMENTO.CodBarra&lt;&gt;""),IF(ORÇAMENTO.Fonte="",ORÇAMENTO.CodBarra,CONCATENATE(ORÇAMENTO.Fonte," ",ORÇAMENTO.CodBarra)))</f>
        <v>Composição COMP 03</v>
      </c>
      <c r="AF57" s="695">
        <f t="array" aca="1" ref="AF57" ca="1">IF(ISERROR(ORÇAMENTO.BancoRef),"(abra o arquivo 'Referência "&amp;Excel_BuiltIn_Database&amp;".xlsm)",IF(OR($C57&lt;&gt;"S",ORÇAMENTO.CodBarra=""),"(Sem Código)",IF(ISERROR(MATCH($AE57,INDIRECT(ORÇAMENTO.BancoRef),0)),"(Código não identificado nas referências)",MATCH($AE57,INDIRECT(ORÇAMENTO.BancoRef),0))))</f>
        <v>5</v>
      </c>
      <c r="AG57" s="428">
        <f t="array" aca="1" ref="AG57" ca="1">ROUND(IF(DESONERACAO="sim",REFERENCIA.Desonerado,REFERENCIA.NaoDesonerado),2)</f>
        <v>69.55</v>
      </c>
      <c r="AH57" s="429">
        <f t="shared" ca="1" si="14"/>
        <v>0.2034</v>
      </c>
      <c r="AJ57" s="431"/>
      <c r="AL57" s="439"/>
      <c r="AM57" s="336">
        <f t="shared" ca="1" si="0"/>
        <v>30703.200000000001</v>
      </c>
      <c r="AN57" s="469">
        <f t="array" aca="1" ref="AN57" ca="1">ROUND(ORÇAMENTO.CustoUnitario*(1+$AH57),2)</f>
        <v>74.739999999999995</v>
      </c>
    </row>
    <row r="58" spans="1:40" s="696" customFormat="1" ht="38.25" x14ac:dyDescent="0.2">
      <c r="A58" s="696" t="str">
        <f t="shared" si="1"/>
        <v>S</v>
      </c>
      <c r="B58" s="696">
        <f t="shared" ca="1" si="2"/>
        <v>2</v>
      </c>
      <c r="C58" s="696" t="str">
        <f t="shared" ca="1" si="3"/>
        <v>S</v>
      </c>
      <c r="D58" s="696">
        <f t="shared" ca="1" si="4"/>
        <v>0</v>
      </c>
      <c r="E58" s="696">
        <f ca="1">IF($C58=1,OFFSET(E58,-1,0)+MAX(1,COUNTIF(QCI!$A$13:$A$24,OFFSET(ORÇAMENTO!E58,-1,0))),OFFSET(E58,-1,0))</f>
        <v>1</v>
      </c>
      <c r="F58" s="696">
        <f t="shared" ca="1" si="5"/>
        <v>7</v>
      </c>
      <c r="G58" s="696">
        <f t="shared" ca="1" si="6"/>
        <v>0</v>
      </c>
      <c r="H58" s="696">
        <f t="shared" ca="1" si="7"/>
        <v>0</v>
      </c>
      <c r="I58" s="696">
        <f t="shared" ca="1" si="8"/>
        <v>3</v>
      </c>
      <c r="J58" s="696">
        <f t="shared" ca="1" si="9"/>
        <v>0</v>
      </c>
      <c r="K58" s="696">
        <f ca="1">IF(OR($C58="S",$C58=0),0,MATCH(OFFSET($D58,0,$C58)+IF($C58&lt;&gt;1,1,COUNTIF(QCI!$A$13:$A$24,ORÇAMENTO!E58)),OFFSET($D58,1,$C58,ROW($C$235)-ROW($C58)),0))</f>
        <v>0</v>
      </c>
      <c r="L58" s="114" t="str">
        <f t="shared" ca="1" si="10"/>
        <v>F</v>
      </c>
      <c r="M58" s="115" t="s">
        <v>705</v>
      </c>
      <c r="N58" s="116" t="str">
        <f t="shared" ca="1" si="11"/>
        <v>Serviço</v>
      </c>
      <c r="O58" s="117" t="str">
        <f t="shared" ca="1" si="12"/>
        <v>1.7.3.</v>
      </c>
      <c r="P58" s="118" t="s">
        <v>750</v>
      </c>
      <c r="Q58" s="119" t="s">
        <v>1043</v>
      </c>
      <c r="R58" s="120" t="str">
        <f t="array" aca="1" ref="R58" ca="1">IF($C58="S",REFERENCIA.Descricao,"(digite a descrição aqui)")</f>
        <v>MONTAGEM E DESMONTAGEM DE FÔRMA DE VIGA, ESCORAMENTO COM GARFO DE MADEIRA, PÉ-DIREITO SIMPLES, EM CHAPA DE MADEIRA RESINADA, 8 UTILIZAÇÕES. AF_09/2020</v>
      </c>
      <c r="S58" s="121" t="str">
        <f t="array" aca="1" ref="S58" ca="1">REFERENCIA.Unidade</f>
        <v>M2</v>
      </c>
      <c r="T58" s="122">
        <f ca="1">OFFSET(CÁLCULO!H$15,ROW($T58)-ROW(T$15),0)</f>
        <v>82.6</v>
      </c>
      <c r="U58" s="123">
        <f>127.15*0.94</f>
        <v>119.521</v>
      </c>
      <c r="V58" s="124" t="s">
        <v>697</v>
      </c>
      <c r="W58" s="122">
        <f t="array" aca="1" ref="W58" ca="1">IF($C58="S",ROUND(IF(TIPOORCAMENTO="Proposto",ORÇAMENTO.CustoUnitario*(1+$AH58),ORÇAMENTO.PrecoUnitarioLicitado),15-13*$AF$10),0)</f>
        <v>143.83000000000001</v>
      </c>
      <c r="X58" s="125">
        <f t="array" aca="1" ref="X58" ca="1">IF($C58="S",IF(OR(Import.TipoArredondamento&lt;&gt;"TransfereGOV",ACOMPANHAMENTO="BM"),VTOTAL1,SUM(OFFSET(CÁLCULO!$AI$15,ROW($X58)-ROW($X$15),1):OFFSET(CÁLCULO!$BB$15,ROW($X58)-ROW($X$15),-1))),IF($C58=0,0,ROUND(SomaAgrup,15-13*$AF$11)))</f>
        <v>11880.36</v>
      </c>
      <c r="Y58" s="126" t="s">
        <v>751</v>
      </c>
      <c r="Z58" s="696" t="str">
        <f t="shared" ca="1" si="13"/>
        <v>RA</v>
      </c>
      <c r="AA58" s="127">
        <f t="array" aca="1" ref="AA58" ca="1">IF($C58="S",IF($Z58="CP",$X58,IF($Z58="RA",(($X58)*QCI!$AA$3),0)),SomaAgrup)</f>
        <v>0</v>
      </c>
      <c r="AB58" s="128">
        <f t="array" aca="1" ref="AB58" ca="1">IF($C58="S",IF($Z58="OU",ROUND($X58,2),0),SomaAgrup)</f>
        <v>0</v>
      </c>
      <c r="AC58" s="563" t="str">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s="696" t="str">
        <f ca="1">IF(C58&lt;=CRONO.NivelExibicao,MAX($AD$15:OFFSET(AD58,-1,0))+IF($C58&lt;&gt;1,1,MAX(1,COUNTIF(QCI!$A$13:$A$24,OFFSET($E58,-1,0)))),"")</f>
        <v/>
      </c>
      <c r="AE58" s="694" t="str">
        <f t="array" aca="1" ref="AE58" ca="1">IF(AND($C58="S",ORÇAMENTO.CodBarra&lt;&gt;""),IF(ORÇAMENTO.Fonte="",ORÇAMENTO.CodBarra,CONCATENATE(ORÇAMENTO.Fonte," ",ORÇAMENTO.CodBarra)))</f>
        <v>SINAPI 92463</v>
      </c>
      <c r="AF58" s="695">
        <f t="array" aca="1" ref="AF58" ca="1">IF(ISERROR(ORÇAMENTO.BancoRef),"(abra o arquivo 'Referência "&amp;Excel_BuiltIn_Database&amp;".xlsm)",IF(OR($C58&lt;&gt;"S",ORÇAMENTO.CodBarra=""),"(Sem Código)",IF(ISERROR(MATCH($AE58,INDIRECT(ORÇAMENTO.BancoRef),0)),"(Código não identificado nas referências)",MATCH($AE58,INDIRECT(ORÇAMENTO.BancoRef),0))))</f>
        <v>10106</v>
      </c>
      <c r="AG58" s="428">
        <f t="array" aca="1" ref="AG58" ca="1">ROUND(IF(DESONERACAO="sim",REFERENCIA.Desonerado,REFERENCIA.NaoDesonerado),2)</f>
        <v>127.15</v>
      </c>
      <c r="AH58" s="429">
        <f t="shared" ca="1" si="14"/>
        <v>0.2034</v>
      </c>
      <c r="AJ58" s="431"/>
      <c r="AL58" s="439"/>
      <c r="AM58" s="336">
        <f t="shared" ca="1" si="0"/>
        <v>11880.36</v>
      </c>
      <c r="AN58" s="469">
        <f t="array" aca="1" ref="AN58" ca="1">ROUND(ORÇAMENTO.CustoUnitario*(1+$AH58),2)</f>
        <v>143.83000000000001</v>
      </c>
    </row>
    <row r="59" spans="1:40" s="696" customFormat="1" ht="38.25" x14ac:dyDescent="0.2">
      <c r="A59" s="696" t="str">
        <f t="shared" si="1"/>
        <v>S</v>
      </c>
      <c r="B59" s="696">
        <f t="shared" ca="1" si="2"/>
        <v>2</v>
      </c>
      <c r="C59" s="696" t="str">
        <f t="shared" ca="1" si="3"/>
        <v>S</v>
      </c>
      <c r="D59" s="696">
        <f t="shared" ca="1" si="4"/>
        <v>0</v>
      </c>
      <c r="E59" s="696">
        <f ca="1">IF($C59=1,OFFSET(E59,-1,0)+MAX(1,COUNTIF(QCI!$A$13:$A$24,OFFSET(ORÇAMENTO!E59,-1,0))),OFFSET(E59,-1,0))</f>
        <v>1</v>
      </c>
      <c r="F59" s="696">
        <f t="shared" ca="1" si="5"/>
        <v>7</v>
      </c>
      <c r="G59" s="696">
        <f t="shared" ca="1" si="6"/>
        <v>0</v>
      </c>
      <c r="H59" s="696">
        <f t="shared" ca="1" si="7"/>
        <v>0</v>
      </c>
      <c r="I59" s="696">
        <f t="shared" ca="1" si="8"/>
        <v>4</v>
      </c>
      <c r="J59" s="696">
        <f t="shared" ca="1" si="9"/>
        <v>0</v>
      </c>
      <c r="K59" s="696">
        <f ca="1">IF(OR($C59="S",$C59=0),0,MATCH(OFFSET($D59,0,$C59)+IF($C59&lt;&gt;1,1,COUNTIF(QCI!$A$13:$A$24,ORÇAMENTO!E59)),OFFSET($D59,1,$C59,ROW($C$235)-ROW($C59)),0))</f>
        <v>0</v>
      </c>
      <c r="L59" s="114" t="str">
        <f t="shared" ca="1" si="10"/>
        <v>F</v>
      </c>
      <c r="M59" s="115" t="s">
        <v>705</v>
      </c>
      <c r="N59" s="116" t="str">
        <f t="shared" ca="1" si="11"/>
        <v>Serviço</v>
      </c>
      <c r="O59" s="117" t="str">
        <f t="shared" ca="1" si="12"/>
        <v>1.7.4.</v>
      </c>
      <c r="P59" s="118" t="s">
        <v>750</v>
      </c>
      <c r="Q59" s="119" t="s">
        <v>1044</v>
      </c>
      <c r="R59" s="120" t="str">
        <f t="array" aca="1" ref="R59" ca="1">IF($C59="S",REFERENCIA.Descricao,"(digite a descrição aqui)")</f>
        <v>ARMAÇÃO DE PILAR OU VIGA DE ESTRUTURA CONVENCIONAL DE CONCRETO ARMADO UTILIZANDO AÇO CA-60 DE 5,0 MM - MONTAGEM. AF_06/2022</v>
      </c>
      <c r="S59" s="121" t="str">
        <f t="array" aca="1" ref="S59" ca="1">REFERENCIA.Unidade</f>
        <v>KG</v>
      </c>
      <c r="T59" s="122">
        <f ca="1">OFFSET(CÁLCULO!H$15,ROW($T59)-ROW(T$15),0)</f>
        <v>1408</v>
      </c>
      <c r="U59" s="123">
        <f>14.24*0.94</f>
        <v>13.3856</v>
      </c>
      <c r="V59" s="124" t="s">
        <v>697</v>
      </c>
      <c r="W59" s="122">
        <f t="array" aca="1" ref="W59" ca="1">IF($C59="S",ROUND(IF(TIPOORCAMENTO="Proposto",ORÇAMENTO.CustoUnitario*(1+$AH59),ORÇAMENTO.PrecoUnitarioLicitado),15-13*$AF$10),0)</f>
        <v>16.11</v>
      </c>
      <c r="X59" s="125">
        <f t="array" aca="1" ref="X59" ca="1">IF($C59="S",IF(OR(Import.TipoArredondamento&lt;&gt;"TransfereGOV",ACOMPANHAMENTO="BM"),VTOTAL1,SUM(OFFSET(CÁLCULO!$AI$15,ROW($X59)-ROW($X$15),1):OFFSET(CÁLCULO!$BB$15,ROW($X59)-ROW($X$15),-1))),IF($C59=0,0,ROUND(SomaAgrup,15-13*$AF$11)))</f>
        <v>22682.880000000001</v>
      </c>
      <c r="Y59" s="126" t="s">
        <v>751</v>
      </c>
      <c r="Z59" s="696" t="str">
        <f t="shared" ca="1" si="13"/>
        <v>RA</v>
      </c>
      <c r="AA59" s="127">
        <f t="array" aca="1" ref="AA59" ca="1">IF($C59="S",IF($Z59="CP",$X59,IF($Z59="RA",(($X59)*QCI!$AA$3),0)),SomaAgrup)</f>
        <v>0</v>
      </c>
      <c r="AB59" s="128">
        <f t="array" aca="1" ref="AB59" ca="1">IF($C59="S",IF($Z59="OU",ROUND($X59,2),0),SomaAgrup)</f>
        <v>0</v>
      </c>
      <c r="AC59" s="563" t="str">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s="696" t="str">
        <f ca="1">IF(C59&lt;=CRONO.NivelExibicao,MAX($AD$15:OFFSET(AD59,-1,0))+IF($C59&lt;&gt;1,1,MAX(1,COUNTIF(QCI!$A$13:$A$24,OFFSET($E59,-1,0)))),"")</f>
        <v/>
      </c>
      <c r="AE59" s="694" t="str">
        <f t="array" aca="1" ref="AE59" ca="1">IF(AND($C59="S",ORÇAMENTO.CodBarra&lt;&gt;""),IF(ORÇAMENTO.Fonte="",ORÇAMENTO.CodBarra,CONCATENATE(ORÇAMENTO.Fonte," ",ORÇAMENTO.CodBarra)))</f>
        <v>SINAPI 92759</v>
      </c>
      <c r="AF59" s="695">
        <f t="array" aca="1" ref="AF59" ca="1">IF(ISERROR(ORÇAMENTO.BancoRef),"(abra o arquivo 'Referência "&amp;Excel_BuiltIn_Database&amp;".xlsm)",IF(OR($C59&lt;&gt;"S",ORÇAMENTO.CodBarra=""),"(Sem Código)",IF(ISERROR(MATCH($AE59,INDIRECT(ORÇAMENTO.BancoRef),0)),"(Código não identificado nas referências)",MATCH($AE59,INDIRECT(ORÇAMENTO.BancoRef),0))))</f>
        <v>6308</v>
      </c>
      <c r="AG59" s="428">
        <f t="array" aca="1" ref="AG59" ca="1">ROUND(IF(DESONERACAO="sim",REFERENCIA.Desonerado,REFERENCIA.NaoDesonerado),2)</f>
        <v>14.24</v>
      </c>
      <c r="AH59" s="429">
        <f t="shared" ca="1" si="14"/>
        <v>0.2034</v>
      </c>
      <c r="AJ59" s="431"/>
      <c r="AL59" s="439"/>
      <c r="AM59" s="336">
        <f t="shared" ca="1" si="0"/>
        <v>22682.880000000001</v>
      </c>
      <c r="AN59" s="469">
        <f t="array" aca="1" ref="AN59" ca="1">ROUND(ORÇAMENTO.CustoUnitario*(1+$AH59),2)</f>
        <v>16.11</v>
      </c>
    </row>
    <row r="60" spans="1:40" s="696" customFormat="1" ht="38.25" x14ac:dyDescent="0.2">
      <c r="A60" s="696" t="str">
        <f t="shared" si="1"/>
        <v>S</v>
      </c>
      <c r="B60" s="696">
        <f t="shared" ca="1" si="2"/>
        <v>2</v>
      </c>
      <c r="C60" s="696" t="str">
        <f t="shared" ca="1" si="3"/>
        <v>S</v>
      </c>
      <c r="D60" s="696">
        <f t="shared" ca="1" si="4"/>
        <v>0</v>
      </c>
      <c r="E60" s="696">
        <f ca="1">IF($C60=1,OFFSET(E60,-1,0)+MAX(1,COUNTIF(QCI!$A$13:$A$24,OFFSET(ORÇAMENTO!E60,-1,0))),OFFSET(E60,-1,0))</f>
        <v>1</v>
      </c>
      <c r="F60" s="696">
        <f t="shared" ca="1" si="5"/>
        <v>7</v>
      </c>
      <c r="G60" s="696">
        <f t="shared" ca="1" si="6"/>
        <v>0</v>
      </c>
      <c r="H60" s="696">
        <f t="shared" ca="1" si="7"/>
        <v>0</v>
      </c>
      <c r="I60" s="696">
        <f t="shared" ca="1" si="8"/>
        <v>5</v>
      </c>
      <c r="J60" s="696">
        <f t="shared" ca="1" si="9"/>
        <v>0</v>
      </c>
      <c r="K60" s="696">
        <f ca="1">IF(OR($C60="S",$C60=0),0,MATCH(OFFSET($D60,0,$C60)+IF($C60&lt;&gt;1,1,COUNTIF(QCI!$A$13:$A$24,ORÇAMENTO!E60)),OFFSET($D60,1,$C60,ROW($C$235)-ROW($C60)),0))</f>
        <v>0</v>
      </c>
      <c r="L60" s="114" t="str">
        <f t="shared" ca="1" si="10"/>
        <v>F</v>
      </c>
      <c r="M60" s="115" t="s">
        <v>705</v>
      </c>
      <c r="N60" s="116" t="str">
        <f t="shared" ca="1" si="11"/>
        <v>Serviço</v>
      </c>
      <c r="O60" s="117" t="str">
        <f t="shared" ca="1" si="12"/>
        <v>1.7.5.</v>
      </c>
      <c r="P60" s="118" t="s">
        <v>750</v>
      </c>
      <c r="Q60" s="119" t="s">
        <v>1045</v>
      </c>
      <c r="R60" s="120" t="str">
        <f t="array" aca="1" ref="R60" ca="1">IF($C60="S",REFERENCIA.Descricao,"(digite a descrição aqui)")</f>
        <v>ARMAÇÃO DE PILAR OU VIGA DE ESTRUTURA CONVENCIONAL DE CONCRETO ARMADO UTILIZANDO AÇO CA-50 DE 6,3 MM - MONTAGEM. AF_06/2022</v>
      </c>
      <c r="S60" s="121" t="str">
        <f t="array" aca="1" ref="S60" ca="1">REFERENCIA.Unidade</f>
        <v>KG</v>
      </c>
      <c r="T60" s="122">
        <f ca="1">OFFSET(CÁLCULO!H$15,ROW($T60)-ROW(T$15),0)</f>
        <v>300</v>
      </c>
      <c r="U60" s="123">
        <f>13.17*0.94</f>
        <v>12.379799999999999</v>
      </c>
      <c r="V60" s="124" t="s">
        <v>697</v>
      </c>
      <c r="W60" s="122">
        <f t="array" aca="1" ref="W60" ca="1">IF($C60="S",ROUND(IF(TIPOORCAMENTO="Proposto",ORÇAMENTO.CustoUnitario*(1+$AH60),ORÇAMENTO.PrecoUnitarioLicitado),15-13*$AF$10),0)</f>
        <v>14.9</v>
      </c>
      <c r="X60" s="125">
        <f t="array" aca="1" ref="X60" ca="1">IF($C60="S",IF(OR(Import.TipoArredondamento&lt;&gt;"TransfereGOV",ACOMPANHAMENTO="BM"),VTOTAL1,SUM(OFFSET(CÁLCULO!$AI$15,ROW($X60)-ROW($X$15),1):OFFSET(CÁLCULO!$BB$15,ROW($X60)-ROW($X$15),-1))),IF($C60=0,0,ROUND(SomaAgrup,15-13*$AF$11)))</f>
        <v>4470</v>
      </c>
      <c r="Y60" s="126" t="s">
        <v>751</v>
      </c>
      <c r="Z60" s="696" t="str">
        <f t="shared" ca="1" si="13"/>
        <v>RA</v>
      </c>
      <c r="AA60" s="127">
        <f t="array" aca="1" ref="AA60" ca="1">IF($C60="S",IF($Z60="CP",$X60,IF($Z60="RA",(($X60)*QCI!$AA$3),0)),SomaAgrup)</f>
        <v>0</v>
      </c>
      <c r="AB60" s="128">
        <f t="array" aca="1" ref="AB60" ca="1">IF($C60="S",IF($Z60="OU",ROUND($X60,2),0),SomaAgrup)</f>
        <v>0</v>
      </c>
      <c r="AC60" s="563" t="str">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s="696" t="str">
        <f ca="1">IF(C60&lt;=CRONO.NivelExibicao,MAX($AD$15:OFFSET(AD60,-1,0))+IF($C60&lt;&gt;1,1,MAX(1,COUNTIF(QCI!$A$13:$A$24,OFFSET($E60,-1,0)))),"")</f>
        <v/>
      </c>
      <c r="AE60" s="694" t="str">
        <f t="array" aca="1" ref="AE60" ca="1">IF(AND($C60="S",ORÇAMENTO.CodBarra&lt;&gt;""),IF(ORÇAMENTO.Fonte="",ORÇAMENTO.CodBarra,CONCATENATE(ORÇAMENTO.Fonte," ",ORÇAMENTO.CodBarra)))</f>
        <v>SINAPI 92760</v>
      </c>
      <c r="AF60" s="695">
        <f t="array" aca="1" ref="AF60" ca="1">IF(ISERROR(ORÇAMENTO.BancoRef),"(abra o arquivo 'Referência "&amp;Excel_BuiltIn_Database&amp;".xlsm)",IF(OR($C60&lt;&gt;"S",ORÇAMENTO.CodBarra=""),"(Sem Código)",IF(ISERROR(MATCH($AE60,INDIRECT(ORÇAMENTO.BancoRef),0)),"(Código não identificado nas referências)",MATCH($AE60,INDIRECT(ORÇAMENTO.BancoRef),0))))</f>
        <v>6306</v>
      </c>
      <c r="AG60" s="428">
        <f t="array" aca="1" ref="AG60" ca="1">ROUND(IF(DESONERACAO="sim",REFERENCIA.Desonerado,REFERENCIA.NaoDesonerado),2)</f>
        <v>13.17</v>
      </c>
      <c r="AH60" s="429">
        <f t="shared" ca="1" si="14"/>
        <v>0.2034</v>
      </c>
      <c r="AJ60" s="431"/>
      <c r="AL60" s="439"/>
      <c r="AM60" s="336">
        <f t="shared" ca="1" si="0"/>
        <v>4470</v>
      </c>
      <c r="AN60" s="469">
        <f t="array" aca="1" ref="AN60" ca="1">ROUND(ORÇAMENTO.CustoUnitario*(1+$AH60),2)</f>
        <v>14.9</v>
      </c>
    </row>
    <row r="61" spans="1:40" s="696" customFormat="1" ht="38.25" x14ac:dyDescent="0.2">
      <c r="A61" s="696" t="str">
        <f t="shared" si="1"/>
        <v>S</v>
      </c>
      <c r="B61" s="696">
        <f t="shared" ca="1" si="2"/>
        <v>2</v>
      </c>
      <c r="C61" s="696" t="str">
        <f t="shared" ca="1" si="3"/>
        <v>S</v>
      </c>
      <c r="D61" s="696">
        <f t="shared" ca="1" si="4"/>
        <v>0</v>
      </c>
      <c r="E61" s="696">
        <f ca="1">IF($C61=1,OFFSET(E61,-1,0)+MAX(1,COUNTIF(QCI!$A$13:$A$24,OFFSET(ORÇAMENTO!E61,-1,0))),OFFSET(E61,-1,0))</f>
        <v>1</v>
      </c>
      <c r="F61" s="696">
        <f t="shared" ca="1" si="5"/>
        <v>7</v>
      </c>
      <c r="G61" s="696">
        <f t="shared" ca="1" si="6"/>
        <v>0</v>
      </c>
      <c r="H61" s="696">
        <f t="shared" ca="1" si="7"/>
        <v>0</v>
      </c>
      <c r="I61" s="696">
        <f t="shared" ca="1" si="8"/>
        <v>6</v>
      </c>
      <c r="J61" s="696">
        <f t="shared" ca="1" si="9"/>
        <v>0</v>
      </c>
      <c r="K61" s="696">
        <f ca="1">IF(OR($C61="S",$C61=0),0,MATCH(OFFSET($D61,0,$C61)+IF($C61&lt;&gt;1,1,COUNTIF(QCI!$A$13:$A$24,ORÇAMENTO!E61)),OFFSET($D61,1,$C61,ROW($C$235)-ROW($C61)),0))</f>
        <v>0</v>
      </c>
      <c r="L61" s="114" t="str">
        <f t="shared" ca="1" si="10"/>
        <v>F</v>
      </c>
      <c r="M61" s="115" t="s">
        <v>705</v>
      </c>
      <c r="N61" s="116" t="str">
        <f t="shared" ca="1" si="11"/>
        <v>Serviço</v>
      </c>
      <c r="O61" s="117" t="str">
        <f t="shared" ca="1" si="12"/>
        <v>1.7.6.</v>
      </c>
      <c r="P61" s="118" t="s">
        <v>750</v>
      </c>
      <c r="Q61" s="119" t="s">
        <v>1046</v>
      </c>
      <c r="R61" s="120" t="str">
        <f t="array" aca="1" ref="R61" ca="1">IF($C61="S",REFERENCIA.Descricao,"(digite a descrição aqui)")</f>
        <v>ARMAÇÃO DE PILAR OU VIGA DE ESTRUTURA CONVENCIONAL DE CONCRETO ARMADO UTILIZANDO AÇO CA-50 DE 8,0 MM - MONTAGEM. AF_06/2022</v>
      </c>
      <c r="S61" s="121" t="str">
        <f t="array" aca="1" ref="S61" ca="1">REFERENCIA.Unidade</f>
        <v>KG</v>
      </c>
      <c r="T61" s="122">
        <f ca="1">OFFSET(CÁLCULO!H$15,ROW($T61)-ROW(T$15),0)</f>
        <v>1306</v>
      </c>
      <c r="U61" s="123">
        <f>12.18*0.94</f>
        <v>11.449199999999999</v>
      </c>
      <c r="V61" s="124" t="s">
        <v>697</v>
      </c>
      <c r="W61" s="122">
        <f t="array" aca="1" ref="W61" ca="1">IF($C61="S",ROUND(IF(TIPOORCAMENTO="Proposto",ORÇAMENTO.CustoUnitario*(1+$AH61),ORÇAMENTO.PrecoUnitarioLicitado),15-13*$AF$10),0)</f>
        <v>13.78</v>
      </c>
      <c r="X61" s="125">
        <f t="array" aca="1" ref="X61" ca="1">IF($C61="S",IF(OR(Import.TipoArredondamento&lt;&gt;"TransfereGOV",ACOMPANHAMENTO="BM"),VTOTAL1,SUM(OFFSET(CÁLCULO!$AI$15,ROW($X61)-ROW($X$15),1):OFFSET(CÁLCULO!$BB$15,ROW($X61)-ROW($X$15),-1))),IF($C61=0,0,ROUND(SomaAgrup,15-13*$AF$11)))</f>
        <v>17996.68</v>
      </c>
      <c r="Y61" s="126" t="s">
        <v>751</v>
      </c>
      <c r="Z61" s="696" t="str">
        <f t="shared" ca="1" si="13"/>
        <v>RA</v>
      </c>
      <c r="AA61" s="127">
        <f t="array" aca="1" ref="AA61" ca="1">IF($C61="S",IF($Z61="CP",$X61,IF($Z61="RA",(($X61)*QCI!$AA$3),0)),SomaAgrup)</f>
        <v>0</v>
      </c>
      <c r="AB61" s="128">
        <f t="array" aca="1" ref="AB61" ca="1">IF($C61="S",IF($Z61="OU",ROUND($X61,2),0),SomaAgrup)</f>
        <v>0</v>
      </c>
      <c r="AC61" s="563" t="str">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s="696" t="str">
        <f ca="1">IF(C61&lt;=CRONO.NivelExibicao,MAX($AD$15:OFFSET(AD61,-1,0))+IF($C61&lt;&gt;1,1,MAX(1,COUNTIF(QCI!$A$13:$A$24,OFFSET($E61,-1,0)))),"")</f>
        <v/>
      </c>
      <c r="AE61" s="694" t="str">
        <f t="array" aca="1" ref="AE61" ca="1">IF(AND($C61="S",ORÇAMENTO.CodBarra&lt;&gt;""),IF(ORÇAMENTO.Fonte="",ORÇAMENTO.CodBarra,CONCATENATE(ORÇAMENTO.Fonte," ",ORÇAMENTO.CodBarra)))</f>
        <v>SINAPI 92761</v>
      </c>
      <c r="AF61" s="695">
        <f t="array" aca="1" ref="AF61" ca="1">IF(ISERROR(ORÇAMENTO.BancoRef),"(abra o arquivo 'Referência "&amp;Excel_BuiltIn_Database&amp;".xlsm)",IF(OR($C61&lt;&gt;"S",ORÇAMENTO.CodBarra=""),"(Sem Código)",IF(ISERROR(MATCH($AE61,INDIRECT(ORÇAMENTO.BancoRef),0)),"(Código não identificado nas referências)",MATCH($AE61,INDIRECT(ORÇAMENTO.BancoRef),0))))</f>
        <v>6307</v>
      </c>
      <c r="AG61" s="428">
        <f t="array" aca="1" ref="AG61" ca="1">ROUND(IF(DESONERACAO="sim",REFERENCIA.Desonerado,REFERENCIA.NaoDesonerado),2)</f>
        <v>12.18</v>
      </c>
      <c r="AH61" s="429">
        <f t="shared" ca="1" si="14"/>
        <v>0.2034</v>
      </c>
      <c r="AJ61" s="431"/>
      <c r="AL61" s="439"/>
      <c r="AM61" s="336">
        <f t="shared" ca="1" si="0"/>
        <v>17996.68</v>
      </c>
      <c r="AN61" s="469">
        <f t="array" aca="1" ref="AN61" ca="1">ROUND(ORÇAMENTO.CustoUnitario*(1+$AH61),2)</f>
        <v>13.78</v>
      </c>
    </row>
    <row r="62" spans="1:40" s="696" customFormat="1" ht="38.25" x14ac:dyDescent="0.2">
      <c r="A62" s="696" t="str">
        <f t="shared" si="1"/>
        <v>S</v>
      </c>
      <c r="B62" s="696">
        <f t="shared" ca="1" si="2"/>
        <v>2</v>
      </c>
      <c r="C62" s="696" t="str">
        <f t="shared" ca="1" si="3"/>
        <v>S</v>
      </c>
      <c r="D62" s="696">
        <f t="shared" ca="1" si="4"/>
        <v>0</v>
      </c>
      <c r="E62" s="696">
        <f ca="1">IF($C62=1,OFFSET(E62,-1,0)+MAX(1,COUNTIF(QCI!$A$13:$A$24,OFFSET(ORÇAMENTO!E62,-1,0))),OFFSET(E62,-1,0))</f>
        <v>1</v>
      </c>
      <c r="F62" s="696">
        <f t="shared" ca="1" si="5"/>
        <v>7</v>
      </c>
      <c r="G62" s="696">
        <f t="shared" ca="1" si="6"/>
        <v>0</v>
      </c>
      <c r="H62" s="696">
        <f t="shared" ca="1" si="7"/>
        <v>0</v>
      </c>
      <c r="I62" s="696">
        <f t="shared" ca="1" si="8"/>
        <v>7</v>
      </c>
      <c r="J62" s="696">
        <f t="shared" ca="1" si="9"/>
        <v>0</v>
      </c>
      <c r="K62" s="696">
        <f ca="1">IF(OR($C62="S",$C62=0),0,MATCH(OFFSET($D62,0,$C62)+IF($C62&lt;&gt;1,1,COUNTIF(QCI!$A$13:$A$24,ORÇAMENTO!E62)),OFFSET($D62,1,$C62,ROW($C$235)-ROW($C62)),0))</f>
        <v>0</v>
      </c>
      <c r="L62" s="114" t="str">
        <f t="shared" ca="1" si="10"/>
        <v>F</v>
      </c>
      <c r="M62" s="115" t="s">
        <v>705</v>
      </c>
      <c r="N62" s="116" t="str">
        <f t="shared" ca="1" si="11"/>
        <v>Serviço</v>
      </c>
      <c r="O62" s="117" t="str">
        <f t="shared" ca="1" si="12"/>
        <v>1.7.7.</v>
      </c>
      <c r="P62" s="118" t="s">
        <v>750</v>
      </c>
      <c r="Q62" s="119" t="s">
        <v>1047</v>
      </c>
      <c r="R62" s="120" t="str">
        <f t="array" aca="1" ref="R62" ca="1">IF($C62="S",REFERENCIA.Descricao,"(digite a descrição aqui)")</f>
        <v>ARMAÇÃO DE PILAR OU VIGA DE ESTRUTURA CONVENCIONAL DE CONCRETO ARMADO UTILIZANDO AÇO CA-50 DE 10,0 MM - MONTAGEM. AF_06/2022</v>
      </c>
      <c r="S62" s="121" t="str">
        <f t="array" aca="1" ref="S62" ca="1">REFERENCIA.Unidade</f>
        <v>KG</v>
      </c>
      <c r="T62" s="122">
        <f ca="1">OFFSET(CÁLCULO!H$15,ROW($T62)-ROW(T$15),0)</f>
        <v>1712</v>
      </c>
      <c r="U62" s="123">
        <f>10.77*0.94</f>
        <v>10.123799999999999</v>
      </c>
      <c r="V62" s="124" t="s">
        <v>697</v>
      </c>
      <c r="W62" s="122">
        <f t="array" aca="1" ref="W62" ca="1">IF($C62="S",ROUND(IF(TIPOORCAMENTO="Proposto",ORÇAMENTO.CustoUnitario*(1+$AH62),ORÇAMENTO.PrecoUnitarioLicitado),15-13*$AF$10),0)</f>
        <v>12.18</v>
      </c>
      <c r="X62" s="125">
        <f t="array" aca="1" ref="X62" ca="1">IF($C62="S",IF(OR(Import.TipoArredondamento&lt;&gt;"TransfereGOV",ACOMPANHAMENTO="BM"),VTOTAL1,SUM(OFFSET(CÁLCULO!$AI$15,ROW($X62)-ROW($X$15),1):OFFSET(CÁLCULO!$BB$15,ROW($X62)-ROW($X$15),-1))),IF($C62=0,0,ROUND(SomaAgrup,15-13*$AF$11)))</f>
        <v>20852.16</v>
      </c>
      <c r="Y62" s="126" t="s">
        <v>751</v>
      </c>
      <c r="Z62" s="696" t="str">
        <f t="shared" ca="1" si="13"/>
        <v>RA</v>
      </c>
      <c r="AA62" s="127">
        <f t="array" aca="1" ref="AA62" ca="1">IF($C62="S",IF($Z62="CP",$X62,IF($Z62="RA",(($X62)*QCI!$AA$3),0)),SomaAgrup)</f>
        <v>0</v>
      </c>
      <c r="AB62" s="128">
        <f t="array" aca="1" ref="AB62" ca="1">IF($C62="S",IF($Z62="OU",ROUND($X62,2),0),SomaAgrup)</f>
        <v>0</v>
      </c>
      <c r="AC62" s="563" t="str">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s="696" t="str">
        <f ca="1">IF(C62&lt;=CRONO.NivelExibicao,MAX($AD$15:OFFSET(AD62,-1,0))+IF($C62&lt;&gt;1,1,MAX(1,COUNTIF(QCI!$A$13:$A$24,OFFSET($E62,-1,0)))),"")</f>
        <v/>
      </c>
      <c r="AE62" s="694" t="str">
        <f t="array" aca="1" ref="AE62" ca="1">IF(AND($C62="S",ORÇAMENTO.CodBarra&lt;&gt;""),IF(ORÇAMENTO.Fonte="",ORÇAMENTO.CodBarra,CONCATENATE(ORÇAMENTO.Fonte," ",ORÇAMENTO.CodBarra)))</f>
        <v>SINAPI 92762</v>
      </c>
      <c r="AF62" s="695">
        <f t="array" aca="1" ref="AF62" ca="1">IF(ISERROR(ORÇAMENTO.BancoRef),"(abra o arquivo 'Referência "&amp;Excel_BuiltIn_Database&amp;".xlsm)",IF(OR($C62&lt;&gt;"S",ORÇAMENTO.CodBarra=""),"(Sem Código)",IF(ISERROR(MATCH($AE62,INDIRECT(ORÇAMENTO.BancoRef),0)),"(Código não identificado nas referências)",MATCH($AE62,INDIRECT(ORÇAMENTO.BancoRef),0))))</f>
        <v>6300</v>
      </c>
      <c r="AG62" s="428">
        <f t="array" aca="1" ref="AG62" ca="1">ROUND(IF(DESONERACAO="sim",REFERENCIA.Desonerado,REFERENCIA.NaoDesonerado),2)</f>
        <v>10.77</v>
      </c>
      <c r="AH62" s="429">
        <f t="shared" ca="1" si="14"/>
        <v>0.2034</v>
      </c>
      <c r="AJ62" s="431"/>
      <c r="AL62" s="439"/>
      <c r="AM62" s="336">
        <f t="shared" ca="1" si="0"/>
        <v>20852.16</v>
      </c>
      <c r="AN62" s="469">
        <f t="array" aca="1" ref="AN62" ca="1">ROUND(ORÇAMENTO.CustoUnitario*(1+$AH62),2)</f>
        <v>12.18</v>
      </c>
    </row>
    <row r="63" spans="1:40" s="696" customFormat="1" ht="51" x14ac:dyDescent="0.2">
      <c r="A63" s="696" t="str">
        <f t="shared" si="1"/>
        <v>S</v>
      </c>
      <c r="B63" s="696">
        <f t="shared" ca="1" si="2"/>
        <v>2</v>
      </c>
      <c r="C63" s="696" t="str">
        <f t="shared" ca="1" si="3"/>
        <v>S</v>
      </c>
      <c r="D63" s="696">
        <f t="shared" ca="1" si="4"/>
        <v>0</v>
      </c>
      <c r="E63" s="696">
        <f ca="1">IF($C63=1,OFFSET(E63,-1,0)+MAX(1,COUNTIF(QCI!$A$13:$A$24,OFFSET(ORÇAMENTO!E63,-1,0))),OFFSET(E63,-1,0))</f>
        <v>1</v>
      </c>
      <c r="F63" s="696">
        <f t="shared" ca="1" si="5"/>
        <v>7</v>
      </c>
      <c r="G63" s="696">
        <f t="shared" ca="1" si="6"/>
        <v>0</v>
      </c>
      <c r="H63" s="696">
        <f t="shared" ca="1" si="7"/>
        <v>0</v>
      </c>
      <c r="I63" s="696">
        <f t="shared" ca="1" si="8"/>
        <v>8</v>
      </c>
      <c r="J63" s="696">
        <f t="shared" ca="1" si="9"/>
        <v>0</v>
      </c>
      <c r="K63" s="696">
        <f ca="1">IF(OR($C63="S",$C63=0),0,MATCH(OFFSET($D63,0,$C63)+IF($C63&lt;&gt;1,1,COUNTIF(QCI!$A$13:$A$24,ORÇAMENTO!E63)),OFFSET($D63,1,$C63,ROW($C$235)-ROW($C63)),0))</f>
        <v>0</v>
      </c>
      <c r="L63" s="114" t="str">
        <f t="shared" ca="1" si="10"/>
        <v>F</v>
      </c>
      <c r="M63" s="115" t="s">
        <v>705</v>
      </c>
      <c r="N63" s="116" t="str">
        <f t="shared" ca="1" si="11"/>
        <v>Serviço</v>
      </c>
      <c r="O63" s="117" t="str">
        <f t="shared" ca="1" si="12"/>
        <v>1.7.8.</v>
      </c>
      <c r="P63" s="118" t="s">
        <v>750</v>
      </c>
      <c r="Q63" s="119" t="s">
        <v>1048</v>
      </c>
      <c r="R63" s="120" t="str">
        <f t="array" aca="1" ref="R63" ca="1">IF($C63="S",REFERENCIA.Descricao,"(digite a descrição aqui)")</f>
        <v>LAJE PRÉ-MOLDADA UNIDIRECIONAL, BIAPOIADA, PARA PISO, ENCHIMENTO EM CERÂMICA, VIGOTA CONVENCIONAL, ALTURA TOTAL DA LAJE "LT" = 12 CM (ENCHIMENTO+CAPA) = (8+4). AF_08/2025</v>
      </c>
      <c r="S63" s="121" t="str">
        <f t="array" aca="1" ref="S63" ca="1">REFERENCIA.Unidade</f>
        <v>M2</v>
      </c>
      <c r="T63" s="122">
        <f ca="1">OFFSET(CÁLCULO!H$15,ROW($T63)-ROW(T$15),0)</f>
        <v>115.4</v>
      </c>
      <c r="U63" s="123">
        <f>228.99*0.94</f>
        <v>215.25059999999999</v>
      </c>
      <c r="V63" s="124" t="s">
        <v>697</v>
      </c>
      <c r="W63" s="122">
        <f t="array" aca="1" ref="W63" ca="1">IF($C63="S",ROUND(IF(TIPOORCAMENTO="Proposto",ORÇAMENTO.CustoUnitario*(1+$AH63),ORÇAMENTO.PrecoUnitarioLicitado),15-13*$AF$10),0)</f>
        <v>259.02999999999997</v>
      </c>
      <c r="X63" s="125">
        <f t="array" aca="1" ref="X63" ca="1">IF($C63="S",IF(OR(Import.TipoArredondamento&lt;&gt;"TransfereGOV",ACOMPANHAMENTO="BM"),VTOTAL1,SUM(OFFSET(CÁLCULO!$AI$15,ROW($X63)-ROW($X$15),1):OFFSET(CÁLCULO!$BB$15,ROW($X63)-ROW($X$15),-1))),IF($C63=0,0,ROUND(SomaAgrup,15-13*$AF$11)))</f>
        <v>29892.080000000002</v>
      </c>
      <c r="Y63" s="126" t="s">
        <v>751</v>
      </c>
      <c r="Z63" s="696" t="str">
        <f t="shared" ca="1" si="13"/>
        <v>RA</v>
      </c>
      <c r="AA63" s="127">
        <f t="array" aca="1" ref="AA63" ca="1">IF($C63="S",IF($Z63="CP",$X63,IF($Z63="RA",(($X63)*QCI!$AA$3),0)),SomaAgrup)</f>
        <v>0</v>
      </c>
      <c r="AB63" s="128">
        <f t="array" aca="1" ref="AB63" ca="1">IF($C63="S",IF($Z63="OU",ROUND($X63,2),0),SomaAgrup)</f>
        <v>0</v>
      </c>
      <c r="AC63" s="563" t="str">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s="696" t="str">
        <f ca="1">IF(C63&lt;=CRONO.NivelExibicao,MAX($AD$15:OFFSET(AD63,-1,0))+IF($C63&lt;&gt;1,1,MAX(1,COUNTIF(QCI!$A$13:$A$24,OFFSET($E63,-1,0)))),"")</f>
        <v/>
      </c>
      <c r="AE63" s="694" t="str">
        <f t="array" aca="1" ref="AE63" ca="1">IF(AND($C63="S",ORÇAMENTO.CodBarra&lt;&gt;""),IF(ORÇAMENTO.Fonte="",ORÇAMENTO.CodBarra,CONCATENATE(ORÇAMENTO.Fonte," ",ORÇAMENTO.CodBarra)))</f>
        <v>SINAPI 101963</v>
      </c>
      <c r="AF63" s="695">
        <f t="array" aca="1" ref="AF63" ca="1">IF(ISERROR(ORÇAMENTO.BancoRef),"(abra o arquivo 'Referência "&amp;Excel_BuiltIn_Database&amp;".xlsm)",IF(OR($C63&lt;&gt;"S",ORÇAMENTO.CodBarra=""),"(Sem Código)",IF(ISERROR(MATCH($AE63,INDIRECT(ORÇAMENTO.BancoRef),0)),"(Código não identificado nas referências)",MATCH($AE63,INDIRECT(ORÇAMENTO.BancoRef),0))))</f>
        <v>12694</v>
      </c>
      <c r="AG63" s="428">
        <f t="array" aca="1" ref="AG63" ca="1">ROUND(IF(DESONERACAO="sim",REFERENCIA.Desonerado,REFERENCIA.NaoDesonerado),2)</f>
        <v>228.99</v>
      </c>
      <c r="AH63" s="429">
        <f t="shared" ca="1" si="14"/>
        <v>0.2034</v>
      </c>
      <c r="AJ63" s="431"/>
      <c r="AL63" s="439"/>
      <c r="AM63" s="336">
        <f t="shared" ca="1" si="0"/>
        <v>29892.080000000002</v>
      </c>
      <c r="AN63" s="469">
        <f t="array" aca="1" ref="AN63" ca="1">ROUND(ORÇAMENTO.CustoUnitario*(1+$AH63),2)</f>
        <v>259.02999999999997</v>
      </c>
    </row>
    <row r="64" spans="1:40" s="696" customFormat="1" ht="25.5" x14ac:dyDescent="0.2">
      <c r="A64" s="696" t="str">
        <f t="shared" si="1"/>
        <v>S</v>
      </c>
      <c r="B64" s="696">
        <f t="shared" ca="1" si="2"/>
        <v>2</v>
      </c>
      <c r="C64" s="696" t="str">
        <f t="shared" ca="1" si="3"/>
        <v>S</v>
      </c>
      <c r="D64" s="696">
        <f t="shared" ca="1" si="4"/>
        <v>0</v>
      </c>
      <c r="E64" s="696">
        <f ca="1">IF($C64=1,OFFSET(E64,-1,0)+MAX(1,COUNTIF(QCI!$A$13:$A$24,OFFSET(ORÇAMENTO!E64,-1,0))),OFFSET(E64,-1,0))</f>
        <v>1</v>
      </c>
      <c r="F64" s="696">
        <f t="shared" ca="1" si="5"/>
        <v>7</v>
      </c>
      <c r="G64" s="696">
        <f t="shared" ca="1" si="6"/>
        <v>0</v>
      </c>
      <c r="H64" s="696">
        <f t="shared" ca="1" si="7"/>
        <v>0</v>
      </c>
      <c r="I64" s="696">
        <f t="shared" ca="1" si="8"/>
        <v>9</v>
      </c>
      <c r="J64" s="696">
        <f t="shared" ca="1" si="9"/>
        <v>0</v>
      </c>
      <c r="K64" s="696">
        <f ca="1">IF(OR($C64="S",$C64=0),0,MATCH(OFFSET($D64,0,$C64)+IF($C64&lt;&gt;1,1,COUNTIF(QCI!$A$13:$A$24,ORÇAMENTO!E64)),OFFSET($D64,1,$C64,ROW($C$235)-ROW($C64)),0))</f>
        <v>0</v>
      </c>
      <c r="L64" s="114" t="str">
        <f t="shared" ca="1" si="10"/>
        <v>F</v>
      </c>
      <c r="M64" s="115" t="s">
        <v>705</v>
      </c>
      <c r="N64" s="116" t="str">
        <f t="shared" ca="1" si="11"/>
        <v>Serviço</v>
      </c>
      <c r="O64" s="117" t="str">
        <f t="shared" ca="1" si="12"/>
        <v>1.7.9.</v>
      </c>
      <c r="P64" s="118" t="s">
        <v>956</v>
      </c>
      <c r="Q64" s="119" t="s">
        <v>1049</v>
      </c>
      <c r="R64" s="120" t="str">
        <f t="array" aca="1" ref="R64" ca="1">IF($C64="S",REFERENCIA.Descricao,"(digite a descrição aqui)")</f>
        <v>CONCRETAGEM DE PILARES, FCK = 20 MPA,  COM USO DE BALDES - LANÇAMENTO, ADENSAMENTO E ACABAMENTO.</v>
      </c>
      <c r="S64" s="121" t="str">
        <f t="array" aca="1" ref="S64" ca="1">REFERENCIA.Unidade</f>
        <v>M3</v>
      </c>
      <c r="T64" s="122">
        <f ca="1">OFFSET(CÁLCULO!H$15,ROW($T64)-ROW(T$15),0)</f>
        <v>25.6</v>
      </c>
      <c r="U64" s="123">
        <f>878.98*0.94</f>
        <v>826.24119999999994</v>
      </c>
      <c r="V64" s="124" t="s">
        <v>697</v>
      </c>
      <c r="W64" s="122">
        <f t="array" aca="1" ref="W64" ca="1">IF($C64="S",ROUND(IF(TIPOORCAMENTO="Proposto",ORÇAMENTO.CustoUnitario*(1+$AH64),ORÇAMENTO.PrecoUnitarioLicitado),15-13*$AF$10),0)</f>
        <v>994.3</v>
      </c>
      <c r="X64" s="125">
        <f t="array" aca="1" ref="X64" ca="1">IF($C64="S",IF(OR(Import.TipoArredondamento&lt;&gt;"TransfereGOV",ACOMPANHAMENTO="BM"),VTOTAL1,SUM(OFFSET(CÁLCULO!$AI$15,ROW($X64)-ROW($X$15),1):OFFSET(CÁLCULO!$BB$15,ROW($X64)-ROW($X$15),-1))),IF($C64=0,0,ROUND(SomaAgrup,15-13*$AF$11)))</f>
        <v>25454.080000000002</v>
      </c>
      <c r="Y64" s="126" t="s">
        <v>751</v>
      </c>
      <c r="Z64" s="696" t="str">
        <f t="shared" ca="1" si="13"/>
        <v>RA</v>
      </c>
      <c r="AA64" s="127">
        <f t="array" aca="1" ref="AA64" ca="1">IF($C64="S",IF($Z64="CP",$X64,IF($Z64="RA",(($X64)*QCI!$AA$3),0)),SomaAgrup)</f>
        <v>0</v>
      </c>
      <c r="AB64" s="128">
        <f t="array" aca="1" ref="AB64" ca="1">IF($C64="S",IF($Z64="OU",ROUND($X64,2),0),SomaAgrup)</f>
        <v>0</v>
      </c>
      <c r="AC64" s="563" t="str">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s="696" t="str">
        <f ca="1">IF(C64&lt;=CRONO.NivelExibicao,MAX($AD$15:OFFSET(AD64,-1,0))+IF($C64&lt;&gt;1,1,MAX(1,COUNTIF(QCI!$A$13:$A$24,OFFSET($E64,-1,0)))),"")</f>
        <v/>
      </c>
      <c r="AE64" s="694" t="str">
        <f t="array" aca="1" ref="AE64" ca="1">IF(AND($C64="S",ORÇAMENTO.CodBarra&lt;&gt;""),IF(ORÇAMENTO.Fonte="",ORÇAMENTO.CodBarra,CONCATENATE(ORÇAMENTO.Fonte," ",ORÇAMENTO.CodBarra)))</f>
        <v>Composição COMP 04</v>
      </c>
      <c r="AF64" s="695">
        <f t="array" aca="1" ref="AF64" ca="1">IF(ISERROR(ORÇAMENTO.BancoRef),"(abra o arquivo 'Referência "&amp;Excel_BuiltIn_Database&amp;".xlsm)",IF(OR($C64&lt;&gt;"S",ORÇAMENTO.CodBarra=""),"(Sem Código)",IF(ISERROR(MATCH($AE64,INDIRECT(ORÇAMENTO.BancoRef),0)),"(Código não identificado nas referências)",MATCH($AE64,INDIRECT(ORÇAMENTO.BancoRef),0))))</f>
        <v>6</v>
      </c>
      <c r="AG64" s="428">
        <f t="array" aca="1" ref="AG64" ca="1">ROUND(IF(DESONERACAO="sim",REFERENCIA.Desonerado,REFERENCIA.NaoDesonerado),2)</f>
        <v>911.64</v>
      </c>
      <c r="AH64" s="429">
        <f t="shared" ca="1" si="14"/>
        <v>0.2034</v>
      </c>
      <c r="AJ64" s="431"/>
      <c r="AL64" s="439"/>
      <c r="AM64" s="336">
        <f t="shared" ca="1" si="0"/>
        <v>25454.080000000002</v>
      </c>
      <c r="AN64" s="469">
        <f t="array" aca="1" ref="AN64" ca="1">ROUND(ORÇAMENTO.CustoUnitario*(1+$AH64),2)</f>
        <v>994.3</v>
      </c>
    </row>
    <row r="65" spans="1:40" s="696" customFormat="1" ht="38.25" x14ac:dyDescent="0.2">
      <c r="A65" s="696" t="str">
        <f t="shared" si="1"/>
        <v>S</v>
      </c>
      <c r="B65" s="696">
        <f t="shared" ca="1" si="2"/>
        <v>2</v>
      </c>
      <c r="C65" s="696" t="str">
        <f t="shared" ca="1" si="3"/>
        <v>S</v>
      </c>
      <c r="D65" s="696">
        <f t="shared" ca="1" si="4"/>
        <v>0</v>
      </c>
      <c r="E65" s="696">
        <f ca="1">IF($C65=1,OFFSET(E65,-1,0)+MAX(1,COUNTIF(QCI!$A$13:$A$24,OFFSET(ORÇAMENTO!E65,-1,0))),OFFSET(E65,-1,0))</f>
        <v>1</v>
      </c>
      <c r="F65" s="696">
        <f t="shared" ca="1" si="5"/>
        <v>7</v>
      </c>
      <c r="G65" s="696">
        <f t="shared" ca="1" si="6"/>
        <v>0</v>
      </c>
      <c r="H65" s="696">
        <f t="shared" ca="1" si="7"/>
        <v>0</v>
      </c>
      <c r="I65" s="696">
        <f t="shared" ca="1" si="8"/>
        <v>10</v>
      </c>
      <c r="J65" s="696">
        <f t="shared" ca="1" si="9"/>
        <v>0</v>
      </c>
      <c r="K65" s="696">
        <f ca="1">IF(OR($C65="S",$C65=0),0,MATCH(OFFSET($D65,0,$C65)+IF($C65&lt;&gt;1,1,COUNTIF(QCI!$A$13:$A$24,ORÇAMENTO!E65)),OFFSET($D65,1,$C65,ROW($C$235)-ROW($C65)),0))</f>
        <v>0</v>
      </c>
      <c r="L65" s="114" t="str">
        <f t="shared" ca="1" si="10"/>
        <v>F</v>
      </c>
      <c r="M65" s="115" t="s">
        <v>705</v>
      </c>
      <c r="N65" s="116" t="str">
        <f t="shared" ca="1" si="11"/>
        <v>Serviço</v>
      </c>
      <c r="O65" s="117" t="str">
        <f t="shared" ca="1" si="12"/>
        <v>1.7.10.</v>
      </c>
      <c r="P65" s="118" t="s">
        <v>956</v>
      </c>
      <c r="Q65" s="119" t="s">
        <v>1050</v>
      </c>
      <c r="R65" s="120" t="str">
        <f t="array" aca="1" ref="R65" ca="1">IF($C65="S",REFERENCIA.Descricao,"(digite a descrição aqui)")</f>
        <v xml:space="preserve">CONCRETAGEM DE VIGAS E LAJES, FCK=20 MPA, PARA QUALQUER TIPO DE LAJE COM BALDES EM EDIFICAÇÃO TÉRREA - LANÇAMENTO, ADENSAMENTO E ACABAMENTO. </v>
      </c>
      <c r="S65" s="121" t="str">
        <f t="array" aca="1" ref="S65" ca="1">REFERENCIA.Unidade</f>
        <v>M3</v>
      </c>
      <c r="T65" s="122">
        <f ca="1">OFFSET(CÁLCULO!H$15,ROW($T65)-ROW(T$15),0)</f>
        <v>35.6</v>
      </c>
      <c r="U65" s="123">
        <f>895.77*0.94</f>
        <v>842.02379999999994</v>
      </c>
      <c r="V65" s="124" t="s">
        <v>697</v>
      </c>
      <c r="W65" s="122">
        <f t="array" aca="1" ref="W65" ca="1">IF($C65="S",ROUND(IF(TIPOORCAMENTO="Proposto",ORÇAMENTO.CustoUnitario*(1+$AH65),ORÇAMENTO.PrecoUnitarioLicitado),15-13*$AF$10),0)</f>
        <v>1013.29</v>
      </c>
      <c r="X65" s="125">
        <f t="array" aca="1" ref="X65" ca="1">IF($C65="S",IF(OR(Import.TipoArredondamento&lt;&gt;"TransfereGOV",ACOMPANHAMENTO="BM"),VTOTAL1,SUM(OFFSET(CÁLCULO!$AI$15,ROW($X65)-ROW($X$15),1):OFFSET(CÁLCULO!$BB$15,ROW($X65)-ROW($X$15),-1))),IF($C65=0,0,ROUND(SomaAgrup,15-13*$AF$11)))</f>
        <v>36073.120000000003</v>
      </c>
      <c r="Y65" s="126" t="s">
        <v>751</v>
      </c>
      <c r="Z65" s="696" t="str">
        <f t="shared" ca="1" si="13"/>
        <v>RA</v>
      </c>
      <c r="AA65" s="127">
        <f t="array" aca="1" ref="AA65" ca="1">IF($C65="S",IF($Z65="CP",$X65,IF($Z65="RA",(($X65)*QCI!$AA$3),0)),SomaAgrup)</f>
        <v>0</v>
      </c>
      <c r="AB65" s="128">
        <f t="array" aca="1" ref="AB65" ca="1">IF($C65="S",IF($Z65="OU",ROUND($X65,2),0),SomaAgrup)</f>
        <v>0</v>
      </c>
      <c r="AC65" s="563" t="str">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s="696" t="str">
        <f ca="1">IF(C65&lt;=CRONO.NivelExibicao,MAX($AD$15:OFFSET(AD65,-1,0))+IF($C65&lt;&gt;1,1,MAX(1,COUNTIF(QCI!$A$13:$A$24,OFFSET($E65,-1,0)))),"")</f>
        <v/>
      </c>
      <c r="AE65" s="694" t="str">
        <f t="array" aca="1" ref="AE65" ca="1">IF(AND($C65="S",ORÇAMENTO.CodBarra&lt;&gt;""),IF(ORÇAMENTO.Fonte="",ORÇAMENTO.CodBarra,CONCATENATE(ORÇAMENTO.Fonte," ",ORÇAMENTO.CodBarra)))</f>
        <v>Composição COMP 05</v>
      </c>
      <c r="AF65" s="695">
        <f t="array" aca="1" ref="AF65" ca="1">IF(ISERROR(ORÇAMENTO.BancoRef),"(abra o arquivo 'Referência "&amp;Excel_BuiltIn_Database&amp;".xlsm)",IF(OR($C65&lt;&gt;"S",ORÇAMENTO.CodBarra=""),"(Sem Código)",IF(ISERROR(MATCH($AE65,INDIRECT(ORÇAMENTO.BancoRef),0)),"(Código não identificado nas referências)",MATCH($AE65,INDIRECT(ORÇAMENTO.BancoRef),0))))</f>
        <v>7</v>
      </c>
      <c r="AG65" s="428">
        <f t="array" aca="1" ref="AG65" ca="1">ROUND(IF(DESONERACAO="sim",REFERENCIA.Desonerado,REFERENCIA.NaoDesonerado),2)</f>
        <v>929.83</v>
      </c>
      <c r="AH65" s="429">
        <f t="shared" ca="1" si="14"/>
        <v>0.2034</v>
      </c>
      <c r="AJ65" s="431"/>
      <c r="AL65" s="439"/>
      <c r="AM65" s="336">
        <f t="shared" ca="1" si="0"/>
        <v>36073.120000000003</v>
      </c>
      <c r="AN65" s="469">
        <f t="array" aca="1" ref="AN65" ca="1">ROUND(ORÇAMENTO.CustoUnitario*(1+$AH65),2)</f>
        <v>1013.29</v>
      </c>
    </row>
    <row r="66" spans="1:40" s="696" customFormat="1" x14ac:dyDescent="0.2">
      <c r="A66" s="696">
        <f t="shared" si="1"/>
        <v>2</v>
      </c>
      <c r="B66" s="696">
        <f t="shared" ca="1" si="2"/>
        <v>2</v>
      </c>
      <c r="C66" s="696">
        <f t="shared" ca="1" si="3"/>
        <v>2</v>
      </c>
      <c r="D66" s="696">
        <f t="shared" ca="1" si="4"/>
        <v>2</v>
      </c>
      <c r="E66" s="696">
        <f ca="1">IF($C66=1,OFFSET(E66,-1,0)+MAX(1,COUNTIF(QCI!$A$13:$A$24,OFFSET(ORÇAMENTO!E66,-1,0))),OFFSET(E66,-1,0))</f>
        <v>1</v>
      </c>
      <c r="F66" s="696">
        <f t="shared" ca="1" si="5"/>
        <v>8</v>
      </c>
      <c r="G66" s="696">
        <f t="shared" ca="1" si="6"/>
        <v>0</v>
      </c>
      <c r="H66" s="696">
        <f t="shared" ca="1" si="7"/>
        <v>0</v>
      </c>
      <c r="I66" s="696">
        <f t="shared" ca="1" si="8"/>
        <v>0</v>
      </c>
      <c r="J66" s="696">
        <f t="shared" ca="1" si="9"/>
        <v>169</v>
      </c>
      <c r="K66" s="696">
        <f ca="1">IF(OR($C66="S",$C66=0),0,MATCH(OFFSET($D66,0,$C66)+IF($C66&lt;&gt;1,1,COUNTIF(QCI!$A$13:$A$24,ORÇAMENTO!E66)),OFFSET($D66,1,$C66,ROW($C$235)-ROW($C66)),0))</f>
        <v>2</v>
      </c>
      <c r="L66" s="114" t="str">
        <f t="shared" ca="1" si="10"/>
        <v>F</v>
      </c>
      <c r="M66" s="115" t="s">
        <v>702</v>
      </c>
      <c r="N66" s="116" t="str">
        <f t="shared" ca="1" si="11"/>
        <v>Nível 2</v>
      </c>
      <c r="O66" s="117" t="str">
        <f t="shared" ca="1" si="12"/>
        <v>1.8.</v>
      </c>
      <c r="P66" s="118" t="s">
        <v>750</v>
      </c>
      <c r="Q66" s="119"/>
      <c r="R66" s="120" t="s">
        <v>1051</v>
      </c>
      <c r="S66" s="121" t="s">
        <v>688</v>
      </c>
      <c r="T66" s="122">
        <f ca="1">OFFSET(CÁLCULO!H$15,ROW($T66)-ROW(T$15),0)</f>
        <v>0</v>
      </c>
      <c r="U66" s="123"/>
      <c r="V66" s="124" t="s">
        <v>663</v>
      </c>
      <c r="W66" s="122">
        <f t="array" aca="1" ref="W66" ca="1">IF($C66="S",ROUND(IF(TIPOORCAMENTO="Proposto",ORÇAMENTO.CustoUnitario*(1+$AH66),ORÇAMENTO.PrecoUnitarioLicitado),15-13*$AF$10),0)</f>
        <v>0</v>
      </c>
      <c r="X66" s="125">
        <f t="array" aca="1" ref="X66" ca="1">IF($C66="S",IF(OR(Import.TipoArredondamento&lt;&gt;"TransfereGOV",ACOMPANHAMENTO="BM"),VTOTAL1,SUM(OFFSET(CÁLCULO!$AI$15,ROW($X66)-ROW($X$15),1):OFFSET(CÁLCULO!$BB$15,ROW($X66)-ROW($X$15),-1))),IF($C66=0,0,ROUND(SomaAgrup,15-13*$AF$11)))</f>
        <v>195836</v>
      </c>
      <c r="Y66" s="126" t="s">
        <v>751</v>
      </c>
      <c r="Z66" s="696" t="str">
        <f t="shared" ca="1" si="13"/>
        <v/>
      </c>
      <c r="AA66" s="127">
        <f t="array" aca="1" ref="AA66" ca="1">IF($C66="S",IF($Z66="CP",$X66,IF($Z66="RA",(($X66)*QCI!$AA$3),0)),SomaAgrup)</f>
        <v>0</v>
      </c>
      <c r="AB66" s="128">
        <f t="array" aca="1" ref="AB66" ca="1">IF($C66="S",IF($Z66="OU",ROUND($X66,2),0),SomaAgrup)</f>
        <v>0</v>
      </c>
      <c r="AC66" s="563" t="str">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s="696">
        <f ca="1">IF(C66&lt;=CRONO.NivelExibicao,MAX($AD$15:OFFSET(AD66,-1,0))+IF($C66&lt;&gt;1,1,MAX(1,COUNTIF(QCI!$A$13:$A$24,OFFSET($E66,-1,0)))),"")</f>
        <v>9</v>
      </c>
      <c r="AE66" s="694" t="b">
        <f t="array" aca="1" ref="AE66" ca="1">IF(AND($C66="S",ORÇAMENTO.CodBarra&lt;&gt;""),IF(ORÇAMENTO.Fonte="",ORÇAMENTO.CodBarra,CONCATENATE(ORÇAMENTO.Fonte," ",ORÇAMENTO.CodBarra)))</f>
        <v>0</v>
      </c>
      <c r="AF66" s="695" t="str">
        <f t="array" aca="1" ref="AF66" ca="1">IF(ISERROR(ORÇAMENTO.BancoRef),"(abra o arquivo 'Referência "&amp;Excel_BuiltIn_Database&amp;".xlsm)",IF(OR($C66&lt;&gt;"S",ORÇAMENTO.CodBarra=""),"(Sem Código)",IF(ISERROR(MATCH($AE66,INDIRECT(ORÇAMENTO.BancoRef),0)),"(Código não identificado nas referências)",MATCH($AE66,INDIRECT(ORÇAMENTO.BancoRef),0))))</f>
        <v>(Sem Código)</v>
      </c>
      <c r="AG66" s="428">
        <f t="array" aca="1" ref="AG66" ca="1">ROUND(IF(DESONERACAO="sim",REFERENCIA.Desonerado,REFERENCIA.NaoDesonerado),2)</f>
        <v>0</v>
      </c>
      <c r="AH66" s="429">
        <f t="shared" ca="1" si="14"/>
        <v>0.29389999999999999</v>
      </c>
      <c r="AJ66" s="431"/>
      <c r="AL66" s="439"/>
      <c r="AM66" s="336">
        <f t="shared" ca="1" si="0"/>
        <v>195836</v>
      </c>
      <c r="AN66" s="469">
        <f t="array" aca="1" ref="AN66" ca="1">ROUND(ORÇAMENTO.CustoUnitario*(1+$AH66),2)</f>
        <v>0</v>
      </c>
    </row>
    <row r="67" spans="1:40" s="696" customFormat="1" ht="38.25" x14ac:dyDescent="0.2">
      <c r="A67" s="696" t="str">
        <f t="shared" si="1"/>
        <v>S</v>
      </c>
      <c r="B67" s="696">
        <f t="shared" ca="1" si="2"/>
        <v>2</v>
      </c>
      <c r="C67" s="696" t="str">
        <f t="shared" ca="1" si="3"/>
        <v>S</v>
      </c>
      <c r="D67" s="696">
        <f t="shared" ca="1" si="4"/>
        <v>0</v>
      </c>
      <c r="E67" s="696">
        <f ca="1">IF($C67=1,OFFSET(E67,-1,0)+MAX(1,COUNTIF(QCI!$A$13:$A$24,OFFSET(ORÇAMENTO!E67,-1,0))),OFFSET(E67,-1,0))</f>
        <v>1</v>
      </c>
      <c r="F67" s="696">
        <f t="shared" ca="1" si="5"/>
        <v>8</v>
      </c>
      <c r="G67" s="696">
        <f t="shared" ca="1" si="6"/>
        <v>0</v>
      </c>
      <c r="H67" s="696">
        <f t="shared" ca="1" si="7"/>
        <v>0</v>
      </c>
      <c r="I67" s="696">
        <f t="shared" ca="1" si="8"/>
        <v>1</v>
      </c>
      <c r="J67" s="696">
        <f t="shared" ca="1" si="9"/>
        <v>0</v>
      </c>
      <c r="K67" s="696">
        <f ca="1">IF(OR($C67="S",$C67=0),0,MATCH(OFFSET($D67,0,$C67)+IF($C67&lt;&gt;1,1,COUNTIF(QCI!$A$13:$A$24,ORÇAMENTO!E67)),OFFSET($D67,1,$C67,ROW($C$235)-ROW($C67)),0))</f>
        <v>0</v>
      </c>
      <c r="L67" s="114" t="str">
        <f t="shared" ca="1" si="10"/>
        <v>F</v>
      </c>
      <c r="M67" s="115" t="s">
        <v>705</v>
      </c>
      <c r="N67" s="116" t="str">
        <f t="shared" ca="1" si="11"/>
        <v>Serviço</v>
      </c>
      <c r="O67" s="117" t="str">
        <f t="shared" ca="1" si="12"/>
        <v>1.8.1.</v>
      </c>
      <c r="P67" s="118" t="s">
        <v>750</v>
      </c>
      <c r="Q67" s="119" t="s">
        <v>1052</v>
      </c>
      <c r="R67" s="120" t="str">
        <f t="array" aca="1" ref="R67" ca="1">IF($C67="S",REFERENCIA.Descricao,"(digite a descrição aqui)")</f>
        <v>ALVENARIA DE VEDAÇÃO DE BLOCOS CERÂMICOS FURADOS NA HORIZONTAL DE 9X19X19 CM (ESPESSURA 9 CM) E ARGAMASSA DE ASSENTAMENTO COM PREPARO EM BETONEIRA. AF_12/2021</v>
      </c>
      <c r="S67" s="121" t="str">
        <f t="array" aca="1" ref="S67" ca="1">REFERENCIA.Unidade</f>
        <v>M2</v>
      </c>
      <c r="T67" s="122">
        <f ca="1">OFFSET(CÁLCULO!H$15,ROW($T67)-ROW(T$15),0)</f>
        <v>1730</v>
      </c>
      <c r="U67" s="123">
        <f>100.07*0.94</f>
        <v>94.065799999999982</v>
      </c>
      <c r="V67" s="124" t="s">
        <v>697</v>
      </c>
      <c r="W67" s="122">
        <f t="array" aca="1" ref="W67" ca="1">IF($C67="S",ROUND(IF(TIPOORCAMENTO="Proposto",ORÇAMENTO.CustoUnitario*(1+$AH67),ORÇAMENTO.PrecoUnitarioLicitado),15-13*$AF$10),0)</f>
        <v>113.2</v>
      </c>
      <c r="X67" s="125">
        <f t="array" aca="1" ref="X67" ca="1">IF($C67="S",IF(OR(Import.TipoArredondamento&lt;&gt;"TransfereGOV",ACOMPANHAMENTO="BM"),VTOTAL1,SUM(OFFSET(CÁLCULO!$AI$15,ROW($X67)-ROW($X$15),1):OFFSET(CÁLCULO!$BB$15,ROW($X67)-ROW($X$15),-1))),IF($C67=0,0,ROUND(SomaAgrup,15-13*$AF$11)))</f>
        <v>195836</v>
      </c>
      <c r="Y67" s="126" t="s">
        <v>751</v>
      </c>
      <c r="Z67" s="696" t="str">
        <f t="shared" ca="1" si="13"/>
        <v>RA</v>
      </c>
      <c r="AA67" s="127">
        <f t="array" aca="1" ref="AA67" ca="1">IF($C67="S",IF($Z67="CP",$X67,IF($Z67="RA",(($X67)*QCI!$AA$3),0)),SomaAgrup)</f>
        <v>0</v>
      </c>
      <c r="AB67" s="128">
        <f t="array" aca="1" ref="AB67" ca="1">IF($C67="S",IF($Z67="OU",ROUND($X67,2),0),SomaAgrup)</f>
        <v>0</v>
      </c>
      <c r="AC67" s="563" t="str">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s="696" t="str">
        <f ca="1">IF(C67&lt;=CRONO.NivelExibicao,MAX($AD$15:OFFSET(AD67,-1,0))+IF($C67&lt;&gt;1,1,MAX(1,COUNTIF(QCI!$A$13:$A$24,OFFSET($E67,-1,0)))),"")</f>
        <v/>
      </c>
      <c r="AE67" s="694" t="str">
        <f t="array" aca="1" ref="AE67" ca="1">IF(AND($C67="S",ORÇAMENTO.CodBarra&lt;&gt;""),IF(ORÇAMENTO.Fonte="",ORÇAMENTO.CodBarra,CONCATENATE(ORÇAMENTO.Fonte," ",ORÇAMENTO.CodBarra)))</f>
        <v>SINAPI 103328</v>
      </c>
      <c r="AF67" s="695">
        <f t="array" aca="1" ref="AF67" ca="1">IF(ISERROR(ORÇAMENTO.BancoRef),"(abra o arquivo 'Referência "&amp;Excel_BuiltIn_Database&amp;".xlsm)",IF(OR($C67&lt;&gt;"S",ORÇAMENTO.CodBarra=""),"(Sem Código)",IF(ISERROR(MATCH($AE67,INDIRECT(ORÇAMENTO.BancoRef),0)),"(Código não identificado nas referências)",MATCH($AE67,INDIRECT(ORÇAMENTO.BancoRef),0))))</f>
        <v>6060</v>
      </c>
      <c r="AG67" s="428">
        <f t="array" aca="1" ref="AG67" ca="1">ROUND(IF(DESONERACAO="sim",REFERENCIA.Desonerado,REFERENCIA.NaoDesonerado),2)</f>
        <v>100.07</v>
      </c>
      <c r="AH67" s="429">
        <f t="shared" ca="1" si="14"/>
        <v>0.2034</v>
      </c>
      <c r="AJ67" s="431"/>
      <c r="AL67" s="439"/>
      <c r="AM67" s="336">
        <f t="shared" ca="1" si="0"/>
        <v>195836</v>
      </c>
      <c r="AN67" s="469">
        <f t="array" aca="1" ref="AN67" ca="1">ROUND(ORÇAMENTO.CustoUnitario*(1+$AH67),2)</f>
        <v>113.2</v>
      </c>
    </row>
    <row r="68" spans="1:40" s="696" customFormat="1" x14ac:dyDescent="0.2">
      <c r="A68" s="696">
        <f t="shared" si="1"/>
        <v>2</v>
      </c>
      <c r="B68" s="696">
        <f t="shared" ca="1" si="2"/>
        <v>2</v>
      </c>
      <c r="C68" s="696">
        <f t="shared" ca="1" si="3"/>
        <v>2</v>
      </c>
      <c r="D68" s="696">
        <f t="shared" ca="1" si="4"/>
        <v>3</v>
      </c>
      <c r="E68" s="696">
        <f ca="1">IF($C68=1,OFFSET(E68,-1,0)+MAX(1,COUNTIF(QCI!$A$13:$A$24,OFFSET(ORÇAMENTO!E68,-1,0))),OFFSET(E68,-1,0))</f>
        <v>1</v>
      </c>
      <c r="F68" s="696">
        <f t="shared" ca="1" si="5"/>
        <v>9</v>
      </c>
      <c r="G68" s="696">
        <f t="shared" ca="1" si="6"/>
        <v>0</v>
      </c>
      <c r="H68" s="696">
        <f t="shared" ca="1" si="7"/>
        <v>0</v>
      </c>
      <c r="I68" s="696">
        <f t="shared" ca="1" si="8"/>
        <v>0</v>
      </c>
      <c r="J68" s="696">
        <f t="shared" ca="1" si="9"/>
        <v>167</v>
      </c>
      <c r="K68" s="696">
        <f ca="1">IF(OR($C68="S",$C68=0),0,MATCH(OFFSET($D68,0,$C68)+IF($C68&lt;&gt;1,1,COUNTIF(QCI!$A$13:$A$24,ORÇAMENTO!E68)),OFFSET($D68,1,$C68,ROW($C$235)-ROW($C68)),0))</f>
        <v>3</v>
      </c>
      <c r="L68" s="114" t="str">
        <f t="shared" ca="1" si="10"/>
        <v>F</v>
      </c>
      <c r="M68" s="115" t="s">
        <v>702</v>
      </c>
      <c r="N68" s="116" t="str">
        <f t="shared" ca="1" si="11"/>
        <v>Nível 2</v>
      </c>
      <c r="O68" s="117" t="str">
        <f t="shared" ca="1" si="12"/>
        <v>1.9.</v>
      </c>
      <c r="P68" s="118" t="s">
        <v>750</v>
      </c>
      <c r="Q68" s="119"/>
      <c r="R68" s="120" t="s">
        <v>1053</v>
      </c>
      <c r="S68" s="121" t="s">
        <v>688</v>
      </c>
      <c r="T68" s="122">
        <f ca="1">OFFSET(CÁLCULO!H$15,ROW($T68)-ROW(T$15),0)</f>
        <v>0</v>
      </c>
      <c r="U68" s="123"/>
      <c r="V68" s="124" t="s">
        <v>663</v>
      </c>
      <c r="W68" s="122">
        <f t="array" aca="1" ref="W68" ca="1">IF($C68="S",ROUND(IF(TIPOORCAMENTO="Proposto",ORÇAMENTO.CustoUnitario*(1+$AH68),ORÇAMENTO.PrecoUnitarioLicitado),15-13*$AF$10),0)</f>
        <v>0</v>
      </c>
      <c r="X68" s="125">
        <f t="array" aca="1" ref="X68" ca="1">IF($C68="S",IF(OR(Import.TipoArredondamento&lt;&gt;"TransfereGOV",ACOMPANHAMENTO="BM"),VTOTAL1,SUM(OFFSET(CÁLCULO!$AI$15,ROW($X68)-ROW($X$15),1):OFFSET(CÁLCULO!$BB$15,ROW($X68)-ROW($X$15),-1))),IF($C68=0,0,ROUND(SomaAgrup,15-13*$AF$11)))</f>
        <v>18367.759999999998</v>
      </c>
      <c r="Y68" s="126" t="s">
        <v>751</v>
      </c>
      <c r="Z68" s="696" t="str">
        <f t="shared" ca="1" si="13"/>
        <v/>
      </c>
      <c r="AA68" s="127">
        <f t="array" aca="1" ref="AA68" ca="1">IF($C68="S",IF($Z68="CP",$X68,IF($Z68="RA",(($X68)*QCI!$AA$3),0)),SomaAgrup)</f>
        <v>0</v>
      </c>
      <c r="AB68" s="128">
        <f t="array" aca="1" ref="AB68" ca="1">IF($C68="S",IF($Z68="OU",ROUND($X68,2),0),SomaAgrup)</f>
        <v>0</v>
      </c>
      <c r="AC68" s="563" t="str">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s="696">
        <f ca="1">IF(C68&lt;=CRONO.NivelExibicao,MAX($AD$15:OFFSET(AD68,-1,0))+IF($C68&lt;&gt;1,1,MAX(1,COUNTIF(QCI!$A$13:$A$24,OFFSET($E68,-1,0)))),"")</f>
        <v>10</v>
      </c>
      <c r="AE68" s="694" t="b">
        <f t="array" aca="1" ref="AE68" ca="1">IF(AND($C68="S",ORÇAMENTO.CodBarra&lt;&gt;""),IF(ORÇAMENTO.Fonte="",ORÇAMENTO.CodBarra,CONCATENATE(ORÇAMENTO.Fonte," ",ORÇAMENTO.CodBarra)))</f>
        <v>0</v>
      </c>
      <c r="AF68" s="695" t="str">
        <f t="array" aca="1" ref="AF68" ca="1">IF(ISERROR(ORÇAMENTO.BancoRef),"(abra o arquivo 'Referência "&amp;Excel_BuiltIn_Database&amp;".xlsm)",IF(OR($C68&lt;&gt;"S",ORÇAMENTO.CodBarra=""),"(Sem Código)",IF(ISERROR(MATCH($AE68,INDIRECT(ORÇAMENTO.BancoRef),0)),"(Código não identificado nas referências)",MATCH($AE68,INDIRECT(ORÇAMENTO.BancoRef),0))))</f>
        <v>(Sem Código)</v>
      </c>
      <c r="AG68" s="428">
        <f t="array" aca="1" ref="AG68" ca="1">ROUND(IF(DESONERACAO="sim",REFERENCIA.Desonerado,REFERENCIA.NaoDesonerado),2)</f>
        <v>0</v>
      </c>
      <c r="AH68" s="429">
        <f t="shared" ca="1" si="14"/>
        <v>0.29389999999999999</v>
      </c>
      <c r="AJ68" s="431"/>
      <c r="AL68" s="439"/>
      <c r="AM68" s="336">
        <f t="shared" ca="1" si="0"/>
        <v>18367.759999999998</v>
      </c>
      <c r="AN68" s="469">
        <f t="array" aca="1" ref="AN68" ca="1">ROUND(ORÇAMENTO.CustoUnitario*(1+$AH68),2)</f>
        <v>0</v>
      </c>
    </row>
    <row r="69" spans="1:40" s="696" customFormat="1" ht="25.5" x14ac:dyDescent="0.2">
      <c r="A69" s="696" t="str">
        <f t="shared" si="1"/>
        <v>S</v>
      </c>
      <c r="B69" s="696">
        <f t="shared" ca="1" si="2"/>
        <v>2</v>
      </c>
      <c r="C69" s="696" t="str">
        <f t="shared" ca="1" si="3"/>
        <v>S</v>
      </c>
      <c r="D69" s="696">
        <f t="shared" ca="1" si="4"/>
        <v>0</v>
      </c>
      <c r="E69" s="696">
        <f ca="1">IF($C69=1,OFFSET(E69,-1,0)+MAX(1,COUNTIF(QCI!$A$13:$A$24,OFFSET(ORÇAMENTO!E69,-1,0))),OFFSET(E69,-1,0))</f>
        <v>1</v>
      </c>
      <c r="F69" s="696">
        <f t="shared" ca="1" si="5"/>
        <v>9</v>
      </c>
      <c r="G69" s="696">
        <f t="shared" ca="1" si="6"/>
        <v>0</v>
      </c>
      <c r="H69" s="696">
        <f t="shared" ca="1" si="7"/>
        <v>0</v>
      </c>
      <c r="I69" s="696">
        <f t="shared" ca="1" si="8"/>
        <v>1</v>
      </c>
      <c r="J69" s="696">
        <f t="shared" ca="1" si="9"/>
        <v>0</v>
      </c>
      <c r="K69" s="696">
        <f ca="1">IF(OR($C69="S",$C69=0),0,MATCH(OFFSET($D69,0,$C69)+IF($C69&lt;&gt;1,1,COUNTIF(QCI!$A$13:$A$24,ORÇAMENTO!E69)),OFFSET($D69,1,$C69,ROW($C$235)-ROW($C69)),0))</f>
        <v>0</v>
      </c>
      <c r="L69" s="114" t="str">
        <f t="shared" ca="1" si="10"/>
        <v>F</v>
      </c>
      <c r="M69" s="115" t="s">
        <v>705</v>
      </c>
      <c r="N69" s="116" t="str">
        <f t="shared" ca="1" si="11"/>
        <v>Serviço</v>
      </c>
      <c r="O69" s="117" t="str">
        <f t="shared" ca="1" si="12"/>
        <v>1.9.1.</v>
      </c>
      <c r="P69" s="118" t="s">
        <v>750</v>
      </c>
      <c r="Q69" s="119" t="s">
        <v>1054</v>
      </c>
      <c r="R69" s="120" t="str">
        <f t="array" aca="1" ref="R69" ca="1">IF($C69="S",REFERENCIA.Descricao,"(digite a descrição aqui)")</f>
        <v>VERGA PRÉ-MOLDADA COM ATÉ 1,5 M DE VÃO, ESPESSURA DE *10* CM. AF_03/2024</v>
      </c>
      <c r="S69" s="121" t="str">
        <f t="array" aca="1" ref="S69" ca="1">REFERENCIA.Unidade</f>
        <v>M</v>
      </c>
      <c r="T69" s="122">
        <f ca="1">OFFSET(CÁLCULO!H$15,ROW($T69)-ROW(T$15),0)</f>
        <v>324</v>
      </c>
      <c r="U69" s="123">
        <f>23.98*0.94</f>
        <v>22.5412</v>
      </c>
      <c r="V69" s="124" t="s">
        <v>697</v>
      </c>
      <c r="W69" s="122">
        <f t="array" aca="1" ref="W69" ca="1">IF($C69="S",ROUND(IF(TIPOORCAMENTO="Proposto",ORÇAMENTO.CustoUnitario*(1+$AH69),ORÇAMENTO.PrecoUnitarioLicitado),15-13*$AF$10),0)</f>
        <v>27.12</v>
      </c>
      <c r="X69" s="125">
        <f t="array" aca="1" ref="X69" ca="1">IF($C69="S",IF(OR(Import.TipoArredondamento&lt;&gt;"TransfereGOV",ACOMPANHAMENTO="BM"),VTOTAL1,SUM(OFFSET(CÁLCULO!$AI$15,ROW($X69)-ROW($X$15),1):OFFSET(CÁLCULO!$BB$15,ROW($X69)-ROW($X$15),-1))),IF($C69=0,0,ROUND(SomaAgrup,15-13*$AF$11)))</f>
        <v>8786.8799999999992</v>
      </c>
      <c r="Y69" s="126" t="s">
        <v>751</v>
      </c>
      <c r="Z69" s="696" t="str">
        <f t="shared" ca="1" si="13"/>
        <v>RA</v>
      </c>
      <c r="AA69" s="127">
        <f t="array" aca="1" ref="AA69" ca="1">IF($C69="S",IF($Z69="CP",$X69,IF($Z69="RA",(($X69)*QCI!$AA$3),0)),SomaAgrup)</f>
        <v>0</v>
      </c>
      <c r="AB69" s="128">
        <f t="array" aca="1" ref="AB69" ca="1">IF($C69="S",IF($Z69="OU",ROUND($X69,2),0),SomaAgrup)</f>
        <v>0</v>
      </c>
      <c r="AC69" s="563" t="str">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s="696" t="str">
        <f ca="1">IF(C69&lt;=CRONO.NivelExibicao,MAX($AD$15:OFFSET(AD69,-1,0))+IF($C69&lt;&gt;1,1,MAX(1,COUNTIF(QCI!$A$13:$A$24,OFFSET($E69,-1,0)))),"")</f>
        <v/>
      </c>
      <c r="AE69" s="694" t="str">
        <f t="array" aca="1" ref="AE69" ca="1">IF(AND($C69="S",ORÇAMENTO.CodBarra&lt;&gt;""),IF(ORÇAMENTO.Fonte="",ORÇAMENTO.CodBarra,CONCATENATE(ORÇAMENTO.Fonte," ",ORÇAMENTO.CodBarra)))</f>
        <v>SINAPI 105022</v>
      </c>
      <c r="AF69" s="695">
        <f t="array" aca="1" ref="AF69" ca="1">IF(ISERROR(ORÇAMENTO.BancoRef),"(abra o arquivo 'Referência "&amp;Excel_BuiltIn_Database&amp;".xlsm)",IF(OR($C69&lt;&gt;"S",ORÇAMENTO.CodBarra=""),"(Sem Código)",IF(ISERROR(MATCH($AE69,INDIRECT(ORÇAMENTO.BancoRef),0)),"(Código não identificado nas referências)",MATCH($AE69,INDIRECT(ORÇAMENTO.BancoRef),0))))</f>
        <v>15570</v>
      </c>
      <c r="AG69" s="428">
        <f t="array" aca="1" ref="AG69" ca="1">ROUND(IF(DESONERACAO="sim",REFERENCIA.Desonerado,REFERENCIA.NaoDesonerado),2)</f>
        <v>23.98</v>
      </c>
      <c r="AH69" s="429">
        <f t="shared" ca="1" si="14"/>
        <v>0.2034</v>
      </c>
      <c r="AJ69" s="431"/>
      <c r="AL69" s="439"/>
      <c r="AM69" s="336">
        <f t="shared" ca="1" si="0"/>
        <v>8786.8799999999992</v>
      </c>
      <c r="AN69" s="469">
        <f t="array" aca="1" ref="AN69" ca="1">ROUND(ORÇAMENTO.CustoUnitario*(1+$AH69),2)</f>
        <v>27.12</v>
      </c>
    </row>
    <row r="70" spans="1:40" s="696" customFormat="1" ht="25.5" x14ac:dyDescent="0.2">
      <c r="A70" s="696" t="str">
        <f t="shared" si="1"/>
        <v>S</v>
      </c>
      <c r="B70" s="696">
        <f t="shared" ca="1" si="2"/>
        <v>2</v>
      </c>
      <c r="C70" s="696" t="str">
        <f t="shared" ca="1" si="3"/>
        <v>S</v>
      </c>
      <c r="D70" s="696">
        <f t="shared" ca="1" si="4"/>
        <v>0</v>
      </c>
      <c r="E70" s="696">
        <f ca="1">IF($C70=1,OFFSET(E70,-1,0)+MAX(1,COUNTIF(QCI!$A$13:$A$24,OFFSET(ORÇAMENTO!E70,-1,0))),OFFSET(E70,-1,0))</f>
        <v>1</v>
      </c>
      <c r="F70" s="696">
        <f t="shared" ca="1" si="5"/>
        <v>9</v>
      </c>
      <c r="G70" s="696">
        <f t="shared" ca="1" si="6"/>
        <v>0</v>
      </c>
      <c r="H70" s="696">
        <f t="shared" ca="1" si="7"/>
        <v>0</v>
      </c>
      <c r="I70" s="696">
        <f t="shared" ca="1" si="8"/>
        <v>2</v>
      </c>
      <c r="J70" s="696">
        <f t="shared" ca="1" si="9"/>
        <v>0</v>
      </c>
      <c r="K70" s="696">
        <f ca="1">IF(OR($C70="S",$C70=0),0,MATCH(OFFSET($D70,0,$C70)+IF($C70&lt;&gt;1,1,COUNTIF(QCI!$A$13:$A$24,ORÇAMENTO!E70)),OFFSET($D70,1,$C70,ROW($C$235)-ROW($C70)),0))</f>
        <v>0</v>
      </c>
      <c r="L70" s="114" t="str">
        <f t="shared" ca="1" si="10"/>
        <v>F</v>
      </c>
      <c r="M70" s="115" t="s">
        <v>705</v>
      </c>
      <c r="N70" s="116" t="str">
        <f t="shared" ca="1" si="11"/>
        <v>Serviço</v>
      </c>
      <c r="O70" s="117" t="str">
        <f t="shared" ca="1" si="12"/>
        <v>1.9.2.</v>
      </c>
      <c r="P70" s="118" t="s">
        <v>750</v>
      </c>
      <c r="Q70" s="119" t="s">
        <v>1055</v>
      </c>
      <c r="R70" s="120" t="str">
        <f t="array" aca="1" ref="R70" ca="1">IF($C70="S",REFERENCIA.Descricao,"(digite a descrição aqui)")</f>
        <v>CONTRAVERGA MOLDADA IN LOCO EM CONCRETO, ESPESSURA DE *10* CM. AF_03/2024</v>
      </c>
      <c r="S70" s="121" t="str">
        <f t="array" aca="1" ref="S70" ca="1">REFERENCIA.Unidade</f>
        <v>M</v>
      </c>
      <c r="T70" s="122">
        <f ca="1">OFFSET(CÁLCULO!H$15,ROW($T70)-ROW(T$15),0)</f>
        <v>184</v>
      </c>
      <c r="U70" s="123">
        <f>46.03*0.94</f>
        <v>43.2682</v>
      </c>
      <c r="V70" s="124" t="s">
        <v>697</v>
      </c>
      <c r="W70" s="122">
        <f t="array" aca="1" ref="W70" ca="1">IF($C70="S",ROUND(IF(TIPOORCAMENTO="Proposto",ORÇAMENTO.CustoUnitario*(1+$AH70),ORÇAMENTO.PrecoUnitarioLicitado),15-13*$AF$10),0)</f>
        <v>52.07</v>
      </c>
      <c r="X70" s="125">
        <f t="array" aca="1" ref="X70" ca="1">IF($C70="S",IF(OR(Import.TipoArredondamento&lt;&gt;"TransfereGOV",ACOMPANHAMENTO="BM"),VTOTAL1,SUM(OFFSET(CÁLCULO!$AI$15,ROW($X70)-ROW($X$15),1):OFFSET(CÁLCULO!$BB$15,ROW($X70)-ROW($X$15),-1))),IF($C70=0,0,ROUND(SomaAgrup,15-13*$AF$11)))</f>
        <v>9580.8799999999992</v>
      </c>
      <c r="Y70" s="126" t="s">
        <v>751</v>
      </c>
      <c r="Z70" s="696" t="str">
        <f t="shared" ca="1" si="13"/>
        <v>RA</v>
      </c>
      <c r="AA70" s="127">
        <f t="array" aca="1" ref="AA70" ca="1">IF($C70="S",IF($Z70="CP",$X70,IF($Z70="RA",(($X70)*QCI!$AA$3),0)),SomaAgrup)</f>
        <v>0</v>
      </c>
      <c r="AB70" s="128">
        <f t="array" aca="1" ref="AB70" ca="1">IF($C70="S",IF($Z70="OU",ROUND($X70,2),0),SomaAgrup)</f>
        <v>0</v>
      </c>
      <c r="AC70" s="563" t="str">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s="696" t="str">
        <f ca="1">IF(C70&lt;=CRONO.NivelExibicao,MAX($AD$15:OFFSET(AD70,-1,0))+IF($C70&lt;&gt;1,1,MAX(1,COUNTIF(QCI!$A$13:$A$24,OFFSET($E70,-1,0)))),"")</f>
        <v/>
      </c>
      <c r="AE70" s="694" t="str">
        <f t="array" aca="1" ref="AE70" ca="1">IF(AND($C70="S",ORÇAMENTO.CodBarra&lt;&gt;""),IF(ORÇAMENTO.Fonte="",ORÇAMENTO.CodBarra,CONCATENATE(ORÇAMENTO.Fonte," ",ORÇAMENTO.CodBarra)))</f>
        <v>SINAPI 105030</v>
      </c>
      <c r="AF70" s="695">
        <f t="array" aca="1" ref="AF70" ca="1">IF(ISERROR(ORÇAMENTO.BancoRef),"(abra o arquivo 'Referência "&amp;Excel_BuiltIn_Database&amp;".xlsm)",IF(OR($C70&lt;&gt;"S",ORÇAMENTO.CodBarra=""),"(Sem Código)",IF(ISERROR(MATCH($AE70,INDIRECT(ORÇAMENTO.BancoRef),0)),"(Código não identificado nas referências)",MATCH($AE70,INDIRECT(ORÇAMENTO.BancoRef),0))))</f>
        <v>15549</v>
      </c>
      <c r="AG70" s="428">
        <f t="array" aca="1" ref="AG70" ca="1">ROUND(IF(DESONERACAO="sim",REFERENCIA.Desonerado,REFERENCIA.NaoDesonerado),2)</f>
        <v>46.03</v>
      </c>
      <c r="AH70" s="429">
        <f t="shared" ca="1" si="14"/>
        <v>0.2034</v>
      </c>
      <c r="AJ70" s="431"/>
      <c r="AL70" s="439"/>
      <c r="AM70" s="336">
        <f t="shared" ca="1" si="0"/>
        <v>9580.8799999999992</v>
      </c>
      <c r="AN70" s="469">
        <f t="array" aca="1" ref="AN70" ca="1">ROUND(ORÇAMENTO.CustoUnitario*(1+$AH70),2)</f>
        <v>52.07</v>
      </c>
    </row>
    <row r="71" spans="1:40" s="696" customFormat="1" x14ac:dyDescent="0.2">
      <c r="A71" s="696">
        <f t="shared" si="1"/>
        <v>2</v>
      </c>
      <c r="B71" s="696">
        <f t="shared" ca="1" si="2"/>
        <v>2</v>
      </c>
      <c r="C71" s="696">
        <f t="shared" ca="1" si="3"/>
        <v>2</v>
      </c>
      <c r="D71" s="696">
        <f t="shared" ca="1" si="4"/>
        <v>5</v>
      </c>
      <c r="E71" s="696">
        <f ca="1">IF($C71=1,OFFSET(E71,-1,0)+MAX(1,COUNTIF(QCI!$A$13:$A$24,OFFSET(ORÇAMENTO!E71,-1,0))),OFFSET(E71,-1,0))</f>
        <v>1</v>
      </c>
      <c r="F71" s="696">
        <f t="shared" ca="1" si="5"/>
        <v>10</v>
      </c>
      <c r="G71" s="696">
        <f t="shared" ca="1" si="6"/>
        <v>0</v>
      </c>
      <c r="H71" s="696">
        <f t="shared" ca="1" si="7"/>
        <v>0</v>
      </c>
      <c r="I71" s="696">
        <f t="shared" ca="1" si="8"/>
        <v>0</v>
      </c>
      <c r="J71" s="696">
        <f t="shared" ca="1" si="9"/>
        <v>164</v>
      </c>
      <c r="K71" s="696">
        <f ca="1">IF(OR($C71="S",$C71=0),0,MATCH(OFFSET($D71,0,$C71)+IF($C71&lt;&gt;1,1,COUNTIF(QCI!$A$13:$A$24,ORÇAMENTO!E71)),OFFSET($D71,1,$C71,ROW($C$235)-ROW($C71)),0))</f>
        <v>5</v>
      </c>
      <c r="L71" s="114" t="str">
        <f t="shared" ca="1" si="10"/>
        <v>F</v>
      </c>
      <c r="M71" s="115" t="s">
        <v>702</v>
      </c>
      <c r="N71" s="116" t="str">
        <f t="shared" ca="1" si="11"/>
        <v>Nível 2</v>
      </c>
      <c r="O71" s="117" t="str">
        <f t="shared" ca="1" si="12"/>
        <v>1.10.</v>
      </c>
      <c r="P71" s="118" t="s">
        <v>750</v>
      </c>
      <c r="Q71" s="119"/>
      <c r="R71" s="120" t="s">
        <v>1056</v>
      </c>
      <c r="S71" s="121" t="s">
        <v>688</v>
      </c>
      <c r="T71" s="122">
        <f ca="1">OFFSET(CÁLCULO!H$15,ROW($T71)-ROW(T$15),0)</f>
        <v>0</v>
      </c>
      <c r="U71" s="123"/>
      <c r="V71" s="124" t="s">
        <v>663</v>
      </c>
      <c r="W71" s="122">
        <f t="array" aca="1" ref="W71" ca="1">IF($C71="S",ROUND(IF(TIPOORCAMENTO="Proposto",ORÇAMENTO.CustoUnitario*(1+$AH71),ORÇAMENTO.PrecoUnitarioLicitado),15-13*$AF$10),0)</f>
        <v>0</v>
      </c>
      <c r="X71" s="125">
        <f t="array" aca="1" ref="X71" ca="1">IF($C71="S",IF(OR(Import.TipoArredondamento&lt;&gt;"TransfereGOV",ACOMPANHAMENTO="BM"),VTOTAL1,SUM(OFFSET(CÁLCULO!$AI$15,ROW($X71)-ROW($X$15),1):OFFSET(CÁLCULO!$BB$15,ROW($X71)-ROW($X$15),-1))),IF($C71=0,0,ROUND(SomaAgrup,15-13*$AF$11)))</f>
        <v>117095.16</v>
      </c>
      <c r="Y71" s="126" t="s">
        <v>751</v>
      </c>
      <c r="Z71" s="696" t="str">
        <f t="shared" ca="1" si="13"/>
        <v/>
      </c>
      <c r="AA71" s="127">
        <f t="array" aca="1" ref="AA71" ca="1">IF($C71="S",IF($Z71="CP",$X71,IF($Z71="RA",(($X71)*QCI!$AA$3),0)),SomaAgrup)</f>
        <v>0</v>
      </c>
      <c r="AB71" s="128">
        <f t="array" aca="1" ref="AB71" ca="1">IF($C71="S",IF($Z71="OU",ROUND($X71,2),0),SomaAgrup)</f>
        <v>0</v>
      </c>
      <c r="AC71" s="563" t="str">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s="696">
        <f ca="1">IF(C71&lt;=CRONO.NivelExibicao,MAX($AD$15:OFFSET(AD71,-1,0))+IF($C71&lt;&gt;1,1,MAX(1,COUNTIF(QCI!$A$13:$A$24,OFFSET($E71,-1,0)))),"")</f>
        <v>11</v>
      </c>
      <c r="AE71" s="694" t="b">
        <f t="array" aca="1" ref="AE71" ca="1">IF(AND($C71="S",ORÇAMENTO.CodBarra&lt;&gt;""),IF(ORÇAMENTO.Fonte="",ORÇAMENTO.CodBarra,CONCATENATE(ORÇAMENTO.Fonte," ",ORÇAMENTO.CodBarra)))</f>
        <v>0</v>
      </c>
      <c r="AF71" s="695" t="str">
        <f t="array" aca="1" ref="AF71" ca="1">IF(ISERROR(ORÇAMENTO.BancoRef),"(abra o arquivo 'Referência "&amp;Excel_BuiltIn_Database&amp;".xlsm)",IF(OR($C71&lt;&gt;"S",ORÇAMENTO.CodBarra=""),"(Sem Código)",IF(ISERROR(MATCH($AE71,INDIRECT(ORÇAMENTO.BancoRef),0)),"(Código não identificado nas referências)",MATCH($AE71,INDIRECT(ORÇAMENTO.BancoRef),0))))</f>
        <v>(Sem Código)</v>
      </c>
      <c r="AG71" s="428">
        <f t="array" aca="1" ref="AG71" ca="1">ROUND(IF(DESONERACAO="sim",REFERENCIA.Desonerado,REFERENCIA.NaoDesonerado),2)</f>
        <v>0</v>
      </c>
      <c r="AH71" s="429">
        <f t="shared" ca="1" si="14"/>
        <v>0.29389999999999999</v>
      </c>
      <c r="AJ71" s="431"/>
      <c r="AL71" s="439"/>
      <c r="AM71" s="336">
        <f t="shared" ca="1" si="0"/>
        <v>117095.16</v>
      </c>
      <c r="AN71" s="469">
        <f t="array" aca="1" ref="AN71" ca="1">ROUND(ORÇAMENTO.CustoUnitario*(1+$AH71),2)</f>
        <v>0</v>
      </c>
    </row>
    <row r="72" spans="1:40" s="696" customFormat="1" ht="38.25" x14ac:dyDescent="0.2">
      <c r="A72" s="696" t="str">
        <f t="shared" si="1"/>
        <v>S</v>
      </c>
      <c r="B72" s="696">
        <f t="shared" ca="1" si="2"/>
        <v>2</v>
      </c>
      <c r="C72" s="696" t="str">
        <f t="shared" ca="1" si="3"/>
        <v>S</v>
      </c>
      <c r="D72" s="696">
        <f t="shared" ca="1" si="4"/>
        <v>0</v>
      </c>
      <c r="E72" s="696">
        <f ca="1">IF($C72=1,OFFSET(E72,-1,0)+MAX(1,COUNTIF(QCI!$A$13:$A$24,OFFSET(ORÇAMENTO!E72,-1,0))),OFFSET(E72,-1,0))</f>
        <v>1</v>
      </c>
      <c r="F72" s="696">
        <f t="shared" ca="1" si="5"/>
        <v>10</v>
      </c>
      <c r="G72" s="696">
        <f t="shared" ca="1" si="6"/>
        <v>0</v>
      </c>
      <c r="H72" s="696">
        <f t="shared" ca="1" si="7"/>
        <v>0</v>
      </c>
      <c r="I72" s="696">
        <f t="shared" ca="1" si="8"/>
        <v>1</v>
      </c>
      <c r="J72" s="696">
        <f t="shared" ca="1" si="9"/>
        <v>0</v>
      </c>
      <c r="K72" s="696">
        <f ca="1">IF(OR($C72="S",$C72=0),0,MATCH(OFFSET($D72,0,$C72)+IF($C72&lt;&gt;1,1,COUNTIF(QCI!$A$13:$A$24,ORÇAMENTO!E72)),OFFSET($D72,1,$C72,ROW($C$235)-ROW($C72)),0))</f>
        <v>0</v>
      </c>
      <c r="L72" s="114" t="str">
        <f t="shared" ca="1" si="10"/>
        <v>F</v>
      </c>
      <c r="M72" s="115" t="s">
        <v>705</v>
      </c>
      <c r="N72" s="116" t="str">
        <f t="shared" ca="1" si="11"/>
        <v>Serviço</v>
      </c>
      <c r="O72" s="117" t="str">
        <f t="shared" ca="1" si="12"/>
        <v>1.10.1.</v>
      </c>
      <c r="P72" s="118" t="s">
        <v>750</v>
      </c>
      <c r="Q72" s="119" t="s">
        <v>1057</v>
      </c>
      <c r="R72" s="120" t="str">
        <f t="array" aca="1" ref="R72" ca="1">IF($C72="S",REFERENCIA.Descricao,"(digite a descrição aqui)")</f>
        <v>PORTA DE ALUMÍNIO DE ABRIR COM LAMBRI, COM GUARNIÇÃO, FIXAÇÃO COM PARAFUSOS - FORNECIMENTO E INSTALAÇÃO. AF_12/2019</v>
      </c>
      <c r="S72" s="121" t="str">
        <f t="array" aca="1" ref="S72" ca="1">REFERENCIA.Unidade</f>
        <v>M2</v>
      </c>
      <c r="T72" s="122">
        <f ca="1">OFFSET(CÁLCULO!H$15,ROW($T72)-ROW(T$15),0)</f>
        <v>67.2</v>
      </c>
      <c r="U72" s="123">
        <f>860.18*0.94</f>
        <v>808.56919999999991</v>
      </c>
      <c r="V72" s="124" t="s">
        <v>697</v>
      </c>
      <c r="W72" s="122">
        <f t="array" aca="1" ref="W72" ca="1">IF($C72="S",ROUND(IF(TIPOORCAMENTO="Proposto",ORÇAMENTO.CustoUnitario*(1+$AH72),ORÇAMENTO.PrecoUnitarioLicitado),15-13*$AF$10),0)</f>
        <v>973.03</v>
      </c>
      <c r="X72" s="125">
        <f t="array" aca="1" ref="X72" ca="1">IF($C72="S",IF(OR(Import.TipoArredondamento&lt;&gt;"TransfereGOV",ACOMPANHAMENTO="BM"),VTOTAL1,SUM(OFFSET(CÁLCULO!$AI$15,ROW($X72)-ROW($X$15),1):OFFSET(CÁLCULO!$BB$15,ROW($X72)-ROW($X$15),-1))),IF($C72=0,0,ROUND(SomaAgrup,15-13*$AF$11)))</f>
        <v>65387.6</v>
      </c>
      <c r="Y72" s="126" t="s">
        <v>751</v>
      </c>
      <c r="Z72" s="696" t="str">
        <f t="shared" ca="1" si="13"/>
        <v>RA</v>
      </c>
      <c r="AA72" s="127">
        <f t="array" aca="1" ref="AA72" ca="1">IF($C72="S",IF($Z72="CP",$X72,IF($Z72="RA",(($X72)*QCI!$AA$3),0)),SomaAgrup)</f>
        <v>0</v>
      </c>
      <c r="AB72" s="128">
        <f t="array" aca="1" ref="AB72" ca="1">IF($C72="S",IF($Z72="OU",ROUND($X72,2),0),SomaAgrup)</f>
        <v>0</v>
      </c>
      <c r="AC72" s="563" t="str">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s="696" t="str">
        <f ca="1">IF(C72&lt;=CRONO.NivelExibicao,MAX($AD$15:OFFSET(AD72,-1,0))+IF($C72&lt;&gt;1,1,MAX(1,COUNTIF(QCI!$A$13:$A$24,OFFSET($E72,-1,0)))),"")</f>
        <v/>
      </c>
      <c r="AE72" s="694" t="str">
        <f t="array" aca="1" ref="AE72" ca="1">IF(AND($C72="S",ORÇAMENTO.CodBarra&lt;&gt;""),IF(ORÇAMENTO.Fonte="",ORÇAMENTO.CodBarra,CONCATENATE(ORÇAMENTO.Fonte," ",ORÇAMENTO.CodBarra)))</f>
        <v>SINAPI 91338</v>
      </c>
      <c r="AF72" s="695">
        <f t="array" aca="1" ref="AF72" ca="1">IF(ISERROR(ORÇAMENTO.BancoRef),"(abra o arquivo 'Referência "&amp;Excel_BuiltIn_Database&amp;".xlsm)",IF(OR($C72&lt;&gt;"S",ORÇAMENTO.CodBarra=""),"(Sem Código)",IF(ISERROR(MATCH($AE72,INDIRECT(ORÇAMENTO.BancoRef),0)),"(Código não identificado nas referências)",MATCH($AE72,INDIRECT(ORÇAMENTO.BancoRef),0))))</f>
        <v>9552</v>
      </c>
      <c r="AG72" s="428">
        <f t="array" aca="1" ref="AG72" ca="1">ROUND(IF(DESONERACAO="sim",REFERENCIA.Desonerado,REFERENCIA.NaoDesonerado),2)</f>
        <v>860.18</v>
      </c>
      <c r="AH72" s="429">
        <f t="shared" ca="1" si="14"/>
        <v>0.2034</v>
      </c>
      <c r="AJ72" s="431"/>
      <c r="AL72" s="439"/>
      <c r="AM72" s="336">
        <f t="shared" ca="1" si="0"/>
        <v>65387.6</v>
      </c>
      <c r="AN72" s="469">
        <f t="array" aca="1" ref="AN72" ca="1">ROUND(ORÇAMENTO.CustoUnitario*(1+$AH72),2)</f>
        <v>973.03</v>
      </c>
    </row>
    <row r="73" spans="1:40" s="696" customFormat="1" ht="76.5" x14ac:dyDescent="0.2">
      <c r="A73" s="696" t="str">
        <f t="shared" si="1"/>
        <v>S</v>
      </c>
      <c r="B73" s="696">
        <f t="shared" ca="1" si="2"/>
        <v>2</v>
      </c>
      <c r="C73" s="696" t="str">
        <f t="shared" ca="1" si="3"/>
        <v>S</v>
      </c>
      <c r="D73" s="696">
        <f t="shared" ca="1" si="4"/>
        <v>0</v>
      </c>
      <c r="E73" s="696">
        <f ca="1">IF($C73=1,OFFSET(E73,-1,0)+MAX(1,COUNTIF(QCI!$A$13:$A$24,OFFSET(ORÇAMENTO!E73,-1,0))),OFFSET(E73,-1,0))</f>
        <v>1</v>
      </c>
      <c r="F73" s="696">
        <f t="shared" ca="1" si="5"/>
        <v>10</v>
      </c>
      <c r="G73" s="696">
        <f t="shared" ca="1" si="6"/>
        <v>0</v>
      </c>
      <c r="H73" s="696">
        <f t="shared" ca="1" si="7"/>
        <v>0</v>
      </c>
      <c r="I73" s="696">
        <f t="shared" ca="1" si="8"/>
        <v>2</v>
      </c>
      <c r="J73" s="696">
        <f t="shared" ca="1" si="9"/>
        <v>0</v>
      </c>
      <c r="K73" s="696">
        <f ca="1">IF(OR($C73="S",$C73=0),0,MATCH(OFFSET($D73,0,$C73)+IF($C73&lt;&gt;1,1,COUNTIF(QCI!$A$13:$A$24,ORÇAMENTO!E73)),OFFSET($D73,1,$C73,ROW($C$235)-ROW($C73)),0))</f>
        <v>0</v>
      </c>
      <c r="L73" s="114" t="str">
        <f t="shared" ca="1" si="10"/>
        <v>F</v>
      </c>
      <c r="M73" s="115" t="s">
        <v>705</v>
      </c>
      <c r="N73" s="116" t="str">
        <f t="shared" ca="1" si="11"/>
        <v>Serviço</v>
      </c>
      <c r="O73" s="117" t="str">
        <f t="shared" ca="1" si="12"/>
        <v>1.10.2.</v>
      </c>
      <c r="P73" s="118" t="s">
        <v>750</v>
      </c>
      <c r="Q73" s="119" t="s">
        <v>1058</v>
      </c>
      <c r="R73" s="120" t="str">
        <f t="array" aca="1" ref="R73" ca="1">IF($C73="S",REFERENCIA.Descricao,"(digite a descrição aqui)")</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S73" s="121" t="str">
        <f t="array" aca="1" ref="S73" ca="1">REFERENCIA.Unidade</f>
        <v>M2</v>
      </c>
      <c r="T73" s="122">
        <f ca="1">OFFSET(CÁLCULO!H$15,ROW($T73)-ROW(T$15),0)</f>
        <v>52</v>
      </c>
      <c r="U73" s="123">
        <f>304.1*0.94</f>
        <v>285.85399999999998</v>
      </c>
      <c r="V73" s="124" t="s">
        <v>697</v>
      </c>
      <c r="W73" s="122">
        <f t="array" aca="1" ref="W73" ca="1">IF($C73="S",ROUND(IF(TIPOORCAMENTO="Proposto",ORÇAMENTO.CustoUnitario*(1+$AH73),ORÇAMENTO.PrecoUnitarioLicitado),15-13*$AF$10),0)</f>
        <v>343.99</v>
      </c>
      <c r="X73" s="125">
        <f t="array" aca="1" ref="X73" ca="1">IF($C73="S",IF(OR(Import.TipoArredondamento&lt;&gt;"TransfereGOV",ACOMPANHAMENTO="BM"),VTOTAL1,SUM(OFFSET(CÁLCULO!$AI$15,ROW($X73)-ROW($X$15),1):OFFSET(CÁLCULO!$BB$15,ROW($X73)-ROW($X$15),-1))),IF($C73=0,0,ROUND(SomaAgrup,15-13*$AF$11)))</f>
        <v>17887.48</v>
      </c>
      <c r="Y73" s="126" t="s">
        <v>751</v>
      </c>
      <c r="Z73" s="696" t="str">
        <f t="shared" ca="1" si="13"/>
        <v>RA</v>
      </c>
      <c r="AA73" s="127">
        <f t="array" aca="1" ref="AA73" ca="1">IF($C73="S",IF($Z73="CP",$X73,IF($Z73="RA",(($X73)*QCI!$AA$3),0)),SomaAgrup)</f>
        <v>0</v>
      </c>
      <c r="AB73" s="128">
        <f t="array" aca="1" ref="AB73" ca="1">IF($C73="S",IF($Z73="OU",ROUND($X73,2),0),SomaAgrup)</f>
        <v>0</v>
      </c>
      <c r="AC73" s="563" t="str">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s="696" t="str">
        <f ca="1">IF(C73&lt;=CRONO.NivelExibicao,MAX($AD$15:OFFSET(AD73,-1,0))+IF($C73&lt;&gt;1,1,MAX(1,COUNTIF(QCI!$A$13:$A$24,OFFSET($E73,-1,0)))),"")</f>
        <v/>
      </c>
      <c r="AE73" s="694" t="str">
        <f t="array" aca="1" ref="AE73" ca="1">IF(AND($C73="S",ORÇAMENTO.CodBarra&lt;&gt;""),IF(ORÇAMENTO.Fonte="",ORÇAMENTO.CodBarra,CONCATENATE(ORÇAMENTO.Fonte," ",ORÇAMENTO.CodBarra)))</f>
        <v>SINAPI 94570</v>
      </c>
      <c r="AF73" s="695">
        <f t="array" aca="1" ref="AF73" ca="1">IF(ISERROR(ORÇAMENTO.BancoRef),"(abra o arquivo 'Referência "&amp;Excel_BuiltIn_Database&amp;".xlsm)",IF(OR($C73&lt;&gt;"S",ORÇAMENTO.CodBarra=""),"(Sem Código)",IF(ISERROR(MATCH($AE73,INDIRECT(ORÇAMENTO.BancoRef),0)),"(Código não identificado nas referências)",MATCH($AE73,INDIRECT(ORÇAMENTO.BancoRef),0))))</f>
        <v>9436</v>
      </c>
      <c r="AG73" s="428">
        <f t="array" aca="1" ref="AG73" ca="1">ROUND(IF(DESONERACAO="sim",REFERENCIA.Desonerado,REFERENCIA.NaoDesonerado),2)</f>
        <v>304.10000000000002</v>
      </c>
      <c r="AH73" s="429">
        <f t="shared" ca="1" si="14"/>
        <v>0.2034</v>
      </c>
      <c r="AJ73" s="431"/>
      <c r="AL73" s="439"/>
      <c r="AM73" s="336">
        <f t="shared" ca="1" si="0"/>
        <v>17887.48</v>
      </c>
      <c r="AN73" s="469">
        <f t="array" aca="1" ref="AN73" ca="1">ROUND(ORÇAMENTO.CustoUnitario*(1+$AH73),2)</f>
        <v>343.99</v>
      </c>
    </row>
    <row r="74" spans="1:40" s="696" customFormat="1" ht="76.5" x14ac:dyDescent="0.2">
      <c r="A74" s="696" t="str">
        <f t="shared" si="1"/>
        <v>S</v>
      </c>
      <c r="B74" s="696">
        <f t="shared" ca="1" si="2"/>
        <v>2</v>
      </c>
      <c r="C74" s="696" t="str">
        <f t="shared" ca="1" si="3"/>
        <v>S</v>
      </c>
      <c r="D74" s="696">
        <f t="shared" ca="1" si="4"/>
        <v>0</v>
      </c>
      <c r="E74" s="696">
        <f ca="1">IF($C74=1,OFFSET(E74,-1,0)+MAX(1,COUNTIF(QCI!$A$13:$A$24,OFFSET(ORÇAMENTO!E74,-1,0))),OFFSET(E74,-1,0))</f>
        <v>1</v>
      </c>
      <c r="F74" s="696">
        <f t="shared" ca="1" si="5"/>
        <v>10</v>
      </c>
      <c r="G74" s="696">
        <f t="shared" ca="1" si="6"/>
        <v>0</v>
      </c>
      <c r="H74" s="696">
        <f t="shared" ca="1" si="7"/>
        <v>0</v>
      </c>
      <c r="I74" s="696">
        <f t="shared" ca="1" si="8"/>
        <v>3</v>
      </c>
      <c r="J74" s="696">
        <f t="shared" ca="1" si="9"/>
        <v>0</v>
      </c>
      <c r="K74" s="696">
        <f ca="1">IF(OR($C74="S",$C74=0),0,MATCH(OFFSET($D74,0,$C74)+IF($C74&lt;&gt;1,1,COUNTIF(QCI!$A$13:$A$24,ORÇAMENTO!E74)),OFFSET($D74,1,$C74,ROW($C$235)-ROW($C74)),0))</f>
        <v>0</v>
      </c>
      <c r="L74" s="114" t="str">
        <f t="shared" ca="1" si="10"/>
        <v>F</v>
      </c>
      <c r="M74" s="115" t="s">
        <v>705</v>
      </c>
      <c r="N74" s="116" t="str">
        <f t="shared" ca="1" si="11"/>
        <v>Serviço</v>
      </c>
      <c r="O74" s="117" t="str">
        <f t="shared" ca="1" si="12"/>
        <v>1.10.3.</v>
      </c>
      <c r="P74" s="118" t="s">
        <v>750</v>
      </c>
      <c r="Q74" s="119" t="s">
        <v>1059</v>
      </c>
      <c r="R74" s="120" t="str">
        <f t="array" aca="1" ref="R74" ca="1">IF($C74="S",REFERENCIA.Descricao,"(digite a descrição aqui)")</f>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S74" s="121" t="str">
        <f t="array" aca="1" ref="S74" ca="1">REFERENCIA.Unidade</f>
        <v>M2</v>
      </c>
      <c r="T74" s="122">
        <f ca="1">OFFSET(CÁLCULO!H$15,ROW($T74)-ROW(T$15),0)</f>
        <v>56</v>
      </c>
      <c r="U74" s="123">
        <f>434.65*0.94</f>
        <v>408.57099999999997</v>
      </c>
      <c r="V74" s="124" t="s">
        <v>697</v>
      </c>
      <c r="W74" s="122">
        <f t="array" aca="1" ref="W74" ca="1">IF($C74="S",ROUND(IF(TIPOORCAMENTO="Proposto",ORÇAMENTO.CustoUnitario*(1+$AH74),ORÇAMENTO.PrecoUnitarioLicitado),15-13*$AF$10),0)</f>
        <v>491.67</v>
      </c>
      <c r="X74" s="125">
        <f t="array" aca="1" ref="X74" ca="1">IF($C74="S",IF(OR(Import.TipoArredondamento&lt;&gt;"TransfereGOV",ACOMPANHAMENTO="BM"),VTOTAL1,SUM(OFFSET(CÁLCULO!$AI$15,ROW($X74)-ROW($X$15),1):OFFSET(CÁLCULO!$BB$15,ROW($X74)-ROW($X$15),-1))),IF($C74=0,0,ROUND(SomaAgrup,15-13*$AF$11)))</f>
        <v>27533.52</v>
      </c>
      <c r="Y74" s="126" t="s">
        <v>751</v>
      </c>
      <c r="Z74" s="696" t="str">
        <f t="shared" ca="1" si="13"/>
        <v>RA</v>
      </c>
      <c r="AA74" s="127">
        <f t="array" aca="1" ref="AA74" ca="1">IF($C74="S",IF($Z74="CP",$X74,IF($Z74="RA",(($X74)*QCI!$AA$3),0)),SomaAgrup)</f>
        <v>0</v>
      </c>
      <c r="AB74" s="128">
        <f t="array" aca="1" ref="AB74" ca="1">IF($C74="S",IF($Z74="OU",ROUND($X74,2),0),SomaAgrup)</f>
        <v>0</v>
      </c>
      <c r="AC74" s="563" t="str">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s="696" t="str">
        <f ca="1">IF(C74&lt;=CRONO.NivelExibicao,MAX($AD$15:OFFSET(AD74,-1,0))+IF($C74&lt;&gt;1,1,MAX(1,COUNTIF(QCI!$A$13:$A$24,OFFSET($E74,-1,0)))),"")</f>
        <v/>
      </c>
      <c r="AE74" s="694" t="str">
        <f t="array" aca="1" ref="AE74" ca="1">IF(AND($C74="S",ORÇAMENTO.CodBarra&lt;&gt;""),IF(ORÇAMENTO.Fonte="",ORÇAMENTO.CodBarra,CONCATENATE(ORÇAMENTO.Fonte," ",ORÇAMENTO.CodBarra)))</f>
        <v>SINAPI 94572</v>
      </c>
      <c r="AF74" s="695">
        <f t="array" aca="1" ref="AF74" ca="1">IF(ISERROR(ORÇAMENTO.BancoRef),"(abra o arquivo 'Referência "&amp;Excel_BuiltIn_Database&amp;".xlsm)",IF(OR($C74&lt;&gt;"S",ORÇAMENTO.CodBarra=""),"(Sem Código)",IF(ISERROR(MATCH($AE74,INDIRECT(ORÇAMENTO.BancoRef),0)),"(Código não identificado nas referências)",MATCH($AE74,INDIRECT(ORÇAMENTO.BancoRef),0))))</f>
        <v>9438</v>
      </c>
      <c r="AG74" s="428">
        <f t="array" aca="1" ref="AG74" ca="1">ROUND(IF(DESONERACAO="sim",REFERENCIA.Desonerado,REFERENCIA.NaoDesonerado),2)</f>
        <v>434.65</v>
      </c>
      <c r="AH74" s="429">
        <f t="shared" ca="1" si="14"/>
        <v>0.2034</v>
      </c>
      <c r="AJ74" s="431"/>
      <c r="AL74" s="439"/>
      <c r="AM74" s="336">
        <f t="shared" ca="1" si="0"/>
        <v>27533.52</v>
      </c>
      <c r="AN74" s="469">
        <f t="array" aca="1" ref="AN74" ca="1">ROUND(ORÇAMENTO.CustoUnitario*(1+$AH74),2)</f>
        <v>491.67</v>
      </c>
    </row>
    <row r="75" spans="1:40" s="696" customFormat="1" ht="63.75" x14ac:dyDescent="0.2">
      <c r="A75" s="696" t="str">
        <f t="shared" ref="A75:A131" si="15">CHOOSE(1+LOG(1+2*(ORÇAMENTO.Nivel="Meta")+4*(ORÇAMENTO.Nivel="Nível 2")+8*(ORÇAMENTO.Nivel="Nível 3")+16*(ORÇAMENTO.Nivel="Nível 4")+32*(ORÇAMENTO.Nivel="Serviço"),2),0,1,2,3,4,"S")</f>
        <v>S</v>
      </c>
      <c r="B75" s="696">
        <f t="shared" ref="B75:B131" ca="1" si="16">IF(OR(C75="s",C75=0),OFFSET(B75,-1,0),C75)</f>
        <v>2</v>
      </c>
      <c r="C75" s="696" t="str">
        <f t="shared" ref="C75:C131" ca="1" si="17">IF(OFFSET(C75,-1,0)="L",1,IF(OFFSET(C75,-1,0)=1,2,IF(OR(A75="s",A75=0),"S",IF(AND(OFFSET(C75,-1,0)=2,A75=4),3,IF(AND(OR(OFFSET(C75,-1,0)="s",OFFSET(C75,-1,0)=0),A75&lt;&gt;"s",A75&gt;OFFSET(B75,-1,0)),OFFSET(B75,-1,0),A75)))))</f>
        <v>S</v>
      </c>
      <c r="D75" s="696">
        <f t="shared" ref="D75:D131" ca="1" si="18">IF(OR(C75="S",C75=0),0,IF(ISERROR(K75),J75,SMALL(J75:K75,1)))</f>
        <v>0</v>
      </c>
      <c r="E75" s="696">
        <f ca="1">IF($C75=1,OFFSET(E75,-1,0)+MAX(1,COUNTIF(QCI!$A$13:$A$24,OFFSET(ORÇAMENTO!E75,-1,0))),OFFSET(E75,-1,0))</f>
        <v>1</v>
      </c>
      <c r="F75" s="696">
        <f t="shared" ref="F75:F131" ca="1" si="19">IF($C75=1,0,IF($C75=2,OFFSET(F75,-1,0)+1,OFFSET(F75,-1,0)))</f>
        <v>10</v>
      </c>
      <c r="G75" s="696">
        <f t="shared" ref="G75:G131" ca="1" si="20">IF(AND($C75&lt;=2,$C75&lt;&gt;0),0,IF($C75=3,OFFSET(G75,-1,0)+1,OFFSET(G75,-1,0)))</f>
        <v>0</v>
      </c>
      <c r="H75" s="696">
        <f t="shared" ref="H75:H131" ca="1" si="21">IF(AND($C75&lt;=3,$C75&lt;&gt;0),0,IF($C75=4,OFFSET(H75,-1,0)+1,OFFSET(H75,-1,0)))</f>
        <v>0</v>
      </c>
      <c r="I75" s="696">
        <f t="shared" ref="I75:I131" ca="1" si="22">IF(AND($C75&lt;=4,$C75&lt;&gt;0),0,IF(AND($C75="S",$X75&gt;0),OFFSET(I75,-1,0)+1,OFFSET(I75,-1,0)))</f>
        <v>4</v>
      </c>
      <c r="J75" s="696">
        <f t="shared" ca="1" si="9"/>
        <v>0</v>
      </c>
      <c r="K75" s="696">
        <f ca="1">IF(OR($C75="S",$C75=0),0,MATCH(OFFSET($D75,0,$C75)+IF($C75&lt;&gt;1,1,COUNTIF(QCI!$A$13:$A$24,ORÇAMENTO!E75)),OFFSET($D75,1,$C75,ROW($C$235)-ROW($C75)),0))</f>
        <v>0</v>
      </c>
      <c r="L75" s="114" t="str">
        <f t="shared" ref="L75:L131" ca="1" si="23">IF(OR($X75&gt;0,$C75=1,$C75=2,$C75=3,$C75=4),"F","")</f>
        <v>F</v>
      </c>
      <c r="M75" s="115" t="s">
        <v>705</v>
      </c>
      <c r="N75" s="116" t="str">
        <f t="shared" ref="N75:N131" ca="1" si="24">CHOOSE(1+LOG(1+2*(C75=1)+4*(C75=2)+8*(C75=3)+16*(C75=4)+32*(C75="S"),2),"","Meta","Nível 2","Nível 3","Nível 4","Serviço")</f>
        <v>Serviço</v>
      </c>
      <c r="O75" s="117" t="str">
        <f t="shared" ref="O75:O131" ca="1" si="25">IF(OR($C75=0,$L75=""),"-",CONCATENATE(E75&amp;".",IF(AND($A$5&gt;=2,$C75&gt;=2),F75&amp;".",""),IF(AND($A$5&gt;=3,$C75&gt;=3),G75&amp;".",""),IF(AND($A$5&gt;=4,$C75&gt;=4),H75&amp;".",""),IF($C75="S",I75&amp;".","")))</f>
        <v>1.10.4.</v>
      </c>
      <c r="P75" s="118" t="s">
        <v>750</v>
      </c>
      <c r="Q75" s="119" t="s">
        <v>1060</v>
      </c>
      <c r="R75" s="120" t="str">
        <f t="array" aca="1" ref="R75" ca="1">IF($C75="S",REFERENCIA.Descricao,"(digite a descrição aqui)")</f>
        <v>JANELA DE ALUMÍNIO TIPO MAXIM-AR, BATENTE/ REQUADRO 3 A 14 CM, VIDRO INCLUSO, FIXAÇÃO COM PARAFUSO, SEM GUARNIÇÃO/ ALIZAR, DIMENSÕES 60X80 (A X L) CM, SEM ACABAMENTO, VEDAÇÃO COM SILICONE, EXCLUSIVE CONTRAMARCO - FORNECIMENTO E INSTALAÇÃO. AF_11/2024</v>
      </c>
      <c r="S75" s="121" t="str">
        <f t="array" aca="1" ref="S75" ca="1">REFERENCIA.Unidade</f>
        <v>M2</v>
      </c>
      <c r="T75" s="122">
        <f ca="1">OFFSET(CÁLCULO!H$15,ROW($T75)-ROW(T$15),0)</f>
        <v>9.6</v>
      </c>
      <c r="U75" s="123">
        <f>578.9*0.94</f>
        <v>544.16599999999994</v>
      </c>
      <c r="V75" s="124" t="s">
        <v>697</v>
      </c>
      <c r="W75" s="122">
        <f t="array" aca="1" ref="W75" ca="1">IF($C75="S",ROUND(IF(TIPOORCAMENTO="Proposto",ORÇAMENTO.CustoUnitario*(1+$AH75),ORÇAMENTO.PrecoUnitarioLicitado),15-13*$AF$10),0)</f>
        <v>654.85</v>
      </c>
      <c r="X75" s="125">
        <f t="array" aca="1" ref="X75" ca="1">IF($C75="S",IF(OR(Import.TipoArredondamento&lt;&gt;"TransfereGOV",ACOMPANHAMENTO="BM"),VTOTAL1,SUM(OFFSET(CÁLCULO!$AI$15,ROW($X75)-ROW($X$15),1):OFFSET(CÁLCULO!$BB$15,ROW($X75)-ROW($X$15),-1))),IF($C75=0,0,ROUND(SomaAgrup,15-13*$AF$11)))</f>
        <v>6286.56</v>
      </c>
      <c r="Y75" s="126" t="s">
        <v>751</v>
      </c>
      <c r="Z75" s="696" t="str">
        <f t="shared" ref="Z75:Z131" ca="1" si="26">IF(AND($C75="S",$X75&gt;0),IF(ISBLANK($Y75),"RA",LEFT($Y75,2)),"")</f>
        <v>RA</v>
      </c>
      <c r="AA75" s="127">
        <f t="array" aca="1" ref="AA75" ca="1">IF($C75="S",IF($Z75="CP",$X75,IF($Z75="RA",(($X75)*QCI!$AA$3),0)),SomaAgrup)</f>
        <v>0</v>
      </c>
      <c r="AB75" s="128">
        <f t="array" aca="1" ref="AB75" ca="1">IF($C75="S",IF($Z75="OU",ROUND($X75,2),0),SomaAgrup)</f>
        <v>0</v>
      </c>
      <c r="AC75" s="563" t="str">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s="696" t="str">
        <f ca="1">IF(C75&lt;=CRONO.NivelExibicao,MAX($AD$15:OFFSET(AD75,-1,0))+IF($C75&lt;&gt;1,1,MAX(1,COUNTIF(QCI!$A$13:$A$24,OFFSET($E75,-1,0)))),"")</f>
        <v/>
      </c>
      <c r="AE75" s="694" t="str">
        <f t="array" aca="1" ref="AE75" ca="1">IF(AND($C75="S",ORÇAMENTO.CodBarra&lt;&gt;""),IF(ORÇAMENTO.Fonte="",ORÇAMENTO.CodBarra,CONCATENATE(ORÇAMENTO.Fonte," ",ORÇAMENTO.CodBarra)))</f>
        <v>SINAPI 94569</v>
      </c>
      <c r="AF75" s="695">
        <f t="array" aca="1" ref="AF75" ca="1">IF(ISERROR(ORÇAMENTO.BancoRef),"(abra o arquivo 'Referência "&amp;Excel_BuiltIn_Database&amp;".xlsm)",IF(OR($C75&lt;&gt;"S",ORÇAMENTO.CodBarra=""),"(Sem Código)",IF(ISERROR(MATCH($AE75,INDIRECT(ORÇAMENTO.BancoRef),0)),"(Código não identificado nas referências)",MATCH($AE75,INDIRECT(ORÇAMENTO.BancoRef),0))))</f>
        <v>9441</v>
      </c>
      <c r="AG75" s="428">
        <f t="array" aca="1" ref="AG75" ca="1">ROUND(IF(DESONERACAO="sim",REFERENCIA.Desonerado,REFERENCIA.NaoDesonerado),2)</f>
        <v>578.9</v>
      </c>
      <c r="AH75" s="429">
        <f t="shared" ref="AH75:AH131" ca="1" si="27">ROUND(IF(ISNUMBER(ORÇAMENTO.OpcaoBDI),ORÇAMENTO.OpcaoBDI,IF(LEFT(ORÇAMENTO.OpcaoBDI,3)="BDI",HLOOKUP(ORÇAMENTO.OpcaoBDI,$F$4:$H$5,2,FALSE),0)),15-11*$AF$9)</f>
        <v>0.2034</v>
      </c>
      <c r="AJ75" s="431"/>
      <c r="AL75" s="439"/>
      <c r="AM75" s="336">
        <f t="shared" ca="1" si="0"/>
        <v>6286.56</v>
      </c>
      <c r="AN75" s="469">
        <f t="array" aca="1" ref="AN75" ca="1">ROUND(ORÇAMENTO.CustoUnitario*(1+$AH75),2)</f>
        <v>654.85</v>
      </c>
    </row>
    <row r="76" spans="1:40" s="696" customFormat="1" x14ac:dyDescent="0.2">
      <c r="A76" s="696">
        <f t="shared" si="15"/>
        <v>2</v>
      </c>
      <c r="B76" s="696">
        <f t="shared" ca="1" si="16"/>
        <v>2</v>
      </c>
      <c r="C76" s="696">
        <f t="shared" ca="1" si="17"/>
        <v>2</v>
      </c>
      <c r="D76" s="696">
        <f t="shared" ca="1" si="18"/>
        <v>2</v>
      </c>
      <c r="E76" s="696">
        <f ca="1">IF($C76=1,OFFSET(E76,-1,0)+MAX(1,COUNTIF(QCI!$A$13:$A$24,OFFSET(ORÇAMENTO!E76,-1,0))),OFFSET(E76,-1,0))</f>
        <v>1</v>
      </c>
      <c r="F76" s="696">
        <f t="shared" ca="1" si="19"/>
        <v>11</v>
      </c>
      <c r="G76" s="696">
        <f t="shared" ca="1" si="20"/>
        <v>0</v>
      </c>
      <c r="H76" s="696">
        <f t="shared" ca="1" si="21"/>
        <v>0</v>
      </c>
      <c r="I76" s="696">
        <f t="shared" ca="1" si="22"/>
        <v>0</v>
      </c>
      <c r="J76" s="696">
        <f t="shared" ca="1" si="9"/>
        <v>159</v>
      </c>
      <c r="K76" s="696">
        <f ca="1">IF(OR($C76="S",$C76=0),0,MATCH(OFFSET($D76,0,$C76)+IF($C76&lt;&gt;1,1,COUNTIF(QCI!$A$13:$A$24,ORÇAMENTO!E76)),OFFSET($D76,1,$C76,ROW($C$235)-ROW($C76)),0))</f>
        <v>2</v>
      </c>
      <c r="L76" s="114" t="str">
        <f t="shared" ca="1" si="23"/>
        <v>F</v>
      </c>
      <c r="M76" s="115" t="s">
        <v>702</v>
      </c>
      <c r="N76" s="116" t="str">
        <f t="shared" ca="1" si="24"/>
        <v>Nível 2</v>
      </c>
      <c r="O76" s="117" t="str">
        <f t="shared" ca="1" si="25"/>
        <v>1.11.</v>
      </c>
      <c r="P76" s="118" t="s">
        <v>750</v>
      </c>
      <c r="Q76" s="119"/>
      <c r="R76" s="120" t="s">
        <v>1061</v>
      </c>
      <c r="S76" s="121" t="s">
        <v>688</v>
      </c>
      <c r="T76" s="122">
        <f ca="1">OFFSET(CÁLCULO!H$15,ROW($T76)-ROW(T$15),0)</f>
        <v>0</v>
      </c>
      <c r="U76" s="123"/>
      <c r="V76" s="124" t="s">
        <v>663</v>
      </c>
      <c r="W76" s="122">
        <f t="array" aca="1" ref="W76" ca="1">IF($C76="S",ROUND(IF(TIPOORCAMENTO="Proposto",ORÇAMENTO.CustoUnitario*(1+$AH76),ORÇAMENTO.PrecoUnitarioLicitado),15-13*$AF$10),0)</f>
        <v>0</v>
      </c>
      <c r="X76" s="125">
        <f t="array" aca="1" ref="X76" ca="1">IF($C76="S",IF(OR(Import.TipoArredondamento&lt;&gt;"TransfereGOV",ACOMPANHAMENTO="BM"),VTOTAL1,SUM(OFFSET(CÁLCULO!$AI$15,ROW($X76)-ROW($X$15),1):OFFSET(CÁLCULO!$BB$15,ROW($X76)-ROW($X$15),-1))),IF($C76=0,0,ROUND(SomaAgrup,15-13*$AF$11)))</f>
        <v>63173.4</v>
      </c>
      <c r="Y76" s="126" t="s">
        <v>751</v>
      </c>
      <c r="Z76" s="696" t="str">
        <f t="shared" ca="1" si="26"/>
        <v/>
      </c>
      <c r="AA76" s="127">
        <f t="array" aca="1" ref="AA76" ca="1">IF($C76="S",IF($Z76="CP",$X76,IF($Z76="RA",(($X76)*QCI!$AA$3),0)),SomaAgrup)</f>
        <v>0</v>
      </c>
      <c r="AB76" s="128">
        <f t="array" aca="1" ref="AB76" ca="1">IF($C76="S",IF($Z76="OU",ROUND($X76,2),0),SomaAgrup)</f>
        <v>0</v>
      </c>
      <c r="AC76" s="563" t="str">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s="696">
        <f ca="1">IF(C76&lt;=CRONO.NivelExibicao,MAX($AD$15:OFFSET(AD76,-1,0))+IF($C76&lt;&gt;1,1,MAX(1,COUNTIF(QCI!$A$13:$A$24,OFFSET($E76,-1,0)))),"")</f>
        <v>12</v>
      </c>
      <c r="AE76" s="694" t="b">
        <f t="array" aca="1" ref="AE76" ca="1">IF(AND($C76="S",ORÇAMENTO.CodBarra&lt;&gt;""),IF(ORÇAMENTO.Fonte="",ORÇAMENTO.CodBarra,CONCATENATE(ORÇAMENTO.Fonte," ",ORÇAMENTO.CodBarra)))</f>
        <v>0</v>
      </c>
      <c r="AF76" s="695" t="str">
        <f t="array" aca="1" ref="AF76" ca="1">IF(ISERROR(ORÇAMENTO.BancoRef),"(abra o arquivo 'Referência "&amp;Excel_BuiltIn_Database&amp;".xlsm)",IF(OR($C76&lt;&gt;"S",ORÇAMENTO.CodBarra=""),"(Sem Código)",IF(ISERROR(MATCH($AE76,INDIRECT(ORÇAMENTO.BancoRef),0)),"(Código não identificado nas referências)",MATCH($AE76,INDIRECT(ORÇAMENTO.BancoRef),0))))</f>
        <v>(Sem Código)</v>
      </c>
      <c r="AG76" s="428">
        <f t="array" aca="1" ref="AG76" ca="1">ROUND(IF(DESONERACAO="sim",REFERENCIA.Desonerado,REFERENCIA.NaoDesonerado),2)</f>
        <v>0</v>
      </c>
      <c r="AH76" s="429">
        <f t="shared" ca="1" si="27"/>
        <v>0.29389999999999999</v>
      </c>
      <c r="AJ76" s="431"/>
      <c r="AL76" s="439"/>
      <c r="AM76" s="336">
        <f t="shared" ca="1" si="0"/>
        <v>63173.4</v>
      </c>
      <c r="AN76" s="469">
        <f t="array" aca="1" ref="AN76" ca="1">ROUND(ORÇAMENTO.CustoUnitario*(1+$AH76),2)</f>
        <v>0</v>
      </c>
    </row>
    <row r="77" spans="1:40" s="696" customFormat="1" ht="63.75" x14ac:dyDescent="0.2">
      <c r="A77" s="696" t="str">
        <f t="shared" si="15"/>
        <v>S</v>
      </c>
      <c r="B77" s="696">
        <f t="shared" ca="1" si="16"/>
        <v>2</v>
      </c>
      <c r="C77" s="696" t="str">
        <f t="shared" ca="1" si="17"/>
        <v>S</v>
      </c>
      <c r="D77" s="696">
        <f t="shared" ca="1" si="18"/>
        <v>0</v>
      </c>
      <c r="E77" s="696">
        <f ca="1">IF($C77=1,OFFSET(E77,-1,0)+MAX(1,COUNTIF(QCI!$A$13:$A$24,OFFSET(ORÇAMENTO!E77,-1,0))),OFFSET(E77,-1,0))</f>
        <v>1</v>
      </c>
      <c r="F77" s="696">
        <f t="shared" ca="1" si="19"/>
        <v>11</v>
      </c>
      <c r="G77" s="696">
        <f t="shared" ca="1" si="20"/>
        <v>0</v>
      </c>
      <c r="H77" s="696">
        <f t="shared" ca="1" si="21"/>
        <v>0</v>
      </c>
      <c r="I77" s="696">
        <f t="shared" ca="1" si="22"/>
        <v>1</v>
      </c>
      <c r="J77" s="696">
        <f t="shared" ca="1" si="9"/>
        <v>0</v>
      </c>
      <c r="K77" s="696">
        <f ca="1">IF(OR($C77="S",$C77=0),0,MATCH(OFFSET($D77,0,$C77)+IF($C77&lt;&gt;1,1,COUNTIF(QCI!$A$13:$A$24,ORÇAMENTO!E77)),OFFSET($D77,1,$C77,ROW($C$235)-ROW($C77)),0))</f>
        <v>0</v>
      </c>
      <c r="L77" s="114" t="str">
        <f t="shared" ca="1" si="23"/>
        <v>F</v>
      </c>
      <c r="M77" s="115" t="s">
        <v>705</v>
      </c>
      <c r="N77" s="116" t="str">
        <f t="shared" ca="1" si="24"/>
        <v>Serviço</v>
      </c>
      <c r="O77" s="117" t="str">
        <f t="shared" ca="1" si="25"/>
        <v>1.11.1.</v>
      </c>
      <c r="P77" s="118" t="s">
        <v>750</v>
      </c>
      <c r="Q77" s="119" t="s">
        <v>1065</v>
      </c>
      <c r="R77" s="120" t="str">
        <f t="array" aca="1" ref="R77" ca="1">IF($C77="S",REFERENCIA.Descricao,"(digite a descrição aqui)")</f>
        <v>KIT DE PORTA DE MADEIRA PARA PINTURA, SEMI-OCA (LEVE OU MÉDIA), PADRÃO POPULAR, 80X210CM, ESPESSURA DE 3,5CM, ITENS INCLUSOS: DOBRADIÇAS, MONTAGEM E INSTALAÇÃO DO BATENTE, FECHADURA COM EXECUÇÃO DO FURO - FORNECIMENTO E INSTALAÇÃO. AF_12/2019</v>
      </c>
      <c r="S77" s="121" t="str">
        <f t="array" aca="1" ref="S77" ca="1">REFERENCIA.Unidade</f>
        <v>UN</v>
      </c>
      <c r="T77" s="122">
        <f ca="1">OFFSET(CÁLCULO!H$15,ROW($T77)-ROW(T$15),0)</f>
        <v>60</v>
      </c>
      <c r="U77" s="123">
        <f>930.78*0.94</f>
        <v>874.93319999999994</v>
      </c>
      <c r="V77" s="124" t="s">
        <v>697</v>
      </c>
      <c r="W77" s="122">
        <f t="array" aca="1" ref="W77" ca="1">IF($C77="S",ROUND(IF(TIPOORCAMENTO="Proposto",ORÇAMENTO.CustoUnitario*(1+$AH77),ORÇAMENTO.PrecoUnitarioLicitado),15-13*$AF$10),0)</f>
        <v>1052.8900000000001</v>
      </c>
      <c r="X77" s="125">
        <f t="array" aca="1" ref="X77" ca="1">IF($C77="S",IF(OR(Import.TipoArredondamento&lt;&gt;"TransfereGOV",ACOMPANHAMENTO="BM"),VTOTAL1,SUM(OFFSET(CÁLCULO!$AI$15,ROW($X77)-ROW($X$15),1):OFFSET(CÁLCULO!$BB$15,ROW($X77)-ROW($X$15),-1))),IF($C77=0,0,ROUND(SomaAgrup,15-13*$AF$11)))</f>
        <v>63173.4</v>
      </c>
      <c r="Y77" s="126" t="s">
        <v>751</v>
      </c>
      <c r="Z77" s="696" t="str">
        <f t="shared" ca="1" si="26"/>
        <v>RA</v>
      </c>
      <c r="AA77" s="127">
        <f t="array" aca="1" ref="AA77" ca="1">IF($C77="S",IF($Z77="CP",$X77,IF($Z77="RA",(($X77)*QCI!$AA$3),0)),SomaAgrup)</f>
        <v>0</v>
      </c>
      <c r="AB77" s="128">
        <f t="array" aca="1" ref="AB77" ca="1">IF($C77="S",IF($Z77="OU",ROUND($X77,2),0),SomaAgrup)</f>
        <v>0</v>
      </c>
      <c r="AC77" s="563" t="str">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s="696" t="str">
        <f ca="1">IF(C77&lt;=CRONO.NivelExibicao,MAX($AD$15:OFFSET(AD77,-1,0))+IF($C77&lt;&gt;1,1,MAX(1,COUNTIF(QCI!$A$13:$A$24,OFFSET($E77,-1,0)))),"")</f>
        <v/>
      </c>
      <c r="AE77" s="694" t="str">
        <f t="array" aca="1" ref="AE77" ca="1">IF(AND($C77="S",ORÇAMENTO.CodBarra&lt;&gt;""),IF(ORÇAMENTO.Fonte="",ORÇAMENTO.CodBarra,CONCATENATE(ORÇAMENTO.Fonte," ",ORÇAMENTO.CodBarra)))</f>
        <v>SINAPI 91314</v>
      </c>
      <c r="AF77" s="695">
        <f t="array" aca="1" ref="AF77" ca="1">IF(ISERROR(ORÇAMENTO.BancoRef),"(abra o arquivo 'Referência "&amp;Excel_BuiltIn_Database&amp;".xlsm)",IF(OR($C77&lt;&gt;"S",ORÇAMENTO.CodBarra=""),"(Sem Código)",IF(ISERROR(MATCH($AE77,INDIRECT(ORÇAMENTO.BancoRef),0)),"(Código não identificado nas referências)",MATCH($AE77,INDIRECT(ORÇAMENTO.BancoRef),0))))</f>
        <v>9502</v>
      </c>
      <c r="AG77" s="428">
        <f t="array" aca="1" ref="AG77" ca="1">ROUND(IF(DESONERACAO="sim",REFERENCIA.Desonerado,REFERENCIA.NaoDesonerado),2)</f>
        <v>930.78</v>
      </c>
      <c r="AH77" s="429">
        <f t="shared" ca="1" si="27"/>
        <v>0.2034</v>
      </c>
      <c r="AJ77" s="431"/>
      <c r="AL77" s="439"/>
      <c r="AM77" s="336">
        <f t="shared" ca="1" si="0"/>
        <v>63173.4</v>
      </c>
      <c r="AN77" s="469">
        <f t="array" aca="1" ref="AN77" ca="1">ROUND(ORÇAMENTO.CustoUnitario*(1+$AH77),2)</f>
        <v>1052.8900000000001</v>
      </c>
    </row>
    <row r="78" spans="1:40" s="696" customFormat="1" x14ac:dyDescent="0.2">
      <c r="A78" s="696">
        <f t="shared" si="15"/>
        <v>2</v>
      </c>
      <c r="B78" s="696">
        <f t="shared" ca="1" si="16"/>
        <v>2</v>
      </c>
      <c r="C78" s="696">
        <f t="shared" ca="1" si="17"/>
        <v>2</v>
      </c>
      <c r="D78" s="696">
        <f t="shared" ca="1" si="18"/>
        <v>6</v>
      </c>
      <c r="E78" s="696">
        <f ca="1">IF($C78=1,OFFSET(E78,-1,0)+MAX(1,COUNTIF(QCI!$A$13:$A$24,OFFSET(ORÇAMENTO!E78,-1,0))),OFFSET(E78,-1,0))</f>
        <v>1</v>
      </c>
      <c r="F78" s="696">
        <f t="shared" ca="1" si="19"/>
        <v>12</v>
      </c>
      <c r="G78" s="696">
        <f t="shared" ca="1" si="20"/>
        <v>0</v>
      </c>
      <c r="H78" s="696">
        <f t="shared" ca="1" si="21"/>
        <v>0</v>
      </c>
      <c r="I78" s="696">
        <f t="shared" ca="1" si="22"/>
        <v>0</v>
      </c>
      <c r="J78" s="696">
        <f t="shared" ca="1" si="9"/>
        <v>157</v>
      </c>
      <c r="K78" s="696">
        <f ca="1">IF(OR($C78="S",$C78=0),0,MATCH(OFFSET($D78,0,$C78)+IF($C78&lt;&gt;1,1,COUNTIF(QCI!$A$13:$A$24,ORÇAMENTO!E78)),OFFSET($D78,1,$C78,ROW($C$235)-ROW($C78)),0))</f>
        <v>6</v>
      </c>
      <c r="L78" s="114" t="str">
        <f t="shared" ca="1" si="23"/>
        <v>F</v>
      </c>
      <c r="M78" s="115" t="s">
        <v>702</v>
      </c>
      <c r="N78" s="116" t="str">
        <f t="shared" ca="1" si="24"/>
        <v>Nível 2</v>
      </c>
      <c r="O78" s="117" t="str">
        <f t="shared" ca="1" si="25"/>
        <v>1.12.</v>
      </c>
      <c r="P78" s="118" t="s">
        <v>750</v>
      </c>
      <c r="Q78" s="119"/>
      <c r="R78" s="120" t="s">
        <v>1062</v>
      </c>
      <c r="S78" s="121" t="s">
        <v>688</v>
      </c>
      <c r="T78" s="122">
        <f ca="1">OFFSET(CÁLCULO!H$15,ROW($T78)-ROW(T$15),0)</f>
        <v>0</v>
      </c>
      <c r="U78" s="123"/>
      <c r="V78" s="124" t="s">
        <v>663</v>
      </c>
      <c r="W78" s="122">
        <f t="array" aca="1" ref="W78" ca="1">IF($C78="S",ROUND(IF(TIPOORCAMENTO="Proposto",ORÇAMENTO.CustoUnitario*(1+$AH78),ORÇAMENTO.PrecoUnitarioLicitado),15-13*$AF$10),0)</f>
        <v>0</v>
      </c>
      <c r="X78" s="125">
        <f t="array" aca="1" ref="X78" ca="1">IF($C78="S",IF(OR(Import.TipoArredondamento&lt;&gt;"TransfereGOV",ACOMPANHAMENTO="BM"),VTOTAL1,SUM(OFFSET(CÁLCULO!$AI$15,ROW($X78)-ROW($X$15),1):OFFSET(CÁLCULO!$BB$15,ROW($X78)-ROW($X$15),-1))),IF($C78=0,0,ROUND(SomaAgrup,15-13*$AF$11)))</f>
        <v>526174.64</v>
      </c>
      <c r="Y78" s="126" t="s">
        <v>751</v>
      </c>
      <c r="Z78" s="696" t="str">
        <f t="shared" ca="1" si="26"/>
        <v/>
      </c>
      <c r="AA78" s="127">
        <f t="array" aca="1" ref="AA78" ca="1">IF($C78="S",IF($Z78="CP",$X78,IF($Z78="RA",(($X78)*QCI!$AA$3),0)),SomaAgrup)</f>
        <v>0</v>
      </c>
      <c r="AB78" s="128">
        <f t="array" aca="1" ref="AB78" ca="1">IF($C78="S",IF($Z78="OU",ROUND($X78,2),0),SomaAgrup)</f>
        <v>0</v>
      </c>
      <c r="AC78" s="563" t="str">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s="696">
        <f ca="1">IF(C78&lt;=CRONO.NivelExibicao,MAX($AD$15:OFFSET(AD78,-1,0))+IF($C78&lt;&gt;1,1,MAX(1,COUNTIF(QCI!$A$13:$A$24,OFFSET($E78,-1,0)))),"")</f>
        <v>13</v>
      </c>
      <c r="AE78" s="694" t="b">
        <f t="array" aca="1" ref="AE78" ca="1">IF(AND($C78="S",ORÇAMENTO.CodBarra&lt;&gt;""),IF(ORÇAMENTO.Fonte="",ORÇAMENTO.CodBarra,CONCATENATE(ORÇAMENTO.Fonte," ",ORÇAMENTO.CodBarra)))</f>
        <v>0</v>
      </c>
      <c r="AF78" s="695" t="str">
        <f t="array" aca="1" ref="AF78" ca="1">IF(ISERROR(ORÇAMENTO.BancoRef),"(abra o arquivo 'Referência "&amp;Excel_BuiltIn_Database&amp;".xlsm)",IF(OR($C78&lt;&gt;"S",ORÇAMENTO.CodBarra=""),"(Sem Código)",IF(ISERROR(MATCH($AE78,INDIRECT(ORÇAMENTO.BancoRef),0)),"(Código não identificado nas referências)",MATCH($AE78,INDIRECT(ORÇAMENTO.BancoRef),0))))</f>
        <v>(Sem Código)</v>
      </c>
      <c r="AG78" s="428">
        <f t="array" aca="1" ref="AG78" ca="1">ROUND(IF(DESONERACAO="sim",REFERENCIA.Desonerado,REFERENCIA.NaoDesonerado),2)</f>
        <v>0</v>
      </c>
      <c r="AH78" s="429">
        <f t="shared" ca="1" si="27"/>
        <v>0.29389999999999999</v>
      </c>
      <c r="AJ78" s="431"/>
      <c r="AL78" s="439"/>
      <c r="AM78" s="336">
        <f t="shared" ca="1" si="0"/>
        <v>526174.64</v>
      </c>
      <c r="AN78" s="469">
        <f t="array" aca="1" ref="AN78" ca="1">ROUND(ORÇAMENTO.CustoUnitario*(1+$AH78),2)</f>
        <v>0</v>
      </c>
    </row>
    <row r="79" spans="1:40" s="696" customFormat="1" ht="38.25" x14ac:dyDescent="0.2">
      <c r="A79" s="696" t="str">
        <f t="shared" si="15"/>
        <v>S</v>
      </c>
      <c r="B79" s="696">
        <f t="shared" ca="1" si="16"/>
        <v>2</v>
      </c>
      <c r="C79" s="696" t="str">
        <f t="shared" ca="1" si="17"/>
        <v>S</v>
      </c>
      <c r="D79" s="696">
        <f t="shared" ca="1" si="18"/>
        <v>0</v>
      </c>
      <c r="E79" s="696">
        <f ca="1">IF($C79=1,OFFSET(E79,-1,0)+MAX(1,COUNTIF(QCI!$A$13:$A$24,OFFSET(ORÇAMENTO!E79,-1,0))),OFFSET(E79,-1,0))</f>
        <v>1</v>
      </c>
      <c r="F79" s="696">
        <f t="shared" ca="1" si="19"/>
        <v>12</v>
      </c>
      <c r="G79" s="696">
        <f t="shared" ca="1" si="20"/>
        <v>0</v>
      </c>
      <c r="H79" s="696">
        <f t="shared" ca="1" si="21"/>
        <v>0</v>
      </c>
      <c r="I79" s="696">
        <f t="shared" ca="1" si="22"/>
        <v>1</v>
      </c>
      <c r="J79" s="696">
        <f t="shared" ca="1" si="9"/>
        <v>0</v>
      </c>
      <c r="K79" s="696">
        <f ca="1">IF(OR($C79="S",$C79=0),0,MATCH(OFFSET($D79,0,$C79)+IF($C79&lt;&gt;1,1,COUNTIF(QCI!$A$13:$A$24,ORÇAMENTO!E79)),OFFSET($D79,1,$C79,ROW($C$235)-ROW($C79)),0))</f>
        <v>0</v>
      </c>
      <c r="L79" s="114" t="str">
        <f t="shared" ca="1" si="23"/>
        <v>F</v>
      </c>
      <c r="M79" s="115" t="s">
        <v>705</v>
      </c>
      <c r="N79" s="116" t="str">
        <f t="shared" ca="1" si="24"/>
        <v>Serviço</v>
      </c>
      <c r="O79" s="117" t="str">
        <f t="shared" ca="1" si="25"/>
        <v>1.12.1.</v>
      </c>
      <c r="P79" s="118" t="s">
        <v>750</v>
      </c>
      <c r="Q79" s="119" t="s">
        <v>1066</v>
      </c>
      <c r="R79" s="120" t="str">
        <f t="array" aca="1" ref="R79" ca="1">IF($C79="S",REFERENCIA.Descricao,"(digite a descrição aqui)")</f>
        <v>TRAMA DE MADEIRA COMPOSTA POR RIPAS, CAIBROS E TERÇAS PARA TELHADOS DE ATÉ 2 ÁGUAS PARA TELHA CERÂMICA CAPA-CANAL, INCLUSO TRANSPORTE VERTICAL. AF_07/2019</v>
      </c>
      <c r="S79" s="121" t="str">
        <f t="array" aca="1" ref="S79" ca="1">REFERENCIA.Unidade</f>
        <v>M2</v>
      </c>
      <c r="T79" s="122">
        <f ca="1">OFFSET(CÁLCULO!H$15,ROW($T79)-ROW(T$15),0)</f>
        <v>1469.8</v>
      </c>
      <c r="U79" s="123">
        <f>106.71*0.94</f>
        <v>100.30739999999999</v>
      </c>
      <c r="V79" s="124" t="s">
        <v>697</v>
      </c>
      <c r="W79" s="122">
        <f t="array" aca="1" ref="W79" ca="1">IF($C79="S",ROUND(IF(TIPOORCAMENTO="Proposto",ORÇAMENTO.CustoUnitario*(1+$AH79),ORÇAMENTO.PrecoUnitarioLicitado),15-13*$AF$10),0)</f>
        <v>120.71</v>
      </c>
      <c r="X79" s="125">
        <f t="array" aca="1" ref="X79" ca="1">IF($C79="S",IF(OR(Import.TipoArredondamento&lt;&gt;"TransfereGOV",ACOMPANHAMENTO="BM"),VTOTAL1,SUM(OFFSET(CÁLCULO!$AI$15,ROW($X79)-ROW($X$15),1):OFFSET(CÁLCULO!$BB$15,ROW($X79)-ROW($X$15),-1))),IF($C79=0,0,ROUND(SomaAgrup,15-13*$AF$11)))</f>
        <v>177419.56</v>
      </c>
      <c r="Y79" s="126" t="s">
        <v>751</v>
      </c>
      <c r="Z79" s="696" t="str">
        <f t="shared" ca="1" si="26"/>
        <v>RA</v>
      </c>
      <c r="AA79" s="127">
        <f t="array" aca="1" ref="AA79" ca="1">IF($C79="S",IF($Z79="CP",$X79,IF($Z79="RA",(($X79)*QCI!$AA$3),0)),SomaAgrup)</f>
        <v>0</v>
      </c>
      <c r="AB79" s="128">
        <f t="array" aca="1" ref="AB79" ca="1">IF($C79="S",IF($Z79="OU",ROUND($X79,2),0),SomaAgrup)</f>
        <v>0</v>
      </c>
      <c r="AC79" s="563" t="str">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s="696" t="str">
        <f ca="1">IF(C79&lt;=CRONO.NivelExibicao,MAX($AD$15:OFFSET(AD79,-1,0))+IF($C79&lt;&gt;1,1,MAX(1,COUNTIF(QCI!$A$13:$A$24,OFFSET($E79,-1,0)))),"")</f>
        <v/>
      </c>
      <c r="AE79" s="694" t="str">
        <f t="array" aca="1" ref="AE79" ca="1">IF(AND($C79="S",ORÇAMENTO.CodBarra&lt;&gt;""),IF(ORÇAMENTO.Fonte="",ORÇAMENTO.CodBarra,CONCATENATE(ORÇAMENTO.Fonte," ",ORÇAMENTO.CodBarra)))</f>
        <v>SINAPI 92541</v>
      </c>
      <c r="AF79" s="695">
        <f t="array" aca="1" ref="AF79" ca="1">IF(ISERROR(ORÇAMENTO.BancoRef),"(abra o arquivo 'Referência "&amp;Excel_BuiltIn_Database&amp;".xlsm)",IF(OR($C79&lt;&gt;"S",ORÇAMENTO.CodBarra=""),"(Sem Código)",IF(ISERROR(MATCH($AE79,INDIRECT(ORÇAMENTO.BancoRef),0)),"(Código não identificado nas referências)",MATCH($AE79,INDIRECT(ORÇAMENTO.BancoRef),0))))</f>
        <v>9726</v>
      </c>
      <c r="AG79" s="428">
        <f t="array" aca="1" ref="AG79" ca="1">ROUND(IF(DESONERACAO="sim",REFERENCIA.Desonerado,REFERENCIA.NaoDesonerado),2)</f>
        <v>106.71</v>
      </c>
      <c r="AH79" s="429">
        <f t="shared" ca="1" si="27"/>
        <v>0.2034</v>
      </c>
      <c r="AJ79" s="431"/>
      <c r="AL79" s="439"/>
      <c r="AM79" s="336">
        <f t="shared" ca="1" si="0"/>
        <v>177419.56</v>
      </c>
      <c r="AN79" s="469">
        <f t="array" aca="1" ref="AN79" ca="1">ROUND(ORÇAMENTO.CustoUnitario*(1+$AH79),2)</f>
        <v>120.71</v>
      </c>
    </row>
    <row r="80" spans="1:40" s="696" customFormat="1" ht="25.5" x14ac:dyDescent="0.2">
      <c r="A80" s="696" t="str">
        <f t="shared" si="15"/>
        <v>S</v>
      </c>
      <c r="B80" s="696">
        <f t="shared" ca="1" si="16"/>
        <v>2</v>
      </c>
      <c r="C80" s="696" t="str">
        <f t="shared" ca="1" si="17"/>
        <v>S</v>
      </c>
      <c r="D80" s="696">
        <f t="shared" ca="1" si="18"/>
        <v>0</v>
      </c>
      <c r="E80" s="696">
        <f ca="1">IF($C80=1,OFFSET(E80,-1,0)+MAX(1,COUNTIF(QCI!$A$13:$A$24,OFFSET(ORÇAMENTO!E80,-1,0))),OFFSET(E80,-1,0))</f>
        <v>1</v>
      </c>
      <c r="F80" s="696">
        <f t="shared" ca="1" si="19"/>
        <v>12</v>
      </c>
      <c r="G80" s="696">
        <f t="shared" ca="1" si="20"/>
        <v>0</v>
      </c>
      <c r="H80" s="696">
        <f t="shared" ca="1" si="21"/>
        <v>0</v>
      </c>
      <c r="I80" s="696">
        <f t="shared" ca="1" si="22"/>
        <v>2</v>
      </c>
      <c r="J80" s="696">
        <f t="shared" ref="J80:J143" ca="1" si="28">IF(OR($C80="S",$C80=0),0,MATCH(0,OFFSET($D80,1,$C80,ROW($C$235)-ROW($C80)),0))</f>
        <v>0</v>
      </c>
      <c r="K80" s="696">
        <f ca="1">IF(OR($C80="S",$C80=0),0,MATCH(OFFSET($D80,0,$C80)+IF($C80&lt;&gt;1,1,COUNTIF(QCI!$A$13:$A$24,ORÇAMENTO!E80)),OFFSET($D80,1,$C80,ROW($C$235)-ROW($C80)),0))</f>
        <v>0</v>
      </c>
      <c r="L80" s="114" t="str">
        <f t="shared" ca="1" si="23"/>
        <v>F</v>
      </c>
      <c r="M80" s="115" t="s">
        <v>705</v>
      </c>
      <c r="N80" s="116" t="str">
        <f t="shared" ca="1" si="24"/>
        <v>Serviço</v>
      </c>
      <c r="O80" s="117" t="str">
        <f t="shared" ca="1" si="25"/>
        <v>1.12.2.</v>
      </c>
      <c r="P80" s="118" t="s">
        <v>750</v>
      </c>
      <c r="Q80" s="119" t="s">
        <v>1067</v>
      </c>
      <c r="R80" s="120" t="str">
        <f t="array" aca="1" ref="R80" ca="1">IF($C80="S",REFERENCIA.Descricao,"(digite a descrição aqui)")</f>
        <v>TELHAMENTO COM TELHA CERÂMICA CAPA-CANAL, TIPO PAULISTA, COM ATÉ 2 ÁGUAS, INCLUSO TRANSPORTE VERTICAL. AF_07/2019</v>
      </c>
      <c r="S80" s="121" t="str">
        <f t="array" aca="1" ref="S80" ca="1">REFERENCIA.Unidade</f>
        <v>M2</v>
      </c>
      <c r="T80" s="122">
        <f ca="1">OFFSET(CÁLCULO!H$15,ROW($T80)-ROW(T$15),0)</f>
        <v>1469.8</v>
      </c>
      <c r="U80" s="123">
        <f>88.22*0.94</f>
        <v>82.9268</v>
      </c>
      <c r="V80" s="124" t="s">
        <v>697</v>
      </c>
      <c r="W80" s="122">
        <f t="array" aca="1" ref="W80" ca="1">IF($C80="S",ROUND(IF(TIPOORCAMENTO="Proposto",ORÇAMENTO.CustoUnitario*(1+$AH80),ORÇAMENTO.PrecoUnitarioLicitado),15-13*$AF$10),0)</f>
        <v>99.8</v>
      </c>
      <c r="X80" s="125">
        <f t="array" aca="1" ref="X80" ca="1">IF($C80="S",IF(OR(Import.TipoArredondamento&lt;&gt;"TransfereGOV",ACOMPANHAMENTO="BM"),VTOTAL1,SUM(OFFSET(CÁLCULO!$AI$15,ROW($X80)-ROW($X$15),1):OFFSET(CÁLCULO!$BB$15,ROW($X80)-ROW($X$15),-1))),IF($C80=0,0,ROUND(SomaAgrup,15-13*$AF$11)))</f>
        <v>146686.04</v>
      </c>
      <c r="Y80" s="126" t="s">
        <v>751</v>
      </c>
      <c r="Z80" s="696" t="str">
        <f t="shared" ca="1" si="26"/>
        <v>RA</v>
      </c>
      <c r="AA80" s="127">
        <f t="array" aca="1" ref="AA80" ca="1">IF($C80="S",IF($Z80="CP",$X80,IF($Z80="RA",(($X80)*QCI!$AA$3),0)),SomaAgrup)</f>
        <v>0</v>
      </c>
      <c r="AB80" s="128">
        <f t="array" aca="1" ref="AB80" ca="1">IF($C80="S",IF($Z80="OU",ROUND($X80,2),0),SomaAgrup)</f>
        <v>0</v>
      </c>
      <c r="AC80" s="563" t="str">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s="696" t="str">
        <f ca="1">IF(C80&lt;=CRONO.NivelExibicao,MAX($AD$15:OFFSET(AD80,-1,0))+IF($C80&lt;&gt;1,1,MAX(1,COUNTIF(QCI!$A$13:$A$24,OFFSET($E80,-1,0)))),"")</f>
        <v/>
      </c>
      <c r="AE80" s="694" t="str">
        <f t="array" aca="1" ref="AE80" ca="1">IF(AND($C80="S",ORÇAMENTO.CodBarra&lt;&gt;""),IF(ORÇAMENTO.Fonte="",ORÇAMENTO.CodBarra,CONCATENATE(ORÇAMENTO.Fonte," ",ORÇAMENTO.CodBarra)))</f>
        <v>SINAPI 94447</v>
      </c>
      <c r="AF80" s="695">
        <f t="array" aca="1" ref="AF80" ca="1">IF(ISERROR(ORÇAMENTO.BancoRef),"(abra o arquivo 'Referência "&amp;Excel_BuiltIn_Database&amp;".xlsm)",IF(OR($C80&lt;&gt;"S",ORÇAMENTO.CodBarra=""),"(Sem Código)",IF(ISERROR(MATCH($AE80,INDIRECT(ORÇAMENTO.BancoRef),0)),"(Código não identificado nas referências)",MATCH($AE80,INDIRECT(ORÇAMENTO.BancoRef),0))))</f>
        <v>15052</v>
      </c>
      <c r="AG80" s="428">
        <f t="array" aca="1" ref="AG80" ca="1">ROUND(IF(DESONERACAO="sim",REFERENCIA.Desonerado,REFERENCIA.NaoDesonerado),2)</f>
        <v>88.22</v>
      </c>
      <c r="AH80" s="429">
        <f t="shared" ca="1" si="27"/>
        <v>0.2034</v>
      </c>
      <c r="AJ80" s="431"/>
      <c r="AL80" s="439"/>
      <c r="AM80" s="336">
        <f t="shared" ca="1" si="0"/>
        <v>146686.04</v>
      </c>
      <c r="AN80" s="469">
        <f t="array" aca="1" ref="AN80" ca="1">ROUND(ORÇAMENTO.CustoUnitario*(1+$AH80),2)</f>
        <v>99.8</v>
      </c>
    </row>
    <row r="81" spans="1:40" s="696" customFormat="1" x14ac:dyDescent="0.2">
      <c r="A81" s="696" t="str">
        <f t="shared" si="15"/>
        <v>S</v>
      </c>
      <c r="B81" s="696">
        <f t="shared" ca="1" si="16"/>
        <v>2</v>
      </c>
      <c r="C81" s="696" t="str">
        <f t="shared" ca="1" si="17"/>
        <v>S</v>
      </c>
      <c r="D81" s="696">
        <f t="shared" ca="1" si="18"/>
        <v>0</v>
      </c>
      <c r="E81" s="696">
        <f ca="1">IF($C81=1,OFFSET(E81,-1,0)+MAX(1,COUNTIF(QCI!$A$13:$A$24,OFFSET(ORÇAMENTO!E81,-1,0))),OFFSET(E81,-1,0))</f>
        <v>1</v>
      </c>
      <c r="F81" s="696">
        <f t="shared" ca="1" si="19"/>
        <v>12</v>
      </c>
      <c r="G81" s="696">
        <f t="shared" ca="1" si="20"/>
        <v>0</v>
      </c>
      <c r="H81" s="696">
        <f t="shared" ca="1" si="21"/>
        <v>0</v>
      </c>
      <c r="I81" s="696">
        <f t="shared" ca="1" si="22"/>
        <v>3</v>
      </c>
      <c r="J81" s="696">
        <f t="shared" ca="1" si="28"/>
        <v>0</v>
      </c>
      <c r="K81" s="696">
        <f ca="1">IF(OR($C81="S",$C81=0),0,MATCH(OFFSET($D81,0,$C81)+IF($C81&lt;&gt;1,1,COUNTIF(QCI!$A$13:$A$24,ORÇAMENTO!E81)),OFFSET($D81,1,$C81,ROW($C$235)-ROW($C81)),0))</f>
        <v>0</v>
      </c>
      <c r="L81" s="114" t="str">
        <f t="shared" ca="1" si="23"/>
        <v>F</v>
      </c>
      <c r="M81" s="115" t="s">
        <v>705</v>
      </c>
      <c r="N81" s="116" t="str">
        <f t="shared" ca="1" si="24"/>
        <v>Serviço</v>
      </c>
      <c r="O81" s="117" t="str">
        <f t="shared" ca="1" si="25"/>
        <v>1.12.3.</v>
      </c>
      <c r="P81" s="118" t="s">
        <v>750</v>
      </c>
      <c r="Q81" s="119" t="s">
        <v>1068</v>
      </c>
      <c r="R81" s="120" t="str">
        <f t="array" aca="1" ref="R81" ca="1">IF($C81="S",REFERENCIA.Descricao,"(digite a descrição aqui)")</f>
        <v>PINTURA IMUNIZANTE PARA MADEIRA, 1 DEMÃO. AF_01/2021</v>
      </c>
      <c r="S81" s="121" t="str">
        <f t="array" aca="1" ref="S81" ca="1">REFERENCIA.Unidade</f>
        <v>M2</v>
      </c>
      <c r="T81" s="122">
        <f ca="1">OFFSET(CÁLCULO!H$15,ROW($T81)-ROW(T$15),0)</f>
        <v>2076</v>
      </c>
      <c r="U81" s="123">
        <f>11.54*0.94</f>
        <v>10.847599999999998</v>
      </c>
      <c r="V81" s="124" t="s">
        <v>697</v>
      </c>
      <c r="W81" s="122">
        <f t="array" aca="1" ref="W81" ca="1">IF($C81="S",ROUND(IF(TIPOORCAMENTO="Proposto",ORÇAMENTO.CustoUnitario*(1+$AH81),ORÇAMENTO.PrecoUnitarioLicitado),15-13*$AF$10),0)</f>
        <v>13.06</v>
      </c>
      <c r="X81" s="125">
        <f t="array" aca="1" ref="X81" ca="1">IF($C81="S",IF(OR(Import.TipoArredondamento&lt;&gt;"TransfereGOV",ACOMPANHAMENTO="BM"),VTOTAL1,SUM(OFFSET(CÁLCULO!$AI$15,ROW($X81)-ROW($X$15),1):OFFSET(CÁLCULO!$BB$15,ROW($X81)-ROW($X$15),-1))),IF($C81=0,0,ROUND(SomaAgrup,15-13*$AF$11)))</f>
        <v>27112.560000000001</v>
      </c>
      <c r="Y81" s="126" t="s">
        <v>751</v>
      </c>
      <c r="Z81" s="696" t="str">
        <f t="shared" ca="1" si="26"/>
        <v>RA</v>
      </c>
      <c r="AA81" s="127">
        <f t="array" aca="1" ref="AA81" ca="1">IF($C81="S",IF($Z81="CP",$X81,IF($Z81="RA",(($X81)*QCI!$AA$3),0)),SomaAgrup)</f>
        <v>0</v>
      </c>
      <c r="AB81" s="128">
        <f t="array" aca="1" ref="AB81" ca="1">IF($C81="S",IF($Z81="OU",ROUND($X81,2),0),SomaAgrup)</f>
        <v>0</v>
      </c>
      <c r="AC81" s="563" t="str">
        <f t="array" aca="1" ref="AC81" ca="1">IF($N81=""," ",
IF(AND($C81&lt;&gt;"S",OR($R81="",$R81="(digite a descrição aqui)")),"DESCRIÇÃO",
IF(AND($C81="S",OR($Q81&lt;&gt;"",$T81&gt;0,$U81&gt;0),$P81=""),"FONTE",
IF(AND($C81="S",$P81&lt;&gt;"",OR($T81&gt;0,$U81&gt;0),$Q81=""),"CÓDIGO",
IF(AND($C81="S",$P81&lt;&gt;"",$Q81&lt;&gt;"",$R81="(Código não identificado nas referências)"),"CÓDIGO N/ID",
IF(AND($C81="S",OR($R81="",$R81="(digite a descrição aqui)"),OR($Q81&lt;&gt;"",$T81&gt;0,$U81&gt;0)),"DESCRIÇÃO",
IF(AND($C81="S",$P81&lt;&gt;"",$Q81&lt;&gt;"",$S81=""),"UNIDADE",
IF(AND($C81="S",$P81&lt;&gt;"",$Q81&lt;&gt;"",$U81=0),"SEM CUSTO",
IF(AND(TIPOORCAMENTO="Licitado",$AL81=0,$AN81&gt;0),"SEM PREÇO",
IF(AND($C81="S",$P81&lt;&gt;"",$Q81&lt;&gt;"",$U81&gt;0,AND($V81&lt;&gt;"BDI 1",$V81&lt;&gt;"BDI 2",$V81&lt;&gt;"BDI 3")),IF(ISNUMBER($V81),"JUSTIFICAR BDI","BDI"),
IF(OR(AND(import.recurso="OGU",TIPOORCAMENTO="Proposto",LEFT($O$8,5)&lt;&gt;"(N/D:",$AG81&lt;&gt;"",ORÇAMENTO.CustoUnitario&gt;$AG81),AND(TIPOORCAMENTO="LICITADO",ORÇAMENTO.PrecoUnitarioLicitado&gt;$AN81)),"ACIMA REF.",
IF(AND($C81="S",$P81&lt;&gt;"",$Q81&lt;&gt;"",$T81=0,$U81&gt;0),"QUANT.",
IF(AND(Import.TipoArredondamento="TransfereGOV",$L81="F",$C81="S",LEN($Q81)&gt;13),"Código &gt;13",
IF(AND(Import.TipoArredondamento="TransfereGOV",$L81="F",$C81&lt;&gt;"S",LEN($R81)&gt;100),"Descrição &gt;100",
IF(AND(Import.TipoArredondamento="TransfereGOV",$L81="F",$C81="S",LEN($R81)&gt;500),"Descrição &gt;500",
IF(AND(Import.TipoArredondamento="TransfereGOV",$L81="F",$C81="S",LEFT(TRIM(UPPER($P81)),6)&lt;&gt;"SINAPI",ISNA(VLOOKUP(TRIM(UPPER($S81)),ListaTgov.Unidades,1,FALSE))),"Unid. Não Disp",
" "))))))))))))))))</f>
        <v xml:space="preserve"> </v>
      </c>
      <c r="AD81" s="696" t="str">
        <f ca="1">IF(C81&lt;=CRONO.NivelExibicao,MAX($AD$15:OFFSET(AD81,-1,0))+IF($C81&lt;&gt;1,1,MAX(1,COUNTIF(QCI!$A$13:$A$24,OFFSET($E81,-1,0)))),"")</f>
        <v/>
      </c>
      <c r="AE81" s="694" t="str">
        <f t="array" aca="1" ref="AE81" ca="1">IF(AND($C81="S",ORÇAMENTO.CodBarra&lt;&gt;""),IF(ORÇAMENTO.Fonte="",ORÇAMENTO.CodBarra,CONCATENATE(ORÇAMENTO.Fonte," ",ORÇAMENTO.CodBarra)))</f>
        <v>SINAPI 102233</v>
      </c>
      <c r="AF81" s="695">
        <f t="array" aca="1" ref="AF81" ca="1">IF(ISERROR(ORÇAMENTO.BancoRef),"(abra o arquivo 'Referência "&amp;Excel_BuiltIn_Database&amp;".xlsm)",IF(OR($C81&lt;&gt;"S",ORÇAMENTO.CodBarra=""),"(Sem Código)",IF(ISERROR(MATCH($AE81,INDIRECT(ORÇAMENTO.BancoRef),0)),"(Código não identificado nas referências)",MATCH($AE81,INDIRECT(ORÇAMENTO.BancoRef),0))))</f>
        <v>13899</v>
      </c>
      <c r="AG81" s="428">
        <f t="array" aca="1" ref="AG81" ca="1">ROUND(IF(DESONERACAO="sim",REFERENCIA.Desonerado,REFERENCIA.NaoDesonerado),2)</f>
        <v>11.54</v>
      </c>
      <c r="AH81" s="429">
        <f t="shared" ca="1" si="27"/>
        <v>0.2034</v>
      </c>
      <c r="AJ81" s="431"/>
      <c r="AL81" s="439"/>
      <c r="AM81" s="336">
        <f t="shared" ca="1" si="0"/>
        <v>27112.560000000001</v>
      </c>
      <c r="AN81" s="469">
        <f t="array" aca="1" ref="AN81" ca="1">ROUND(ORÇAMENTO.CustoUnitario*(1+$AH81),2)</f>
        <v>13.06</v>
      </c>
    </row>
    <row r="82" spans="1:40" s="696" customFormat="1" ht="38.25" x14ac:dyDescent="0.2">
      <c r="A82" s="696" t="str">
        <f t="shared" si="15"/>
        <v>S</v>
      </c>
      <c r="B82" s="696">
        <f t="shared" ca="1" si="16"/>
        <v>2</v>
      </c>
      <c r="C82" s="696" t="str">
        <f t="shared" ca="1" si="17"/>
        <v>S</v>
      </c>
      <c r="D82" s="696">
        <f t="shared" ca="1" si="18"/>
        <v>0</v>
      </c>
      <c r="E82" s="696">
        <f ca="1">IF($C82=1,OFFSET(E82,-1,0)+MAX(1,COUNTIF(QCI!$A$13:$A$24,OFFSET(ORÇAMENTO!E82,-1,0))),OFFSET(E82,-1,0))</f>
        <v>1</v>
      </c>
      <c r="F82" s="696">
        <f t="shared" ca="1" si="19"/>
        <v>12</v>
      </c>
      <c r="G82" s="696">
        <f t="shared" ca="1" si="20"/>
        <v>0</v>
      </c>
      <c r="H82" s="696">
        <f t="shared" ca="1" si="21"/>
        <v>0</v>
      </c>
      <c r="I82" s="696">
        <f t="shared" ca="1" si="22"/>
        <v>4</v>
      </c>
      <c r="J82" s="696">
        <f t="shared" ca="1" si="28"/>
        <v>0</v>
      </c>
      <c r="K82" s="696">
        <f ca="1">IF(OR($C82="S",$C82=0),0,MATCH(OFFSET($D82,0,$C82)+IF($C82&lt;&gt;1,1,COUNTIF(QCI!$A$13:$A$24,ORÇAMENTO!E82)),OFFSET($D82,1,$C82,ROW($C$235)-ROW($C82)),0))</f>
        <v>0</v>
      </c>
      <c r="L82" s="114" t="str">
        <f t="shared" ca="1" si="23"/>
        <v>F</v>
      </c>
      <c r="M82" s="115" t="s">
        <v>705</v>
      </c>
      <c r="N82" s="116" t="str">
        <f t="shared" ca="1" si="24"/>
        <v>Serviço</v>
      </c>
      <c r="O82" s="117" t="str">
        <f t="shared" ca="1" si="25"/>
        <v>1.12.4.</v>
      </c>
      <c r="P82" s="118" t="s">
        <v>750</v>
      </c>
      <c r="Q82" s="119" t="s">
        <v>1069</v>
      </c>
      <c r="R82" s="120" t="str">
        <f t="array" aca="1" ref="R82" ca="1">IF($C82="S",REFERENCIA.Descricao,"(digite a descrição aqui)")</f>
        <v>CUMEEIRA PARA TELHA CERÂMICA EMBOÇADA COM ARGAMASSA TRAÇO 1:2:9 (CIMENTO, CAL E AREIA) PARA TELHADOS COM ATÉ 2 ÁGUAS, INCLUSO TRANSPORTE VERTICAL. AF_07/2019</v>
      </c>
      <c r="S82" s="121" t="str">
        <f t="array" aca="1" ref="S82" ca="1">REFERENCIA.Unidade</f>
        <v>M</v>
      </c>
      <c r="T82" s="122">
        <f ca="1">OFFSET(CÁLCULO!H$15,ROW($T82)-ROW(T$15),0)</f>
        <v>213</v>
      </c>
      <c r="U82" s="123">
        <f>38.33*0.94</f>
        <v>36.030199999999994</v>
      </c>
      <c r="V82" s="124" t="s">
        <v>697</v>
      </c>
      <c r="W82" s="122">
        <f t="array" aca="1" ref="W82" ca="1">IF($C82="S",ROUND(IF(TIPOORCAMENTO="Proposto",ORÇAMENTO.CustoUnitario*(1+$AH82),ORÇAMENTO.PrecoUnitarioLicitado),15-13*$AF$10),0)</f>
        <v>43.36</v>
      </c>
      <c r="X82" s="125">
        <f t="array" aca="1" ref="X82" ca="1">IF($C82="S",IF(OR(Import.TipoArredondamento&lt;&gt;"TransfereGOV",ACOMPANHAMENTO="BM"),VTOTAL1,SUM(OFFSET(CÁLCULO!$AI$15,ROW($X82)-ROW($X$15),1):OFFSET(CÁLCULO!$BB$15,ROW($X82)-ROW($X$15),-1))),IF($C82=0,0,ROUND(SomaAgrup,15-13*$AF$11)))</f>
        <v>9235.68</v>
      </c>
      <c r="Y82" s="126" t="s">
        <v>751</v>
      </c>
      <c r="Z82" s="696" t="str">
        <f t="shared" ca="1" si="26"/>
        <v>RA</v>
      </c>
      <c r="AA82" s="127">
        <f t="array" aca="1" ref="AA82" ca="1">IF($C82="S",IF($Z82="CP",$X82,IF($Z82="RA",(($X82)*QCI!$AA$3),0)),SomaAgrup)</f>
        <v>0</v>
      </c>
      <c r="AB82" s="128">
        <f t="array" aca="1" ref="AB82" ca="1">IF($C82="S",IF($Z82="OU",ROUND($X82,2),0),SomaAgrup)</f>
        <v>0</v>
      </c>
      <c r="AC82" s="563" t="str">
        <f t="array" aca="1" ref="AC82" ca="1">IF($N82=""," ",
IF(AND($C82&lt;&gt;"S",OR($R82="",$R82="(digite a descrição aqui)")),"DESCRIÇÃO",
IF(AND($C82="S",OR($Q82&lt;&gt;"",$T82&gt;0,$U82&gt;0),$P82=""),"FONTE",
IF(AND($C82="S",$P82&lt;&gt;"",OR($T82&gt;0,$U82&gt;0),$Q82=""),"CÓDIGO",
IF(AND($C82="S",$P82&lt;&gt;"",$Q82&lt;&gt;"",$R82="(Código não identificado nas referências)"),"CÓDIGO N/ID",
IF(AND($C82="S",OR($R82="",$R82="(digite a descrição aqui)"),OR($Q82&lt;&gt;"",$T82&gt;0,$U82&gt;0)),"DESCRIÇÃO",
IF(AND($C82="S",$P82&lt;&gt;"",$Q82&lt;&gt;"",$S82=""),"UNIDADE",
IF(AND($C82="S",$P82&lt;&gt;"",$Q82&lt;&gt;"",$U82=0),"SEM CUSTO",
IF(AND(TIPOORCAMENTO="Licitado",$AL82=0,$AN82&gt;0),"SEM PREÇO",
IF(AND($C82="S",$P82&lt;&gt;"",$Q82&lt;&gt;"",$U82&gt;0,AND($V82&lt;&gt;"BDI 1",$V82&lt;&gt;"BDI 2",$V82&lt;&gt;"BDI 3")),IF(ISNUMBER($V82),"JUSTIFICAR BDI","BDI"),
IF(OR(AND(import.recurso="OGU",TIPOORCAMENTO="Proposto",LEFT($O$8,5)&lt;&gt;"(N/D:",$AG82&lt;&gt;"",ORÇAMENTO.CustoUnitario&gt;$AG82),AND(TIPOORCAMENTO="LICITADO",ORÇAMENTO.PrecoUnitarioLicitado&gt;$AN82)),"ACIMA REF.",
IF(AND($C82="S",$P82&lt;&gt;"",$Q82&lt;&gt;"",$T82=0,$U82&gt;0),"QUANT.",
IF(AND(Import.TipoArredondamento="TransfereGOV",$L82="F",$C82="S",LEN($Q82)&gt;13),"Código &gt;13",
IF(AND(Import.TipoArredondamento="TransfereGOV",$L82="F",$C82&lt;&gt;"S",LEN($R82)&gt;100),"Descrição &gt;100",
IF(AND(Import.TipoArredondamento="TransfereGOV",$L82="F",$C82="S",LEN($R82)&gt;500),"Descrição &gt;500",
IF(AND(Import.TipoArredondamento="TransfereGOV",$L82="F",$C82="S",LEFT(TRIM(UPPER($P82)),6)&lt;&gt;"SINAPI",ISNA(VLOOKUP(TRIM(UPPER($S82)),ListaTgov.Unidades,1,FALSE))),"Unid. Não Disp",
" "))))))))))))))))</f>
        <v xml:space="preserve"> </v>
      </c>
      <c r="AD82" s="696" t="str">
        <f ca="1">IF(C82&lt;=CRONO.NivelExibicao,MAX($AD$15:OFFSET(AD82,-1,0))+IF($C82&lt;&gt;1,1,MAX(1,COUNTIF(QCI!$A$13:$A$24,OFFSET($E82,-1,0)))),"")</f>
        <v/>
      </c>
      <c r="AE82" s="694" t="str">
        <f t="array" aca="1" ref="AE82" ca="1">IF(AND($C82="S",ORÇAMENTO.CodBarra&lt;&gt;""),IF(ORÇAMENTO.Fonte="",ORÇAMENTO.CodBarra,CONCATENATE(ORÇAMENTO.Fonte," ",ORÇAMENTO.CodBarra)))</f>
        <v>SINAPI 94221</v>
      </c>
      <c r="AF82" s="695">
        <f t="array" aca="1" ref="AF82" ca="1">IF(ISERROR(ORÇAMENTO.BancoRef),"(abra o arquivo 'Referência "&amp;Excel_BuiltIn_Database&amp;".xlsm)",IF(OR($C82&lt;&gt;"S",ORÇAMENTO.CodBarra=""),"(Sem Código)",IF(ISERROR(MATCH($AE82,INDIRECT(ORÇAMENTO.BancoRef),0)),"(Código não identificado nas referências)",MATCH($AE82,INDIRECT(ORÇAMENTO.BancoRef),0))))</f>
        <v>15035</v>
      </c>
      <c r="AG82" s="428">
        <f t="array" aca="1" ref="AG82" ca="1">ROUND(IF(DESONERACAO="sim",REFERENCIA.Desonerado,REFERENCIA.NaoDesonerado),2)</f>
        <v>38.33</v>
      </c>
      <c r="AH82" s="429">
        <f t="shared" ca="1" si="27"/>
        <v>0.2034</v>
      </c>
      <c r="AJ82" s="431"/>
      <c r="AL82" s="439"/>
      <c r="AM82" s="336">
        <f t="shared" ca="1" si="0"/>
        <v>9235.68</v>
      </c>
      <c r="AN82" s="469">
        <f t="array" aca="1" ref="AN82" ca="1">ROUND(ORÇAMENTO.CustoUnitario*(1+$AH82),2)</f>
        <v>43.36</v>
      </c>
    </row>
    <row r="83" spans="1:40" s="696" customFormat="1" ht="38.25" x14ac:dyDescent="0.2">
      <c r="A83" s="696" t="str">
        <f t="shared" si="15"/>
        <v>S</v>
      </c>
      <c r="B83" s="696">
        <f t="shared" ca="1" si="16"/>
        <v>2</v>
      </c>
      <c r="C83" s="696" t="str">
        <f t="shared" ca="1" si="17"/>
        <v>S</v>
      </c>
      <c r="D83" s="696">
        <f t="shared" ca="1" si="18"/>
        <v>0</v>
      </c>
      <c r="E83" s="696">
        <f ca="1">IF($C83=1,OFFSET(E83,-1,0)+MAX(1,COUNTIF(QCI!$A$13:$A$24,OFFSET(ORÇAMENTO!E83,-1,0))),OFFSET(E83,-1,0))</f>
        <v>1</v>
      </c>
      <c r="F83" s="696">
        <f t="shared" ca="1" si="19"/>
        <v>12</v>
      </c>
      <c r="G83" s="696">
        <f t="shared" ca="1" si="20"/>
        <v>0</v>
      </c>
      <c r="H83" s="696">
        <f t="shared" ca="1" si="21"/>
        <v>0</v>
      </c>
      <c r="I83" s="696">
        <f t="shared" ca="1" si="22"/>
        <v>5</v>
      </c>
      <c r="J83" s="696">
        <f t="shared" ca="1" si="28"/>
        <v>0</v>
      </c>
      <c r="K83" s="696">
        <f ca="1">IF(OR($C83="S",$C83=0),0,MATCH(OFFSET($D83,0,$C83)+IF($C83&lt;&gt;1,1,COUNTIF(QCI!$A$13:$A$24,ORÇAMENTO!E83)),OFFSET($D83,1,$C83,ROW($C$235)-ROW($C83)),0))</f>
        <v>0</v>
      </c>
      <c r="L83" s="114" t="str">
        <f t="shared" ca="1" si="23"/>
        <v>F</v>
      </c>
      <c r="M83" s="115" t="s">
        <v>705</v>
      </c>
      <c r="N83" s="116" t="str">
        <f t="shared" ca="1" si="24"/>
        <v>Serviço</v>
      </c>
      <c r="O83" s="117" t="str">
        <f t="shared" ca="1" si="25"/>
        <v>1.12.5.</v>
      </c>
      <c r="P83" s="118" t="s">
        <v>750</v>
      </c>
      <c r="Q83" s="119" t="s">
        <v>1070</v>
      </c>
      <c r="R83" s="120" t="str">
        <f t="array" aca="1" ref="R83" ca="1">IF($C83="S",REFERENCIA.Descricao,"(digite a descrição aqui)")</f>
        <v>FABRICAÇÃO E INSTALAÇÃO DE TESOURA INTEIRA EM MADEIRA NÃO APARELHADA, VÃO DE 6 M, PARA TELHA CERÂMICA OU DE CONCRETO, INCLUSO IÇAMENTO. AF_07/2019</v>
      </c>
      <c r="S83" s="121" t="str">
        <f t="array" aca="1" ref="S83" ca="1">REFERENCIA.Unidade</f>
        <v>UN</v>
      </c>
      <c r="T83" s="122">
        <f ca="1">OFFSET(CÁLCULO!H$15,ROW($T83)-ROW(T$15),0)</f>
        <v>80</v>
      </c>
      <c r="U83" s="123">
        <f>1831.25*0.94</f>
        <v>1721.375</v>
      </c>
      <c r="V83" s="124" t="s">
        <v>697</v>
      </c>
      <c r="W83" s="122">
        <f t="array" aca="1" ref="W83" ca="1">IF($C83="S",ROUND(IF(TIPOORCAMENTO="Proposto",ORÇAMENTO.CustoUnitario*(1+$AH83),ORÇAMENTO.PrecoUnitarioLicitado),15-13*$AF$10),0)</f>
        <v>2071.5100000000002</v>
      </c>
      <c r="X83" s="125">
        <f t="array" aca="1" ref="X83" ca="1">IF($C83="S",IF(OR(Import.TipoArredondamento&lt;&gt;"TransfereGOV",ACOMPANHAMENTO="BM"),VTOTAL1,SUM(OFFSET(CÁLCULO!$AI$15,ROW($X83)-ROW($X$15),1):OFFSET(CÁLCULO!$BB$15,ROW($X83)-ROW($X$15),-1))),IF($C83=0,0,ROUND(SomaAgrup,15-13*$AF$11)))</f>
        <v>165720.79999999999</v>
      </c>
      <c r="Y83" s="126" t="s">
        <v>751</v>
      </c>
      <c r="Z83" s="696" t="str">
        <f t="shared" ca="1" si="26"/>
        <v>RA</v>
      </c>
      <c r="AA83" s="127">
        <f t="array" aca="1" ref="AA83" ca="1">IF($C83="S",IF($Z83="CP",$X83,IF($Z83="RA",(($X83)*QCI!$AA$3),0)),SomaAgrup)</f>
        <v>0</v>
      </c>
      <c r="AB83" s="128">
        <f t="array" aca="1" ref="AB83" ca="1">IF($C83="S",IF($Z83="OU",ROUND($X83,2),0),SomaAgrup)</f>
        <v>0</v>
      </c>
      <c r="AC83" s="563" t="str">
        <f t="array" aca="1" ref="AC83" ca="1">IF($N83=""," ",
IF(AND($C83&lt;&gt;"S",OR($R83="",$R83="(digite a descrição aqui)")),"DESCRIÇÃO",
IF(AND($C83="S",OR($Q83&lt;&gt;"",$T83&gt;0,$U83&gt;0),$P83=""),"FONTE",
IF(AND($C83="S",$P83&lt;&gt;"",OR($T83&gt;0,$U83&gt;0),$Q83=""),"CÓDIGO",
IF(AND($C83="S",$P83&lt;&gt;"",$Q83&lt;&gt;"",$R83="(Código não identificado nas referências)"),"CÓDIGO N/ID",
IF(AND($C83="S",OR($R83="",$R83="(digite a descrição aqui)"),OR($Q83&lt;&gt;"",$T83&gt;0,$U83&gt;0)),"DESCRIÇÃO",
IF(AND($C83="S",$P83&lt;&gt;"",$Q83&lt;&gt;"",$S83=""),"UNIDADE",
IF(AND($C83="S",$P83&lt;&gt;"",$Q83&lt;&gt;"",$U83=0),"SEM CUSTO",
IF(AND(TIPOORCAMENTO="Licitado",$AL83=0,$AN83&gt;0),"SEM PREÇO",
IF(AND($C83="S",$P83&lt;&gt;"",$Q83&lt;&gt;"",$U83&gt;0,AND($V83&lt;&gt;"BDI 1",$V83&lt;&gt;"BDI 2",$V83&lt;&gt;"BDI 3")),IF(ISNUMBER($V83),"JUSTIFICAR BDI","BDI"),
IF(OR(AND(import.recurso="OGU",TIPOORCAMENTO="Proposto",LEFT($O$8,5)&lt;&gt;"(N/D:",$AG83&lt;&gt;"",ORÇAMENTO.CustoUnitario&gt;$AG83),AND(TIPOORCAMENTO="LICITADO",ORÇAMENTO.PrecoUnitarioLicitado&gt;$AN83)),"ACIMA REF.",
IF(AND($C83="S",$P83&lt;&gt;"",$Q83&lt;&gt;"",$T83=0,$U83&gt;0),"QUANT.",
IF(AND(Import.TipoArredondamento="TransfereGOV",$L83="F",$C83="S",LEN($Q83)&gt;13),"Código &gt;13",
IF(AND(Import.TipoArredondamento="TransfereGOV",$L83="F",$C83&lt;&gt;"S",LEN($R83)&gt;100),"Descrição &gt;100",
IF(AND(Import.TipoArredondamento="TransfereGOV",$L83="F",$C83="S",LEN($R83)&gt;500),"Descrição &gt;500",
IF(AND(Import.TipoArredondamento="TransfereGOV",$L83="F",$C83="S",LEFT(TRIM(UPPER($P83)),6)&lt;&gt;"SINAPI",ISNA(VLOOKUP(TRIM(UPPER($S83)),ListaTgov.Unidades,1,FALSE))),"Unid. Não Disp",
" "))))))))))))))))</f>
        <v xml:space="preserve"> </v>
      </c>
      <c r="AD83" s="696" t="str">
        <f ca="1">IF(C83&lt;=CRONO.NivelExibicao,MAX($AD$15:OFFSET(AD83,-1,0))+IF($C83&lt;&gt;1,1,MAX(1,COUNTIF(QCI!$A$13:$A$24,OFFSET($E83,-1,0)))),"")</f>
        <v/>
      </c>
      <c r="AE83" s="694" t="str">
        <f t="array" aca="1" ref="AE83" ca="1">IF(AND($C83="S",ORÇAMENTO.CodBarra&lt;&gt;""),IF(ORÇAMENTO.Fonte="",ORÇAMENTO.CodBarra,CONCATENATE(ORÇAMENTO.Fonte," ",ORÇAMENTO.CodBarra)))</f>
        <v>SINAPI 92548</v>
      </c>
      <c r="AF83" s="695">
        <f t="array" aca="1" ref="AF83" ca="1">IF(ISERROR(ORÇAMENTO.BancoRef),"(abra o arquivo 'Referência "&amp;Excel_BuiltIn_Database&amp;".xlsm)",IF(OR($C83&lt;&gt;"S",ORÇAMENTO.CodBarra=""),"(Sem Código)",IF(ISERROR(MATCH($AE83,INDIRECT(ORÇAMENTO.BancoRef),0)),"(Código não identificado nas referências)",MATCH($AE83,INDIRECT(ORÇAMENTO.BancoRef),0))))</f>
        <v>9687</v>
      </c>
      <c r="AG83" s="428">
        <f t="array" aca="1" ref="AG83" ca="1">ROUND(IF(DESONERACAO="sim",REFERENCIA.Desonerado,REFERENCIA.NaoDesonerado),2)</f>
        <v>1831.25</v>
      </c>
      <c r="AH83" s="429">
        <f t="shared" ca="1" si="27"/>
        <v>0.2034</v>
      </c>
      <c r="AJ83" s="431"/>
      <c r="AL83" s="439"/>
      <c r="AM83" s="336">
        <f t="shared" ca="1" si="0"/>
        <v>165720.79999999999</v>
      </c>
      <c r="AN83" s="469">
        <f t="array" aca="1" ref="AN83" ca="1">ROUND(ORÇAMENTO.CustoUnitario*(1+$AH83),2)</f>
        <v>2071.5100000000002</v>
      </c>
    </row>
    <row r="84" spans="1:40" s="696" customFormat="1" x14ac:dyDescent="0.2">
      <c r="A84" s="696">
        <f t="shared" si="15"/>
        <v>2</v>
      </c>
      <c r="B84" s="696">
        <f t="shared" ca="1" si="16"/>
        <v>2</v>
      </c>
      <c r="C84" s="696">
        <f t="shared" ca="1" si="17"/>
        <v>2</v>
      </c>
      <c r="D84" s="696">
        <f t="shared" ca="1" si="18"/>
        <v>2</v>
      </c>
      <c r="E84" s="696">
        <f ca="1">IF($C84=1,OFFSET(E84,-1,0)+MAX(1,COUNTIF(QCI!$A$13:$A$24,OFFSET(ORÇAMENTO!E84,-1,0))),OFFSET(E84,-1,0))</f>
        <v>1</v>
      </c>
      <c r="F84" s="696">
        <f t="shared" ca="1" si="19"/>
        <v>13</v>
      </c>
      <c r="G84" s="696">
        <f t="shared" ca="1" si="20"/>
        <v>0</v>
      </c>
      <c r="H84" s="696">
        <f t="shared" ca="1" si="21"/>
        <v>0</v>
      </c>
      <c r="I84" s="696">
        <f t="shared" ca="1" si="22"/>
        <v>0</v>
      </c>
      <c r="J84" s="696">
        <f t="shared" ca="1" si="28"/>
        <v>151</v>
      </c>
      <c r="K84" s="696">
        <f ca="1">IF(OR($C84="S",$C84=0),0,MATCH(OFFSET($D84,0,$C84)+IF($C84&lt;&gt;1,1,COUNTIF(QCI!$A$13:$A$24,ORÇAMENTO!E84)),OFFSET($D84,1,$C84,ROW($C$235)-ROW($C84)),0))</f>
        <v>2</v>
      </c>
      <c r="L84" s="114" t="str">
        <f t="shared" ca="1" si="23"/>
        <v>F</v>
      </c>
      <c r="M84" s="115" t="s">
        <v>702</v>
      </c>
      <c r="N84" s="116" t="str">
        <f t="shared" ca="1" si="24"/>
        <v>Nível 2</v>
      </c>
      <c r="O84" s="117" t="str">
        <f t="shared" ca="1" si="25"/>
        <v>1.13.</v>
      </c>
      <c r="P84" s="118" t="s">
        <v>750</v>
      </c>
      <c r="Q84" s="119"/>
      <c r="R84" s="120" t="s">
        <v>1063</v>
      </c>
      <c r="S84" s="121" t="s">
        <v>688</v>
      </c>
      <c r="T84" s="122">
        <f ca="1">OFFSET(CÁLCULO!H$15,ROW($T84)-ROW(T$15),0)</f>
        <v>0</v>
      </c>
      <c r="U84" s="123"/>
      <c r="V84" s="124" t="s">
        <v>663</v>
      </c>
      <c r="W84" s="122">
        <f t="array" aca="1" ref="W84" ca="1">IF($C84="S",ROUND(IF(TIPOORCAMENTO="Proposto",ORÇAMENTO.CustoUnitario*(1+$AH84),ORÇAMENTO.PrecoUnitarioLicitado),15-13*$AF$10),0)</f>
        <v>0</v>
      </c>
      <c r="X84" s="125">
        <f t="array" aca="1" ref="X84" ca="1">IF($C84="S",IF(OR(Import.TipoArredondamento&lt;&gt;"TransfereGOV",ACOMPANHAMENTO="BM"),VTOTAL1,SUM(OFFSET(CÁLCULO!$AI$15,ROW($X84)-ROW($X$15),1):OFFSET(CÁLCULO!$BB$15,ROW($X84)-ROW($X$15),-1))),IF($C84=0,0,ROUND(SomaAgrup,15-13*$AF$11)))</f>
        <v>49656.88</v>
      </c>
      <c r="Y84" s="126" t="s">
        <v>751</v>
      </c>
      <c r="Z84" s="696" t="str">
        <f t="shared" ca="1" si="26"/>
        <v/>
      </c>
      <c r="AA84" s="127">
        <f t="array" aca="1" ref="AA84" ca="1">IF($C84="S",IF($Z84="CP",$X84,IF($Z84="RA",(($X84)*QCI!$AA$3),0)),SomaAgrup)</f>
        <v>0</v>
      </c>
      <c r="AB84" s="128">
        <f t="array" aca="1" ref="AB84" ca="1">IF($C84="S",IF($Z84="OU",ROUND($X84,2),0),SomaAgrup)</f>
        <v>0</v>
      </c>
      <c r="AC84" s="563" t="str">
        <f t="array" aca="1" ref="AC84" ca="1">IF($N84=""," ",
IF(AND($C84&lt;&gt;"S",OR($R84="",$R84="(digite a descrição aqui)")),"DESCRIÇÃO",
IF(AND($C84="S",OR($Q84&lt;&gt;"",$T84&gt;0,$U84&gt;0),$P84=""),"FONTE",
IF(AND($C84="S",$P84&lt;&gt;"",OR($T84&gt;0,$U84&gt;0),$Q84=""),"CÓDIGO",
IF(AND($C84="S",$P84&lt;&gt;"",$Q84&lt;&gt;"",$R84="(Código não identificado nas referências)"),"CÓDIGO N/ID",
IF(AND($C84="S",OR($R84="",$R84="(digite a descrição aqui)"),OR($Q84&lt;&gt;"",$T84&gt;0,$U84&gt;0)),"DESCRIÇÃO",
IF(AND($C84="S",$P84&lt;&gt;"",$Q84&lt;&gt;"",$S84=""),"UNIDADE",
IF(AND($C84="S",$P84&lt;&gt;"",$Q84&lt;&gt;"",$U84=0),"SEM CUSTO",
IF(AND(TIPOORCAMENTO="Licitado",$AL84=0,$AN84&gt;0),"SEM PREÇO",
IF(AND($C84="S",$P84&lt;&gt;"",$Q84&lt;&gt;"",$U84&gt;0,AND($V84&lt;&gt;"BDI 1",$V84&lt;&gt;"BDI 2",$V84&lt;&gt;"BDI 3")),IF(ISNUMBER($V84),"JUSTIFICAR BDI","BDI"),
IF(OR(AND(import.recurso="OGU",TIPOORCAMENTO="Proposto",LEFT($O$8,5)&lt;&gt;"(N/D:",$AG84&lt;&gt;"",ORÇAMENTO.CustoUnitario&gt;$AG84),AND(TIPOORCAMENTO="LICITADO",ORÇAMENTO.PrecoUnitarioLicitado&gt;$AN84)),"ACIMA REF.",
IF(AND($C84="S",$P84&lt;&gt;"",$Q84&lt;&gt;"",$T84=0,$U84&gt;0),"QUANT.",
IF(AND(Import.TipoArredondamento="TransfereGOV",$L84="F",$C84="S",LEN($Q84)&gt;13),"Código &gt;13",
IF(AND(Import.TipoArredondamento="TransfereGOV",$L84="F",$C84&lt;&gt;"S",LEN($R84)&gt;100),"Descrição &gt;100",
IF(AND(Import.TipoArredondamento="TransfereGOV",$L84="F",$C84="S",LEN($R84)&gt;500),"Descrição &gt;500",
IF(AND(Import.TipoArredondamento="TransfereGOV",$L84="F",$C84="S",LEFT(TRIM(UPPER($P84)),6)&lt;&gt;"SINAPI",ISNA(VLOOKUP(TRIM(UPPER($S84)),ListaTgov.Unidades,1,FALSE))),"Unid. Não Disp",
" "))))))))))))))))</f>
        <v xml:space="preserve"> </v>
      </c>
      <c r="AD84" s="696">
        <f ca="1">IF(C84&lt;=CRONO.NivelExibicao,MAX($AD$15:OFFSET(AD84,-1,0))+IF($C84&lt;&gt;1,1,MAX(1,COUNTIF(QCI!$A$13:$A$24,OFFSET($E84,-1,0)))),"")</f>
        <v>14</v>
      </c>
      <c r="AE84" s="694" t="b">
        <f t="array" aca="1" ref="AE84" ca="1">IF(AND($C84="S",ORÇAMENTO.CodBarra&lt;&gt;""),IF(ORÇAMENTO.Fonte="",ORÇAMENTO.CodBarra,CONCATENATE(ORÇAMENTO.Fonte," ",ORÇAMENTO.CodBarra)))</f>
        <v>0</v>
      </c>
      <c r="AF84" s="695" t="str">
        <f t="array" aca="1" ref="AF84" ca="1">IF(ISERROR(ORÇAMENTO.BancoRef),"(abra o arquivo 'Referência "&amp;Excel_BuiltIn_Database&amp;".xlsm)",IF(OR($C84&lt;&gt;"S",ORÇAMENTO.CodBarra=""),"(Sem Código)",IF(ISERROR(MATCH($AE84,INDIRECT(ORÇAMENTO.BancoRef),0)),"(Código não identificado nas referências)",MATCH($AE84,INDIRECT(ORÇAMENTO.BancoRef),0))))</f>
        <v>(Sem Código)</v>
      </c>
      <c r="AG84" s="428">
        <f t="array" aca="1" ref="AG84" ca="1">ROUND(IF(DESONERACAO="sim",REFERENCIA.Desonerado,REFERENCIA.NaoDesonerado),2)</f>
        <v>0</v>
      </c>
      <c r="AH84" s="429">
        <f t="shared" ca="1" si="27"/>
        <v>0.29389999999999999</v>
      </c>
      <c r="AJ84" s="431"/>
      <c r="AL84" s="439"/>
      <c r="AM84" s="336">
        <f t="shared" ca="1" si="0"/>
        <v>49656.88</v>
      </c>
      <c r="AN84" s="469">
        <f t="array" aca="1" ref="AN84" ca="1">ROUND(ORÇAMENTO.CustoUnitario*(1+$AH84),2)</f>
        <v>0</v>
      </c>
    </row>
    <row r="85" spans="1:40" s="696" customFormat="1" ht="38.25" x14ac:dyDescent="0.2">
      <c r="A85" s="696" t="str">
        <f t="shared" si="15"/>
        <v>S</v>
      </c>
      <c r="B85" s="696">
        <f t="shared" ca="1" si="16"/>
        <v>2</v>
      </c>
      <c r="C85" s="696" t="str">
        <f t="shared" ca="1" si="17"/>
        <v>S</v>
      </c>
      <c r="D85" s="696">
        <f t="shared" ca="1" si="18"/>
        <v>0</v>
      </c>
      <c r="E85" s="696">
        <f ca="1">IF($C85=1,OFFSET(E85,-1,0)+MAX(1,COUNTIF(QCI!$A$13:$A$24,OFFSET(ORÇAMENTO!E85,-1,0))),OFFSET(E85,-1,0))</f>
        <v>1</v>
      </c>
      <c r="F85" s="696">
        <f t="shared" ca="1" si="19"/>
        <v>13</v>
      </c>
      <c r="G85" s="696">
        <f t="shared" ca="1" si="20"/>
        <v>0</v>
      </c>
      <c r="H85" s="696">
        <f t="shared" ca="1" si="21"/>
        <v>0</v>
      </c>
      <c r="I85" s="696">
        <f t="shared" ca="1" si="22"/>
        <v>1</v>
      </c>
      <c r="J85" s="696">
        <f t="shared" ca="1" si="28"/>
        <v>0</v>
      </c>
      <c r="K85" s="696">
        <f ca="1">IF(OR($C85="S",$C85=0),0,MATCH(OFFSET($D85,0,$C85)+IF($C85&lt;&gt;1,1,COUNTIF(QCI!$A$13:$A$24,ORÇAMENTO!E85)),OFFSET($D85,1,$C85,ROW($C$235)-ROW($C85)),0))</f>
        <v>0</v>
      </c>
      <c r="L85" s="114" t="str">
        <f t="shared" ca="1" si="23"/>
        <v>F</v>
      </c>
      <c r="M85" s="115" t="s">
        <v>705</v>
      </c>
      <c r="N85" s="116" t="str">
        <f t="shared" ca="1" si="24"/>
        <v>Serviço</v>
      </c>
      <c r="O85" s="117" t="str">
        <f t="shared" ca="1" si="25"/>
        <v>1.13.1.</v>
      </c>
      <c r="P85" s="118" t="s">
        <v>750</v>
      </c>
      <c r="Q85" s="119" t="s">
        <v>1071</v>
      </c>
      <c r="R85" s="120" t="str">
        <f t="array" aca="1" ref="R85" ca="1">IF($C85="S",REFERENCIA.Descricao,"(digite a descrição aqui)")</f>
        <v>FORRO EM RÉGUAS DE PVC, FRISADO, PARA AMBIENTES RESIDENCIAIS, INCLUSIVE ESTRUTURA UNIDIRECIONAL DE FIXAÇÃO. AF_08/2023_PS</v>
      </c>
      <c r="S85" s="121" t="str">
        <f t="array" aca="1" ref="S85" ca="1">REFERENCIA.Unidade</f>
        <v>M2</v>
      </c>
      <c r="T85" s="122">
        <f ca="1">OFFSET(CÁLCULO!H$15,ROW($T85)-ROW(T$15),0)</f>
        <v>718</v>
      </c>
      <c r="U85" s="123">
        <f>61.14*0.94</f>
        <v>57.471599999999995</v>
      </c>
      <c r="V85" s="124" t="s">
        <v>697</v>
      </c>
      <c r="W85" s="122">
        <f t="array" aca="1" ref="W85" ca="1">IF($C85="S",ROUND(IF(TIPOORCAMENTO="Proposto",ORÇAMENTO.CustoUnitario*(1+$AH85),ORÇAMENTO.PrecoUnitarioLicitado),15-13*$AF$10),0)</f>
        <v>69.16</v>
      </c>
      <c r="X85" s="125">
        <f t="array" aca="1" ref="X85" ca="1">IF($C85="S",IF(OR(Import.TipoArredondamento&lt;&gt;"TransfereGOV",ACOMPANHAMENTO="BM"),VTOTAL1,SUM(OFFSET(CÁLCULO!$AI$15,ROW($X85)-ROW($X$15),1):OFFSET(CÁLCULO!$BB$15,ROW($X85)-ROW($X$15),-1))),IF($C85=0,0,ROUND(SomaAgrup,15-13*$AF$11)))</f>
        <v>49656.88</v>
      </c>
      <c r="Y85" s="126" t="s">
        <v>751</v>
      </c>
      <c r="Z85" s="696" t="str">
        <f t="shared" ca="1" si="26"/>
        <v>RA</v>
      </c>
      <c r="AA85" s="127">
        <f t="array" aca="1" ref="AA85" ca="1">IF($C85="S",IF($Z85="CP",$X85,IF($Z85="RA",(($X85)*QCI!$AA$3),0)),SomaAgrup)</f>
        <v>0</v>
      </c>
      <c r="AB85" s="128">
        <f t="array" aca="1" ref="AB85" ca="1">IF($C85="S",IF($Z85="OU",ROUND($X85,2),0),SomaAgrup)</f>
        <v>0</v>
      </c>
      <c r="AC85" s="563" t="str">
        <f t="array" aca="1" ref="AC85" ca="1">IF($N85=""," ",
IF(AND($C85&lt;&gt;"S",OR($R85="",$R85="(digite a descrição aqui)")),"DESCRIÇÃO",
IF(AND($C85="S",OR($Q85&lt;&gt;"",$T85&gt;0,$U85&gt;0),$P85=""),"FONTE",
IF(AND($C85="S",$P85&lt;&gt;"",OR($T85&gt;0,$U85&gt;0),$Q85=""),"CÓDIGO",
IF(AND($C85="S",$P85&lt;&gt;"",$Q85&lt;&gt;"",$R85="(Código não identificado nas referências)"),"CÓDIGO N/ID",
IF(AND($C85="S",OR($R85="",$R85="(digite a descrição aqui)"),OR($Q85&lt;&gt;"",$T85&gt;0,$U85&gt;0)),"DESCRIÇÃO",
IF(AND($C85="S",$P85&lt;&gt;"",$Q85&lt;&gt;"",$S85=""),"UNIDADE",
IF(AND($C85="S",$P85&lt;&gt;"",$Q85&lt;&gt;"",$U85=0),"SEM CUSTO",
IF(AND(TIPOORCAMENTO="Licitado",$AL85=0,$AN85&gt;0),"SEM PREÇO",
IF(AND($C85="S",$P85&lt;&gt;"",$Q85&lt;&gt;"",$U85&gt;0,AND($V85&lt;&gt;"BDI 1",$V85&lt;&gt;"BDI 2",$V85&lt;&gt;"BDI 3")),IF(ISNUMBER($V85),"JUSTIFICAR BDI","BDI"),
IF(OR(AND(import.recurso="OGU",TIPOORCAMENTO="Proposto",LEFT($O$8,5)&lt;&gt;"(N/D:",$AG85&lt;&gt;"",ORÇAMENTO.CustoUnitario&gt;$AG85),AND(TIPOORCAMENTO="LICITADO",ORÇAMENTO.PrecoUnitarioLicitado&gt;$AN85)),"ACIMA REF.",
IF(AND($C85="S",$P85&lt;&gt;"",$Q85&lt;&gt;"",$T85=0,$U85&gt;0),"QUANT.",
IF(AND(Import.TipoArredondamento="TransfereGOV",$L85="F",$C85="S",LEN($Q85)&gt;13),"Código &gt;13",
IF(AND(Import.TipoArredondamento="TransfereGOV",$L85="F",$C85&lt;&gt;"S",LEN($R85)&gt;100),"Descrição &gt;100",
IF(AND(Import.TipoArredondamento="TransfereGOV",$L85="F",$C85="S",LEN($R85)&gt;500),"Descrição &gt;500",
IF(AND(Import.TipoArredondamento="TransfereGOV",$L85="F",$C85="S",LEFT(TRIM(UPPER($P85)),6)&lt;&gt;"SINAPI",ISNA(VLOOKUP(TRIM(UPPER($S85)),ListaTgov.Unidades,1,FALSE))),"Unid. Não Disp",
" "))))))))))))))))</f>
        <v xml:space="preserve"> </v>
      </c>
      <c r="AD85" s="696" t="str">
        <f ca="1">IF(C85&lt;=CRONO.NivelExibicao,MAX($AD$15:OFFSET(AD85,-1,0))+IF($C85&lt;&gt;1,1,MAX(1,COUNTIF(QCI!$A$13:$A$24,OFFSET($E85,-1,0)))),"")</f>
        <v/>
      </c>
      <c r="AE85" s="694" t="str">
        <f t="array" aca="1" ref="AE85" ca="1">IF(AND($C85="S",ORÇAMENTO.CodBarra&lt;&gt;""),IF(ORÇAMENTO.Fonte="",ORÇAMENTO.CodBarra,CONCATENATE(ORÇAMENTO.Fonte," ",ORÇAMENTO.CodBarra)))</f>
        <v>SINAPI 96111</v>
      </c>
      <c r="AF85" s="695">
        <f t="array" aca="1" ref="AF85" ca="1">IF(ISERROR(ORÇAMENTO.BancoRef),"(abra o arquivo 'Referência "&amp;Excel_BuiltIn_Database&amp;".xlsm)",IF(OR($C85&lt;&gt;"S",ORÇAMENTO.CodBarra=""),"(Sem Código)",IF(ISERROR(MATCH($AE85,INDIRECT(ORÇAMENTO.BancoRef),0)),"(Código não identificado nas referências)",MATCH($AE85,INDIRECT(ORÇAMENTO.BancoRef),0))))</f>
        <v>9922</v>
      </c>
      <c r="AG85" s="428">
        <f t="array" aca="1" ref="AG85" ca="1">ROUND(IF(DESONERACAO="sim",REFERENCIA.Desonerado,REFERENCIA.NaoDesonerado),2)</f>
        <v>61.14</v>
      </c>
      <c r="AH85" s="429">
        <f t="shared" ca="1" si="27"/>
        <v>0.2034</v>
      </c>
      <c r="AJ85" s="431"/>
      <c r="AL85" s="439"/>
      <c r="AM85" s="336">
        <f t="shared" ca="1" si="0"/>
        <v>49656.88</v>
      </c>
      <c r="AN85" s="469">
        <f t="array" aca="1" ref="AN85" ca="1">ROUND(ORÇAMENTO.CustoUnitario*(1+$AH85),2)</f>
        <v>69.16</v>
      </c>
    </row>
    <row r="86" spans="1:40" s="696" customFormat="1" x14ac:dyDescent="0.2">
      <c r="A86" s="696">
        <f t="shared" si="15"/>
        <v>2</v>
      </c>
      <c r="B86" s="696">
        <f t="shared" ca="1" si="16"/>
        <v>2</v>
      </c>
      <c r="C86" s="696">
        <f t="shared" ca="1" si="17"/>
        <v>2</v>
      </c>
      <c r="D86" s="696">
        <f t="shared" ca="1" si="18"/>
        <v>7</v>
      </c>
      <c r="E86" s="696">
        <f ca="1">IF($C86=1,OFFSET(E86,-1,0)+MAX(1,COUNTIF(QCI!$A$13:$A$24,OFFSET(ORÇAMENTO!E86,-1,0))),OFFSET(E86,-1,0))</f>
        <v>1</v>
      </c>
      <c r="F86" s="696">
        <f t="shared" ca="1" si="19"/>
        <v>14</v>
      </c>
      <c r="G86" s="696">
        <f t="shared" ca="1" si="20"/>
        <v>0</v>
      </c>
      <c r="H86" s="696">
        <f t="shared" ca="1" si="21"/>
        <v>0</v>
      </c>
      <c r="I86" s="696">
        <f t="shared" ca="1" si="22"/>
        <v>0</v>
      </c>
      <c r="J86" s="696">
        <f t="shared" ca="1" si="28"/>
        <v>149</v>
      </c>
      <c r="K86" s="696">
        <f ca="1">IF(OR($C86="S",$C86=0),0,MATCH(OFFSET($D86,0,$C86)+IF($C86&lt;&gt;1,1,COUNTIF(QCI!$A$13:$A$24,ORÇAMENTO!E86)),OFFSET($D86,1,$C86,ROW($C$235)-ROW($C86)),0))</f>
        <v>7</v>
      </c>
      <c r="L86" s="114" t="str">
        <f t="shared" ca="1" si="23"/>
        <v>F</v>
      </c>
      <c r="M86" s="115" t="s">
        <v>702</v>
      </c>
      <c r="N86" s="116" t="str">
        <f t="shared" ca="1" si="24"/>
        <v>Nível 2</v>
      </c>
      <c r="O86" s="117" t="str">
        <f t="shared" ca="1" si="25"/>
        <v>1.14.</v>
      </c>
      <c r="P86" s="118" t="s">
        <v>750</v>
      </c>
      <c r="Q86" s="119"/>
      <c r="R86" s="120" t="s">
        <v>1064</v>
      </c>
      <c r="S86" s="121" t="s">
        <v>688</v>
      </c>
      <c r="T86" s="122">
        <f ca="1">OFFSET(CÁLCULO!H$15,ROW($T86)-ROW(T$15),0)</f>
        <v>0</v>
      </c>
      <c r="U86" s="123"/>
      <c r="V86" s="124" t="s">
        <v>663</v>
      </c>
      <c r="W86" s="122">
        <f t="array" aca="1" ref="W86" ca="1">IF($C86="S",ROUND(IF(TIPOORCAMENTO="Proposto",ORÇAMENTO.CustoUnitario*(1+$AH86),ORÇAMENTO.PrecoUnitarioLicitado),15-13*$AF$10),0)</f>
        <v>0</v>
      </c>
      <c r="X86" s="125">
        <f t="array" aca="1" ref="X86" ca="1">IF($C86="S",IF(OR(Import.TipoArredondamento&lt;&gt;"TransfereGOV",ACOMPANHAMENTO="BM"),VTOTAL1,SUM(OFFSET(CÁLCULO!$AI$15,ROW($X86)-ROW($X$15),1):OFFSET(CÁLCULO!$BB$15,ROW($X86)-ROW($X$15),-1))),IF($C86=0,0,ROUND(SomaAgrup,15-13*$AF$11)))</f>
        <v>94923.199999999997</v>
      </c>
      <c r="Y86" s="126" t="s">
        <v>751</v>
      </c>
      <c r="Z86" s="696" t="str">
        <f t="shared" ca="1" si="26"/>
        <v/>
      </c>
      <c r="AA86" s="127">
        <f t="array" aca="1" ref="AA86" ca="1">IF($C86="S",IF($Z86="CP",$X86,IF($Z86="RA",(($X86)*QCI!$AA$3),0)),SomaAgrup)</f>
        <v>0</v>
      </c>
      <c r="AB86" s="128">
        <f t="array" aca="1" ref="AB86" ca="1">IF($C86="S",IF($Z86="OU",ROUND($X86,2),0),SomaAgrup)</f>
        <v>0</v>
      </c>
      <c r="AC86" s="563" t="str">
        <f t="array" aca="1" ref="AC86" ca="1">IF($N86=""," ",
IF(AND($C86&lt;&gt;"S",OR($R86="",$R86="(digite a descrição aqui)")),"DESCRIÇÃO",
IF(AND($C86="S",OR($Q86&lt;&gt;"",$T86&gt;0,$U86&gt;0),$P86=""),"FONTE",
IF(AND($C86="S",$P86&lt;&gt;"",OR($T86&gt;0,$U86&gt;0),$Q86=""),"CÓDIGO",
IF(AND($C86="S",$P86&lt;&gt;"",$Q86&lt;&gt;"",$R86="(Código não identificado nas referências)"),"CÓDIGO N/ID",
IF(AND($C86="S",OR($R86="",$R86="(digite a descrição aqui)"),OR($Q86&lt;&gt;"",$T86&gt;0,$U86&gt;0)),"DESCRIÇÃO",
IF(AND($C86="S",$P86&lt;&gt;"",$Q86&lt;&gt;"",$S86=""),"UNIDADE",
IF(AND($C86="S",$P86&lt;&gt;"",$Q86&lt;&gt;"",$U86=0),"SEM CUSTO",
IF(AND(TIPOORCAMENTO="Licitado",$AL86=0,$AN86&gt;0),"SEM PREÇO",
IF(AND($C86="S",$P86&lt;&gt;"",$Q86&lt;&gt;"",$U86&gt;0,AND($V86&lt;&gt;"BDI 1",$V86&lt;&gt;"BDI 2",$V86&lt;&gt;"BDI 3")),IF(ISNUMBER($V86),"JUSTIFICAR BDI","BDI"),
IF(OR(AND(import.recurso="OGU",TIPOORCAMENTO="Proposto",LEFT($O$8,5)&lt;&gt;"(N/D:",$AG86&lt;&gt;"",ORÇAMENTO.CustoUnitario&gt;$AG86),AND(TIPOORCAMENTO="LICITADO",ORÇAMENTO.PrecoUnitarioLicitado&gt;$AN86)),"ACIMA REF.",
IF(AND($C86="S",$P86&lt;&gt;"",$Q86&lt;&gt;"",$T86=0,$U86&gt;0),"QUANT.",
IF(AND(Import.TipoArredondamento="TransfereGOV",$L86="F",$C86="S",LEN($Q86)&gt;13),"Código &gt;13",
IF(AND(Import.TipoArredondamento="TransfereGOV",$L86="F",$C86&lt;&gt;"S",LEN($R86)&gt;100),"Descrição &gt;100",
IF(AND(Import.TipoArredondamento="TransfereGOV",$L86="F",$C86="S",LEN($R86)&gt;500),"Descrição &gt;500",
IF(AND(Import.TipoArredondamento="TransfereGOV",$L86="F",$C86="S",LEFT(TRIM(UPPER($P86)),6)&lt;&gt;"SINAPI",ISNA(VLOOKUP(TRIM(UPPER($S86)),ListaTgov.Unidades,1,FALSE))),"Unid. Não Disp",
" "))))))))))))))))</f>
        <v xml:space="preserve"> </v>
      </c>
      <c r="AD86" s="696">
        <f ca="1">IF(C86&lt;=CRONO.NivelExibicao,MAX($AD$15:OFFSET(AD86,-1,0))+IF($C86&lt;&gt;1,1,MAX(1,COUNTIF(QCI!$A$13:$A$24,OFFSET($E86,-1,0)))),"")</f>
        <v>15</v>
      </c>
      <c r="AE86" s="694" t="b">
        <f t="array" aca="1" ref="AE86" ca="1">IF(AND($C86="S",ORÇAMENTO.CodBarra&lt;&gt;""),IF(ORÇAMENTO.Fonte="",ORÇAMENTO.CodBarra,CONCATENATE(ORÇAMENTO.Fonte," ",ORÇAMENTO.CodBarra)))</f>
        <v>0</v>
      </c>
      <c r="AF86" s="695" t="str">
        <f t="array" aca="1" ref="AF86" ca="1">IF(ISERROR(ORÇAMENTO.BancoRef),"(abra o arquivo 'Referência "&amp;Excel_BuiltIn_Database&amp;".xlsm)",IF(OR($C86&lt;&gt;"S",ORÇAMENTO.CodBarra=""),"(Sem Código)",IF(ISERROR(MATCH($AE86,INDIRECT(ORÇAMENTO.BancoRef),0)),"(Código não identificado nas referências)",MATCH($AE86,INDIRECT(ORÇAMENTO.BancoRef),0))))</f>
        <v>(Sem Código)</v>
      </c>
      <c r="AG86" s="428">
        <f t="array" aca="1" ref="AG86" ca="1">ROUND(IF(DESONERACAO="sim",REFERENCIA.Desonerado,REFERENCIA.NaoDesonerado),2)</f>
        <v>0</v>
      </c>
      <c r="AH86" s="429">
        <f t="shared" ca="1" si="27"/>
        <v>0.29389999999999999</v>
      </c>
      <c r="AJ86" s="431"/>
      <c r="AL86" s="439"/>
      <c r="AM86" s="336">
        <f t="shared" ca="1" si="0"/>
        <v>94923.199999999997</v>
      </c>
      <c r="AN86" s="469">
        <f t="array" aca="1" ref="AN86" ca="1">ROUND(ORÇAMENTO.CustoUnitario*(1+$AH86),2)</f>
        <v>0</v>
      </c>
    </row>
    <row r="87" spans="1:40" s="696" customFormat="1" ht="38.25" x14ac:dyDescent="0.2">
      <c r="A87" s="696" t="str">
        <f t="shared" si="15"/>
        <v>S</v>
      </c>
      <c r="B87" s="696">
        <f t="shared" ca="1" si="16"/>
        <v>2</v>
      </c>
      <c r="C87" s="696" t="str">
        <f t="shared" ca="1" si="17"/>
        <v>S</v>
      </c>
      <c r="D87" s="696">
        <f t="shared" ca="1" si="18"/>
        <v>0</v>
      </c>
      <c r="E87" s="696">
        <f ca="1">IF($C87=1,OFFSET(E87,-1,0)+MAX(1,COUNTIF(QCI!$A$13:$A$24,OFFSET(ORÇAMENTO!E87,-1,0))),OFFSET(E87,-1,0))</f>
        <v>1</v>
      </c>
      <c r="F87" s="696">
        <f t="shared" ca="1" si="19"/>
        <v>14</v>
      </c>
      <c r="G87" s="696">
        <f t="shared" ca="1" si="20"/>
        <v>0</v>
      </c>
      <c r="H87" s="696">
        <f t="shared" ca="1" si="21"/>
        <v>0</v>
      </c>
      <c r="I87" s="696">
        <f t="shared" ca="1" si="22"/>
        <v>1</v>
      </c>
      <c r="J87" s="696">
        <f t="shared" ca="1" si="28"/>
        <v>0</v>
      </c>
      <c r="K87" s="696">
        <f ca="1">IF(OR($C87="S",$C87=0),0,MATCH(OFFSET($D87,0,$C87)+IF($C87&lt;&gt;1,1,COUNTIF(QCI!$A$13:$A$24,ORÇAMENTO!E87)),OFFSET($D87,1,$C87,ROW($C$235)-ROW($C87)),0))</f>
        <v>0</v>
      </c>
      <c r="L87" s="114" t="str">
        <f t="shared" ca="1" si="23"/>
        <v>F</v>
      </c>
      <c r="M87" s="115" t="s">
        <v>705</v>
      </c>
      <c r="N87" s="116" t="str">
        <f t="shared" ca="1" si="24"/>
        <v>Serviço</v>
      </c>
      <c r="O87" s="117" t="str">
        <f t="shared" ca="1" si="25"/>
        <v>1.14.1.</v>
      </c>
      <c r="P87" s="118" t="s">
        <v>750</v>
      </c>
      <c r="Q87" s="119" t="s">
        <v>1072</v>
      </c>
      <c r="R87" s="120" t="str">
        <f t="array" aca="1" ref="R87" ca="1">IF($C87="S",REFERENCIA.Descricao,"(digite a descrição aqui)")</f>
        <v>CHAPISCO APLICADO EM ALVENARIAS E ESTRUTURAS DE CONCRETO INTERNAS, COM COLHER DE PEDREIRO. ARGAMASSA TRAÇO 1:3 COM PREPARO EM BETONEIRA 400L. AF_10/2022</v>
      </c>
      <c r="S87" s="121" t="str">
        <f t="array" aca="1" ref="S87" ca="1">REFERENCIA.Unidade</f>
        <v>M2</v>
      </c>
      <c r="T87" s="122">
        <f ca="1">OFFSET(CÁLCULO!H$15,ROW($T87)-ROW(T$15),0)</f>
        <v>2722</v>
      </c>
      <c r="U87" s="123">
        <f>4.93*0.94</f>
        <v>4.6341999999999999</v>
      </c>
      <c r="V87" s="124" t="s">
        <v>697</v>
      </c>
      <c r="W87" s="122">
        <f t="array" aca="1" ref="W87" ca="1">IF($C87="S",ROUND(IF(TIPOORCAMENTO="Proposto",ORÇAMENTO.CustoUnitario*(1+$AH87),ORÇAMENTO.PrecoUnitarioLicitado),15-13*$AF$10),0)</f>
        <v>5.57</v>
      </c>
      <c r="X87" s="125">
        <f t="array" aca="1" ref="X87" ca="1">IF($C87="S",IF(OR(Import.TipoArredondamento&lt;&gt;"TransfereGOV",ACOMPANHAMENTO="BM"),VTOTAL1,SUM(OFFSET(CÁLCULO!$AI$15,ROW($X87)-ROW($X$15),1):OFFSET(CÁLCULO!$BB$15,ROW($X87)-ROW($X$15),-1))),IF($C87=0,0,ROUND(SomaAgrup,15-13*$AF$11)))</f>
        <v>15161.56</v>
      </c>
      <c r="Y87" s="126" t="s">
        <v>751</v>
      </c>
      <c r="Z87" s="696" t="str">
        <f t="shared" ca="1" si="26"/>
        <v>RA</v>
      </c>
      <c r="AA87" s="127">
        <f t="array" aca="1" ref="AA87" ca="1">IF($C87="S",IF($Z87="CP",$X87,IF($Z87="RA",(($X87)*QCI!$AA$3),0)),SomaAgrup)</f>
        <v>0</v>
      </c>
      <c r="AB87" s="128">
        <f t="array" aca="1" ref="AB87" ca="1">IF($C87="S",IF($Z87="OU",ROUND($X87,2),0),SomaAgrup)</f>
        <v>0</v>
      </c>
      <c r="AC87" s="563" t="str">
        <f t="array" aca="1" ref="AC87" ca="1">IF($N87=""," ",
IF(AND($C87&lt;&gt;"S",OR($R87="",$R87="(digite a descrição aqui)")),"DESCRIÇÃO",
IF(AND($C87="S",OR($Q87&lt;&gt;"",$T87&gt;0,$U87&gt;0),$P87=""),"FONTE",
IF(AND($C87="S",$P87&lt;&gt;"",OR($T87&gt;0,$U87&gt;0),$Q87=""),"CÓDIGO",
IF(AND($C87="S",$P87&lt;&gt;"",$Q87&lt;&gt;"",$R87="(Código não identificado nas referências)"),"CÓDIGO N/ID",
IF(AND($C87="S",OR($R87="",$R87="(digite a descrição aqui)"),OR($Q87&lt;&gt;"",$T87&gt;0,$U87&gt;0)),"DESCRIÇÃO",
IF(AND($C87="S",$P87&lt;&gt;"",$Q87&lt;&gt;"",$S87=""),"UNIDADE",
IF(AND($C87="S",$P87&lt;&gt;"",$Q87&lt;&gt;"",$U87=0),"SEM CUSTO",
IF(AND(TIPOORCAMENTO="Licitado",$AL87=0,$AN87&gt;0),"SEM PREÇO",
IF(AND($C87="S",$P87&lt;&gt;"",$Q87&lt;&gt;"",$U87&gt;0,AND($V87&lt;&gt;"BDI 1",$V87&lt;&gt;"BDI 2",$V87&lt;&gt;"BDI 3")),IF(ISNUMBER($V87),"JUSTIFICAR BDI","BDI"),
IF(OR(AND(import.recurso="OGU",TIPOORCAMENTO="Proposto",LEFT($O$8,5)&lt;&gt;"(N/D:",$AG87&lt;&gt;"",ORÇAMENTO.CustoUnitario&gt;$AG87),AND(TIPOORCAMENTO="LICITADO",ORÇAMENTO.PrecoUnitarioLicitado&gt;$AN87)),"ACIMA REF.",
IF(AND($C87="S",$P87&lt;&gt;"",$Q87&lt;&gt;"",$T87=0,$U87&gt;0),"QUANT.",
IF(AND(Import.TipoArredondamento="TransfereGOV",$L87="F",$C87="S",LEN($Q87)&gt;13),"Código &gt;13",
IF(AND(Import.TipoArredondamento="TransfereGOV",$L87="F",$C87&lt;&gt;"S",LEN($R87)&gt;100),"Descrição &gt;100",
IF(AND(Import.TipoArredondamento="TransfereGOV",$L87="F",$C87="S",LEN($R87)&gt;500),"Descrição &gt;500",
IF(AND(Import.TipoArredondamento="TransfereGOV",$L87="F",$C87="S",LEFT(TRIM(UPPER($P87)),6)&lt;&gt;"SINAPI",ISNA(VLOOKUP(TRIM(UPPER($S87)),ListaTgov.Unidades,1,FALSE))),"Unid. Não Disp",
" "))))))))))))))))</f>
        <v xml:space="preserve"> </v>
      </c>
      <c r="AD87" s="696" t="str">
        <f ca="1">IF(C87&lt;=CRONO.NivelExibicao,MAX($AD$15:OFFSET(AD87,-1,0))+IF($C87&lt;&gt;1,1,MAX(1,COUNTIF(QCI!$A$13:$A$24,OFFSET($E87,-1,0)))),"")</f>
        <v/>
      </c>
      <c r="AE87" s="694" t="str">
        <f t="array" aca="1" ref="AE87" ca="1">IF(AND($C87="S",ORÇAMENTO.CodBarra&lt;&gt;""),IF(ORÇAMENTO.Fonte="",ORÇAMENTO.CodBarra,CONCATENATE(ORÇAMENTO.Fonte," ",ORÇAMENTO.CodBarra)))</f>
        <v>SINAPI 87879</v>
      </c>
      <c r="AF87" s="695">
        <f t="array" aca="1" ref="AF87" ca="1">IF(ISERROR(ORÇAMENTO.BancoRef),"(abra o arquivo 'Referência "&amp;Excel_BuiltIn_Database&amp;".xlsm)",IF(OR($C87&lt;&gt;"S",ORÇAMENTO.CodBarra=""),"(Sem Código)",IF(ISERROR(MATCH($AE87,INDIRECT(ORÇAMENTO.BancoRef),0)),"(Código não identificado nas referências)",MATCH($AE87,INDIRECT(ORÇAMENTO.BancoRef),0))))</f>
        <v>7285</v>
      </c>
      <c r="AG87" s="428">
        <f t="array" aca="1" ref="AG87" ca="1">ROUND(IF(DESONERACAO="sim",REFERENCIA.Desonerado,REFERENCIA.NaoDesonerado),2)</f>
        <v>4.93</v>
      </c>
      <c r="AH87" s="429">
        <f t="shared" ca="1" si="27"/>
        <v>0.2034</v>
      </c>
      <c r="AJ87" s="431"/>
      <c r="AL87" s="439"/>
      <c r="AM87" s="336">
        <f t="shared" ca="1" si="0"/>
        <v>15161.56</v>
      </c>
      <c r="AN87" s="469">
        <f t="array" aca="1" ref="AN87" ca="1">ROUND(ORÇAMENTO.CustoUnitario*(1+$AH87),2)</f>
        <v>5.57</v>
      </c>
    </row>
    <row r="88" spans="1:40" s="696" customFormat="1" ht="51" x14ac:dyDescent="0.2">
      <c r="A88" s="696" t="str">
        <f t="shared" si="15"/>
        <v>S</v>
      </c>
      <c r="B88" s="696">
        <f t="shared" ca="1" si="16"/>
        <v>2</v>
      </c>
      <c r="C88" s="696" t="str">
        <f t="shared" ca="1" si="17"/>
        <v>S</v>
      </c>
      <c r="D88" s="696">
        <f t="shared" ca="1" si="18"/>
        <v>0</v>
      </c>
      <c r="E88" s="696">
        <f ca="1">IF($C88=1,OFFSET(E88,-1,0)+MAX(1,COUNTIF(QCI!$A$13:$A$24,OFFSET(ORÇAMENTO!E88,-1,0))),OFFSET(E88,-1,0))</f>
        <v>1</v>
      </c>
      <c r="F88" s="696">
        <f t="shared" ca="1" si="19"/>
        <v>14</v>
      </c>
      <c r="G88" s="696">
        <f t="shared" ca="1" si="20"/>
        <v>0</v>
      </c>
      <c r="H88" s="696">
        <f t="shared" ca="1" si="21"/>
        <v>0</v>
      </c>
      <c r="I88" s="696">
        <f t="shared" ca="1" si="22"/>
        <v>2</v>
      </c>
      <c r="J88" s="696">
        <f t="shared" ca="1" si="28"/>
        <v>0</v>
      </c>
      <c r="K88" s="696">
        <f ca="1">IF(OR($C88="S",$C88=0),0,MATCH(OFFSET($D88,0,$C88)+IF($C88&lt;&gt;1,1,COUNTIF(QCI!$A$13:$A$24,ORÇAMENTO!E88)),OFFSET($D88,1,$C88,ROW($C$235)-ROW($C88)),0))</f>
        <v>0</v>
      </c>
      <c r="L88" s="114" t="str">
        <f t="shared" ca="1" si="23"/>
        <v>F</v>
      </c>
      <c r="M88" s="115" t="s">
        <v>705</v>
      </c>
      <c r="N88" s="116" t="str">
        <f t="shared" ca="1" si="24"/>
        <v>Serviço</v>
      </c>
      <c r="O88" s="117" t="str">
        <f t="shared" ca="1" si="25"/>
        <v>1.14.2.</v>
      </c>
      <c r="P88" s="118" t="s">
        <v>750</v>
      </c>
      <c r="Q88" s="119" t="s">
        <v>1073</v>
      </c>
      <c r="R88" s="120" t="str">
        <f t="array" aca="1" ref="R88" ca="1">IF($C88="S",REFERENCIA.Descricao,"(digite a descrição aqui)")</f>
        <v>CHAPISCO APLICADO NO TETO OU EM ALVENARIA E ESTRUTURA, COM ROLO PARA TEXTURA ACRÍLICA. ARGAMASSA TRAÇO 1:4 E EMULSÃO POLIMÉRICA (ADESIVO) COM PREPARO EM BETONEIRA 400L. AF_10/2022</v>
      </c>
      <c r="S88" s="121" t="str">
        <f t="array" aca="1" ref="S88" ca="1">REFERENCIA.Unidade</f>
        <v>M2</v>
      </c>
      <c r="T88" s="122">
        <f ca="1">OFFSET(CÁLCULO!H$15,ROW($T88)-ROW(T$15),0)</f>
        <v>88</v>
      </c>
      <c r="U88" s="123">
        <f>6.07*0.94</f>
        <v>5.7058</v>
      </c>
      <c r="V88" s="124" t="s">
        <v>697</v>
      </c>
      <c r="W88" s="122">
        <f t="array" aca="1" ref="W88" ca="1">IF($C88="S",ROUND(IF(TIPOORCAMENTO="Proposto",ORÇAMENTO.CustoUnitario*(1+$AH88),ORÇAMENTO.PrecoUnitarioLicitado),15-13*$AF$10),0)</f>
        <v>6.87</v>
      </c>
      <c r="X88" s="125">
        <f t="array" aca="1" ref="X88" ca="1">IF($C88="S",IF(OR(Import.TipoArredondamento&lt;&gt;"TransfereGOV",ACOMPANHAMENTO="BM"),VTOTAL1,SUM(OFFSET(CÁLCULO!$AI$15,ROW($X88)-ROW($X$15),1):OFFSET(CÁLCULO!$BB$15,ROW($X88)-ROW($X$15),-1))),IF($C88=0,0,ROUND(SomaAgrup,15-13*$AF$11)))</f>
        <v>604.55999999999995</v>
      </c>
      <c r="Y88" s="126" t="s">
        <v>751</v>
      </c>
      <c r="Z88" s="696" t="str">
        <f t="shared" ca="1" si="26"/>
        <v>RA</v>
      </c>
      <c r="AA88" s="127">
        <f t="array" aca="1" ref="AA88" ca="1">IF($C88="S",IF($Z88="CP",$X88,IF($Z88="RA",(($X88)*QCI!$AA$3),0)),SomaAgrup)</f>
        <v>0</v>
      </c>
      <c r="AB88" s="128">
        <f t="array" aca="1" ref="AB88" ca="1">IF($C88="S",IF($Z88="OU",ROUND($X88,2),0),SomaAgrup)</f>
        <v>0</v>
      </c>
      <c r="AC88" s="563" t="str">
        <f t="array" aca="1" ref="AC88" ca="1">IF($N88=""," ",
IF(AND($C88&lt;&gt;"S",OR($R88="",$R88="(digite a descrição aqui)")),"DESCRIÇÃO",
IF(AND($C88="S",OR($Q88&lt;&gt;"",$T88&gt;0,$U88&gt;0),$P88=""),"FONTE",
IF(AND($C88="S",$P88&lt;&gt;"",OR($T88&gt;0,$U88&gt;0),$Q88=""),"CÓDIGO",
IF(AND($C88="S",$P88&lt;&gt;"",$Q88&lt;&gt;"",$R88="(Código não identificado nas referências)"),"CÓDIGO N/ID",
IF(AND($C88="S",OR($R88="",$R88="(digite a descrição aqui)"),OR($Q88&lt;&gt;"",$T88&gt;0,$U88&gt;0)),"DESCRIÇÃO",
IF(AND($C88="S",$P88&lt;&gt;"",$Q88&lt;&gt;"",$S88=""),"UNIDADE",
IF(AND($C88="S",$P88&lt;&gt;"",$Q88&lt;&gt;"",$U88=0),"SEM CUSTO",
IF(AND(TIPOORCAMENTO="Licitado",$AL88=0,$AN88&gt;0),"SEM PREÇO",
IF(AND($C88="S",$P88&lt;&gt;"",$Q88&lt;&gt;"",$U88&gt;0,AND($V88&lt;&gt;"BDI 1",$V88&lt;&gt;"BDI 2",$V88&lt;&gt;"BDI 3")),IF(ISNUMBER($V88),"JUSTIFICAR BDI","BDI"),
IF(OR(AND(import.recurso="OGU",TIPOORCAMENTO="Proposto",LEFT($O$8,5)&lt;&gt;"(N/D:",$AG88&lt;&gt;"",ORÇAMENTO.CustoUnitario&gt;$AG88),AND(TIPOORCAMENTO="LICITADO",ORÇAMENTO.PrecoUnitarioLicitado&gt;$AN88)),"ACIMA REF.",
IF(AND($C88="S",$P88&lt;&gt;"",$Q88&lt;&gt;"",$T88=0,$U88&gt;0),"QUANT.",
IF(AND(Import.TipoArredondamento="TransfereGOV",$L88="F",$C88="S",LEN($Q88)&gt;13),"Código &gt;13",
IF(AND(Import.TipoArredondamento="TransfereGOV",$L88="F",$C88&lt;&gt;"S",LEN($R88)&gt;100),"Descrição &gt;100",
IF(AND(Import.TipoArredondamento="TransfereGOV",$L88="F",$C88="S",LEN($R88)&gt;500),"Descrição &gt;500",
IF(AND(Import.TipoArredondamento="TransfereGOV",$L88="F",$C88="S",LEFT(TRIM(UPPER($P88)),6)&lt;&gt;"SINAPI",ISNA(VLOOKUP(TRIM(UPPER($S88)),ListaTgov.Unidades,1,FALSE))),"Unid. Não Disp",
" "))))))))))))))))</f>
        <v xml:space="preserve"> </v>
      </c>
      <c r="AD88" s="696" t="str">
        <f ca="1">IF(C88&lt;=CRONO.NivelExibicao,MAX($AD$15:OFFSET(AD88,-1,0))+IF($C88&lt;&gt;1,1,MAX(1,COUNTIF(QCI!$A$13:$A$24,OFFSET($E88,-1,0)))),"")</f>
        <v/>
      </c>
      <c r="AE88" s="694" t="str">
        <f t="array" aca="1" ref="AE88" ca="1">IF(AND($C88="S",ORÇAMENTO.CodBarra&lt;&gt;""),IF(ORÇAMENTO.Fonte="",ORÇAMENTO.CodBarra,CONCATENATE(ORÇAMENTO.Fonte," ",ORÇAMENTO.CodBarra)))</f>
        <v>SINAPI 87882</v>
      </c>
      <c r="AF88" s="695">
        <f t="array" aca="1" ref="AF88" ca="1">IF(ISERROR(ORÇAMENTO.BancoRef),"(abra o arquivo 'Referência "&amp;Excel_BuiltIn_Database&amp;".xlsm)",IF(OR($C88&lt;&gt;"S",ORÇAMENTO.CodBarra=""),"(Sem Código)",IF(ISERROR(MATCH($AE88,INDIRECT(ORÇAMENTO.BancoRef),0)),"(Código não identificado nas referências)",MATCH($AE88,INDIRECT(ORÇAMENTO.BancoRef),0))))</f>
        <v>7289</v>
      </c>
      <c r="AG88" s="428">
        <f t="array" aca="1" ref="AG88" ca="1">ROUND(IF(DESONERACAO="sim",REFERENCIA.Desonerado,REFERENCIA.NaoDesonerado),2)</f>
        <v>6.07</v>
      </c>
      <c r="AH88" s="429">
        <f t="shared" ca="1" si="27"/>
        <v>0.2034</v>
      </c>
      <c r="AJ88" s="431"/>
      <c r="AL88" s="439"/>
      <c r="AM88" s="336">
        <f t="shared" ca="1" si="0"/>
        <v>604.55999999999995</v>
      </c>
      <c r="AN88" s="469">
        <f t="array" aca="1" ref="AN88" ca="1">ROUND(ORÇAMENTO.CustoUnitario*(1+$AH88),2)</f>
        <v>6.87</v>
      </c>
    </row>
    <row r="89" spans="1:40" s="696" customFormat="1" ht="51" x14ac:dyDescent="0.2">
      <c r="A89" s="696" t="str">
        <f t="shared" si="15"/>
        <v>S</v>
      </c>
      <c r="B89" s="696">
        <f t="shared" ca="1" si="16"/>
        <v>2</v>
      </c>
      <c r="C89" s="696" t="str">
        <f t="shared" ca="1" si="17"/>
        <v>S</v>
      </c>
      <c r="D89" s="696">
        <f t="shared" ca="1" si="18"/>
        <v>0</v>
      </c>
      <c r="E89" s="696">
        <f ca="1">IF($C89=1,OFFSET(E89,-1,0)+MAX(1,COUNTIF(QCI!$A$13:$A$24,OFFSET(ORÇAMENTO!E89,-1,0))),OFFSET(E89,-1,0))</f>
        <v>1</v>
      </c>
      <c r="F89" s="696">
        <f t="shared" ca="1" si="19"/>
        <v>14</v>
      </c>
      <c r="G89" s="696">
        <f t="shared" ca="1" si="20"/>
        <v>0</v>
      </c>
      <c r="H89" s="696">
        <f t="shared" ca="1" si="21"/>
        <v>0</v>
      </c>
      <c r="I89" s="696">
        <f t="shared" ca="1" si="22"/>
        <v>3</v>
      </c>
      <c r="J89" s="696">
        <f t="shared" ca="1" si="28"/>
        <v>0</v>
      </c>
      <c r="K89" s="696">
        <f ca="1">IF(OR($C89="S",$C89=0),0,MATCH(OFFSET($D89,0,$C89)+IF($C89&lt;&gt;1,1,COUNTIF(QCI!$A$13:$A$24,ORÇAMENTO!E89)),OFFSET($D89,1,$C89,ROW($C$235)-ROW($C89)),0))</f>
        <v>0</v>
      </c>
      <c r="L89" s="114" t="str">
        <f t="shared" ca="1" si="23"/>
        <v>F</v>
      </c>
      <c r="M89" s="115" t="s">
        <v>705</v>
      </c>
      <c r="N89" s="116" t="str">
        <f t="shared" ca="1" si="24"/>
        <v>Serviço</v>
      </c>
      <c r="O89" s="117" t="str">
        <f t="shared" ca="1" si="25"/>
        <v>1.14.3.</v>
      </c>
      <c r="P89" s="118" t="s">
        <v>750</v>
      </c>
      <c r="Q89" s="119" t="s">
        <v>1074</v>
      </c>
      <c r="R89" s="120" t="str">
        <f t="array" aca="1" ref="R89" ca="1">IF($C89="S",REFERENCIA.Descricao,"(digite a descrição aqui)")</f>
        <v>EMBOÇO, EM ARGAMASSA TRAÇO 1:2:8, PREPARO MECÂNICO, APLICADO MANUALMENTE EM PAREDES INTERNAS, PARA AMBIENTES COM ÁREA MENOR QUE 5M², E = 10MM, COM TALISCAS. AF_03/2024</v>
      </c>
      <c r="S89" s="121" t="str">
        <f t="array" aca="1" ref="S89" ca="1">REFERENCIA.Unidade</f>
        <v>M2</v>
      </c>
      <c r="T89" s="122">
        <f ca="1">OFFSET(CÁLCULO!H$15,ROW($T89)-ROW(T$15),0)</f>
        <v>93.96</v>
      </c>
      <c r="U89" s="123">
        <f>32.67*0.94</f>
        <v>30.709800000000001</v>
      </c>
      <c r="V89" s="124" t="s">
        <v>697</v>
      </c>
      <c r="W89" s="122">
        <f t="array" aca="1" ref="W89" ca="1">IF($C89="S",ROUND(IF(TIPOORCAMENTO="Proposto",ORÇAMENTO.CustoUnitario*(1+$AH89),ORÇAMENTO.PrecoUnitarioLicitado),15-13*$AF$10),0)</f>
        <v>36.96</v>
      </c>
      <c r="X89" s="125">
        <f t="array" aca="1" ref="X89" ca="1">IF($C89="S",IF(OR(Import.TipoArredondamento&lt;&gt;"TransfereGOV",ACOMPANHAMENTO="BM"),VTOTAL1,SUM(OFFSET(CÁLCULO!$AI$15,ROW($X89)-ROW($X$15),1):OFFSET(CÁLCULO!$BB$15,ROW($X89)-ROW($X$15),-1))),IF($C89=0,0,ROUND(SomaAgrup,15-13*$AF$11)))</f>
        <v>3472.76</v>
      </c>
      <c r="Y89" s="126" t="s">
        <v>751</v>
      </c>
      <c r="Z89" s="696" t="str">
        <f t="shared" ca="1" si="26"/>
        <v>RA</v>
      </c>
      <c r="AA89" s="127">
        <f t="array" aca="1" ref="AA89" ca="1">IF($C89="S",IF($Z89="CP",$X89,IF($Z89="RA",(($X89)*QCI!$AA$3),0)),SomaAgrup)</f>
        <v>0</v>
      </c>
      <c r="AB89" s="128">
        <f t="array" aca="1" ref="AB89" ca="1">IF($C89="S",IF($Z89="OU",ROUND($X89,2),0),SomaAgrup)</f>
        <v>0</v>
      </c>
      <c r="AC89" s="563" t="str">
        <f t="array" aca="1" ref="AC89" ca="1">IF($N89=""," ",
IF(AND($C89&lt;&gt;"S",OR($R89="",$R89="(digite a descrição aqui)")),"DESCRIÇÃO",
IF(AND($C89="S",OR($Q89&lt;&gt;"",$T89&gt;0,$U89&gt;0),$P89=""),"FONTE",
IF(AND($C89="S",$P89&lt;&gt;"",OR($T89&gt;0,$U89&gt;0),$Q89=""),"CÓDIGO",
IF(AND($C89="S",$P89&lt;&gt;"",$Q89&lt;&gt;"",$R89="(Código não identificado nas referências)"),"CÓDIGO N/ID",
IF(AND($C89="S",OR($R89="",$R89="(digite a descrição aqui)"),OR($Q89&lt;&gt;"",$T89&gt;0,$U89&gt;0)),"DESCRIÇÃO",
IF(AND($C89="S",$P89&lt;&gt;"",$Q89&lt;&gt;"",$S89=""),"UNIDADE",
IF(AND($C89="S",$P89&lt;&gt;"",$Q89&lt;&gt;"",$U89=0),"SEM CUSTO",
IF(AND(TIPOORCAMENTO="Licitado",$AL89=0,$AN89&gt;0),"SEM PREÇO",
IF(AND($C89="S",$P89&lt;&gt;"",$Q89&lt;&gt;"",$U89&gt;0,AND($V89&lt;&gt;"BDI 1",$V89&lt;&gt;"BDI 2",$V89&lt;&gt;"BDI 3")),IF(ISNUMBER($V89),"JUSTIFICAR BDI","BDI"),
IF(OR(AND(import.recurso="OGU",TIPOORCAMENTO="Proposto",LEFT($O$8,5)&lt;&gt;"(N/D:",$AG89&lt;&gt;"",ORÇAMENTO.CustoUnitario&gt;$AG89),AND(TIPOORCAMENTO="LICITADO",ORÇAMENTO.PrecoUnitarioLicitado&gt;$AN89)),"ACIMA REF.",
IF(AND($C89="S",$P89&lt;&gt;"",$Q89&lt;&gt;"",$T89=0,$U89&gt;0),"QUANT.",
IF(AND(Import.TipoArredondamento="TransfereGOV",$L89="F",$C89="S",LEN($Q89)&gt;13),"Código &gt;13",
IF(AND(Import.TipoArredondamento="TransfereGOV",$L89="F",$C89&lt;&gt;"S",LEN($R89)&gt;100),"Descrição &gt;100",
IF(AND(Import.TipoArredondamento="TransfereGOV",$L89="F",$C89="S",LEN($R89)&gt;500),"Descrição &gt;500",
IF(AND(Import.TipoArredondamento="TransfereGOV",$L89="F",$C89="S",LEFT(TRIM(UPPER($P89)),6)&lt;&gt;"SINAPI",ISNA(VLOOKUP(TRIM(UPPER($S89)),ListaTgov.Unidades,1,FALSE))),"Unid. Não Disp",
" "))))))))))))))))</f>
        <v xml:space="preserve"> </v>
      </c>
      <c r="AD89" s="696" t="str">
        <f ca="1">IF(C89&lt;=CRONO.NivelExibicao,MAX($AD$15:OFFSET(AD89,-1,0))+IF($C89&lt;&gt;1,1,MAX(1,COUNTIF(QCI!$A$13:$A$24,OFFSET($E89,-1,0)))),"")</f>
        <v/>
      </c>
      <c r="AE89" s="694" t="str">
        <f t="array" aca="1" ref="AE89" ca="1">IF(AND($C89="S",ORÇAMENTO.CodBarra&lt;&gt;""),IF(ORÇAMENTO.Fonte="",ORÇAMENTO.CodBarra,CONCATENATE(ORÇAMENTO.Fonte," ",ORÇAMENTO.CodBarra)))</f>
        <v>SINAPI 87545</v>
      </c>
      <c r="AF89" s="695">
        <f t="array" aca="1" ref="AF89" ca="1">IF(ISERROR(ORÇAMENTO.BancoRef),"(abra o arquivo 'Referência "&amp;Excel_BuiltIn_Database&amp;".xlsm)",IF(OR($C89&lt;&gt;"S",ORÇAMENTO.CodBarra=""),"(Sem Código)",IF(ISERROR(MATCH($AE89,INDIRECT(ORÇAMENTO.BancoRef),0)),"(Código não identificado nas referências)",MATCH($AE89,INDIRECT(ORÇAMENTO.BancoRef),0))))</f>
        <v>13436</v>
      </c>
      <c r="AG89" s="428">
        <f t="array" aca="1" ref="AG89" ca="1">ROUND(IF(DESONERACAO="sim",REFERENCIA.Desonerado,REFERENCIA.NaoDesonerado),2)</f>
        <v>32.67</v>
      </c>
      <c r="AH89" s="429">
        <f t="shared" ca="1" si="27"/>
        <v>0.2034</v>
      </c>
      <c r="AJ89" s="431"/>
      <c r="AL89" s="439"/>
      <c r="AM89" s="336">
        <f t="shared" ca="1" si="0"/>
        <v>3472.76</v>
      </c>
      <c r="AN89" s="469">
        <f t="array" aca="1" ref="AN89" ca="1">ROUND(ORÇAMENTO.CustoUnitario*(1+$AH89),2)</f>
        <v>36.96</v>
      </c>
    </row>
    <row r="90" spans="1:40" s="696" customFormat="1" ht="51" x14ac:dyDescent="0.2">
      <c r="A90" s="696" t="str">
        <f t="shared" si="15"/>
        <v>S</v>
      </c>
      <c r="B90" s="696">
        <f t="shared" ca="1" si="16"/>
        <v>2</v>
      </c>
      <c r="C90" s="696" t="str">
        <f t="shared" ca="1" si="17"/>
        <v>S</v>
      </c>
      <c r="D90" s="696">
        <f t="shared" ca="1" si="18"/>
        <v>0</v>
      </c>
      <c r="E90" s="696">
        <f ca="1">IF($C90=1,OFFSET(E90,-1,0)+MAX(1,COUNTIF(QCI!$A$13:$A$24,OFFSET(ORÇAMENTO!E90,-1,0))),OFFSET(E90,-1,0))</f>
        <v>1</v>
      </c>
      <c r="F90" s="696">
        <f t="shared" ca="1" si="19"/>
        <v>14</v>
      </c>
      <c r="G90" s="696">
        <f t="shared" ca="1" si="20"/>
        <v>0</v>
      </c>
      <c r="H90" s="696">
        <f t="shared" ca="1" si="21"/>
        <v>0</v>
      </c>
      <c r="I90" s="696">
        <f t="shared" ca="1" si="22"/>
        <v>4</v>
      </c>
      <c r="J90" s="696">
        <f t="shared" ca="1" si="28"/>
        <v>0</v>
      </c>
      <c r="K90" s="696">
        <f ca="1">IF(OR($C90="S",$C90=0),0,MATCH(OFFSET($D90,0,$C90)+IF($C90&lt;&gt;1,1,COUNTIF(QCI!$A$13:$A$24,ORÇAMENTO!E90)),OFFSET($D90,1,$C90,ROW($C$235)-ROW($C90)),0))</f>
        <v>0</v>
      </c>
      <c r="L90" s="114" t="str">
        <f t="shared" ca="1" si="23"/>
        <v>F</v>
      </c>
      <c r="M90" s="115" t="s">
        <v>705</v>
      </c>
      <c r="N90" s="116" t="str">
        <f t="shared" ca="1" si="24"/>
        <v>Serviço</v>
      </c>
      <c r="O90" s="117" t="str">
        <f t="shared" ca="1" si="25"/>
        <v>1.14.4.</v>
      </c>
      <c r="P90" s="118" t="s">
        <v>750</v>
      </c>
      <c r="Q90" s="119" t="s">
        <v>1075</v>
      </c>
      <c r="R90" s="120" t="str">
        <f t="array" aca="1" ref="R90" ca="1">IF($C90="S",REFERENCIA.Descricao,"(digite a descrição aqui)")</f>
        <v>MASSA ÚNICA, EM ARGAMASSA TRAÇO 1:2:8, PREPARO MECÂNICO, APLICADA MANUALMENTE EM PAREDES INTERNAS DE AMBIENTES COM ÁREA ENTRE 5M² E 10M², E = 10MM, COM TALISCAS. AF_03/2024</v>
      </c>
      <c r="S90" s="121" t="str">
        <f t="array" aca="1" ref="S90" ca="1">REFERENCIA.Unidade</f>
        <v>M2</v>
      </c>
      <c r="T90" s="122">
        <f ca="1">OFFSET(CÁLCULO!H$15,ROW($T90)-ROW(T$15),0)</f>
        <v>1601</v>
      </c>
      <c r="U90" s="123">
        <f>29.3*0.94</f>
        <v>27.541999999999998</v>
      </c>
      <c r="V90" s="124" t="s">
        <v>697</v>
      </c>
      <c r="W90" s="122">
        <f t="array" aca="1" ref="W90" ca="1">IF($C90="S",ROUND(IF(TIPOORCAMENTO="Proposto",ORÇAMENTO.CustoUnitario*(1+$AH90),ORÇAMENTO.PrecoUnitarioLicitado),15-13*$AF$10),0)</f>
        <v>33.14</v>
      </c>
      <c r="X90" s="125">
        <f t="array" aca="1" ref="X90" ca="1">IF($C90="S",IF(OR(Import.TipoArredondamento&lt;&gt;"TransfereGOV",ACOMPANHAMENTO="BM"),VTOTAL1,SUM(OFFSET(CÁLCULO!$AI$15,ROW($X90)-ROW($X$15),1):OFFSET(CÁLCULO!$BB$15,ROW($X90)-ROW($X$15),-1))),IF($C90=0,0,ROUND(SomaAgrup,15-13*$AF$11)))</f>
        <v>53057.16</v>
      </c>
      <c r="Y90" s="126" t="s">
        <v>751</v>
      </c>
      <c r="Z90" s="696" t="str">
        <f t="shared" ca="1" si="26"/>
        <v>RA</v>
      </c>
      <c r="AA90" s="127">
        <f t="array" aca="1" ref="AA90" ca="1">IF($C90="S",IF($Z90="CP",$X90,IF($Z90="RA",(($X90)*QCI!$AA$3),0)),SomaAgrup)</f>
        <v>0</v>
      </c>
      <c r="AB90" s="128">
        <f t="array" aca="1" ref="AB90" ca="1">IF($C90="S",IF($Z90="OU",ROUND($X90,2),0),SomaAgrup)</f>
        <v>0</v>
      </c>
      <c r="AC90" s="563" t="str">
        <f t="array" aca="1" ref="AC90" ca="1">IF($N90=""," ",
IF(AND($C90&lt;&gt;"S",OR($R90="",$R90="(digite a descrição aqui)")),"DESCRIÇÃO",
IF(AND($C90="S",OR($Q90&lt;&gt;"",$T90&gt;0,$U90&gt;0),$P90=""),"FONTE",
IF(AND($C90="S",$P90&lt;&gt;"",OR($T90&gt;0,$U90&gt;0),$Q90=""),"CÓDIGO",
IF(AND($C90="S",$P90&lt;&gt;"",$Q90&lt;&gt;"",$R90="(Código não identificado nas referências)"),"CÓDIGO N/ID",
IF(AND($C90="S",OR($R90="",$R90="(digite a descrição aqui)"),OR($Q90&lt;&gt;"",$T90&gt;0,$U90&gt;0)),"DESCRIÇÃO",
IF(AND($C90="S",$P90&lt;&gt;"",$Q90&lt;&gt;"",$S90=""),"UNIDADE",
IF(AND($C90="S",$P90&lt;&gt;"",$Q90&lt;&gt;"",$U90=0),"SEM CUSTO",
IF(AND(TIPOORCAMENTO="Licitado",$AL90=0,$AN90&gt;0),"SEM PREÇO",
IF(AND($C90="S",$P90&lt;&gt;"",$Q90&lt;&gt;"",$U90&gt;0,AND($V90&lt;&gt;"BDI 1",$V90&lt;&gt;"BDI 2",$V90&lt;&gt;"BDI 3")),IF(ISNUMBER($V90),"JUSTIFICAR BDI","BDI"),
IF(OR(AND(import.recurso="OGU",TIPOORCAMENTO="Proposto",LEFT($O$8,5)&lt;&gt;"(N/D:",$AG90&lt;&gt;"",ORÇAMENTO.CustoUnitario&gt;$AG90),AND(TIPOORCAMENTO="LICITADO",ORÇAMENTO.PrecoUnitarioLicitado&gt;$AN90)),"ACIMA REF.",
IF(AND($C90="S",$P90&lt;&gt;"",$Q90&lt;&gt;"",$T90=0,$U90&gt;0),"QUANT.",
IF(AND(Import.TipoArredondamento="TransfereGOV",$L90="F",$C90="S",LEN($Q90)&gt;13),"Código &gt;13",
IF(AND(Import.TipoArredondamento="TransfereGOV",$L90="F",$C90&lt;&gt;"S",LEN($R90)&gt;100),"Descrição &gt;100",
IF(AND(Import.TipoArredondamento="TransfereGOV",$L90="F",$C90="S",LEN($R90)&gt;500),"Descrição &gt;500",
IF(AND(Import.TipoArredondamento="TransfereGOV",$L90="F",$C90="S",LEFT(TRIM(UPPER($P90)),6)&lt;&gt;"SINAPI",ISNA(VLOOKUP(TRIM(UPPER($S90)),ListaTgov.Unidades,1,FALSE))),"Unid. Não Disp",
" "))))))))))))))))</f>
        <v xml:space="preserve"> </v>
      </c>
      <c r="AD90" s="696" t="str">
        <f ca="1">IF(C90&lt;=CRONO.NivelExibicao,MAX($AD$15:OFFSET(AD90,-1,0))+IF($C90&lt;&gt;1,1,MAX(1,COUNTIF(QCI!$A$13:$A$24,OFFSET($E90,-1,0)))),"")</f>
        <v/>
      </c>
      <c r="AE90" s="694" t="str">
        <f t="array" aca="1" ref="AE90" ca="1">IF(AND($C90="S",ORÇAMENTO.CodBarra&lt;&gt;""),IF(ORÇAMENTO.Fonte="",ORÇAMENTO.CodBarra,CONCATENATE(ORÇAMENTO.Fonte," ",ORÇAMENTO.CodBarra)))</f>
        <v>SINAPI 87547</v>
      </c>
      <c r="AF90" s="695">
        <f t="array" aca="1" ref="AF90" ca="1">IF(ISERROR(ORÇAMENTO.BancoRef),"(abra o arquivo 'Referência "&amp;Excel_BuiltIn_Database&amp;".xlsm)",IF(OR($C90&lt;&gt;"S",ORÇAMENTO.CodBarra=""),"(Sem Código)",IF(ISERROR(MATCH($AE90,INDIRECT(ORÇAMENTO.BancoRef),0)),"(Código não identificado nas referências)",MATCH($AE90,INDIRECT(ORÇAMENTO.BancoRef),0))))</f>
        <v>13454</v>
      </c>
      <c r="AG90" s="428">
        <f t="array" aca="1" ref="AG90" ca="1">ROUND(IF(DESONERACAO="sim",REFERENCIA.Desonerado,REFERENCIA.NaoDesonerado),2)</f>
        <v>29.3</v>
      </c>
      <c r="AH90" s="429">
        <f t="shared" ca="1" si="27"/>
        <v>0.2034</v>
      </c>
      <c r="AJ90" s="431"/>
      <c r="AL90" s="439"/>
      <c r="AM90" s="336">
        <f t="shared" ca="1" si="0"/>
        <v>53057.16</v>
      </c>
      <c r="AN90" s="469">
        <f t="array" aca="1" ref="AN90" ca="1">ROUND(ORÇAMENTO.CustoUnitario*(1+$AH90),2)</f>
        <v>33.14</v>
      </c>
    </row>
    <row r="91" spans="1:40" s="696" customFormat="1" ht="38.25" x14ac:dyDescent="0.2">
      <c r="A91" s="696" t="str">
        <f t="shared" si="15"/>
        <v>S</v>
      </c>
      <c r="B91" s="696">
        <f t="shared" ca="1" si="16"/>
        <v>2</v>
      </c>
      <c r="C91" s="696" t="str">
        <f t="shared" ca="1" si="17"/>
        <v>S</v>
      </c>
      <c r="D91" s="696">
        <f t="shared" ca="1" si="18"/>
        <v>0</v>
      </c>
      <c r="E91" s="696">
        <f ca="1">IF($C91=1,OFFSET(E91,-1,0)+MAX(1,COUNTIF(QCI!$A$13:$A$24,OFFSET(ORÇAMENTO!E91,-1,0))),OFFSET(E91,-1,0))</f>
        <v>1</v>
      </c>
      <c r="F91" s="696">
        <f t="shared" ca="1" si="19"/>
        <v>14</v>
      </c>
      <c r="G91" s="696">
        <f t="shared" ca="1" si="20"/>
        <v>0</v>
      </c>
      <c r="H91" s="696">
        <f t="shared" ca="1" si="21"/>
        <v>0</v>
      </c>
      <c r="I91" s="696">
        <f t="shared" ca="1" si="22"/>
        <v>5</v>
      </c>
      <c r="J91" s="696">
        <f t="shared" ca="1" si="28"/>
        <v>0</v>
      </c>
      <c r="K91" s="696">
        <f ca="1">IF(OR($C91="S",$C91=0),0,MATCH(OFFSET($D91,0,$C91)+IF($C91&lt;&gt;1,1,COUNTIF(QCI!$A$13:$A$24,ORÇAMENTO!E91)),OFFSET($D91,1,$C91,ROW($C$235)-ROW($C91)),0))</f>
        <v>0</v>
      </c>
      <c r="L91" s="114" t="str">
        <f t="shared" ca="1" si="23"/>
        <v>F</v>
      </c>
      <c r="M91" s="115" t="s">
        <v>705</v>
      </c>
      <c r="N91" s="116" t="str">
        <f t="shared" ca="1" si="24"/>
        <v>Serviço</v>
      </c>
      <c r="O91" s="117" t="str">
        <f t="shared" ca="1" si="25"/>
        <v>1.14.5.</v>
      </c>
      <c r="P91" s="118" t="s">
        <v>750</v>
      </c>
      <c r="Q91" s="119" t="s">
        <v>1076</v>
      </c>
      <c r="R91" s="120" t="str">
        <f t="array" aca="1" ref="R91" ca="1">IF($C91="S",REFERENCIA.Descricao,"(digite a descrição aqui)")</f>
        <v>MASSA ÚNICA, EM ARGAMASSA TRAÇO 1:2:8 PREPARO MECÂNICO, APLICADA MANUALMENTE EM PAREDES INTERNAS DE AMBIENTES COM ÁREA MAIOR QUE 10M², E = 10MM, COM TALISCAS. AF_03/2024</v>
      </c>
      <c r="S91" s="121" t="str">
        <f t="array" aca="1" ref="S91" ca="1">REFERENCIA.Unidade</f>
        <v>M2</v>
      </c>
      <c r="T91" s="122">
        <f ca="1">OFFSET(CÁLCULO!H$15,ROW($T91)-ROW(T$15),0)</f>
        <v>651.20000000000005</v>
      </c>
      <c r="U91" s="123">
        <f>25.83*0.94</f>
        <v>24.280199999999997</v>
      </c>
      <c r="V91" s="124" t="s">
        <v>697</v>
      </c>
      <c r="W91" s="122">
        <f t="array" aca="1" ref="W91" ca="1">IF($C91="S",ROUND(IF(TIPOORCAMENTO="Proposto",ORÇAMENTO.CustoUnitario*(1+$AH91),ORÇAMENTO.PrecoUnitarioLicitado),15-13*$AF$10),0)</f>
        <v>29.22</v>
      </c>
      <c r="X91" s="125">
        <f t="array" aca="1" ref="X91" ca="1">IF($C91="S",IF(OR(Import.TipoArredondamento&lt;&gt;"TransfereGOV",ACOMPANHAMENTO="BM"),VTOTAL1,SUM(OFFSET(CÁLCULO!$AI$15,ROW($X91)-ROW($X$15),1):OFFSET(CÁLCULO!$BB$15,ROW($X91)-ROW($X$15),-1))),IF($C91=0,0,ROUND(SomaAgrup,15-13*$AF$11)))</f>
        <v>19028.080000000002</v>
      </c>
      <c r="Y91" s="126" t="s">
        <v>751</v>
      </c>
      <c r="Z91" s="696" t="str">
        <f t="shared" ca="1" si="26"/>
        <v>RA</v>
      </c>
      <c r="AA91" s="127">
        <f t="array" aca="1" ref="AA91" ca="1">IF($C91="S",IF($Z91="CP",$X91,IF($Z91="RA",(($X91)*QCI!$AA$3),0)),SomaAgrup)</f>
        <v>0</v>
      </c>
      <c r="AB91" s="128">
        <f t="array" aca="1" ref="AB91" ca="1">IF($C91="S",IF($Z91="OU",ROUND($X91,2),0),SomaAgrup)</f>
        <v>0</v>
      </c>
      <c r="AC91" s="563" t="str">
        <f t="array" aca="1" ref="AC91" ca="1">IF($N91=""," ",
IF(AND($C91&lt;&gt;"S",OR($R91="",$R91="(digite a descrição aqui)")),"DESCRIÇÃO",
IF(AND($C91="S",OR($Q91&lt;&gt;"",$T91&gt;0,$U91&gt;0),$P91=""),"FONTE",
IF(AND($C91="S",$P91&lt;&gt;"",OR($T91&gt;0,$U91&gt;0),$Q91=""),"CÓDIGO",
IF(AND($C91="S",$P91&lt;&gt;"",$Q91&lt;&gt;"",$R91="(Código não identificado nas referências)"),"CÓDIGO N/ID",
IF(AND($C91="S",OR($R91="",$R91="(digite a descrição aqui)"),OR($Q91&lt;&gt;"",$T91&gt;0,$U91&gt;0)),"DESCRIÇÃO",
IF(AND($C91="S",$P91&lt;&gt;"",$Q91&lt;&gt;"",$S91=""),"UNIDADE",
IF(AND($C91="S",$P91&lt;&gt;"",$Q91&lt;&gt;"",$U91=0),"SEM CUSTO",
IF(AND(TIPOORCAMENTO="Licitado",$AL91=0,$AN91&gt;0),"SEM PREÇO",
IF(AND($C91="S",$P91&lt;&gt;"",$Q91&lt;&gt;"",$U91&gt;0,AND($V91&lt;&gt;"BDI 1",$V91&lt;&gt;"BDI 2",$V91&lt;&gt;"BDI 3")),IF(ISNUMBER($V91),"JUSTIFICAR BDI","BDI"),
IF(OR(AND(import.recurso="OGU",TIPOORCAMENTO="Proposto",LEFT($O$8,5)&lt;&gt;"(N/D:",$AG91&lt;&gt;"",ORÇAMENTO.CustoUnitario&gt;$AG91),AND(TIPOORCAMENTO="LICITADO",ORÇAMENTO.PrecoUnitarioLicitado&gt;$AN91)),"ACIMA REF.",
IF(AND($C91="S",$P91&lt;&gt;"",$Q91&lt;&gt;"",$T91=0,$U91&gt;0),"QUANT.",
IF(AND(Import.TipoArredondamento="TransfereGOV",$L91="F",$C91="S",LEN($Q91)&gt;13),"Código &gt;13",
IF(AND(Import.TipoArredondamento="TransfereGOV",$L91="F",$C91&lt;&gt;"S",LEN($R91)&gt;100),"Descrição &gt;100",
IF(AND(Import.TipoArredondamento="TransfereGOV",$L91="F",$C91="S",LEN($R91)&gt;500),"Descrição &gt;500",
IF(AND(Import.TipoArredondamento="TransfereGOV",$L91="F",$C91="S",LEFT(TRIM(UPPER($P91)),6)&lt;&gt;"SINAPI",ISNA(VLOOKUP(TRIM(UPPER($S91)),ListaTgov.Unidades,1,FALSE))),"Unid. Não Disp",
" "))))))))))))))))</f>
        <v xml:space="preserve"> </v>
      </c>
      <c r="AD91" s="696" t="str">
        <f ca="1">IF(C91&lt;=CRONO.NivelExibicao,MAX($AD$15:OFFSET(AD91,-1,0))+IF($C91&lt;&gt;1,1,MAX(1,COUNTIF(QCI!$A$13:$A$24,OFFSET($E91,-1,0)))),"")</f>
        <v/>
      </c>
      <c r="AE91" s="694" t="str">
        <f t="array" aca="1" ref="AE91" ca="1">IF(AND($C91="S",ORÇAMENTO.CodBarra&lt;&gt;""),IF(ORÇAMENTO.Fonte="",ORÇAMENTO.CodBarra,CONCATENATE(ORÇAMENTO.Fonte," ",ORÇAMENTO.CodBarra)))</f>
        <v>SINAPI 104958</v>
      </c>
      <c r="AF91" s="695">
        <f t="array" aca="1" ref="AF91" ca="1">IF(ISERROR(ORÇAMENTO.BancoRef),"(abra o arquivo 'Referência "&amp;Excel_BuiltIn_Database&amp;".xlsm)",IF(OR($C91&lt;&gt;"S",ORÇAMENTO.CodBarra=""),"(Sem Código)",IF(ISERROR(MATCH($AE91,INDIRECT(ORÇAMENTO.BancoRef),0)),"(Código não identificado nas referências)",MATCH($AE91,INDIRECT(ORÇAMENTO.BancoRef),0))))</f>
        <v>13442</v>
      </c>
      <c r="AG91" s="428">
        <f t="array" aca="1" ref="AG91" ca="1">ROUND(IF(DESONERACAO="sim",REFERENCIA.Desonerado,REFERENCIA.NaoDesonerado),2)</f>
        <v>25.83</v>
      </c>
      <c r="AH91" s="429">
        <f t="shared" ca="1" si="27"/>
        <v>0.2034</v>
      </c>
      <c r="AJ91" s="431"/>
      <c r="AL91" s="439"/>
      <c r="AM91" s="336">
        <f t="shared" ca="1" si="0"/>
        <v>19028.080000000002</v>
      </c>
      <c r="AN91" s="469">
        <f t="array" aca="1" ref="AN91" ca="1">ROUND(ORÇAMENTO.CustoUnitario*(1+$AH91),2)</f>
        <v>29.22</v>
      </c>
    </row>
    <row r="92" spans="1:40" s="696" customFormat="1" ht="38.25" x14ac:dyDescent="0.2">
      <c r="A92" s="696" t="str">
        <f t="shared" si="15"/>
        <v>S</v>
      </c>
      <c r="B92" s="696">
        <f t="shared" ca="1" si="16"/>
        <v>2</v>
      </c>
      <c r="C92" s="696" t="str">
        <f t="shared" ca="1" si="17"/>
        <v>S</v>
      </c>
      <c r="D92" s="696">
        <f t="shared" ca="1" si="18"/>
        <v>0</v>
      </c>
      <c r="E92" s="696">
        <f ca="1">IF($C92=1,OFFSET(E92,-1,0)+MAX(1,COUNTIF(QCI!$A$13:$A$24,OFFSET(ORÇAMENTO!E92,-1,0))),OFFSET(E92,-1,0))</f>
        <v>1</v>
      </c>
      <c r="F92" s="696">
        <f t="shared" ca="1" si="19"/>
        <v>14</v>
      </c>
      <c r="G92" s="696">
        <f t="shared" ca="1" si="20"/>
        <v>0</v>
      </c>
      <c r="H92" s="696">
        <f t="shared" ca="1" si="21"/>
        <v>0</v>
      </c>
      <c r="I92" s="696">
        <f t="shared" ca="1" si="22"/>
        <v>6</v>
      </c>
      <c r="J92" s="696">
        <f t="shared" ca="1" si="28"/>
        <v>0</v>
      </c>
      <c r="K92" s="696">
        <f ca="1">IF(OR($C92="S",$C92=0),0,MATCH(OFFSET($D92,0,$C92)+IF($C92&lt;&gt;1,1,COUNTIF(QCI!$A$13:$A$24,ORÇAMENTO!E92)),OFFSET($D92,1,$C92,ROW($C$235)-ROW($C92)),0))</f>
        <v>0</v>
      </c>
      <c r="L92" s="114" t="str">
        <f t="shared" ca="1" si="23"/>
        <v>F</v>
      </c>
      <c r="M92" s="115" t="s">
        <v>705</v>
      </c>
      <c r="N92" s="116" t="str">
        <f t="shared" ca="1" si="24"/>
        <v>Serviço</v>
      </c>
      <c r="O92" s="117" t="str">
        <f t="shared" ca="1" si="25"/>
        <v>1.14.6.</v>
      </c>
      <c r="P92" s="118" t="s">
        <v>750</v>
      </c>
      <c r="Q92" s="119" t="s">
        <v>1077</v>
      </c>
      <c r="R92" s="120" t="str">
        <f t="array" aca="1" ref="R92" ca="1">IF($C92="S",REFERENCIA.Descricao,"(digite a descrição aqui)")</f>
        <v>MASSA ÚNICA, EM ARGAMASSA TRAÇO 1:2:8, PREPARO MECÂNICO, APLICADA MANUALMENTE EM TETO, E = 10MM, COM TALISCAS. AF_03/2024</v>
      </c>
      <c r="S92" s="121" t="str">
        <f t="array" aca="1" ref="S92" ca="1">REFERENCIA.Unidade</f>
        <v>M2</v>
      </c>
      <c r="T92" s="122">
        <f ca="1">OFFSET(CÁLCULO!H$15,ROW($T92)-ROW(T$15),0)</f>
        <v>88.8</v>
      </c>
      <c r="U92" s="123">
        <f>35.83*0.94</f>
        <v>33.680199999999999</v>
      </c>
      <c r="V92" s="124" t="s">
        <v>697</v>
      </c>
      <c r="W92" s="122">
        <f t="array" aca="1" ref="W92" ca="1">IF($C92="S",ROUND(IF(TIPOORCAMENTO="Proposto",ORÇAMENTO.CustoUnitario*(1+$AH92),ORÇAMENTO.PrecoUnitarioLicitado),15-13*$AF$10),0)</f>
        <v>40.53</v>
      </c>
      <c r="X92" s="125">
        <f t="array" aca="1" ref="X92" ca="1">IF($C92="S",IF(OR(Import.TipoArredondamento&lt;&gt;"TransfereGOV",ACOMPANHAMENTO="BM"),VTOTAL1,SUM(OFFSET(CÁLCULO!$AI$15,ROW($X92)-ROW($X$15),1):OFFSET(CÁLCULO!$BB$15,ROW($X92)-ROW($X$15),-1))),IF($C92=0,0,ROUND(SomaAgrup,15-13*$AF$11)))</f>
        <v>3599.08</v>
      </c>
      <c r="Y92" s="126" t="s">
        <v>751</v>
      </c>
      <c r="Z92" s="696" t="str">
        <f t="shared" ca="1" si="26"/>
        <v>RA</v>
      </c>
      <c r="AA92" s="127">
        <f t="array" aca="1" ref="AA92" ca="1">IF($C92="S",IF($Z92="CP",$X92,IF($Z92="RA",(($X92)*QCI!$AA$3),0)),SomaAgrup)</f>
        <v>0</v>
      </c>
      <c r="AB92" s="128">
        <f t="array" aca="1" ref="AB92" ca="1">IF($C92="S",IF($Z92="OU",ROUND($X92,2),0),SomaAgrup)</f>
        <v>0</v>
      </c>
      <c r="AC92" s="563" t="str">
        <f t="array" aca="1" ref="AC92" ca="1">IF($N92=""," ",
IF(AND($C92&lt;&gt;"S",OR($R92="",$R92="(digite a descrição aqui)")),"DESCRIÇÃO",
IF(AND($C92="S",OR($Q92&lt;&gt;"",$T92&gt;0,$U92&gt;0),$P92=""),"FONTE",
IF(AND($C92="S",$P92&lt;&gt;"",OR($T92&gt;0,$U92&gt;0),$Q92=""),"CÓDIGO",
IF(AND($C92="S",$P92&lt;&gt;"",$Q92&lt;&gt;"",$R92="(Código não identificado nas referências)"),"CÓDIGO N/ID",
IF(AND($C92="S",OR($R92="",$R92="(digite a descrição aqui)"),OR($Q92&lt;&gt;"",$T92&gt;0,$U92&gt;0)),"DESCRIÇÃO",
IF(AND($C92="S",$P92&lt;&gt;"",$Q92&lt;&gt;"",$S92=""),"UNIDADE",
IF(AND($C92="S",$P92&lt;&gt;"",$Q92&lt;&gt;"",$U92=0),"SEM CUSTO",
IF(AND(TIPOORCAMENTO="Licitado",$AL92=0,$AN92&gt;0),"SEM PREÇO",
IF(AND($C92="S",$P92&lt;&gt;"",$Q92&lt;&gt;"",$U92&gt;0,AND($V92&lt;&gt;"BDI 1",$V92&lt;&gt;"BDI 2",$V92&lt;&gt;"BDI 3")),IF(ISNUMBER($V92),"JUSTIFICAR BDI","BDI"),
IF(OR(AND(import.recurso="OGU",TIPOORCAMENTO="Proposto",LEFT($O$8,5)&lt;&gt;"(N/D:",$AG92&lt;&gt;"",ORÇAMENTO.CustoUnitario&gt;$AG92),AND(TIPOORCAMENTO="LICITADO",ORÇAMENTO.PrecoUnitarioLicitado&gt;$AN92)),"ACIMA REF.",
IF(AND($C92="S",$P92&lt;&gt;"",$Q92&lt;&gt;"",$T92=0,$U92&gt;0),"QUANT.",
IF(AND(Import.TipoArredondamento="TransfereGOV",$L92="F",$C92="S",LEN($Q92)&gt;13),"Código &gt;13",
IF(AND(Import.TipoArredondamento="TransfereGOV",$L92="F",$C92&lt;&gt;"S",LEN($R92)&gt;100),"Descrição &gt;100",
IF(AND(Import.TipoArredondamento="TransfereGOV",$L92="F",$C92="S",LEN($R92)&gt;500),"Descrição &gt;500",
IF(AND(Import.TipoArredondamento="TransfereGOV",$L92="F",$C92="S",LEFT(TRIM(UPPER($P92)),6)&lt;&gt;"SINAPI",ISNA(VLOOKUP(TRIM(UPPER($S92)),ListaTgov.Unidades,1,FALSE))),"Unid. Não Disp",
" "))))))))))))))))</f>
        <v xml:space="preserve"> </v>
      </c>
      <c r="AD92" s="696" t="str">
        <f ca="1">IF(C92&lt;=CRONO.NivelExibicao,MAX($AD$15:OFFSET(AD92,-1,0))+IF($C92&lt;&gt;1,1,MAX(1,COUNTIF(QCI!$A$13:$A$24,OFFSET($E92,-1,0)))),"")</f>
        <v/>
      </c>
      <c r="AE92" s="694" t="str">
        <f t="array" aca="1" ref="AE92" ca="1">IF(AND($C92="S",ORÇAMENTO.CodBarra&lt;&gt;""),IF(ORÇAMENTO.Fonte="",ORÇAMENTO.CodBarra,CONCATENATE(ORÇAMENTO.Fonte," ",ORÇAMENTO.CodBarra)))</f>
        <v>SINAPI 90408</v>
      </c>
      <c r="AF92" s="695">
        <f t="array" aca="1" ref="AF92" ca="1">IF(ISERROR(ORÇAMENTO.BancoRef),"(abra o arquivo 'Referência "&amp;Excel_BuiltIn_Database&amp;".xlsm)",IF(OR($C92&lt;&gt;"S",ORÇAMENTO.CodBarra=""),"(Sem Código)",IF(ISERROR(MATCH($AE92,INDIRECT(ORÇAMENTO.BancoRef),0)),"(Código não identificado nas referências)",MATCH($AE92,INDIRECT(ORÇAMENTO.BancoRef),0))))</f>
        <v>13459</v>
      </c>
      <c r="AG92" s="428">
        <f t="array" aca="1" ref="AG92" ca="1">ROUND(IF(DESONERACAO="sim",REFERENCIA.Desonerado,REFERENCIA.NaoDesonerado),2)</f>
        <v>35.83</v>
      </c>
      <c r="AH92" s="429">
        <f t="shared" ca="1" si="27"/>
        <v>0.2034</v>
      </c>
      <c r="AJ92" s="431"/>
      <c r="AL92" s="439"/>
      <c r="AM92" s="336">
        <f t="shared" ca="1" si="0"/>
        <v>3599.08</v>
      </c>
      <c r="AN92" s="469">
        <f t="array" aca="1" ref="AN92" ca="1">ROUND(ORÇAMENTO.CustoUnitario*(1+$AH92),2)</f>
        <v>40.53</v>
      </c>
    </row>
    <row r="93" spans="1:40" s="696" customFormat="1" x14ac:dyDescent="0.2">
      <c r="A93" s="696">
        <f t="shared" si="15"/>
        <v>2</v>
      </c>
      <c r="B93" s="696">
        <f t="shared" ca="1" si="16"/>
        <v>2</v>
      </c>
      <c r="C93" s="696">
        <f t="shared" ca="1" si="17"/>
        <v>2</v>
      </c>
      <c r="D93" s="696">
        <f t="shared" ca="1" si="18"/>
        <v>3</v>
      </c>
      <c r="E93" s="696">
        <f ca="1">IF($C93=1,OFFSET(E93,-1,0)+MAX(1,COUNTIF(QCI!$A$13:$A$24,OFFSET(ORÇAMENTO!E93,-1,0))),OFFSET(E93,-1,0))</f>
        <v>1</v>
      </c>
      <c r="F93" s="696">
        <f t="shared" ca="1" si="19"/>
        <v>15</v>
      </c>
      <c r="G93" s="696">
        <f t="shared" ca="1" si="20"/>
        <v>0</v>
      </c>
      <c r="H93" s="696">
        <f t="shared" ca="1" si="21"/>
        <v>0</v>
      </c>
      <c r="I93" s="696">
        <f t="shared" ca="1" si="22"/>
        <v>0</v>
      </c>
      <c r="J93" s="696">
        <f t="shared" ca="1" si="28"/>
        <v>142</v>
      </c>
      <c r="K93" s="696">
        <f ca="1">IF(OR($C93="S",$C93=0),0,MATCH(OFFSET($D93,0,$C93)+IF($C93&lt;&gt;1,1,COUNTIF(QCI!$A$13:$A$24,ORÇAMENTO!E93)),OFFSET($D93,1,$C93,ROW($C$235)-ROW($C93)),0))</f>
        <v>3</v>
      </c>
      <c r="L93" s="114" t="str">
        <f t="shared" ca="1" si="23"/>
        <v>F</v>
      </c>
      <c r="M93" s="115" t="s">
        <v>702</v>
      </c>
      <c r="N93" s="116" t="str">
        <f t="shared" ca="1" si="24"/>
        <v>Nível 2</v>
      </c>
      <c r="O93" s="117" t="str">
        <f t="shared" ca="1" si="25"/>
        <v>1.15.</v>
      </c>
      <c r="P93" s="118" t="s">
        <v>750</v>
      </c>
      <c r="Q93" s="119"/>
      <c r="R93" s="120" t="s">
        <v>1078</v>
      </c>
      <c r="S93" s="121" t="s">
        <v>688</v>
      </c>
      <c r="T93" s="122">
        <f ca="1">OFFSET(CÁLCULO!H$15,ROW($T93)-ROW(T$15),0)</f>
        <v>0</v>
      </c>
      <c r="U93" s="123"/>
      <c r="V93" s="124" t="s">
        <v>663</v>
      </c>
      <c r="W93" s="122">
        <f t="array" aca="1" ref="W93" ca="1">IF($C93="S",ROUND(IF(TIPOORCAMENTO="Proposto",ORÇAMENTO.CustoUnitario*(1+$AH93),ORÇAMENTO.PrecoUnitarioLicitado),15-13*$AF$10),0)</f>
        <v>0</v>
      </c>
      <c r="X93" s="125">
        <f t="array" aca="1" ref="X93" ca="1">IF($C93="S",IF(OR(Import.TipoArredondamento&lt;&gt;"TransfereGOV",ACOMPANHAMENTO="BM"),VTOTAL1,SUM(OFFSET(CÁLCULO!$AI$15,ROW($X93)-ROW($X$15),1):OFFSET(CÁLCULO!$BB$15,ROW($X93)-ROW($X$15),-1))),IF($C93=0,0,ROUND(SomaAgrup,15-13*$AF$11)))</f>
        <v>35453.32</v>
      </c>
      <c r="Y93" s="126" t="s">
        <v>751</v>
      </c>
      <c r="Z93" s="696" t="str">
        <f t="shared" ca="1" si="26"/>
        <v/>
      </c>
      <c r="AA93" s="127">
        <f t="array" aca="1" ref="AA93" ca="1">IF($C93="S",IF($Z93="CP",$X93,IF($Z93="RA",(($X93)*QCI!$AA$3),0)),SomaAgrup)</f>
        <v>0</v>
      </c>
      <c r="AB93" s="128">
        <f t="array" aca="1" ref="AB93" ca="1">IF($C93="S",IF($Z93="OU",ROUND($X93,2),0),SomaAgrup)</f>
        <v>0</v>
      </c>
      <c r="AC93" s="563" t="str">
        <f t="array" aca="1" ref="AC93" ca="1">IF($N93=""," ",
IF(AND($C93&lt;&gt;"S",OR($R93="",$R93="(digite a descrição aqui)")),"DESCRIÇÃO",
IF(AND($C93="S",OR($Q93&lt;&gt;"",$T93&gt;0,$U93&gt;0),$P93=""),"FONTE",
IF(AND($C93="S",$P93&lt;&gt;"",OR($T93&gt;0,$U93&gt;0),$Q93=""),"CÓDIGO",
IF(AND($C93="S",$P93&lt;&gt;"",$Q93&lt;&gt;"",$R93="(Código não identificado nas referências)"),"CÓDIGO N/ID",
IF(AND($C93="S",OR($R93="",$R93="(digite a descrição aqui)"),OR($Q93&lt;&gt;"",$T93&gt;0,$U93&gt;0)),"DESCRIÇÃO",
IF(AND($C93="S",$P93&lt;&gt;"",$Q93&lt;&gt;"",$S93=""),"UNIDADE",
IF(AND($C93="S",$P93&lt;&gt;"",$Q93&lt;&gt;"",$U93=0),"SEM CUSTO",
IF(AND(TIPOORCAMENTO="Licitado",$AL93=0,$AN93&gt;0),"SEM PREÇO",
IF(AND($C93="S",$P93&lt;&gt;"",$Q93&lt;&gt;"",$U93&gt;0,AND($V93&lt;&gt;"BDI 1",$V93&lt;&gt;"BDI 2",$V93&lt;&gt;"BDI 3")),IF(ISNUMBER($V93),"JUSTIFICAR BDI","BDI"),
IF(OR(AND(import.recurso="OGU",TIPOORCAMENTO="Proposto",LEFT($O$8,5)&lt;&gt;"(N/D:",$AG93&lt;&gt;"",ORÇAMENTO.CustoUnitario&gt;$AG93),AND(TIPOORCAMENTO="LICITADO",ORÇAMENTO.PrecoUnitarioLicitado&gt;$AN93)),"ACIMA REF.",
IF(AND($C93="S",$P93&lt;&gt;"",$Q93&lt;&gt;"",$T93=0,$U93&gt;0),"QUANT.",
IF(AND(Import.TipoArredondamento="TransfereGOV",$L93="F",$C93="S",LEN($Q93)&gt;13),"Código &gt;13",
IF(AND(Import.TipoArredondamento="TransfereGOV",$L93="F",$C93&lt;&gt;"S",LEN($R93)&gt;100),"Descrição &gt;100",
IF(AND(Import.TipoArredondamento="TransfereGOV",$L93="F",$C93="S",LEN($R93)&gt;500),"Descrição &gt;500",
IF(AND(Import.TipoArredondamento="TransfereGOV",$L93="F",$C93="S",LEFT(TRIM(UPPER($P93)),6)&lt;&gt;"SINAPI",ISNA(VLOOKUP(TRIM(UPPER($S93)),ListaTgov.Unidades,1,FALSE))),"Unid. Não Disp",
" "))))))))))))))))</f>
        <v xml:space="preserve"> </v>
      </c>
      <c r="AD93" s="696">
        <f ca="1">IF(C93&lt;=CRONO.NivelExibicao,MAX($AD$15:OFFSET(AD93,-1,0))+IF($C93&lt;&gt;1,1,MAX(1,COUNTIF(QCI!$A$13:$A$24,OFFSET($E93,-1,0)))),"")</f>
        <v>16</v>
      </c>
      <c r="AE93" s="694" t="b">
        <f t="array" aca="1" ref="AE93" ca="1">IF(AND($C93="S",ORÇAMENTO.CodBarra&lt;&gt;""),IF(ORÇAMENTO.Fonte="",ORÇAMENTO.CodBarra,CONCATENATE(ORÇAMENTO.Fonte," ",ORÇAMENTO.CodBarra)))</f>
        <v>0</v>
      </c>
      <c r="AF93" s="695" t="str">
        <f t="array" aca="1" ref="AF93" ca="1">IF(ISERROR(ORÇAMENTO.BancoRef),"(abra o arquivo 'Referência "&amp;Excel_BuiltIn_Database&amp;".xlsm)",IF(OR($C93&lt;&gt;"S",ORÇAMENTO.CodBarra=""),"(Sem Código)",IF(ISERROR(MATCH($AE93,INDIRECT(ORÇAMENTO.BancoRef),0)),"(Código não identificado nas referências)",MATCH($AE93,INDIRECT(ORÇAMENTO.BancoRef),0))))</f>
        <v>(Sem Código)</v>
      </c>
      <c r="AG93" s="428">
        <f t="array" aca="1" ref="AG93" ca="1">ROUND(IF(DESONERACAO="sim",REFERENCIA.Desonerado,REFERENCIA.NaoDesonerado),2)</f>
        <v>0</v>
      </c>
      <c r="AH93" s="429">
        <f t="shared" ca="1" si="27"/>
        <v>0.29389999999999999</v>
      </c>
      <c r="AJ93" s="431"/>
      <c r="AL93" s="439"/>
      <c r="AM93" s="336">
        <f t="shared" ca="1" si="0"/>
        <v>35453.32</v>
      </c>
      <c r="AN93" s="469">
        <f t="array" aca="1" ref="AN93" ca="1">ROUND(ORÇAMENTO.CustoUnitario*(1+$AH93),2)</f>
        <v>0</v>
      </c>
    </row>
    <row r="94" spans="1:40" s="696" customFormat="1" ht="38.25" x14ac:dyDescent="0.2">
      <c r="A94" s="696" t="str">
        <f t="shared" si="15"/>
        <v>S</v>
      </c>
      <c r="B94" s="696">
        <f t="shared" ca="1" si="16"/>
        <v>2</v>
      </c>
      <c r="C94" s="696" t="str">
        <f t="shared" ca="1" si="17"/>
        <v>S</v>
      </c>
      <c r="D94" s="696">
        <f t="shared" ca="1" si="18"/>
        <v>0</v>
      </c>
      <c r="E94" s="696">
        <f ca="1">IF($C94=1,OFFSET(E94,-1,0)+MAX(1,COUNTIF(QCI!$A$13:$A$24,OFFSET(ORÇAMENTO!E94,-1,0))),OFFSET(E94,-1,0))</f>
        <v>1</v>
      </c>
      <c r="F94" s="696">
        <f t="shared" ca="1" si="19"/>
        <v>15</v>
      </c>
      <c r="G94" s="696">
        <f t="shared" ca="1" si="20"/>
        <v>0</v>
      </c>
      <c r="H94" s="696">
        <f t="shared" ca="1" si="21"/>
        <v>0</v>
      </c>
      <c r="I94" s="696">
        <f t="shared" ca="1" si="22"/>
        <v>1</v>
      </c>
      <c r="J94" s="696">
        <f t="shared" ca="1" si="28"/>
        <v>0</v>
      </c>
      <c r="K94" s="696">
        <f ca="1">IF(OR($C94="S",$C94=0),0,MATCH(OFFSET($D94,0,$C94)+IF($C94&lt;&gt;1,1,COUNTIF(QCI!$A$13:$A$24,ORÇAMENTO!E94)),OFFSET($D94,1,$C94,ROW($C$235)-ROW($C94)),0))</f>
        <v>0</v>
      </c>
      <c r="L94" s="114" t="str">
        <f t="shared" ca="1" si="23"/>
        <v>F</v>
      </c>
      <c r="M94" s="115" t="s">
        <v>705</v>
      </c>
      <c r="N94" s="116" t="str">
        <f t="shared" ca="1" si="24"/>
        <v>Serviço</v>
      </c>
      <c r="O94" s="117" t="str">
        <f t="shared" ca="1" si="25"/>
        <v>1.15.1.</v>
      </c>
      <c r="P94" s="118" t="s">
        <v>750</v>
      </c>
      <c r="Q94" s="119" t="s">
        <v>1081</v>
      </c>
      <c r="R94" s="120" t="str">
        <f t="array" aca="1" ref="R94" ca="1">IF($C94="S",REFERENCIA.Descricao,"(digite a descrição aqui)")</f>
        <v>REVESTIMENTO CERÂMICO PARA PAREDES INTERNAS COM PLACAS TIPO ESMALTADA DE DIMENSÕES 20X20 CM APLICADAS A MEIA ALTURA DAS PAREDES. AF_02/2023_PE</v>
      </c>
      <c r="S94" s="121" t="str">
        <f t="array" aca="1" ref="S94" ca="1">REFERENCIA.Unidade</f>
        <v>M2</v>
      </c>
      <c r="T94" s="122">
        <f ca="1">OFFSET(CÁLCULO!H$15,ROW($T94)-ROW(T$15),0)</f>
        <v>393</v>
      </c>
      <c r="U94" s="123">
        <f>67.68*0.94</f>
        <v>63.619199999999999</v>
      </c>
      <c r="V94" s="124" t="s">
        <v>697</v>
      </c>
      <c r="W94" s="122">
        <f t="array" aca="1" ref="W94" ca="1">IF($C94="S",ROUND(IF(TIPOORCAMENTO="Proposto",ORÇAMENTO.CustoUnitario*(1+$AH94),ORÇAMENTO.PrecoUnitarioLicitado),15-13*$AF$10),0)</f>
        <v>76.56</v>
      </c>
      <c r="X94" s="125">
        <f t="array" aca="1" ref="X94" ca="1">IF($C94="S",IF(OR(Import.TipoArredondamento&lt;&gt;"TransfereGOV",ACOMPANHAMENTO="BM"),VTOTAL1,SUM(OFFSET(CÁLCULO!$AI$15,ROW($X94)-ROW($X$15),1):OFFSET(CÁLCULO!$BB$15,ROW($X94)-ROW($X$15),-1))),IF($C94=0,0,ROUND(SomaAgrup,15-13*$AF$11)))</f>
        <v>30088.080000000002</v>
      </c>
      <c r="Y94" s="126" t="s">
        <v>751</v>
      </c>
      <c r="Z94" s="696" t="str">
        <f t="shared" ca="1" si="26"/>
        <v>RA</v>
      </c>
      <c r="AA94" s="127">
        <f t="array" aca="1" ref="AA94" ca="1">IF($C94="S",IF($Z94="CP",$X94,IF($Z94="RA",(($X94)*QCI!$AA$3),0)),SomaAgrup)</f>
        <v>0</v>
      </c>
      <c r="AB94" s="128">
        <f t="array" aca="1" ref="AB94" ca="1">IF($C94="S",IF($Z94="OU",ROUND($X94,2),0),SomaAgrup)</f>
        <v>0</v>
      </c>
      <c r="AC94" s="563" t="str">
        <f t="array" aca="1" ref="AC94" ca="1">IF($N94=""," ",
IF(AND($C94&lt;&gt;"S",OR($R94="",$R94="(digite a descrição aqui)")),"DESCRIÇÃO",
IF(AND($C94="S",OR($Q94&lt;&gt;"",$T94&gt;0,$U94&gt;0),$P94=""),"FONTE",
IF(AND($C94="S",$P94&lt;&gt;"",OR($T94&gt;0,$U94&gt;0),$Q94=""),"CÓDIGO",
IF(AND($C94="S",$P94&lt;&gt;"",$Q94&lt;&gt;"",$R94="(Código não identificado nas referências)"),"CÓDIGO N/ID",
IF(AND($C94="S",OR($R94="",$R94="(digite a descrição aqui)"),OR($Q94&lt;&gt;"",$T94&gt;0,$U94&gt;0)),"DESCRIÇÃO",
IF(AND($C94="S",$P94&lt;&gt;"",$Q94&lt;&gt;"",$S94=""),"UNIDADE",
IF(AND($C94="S",$P94&lt;&gt;"",$Q94&lt;&gt;"",$U94=0),"SEM CUSTO",
IF(AND(TIPOORCAMENTO="Licitado",$AL94=0,$AN94&gt;0),"SEM PREÇO",
IF(AND($C94="S",$P94&lt;&gt;"",$Q94&lt;&gt;"",$U94&gt;0,AND($V94&lt;&gt;"BDI 1",$V94&lt;&gt;"BDI 2",$V94&lt;&gt;"BDI 3")),IF(ISNUMBER($V94),"JUSTIFICAR BDI","BDI"),
IF(OR(AND(import.recurso="OGU",TIPOORCAMENTO="Proposto",LEFT($O$8,5)&lt;&gt;"(N/D:",$AG94&lt;&gt;"",ORÇAMENTO.CustoUnitario&gt;$AG94),AND(TIPOORCAMENTO="LICITADO",ORÇAMENTO.PrecoUnitarioLicitado&gt;$AN94)),"ACIMA REF.",
IF(AND($C94="S",$P94&lt;&gt;"",$Q94&lt;&gt;"",$T94=0,$U94&gt;0),"QUANT.",
IF(AND(Import.TipoArredondamento="TransfereGOV",$L94="F",$C94="S",LEN($Q94)&gt;13),"Código &gt;13",
IF(AND(Import.TipoArredondamento="TransfereGOV",$L94="F",$C94&lt;&gt;"S",LEN($R94)&gt;100),"Descrição &gt;100",
IF(AND(Import.TipoArredondamento="TransfereGOV",$L94="F",$C94="S",LEN($R94)&gt;500),"Descrição &gt;500",
IF(AND(Import.TipoArredondamento="TransfereGOV",$L94="F",$C94="S",LEFT(TRIM(UPPER($P94)),6)&lt;&gt;"SINAPI",ISNA(VLOOKUP(TRIM(UPPER($S94)),ListaTgov.Unidades,1,FALSE))),"Unid. Não Disp",
" "))))))))))))))))</f>
        <v xml:space="preserve"> </v>
      </c>
      <c r="AD94" s="696" t="str">
        <f ca="1">IF(C94&lt;=CRONO.NivelExibicao,MAX($AD$15:OFFSET(AD94,-1,0))+IF($C94&lt;&gt;1,1,MAX(1,COUNTIF(QCI!$A$13:$A$24,OFFSET($E94,-1,0)))),"")</f>
        <v/>
      </c>
      <c r="AE94" s="694" t="str">
        <f t="array" aca="1" ref="AE94" ca="1">IF(AND($C94="S",ORÇAMENTO.CodBarra&lt;&gt;""),IF(ORÇAMENTO.Fonte="",ORÇAMENTO.CodBarra,CONCATENATE(ORÇAMENTO.Fonte," ",ORÇAMENTO.CodBarra)))</f>
        <v>SINAPI 87267</v>
      </c>
      <c r="AF94" s="695">
        <f t="array" aca="1" ref="AF94" ca="1">IF(ISERROR(ORÇAMENTO.BancoRef),"(abra o arquivo 'Referência "&amp;Excel_BuiltIn_Database&amp;".xlsm)",IF(OR($C94&lt;&gt;"S",ORÇAMENTO.CodBarra=""),"(Sem Código)",IF(ISERROR(MATCH($AE94,INDIRECT(ORÇAMENTO.BancoRef),0)),"(Código não identificado nas referências)",MATCH($AE94,INDIRECT(ORÇAMENTO.BancoRef),0))))</f>
        <v>14806</v>
      </c>
      <c r="AG94" s="428">
        <f t="array" aca="1" ref="AG94" ca="1">ROUND(IF(DESONERACAO="sim",REFERENCIA.Desonerado,REFERENCIA.NaoDesonerado),2)</f>
        <v>67.680000000000007</v>
      </c>
      <c r="AH94" s="429">
        <f t="shared" ca="1" si="27"/>
        <v>0.2034</v>
      </c>
      <c r="AJ94" s="431"/>
      <c r="AL94" s="439"/>
      <c r="AM94" s="336">
        <f t="shared" ca="1" si="0"/>
        <v>30088.080000000002</v>
      </c>
      <c r="AN94" s="469">
        <f t="array" aca="1" ref="AN94" ca="1">ROUND(ORÇAMENTO.CustoUnitario*(1+$AH94),2)</f>
        <v>76.56</v>
      </c>
    </row>
    <row r="95" spans="1:40" s="696" customFormat="1" ht="38.25" x14ac:dyDescent="0.2">
      <c r="A95" s="696" t="str">
        <f t="shared" si="15"/>
        <v>S</v>
      </c>
      <c r="B95" s="696">
        <f t="shared" ca="1" si="16"/>
        <v>2</v>
      </c>
      <c r="C95" s="696" t="str">
        <f t="shared" ca="1" si="17"/>
        <v>S</v>
      </c>
      <c r="D95" s="696">
        <f t="shared" ca="1" si="18"/>
        <v>0</v>
      </c>
      <c r="E95" s="696">
        <f ca="1">IF($C95=1,OFFSET(E95,-1,0)+MAX(1,COUNTIF(QCI!$A$13:$A$24,OFFSET(ORÇAMENTO!E95,-1,0))),OFFSET(E95,-1,0))</f>
        <v>1</v>
      </c>
      <c r="F95" s="696">
        <f t="shared" ca="1" si="19"/>
        <v>15</v>
      </c>
      <c r="G95" s="696">
        <f t="shared" ca="1" si="20"/>
        <v>0</v>
      </c>
      <c r="H95" s="696">
        <f t="shared" ca="1" si="21"/>
        <v>0</v>
      </c>
      <c r="I95" s="696">
        <f t="shared" ca="1" si="22"/>
        <v>2</v>
      </c>
      <c r="J95" s="696">
        <f t="shared" ca="1" si="28"/>
        <v>0</v>
      </c>
      <c r="K95" s="696">
        <f ca="1">IF(OR($C95="S",$C95=0),0,MATCH(OFFSET($D95,0,$C95)+IF($C95&lt;&gt;1,1,COUNTIF(QCI!$A$13:$A$24,ORÇAMENTO!E95)),OFFSET($D95,1,$C95,ROW($C$235)-ROW($C95)),0))</f>
        <v>0</v>
      </c>
      <c r="L95" s="114" t="str">
        <f t="shared" ca="1" si="23"/>
        <v>F</v>
      </c>
      <c r="M95" s="115" t="s">
        <v>705</v>
      </c>
      <c r="N95" s="116" t="str">
        <f t="shared" ca="1" si="24"/>
        <v>Serviço</v>
      </c>
      <c r="O95" s="117" t="str">
        <f t="shared" ca="1" si="25"/>
        <v>1.15.2.</v>
      </c>
      <c r="P95" s="118" t="s">
        <v>750</v>
      </c>
      <c r="Q95" s="119" t="s">
        <v>1082</v>
      </c>
      <c r="R95" s="120" t="str">
        <f t="array" aca="1" ref="R95" ca="1">IF($C95="S",REFERENCIA.Descricao,"(digite a descrição aqui)")</f>
        <v>REVESTIMENTO CERÂMICO PARA PAREDES INTERNAS COM PLACAS TIPO ESMALTADA DE DIMENSÕES 20X20 CM APLICADAS NA ALTURA INTEIRA DAS PAREDES. AF_02/2023_PE</v>
      </c>
      <c r="S95" s="121" t="str">
        <f t="array" aca="1" ref="S95" ca="1">REFERENCIA.Unidade</f>
        <v>M2</v>
      </c>
      <c r="T95" s="122">
        <f ca="1">OFFSET(CÁLCULO!H$15,ROW($T95)-ROW(T$15),0)</f>
        <v>76.8</v>
      </c>
      <c r="U95" s="123">
        <f>61.75*0.94</f>
        <v>58.044999999999995</v>
      </c>
      <c r="V95" s="124" t="s">
        <v>697</v>
      </c>
      <c r="W95" s="122">
        <f t="array" aca="1" ref="W95" ca="1">IF($C95="S",ROUND(IF(TIPOORCAMENTO="Proposto",ORÇAMENTO.CustoUnitario*(1+$AH95),ORÇAMENTO.PrecoUnitarioLicitado),15-13*$AF$10),0)</f>
        <v>69.86</v>
      </c>
      <c r="X95" s="125">
        <f t="array" aca="1" ref="X95" ca="1">IF($C95="S",IF(OR(Import.TipoArredondamento&lt;&gt;"TransfereGOV",ACOMPANHAMENTO="BM"),VTOTAL1,SUM(OFFSET(CÁLCULO!$AI$15,ROW($X95)-ROW($X$15),1):OFFSET(CÁLCULO!$BB$15,ROW($X95)-ROW($X$15),-1))),IF($C95=0,0,ROUND(SomaAgrup,15-13*$AF$11)))</f>
        <v>5365.24</v>
      </c>
      <c r="Y95" s="126" t="s">
        <v>751</v>
      </c>
      <c r="Z95" s="696" t="str">
        <f t="shared" ca="1" si="26"/>
        <v>RA</v>
      </c>
      <c r="AA95" s="127">
        <f t="array" aca="1" ref="AA95" ca="1">IF($C95="S",IF($Z95="CP",$X95,IF($Z95="RA",(($X95)*QCI!$AA$3),0)),SomaAgrup)</f>
        <v>0</v>
      </c>
      <c r="AB95" s="128">
        <f t="array" aca="1" ref="AB95" ca="1">IF($C95="S",IF($Z95="OU",ROUND($X95,2),0),SomaAgrup)</f>
        <v>0</v>
      </c>
      <c r="AC95" s="563" t="str">
        <f t="array" aca="1" ref="AC95" ca="1">IF($N95=""," ",
IF(AND($C95&lt;&gt;"S",OR($R95="",$R95="(digite a descrição aqui)")),"DESCRIÇÃO",
IF(AND($C95="S",OR($Q95&lt;&gt;"",$T95&gt;0,$U95&gt;0),$P95=""),"FONTE",
IF(AND($C95="S",$P95&lt;&gt;"",OR($T95&gt;0,$U95&gt;0),$Q95=""),"CÓDIGO",
IF(AND($C95="S",$P95&lt;&gt;"",$Q95&lt;&gt;"",$R95="(Código não identificado nas referências)"),"CÓDIGO N/ID",
IF(AND($C95="S",OR($R95="",$R95="(digite a descrição aqui)"),OR($Q95&lt;&gt;"",$T95&gt;0,$U95&gt;0)),"DESCRIÇÃO",
IF(AND($C95="S",$P95&lt;&gt;"",$Q95&lt;&gt;"",$S95=""),"UNIDADE",
IF(AND($C95="S",$P95&lt;&gt;"",$Q95&lt;&gt;"",$U95=0),"SEM CUSTO",
IF(AND(TIPOORCAMENTO="Licitado",$AL95=0,$AN95&gt;0),"SEM PREÇO",
IF(AND($C95="S",$P95&lt;&gt;"",$Q95&lt;&gt;"",$U95&gt;0,AND($V95&lt;&gt;"BDI 1",$V95&lt;&gt;"BDI 2",$V95&lt;&gt;"BDI 3")),IF(ISNUMBER($V95),"JUSTIFICAR BDI","BDI"),
IF(OR(AND(import.recurso="OGU",TIPOORCAMENTO="Proposto",LEFT($O$8,5)&lt;&gt;"(N/D:",$AG95&lt;&gt;"",ORÇAMENTO.CustoUnitario&gt;$AG95),AND(TIPOORCAMENTO="LICITADO",ORÇAMENTO.PrecoUnitarioLicitado&gt;$AN95)),"ACIMA REF.",
IF(AND($C95="S",$P95&lt;&gt;"",$Q95&lt;&gt;"",$T95=0,$U95&gt;0),"QUANT.",
IF(AND(Import.TipoArredondamento="TransfereGOV",$L95="F",$C95="S",LEN($Q95)&gt;13),"Código &gt;13",
IF(AND(Import.TipoArredondamento="TransfereGOV",$L95="F",$C95&lt;&gt;"S",LEN($R95)&gt;100),"Descrição &gt;100",
IF(AND(Import.TipoArredondamento="TransfereGOV",$L95="F",$C95="S",LEN($R95)&gt;500),"Descrição &gt;500",
IF(AND(Import.TipoArredondamento="TransfereGOV",$L95="F",$C95="S",LEFT(TRIM(UPPER($P95)),6)&lt;&gt;"SINAPI",ISNA(VLOOKUP(TRIM(UPPER($S95)),ListaTgov.Unidades,1,FALSE))),"Unid. Não Disp",
" "))))))))))))))))</f>
        <v xml:space="preserve"> </v>
      </c>
      <c r="AD95" s="696" t="str">
        <f ca="1">IF(C95&lt;=CRONO.NivelExibicao,MAX($AD$15:OFFSET(AD95,-1,0))+IF($C95&lt;&gt;1,1,MAX(1,COUNTIF(QCI!$A$13:$A$24,OFFSET($E95,-1,0)))),"")</f>
        <v/>
      </c>
      <c r="AE95" s="694" t="str">
        <f t="array" aca="1" ref="AE95" ca="1">IF(AND($C95="S",ORÇAMENTO.CodBarra&lt;&gt;""),IF(ORÇAMENTO.Fonte="",ORÇAMENTO.CodBarra,CONCATENATE(ORÇAMENTO.Fonte," ",ORÇAMENTO.CodBarra)))</f>
        <v>SINAPI 87265</v>
      </c>
      <c r="AF95" s="695">
        <f t="array" aca="1" ref="AF95" ca="1">IF(ISERROR(ORÇAMENTO.BancoRef),"(abra o arquivo 'Referência "&amp;Excel_BuiltIn_Database&amp;".xlsm)",IF(OR($C95&lt;&gt;"S",ORÇAMENTO.CodBarra=""),"(Sem Código)",IF(ISERROR(MATCH($AE95,INDIRECT(ORÇAMENTO.BancoRef),0)),"(Código não identificado nas referências)",MATCH($AE95,INDIRECT(ORÇAMENTO.BancoRef),0))))</f>
        <v>14809</v>
      </c>
      <c r="AG95" s="428">
        <f t="array" aca="1" ref="AG95" ca="1">ROUND(IF(DESONERACAO="sim",REFERENCIA.Desonerado,REFERENCIA.NaoDesonerado),2)</f>
        <v>61.75</v>
      </c>
      <c r="AH95" s="429">
        <f t="shared" ca="1" si="27"/>
        <v>0.2034</v>
      </c>
      <c r="AJ95" s="431"/>
      <c r="AL95" s="439"/>
      <c r="AM95" s="336">
        <f t="shared" ca="1" si="0"/>
        <v>5365.24</v>
      </c>
      <c r="AN95" s="469">
        <f t="array" aca="1" ref="AN95" ca="1">ROUND(ORÇAMENTO.CustoUnitario*(1+$AH95),2)</f>
        <v>69.86</v>
      </c>
    </row>
    <row r="96" spans="1:40" s="696" customFormat="1" x14ac:dyDescent="0.2">
      <c r="A96" s="696">
        <f t="shared" si="15"/>
        <v>2</v>
      </c>
      <c r="B96" s="696">
        <f t="shared" ca="1" si="16"/>
        <v>2</v>
      </c>
      <c r="C96" s="696">
        <f t="shared" ca="1" si="17"/>
        <v>2</v>
      </c>
      <c r="D96" s="696">
        <f t="shared" ca="1" si="18"/>
        <v>5</v>
      </c>
      <c r="E96" s="696">
        <f ca="1">IF($C96=1,OFFSET(E96,-1,0)+MAX(1,COUNTIF(QCI!$A$13:$A$24,OFFSET(ORÇAMENTO!E96,-1,0))),OFFSET(E96,-1,0))</f>
        <v>1</v>
      </c>
      <c r="F96" s="696">
        <f t="shared" ca="1" si="19"/>
        <v>16</v>
      </c>
      <c r="G96" s="696">
        <f t="shared" ca="1" si="20"/>
        <v>0</v>
      </c>
      <c r="H96" s="696">
        <f t="shared" ca="1" si="21"/>
        <v>0</v>
      </c>
      <c r="I96" s="696">
        <f t="shared" ca="1" si="22"/>
        <v>0</v>
      </c>
      <c r="J96" s="696">
        <f t="shared" ca="1" si="28"/>
        <v>139</v>
      </c>
      <c r="K96" s="696">
        <f ca="1">IF(OR($C96="S",$C96=0),0,MATCH(OFFSET($D96,0,$C96)+IF($C96&lt;&gt;1,1,COUNTIF(QCI!$A$13:$A$24,ORÇAMENTO!E96)),OFFSET($D96,1,$C96,ROW($C$235)-ROW($C96)),0))</f>
        <v>5</v>
      </c>
      <c r="L96" s="114" t="str">
        <f t="shared" ca="1" si="23"/>
        <v>F</v>
      </c>
      <c r="M96" s="115" t="s">
        <v>702</v>
      </c>
      <c r="N96" s="116" t="str">
        <f t="shared" ca="1" si="24"/>
        <v>Nível 2</v>
      </c>
      <c r="O96" s="117" t="str">
        <f t="shared" ca="1" si="25"/>
        <v>1.16.</v>
      </c>
      <c r="P96" s="118" t="s">
        <v>750</v>
      </c>
      <c r="Q96" s="119"/>
      <c r="R96" s="120" t="s">
        <v>1079</v>
      </c>
      <c r="S96" s="121" t="s">
        <v>688</v>
      </c>
      <c r="T96" s="122">
        <f ca="1">OFFSET(CÁLCULO!H$15,ROW($T96)-ROW(T$15),0)</f>
        <v>0</v>
      </c>
      <c r="U96" s="123"/>
      <c r="V96" s="124" t="s">
        <v>663</v>
      </c>
      <c r="W96" s="122">
        <f t="array" aca="1" ref="W96" ca="1">IF($C96="S",ROUND(IF(TIPOORCAMENTO="Proposto",ORÇAMENTO.CustoUnitario*(1+$AH96),ORÇAMENTO.PrecoUnitarioLicitado),15-13*$AF$10),0)</f>
        <v>0</v>
      </c>
      <c r="X96" s="125">
        <f t="array" aca="1" ref="X96" ca="1">IF($C96="S",IF(OR(Import.TipoArredondamento&lt;&gt;"TransfereGOV",ACOMPANHAMENTO="BM"),VTOTAL1,SUM(OFFSET(CÁLCULO!$AI$15,ROW($X96)-ROW($X$15),1):OFFSET(CÁLCULO!$BB$15,ROW($X96)-ROW($X$15),-1))),IF($C96=0,0,ROUND(SomaAgrup,15-13*$AF$11)))</f>
        <v>83337.64</v>
      </c>
      <c r="Y96" s="126" t="s">
        <v>751</v>
      </c>
      <c r="Z96" s="696" t="str">
        <f t="shared" ca="1" si="26"/>
        <v/>
      </c>
      <c r="AA96" s="127">
        <f t="array" aca="1" ref="AA96" ca="1">IF($C96="S",IF($Z96="CP",$X96,IF($Z96="RA",(($X96)*QCI!$AA$3),0)),SomaAgrup)</f>
        <v>0</v>
      </c>
      <c r="AB96" s="128">
        <f t="array" aca="1" ref="AB96" ca="1">IF($C96="S",IF($Z96="OU",ROUND($X96,2),0),SomaAgrup)</f>
        <v>0</v>
      </c>
      <c r="AC96" s="563" t="str">
        <f t="array" aca="1" ref="AC96" ca="1">IF($N96=""," ",
IF(AND($C96&lt;&gt;"S",OR($R96="",$R96="(digite a descrição aqui)")),"DESCRIÇÃO",
IF(AND($C96="S",OR($Q96&lt;&gt;"",$T96&gt;0,$U96&gt;0),$P96=""),"FONTE",
IF(AND($C96="S",$P96&lt;&gt;"",OR($T96&gt;0,$U96&gt;0),$Q96=""),"CÓDIGO",
IF(AND($C96="S",$P96&lt;&gt;"",$Q96&lt;&gt;"",$R96="(Código não identificado nas referências)"),"CÓDIGO N/ID",
IF(AND($C96="S",OR($R96="",$R96="(digite a descrição aqui)"),OR($Q96&lt;&gt;"",$T96&gt;0,$U96&gt;0)),"DESCRIÇÃO",
IF(AND($C96="S",$P96&lt;&gt;"",$Q96&lt;&gt;"",$S96=""),"UNIDADE",
IF(AND($C96="S",$P96&lt;&gt;"",$Q96&lt;&gt;"",$U96=0),"SEM CUSTO",
IF(AND(TIPOORCAMENTO="Licitado",$AL96=0,$AN96&gt;0),"SEM PREÇO",
IF(AND($C96="S",$P96&lt;&gt;"",$Q96&lt;&gt;"",$U96&gt;0,AND($V96&lt;&gt;"BDI 1",$V96&lt;&gt;"BDI 2",$V96&lt;&gt;"BDI 3")),IF(ISNUMBER($V96),"JUSTIFICAR BDI","BDI"),
IF(OR(AND(import.recurso="OGU",TIPOORCAMENTO="Proposto",LEFT($O$8,5)&lt;&gt;"(N/D:",$AG96&lt;&gt;"",ORÇAMENTO.CustoUnitario&gt;$AG96),AND(TIPOORCAMENTO="LICITADO",ORÇAMENTO.PrecoUnitarioLicitado&gt;$AN96)),"ACIMA REF.",
IF(AND($C96="S",$P96&lt;&gt;"",$Q96&lt;&gt;"",$T96=0,$U96&gt;0),"QUANT.",
IF(AND(Import.TipoArredondamento="TransfereGOV",$L96="F",$C96="S",LEN($Q96)&gt;13),"Código &gt;13",
IF(AND(Import.TipoArredondamento="TransfereGOV",$L96="F",$C96&lt;&gt;"S",LEN($R96)&gt;100),"Descrição &gt;100",
IF(AND(Import.TipoArredondamento="TransfereGOV",$L96="F",$C96="S",LEN($R96)&gt;500),"Descrição &gt;500",
IF(AND(Import.TipoArredondamento="TransfereGOV",$L96="F",$C96="S",LEFT(TRIM(UPPER($P96)),6)&lt;&gt;"SINAPI",ISNA(VLOOKUP(TRIM(UPPER($S96)),ListaTgov.Unidades,1,FALSE))),"Unid. Não Disp",
" "))))))))))))))))</f>
        <v xml:space="preserve"> </v>
      </c>
      <c r="AD96" s="696">
        <f ca="1">IF(C96&lt;=CRONO.NivelExibicao,MAX($AD$15:OFFSET(AD96,-1,0))+IF($C96&lt;&gt;1,1,MAX(1,COUNTIF(QCI!$A$13:$A$24,OFFSET($E96,-1,0)))),"")</f>
        <v>17</v>
      </c>
      <c r="AE96" s="694" t="b">
        <f t="array" aca="1" ref="AE96" ca="1">IF(AND($C96="S",ORÇAMENTO.CodBarra&lt;&gt;""),IF(ORÇAMENTO.Fonte="",ORÇAMENTO.CodBarra,CONCATENATE(ORÇAMENTO.Fonte," ",ORÇAMENTO.CodBarra)))</f>
        <v>0</v>
      </c>
      <c r="AF96" s="695" t="str">
        <f t="array" aca="1" ref="AF96" ca="1">IF(ISERROR(ORÇAMENTO.BancoRef),"(abra o arquivo 'Referência "&amp;Excel_BuiltIn_Database&amp;".xlsm)",IF(OR($C96&lt;&gt;"S",ORÇAMENTO.CodBarra=""),"(Sem Código)",IF(ISERROR(MATCH($AE96,INDIRECT(ORÇAMENTO.BancoRef),0)),"(Código não identificado nas referências)",MATCH($AE96,INDIRECT(ORÇAMENTO.BancoRef),0))))</f>
        <v>(Sem Código)</v>
      </c>
      <c r="AG96" s="428">
        <f t="array" aca="1" ref="AG96" ca="1">ROUND(IF(DESONERACAO="sim",REFERENCIA.Desonerado,REFERENCIA.NaoDesonerado),2)</f>
        <v>0</v>
      </c>
      <c r="AH96" s="429">
        <f t="shared" ca="1" si="27"/>
        <v>0.29389999999999999</v>
      </c>
      <c r="AJ96" s="431"/>
      <c r="AL96" s="439"/>
      <c r="AM96" s="336">
        <f t="shared" ca="1" si="0"/>
        <v>83337.64</v>
      </c>
      <c r="AN96" s="469">
        <f t="array" aca="1" ref="AN96" ca="1">ROUND(ORÇAMENTO.CustoUnitario*(1+$AH96),2)</f>
        <v>0</v>
      </c>
    </row>
    <row r="97" spans="1:40" s="696" customFormat="1" ht="51" x14ac:dyDescent="0.2">
      <c r="A97" s="696" t="str">
        <f t="shared" si="15"/>
        <v>S</v>
      </c>
      <c r="B97" s="696">
        <f t="shared" ca="1" si="16"/>
        <v>2</v>
      </c>
      <c r="C97" s="696" t="str">
        <f t="shared" ca="1" si="17"/>
        <v>S</v>
      </c>
      <c r="D97" s="696">
        <f t="shared" ca="1" si="18"/>
        <v>0</v>
      </c>
      <c r="E97" s="696">
        <f ca="1">IF($C97=1,OFFSET(E97,-1,0)+MAX(1,COUNTIF(QCI!$A$13:$A$24,OFFSET(ORÇAMENTO!E97,-1,0))),OFFSET(E97,-1,0))</f>
        <v>1</v>
      </c>
      <c r="F97" s="696">
        <f t="shared" ca="1" si="19"/>
        <v>16</v>
      </c>
      <c r="G97" s="696">
        <f t="shared" ca="1" si="20"/>
        <v>0</v>
      </c>
      <c r="H97" s="696">
        <f t="shared" ca="1" si="21"/>
        <v>0</v>
      </c>
      <c r="I97" s="696">
        <f t="shared" ca="1" si="22"/>
        <v>1</v>
      </c>
      <c r="J97" s="696">
        <f t="shared" ca="1" si="28"/>
        <v>0</v>
      </c>
      <c r="K97" s="696">
        <f ca="1">IF(OR($C97="S",$C97=0),0,MATCH(OFFSET($D97,0,$C97)+IF($C97&lt;&gt;1,1,COUNTIF(QCI!$A$13:$A$24,ORÇAMENTO!E97)),OFFSET($D97,1,$C97,ROW($C$235)-ROW($C97)),0))</f>
        <v>0</v>
      </c>
      <c r="L97" s="114" t="str">
        <f t="shared" ca="1" si="23"/>
        <v>F</v>
      </c>
      <c r="M97" s="115" t="s">
        <v>705</v>
      </c>
      <c r="N97" s="116" t="str">
        <f t="shared" ca="1" si="24"/>
        <v>Serviço</v>
      </c>
      <c r="O97" s="117" t="str">
        <f t="shared" ca="1" si="25"/>
        <v>1.16.1.</v>
      </c>
      <c r="P97" s="118" t="s">
        <v>750</v>
      </c>
      <c r="Q97" s="119" t="s">
        <v>1083</v>
      </c>
      <c r="R97" s="120" t="str">
        <f t="array" aca="1" ref="R97" ca="1">IF($C97="S",REFERENCIA.Descricao,"(digite a descrição aqui)")</f>
        <v>CHAPISCO APLICADO EM ALVENARIA (COM PRESENÇA DE VÃOS) E ESTRUTURAS DE CONCRETO DE FACHADA, COM COLHER DE PEDREIRO. ARGAMASSA TRAÇO 1:3 COM PREPARO EM BETONEIRA 400L. AF_10/2022</v>
      </c>
      <c r="S97" s="121" t="str">
        <f t="array" aca="1" ref="S97" ca="1">REFERENCIA.Unidade</f>
        <v>M2</v>
      </c>
      <c r="T97" s="122">
        <f ca="1">OFFSET(CÁLCULO!H$15,ROW($T97)-ROW(T$15),0)</f>
        <v>607</v>
      </c>
      <c r="U97" s="123">
        <f>8.92*0.94</f>
        <v>8.3848000000000003</v>
      </c>
      <c r="V97" s="124" t="s">
        <v>697</v>
      </c>
      <c r="W97" s="122">
        <f t="array" aca="1" ref="W97" ca="1">IF($C97="S",ROUND(IF(TIPOORCAMENTO="Proposto",ORÇAMENTO.CustoUnitario*(1+$AH97),ORÇAMENTO.PrecoUnitarioLicitado),15-13*$AF$10),0)</f>
        <v>10.08</v>
      </c>
      <c r="X97" s="125">
        <f t="array" aca="1" ref="X97" ca="1">IF($C97="S",IF(OR(Import.TipoArredondamento&lt;&gt;"TransfereGOV",ACOMPANHAMENTO="BM"),VTOTAL1,SUM(OFFSET(CÁLCULO!$AI$15,ROW($X97)-ROW($X$15),1):OFFSET(CÁLCULO!$BB$15,ROW($X97)-ROW($X$15),-1))),IF($C97=0,0,ROUND(SomaAgrup,15-13*$AF$11)))</f>
        <v>6118.56</v>
      </c>
      <c r="Y97" s="126" t="s">
        <v>751</v>
      </c>
      <c r="Z97" s="696" t="str">
        <f t="shared" ca="1" si="26"/>
        <v>RA</v>
      </c>
      <c r="AA97" s="127">
        <f t="array" aca="1" ref="AA97" ca="1">IF($C97="S",IF($Z97="CP",$X97,IF($Z97="RA",(($X97)*QCI!$AA$3),0)),SomaAgrup)</f>
        <v>0</v>
      </c>
      <c r="AB97" s="128">
        <f t="array" aca="1" ref="AB97" ca="1">IF($C97="S",IF($Z97="OU",ROUND($X97,2),0),SomaAgrup)</f>
        <v>0</v>
      </c>
      <c r="AC97" s="563" t="str">
        <f t="array" aca="1" ref="AC97" ca="1">IF($N97=""," ",
IF(AND($C97&lt;&gt;"S",OR($R97="",$R97="(digite a descrição aqui)")),"DESCRIÇÃO",
IF(AND($C97="S",OR($Q97&lt;&gt;"",$T97&gt;0,$U97&gt;0),$P97=""),"FONTE",
IF(AND($C97="S",$P97&lt;&gt;"",OR($T97&gt;0,$U97&gt;0),$Q97=""),"CÓDIGO",
IF(AND($C97="S",$P97&lt;&gt;"",$Q97&lt;&gt;"",$R97="(Código não identificado nas referências)"),"CÓDIGO N/ID",
IF(AND($C97="S",OR($R97="",$R97="(digite a descrição aqui)"),OR($Q97&lt;&gt;"",$T97&gt;0,$U97&gt;0)),"DESCRIÇÃO",
IF(AND($C97="S",$P97&lt;&gt;"",$Q97&lt;&gt;"",$S97=""),"UNIDADE",
IF(AND($C97="S",$P97&lt;&gt;"",$Q97&lt;&gt;"",$U97=0),"SEM CUSTO",
IF(AND(TIPOORCAMENTO="Licitado",$AL97=0,$AN97&gt;0),"SEM PREÇO",
IF(AND($C97="S",$P97&lt;&gt;"",$Q97&lt;&gt;"",$U97&gt;0,AND($V97&lt;&gt;"BDI 1",$V97&lt;&gt;"BDI 2",$V97&lt;&gt;"BDI 3")),IF(ISNUMBER($V97),"JUSTIFICAR BDI","BDI"),
IF(OR(AND(import.recurso="OGU",TIPOORCAMENTO="Proposto",LEFT($O$8,5)&lt;&gt;"(N/D:",$AG97&lt;&gt;"",ORÇAMENTO.CustoUnitario&gt;$AG97),AND(TIPOORCAMENTO="LICITADO",ORÇAMENTO.PrecoUnitarioLicitado&gt;$AN97)),"ACIMA REF.",
IF(AND($C97="S",$P97&lt;&gt;"",$Q97&lt;&gt;"",$T97=0,$U97&gt;0),"QUANT.",
IF(AND(Import.TipoArredondamento="TransfereGOV",$L97="F",$C97="S",LEN($Q97)&gt;13),"Código &gt;13",
IF(AND(Import.TipoArredondamento="TransfereGOV",$L97="F",$C97&lt;&gt;"S",LEN($R97)&gt;100),"Descrição &gt;100",
IF(AND(Import.TipoArredondamento="TransfereGOV",$L97="F",$C97="S",LEN($R97)&gt;500),"Descrição &gt;500",
IF(AND(Import.TipoArredondamento="TransfereGOV",$L97="F",$C97="S",LEFT(TRIM(UPPER($P97)),6)&lt;&gt;"SINAPI",ISNA(VLOOKUP(TRIM(UPPER($S97)),ListaTgov.Unidades,1,FALSE))),"Unid. Não Disp",
" "))))))))))))))))</f>
        <v xml:space="preserve"> </v>
      </c>
      <c r="AD97" s="696" t="str">
        <f ca="1">IF(C97&lt;=CRONO.NivelExibicao,MAX($AD$15:OFFSET(AD97,-1,0))+IF($C97&lt;&gt;1,1,MAX(1,COUNTIF(QCI!$A$13:$A$24,OFFSET($E97,-1,0)))),"")</f>
        <v/>
      </c>
      <c r="AE97" s="694" t="str">
        <f t="array" aca="1" ref="AE97" ca="1">IF(AND($C97="S",ORÇAMENTO.CodBarra&lt;&gt;""),IF(ORÇAMENTO.Fonte="",ORÇAMENTO.CodBarra,CONCATENATE(ORÇAMENTO.Fonte," ",ORÇAMENTO.CodBarra)))</f>
        <v>SINAPI 87905</v>
      </c>
      <c r="AF97" s="695">
        <f t="array" aca="1" ref="AF97" ca="1">IF(ISERROR(ORÇAMENTO.BancoRef),"(abra o arquivo 'Referência "&amp;Excel_BuiltIn_Database&amp;".xlsm)",IF(OR($C97&lt;&gt;"S",ORÇAMENTO.CodBarra=""),"(Sem Código)",IF(ISERROR(MATCH($AE97,INDIRECT(ORÇAMENTO.BancoRef),0)),"(Código não identificado nas referências)",MATCH($AE97,INDIRECT(ORÇAMENTO.BancoRef),0))))</f>
        <v>7267</v>
      </c>
      <c r="AG97" s="428">
        <f t="array" aca="1" ref="AG97" ca="1">ROUND(IF(DESONERACAO="sim",REFERENCIA.Desonerado,REFERENCIA.NaoDesonerado),2)</f>
        <v>8.92</v>
      </c>
      <c r="AH97" s="429">
        <f t="shared" ca="1" si="27"/>
        <v>0.2034</v>
      </c>
      <c r="AJ97" s="431"/>
      <c r="AL97" s="439"/>
      <c r="AM97" s="336">
        <f t="shared" ca="1" si="0"/>
        <v>6118.56</v>
      </c>
      <c r="AN97" s="469">
        <f t="array" aca="1" ref="AN97" ca="1">ROUND(ORÇAMENTO.CustoUnitario*(1+$AH97),2)</f>
        <v>10.08</v>
      </c>
    </row>
    <row r="98" spans="1:40" s="696" customFormat="1" ht="51" x14ac:dyDescent="0.2">
      <c r="A98" s="696" t="str">
        <f t="shared" si="15"/>
        <v>S</v>
      </c>
      <c r="B98" s="696">
        <f t="shared" ca="1" si="16"/>
        <v>2</v>
      </c>
      <c r="C98" s="696" t="str">
        <f t="shared" ca="1" si="17"/>
        <v>S</v>
      </c>
      <c r="D98" s="696">
        <f t="shared" ca="1" si="18"/>
        <v>0</v>
      </c>
      <c r="E98" s="696">
        <f ca="1">IF($C98=1,OFFSET(E98,-1,0)+MAX(1,COUNTIF(QCI!$A$13:$A$24,OFFSET(ORÇAMENTO!E98,-1,0))),OFFSET(E98,-1,0))</f>
        <v>1</v>
      </c>
      <c r="F98" s="696">
        <f t="shared" ca="1" si="19"/>
        <v>16</v>
      </c>
      <c r="G98" s="696">
        <f t="shared" ca="1" si="20"/>
        <v>0</v>
      </c>
      <c r="H98" s="696">
        <f t="shared" ca="1" si="21"/>
        <v>0</v>
      </c>
      <c r="I98" s="696">
        <f t="shared" ca="1" si="22"/>
        <v>2</v>
      </c>
      <c r="J98" s="696">
        <f t="shared" ca="1" si="28"/>
        <v>0</v>
      </c>
      <c r="K98" s="696">
        <f ca="1">IF(OR($C98="S",$C98=0),0,MATCH(OFFSET($D98,0,$C98)+IF($C98&lt;&gt;1,1,COUNTIF(QCI!$A$13:$A$24,ORÇAMENTO!E98)),OFFSET($D98,1,$C98,ROW($C$235)-ROW($C98)),0))</f>
        <v>0</v>
      </c>
      <c r="L98" s="114" t="str">
        <f t="shared" ca="1" si="23"/>
        <v>F</v>
      </c>
      <c r="M98" s="115" t="s">
        <v>705</v>
      </c>
      <c r="N98" s="116" t="str">
        <f t="shared" ca="1" si="24"/>
        <v>Serviço</v>
      </c>
      <c r="O98" s="117" t="str">
        <f t="shared" ca="1" si="25"/>
        <v>1.16.2.</v>
      </c>
      <c r="P98" s="118" t="s">
        <v>750</v>
      </c>
      <c r="Q98" s="119" t="s">
        <v>1084</v>
      </c>
      <c r="R98" s="120" t="str">
        <f t="array" aca="1" ref="R98" ca="1">IF($C98="S",REFERENCIA.Descricao,"(digite a descrição aqui)")</f>
        <v>CHAPISCO APLICADO EM ALVENARIA (SEM PRESENÇA DE VÃOS) E ESTRUTURAS DE CONCRETO DE FACHADA, COM COLHER DE PEDREIRO. ARGAMASSA TRAÇO 1:3 COM PREPARO EM BETONEIRA 400L. AF_10/2022</v>
      </c>
      <c r="S98" s="121" t="str">
        <f t="array" aca="1" ref="S98" ca="1">REFERENCIA.Unidade</f>
        <v>M2</v>
      </c>
      <c r="T98" s="122">
        <f ca="1">OFFSET(CÁLCULO!H$15,ROW($T98)-ROW(T$15),0)</f>
        <v>609</v>
      </c>
      <c r="U98" s="123">
        <f>7.64*0.94</f>
        <v>7.1815999999999995</v>
      </c>
      <c r="V98" s="124" t="s">
        <v>697</v>
      </c>
      <c r="W98" s="122">
        <f t="array" aca="1" ref="W98" ca="1">IF($C98="S",ROUND(IF(TIPOORCAMENTO="Proposto",ORÇAMENTO.CustoUnitario*(1+$AH98),ORÇAMENTO.PrecoUnitarioLicitado),15-13*$AF$10),0)</f>
        <v>8.64</v>
      </c>
      <c r="X98" s="125">
        <f t="array" aca="1" ref="X98" ca="1">IF($C98="S",IF(OR(Import.TipoArredondamento&lt;&gt;"TransfereGOV",ACOMPANHAMENTO="BM"),VTOTAL1,SUM(OFFSET(CÁLCULO!$AI$15,ROW($X98)-ROW($X$15),1):OFFSET(CÁLCULO!$BB$15,ROW($X98)-ROW($X$15),-1))),IF($C98=0,0,ROUND(SomaAgrup,15-13*$AF$11)))</f>
        <v>5261.76</v>
      </c>
      <c r="Y98" s="126" t="s">
        <v>751</v>
      </c>
      <c r="Z98" s="696" t="str">
        <f t="shared" ca="1" si="26"/>
        <v>RA</v>
      </c>
      <c r="AA98" s="127">
        <f t="array" aca="1" ref="AA98" ca="1">IF($C98="S",IF($Z98="CP",$X98,IF($Z98="RA",(($X98)*QCI!$AA$3),0)),SomaAgrup)</f>
        <v>0</v>
      </c>
      <c r="AB98" s="128">
        <f t="array" aca="1" ref="AB98" ca="1">IF($C98="S",IF($Z98="OU",ROUND($X98,2),0),SomaAgrup)</f>
        <v>0</v>
      </c>
      <c r="AC98" s="563" t="str">
        <f t="array" aca="1" ref="AC98" ca="1">IF($N98=""," ",
IF(AND($C98&lt;&gt;"S",OR($R98="",$R98="(digite a descrição aqui)")),"DESCRIÇÃO",
IF(AND($C98="S",OR($Q98&lt;&gt;"",$T98&gt;0,$U98&gt;0),$P98=""),"FONTE",
IF(AND($C98="S",$P98&lt;&gt;"",OR($T98&gt;0,$U98&gt;0),$Q98=""),"CÓDIGO",
IF(AND($C98="S",$P98&lt;&gt;"",$Q98&lt;&gt;"",$R98="(Código não identificado nas referências)"),"CÓDIGO N/ID",
IF(AND($C98="S",OR($R98="",$R98="(digite a descrição aqui)"),OR($Q98&lt;&gt;"",$T98&gt;0,$U98&gt;0)),"DESCRIÇÃO",
IF(AND($C98="S",$P98&lt;&gt;"",$Q98&lt;&gt;"",$S98=""),"UNIDADE",
IF(AND($C98="S",$P98&lt;&gt;"",$Q98&lt;&gt;"",$U98=0),"SEM CUSTO",
IF(AND(TIPOORCAMENTO="Licitado",$AL98=0,$AN98&gt;0),"SEM PREÇO",
IF(AND($C98="S",$P98&lt;&gt;"",$Q98&lt;&gt;"",$U98&gt;0,AND($V98&lt;&gt;"BDI 1",$V98&lt;&gt;"BDI 2",$V98&lt;&gt;"BDI 3")),IF(ISNUMBER($V98),"JUSTIFICAR BDI","BDI"),
IF(OR(AND(import.recurso="OGU",TIPOORCAMENTO="Proposto",LEFT($O$8,5)&lt;&gt;"(N/D:",$AG98&lt;&gt;"",ORÇAMENTO.CustoUnitario&gt;$AG98),AND(TIPOORCAMENTO="LICITADO",ORÇAMENTO.PrecoUnitarioLicitado&gt;$AN98)),"ACIMA REF.",
IF(AND($C98="S",$P98&lt;&gt;"",$Q98&lt;&gt;"",$T98=0,$U98&gt;0),"QUANT.",
IF(AND(Import.TipoArredondamento="TransfereGOV",$L98="F",$C98="S",LEN($Q98)&gt;13),"Código &gt;13",
IF(AND(Import.TipoArredondamento="TransfereGOV",$L98="F",$C98&lt;&gt;"S",LEN($R98)&gt;100),"Descrição &gt;100",
IF(AND(Import.TipoArredondamento="TransfereGOV",$L98="F",$C98="S",LEN($R98)&gt;500),"Descrição &gt;500",
IF(AND(Import.TipoArredondamento="TransfereGOV",$L98="F",$C98="S",LEFT(TRIM(UPPER($P98)),6)&lt;&gt;"SINAPI",ISNA(VLOOKUP(TRIM(UPPER($S98)),ListaTgov.Unidades,1,FALSE))),"Unid. Não Disp",
" "))))))))))))))))</f>
        <v xml:space="preserve"> </v>
      </c>
      <c r="AD98" s="696" t="str">
        <f ca="1">IF(C98&lt;=CRONO.NivelExibicao,MAX($AD$15:OFFSET(AD98,-1,0))+IF($C98&lt;&gt;1,1,MAX(1,COUNTIF(QCI!$A$13:$A$24,OFFSET($E98,-1,0)))),"")</f>
        <v/>
      </c>
      <c r="AE98" s="694" t="str">
        <f t="array" aca="1" ref="AE98" ca="1">IF(AND($C98="S",ORÇAMENTO.CodBarra&lt;&gt;""),IF(ORÇAMENTO.Fonte="",ORÇAMENTO.CodBarra,CONCATENATE(ORÇAMENTO.Fonte," ",ORÇAMENTO.CodBarra)))</f>
        <v>SINAPI 87894</v>
      </c>
      <c r="AF98" s="695">
        <f t="array" aca="1" ref="AF98" ca="1">IF(ISERROR(ORÇAMENTO.BancoRef),"(abra o arquivo 'Referência "&amp;Excel_BuiltIn_Database&amp;".xlsm)",IF(OR($C98&lt;&gt;"S",ORÇAMENTO.CodBarra=""),"(Sem Código)",IF(ISERROR(MATCH($AE98,INDIRECT(ORÇAMENTO.BancoRef),0)),"(Código não identificado nas referências)",MATCH($AE98,INDIRECT(ORÇAMENTO.BancoRef),0))))</f>
        <v>7275</v>
      </c>
      <c r="AG98" s="428">
        <f t="array" aca="1" ref="AG98" ca="1">ROUND(IF(DESONERACAO="sim",REFERENCIA.Desonerado,REFERENCIA.NaoDesonerado),2)</f>
        <v>7.64</v>
      </c>
      <c r="AH98" s="429">
        <f t="shared" ca="1" si="27"/>
        <v>0.2034</v>
      </c>
      <c r="AJ98" s="431"/>
      <c r="AL98" s="439"/>
      <c r="AM98" s="336">
        <f t="shared" ca="1" si="0"/>
        <v>5261.76</v>
      </c>
      <c r="AN98" s="469">
        <f t="array" aca="1" ref="AN98" ca="1">ROUND(ORÇAMENTO.CustoUnitario*(1+$AH98),2)</f>
        <v>8.64</v>
      </c>
    </row>
    <row r="99" spans="1:40" s="696" customFormat="1" ht="51" x14ac:dyDescent="0.2">
      <c r="A99" s="696" t="str">
        <f t="shared" si="15"/>
        <v>S</v>
      </c>
      <c r="B99" s="696">
        <f t="shared" ca="1" si="16"/>
        <v>2</v>
      </c>
      <c r="C99" s="696" t="str">
        <f t="shared" ca="1" si="17"/>
        <v>S</v>
      </c>
      <c r="D99" s="696">
        <f t="shared" ca="1" si="18"/>
        <v>0</v>
      </c>
      <c r="E99" s="696">
        <f ca="1">IF($C99=1,OFFSET(E99,-1,0)+MAX(1,COUNTIF(QCI!$A$13:$A$24,OFFSET(ORÇAMENTO!E99,-1,0))),OFFSET(E99,-1,0))</f>
        <v>1</v>
      </c>
      <c r="F99" s="696">
        <f t="shared" ca="1" si="19"/>
        <v>16</v>
      </c>
      <c r="G99" s="696">
        <f t="shared" ca="1" si="20"/>
        <v>0</v>
      </c>
      <c r="H99" s="696">
        <f t="shared" ca="1" si="21"/>
        <v>0</v>
      </c>
      <c r="I99" s="696">
        <f t="shared" ca="1" si="22"/>
        <v>3</v>
      </c>
      <c r="J99" s="696">
        <f t="shared" ca="1" si="28"/>
        <v>0</v>
      </c>
      <c r="K99" s="696">
        <f ca="1">IF(OR($C99="S",$C99=0),0,MATCH(OFFSET($D99,0,$C99)+IF($C99&lt;&gt;1,1,COUNTIF(QCI!$A$13:$A$24,ORÇAMENTO!E99)),OFFSET($D99,1,$C99,ROW($C$235)-ROW($C99)),0))</f>
        <v>0</v>
      </c>
      <c r="L99" s="114" t="str">
        <f t="shared" ca="1" si="23"/>
        <v>F</v>
      </c>
      <c r="M99" s="115" t="s">
        <v>705</v>
      </c>
      <c r="N99" s="116" t="str">
        <f t="shared" ca="1" si="24"/>
        <v>Serviço</v>
      </c>
      <c r="O99" s="117" t="str">
        <f t="shared" ca="1" si="25"/>
        <v>1.16.3.</v>
      </c>
      <c r="P99" s="118" t="s">
        <v>750</v>
      </c>
      <c r="Q99" s="119" t="s">
        <v>1085</v>
      </c>
      <c r="R99" s="120" t="str">
        <f t="array" aca="1" ref="R99" ca="1">IF($C99="S",REFERENCIA.Descricao,"(digite a descrição aqui)")</f>
        <v>EMBOÇO OU MASSA ÚNICA EM ARGAMASSA TRAÇO 1:2:8, PREPARO MECÂNICO COM BETONEIRA 400 L, APLICADA MANUALMENTE EM PANOS CEGOS DE FACHADA (SEM PRESENÇA DE VÃOS), ESPESSURA DE 25 MM. AF_08/2022</v>
      </c>
      <c r="S99" s="121" t="str">
        <f t="array" aca="1" ref="S99" ca="1">REFERENCIA.Unidade</f>
        <v>M2</v>
      </c>
      <c r="T99" s="122">
        <f ca="1">OFFSET(CÁLCULO!H$15,ROW($T99)-ROW(T$15),0)</f>
        <v>609</v>
      </c>
      <c r="U99" s="123">
        <f>44.49*0.94</f>
        <v>41.820599999999999</v>
      </c>
      <c r="V99" s="124" t="s">
        <v>697</v>
      </c>
      <c r="W99" s="122">
        <f t="array" aca="1" ref="W99" ca="1">IF($C99="S",ROUND(IF(TIPOORCAMENTO="Proposto",ORÇAMENTO.CustoUnitario*(1+$AH99),ORÇAMENTO.PrecoUnitarioLicitado),15-13*$AF$10),0)</f>
        <v>50.33</v>
      </c>
      <c r="X99" s="125">
        <f t="array" aca="1" ref="X99" ca="1">IF($C99="S",IF(OR(Import.TipoArredondamento&lt;&gt;"TransfereGOV",ACOMPANHAMENTO="BM"),VTOTAL1,SUM(OFFSET(CÁLCULO!$AI$15,ROW($X99)-ROW($X$15),1):OFFSET(CÁLCULO!$BB$15,ROW($X99)-ROW($X$15),-1))),IF($C99=0,0,ROUND(SomaAgrup,15-13*$AF$11)))</f>
        <v>30650.959999999999</v>
      </c>
      <c r="Y99" s="126" t="s">
        <v>751</v>
      </c>
      <c r="Z99" s="696" t="str">
        <f t="shared" ca="1" si="26"/>
        <v>RA</v>
      </c>
      <c r="AA99" s="127">
        <f t="array" aca="1" ref="AA99" ca="1">IF($C99="S",IF($Z99="CP",$X99,IF($Z99="RA",(($X99)*QCI!$AA$3),0)),SomaAgrup)</f>
        <v>0</v>
      </c>
      <c r="AB99" s="128">
        <f t="array" aca="1" ref="AB99" ca="1">IF($C99="S",IF($Z99="OU",ROUND($X99,2),0),SomaAgrup)</f>
        <v>0</v>
      </c>
      <c r="AC99" s="563" t="str">
        <f t="array" aca="1" ref="AC99" ca="1">IF($N99=""," ",
IF(AND($C99&lt;&gt;"S",OR($R99="",$R99="(digite a descrição aqui)")),"DESCRIÇÃO",
IF(AND($C99="S",OR($Q99&lt;&gt;"",$T99&gt;0,$U99&gt;0),$P99=""),"FONTE",
IF(AND($C99="S",$P99&lt;&gt;"",OR($T99&gt;0,$U99&gt;0),$Q99=""),"CÓDIGO",
IF(AND($C99="S",$P99&lt;&gt;"",$Q99&lt;&gt;"",$R99="(Código não identificado nas referências)"),"CÓDIGO N/ID",
IF(AND($C99="S",OR($R99="",$R99="(digite a descrição aqui)"),OR($Q99&lt;&gt;"",$T99&gt;0,$U99&gt;0)),"DESCRIÇÃO",
IF(AND($C99="S",$P99&lt;&gt;"",$Q99&lt;&gt;"",$S99=""),"UNIDADE",
IF(AND($C99="S",$P99&lt;&gt;"",$Q99&lt;&gt;"",$U99=0),"SEM CUSTO",
IF(AND(TIPOORCAMENTO="Licitado",$AL99=0,$AN99&gt;0),"SEM PREÇO",
IF(AND($C99="S",$P99&lt;&gt;"",$Q99&lt;&gt;"",$U99&gt;0,AND($V99&lt;&gt;"BDI 1",$V99&lt;&gt;"BDI 2",$V99&lt;&gt;"BDI 3")),IF(ISNUMBER($V99),"JUSTIFICAR BDI","BDI"),
IF(OR(AND(import.recurso="OGU",TIPOORCAMENTO="Proposto",LEFT($O$8,5)&lt;&gt;"(N/D:",$AG99&lt;&gt;"",ORÇAMENTO.CustoUnitario&gt;$AG99),AND(TIPOORCAMENTO="LICITADO",ORÇAMENTO.PrecoUnitarioLicitado&gt;$AN99)),"ACIMA REF.",
IF(AND($C99="S",$P99&lt;&gt;"",$Q99&lt;&gt;"",$T99=0,$U99&gt;0),"QUANT.",
IF(AND(Import.TipoArredondamento="TransfereGOV",$L99="F",$C99="S",LEN($Q99)&gt;13),"Código &gt;13",
IF(AND(Import.TipoArredondamento="TransfereGOV",$L99="F",$C99&lt;&gt;"S",LEN($R99)&gt;100),"Descrição &gt;100",
IF(AND(Import.TipoArredondamento="TransfereGOV",$L99="F",$C99="S",LEN($R99)&gt;500),"Descrição &gt;500",
IF(AND(Import.TipoArredondamento="TransfereGOV",$L99="F",$C99="S",LEFT(TRIM(UPPER($P99)),6)&lt;&gt;"SINAPI",ISNA(VLOOKUP(TRIM(UPPER($S99)),ListaTgov.Unidades,1,FALSE))),"Unid. Não Disp",
" "))))))))))))))))</f>
        <v xml:space="preserve"> </v>
      </c>
      <c r="AD99" s="696" t="str">
        <f ca="1">IF(C99&lt;=CRONO.NivelExibicao,MAX($AD$15:OFFSET(AD99,-1,0))+IF($C99&lt;&gt;1,1,MAX(1,COUNTIF(QCI!$A$13:$A$24,OFFSET($E99,-1,0)))),"")</f>
        <v/>
      </c>
      <c r="AE99" s="694" t="str">
        <f t="array" aca="1" ref="AE99" ca="1">IF(AND($C99="S",ORÇAMENTO.CodBarra&lt;&gt;""),IF(ORÇAMENTO.Fonte="",ORÇAMENTO.CodBarra,CONCATENATE(ORÇAMENTO.Fonte," ",ORÇAMENTO.CodBarra)))</f>
        <v>SINAPI 87792</v>
      </c>
      <c r="AF99" s="695">
        <f t="array" aca="1" ref="AF99" ca="1">IF(ISERROR(ORÇAMENTO.BancoRef),"(abra o arquivo 'Referência "&amp;Excel_BuiltIn_Database&amp;".xlsm)",IF(OR($C99&lt;&gt;"S",ORÇAMENTO.CodBarra=""),"(Sem Código)",IF(ISERROR(MATCH($AE99,INDIRECT(ORÇAMENTO.BancoRef),0)),"(Código não identificado nas referências)",MATCH($AE99,INDIRECT(ORÇAMENTO.BancoRef),0))))</f>
        <v>13395</v>
      </c>
      <c r="AG99" s="428">
        <f t="array" aca="1" ref="AG99" ca="1">ROUND(IF(DESONERACAO="sim",REFERENCIA.Desonerado,REFERENCIA.NaoDesonerado),2)</f>
        <v>44.49</v>
      </c>
      <c r="AH99" s="429">
        <f t="shared" ca="1" si="27"/>
        <v>0.2034</v>
      </c>
      <c r="AJ99" s="431"/>
      <c r="AL99" s="439"/>
      <c r="AM99" s="336">
        <f t="shared" ca="1" si="0"/>
        <v>30650.959999999999</v>
      </c>
      <c r="AN99" s="469">
        <f t="array" aca="1" ref="AN99" ca="1">ROUND(ORÇAMENTO.CustoUnitario*(1+$AH99),2)</f>
        <v>50.33</v>
      </c>
    </row>
    <row r="100" spans="1:40" s="696" customFormat="1" ht="51" x14ac:dyDescent="0.2">
      <c r="A100" s="696" t="str">
        <f t="shared" si="15"/>
        <v>S</v>
      </c>
      <c r="B100" s="696">
        <f t="shared" ca="1" si="16"/>
        <v>2</v>
      </c>
      <c r="C100" s="696" t="str">
        <f t="shared" ca="1" si="17"/>
        <v>S</v>
      </c>
      <c r="D100" s="696">
        <f t="shared" ca="1" si="18"/>
        <v>0</v>
      </c>
      <c r="E100" s="696">
        <f ca="1">IF($C100=1,OFFSET(E100,-1,0)+MAX(1,COUNTIF(QCI!$A$13:$A$24,OFFSET(ORÇAMENTO!E100,-1,0))),OFFSET(E100,-1,0))</f>
        <v>1</v>
      </c>
      <c r="F100" s="696">
        <f t="shared" ca="1" si="19"/>
        <v>16</v>
      </c>
      <c r="G100" s="696">
        <f t="shared" ca="1" si="20"/>
        <v>0</v>
      </c>
      <c r="H100" s="696">
        <f t="shared" ca="1" si="21"/>
        <v>0</v>
      </c>
      <c r="I100" s="696">
        <f t="shared" ca="1" si="22"/>
        <v>4</v>
      </c>
      <c r="J100" s="696">
        <f t="shared" ca="1" si="28"/>
        <v>0</v>
      </c>
      <c r="K100" s="696">
        <f ca="1">IF(OR($C100="S",$C100=0),0,MATCH(OFFSET($D100,0,$C100)+IF($C100&lt;&gt;1,1,COUNTIF(QCI!$A$13:$A$24,ORÇAMENTO!E100)),OFFSET($D100,1,$C100,ROW($C$235)-ROW($C100)),0))</f>
        <v>0</v>
      </c>
      <c r="L100" s="114" t="str">
        <f t="shared" ca="1" si="23"/>
        <v>F</v>
      </c>
      <c r="M100" s="115" t="s">
        <v>705</v>
      </c>
      <c r="N100" s="116" t="str">
        <f t="shared" ca="1" si="24"/>
        <v>Serviço</v>
      </c>
      <c r="O100" s="117" t="str">
        <f t="shared" ca="1" si="25"/>
        <v>1.16.4.</v>
      </c>
      <c r="P100" s="118" t="s">
        <v>750</v>
      </c>
      <c r="Q100" s="119" t="s">
        <v>1086</v>
      </c>
      <c r="R100" s="120" t="str">
        <f t="array" aca="1" ref="R100" ca="1">IF($C100="S",REFERENCIA.Descricao,"(digite a descrição aqui)")</f>
        <v>EMBOÇO OU MASSA ÚNICA EM ARGAMASSA TRAÇO 1:2:8, PREPARO MECÂNICO COM BETONEIRA 400 L, APLICADA MANUALMENTE EM PANOS DE FACHADA COM PRESENÇA DE VÃOS, ESPESSURA DE 25 MM. AF_08/2022</v>
      </c>
      <c r="S100" s="121" t="str">
        <f t="array" aca="1" ref="S100" ca="1">REFERENCIA.Unidade</f>
        <v>M2</v>
      </c>
      <c r="T100" s="122">
        <f ca="1">OFFSET(CÁLCULO!H$15,ROW($T100)-ROW(T$15),0)</f>
        <v>607</v>
      </c>
      <c r="U100" s="123">
        <f>60.16*0.94</f>
        <v>56.550399999999996</v>
      </c>
      <c r="V100" s="124" t="s">
        <v>697</v>
      </c>
      <c r="W100" s="122">
        <f t="array" aca="1" ref="W100" ca="1">IF($C100="S",ROUND(IF(TIPOORCAMENTO="Proposto",ORÇAMENTO.CustoUnitario*(1+$AH100),ORÇAMENTO.PrecoUnitarioLicitado),15-13*$AF$10),0)</f>
        <v>68.05</v>
      </c>
      <c r="X100" s="125">
        <f t="array" aca="1" ref="X100" ca="1">IF($C100="S",IF(OR(Import.TipoArredondamento&lt;&gt;"TransfereGOV",ACOMPANHAMENTO="BM"),VTOTAL1,SUM(OFFSET(CÁLCULO!$AI$15,ROW($X100)-ROW($X$15),1):OFFSET(CÁLCULO!$BB$15,ROW($X100)-ROW($X$15),-1))),IF($C100=0,0,ROUND(SomaAgrup,15-13*$AF$11)))</f>
        <v>41306.36</v>
      </c>
      <c r="Y100" s="126" t="s">
        <v>751</v>
      </c>
      <c r="Z100" s="696" t="str">
        <f t="shared" ca="1" si="26"/>
        <v>RA</v>
      </c>
      <c r="AA100" s="127">
        <f t="array" aca="1" ref="AA100" ca="1">IF($C100="S",IF($Z100="CP",$X100,IF($Z100="RA",(($X100)*QCI!$AA$3),0)),SomaAgrup)</f>
        <v>0</v>
      </c>
      <c r="AB100" s="128">
        <f t="array" aca="1" ref="AB100" ca="1">IF($C100="S",IF($Z100="OU",ROUND($X100,2),0),SomaAgrup)</f>
        <v>0</v>
      </c>
      <c r="AC100" s="563" t="str">
        <f t="array" aca="1" ref="AC100" ca="1">IF($N100=""," ",
IF(AND($C100&lt;&gt;"S",OR($R100="",$R100="(digite a descrição aqui)")),"DESCRIÇÃO",
IF(AND($C100="S",OR($Q100&lt;&gt;"",$T100&gt;0,$U100&gt;0),$P100=""),"FONTE",
IF(AND($C100="S",$P100&lt;&gt;"",OR($T100&gt;0,$U100&gt;0),$Q100=""),"CÓDIGO",
IF(AND($C100="S",$P100&lt;&gt;"",$Q100&lt;&gt;"",$R100="(Código não identificado nas referências)"),"CÓDIGO N/ID",
IF(AND($C100="S",OR($R100="",$R100="(digite a descrição aqui)"),OR($Q100&lt;&gt;"",$T100&gt;0,$U100&gt;0)),"DESCRIÇÃO",
IF(AND($C100="S",$P100&lt;&gt;"",$Q100&lt;&gt;"",$S100=""),"UNIDADE",
IF(AND($C100="S",$P100&lt;&gt;"",$Q100&lt;&gt;"",$U100=0),"SEM CUSTO",
IF(AND(TIPOORCAMENTO="Licitado",$AL100=0,$AN100&gt;0),"SEM PREÇO",
IF(AND($C100="S",$P100&lt;&gt;"",$Q100&lt;&gt;"",$U100&gt;0,AND($V100&lt;&gt;"BDI 1",$V100&lt;&gt;"BDI 2",$V100&lt;&gt;"BDI 3")),IF(ISNUMBER($V100),"JUSTIFICAR BDI","BDI"),
IF(OR(AND(import.recurso="OGU",TIPOORCAMENTO="Proposto",LEFT($O$8,5)&lt;&gt;"(N/D:",$AG100&lt;&gt;"",ORÇAMENTO.CustoUnitario&gt;$AG100),AND(TIPOORCAMENTO="LICITADO",ORÇAMENTO.PrecoUnitarioLicitado&gt;$AN100)),"ACIMA REF.",
IF(AND($C100="S",$P100&lt;&gt;"",$Q100&lt;&gt;"",$T100=0,$U100&gt;0),"QUANT.",
IF(AND(Import.TipoArredondamento="TransfereGOV",$L100="F",$C100="S",LEN($Q100)&gt;13),"Código &gt;13",
IF(AND(Import.TipoArredondamento="TransfereGOV",$L100="F",$C100&lt;&gt;"S",LEN($R100)&gt;100),"Descrição &gt;100",
IF(AND(Import.TipoArredondamento="TransfereGOV",$L100="F",$C100="S",LEN($R100)&gt;500),"Descrição &gt;500",
IF(AND(Import.TipoArredondamento="TransfereGOV",$L100="F",$C100="S",LEFT(TRIM(UPPER($P100)),6)&lt;&gt;"SINAPI",ISNA(VLOOKUP(TRIM(UPPER($S100)),ListaTgov.Unidades,1,FALSE))),"Unid. Não Disp",
" "))))))))))))))))</f>
        <v xml:space="preserve"> </v>
      </c>
      <c r="AD100" s="696" t="str">
        <f ca="1">IF(C100&lt;=CRONO.NivelExibicao,MAX($AD$15:OFFSET(AD100,-1,0))+IF($C100&lt;&gt;1,1,MAX(1,COUNTIF(QCI!$A$13:$A$24,OFFSET($E100,-1,0)))),"")</f>
        <v/>
      </c>
      <c r="AE100" s="694" t="str">
        <f t="array" aca="1" ref="AE100" ca="1">IF(AND($C100="S",ORÇAMENTO.CodBarra&lt;&gt;""),IF(ORÇAMENTO.Fonte="",ORÇAMENTO.CodBarra,CONCATENATE(ORÇAMENTO.Fonte," ",ORÇAMENTO.CodBarra)))</f>
        <v>SINAPI 87775</v>
      </c>
      <c r="AF100" s="695">
        <f t="array" aca="1" ref="AF100" ca="1">IF(ISERROR(ORÇAMENTO.BancoRef),"(abra o arquivo 'Referência "&amp;Excel_BuiltIn_Database&amp;".xlsm)",IF(OR($C100&lt;&gt;"S",ORÇAMENTO.CodBarra=""),"(Sem Código)",IF(ISERROR(MATCH($AE100,INDIRECT(ORÇAMENTO.BancoRef),0)),"(Código não identificado nas referências)",MATCH($AE100,INDIRECT(ORÇAMENTO.BancoRef),0))))</f>
        <v>13399</v>
      </c>
      <c r="AG100" s="428">
        <f t="array" aca="1" ref="AG100" ca="1">ROUND(IF(DESONERACAO="sim",REFERENCIA.Desonerado,REFERENCIA.NaoDesonerado),2)</f>
        <v>60.16</v>
      </c>
      <c r="AH100" s="429">
        <f t="shared" ca="1" si="27"/>
        <v>0.2034</v>
      </c>
      <c r="AJ100" s="431"/>
      <c r="AL100" s="439"/>
      <c r="AM100" s="336">
        <f t="shared" ca="1" si="0"/>
        <v>41306.36</v>
      </c>
      <c r="AN100" s="469">
        <f t="array" aca="1" ref="AN100" ca="1">ROUND(ORÇAMENTO.CustoUnitario*(1+$AH100),2)</f>
        <v>68.05</v>
      </c>
    </row>
    <row r="101" spans="1:40" s="696" customFormat="1" x14ac:dyDescent="0.2">
      <c r="A101" s="696">
        <f t="shared" si="15"/>
        <v>2</v>
      </c>
      <c r="B101" s="696">
        <f t="shared" ca="1" si="16"/>
        <v>2</v>
      </c>
      <c r="C101" s="696">
        <f t="shared" ca="1" si="17"/>
        <v>2</v>
      </c>
      <c r="D101" s="696">
        <f t="shared" ca="1" si="18"/>
        <v>5</v>
      </c>
      <c r="E101" s="696">
        <f ca="1">IF($C101=1,OFFSET(E101,-1,0)+MAX(1,COUNTIF(QCI!$A$13:$A$24,OFFSET(ORÇAMENTO!E101,-1,0))),OFFSET(E101,-1,0))</f>
        <v>1</v>
      </c>
      <c r="F101" s="696">
        <f t="shared" ca="1" si="19"/>
        <v>17</v>
      </c>
      <c r="G101" s="696">
        <f t="shared" ca="1" si="20"/>
        <v>0</v>
      </c>
      <c r="H101" s="696">
        <f t="shared" ca="1" si="21"/>
        <v>0</v>
      </c>
      <c r="I101" s="696">
        <f t="shared" ca="1" si="22"/>
        <v>0</v>
      </c>
      <c r="J101" s="696">
        <f t="shared" ca="1" si="28"/>
        <v>134</v>
      </c>
      <c r="K101" s="696">
        <f ca="1">IF(OR($C101="S",$C101=0),0,MATCH(OFFSET($D101,0,$C101)+IF($C101&lt;&gt;1,1,COUNTIF(QCI!$A$13:$A$24,ORÇAMENTO!E101)),OFFSET($D101,1,$C101,ROW($C$235)-ROW($C101)),0))</f>
        <v>5</v>
      </c>
      <c r="L101" s="114" t="str">
        <f t="shared" ca="1" si="23"/>
        <v>F</v>
      </c>
      <c r="M101" s="115" t="s">
        <v>702</v>
      </c>
      <c r="N101" s="116" t="str">
        <f t="shared" ca="1" si="24"/>
        <v>Nível 2</v>
      </c>
      <c r="O101" s="117" t="str">
        <f t="shared" ca="1" si="25"/>
        <v>1.17.</v>
      </c>
      <c r="P101" s="118" t="s">
        <v>750</v>
      </c>
      <c r="Q101" s="119"/>
      <c r="R101" s="120" t="s">
        <v>1080</v>
      </c>
      <c r="S101" s="121" t="s">
        <v>688</v>
      </c>
      <c r="T101" s="122">
        <f ca="1">OFFSET(CÁLCULO!H$15,ROW($T101)-ROW(T$15),0)</f>
        <v>0</v>
      </c>
      <c r="U101" s="123"/>
      <c r="V101" s="124" t="s">
        <v>663</v>
      </c>
      <c r="W101" s="122">
        <f t="array" aca="1" ref="W101" ca="1">IF($C101="S",ROUND(IF(TIPOORCAMENTO="Proposto",ORÇAMENTO.CustoUnitario*(1+$AH101),ORÇAMENTO.PrecoUnitarioLicitado),15-13*$AF$10),0)</f>
        <v>0</v>
      </c>
      <c r="X101" s="125">
        <f t="array" aca="1" ref="X101" ca="1">IF($C101="S",IF(OR(Import.TipoArredondamento&lt;&gt;"TransfereGOV",ACOMPANHAMENTO="BM"),VTOTAL1,SUM(OFFSET(CÁLCULO!$AI$15,ROW($X101)-ROW($X$15),1):OFFSET(CÁLCULO!$BB$15,ROW($X101)-ROW($X$15),-1))),IF($C101=0,0,ROUND(SomaAgrup,15-13*$AF$11)))</f>
        <v>42525.48</v>
      </c>
      <c r="Y101" s="126" t="s">
        <v>751</v>
      </c>
      <c r="Z101" s="696" t="str">
        <f t="shared" ca="1" si="26"/>
        <v/>
      </c>
      <c r="AA101" s="127">
        <f t="array" aca="1" ref="AA101" ca="1">IF($C101="S",IF($Z101="CP",$X101,IF($Z101="RA",(($X101)*QCI!$AA$3),0)),SomaAgrup)</f>
        <v>0</v>
      </c>
      <c r="AB101" s="128">
        <f t="array" aca="1" ref="AB101" ca="1">IF($C101="S",IF($Z101="OU",ROUND($X101,2),0),SomaAgrup)</f>
        <v>0</v>
      </c>
      <c r="AC101" s="563" t="str">
        <f t="array" aca="1" ref="AC101" ca="1">IF($N101=""," ",
IF(AND($C101&lt;&gt;"S",OR($R101="",$R101="(digite a descrição aqui)")),"DESCRIÇÃO",
IF(AND($C101="S",OR($Q101&lt;&gt;"",$T101&gt;0,$U101&gt;0),$P101=""),"FONTE",
IF(AND($C101="S",$P101&lt;&gt;"",OR($T101&gt;0,$U101&gt;0),$Q101=""),"CÓDIGO",
IF(AND($C101="S",$P101&lt;&gt;"",$Q101&lt;&gt;"",$R101="(Código não identificado nas referências)"),"CÓDIGO N/ID",
IF(AND($C101="S",OR($R101="",$R101="(digite a descrição aqui)"),OR($Q101&lt;&gt;"",$T101&gt;0,$U101&gt;0)),"DESCRIÇÃO",
IF(AND($C101="S",$P101&lt;&gt;"",$Q101&lt;&gt;"",$S101=""),"UNIDADE",
IF(AND($C101="S",$P101&lt;&gt;"",$Q101&lt;&gt;"",$U101=0),"SEM CUSTO",
IF(AND(TIPOORCAMENTO="Licitado",$AL101=0,$AN101&gt;0),"SEM PREÇO",
IF(AND($C101="S",$P101&lt;&gt;"",$Q101&lt;&gt;"",$U101&gt;0,AND($V101&lt;&gt;"BDI 1",$V101&lt;&gt;"BDI 2",$V101&lt;&gt;"BDI 3")),IF(ISNUMBER($V101),"JUSTIFICAR BDI","BDI"),
IF(OR(AND(import.recurso="OGU",TIPOORCAMENTO="Proposto",LEFT($O$8,5)&lt;&gt;"(N/D:",$AG101&lt;&gt;"",ORÇAMENTO.CustoUnitario&gt;$AG101),AND(TIPOORCAMENTO="LICITADO",ORÇAMENTO.PrecoUnitarioLicitado&gt;$AN101)),"ACIMA REF.",
IF(AND($C101="S",$P101&lt;&gt;"",$Q101&lt;&gt;"",$T101=0,$U101&gt;0),"QUANT.",
IF(AND(Import.TipoArredondamento="TransfereGOV",$L101="F",$C101="S",LEN($Q101)&gt;13),"Código &gt;13",
IF(AND(Import.TipoArredondamento="TransfereGOV",$L101="F",$C101&lt;&gt;"S",LEN($R101)&gt;100),"Descrição &gt;100",
IF(AND(Import.TipoArredondamento="TransfereGOV",$L101="F",$C101="S",LEN($R101)&gt;500),"Descrição &gt;500",
IF(AND(Import.TipoArredondamento="TransfereGOV",$L101="F",$C101="S",LEFT(TRIM(UPPER($P101)),6)&lt;&gt;"SINAPI",ISNA(VLOOKUP(TRIM(UPPER($S101)),ListaTgov.Unidades,1,FALSE))),"Unid. Não Disp",
" "))))))))))))))))</f>
        <v xml:space="preserve"> </v>
      </c>
      <c r="AD101" s="696">
        <f ca="1">IF(C101&lt;=CRONO.NivelExibicao,MAX($AD$15:OFFSET(AD101,-1,0))+IF($C101&lt;&gt;1,1,MAX(1,COUNTIF(QCI!$A$13:$A$24,OFFSET($E101,-1,0)))),"")</f>
        <v>18</v>
      </c>
      <c r="AE101" s="694" t="b">
        <f t="array" aca="1" ref="AE101" ca="1">IF(AND($C101="S",ORÇAMENTO.CodBarra&lt;&gt;""),IF(ORÇAMENTO.Fonte="",ORÇAMENTO.CodBarra,CONCATENATE(ORÇAMENTO.Fonte," ",ORÇAMENTO.CodBarra)))</f>
        <v>0</v>
      </c>
      <c r="AF101" s="695" t="str">
        <f t="array" aca="1" ref="AF101" ca="1">IF(ISERROR(ORÇAMENTO.BancoRef),"(abra o arquivo 'Referência "&amp;Excel_BuiltIn_Database&amp;".xlsm)",IF(OR($C101&lt;&gt;"S",ORÇAMENTO.CodBarra=""),"(Sem Código)",IF(ISERROR(MATCH($AE101,INDIRECT(ORÇAMENTO.BancoRef),0)),"(Código não identificado nas referências)",MATCH($AE101,INDIRECT(ORÇAMENTO.BancoRef),0))))</f>
        <v>(Sem Código)</v>
      </c>
      <c r="AG101" s="428">
        <f t="array" aca="1" ref="AG101" ca="1">ROUND(IF(DESONERACAO="sim",REFERENCIA.Desonerado,REFERENCIA.NaoDesonerado),2)</f>
        <v>0</v>
      </c>
      <c r="AH101" s="429">
        <f t="shared" ca="1" si="27"/>
        <v>0.29389999999999999</v>
      </c>
      <c r="AJ101" s="431"/>
      <c r="AL101" s="439"/>
      <c r="AM101" s="336">
        <f t="shared" ca="1" si="0"/>
        <v>42525.48</v>
      </c>
      <c r="AN101" s="469">
        <f t="array" aca="1" ref="AN101" ca="1">ROUND(ORÇAMENTO.CustoUnitario*(1+$AH101),2)</f>
        <v>0</v>
      </c>
    </row>
    <row r="102" spans="1:40" s="696" customFormat="1" ht="25.5" x14ac:dyDescent="0.2">
      <c r="A102" s="696" t="str">
        <f t="shared" si="15"/>
        <v>S</v>
      </c>
      <c r="B102" s="696">
        <f t="shared" ca="1" si="16"/>
        <v>2</v>
      </c>
      <c r="C102" s="696" t="str">
        <f t="shared" ca="1" si="17"/>
        <v>S</v>
      </c>
      <c r="D102" s="696">
        <f t="shared" ca="1" si="18"/>
        <v>0</v>
      </c>
      <c r="E102" s="696">
        <f ca="1">IF($C102=1,OFFSET(E102,-1,0)+MAX(1,COUNTIF(QCI!$A$13:$A$24,OFFSET(ORÇAMENTO!E102,-1,0))),OFFSET(E102,-1,0))</f>
        <v>1</v>
      </c>
      <c r="F102" s="696">
        <f t="shared" ca="1" si="19"/>
        <v>17</v>
      </c>
      <c r="G102" s="696">
        <f t="shared" ca="1" si="20"/>
        <v>0</v>
      </c>
      <c r="H102" s="696">
        <f t="shared" ca="1" si="21"/>
        <v>0</v>
      </c>
      <c r="I102" s="696">
        <f t="shared" ca="1" si="22"/>
        <v>1</v>
      </c>
      <c r="J102" s="696">
        <f t="shared" ca="1" si="28"/>
        <v>0</v>
      </c>
      <c r="K102" s="696">
        <f ca="1">IF(OR($C102="S",$C102=0),0,MATCH(OFFSET($D102,0,$C102)+IF($C102&lt;&gt;1,1,COUNTIF(QCI!$A$13:$A$24,ORÇAMENTO!E102)),OFFSET($D102,1,$C102,ROW($C$235)-ROW($C102)),0))</f>
        <v>0</v>
      </c>
      <c r="L102" s="114" t="str">
        <f t="shared" ca="1" si="23"/>
        <v>F</v>
      </c>
      <c r="M102" s="115" t="s">
        <v>705</v>
      </c>
      <c r="N102" s="116" t="str">
        <f t="shared" ca="1" si="24"/>
        <v>Serviço</v>
      </c>
      <c r="O102" s="117" t="str">
        <f t="shared" ca="1" si="25"/>
        <v>1.17.1.</v>
      </c>
      <c r="P102" s="118" t="s">
        <v>750</v>
      </c>
      <c r="Q102" s="119" t="s">
        <v>1087</v>
      </c>
      <c r="R102" s="120" t="str">
        <f t="array" aca="1" ref="R102" ca="1">IF($C102="S",REFERENCIA.Descricao,"(digite a descrição aqui)")</f>
        <v>FUNDO SELADOR ACRÍLICO, APLICAÇÃO MANUAL EM PAREDE, UMA DEMÃO. AF_04/2023</v>
      </c>
      <c r="S102" s="121" t="str">
        <f t="array" aca="1" ref="S102" ca="1">REFERENCIA.Unidade</f>
        <v>M2</v>
      </c>
      <c r="T102" s="122">
        <f ca="1">OFFSET(CÁLCULO!H$15,ROW($T102)-ROW(T$15),0)</f>
        <v>2252.1999999999998</v>
      </c>
      <c r="U102" s="123">
        <f>4.74*0.94</f>
        <v>4.4555999999999996</v>
      </c>
      <c r="V102" s="124" t="s">
        <v>697</v>
      </c>
      <c r="W102" s="122">
        <f t="array" aca="1" ref="W102" ca="1">IF($C102="S",ROUND(IF(TIPOORCAMENTO="Proposto",ORÇAMENTO.CustoUnitario*(1+$AH102),ORÇAMENTO.PrecoUnitarioLicitado),15-13*$AF$10),0)</f>
        <v>5.37</v>
      </c>
      <c r="X102" s="125">
        <f t="array" aca="1" ref="X102" ca="1">IF($C102="S",IF(OR(Import.TipoArredondamento&lt;&gt;"TransfereGOV",ACOMPANHAMENTO="BM"),VTOTAL1,SUM(OFFSET(CÁLCULO!$AI$15,ROW($X102)-ROW($X$15),1):OFFSET(CÁLCULO!$BB$15,ROW($X102)-ROW($X$15),-1))),IF($C102=0,0,ROUND(SomaAgrup,15-13*$AF$11)))</f>
        <v>12094.32</v>
      </c>
      <c r="Y102" s="126" t="s">
        <v>751</v>
      </c>
      <c r="Z102" s="696" t="str">
        <f t="shared" ca="1" si="26"/>
        <v>RA</v>
      </c>
      <c r="AA102" s="127">
        <f t="array" aca="1" ref="AA102" ca="1">IF($C102="S",IF($Z102="CP",$X102,IF($Z102="RA",(($X102)*QCI!$AA$3),0)),SomaAgrup)</f>
        <v>0</v>
      </c>
      <c r="AB102" s="128">
        <f t="array" aca="1" ref="AB102" ca="1">IF($C102="S",IF($Z102="OU",ROUND($X102,2),0),SomaAgrup)</f>
        <v>0</v>
      </c>
      <c r="AC102" s="563" t="str">
        <f t="array" aca="1" ref="AC102" ca="1">IF($N102=""," ",
IF(AND($C102&lt;&gt;"S",OR($R102="",$R102="(digite a descrição aqui)")),"DESCRIÇÃO",
IF(AND($C102="S",OR($Q102&lt;&gt;"",$T102&gt;0,$U102&gt;0),$P102=""),"FONTE",
IF(AND($C102="S",$P102&lt;&gt;"",OR($T102&gt;0,$U102&gt;0),$Q102=""),"CÓDIGO",
IF(AND($C102="S",$P102&lt;&gt;"",$Q102&lt;&gt;"",$R102="(Código não identificado nas referências)"),"CÓDIGO N/ID",
IF(AND($C102="S",OR($R102="",$R102="(digite a descrição aqui)"),OR($Q102&lt;&gt;"",$T102&gt;0,$U102&gt;0)),"DESCRIÇÃO",
IF(AND($C102="S",$P102&lt;&gt;"",$Q102&lt;&gt;"",$S102=""),"UNIDADE",
IF(AND($C102="S",$P102&lt;&gt;"",$Q102&lt;&gt;"",$U102=0),"SEM CUSTO",
IF(AND(TIPOORCAMENTO="Licitado",$AL102=0,$AN102&gt;0),"SEM PREÇO",
IF(AND($C102="S",$P102&lt;&gt;"",$Q102&lt;&gt;"",$U102&gt;0,AND($V102&lt;&gt;"BDI 1",$V102&lt;&gt;"BDI 2",$V102&lt;&gt;"BDI 3")),IF(ISNUMBER($V102),"JUSTIFICAR BDI","BDI"),
IF(OR(AND(import.recurso="OGU",TIPOORCAMENTO="Proposto",LEFT($O$8,5)&lt;&gt;"(N/D:",$AG102&lt;&gt;"",ORÇAMENTO.CustoUnitario&gt;$AG102),AND(TIPOORCAMENTO="LICITADO",ORÇAMENTO.PrecoUnitarioLicitado&gt;$AN102)),"ACIMA REF.",
IF(AND($C102="S",$P102&lt;&gt;"",$Q102&lt;&gt;"",$T102=0,$U102&gt;0),"QUANT.",
IF(AND(Import.TipoArredondamento="TransfereGOV",$L102="F",$C102="S",LEN($Q102)&gt;13),"Código &gt;13",
IF(AND(Import.TipoArredondamento="TransfereGOV",$L102="F",$C102&lt;&gt;"S",LEN($R102)&gt;100),"Descrição &gt;100",
IF(AND(Import.TipoArredondamento="TransfereGOV",$L102="F",$C102="S",LEN($R102)&gt;500),"Descrição &gt;500",
IF(AND(Import.TipoArredondamento="TransfereGOV",$L102="F",$C102="S",LEFT(TRIM(UPPER($P102)),6)&lt;&gt;"SINAPI",ISNA(VLOOKUP(TRIM(UPPER($S102)),ListaTgov.Unidades,1,FALSE))),"Unid. Não Disp",
" "))))))))))))))))</f>
        <v xml:space="preserve"> </v>
      </c>
      <c r="AD102" s="696" t="str">
        <f ca="1">IF(C102&lt;=CRONO.NivelExibicao,MAX($AD$15:OFFSET(AD102,-1,0))+IF($C102&lt;&gt;1,1,MAX(1,COUNTIF(QCI!$A$13:$A$24,OFFSET($E102,-1,0)))),"")</f>
        <v/>
      </c>
      <c r="AE102" s="694" t="str">
        <f t="array" aca="1" ref="AE102" ca="1">IF(AND($C102="S",ORÇAMENTO.CodBarra&lt;&gt;""),IF(ORÇAMENTO.Fonte="",ORÇAMENTO.CodBarra,CONCATENATE(ORÇAMENTO.Fonte," ",ORÇAMENTO.CodBarra)))</f>
        <v>SINAPI 88485</v>
      </c>
      <c r="AF102" s="695">
        <f t="array" aca="1" ref="AF102" ca="1">IF(ISERROR(ORÇAMENTO.BancoRef),"(abra o arquivo 'Referência "&amp;Excel_BuiltIn_Database&amp;".xlsm)",IF(OR($C102&lt;&gt;"S",ORÇAMENTO.CodBarra=""),"(Sem Código)",IF(ISERROR(MATCH($AE102,INDIRECT(ORÇAMENTO.BancoRef),0)),"(Código não identificado nas referências)",MATCH($AE102,INDIRECT(ORÇAMENTO.BancoRef),0))))</f>
        <v>13875</v>
      </c>
      <c r="AG102" s="428">
        <f t="array" aca="1" ref="AG102" ca="1">ROUND(IF(DESONERACAO="sim",REFERENCIA.Desonerado,REFERENCIA.NaoDesonerado),2)</f>
        <v>4.74</v>
      </c>
      <c r="AH102" s="429">
        <f t="shared" ca="1" si="27"/>
        <v>0.2034</v>
      </c>
      <c r="AJ102" s="431"/>
      <c r="AL102" s="439"/>
      <c r="AM102" s="336">
        <f t="shared" ca="1" si="0"/>
        <v>12094.32</v>
      </c>
      <c r="AN102" s="469">
        <f t="array" aca="1" ref="AN102" ca="1">ROUND(ORÇAMENTO.CustoUnitario*(1+$AH102),2)</f>
        <v>5.37</v>
      </c>
    </row>
    <row r="103" spans="1:40" s="696" customFormat="1" ht="25.5" x14ac:dyDescent="0.2">
      <c r="A103" s="696" t="str">
        <f t="shared" si="15"/>
        <v>S</v>
      </c>
      <c r="B103" s="696">
        <f t="shared" ca="1" si="16"/>
        <v>2</v>
      </c>
      <c r="C103" s="696" t="str">
        <f t="shared" ca="1" si="17"/>
        <v>S</v>
      </c>
      <c r="D103" s="696">
        <f t="shared" ca="1" si="18"/>
        <v>0</v>
      </c>
      <c r="E103" s="696">
        <f ca="1">IF($C103=1,OFFSET(E103,-1,0)+MAX(1,COUNTIF(QCI!$A$13:$A$24,OFFSET(ORÇAMENTO!E103,-1,0))),OFFSET(E103,-1,0))</f>
        <v>1</v>
      </c>
      <c r="F103" s="696">
        <f t="shared" ca="1" si="19"/>
        <v>17</v>
      </c>
      <c r="G103" s="696">
        <f t="shared" ca="1" si="20"/>
        <v>0</v>
      </c>
      <c r="H103" s="696">
        <f t="shared" ca="1" si="21"/>
        <v>0</v>
      </c>
      <c r="I103" s="696">
        <f t="shared" ca="1" si="22"/>
        <v>2</v>
      </c>
      <c r="J103" s="696">
        <f t="shared" ca="1" si="28"/>
        <v>0</v>
      </c>
      <c r="K103" s="696">
        <f ca="1">IF(OR($C103="S",$C103=0),0,MATCH(OFFSET($D103,0,$C103)+IF($C103&lt;&gt;1,1,COUNTIF(QCI!$A$13:$A$24,ORÇAMENTO!E103)),OFFSET($D103,1,$C103,ROW($C$235)-ROW($C103)),0))</f>
        <v>0</v>
      </c>
      <c r="L103" s="114" t="str">
        <f t="shared" ca="1" si="23"/>
        <v>F</v>
      </c>
      <c r="M103" s="115" t="s">
        <v>705</v>
      </c>
      <c r="N103" s="116" t="str">
        <f t="shared" ca="1" si="24"/>
        <v>Serviço</v>
      </c>
      <c r="O103" s="117" t="str">
        <f t="shared" ca="1" si="25"/>
        <v>1.17.2.</v>
      </c>
      <c r="P103" s="118" t="s">
        <v>750</v>
      </c>
      <c r="Q103" s="119" t="s">
        <v>1088</v>
      </c>
      <c r="R103" s="120" t="str">
        <f t="array" aca="1" ref="R103" ca="1">IF($C103="S",REFERENCIA.Descricao,"(digite a descrição aqui)")</f>
        <v>FUNDO SELADOR ACRÍLICO, APLICAÇÃO MANUAL EM TETO, UMA DEMÃO. AF_04/2023</v>
      </c>
      <c r="S103" s="121" t="str">
        <f t="array" aca="1" ref="S103" ca="1">REFERENCIA.Unidade</f>
        <v>M2</v>
      </c>
      <c r="T103" s="122">
        <f ca="1">OFFSET(CÁLCULO!H$15,ROW($T103)-ROW(T$15),0)</f>
        <v>88.8</v>
      </c>
      <c r="U103" s="123">
        <f>5.79*0.94</f>
        <v>5.4425999999999997</v>
      </c>
      <c r="V103" s="124" t="s">
        <v>697</v>
      </c>
      <c r="W103" s="122">
        <f t="array" aca="1" ref="W103" ca="1">IF($C103="S",ROUND(IF(TIPOORCAMENTO="Proposto",ORÇAMENTO.CustoUnitario*(1+$AH103),ORÇAMENTO.PrecoUnitarioLicitado),15-13*$AF$10),0)</f>
        <v>6.55</v>
      </c>
      <c r="X103" s="125">
        <f t="array" aca="1" ref="X103" ca="1">IF($C103="S",IF(OR(Import.TipoArredondamento&lt;&gt;"TransfereGOV",ACOMPANHAMENTO="BM"),VTOTAL1,SUM(OFFSET(CÁLCULO!$AI$15,ROW($X103)-ROW($X$15),1):OFFSET(CÁLCULO!$BB$15,ROW($X103)-ROW($X$15),-1))),IF($C103=0,0,ROUND(SomaAgrup,15-13*$AF$11)))</f>
        <v>581.64</v>
      </c>
      <c r="Y103" s="126" t="s">
        <v>751</v>
      </c>
      <c r="Z103" s="696" t="str">
        <f t="shared" ca="1" si="26"/>
        <v>RA</v>
      </c>
      <c r="AA103" s="127">
        <f t="array" aca="1" ref="AA103" ca="1">IF($C103="S",IF($Z103="CP",$X103,IF($Z103="RA",(($X103)*QCI!$AA$3),0)),SomaAgrup)</f>
        <v>0</v>
      </c>
      <c r="AB103" s="128">
        <f t="array" aca="1" ref="AB103" ca="1">IF($C103="S",IF($Z103="OU",ROUND($X103,2),0),SomaAgrup)</f>
        <v>0</v>
      </c>
      <c r="AC103" s="563" t="str">
        <f t="array" aca="1" ref="AC103" ca="1">IF($N103=""," ",
IF(AND($C103&lt;&gt;"S",OR($R103="",$R103="(digite a descrição aqui)")),"DESCRIÇÃO",
IF(AND($C103="S",OR($Q103&lt;&gt;"",$T103&gt;0,$U103&gt;0),$P103=""),"FONTE",
IF(AND($C103="S",$P103&lt;&gt;"",OR($T103&gt;0,$U103&gt;0),$Q103=""),"CÓDIGO",
IF(AND($C103="S",$P103&lt;&gt;"",$Q103&lt;&gt;"",$R103="(Código não identificado nas referências)"),"CÓDIGO N/ID",
IF(AND($C103="S",OR($R103="",$R103="(digite a descrição aqui)"),OR($Q103&lt;&gt;"",$T103&gt;0,$U103&gt;0)),"DESCRIÇÃO",
IF(AND($C103="S",$P103&lt;&gt;"",$Q103&lt;&gt;"",$S103=""),"UNIDADE",
IF(AND($C103="S",$P103&lt;&gt;"",$Q103&lt;&gt;"",$U103=0),"SEM CUSTO",
IF(AND(TIPOORCAMENTO="Licitado",$AL103=0,$AN103&gt;0),"SEM PREÇO",
IF(AND($C103="S",$P103&lt;&gt;"",$Q103&lt;&gt;"",$U103&gt;0,AND($V103&lt;&gt;"BDI 1",$V103&lt;&gt;"BDI 2",$V103&lt;&gt;"BDI 3")),IF(ISNUMBER($V103),"JUSTIFICAR BDI","BDI"),
IF(OR(AND(import.recurso="OGU",TIPOORCAMENTO="Proposto",LEFT($O$8,5)&lt;&gt;"(N/D:",$AG103&lt;&gt;"",ORÇAMENTO.CustoUnitario&gt;$AG103),AND(TIPOORCAMENTO="LICITADO",ORÇAMENTO.PrecoUnitarioLicitado&gt;$AN103)),"ACIMA REF.",
IF(AND($C103="S",$P103&lt;&gt;"",$Q103&lt;&gt;"",$T103=0,$U103&gt;0),"QUANT.",
IF(AND(Import.TipoArredondamento="TransfereGOV",$L103="F",$C103="S",LEN($Q103)&gt;13),"Código &gt;13",
IF(AND(Import.TipoArredondamento="TransfereGOV",$L103="F",$C103&lt;&gt;"S",LEN($R103)&gt;100),"Descrição &gt;100",
IF(AND(Import.TipoArredondamento="TransfereGOV",$L103="F",$C103="S",LEN($R103)&gt;500),"Descrição &gt;500",
IF(AND(Import.TipoArredondamento="TransfereGOV",$L103="F",$C103="S",LEFT(TRIM(UPPER($P103)),6)&lt;&gt;"SINAPI",ISNA(VLOOKUP(TRIM(UPPER($S103)),ListaTgov.Unidades,1,FALSE))),"Unid. Não Disp",
" "))))))))))))))))</f>
        <v xml:space="preserve"> </v>
      </c>
      <c r="AD103" s="696" t="str">
        <f ca="1">IF(C103&lt;=CRONO.NivelExibicao,MAX($AD$15:OFFSET(AD103,-1,0))+IF($C103&lt;&gt;1,1,MAX(1,COUNTIF(QCI!$A$13:$A$24,OFFSET($E103,-1,0)))),"")</f>
        <v/>
      </c>
      <c r="AE103" s="694" t="str">
        <f t="array" aca="1" ref="AE103" ca="1">IF(AND($C103="S",ORÇAMENTO.CodBarra&lt;&gt;""),IF(ORÇAMENTO.Fonte="",ORÇAMENTO.CodBarra,CONCATENATE(ORÇAMENTO.Fonte," ",ORÇAMENTO.CodBarra)))</f>
        <v>SINAPI 88484</v>
      </c>
      <c r="AF103" s="695">
        <f t="array" aca="1" ref="AF103" ca="1">IF(ISERROR(ORÇAMENTO.BancoRef),"(abra o arquivo 'Referência "&amp;Excel_BuiltIn_Database&amp;".xlsm)",IF(OR($C103&lt;&gt;"S",ORÇAMENTO.CodBarra=""),"(Sem Código)",IF(ISERROR(MATCH($AE103,INDIRECT(ORÇAMENTO.BancoRef),0)),"(Código não identificado nas referências)",MATCH($AE103,INDIRECT(ORÇAMENTO.BancoRef),0))))</f>
        <v>13876</v>
      </c>
      <c r="AG103" s="428">
        <f t="array" aca="1" ref="AG103" ca="1">ROUND(IF(DESONERACAO="sim",REFERENCIA.Desonerado,REFERENCIA.NaoDesonerado),2)</f>
        <v>5.79</v>
      </c>
      <c r="AH103" s="429">
        <f t="shared" ca="1" si="27"/>
        <v>0.2034</v>
      </c>
      <c r="AJ103" s="431"/>
      <c r="AL103" s="439"/>
      <c r="AM103" s="336">
        <f t="shared" ca="1" si="0"/>
        <v>581.64</v>
      </c>
      <c r="AN103" s="469">
        <f t="array" aca="1" ref="AN103" ca="1">ROUND(ORÇAMENTO.CustoUnitario*(1+$AH103),2)</f>
        <v>6.55</v>
      </c>
    </row>
    <row r="104" spans="1:40" s="696" customFormat="1" ht="25.5" x14ac:dyDescent="0.2">
      <c r="A104" s="696" t="str">
        <f t="shared" si="15"/>
        <v>S</v>
      </c>
      <c r="B104" s="696">
        <f t="shared" ca="1" si="16"/>
        <v>2</v>
      </c>
      <c r="C104" s="696" t="str">
        <f t="shared" ca="1" si="17"/>
        <v>S</v>
      </c>
      <c r="D104" s="696">
        <f t="shared" ca="1" si="18"/>
        <v>0</v>
      </c>
      <c r="E104" s="696">
        <f ca="1">IF($C104=1,OFFSET(E104,-1,0)+MAX(1,COUNTIF(QCI!$A$13:$A$24,OFFSET(ORÇAMENTO!E104,-1,0))),OFFSET(E104,-1,0))</f>
        <v>1</v>
      </c>
      <c r="F104" s="696">
        <f t="shared" ca="1" si="19"/>
        <v>17</v>
      </c>
      <c r="G104" s="696">
        <f t="shared" ca="1" si="20"/>
        <v>0</v>
      </c>
      <c r="H104" s="696">
        <f t="shared" ca="1" si="21"/>
        <v>0</v>
      </c>
      <c r="I104" s="696">
        <f t="shared" ca="1" si="22"/>
        <v>3</v>
      </c>
      <c r="J104" s="696">
        <f t="shared" ca="1" si="28"/>
        <v>0</v>
      </c>
      <c r="K104" s="696">
        <f ca="1">IF(OR($C104="S",$C104=0),0,MATCH(OFFSET($D104,0,$C104)+IF($C104&lt;&gt;1,1,COUNTIF(QCI!$A$13:$A$24,ORÇAMENTO!E104)),OFFSET($D104,1,$C104,ROW($C$235)-ROW($C104)),0))</f>
        <v>0</v>
      </c>
      <c r="L104" s="114" t="str">
        <f t="shared" ca="1" si="23"/>
        <v>F</v>
      </c>
      <c r="M104" s="115" t="s">
        <v>705</v>
      </c>
      <c r="N104" s="116" t="str">
        <f t="shared" ca="1" si="24"/>
        <v>Serviço</v>
      </c>
      <c r="O104" s="117" t="str">
        <f t="shared" ca="1" si="25"/>
        <v>1.17.3.</v>
      </c>
      <c r="P104" s="118" t="s">
        <v>750</v>
      </c>
      <c r="Q104" s="119" t="s">
        <v>1089</v>
      </c>
      <c r="R104" s="120" t="str">
        <f t="array" aca="1" ref="R104" ca="1">IF($C104="S",REFERENCIA.Descricao,"(digite a descrição aqui)")</f>
        <v>PINTURA LÁTEX ACRÍLICA STANDARD, APLICAÇÃO MANUAL EM TETO, DUAS DEMÃOS. AF_04/2023</v>
      </c>
      <c r="S104" s="121" t="str">
        <f t="array" aca="1" ref="S104" ca="1">REFERENCIA.Unidade</f>
        <v>M2</v>
      </c>
      <c r="T104" s="122">
        <f ca="1">OFFSET(CÁLCULO!H$15,ROW($T104)-ROW(T$15),0)</f>
        <v>88.8</v>
      </c>
      <c r="U104" s="123">
        <f>13.75*0.94</f>
        <v>12.924999999999999</v>
      </c>
      <c r="V104" s="124" t="s">
        <v>697</v>
      </c>
      <c r="W104" s="122">
        <f t="array" aca="1" ref="W104" ca="1">IF($C104="S",ROUND(IF(TIPOORCAMENTO="Proposto",ORÇAMENTO.CustoUnitario*(1+$AH104),ORÇAMENTO.PrecoUnitarioLicitado),15-13*$AF$10),0)</f>
        <v>15.56</v>
      </c>
      <c r="X104" s="125">
        <f t="array" aca="1" ref="X104" ca="1">IF($C104="S",IF(OR(Import.TipoArredondamento&lt;&gt;"TransfereGOV",ACOMPANHAMENTO="BM"),VTOTAL1,SUM(OFFSET(CÁLCULO!$AI$15,ROW($X104)-ROW($X$15),1):OFFSET(CÁLCULO!$BB$15,ROW($X104)-ROW($X$15),-1))),IF($C104=0,0,ROUND(SomaAgrup,15-13*$AF$11)))</f>
        <v>1381.72</v>
      </c>
      <c r="Y104" s="126" t="s">
        <v>751</v>
      </c>
      <c r="Z104" s="696" t="str">
        <f t="shared" ca="1" si="26"/>
        <v>RA</v>
      </c>
      <c r="AA104" s="127">
        <f t="array" aca="1" ref="AA104" ca="1">IF($C104="S",IF($Z104="CP",$X104,IF($Z104="RA",(($X104)*QCI!$AA$3),0)),SomaAgrup)</f>
        <v>0</v>
      </c>
      <c r="AB104" s="128">
        <f t="array" aca="1" ref="AB104" ca="1">IF($C104="S",IF($Z104="OU",ROUND($X104,2),0),SomaAgrup)</f>
        <v>0</v>
      </c>
      <c r="AC104" s="563" t="str">
        <f t="array" aca="1" ref="AC104" ca="1">IF($N104=""," ",
IF(AND($C104&lt;&gt;"S",OR($R104="",$R104="(digite a descrição aqui)")),"DESCRIÇÃO",
IF(AND($C104="S",OR($Q104&lt;&gt;"",$T104&gt;0,$U104&gt;0),$P104=""),"FONTE",
IF(AND($C104="S",$P104&lt;&gt;"",OR($T104&gt;0,$U104&gt;0),$Q104=""),"CÓDIGO",
IF(AND($C104="S",$P104&lt;&gt;"",$Q104&lt;&gt;"",$R104="(Código não identificado nas referências)"),"CÓDIGO N/ID",
IF(AND($C104="S",OR($R104="",$R104="(digite a descrição aqui)"),OR($Q104&lt;&gt;"",$T104&gt;0,$U104&gt;0)),"DESCRIÇÃO",
IF(AND($C104="S",$P104&lt;&gt;"",$Q104&lt;&gt;"",$S104=""),"UNIDADE",
IF(AND($C104="S",$P104&lt;&gt;"",$Q104&lt;&gt;"",$U104=0),"SEM CUSTO",
IF(AND(TIPOORCAMENTO="Licitado",$AL104=0,$AN104&gt;0),"SEM PREÇO",
IF(AND($C104="S",$P104&lt;&gt;"",$Q104&lt;&gt;"",$U104&gt;0,AND($V104&lt;&gt;"BDI 1",$V104&lt;&gt;"BDI 2",$V104&lt;&gt;"BDI 3")),IF(ISNUMBER($V104),"JUSTIFICAR BDI","BDI"),
IF(OR(AND(import.recurso="OGU",TIPOORCAMENTO="Proposto",LEFT($O$8,5)&lt;&gt;"(N/D:",$AG104&lt;&gt;"",ORÇAMENTO.CustoUnitario&gt;$AG104),AND(TIPOORCAMENTO="LICITADO",ORÇAMENTO.PrecoUnitarioLicitado&gt;$AN104)),"ACIMA REF.",
IF(AND($C104="S",$P104&lt;&gt;"",$Q104&lt;&gt;"",$T104=0,$U104&gt;0),"QUANT.",
IF(AND(Import.TipoArredondamento="TransfereGOV",$L104="F",$C104="S",LEN($Q104)&gt;13),"Código &gt;13",
IF(AND(Import.TipoArredondamento="TransfereGOV",$L104="F",$C104&lt;&gt;"S",LEN($R104)&gt;100),"Descrição &gt;100",
IF(AND(Import.TipoArredondamento="TransfereGOV",$L104="F",$C104="S",LEN($R104)&gt;500),"Descrição &gt;500",
IF(AND(Import.TipoArredondamento="TransfereGOV",$L104="F",$C104="S",LEFT(TRIM(UPPER($P104)),6)&lt;&gt;"SINAPI",ISNA(VLOOKUP(TRIM(UPPER($S104)),ListaTgov.Unidades,1,FALSE))),"Unid. Não Disp",
" "))))))))))))))))</f>
        <v xml:space="preserve"> </v>
      </c>
      <c r="AD104" s="696" t="str">
        <f ca="1">IF(C104&lt;=CRONO.NivelExibicao,MAX($AD$15:OFFSET(AD104,-1,0))+IF($C104&lt;&gt;1,1,MAX(1,COUNTIF(QCI!$A$13:$A$24,OFFSET($E104,-1,0)))),"")</f>
        <v/>
      </c>
      <c r="AE104" s="694" t="str">
        <f t="array" aca="1" ref="AE104" ca="1">IF(AND($C104="S",ORÇAMENTO.CodBarra&lt;&gt;""),IF(ORÇAMENTO.Fonte="",ORÇAMENTO.CodBarra,CONCATENATE(ORÇAMENTO.Fonte," ",ORÇAMENTO.CodBarra)))</f>
        <v>SINAPI 104640</v>
      </c>
      <c r="AF104" s="695">
        <f t="array" aca="1" ref="AF104" ca="1">IF(ISERROR(ORÇAMENTO.BancoRef),"(abra o arquivo 'Referência "&amp;Excel_BuiltIn_Database&amp;".xlsm)",IF(OR($C104&lt;&gt;"S",ORÇAMENTO.CodBarra=""),"(Sem Código)",IF(ISERROR(MATCH($AE104,INDIRECT(ORÇAMENTO.BancoRef),0)),"(Código não identificado nas referências)",MATCH($AE104,INDIRECT(ORÇAMENTO.BancoRef),0))))</f>
        <v>13886</v>
      </c>
      <c r="AG104" s="428">
        <f t="array" aca="1" ref="AG104" ca="1">ROUND(IF(DESONERACAO="sim",REFERENCIA.Desonerado,REFERENCIA.NaoDesonerado),2)</f>
        <v>13.75</v>
      </c>
      <c r="AH104" s="429">
        <f t="shared" ca="1" si="27"/>
        <v>0.2034</v>
      </c>
      <c r="AJ104" s="431"/>
      <c r="AL104" s="439"/>
      <c r="AM104" s="336">
        <f t="shared" ca="1" si="0"/>
        <v>1381.72</v>
      </c>
      <c r="AN104" s="469">
        <f t="array" aca="1" ref="AN104" ca="1">ROUND(ORÇAMENTO.CustoUnitario*(1+$AH104),2)</f>
        <v>15.56</v>
      </c>
    </row>
    <row r="105" spans="1:40" s="696" customFormat="1" ht="25.5" x14ac:dyDescent="0.2">
      <c r="A105" s="696" t="str">
        <f t="shared" si="15"/>
        <v>S</v>
      </c>
      <c r="B105" s="696">
        <f t="shared" ca="1" si="16"/>
        <v>2</v>
      </c>
      <c r="C105" s="696" t="str">
        <f t="shared" ca="1" si="17"/>
        <v>S</v>
      </c>
      <c r="D105" s="696">
        <f t="shared" ca="1" si="18"/>
        <v>0</v>
      </c>
      <c r="E105" s="696">
        <f ca="1">IF($C105=1,OFFSET(E105,-1,0)+MAX(1,COUNTIF(QCI!$A$13:$A$24,OFFSET(ORÇAMENTO!E105,-1,0))),OFFSET(E105,-1,0))</f>
        <v>1</v>
      </c>
      <c r="F105" s="696">
        <f t="shared" ca="1" si="19"/>
        <v>17</v>
      </c>
      <c r="G105" s="696">
        <f t="shared" ca="1" si="20"/>
        <v>0</v>
      </c>
      <c r="H105" s="696">
        <f t="shared" ca="1" si="21"/>
        <v>0</v>
      </c>
      <c r="I105" s="696">
        <f t="shared" ca="1" si="22"/>
        <v>4</v>
      </c>
      <c r="J105" s="696">
        <f t="shared" ca="1" si="28"/>
        <v>0</v>
      </c>
      <c r="K105" s="696">
        <f ca="1">IF(OR($C105="S",$C105=0),0,MATCH(OFFSET($D105,0,$C105)+IF($C105&lt;&gt;1,1,COUNTIF(QCI!$A$13:$A$24,ORÇAMENTO!E105)),OFFSET($D105,1,$C105,ROW($C$235)-ROW($C105)),0))</f>
        <v>0</v>
      </c>
      <c r="L105" s="114" t="str">
        <f t="shared" ca="1" si="23"/>
        <v>F</v>
      </c>
      <c r="M105" s="115" t="s">
        <v>705</v>
      </c>
      <c r="N105" s="116" t="str">
        <f t="shared" ca="1" si="24"/>
        <v>Serviço</v>
      </c>
      <c r="O105" s="117" t="str">
        <f t="shared" ca="1" si="25"/>
        <v>1.17.4.</v>
      </c>
      <c r="P105" s="118" t="s">
        <v>750</v>
      </c>
      <c r="Q105" s="119" t="s">
        <v>1090</v>
      </c>
      <c r="R105" s="120" t="str">
        <f t="array" aca="1" ref="R105" ca="1">IF($C105="S",REFERENCIA.Descricao,"(digite a descrição aqui)")</f>
        <v>PINTURA LÁTEX ACRÍLICA STANDARD, APLICAÇÃO MANUAL EM PAREDES, DUAS DEMÃOS. AF_04/2023</v>
      </c>
      <c r="S105" s="121" t="str">
        <f t="array" aca="1" ref="S105" ca="1">REFERENCIA.Unidade</f>
        <v>M2</v>
      </c>
      <c r="T105" s="122">
        <f ca="1">OFFSET(CÁLCULO!H$15,ROW($T105)-ROW(T$15),0)</f>
        <v>2252.1999999999998</v>
      </c>
      <c r="U105" s="123">
        <f>11.17*0.94</f>
        <v>10.499799999999999</v>
      </c>
      <c r="V105" s="124" t="s">
        <v>697</v>
      </c>
      <c r="W105" s="122">
        <f t="array" aca="1" ref="W105" ca="1">IF($C105="S",ROUND(IF(TIPOORCAMENTO="Proposto",ORÇAMENTO.CustoUnitario*(1+$AH105),ORÇAMENTO.PrecoUnitarioLicitado),15-13*$AF$10),0)</f>
        <v>12.64</v>
      </c>
      <c r="X105" s="125">
        <f t="array" aca="1" ref="X105" ca="1">IF($C105="S",IF(OR(Import.TipoArredondamento&lt;&gt;"TransfereGOV",ACOMPANHAMENTO="BM"),VTOTAL1,SUM(OFFSET(CÁLCULO!$AI$15,ROW($X105)-ROW($X$15),1):OFFSET(CÁLCULO!$BB$15,ROW($X105)-ROW($X$15),-1))),IF($C105=0,0,ROUND(SomaAgrup,15-13*$AF$11)))</f>
        <v>28467.8</v>
      </c>
      <c r="Y105" s="126" t="s">
        <v>751</v>
      </c>
      <c r="Z105" s="696" t="str">
        <f t="shared" ca="1" si="26"/>
        <v>RA</v>
      </c>
      <c r="AA105" s="127">
        <f t="array" aca="1" ref="AA105" ca="1">IF($C105="S",IF($Z105="CP",$X105,IF($Z105="RA",(($X105)*QCI!$AA$3),0)),SomaAgrup)</f>
        <v>0</v>
      </c>
      <c r="AB105" s="128">
        <f t="array" aca="1" ref="AB105" ca="1">IF($C105="S",IF($Z105="OU",ROUND($X105,2),0),SomaAgrup)</f>
        <v>0</v>
      </c>
      <c r="AC105" s="563" t="str">
        <f t="array" aca="1" ref="AC105" ca="1">IF($N105=""," ",
IF(AND($C105&lt;&gt;"S",OR($R105="",$R105="(digite a descrição aqui)")),"DESCRIÇÃO",
IF(AND($C105="S",OR($Q105&lt;&gt;"",$T105&gt;0,$U105&gt;0),$P105=""),"FONTE",
IF(AND($C105="S",$P105&lt;&gt;"",OR($T105&gt;0,$U105&gt;0),$Q105=""),"CÓDIGO",
IF(AND($C105="S",$P105&lt;&gt;"",$Q105&lt;&gt;"",$R105="(Código não identificado nas referências)"),"CÓDIGO N/ID",
IF(AND($C105="S",OR($R105="",$R105="(digite a descrição aqui)"),OR($Q105&lt;&gt;"",$T105&gt;0,$U105&gt;0)),"DESCRIÇÃO",
IF(AND($C105="S",$P105&lt;&gt;"",$Q105&lt;&gt;"",$S105=""),"UNIDADE",
IF(AND($C105="S",$P105&lt;&gt;"",$Q105&lt;&gt;"",$U105=0),"SEM CUSTO",
IF(AND(TIPOORCAMENTO="Licitado",$AL105=0,$AN105&gt;0),"SEM PREÇO",
IF(AND($C105="S",$P105&lt;&gt;"",$Q105&lt;&gt;"",$U105&gt;0,AND($V105&lt;&gt;"BDI 1",$V105&lt;&gt;"BDI 2",$V105&lt;&gt;"BDI 3")),IF(ISNUMBER($V105),"JUSTIFICAR BDI","BDI"),
IF(OR(AND(import.recurso="OGU",TIPOORCAMENTO="Proposto",LEFT($O$8,5)&lt;&gt;"(N/D:",$AG105&lt;&gt;"",ORÇAMENTO.CustoUnitario&gt;$AG105),AND(TIPOORCAMENTO="LICITADO",ORÇAMENTO.PrecoUnitarioLicitado&gt;$AN105)),"ACIMA REF.",
IF(AND($C105="S",$P105&lt;&gt;"",$Q105&lt;&gt;"",$T105=0,$U105&gt;0),"QUANT.",
IF(AND(Import.TipoArredondamento="TransfereGOV",$L105="F",$C105="S",LEN($Q105)&gt;13),"Código &gt;13",
IF(AND(Import.TipoArredondamento="TransfereGOV",$L105="F",$C105&lt;&gt;"S",LEN($R105)&gt;100),"Descrição &gt;100",
IF(AND(Import.TipoArredondamento="TransfereGOV",$L105="F",$C105="S",LEN($R105)&gt;500),"Descrição &gt;500",
IF(AND(Import.TipoArredondamento="TransfereGOV",$L105="F",$C105="S",LEFT(TRIM(UPPER($P105)),6)&lt;&gt;"SINAPI",ISNA(VLOOKUP(TRIM(UPPER($S105)),ListaTgov.Unidades,1,FALSE))),"Unid. Não Disp",
" "))))))))))))))))</f>
        <v xml:space="preserve"> </v>
      </c>
      <c r="AD105" s="696" t="str">
        <f ca="1">IF(C105&lt;=CRONO.NivelExibicao,MAX($AD$15:OFFSET(AD105,-1,0))+IF($C105&lt;&gt;1,1,MAX(1,COUNTIF(QCI!$A$13:$A$24,OFFSET($E105,-1,0)))),"")</f>
        <v/>
      </c>
      <c r="AE105" s="694" t="str">
        <f t="array" aca="1" ref="AE105" ca="1">IF(AND($C105="S",ORÇAMENTO.CodBarra&lt;&gt;""),IF(ORÇAMENTO.Fonte="",ORÇAMENTO.CodBarra,CONCATENATE(ORÇAMENTO.Fonte," ",ORÇAMENTO.CodBarra)))</f>
        <v>SINAPI 104642</v>
      </c>
      <c r="AF105" s="695">
        <f t="array" aca="1" ref="AF105" ca="1">IF(ISERROR(ORÇAMENTO.BancoRef),"(abra o arquivo 'Referência "&amp;Excel_BuiltIn_Database&amp;".xlsm)",IF(OR($C105&lt;&gt;"S",ORÇAMENTO.CodBarra=""),"(Sem Código)",IF(ISERROR(MATCH($AE105,INDIRECT(ORÇAMENTO.BancoRef),0)),"(Código não identificado nas referências)",MATCH($AE105,INDIRECT(ORÇAMENTO.BancoRef),0))))</f>
        <v>13885</v>
      </c>
      <c r="AG105" s="428">
        <f t="array" aca="1" ref="AG105" ca="1">ROUND(IF(DESONERACAO="sim",REFERENCIA.Desonerado,REFERENCIA.NaoDesonerado),2)</f>
        <v>11.17</v>
      </c>
      <c r="AH105" s="429">
        <f t="shared" ca="1" si="27"/>
        <v>0.2034</v>
      </c>
      <c r="AJ105" s="431"/>
      <c r="AL105" s="439"/>
      <c r="AM105" s="336">
        <f t="shared" ca="1" si="0"/>
        <v>28467.8</v>
      </c>
      <c r="AN105" s="469">
        <f t="array" aca="1" ref="AN105" ca="1">ROUND(ORÇAMENTO.CustoUnitario*(1+$AH105),2)</f>
        <v>12.64</v>
      </c>
    </row>
    <row r="106" spans="1:40" s="696" customFormat="1" x14ac:dyDescent="0.2">
      <c r="A106" s="696">
        <f t="shared" si="15"/>
        <v>2</v>
      </c>
      <c r="B106" s="696">
        <f t="shared" ca="1" si="16"/>
        <v>2</v>
      </c>
      <c r="C106" s="696">
        <f t="shared" ca="1" si="17"/>
        <v>2</v>
      </c>
      <c r="D106" s="696">
        <f t="shared" ca="1" si="18"/>
        <v>3</v>
      </c>
      <c r="E106" s="696">
        <f ca="1">IF($C106=1,OFFSET(E106,-1,0)+MAX(1,COUNTIF(QCI!$A$13:$A$24,OFFSET(ORÇAMENTO!E106,-1,0))),OFFSET(E106,-1,0))</f>
        <v>1</v>
      </c>
      <c r="F106" s="696">
        <f t="shared" ca="1" si="19"/>
        <v>18</v>
      </c>
      <c r="G106" s="696">
        <f t="shared" ca="1" si="20"/>
        <v>0</v>
      </c>
      <c r="H106" s="696">
        <f t="shared" ca="1" si="21"/>
        <v>0</v>
      </c>
      <c r="I106" s="696">
        <f t="shared" ca="1" si="22"/>
        <v>0</v>
      </c>
      <c r="J106" s="696">
        <f t="shared" ca="1" si="28"/>
        <v>129</v>
      </c>
      <c r="K106" s="696">
        <f ca="1">IF(OR($C106="S",$C106=0),0,MATCH(OFFSET($D106,0,$C106)+IF($C106&lt;&gt;1,1,COUNTIF(QCI!$A$13:$A$24,ORÇAMENTO!E106)),OFFSET($D106,1,$C106,ROW($C$235)-ROW($C106)),0))</f>
        <v>3</v>
      </c>
      <c r="L106" s="114" t="str">
        <f t="shared" ca="1" si="23"/>
        <v>F</v>
      </c>
      <c r="M106" s="115" t="s">
        <v>702</v>
      </c>
      <c r="N106" s="116" t="str">
        <f t="shared" ca="1" si="24"/>
        <v>Nível 2</v>
      </c>
      <c r="O106" s="117" t="str">
        <f t="shared" ca="1" si="25"/>
        <v>1.18.</v>
      </c>
      <c r="P106" s="118" t="s">
        <v>750</v>
      </c>
      <c r="Q106" s="119"/>
      <c r="R106" s="120" t="s">
        <v>1091</v>
      </c>
      <c r="S106" s="121" t="s">
        <v>688</v>
      </c>
      <c r="T106" s="122">
        <f ca="1">OFFSET(CÁLCULO!H$15,ROW($T106)-ROW(T$15),0)</f>
        <v>0</v>
      </c>
      <c r="U106" s="123"/>
      <c r="V106" s="124" t="s">
        <v>663</v>
      </c>
      <c r="W106" s="122">
        <f t="array" aca="1" ref="W106" ca="1">IF($C106="S",ROUND(IF(TIPOORCAMENTO="Proposto",ORÇAMENTO.CustoUnitario*(1+$AH106),ORÇAMENTO.PrecoUnitarioLicitado),15-13*$AF$10),0)</f>
        <v>0</v>
      </c>
      <c r="X106" s="125">
        <f t="array" aca="1" ref="X106" ca="1">IF($C106="S",IF(OR(Import.TipoArredondamento&lt;&gt;"TransfereGOV",ACOMPANHAMENTO="BM"),VTOTAL1,SUM(OFFSET(CÁLCULO!$AI$15,ROW($X106)-ROW($X$15),1):OFFSET(CÁLCULO!$BB$15,ROW($X106)-ROW($X$15),-1))),IF($C106=0,0,ROUND(SomaAgrup,15-13*$AF$11)))</f>
        <v>23225.599999999999</v>
      </c>
      <c r="Y106" s="126" t="s">
        <v>751</v>
      </c>
      <c r="Z106" s="696" t="str">
        <f t="shared" ca="1" si="26"/>
        <v/>
      </c>
      <c r="AA106" s="127">
        <f t="array" aca="1" ref="AA106" ca="1">IF($C106="S",IF($Z106="CP",$X106,IF($Z106="RA",(($X106)*QCI!$AA$3),0)),SomaAgrup)</f>
        <v>0</v>
      </c>
      <c r="AB106" s="128">
        <f t="array" aca="1" ref="AB106" ca="1">IF($C106="S",IF($Z106="OU",ROUND($X106,2),0),SomaAgrup)</f>
        <v>0</v>
      </c>
      <c r="AC106" s="563" t="str">
        <f t="array" aca="1" ref="AC106" ca="1">IF($N106=""," ",
IF(AND($C106&lt;&gt;"S",OR($R106="",$R106="(digite a descrição aqui)")),"DESCRIÇÃO",
IF(AND($C106="S",OR($Q106&lt;&gt;"",$T106&gt;0,$U106&gt;0),$P106=""),"FONTE",
IF(AND($C106="S",$P106&lt;&gt;"",OR($T106&gt;0,$U106&gt;0),$Q106=""),"CÓDIGO",
IF(AND($C106="S",$P106&lt;&gt;"",$Q106&lt;&gt;"",$R106="(Código não identificado nas referências)"),"CÓDIGO N/ID",
IF(AND($C106="S",OR($R106="",$R106="(digite a descrição aqui)"),OR($Q106&lt;&gt;"",$T106&gt;0,$U106&gt;0)),"DESCRIÇÃO",
IF(AND($C106="S",$P106&lt;&gt;"",$Q106&lt;&gt;"",$S106=""),"UNIDADE",
IF(AND($C106="S",$P106&lt;&gt;"",$Q106&lt;&gt;"",$U106=0),"SEM CUSTO",
IF(AND(TIPOORCAMENTO="Licitado",$AL106=0,$AN106&gt;0),"SEM PREÇO",
IF(AND($C106="S",$P106&lt;&gt;"",$Q106&lt;&gt;"",$U106&gt;0,AND($V106&lt;&gt;"BDI 1",$V106&lt;&gt;"BDI 2",$V106&lt;&gt;"BDI 3")),IF(ISNUMBER($V106),"JUSTIFICAR BDI","BDI"),
IF(OR(AND(import.recurso="OGU",TIPOORCAMENTO="Proposto",LEFT($O$8,5)&lt;&gt;"(N/D:",$AG106&lt;&gt;"",ORÇAMENTO.CustoUnitario&gt;$AG106),AND(TIPOORCAMENTO="LICITADO",ORÇAMENTO.PrecoUnitarioLicitado&gt;$AN106)),"ACIMA REF.",
IF(AND($C106="S",$P106&lt;&gt;"",$Q106&lt;&gt;"",$T106=0,$U106&gt;0),"QUANT.",
IF(AND(Import.TipoArredondamento="TransfereGOV",$L106="F",$C106="S",LEN($Q106)&gt;13),"Código &gt;13",
IF(AND(Import.TipoArredondamento="TransfereGOV",$L106="F",$C106&lt;&gt;"S",LEN($R106)&gt;100),"Descrição &gt;100",
IF(AND(Import.TipoArredondamento="TransfereGOV",$L106="F",$C106="S",LEN($R106)&gt;500),"Descrição &gt;500",
IF(AND(Import.TipoArredondamento="TransfereGOV",$L106="F",$C106="S",LEFT(TRIM(UPPER($P106)),6)&lt;&gt;"SINAPI",ISNA(VLOOKUP(TRIM(UPPER($S106)),ListaTgov.Unidades,1,FALSE))),"Unid. Não Disp",
" "))))))))))))))))</f>
        <v xml:space="preserve"> </v>
      </c>
      <c r="AD106" s="696">
        <f ca="1">IF(C106&lt;=CRONO.NivelExibicao,MAX($AD$15:OFFSET(AD106,-1,0))+IF($C106&lt;&gt;1,1,MAX(1,COUNTIF(QCI!$A$13:$A$24,OFFSET($E106,-1,0)))),"")</f>
        <v>19</v>
      </c>
      <c r="AE106" s="694" t="b">
        <f t="array" aca="1" ref="AE106" ca="1">IF(AND($C106="S",ORÇAMENTO.CodBarra&lt;&gt;""),IF(ORÇAMENTO.Fonte="",ORÇAMENTO.CodBarra,CONCATENATE(ORÇAMENTO.Fonte," ",ORÇAMENTO.CodBarra)))</f>
        <v>0</v>
      </c>
      <c r="AF106" s="695" t="str">
        <f t="array" aca="1" ref="AF106" ca="1">IF(ISERROR(ORÇAMENTO.BancoRef),"(abra o arquivo 'Referência "&amp;Excel_BuiltIn_Database&amp;".xlsm)",IF(OR($C106&lt;&gt;"S",ORÇAMENTO.CodBarra=""),"(Sem Código)",IF(ISERROR(MATCH($AE106,INDIRECT(ORÇAMENTO.BancoRef),0)),"(Código não identificado nas referências)",MATCH($AE106,INDIRECT(ORÇAMENTO.BancoRef),0))))</f>
        <v>(Sem Código)</v>
      </c>
      <c r="AG106" s="428">
        <f t="array" aca="1" ref="AG106" ca="1">ROUND(IF(DESONERACAO="sim",REFERENCIA.Desonerado,REFERENCIA.NaoDesonerado),2)</f>
        <v>0</v>
      </c>
      <c r="AH106" s="429">
        <f t="shared" ca="1" si="27"/>
        <v>0.29389999999999999</v>
      </c>
      <c r="AJ106" s="431"/>
      <c r="AL106" s="439"/>
      <c r="AM106" s="336">
        <f t="shared" ca="1" si="0"/>
        <v>23225.599999999999</v>
      </c>
      <c r="AN106" s="469">
        <f t="array" aca="1" ref="AN106" ca="1">ROUND(ORÇAMENTO.CustoUnitario*(1+$AH106),2)</f>
        <v>0</v>
      </c>
    </row>
    <row r="107" spans="1:40" s="696" customFormat="1" ht="25.5" x14ac:dyDescent="0.2">
      <c r="A107" s="696" t="str">
        <f t="shared" si="15"/>
        <v>S</v>
      </c>
      <c r="B107" s="696">
        <f t="shared" ca="1" si="16"/>
        <v>2</v>
      </c>
      <c r="C107" s="696" t="str">
        <f t="shared" ca="1" si="17"/>
        <v>S</v>
      </c>
      <c r="D107" s="696">
        <f t="shared" ca="1" si="18"/>
        <v>0</v>
      </c>
      <c r="E107" s="696">
        <f ca="1">IF($C107=1,OFFSET(E107,-1,0)+MAX(1,COUNTIF(QCI!$A$13:$A$24,OFFSET(ORÇAMENTO!E107,-1,0))),OFFSET(E107,-1,0))</f>
        <v>1</v>
      </c>
      <c r="F107" s="696">
        <f t="shared" ca="1" si="19"/>
        <v>18</v>
      </c>
      <c r="G107" s="696">
        <f t="shared" ca="1" si="20"/>
        <v>0</v>
      </c>
      <c r="H107" s="696">
        <f t="shared" ca="1" si="21"/>
        <v>0</v>
      </c>
      <c r="I107" s="696">
        <f t="shared" ca="1" si="22"/>
        <v>1</v>
      </c>
      <c r="J107" s="696">
        <f t="shared" ca="1" si="28"/>
        <v>0</v>
      </c>
      <c r="K107" s="696">
        <f ca="1">IF(OR($C107="S",$C107=0),0,MATCH(OFFSET($D107,0,$C107)+IF($C107&lt;&gt;1,1,COUNTIF(QCI!$A$13:$A$24,ORÇAMENTO!E107)),OFFSET($D107,1,$C107,ROW($C$235)-ROW($C107)),0))</f>
        <v>0</v>
      </c>
      <c r="L107" s="114" t="str">
        <f t="shared" ca="1" si="23"/>
        <v>F</v>
      </c>
      <c r="M107" s="115" t="s">
        <v>705</v>
      </c>
      <c r="N107" s="116" t="str">
        <f t="shared" ca="1" si="24"/>
        <v>Serviço</v>
      </c>
      <c r="O107" s="117" t="str">
        <f t="shared" ca="1" si="25"/>
        <v>1.18.1.</v>
      </c>
      <c r="P107" s="118" t="s">
        <v>750</v>
      </c>
      <c r="Q107" s="119" t="s">
        <v>1092</v>
      </c>
      <c r="R107" s="120" t="str">
        <f t="array" aca="1" ref="R107" ca="1">IF($C107="S",REFERENCIA.Descricao,"(digite a descrição aqui)")</f>
        <v>APLICAÇÃO MANUAL DE FUNDO SELADOR ACRÍLICO EM PAREDES EXTERNAS DE CASAS. AF_03/2024</v>
      </c>
      <c r="S107" s="121" t="str">
        <f t="array" aca="1" ref="S107" ca="1">REFERENCIA.Unidade</f>
        <v>M2</v>
      </c>
      <c r="T107" s="122">
        <f ca="1">OFFSET(CÁLCULO!H$15,ROW($T107)-ROW(T$15),0)</f>
        <v>1216</v>
      </c>
      <c r="U107" s="123">
        <f>5.71*0.94</f>
        <v>5.3673999999999999</v>
      </c>
      <c r="V107" s="124" t="s">
        <v>697</v>
      </c>
      <c r="W107" s="122">
        <f t="array" aca="1" ref="W107" ca="1">IF($C107="S",ROUND(IF(TIPOORCAMENTO="Proposto",ORÇAMENTO.CustoUnitario*(1+$AH107),ORÇAMENTO.PrecoUnitarioLicitado),15-13*$AF$10),0)</f>
        <v>6.46</v>
      </c>
      <c r="X107" s="125">
        <f t="array" aca="1" ref="X107" ca="1">IF($C107="S",IF(OR(Import.TipoArredondamento&lt;&gt;"TransfereGOV",ACOMPANHAMENTO="BM"),VTOTAL1,SUM(OFFSET(CÁLCULO!$AI$15,ROW($X107)-ROW($X$15),1):OFFSET(CÁLCULO!$BB$15,ROW($X107)-ROW($X$15),-1))),IF($C107=0,0,ROUND(SomaAgrup,15-13*$AF$11)))</f>
        <v>7855.36</v>
      </c>
      <c r="Y107" s="126" t="s">
        <v>751</v>
      </c>
      <c r="Z107" s="696" t="str">
        <f t="shared" ca="1" si="26"/>
        <v>RA</v>
      </c>
      <c r="AA107" s="127">
        <f t="array" aca="1" ref="AA107" ca="1">IF($C107="S",IF($Z107="CP",$X107,IF($Z107="RA",(($X107)*QCI!$AA$3),0)),SomaAgrup)</f>
        <v>0</v>
      </c>
      <c r="AB107" s="128">
        <f t="array" aca="1" ref="AB107" ca="1">IF($C107="S",IF($Z107="OU",ROUND($X107,2),0),SomaAgrup)</f>
        <v>0</v>
      </c>
      <c r="AC107" s="563" t="str">
        <f t="array" aca="1" ref="AC107" ca="1">IF($N107=""," ",
IF(AND($C107&lt;&gt;"S",OR($R107="",$R107="(digite a descrição aqui)")),"DESCRIÇÃO",
IF(AND($C107="S",OR($Q107&lt;&gt;"",$T107&gt;0,$U107&gt;0),$P107=""),"FONTE",
IF(AND($C107="S",$P107&lt;&gt;"",OR($T107&gt;0,$U107&gt;0),$Q107=""),"CÓDIGO",
IF(AND($C107="S",$P107&lt;&gt;"",$Q107&lt;&gt;"",$R107="(Código não identificado nas referências)"),"CÓDIGO N/ID",
IF(AND($C107="S",OR($R107="",$R107="(digite a descrição aqui)"),OR($Q107&lt;&gt;"",$T107&gt;0,$U107&gt;0)),"DESCRIÇÃO",
IF(AND($C107="S",$P107&lt;&gt;"",$Q107&lt;&gt;"",$S107=""),"UNIDADE",
IF(AND($C107="S",$P107&lt;&gt;"",$Q107&lt;&gt;"",$U107=0),"SEM CUSTO",
IF(AND(TIPOORCAMENTO="Licitado",$AL107=0,$AN107&gt;0),"SEM PREÇO",
IF(AND($C107="S",$P107&lt;&gt;"",$Q107&lt;&gt;"",$U107&gt;0,AND($V107&lt;&gt;"BDI 1",$V107&lt;&gt;"BDI 2",$V107&lt;&gt;"BDI 3")),IF(ISNUMBER($V107),"JUSTIFICAR BDI","BDI"),
IF(OR(AND(import.recurso="OGU",TIPOORCAMENTO="Proposto",LEFT($O$8,5)&lt;&gt;"(N/D:",$AG107&lt;&gt;"",ORÇAMENTO.CustoUnitario&gt;$AG107),AND(TIPOORCAMENTO="LICITADO",ORÇAMENTO.PrecoUnitarioLicitado&gt;$AN107)),"ACIMA REF.",
IF(AND($C107="S",$P107&lt;&gt;"",$Q107&lt;&gt;"",$T107=0,$U107&gt;0),"QUANT.",
IF(AND(Import.TipoArredondamento="TransfereGOV",$L107="F",$C107="S",LEN($Q107)&gt;13),"Código &gt;13",
IF(AND(Import.TipoArredondamento="TransfereGOV",$L107="F",$C107&lt;&gt;"S",LEN($R107)&gt;100),"Descrição &gt;100",
IF(AND(Import.TipoArredondamento="TransfereGOV",$L107="F",$C107="S",LEN($R107)&gt;500),"Descrição &gt;500",
IF(AND(Import.TipoArredondamento="TransfereGOV",$L107="F",$C107="S",LEFT(TRIM(UPPER($P107)),6)&lt;&gt;"SINAPI",ISNA(VLOOKUP(TRIM(UPPER($S107)),ListaTgov.Unidades,1,FALSE))),"Unid. Não Disp",
" "))))))))))))))))</f>
        <v xml:space="preserve"> </v>
      </c>
      <c r="AD107" s="696" t="str">
        <f ca="1">IF(C107&lt;=CRONO.NivelExibicao,MAX($AD$15:OFFSET(AD107,-1,0))+IF($C107&lt;&gt;1,1,MAX(1,COUNTIF(QCI!$A$13:$A$24,OFFSET($E107,-1,0)))),"")</f>
        <v/>
      </c>
      <c r="AE107" s="694" t="str">
        <f t="array" aca="1" ref="AE107" ca="1">IF(AND($C107="S",ORÇAMENTO.CodBarra&lt;&gt;""),IF(ORÇAMENTO.Fonte="",ORÇAMENTO.CodBarra,CONCATENATE(ORÇAMENTO.Fonte," ",ORÇAMENTO.CodBarra)))</f>
        <v>SINAPI 88415</v>
      </c>
      <c r="AF107" s="695">
        <f t="array" aca="1" ref="AF107" ca="1">IF(ISERROR(ORÇAMENTO.BancoRef),"(abra o arquivo 'Referência "&amp;Excel_BuiltIn_Database&amp;".xlsm)",IF(OR($C107&lt;&gt;"S",ORÇAMENTO.CodBarra=""),"(Sem Código)",IF(ISERROR(MATCH($AE107,INDIRECT(ORÇAMENTO.BancoRef),0)),"(Código não identificado nas referências)",MATCH($AE107,INDIRECT(ORÇAMENTO.BancoRef),0))))</f>
        <v>13838</v>
      </c>
      <c r="AG107" s="428">
        <f t="array" aca="1" ref="AG107" ca="1">ROUND(IF(DESONERACAO="sim",REFERENCIA.Desonerado,REFERENCIA.NaoDesonerado),2)</f>
        <v>5.71</v>
      </c>
      <c r="AH107" s="429">
        <f t="shared" ca="1" si="27"/>
        <v>0.2034</v>
      </c>
      <c r="AJ107" s="431"/>
      <c r="AL107" s="439"/>
      <c r="AM107" s="336">
        <f t="shared" ca="1" si="0"/>
        <v>7855.36</v>
      </c>
      <c r="AN107" s="469">
        <f t="array" aca="1" ref="AN107" ca="1">ROUND(ORÇAMENTO.CustoUnitario*(1+$AH107),2)</f>
        <v>6.46</v>
      </c>
    </row>
    <row r="108" spans="1:40" s="696" customFormat="1" ht="25.5" x14ac:dyDescent="0.2">
      <c r="A108" s="696" t="str">
        <f t="shared" si="15"/>
        <v>S</v>
      </c>
      <c r="B108" s="696">
        <f t="shared" ca="1" si="16"/>
        <v>2</v>
      </c>
      <c r="C108" s="696" t="str">
        <f t="shared" ca="1" si="17"/>
        <v>S</v>
      </c>
      <c r="D108" s="696">
        <f t="shared" ca="1" si="18"/>
        <v>0</v>
      </c>
      <c r="E108" s="696">
        <f ca="1">IF($C108=1,OFFSET(E108,-1,0)+MAX(1,COUNTIF(QCI!$A$13:$A$24,OFFSET(ORÇAMENTO!E108,-1,0))),OFFSET(E108,-1,0))</f>
        <v>1</v>
      </c>
      <c r="F108" s="696">
        <f t="shared" ca="1" si="19"/>
        <v>18</v>
      </c>
      <c r="G108" s="696">
        <f t="shared" ca="1" si="20"/>
        <v>0</v>
      </c>
      <c r="H108" s="696">
        <f t="shared" ca="1" si="21"/>
        <v>0</v>
      </c>
      <c r="I108" s="696">
        <f t="shared" ca="1" si="22"/>
        <v>2</v>
      </c>
      <c r="J108" s="696">
        <f t="shared" ca="1" si="28"/>
        <v>0</v>
      </c>
      <c r="K108" s="696">
        <f ca="1">IF(OR($C108="S",$C108=0),0,MATCH(OFFSET($D108,0,$C108)+IF($C108&lt;&gt;1,1,COUNTIF(QCI!$A$13:$A$24,ORÇAMENTO!E108)),OFFSET($D108,1,$C108,ROW($C$235)-ROW($C108)),0))</f>
        <v>0</v>
      </c>
      <c r="L108" s="114" t="str">
        <f t="shared" ca="1" si="23"/>
        <v>F</v>
      </c>
      <c r="M108" s="115" t="s">
        <v>705</v>
      </c>
      <c r="N108" s="116" t="str">
        <f t="shared" ca="1" si="24"/>
        <v>Serviço</v>
      </c>
      <c r="O108" s="117" t="str">
        <f t="shared" ca="1" si="25"/>
        <v>1.18.2.</v>
      </c>
      <c r="P108" s="118" t="s">
        <v>750</v>
      </c>
      <c r="Q108" s="119" t="s">
        <v>1090</v>
      </c>
      <c r="R108" s="120" t="str">
        <f t="array" aca="1" ref="R108" ca="1">IF($C108="S",REFERENCIA.Descricao,"(digite a descrição aqui)")</f>
        <v>PINTURA LÁTEX ACRÍLICA STANDARD, APLICAÇÃO MANUAL EM PAREDES, DUAS DEMÃOS. AF_04/2023</v>
      </c>
      <c r="S108" s="121" t="str">
        <f t="array" aca="1" ref="S108" ca="1">REFERENCIA.Unidade</f>
        <v>M2</v>
      </c>
      <c r="T108" s="122">
        <f ca="1">OFFSET(CÁLCULO!H$15,ROW($T108)-ROW(T$15),0)</f>
        <v>1216</v>
      </c>
      <c r="U108" s="123">
        <f>11.17*0.94</f>
        <v>10.499799999999999</v>
      </c>
      <c r="V108" s="124" t="s">
        <v>697</v>
      </c>
      <c r="W108" s="122">
        <f t="array" aca="1" ref="W108" ca="1">IF($C108="S",ROUND(IF(TIPOORCAMENTO="Proposto",ORÇAMENTO.CustoUnitario*(1+$AH108),ORÇAMENTO.PrecoUnitarioLicitado),15-13*$AF$10),0)</f>
        <v>12.64</v>
      </c>
      <c r="X108" s="125">
        <f t="array" aca="1" ref="X108" ca="1">IF($C108="S",IF(OR(Import.TipoArredondamento&lt;&gt;"TransfereGOV",ACOMPANHAMENTO="BM"),VTOTAL1,SUM(OFFSET(CÁLCULO!$AI$15,ROW($X108)-ROW($X$15),1):OFFSET(CÁLCULO!$BB$15,ROW($X108)-ROW($X$15),-1))),IF($C108=0,0,ROUND(SomaAgrup,15-13*$AF$11)))</f>
        <v>15370.24</v>
      </c>
      <c r="Y108" s="126" t="s">
        <v>751</v>
      </c>
      <c r="Z108" s="696" t="str">
        <f t="shared" ca="1" si="26"/>
        <v>RA</v>
      </c>
      <c r="AA108" s="127">
        <f t="array" aca="1" ref="AA108" ca="1">IF($C108="S",IF($Z108="CP",$X108,IF($Z108="RA",(($X108)*QCI!$AA$3),0)),SomaAgrup)</f>
        <v>0</v>
      </c>
      <c r="AB108" s="128">
        <f t="array" aca="1" ref="AB108" ca="1">IF($C108="S",IF($Z108="OU",ROUND($X108,2),0),SomaAgrup)</f>
        <v>0</v>
      </c>
      <c r="AC108" s="563" t="str">
        <f t="array" aca="1" ref="AC108" ca="1">IF($N108=""," ",
IF(AND($C108&lt;&gt;"S",OR($R108="",$R108="(digite a descrição aqui)")),"DESCRIÇÃO",
IF(AND($C108="S",OR($Q108&lt;&gt;"",$T108&gt;0,$U108&gt;0),$P108=""),"FONTE",
IF(AND($C108="S",$P108&lt;&gt;"",OR($T108&gt;0,$U108&gt;0),$Q108=""),"CÓDIGO",
IF(AND($C108="S",$P108&lt;&gt;"",$Q108&lt;&gt;"",$R108="(Código não identificado nas referências)"),"CÓDIGO N/ID",
IF(AND($C108="S",OR($R108="",$R108="(digite a descrição aqui)"),OR($Q108&lt;&gt;"",$T108&gt;0,$U108&gt;0)),"DESCRIÇÃO",
IF(AND($C108="S",$P108&lt;&gt;"",$Q108&lt;&gt;"",$S108=""),"UNIDADE",
IF(AND($C108="S",$P108&lt;&gt;"",$Q108&lt;&gt;"",$U108=0),"SEM CUSTO",
IF(AND(TIPOORCAMENTO="Licitado",$AL108=0,$AN108&gt;0),"SEM PREÇO",
IF(AND($C108="S",$P108&lt;&gt;"",$Q108&lt;&gt;"",$U108&gt;0,AND($V108&lt;&gt;"BDI 1",$V108&lt;&gt;"BDI 2",$V108&lt;&gt;"BDI 3")),IF(ISNUMBER($V108),"JUSTIFICAR BDI","BDI"),
IF(OR(AND(import.recurso="OGU",TIPOORCAMENTO="Proposto",LEFT($O$8,5)&lt;&gt;"(N/D:",$AG108&lt;&gt;"",ORÇAMENTO.CustoUnitario&gt;$AG108),AND(TIPOORCAMENTO="LICITADO",ORÇAMENTO.PrecoUnitarioLicitado&gt;$AN108)),"ACIMA REF.",
IF(AND($C108="S",$P108&lt;&gt;"",$Q108&lt;&gt;"",$T108=0,$U108&gt;0),"QUANT.",
IF(AND(Import.TipoArredondamento="TransfereGOV",$L108="F",$C108="S",LEN($Q108)&gt;13),"Código &gt;13",
IF(AND(Import.TipoArredondamento="TransfereGOV",$L108="F",$C108&lt;&gt;"S",LEN($R108)&gt;100),"Descrição &gt;100",
IF(AND(Import.TipoArredondamento="TransfereGOV",$L108="F",$C108="S",LEN($R108)&gt;500),"Descrição &gt;500",
IF(AND(Import.TipoArredondamento="TransfereGOV",$L108="F",$C108="S",LEFT(TRIM(UPPER($P108)),6)&lt;&gt;"SINAPI",ISNA(VLOOKUP(TRIM(UPPER($S108)),ListaTgov.Unidades,1,FALSE))),"Unid. Não Disp",
" "))))))))))))))))</f>
        <v xml:space="preserve"> </v>
      </c>
      <c r="AD108" s="696" t="str">
        <f ca="1">IF(C108&lt;=CRONO.NivelExibicao,MAX($AD$15:OFFSET(AD108,-1,0))+IF($C108&lt;&gt;1,1,MAX(1,COUNTIF(QCI!$A$13:$A$24,OFFSET($E108,-1,0)))),"")</f>
        <v/>
      </c>
      <c r="AE108" s="694" t="str">
        <f t="array" aca="1" ref="AE108" ca="1">IF(AND($C108="S",ORÇAMENTO.CodBarra&lt;&gt;""),IF(ORÇAMENTO.Fonte="",ORÇAMENTO.CodBarra,CONCATENATE(ORÇAMENTO.Fonte," ",ORÇAMENTO.CodBarra)))</f>
        <v>SINAPI 104642</v>
      </c>
      <c r="AF108" s="695">
        <f t="array" aca="1" ref="AF108" ca="1">IF(ISERROR(ORÇAMENTO.BancoRef),"(abra o arquivo 'Referência "&amp;Excel_BuiltIn_Database&amp;".xlsm)",IF(OR($C108&lt;&gt;"S",ORÇAMENTO.CodBarra=""),"(Sem Código)",IF(ISERROR(MATCH($AE108,INDIRECT(ORÇAMENTO.BancoRef),0)),"(Código não identificado nas referências)",MATCH($AE108,INDIRECT(ORÇAMENTO.BancoRef),0))))</f>
        <v>13885</v>
      </c>
      <c r="AG108" s="428">
        <f t="array" aca="1" ref="AG108" ca="1">ROUND(IF(DESONERACAO="sim",REFERENCIA.Desonerado,REFERENCIA.NaoDesonerado),2)</f>
        <v>11.17</v>
      </c>
      <c r="AH108" s="429">
        <f t="shared" ca="1" si="27"/>
        <v>0.2034</v>
      </c>
      <c r="AJ108" s="431"/>
      <c r="AL108" s="439"/>
      <c r="AM108" s="336">
        <f t="shared" ca="1" si="0"/>
        <v>15370.24</v>
      </c>
      <c r="AN108" s="469">
        <f t="array" aca="1" ref="AN108" ca="1">ROUND(ORÇAMENTO.CustoUnitario*(1+$AH108),2)</f>
        <v>12.64</v>
      </c>
    </row>
    <row r="109" spans="1:40" s="696" customFormat="1" x14ac:dyDescent="0.2">
      <c r="A109" s="696">
        <f t="shared" si="15"/>
        <v>2</v>
      </c>
      <c r="B109" s="696">
        <f t="shared" ca="1" si="16"/>
        <v>2</v>
      </c>
      <c r="C109" s="696">
        <f t="shared" ca="1" si="17"/>
        <v>2</v>
      </c>
      <c r="D109" s="696">
        <f t="shared" ca="1" si="18"/>
        <v>3</v>
      </c>
      <c r="E109" s="696">
        <f ca="1">IF($C109=1,OFFSET(E109,-1,0)+MAX(1,COUNTIF(QCI!$A$13:$A$24,OFFSET(ORÇAMENTO!E109,-1,0))),OFFSET(E109,-1,0))</f>
        <v>1</v>
      </c>
      <c r="F109" s="696">
        <f t="shared" ca="1" si="19"/>
        <v>19</v>
      </c>
      <c r="G109" s="696">
        <f t="shared" ca="1" si="20"/>
        <v>0</v>
      </c>
      <c r="H109" s="696">
        <f t="shared" ca="1" si="21"/>
        <v>0</v>
      </c>
      <c r="I109" s="696">
        <f t="shared" ca="1" si="22"/>
        <v>0</v>
      </c>
      <c r="J109" s="696">
        <f t="shared" ca="1" si="28"/>
        <v>126</v>
      </c>
      <c r="K109" s="696">
        <f ca="1">IF(OR($C109="S",$C109=0),0,MATCH(OFFSET($D109,0,$C109)+IF($C109&lt;&gt;1,1,COUNTIF(QCI!$A$13:$A$24,ORÇAMENTO!E109)),OFFSET($D109,1,$C109,ROW($C$235)-ROW($C109)),0))</f>
        <v>3</v>
      </c>
      <c r="L109" s="114" t="str">
        <f t="shared" ca="1" si="23"/>
        <v>F</v>
      </c>
      <c r="M109" s="115" t="s">
        <v>702</v>
      </c>
      <c r="N109" s="116" t="str">
        <f t="shared" ca="1" si="24"/>
        <v>Nível 2</v>
      </c>
      <c r="O109" s="117" t="str">
        <f t="shared" ca="1" si="25"/>
        <v>1.19.</v>
      </c>
      <c r="P109" s="118" t="s">
        <v>750</v>
      </c>
      <c r="Q109" s="119"/>
      <c r="R109" s="120" t="s">
        <v>1093</v>
      </c>
      <c r="S109" s="121" t="s">
        <v>688</v>
      </c>
      <c r="T109" s="122">
        <f ca="1">OFFSET(CÁLCULO!H$15,ROW($T109)-ROW(T$15),0)</f>
        <v>0</v>
      </c>
      <c r="U109" s="123"/>
      <c r="V109" s="124" t="s">
        <v>663</v>
      </c>
      <c r="W109" s="122">
        <f t="array" aca="1" ref="W109" ca="1">IF($C109="S",ROUND(IF(TIPOORCAMENTO="Proposto",ORÇAMENTO.CustoUnitario*(1+$AH109),ORÇAMENTO.PrecoUnitarioLicitado),15-13*$AF$10),0)</f>
        <v>0</v>
      </c>
      <c r="X109" s="125">
        <f t="array" aca="1" ref="X109" ca="1">IF($C109="S",IF(OR(Import.TipoArredondamento&lt;&gt;"TransfereGOV",ACOMPANHAMENTO="BM"),VTOTAL1,SUM(OFFSET(CÁLCULO!$AI$15,ROW($X109)-ROW($X$15),1):OFFSET(CÁLCULO!$BB$15,ROW($X109)-ROW($X$15),-1))),IF($C109=0,0,ROUND(SomaAgrup,15-13*$AF$11)))</f>
        <v>18165</v>
      </c>
      <c r="Y109" s="126" t="s">
        <v>751</v>
      </c>
      <c r="Z109" s="696" t="str">
        <f t="shared" ca="1" si="26"/>
        <v/>
      </c>
      <c r="AA109" s="127">
        <f t="array" aca="1" ref="AA109" ca="1">IF($C109="S",IF($Z109="CP",$X109,IF($Z109="RA",(($X109)*QCI!$AA$3),0)),SomaAgrup)</f>
        <v>0</v>
      </c>
      <c r="AB109" s="128">
        <f t="array" aca="1" ref="AB109" ca="1">IF($C109="S",IF($Z109="OU",ROUND($X109,2),0),SomaAgrup)</f>
        <v>0</v>
      </c>
      <c r="AC109" s="563" t="str">
        <f t="array" aca="1" ref="AC109" ca="1">IF($N109=""," ",
IF(AND($C109&lt;&gt;"S",OR($R109="",$R109="(digite a descrição aqui)")),"DESCRIÇÃO",
IF(AND($C109="S",OR($Q109&lt;&gt;"",$T109&gt;0,$U109&gt;0),$P109=""),"FONTE",
IF(AND($C109="S",$P109&lt;&gt;"",OR($T109&gt;0,$U109&gt;0),$Q109=""),"CÓDIGO",
IF(AND($C109="S",$P109&lt;&gt;"",$Q109&lt;&gt;"",$R109="(Código não identificado nas referências)"),"CÓDIGO N/ID",
IF(AND($C109="S",OR($R109="",$R109="(digite a descrição aqui)"),OR($Q109&lt;&gt;"",$T109&gt;0,$U109&gt;0)),"DESCRIÇÃO",
IF(AND($C109="S",$P109&lt;&gt;"",$Q109&lt;&gt;"",$S109=""),"UNIDADE",
IF(AND($C109="S",$P109&lt;&gt;"",$Q109&lt;&gt;"",$U109=0),"SEM CUSTO",
IF(AND(TIPOORCAMENTO="Licitado",$AL109=0,$AN109&gt;0),"SEM PREÇO",
IF(AND($C109="S",$P109&lt;&gt;"",$Q109&lt;&gt;"",$U109&gt;0,AND($V109&lt;&gt;"BDI 1",$V109&lt;&gt;"BDI 2",$V109&lt;&gt;"BDI 3")),IF(ISNUMBER($V109),"JUSTIFICAR BDI","BDI"),
IF(OR(AND(import.recurso="OGU",TIPOORCAMENTO="Proposto",LEFT($O$8,5)&lt;&gt;"(N/D:",$AG109&lt;&gt;"",ORÇAMENTO.CustoUnitario&gt;$AG109),AND(TIPOORCAMENTO="LICITADO",ORÇAMENTO.PrecoUnitarioLicitado&gt;$AN109)),"ACIMA REF.",
IF(AND($C109="S",$P109&lt;&gt;"",$Q109&lt;&gt;"",$T109=0,$U109&gt;0),"QUANT.",
IF(AND(Import.TipoArredondamento="TransfereGOV",$L109="F",$C109="S",LEN($Q109)&gt;13),"Código &gt;13",
IF(AND(Import.TipoArredondamento="TransfereGOV",$L109="F",$C109&lt;&gt;"S",LEN($R109)&gt;100),"Descrição &gt;100",
IF(AND(Import.TipoArredondamento="TransfereGOV",$L109="F",$C109="S",LEN($R109)&gt;500),"Descrição &gt;500",
IF(AND(Import.TipoArredondamento="TransfereGOV",$L109="F",$C109="S",LEFT(TRIM(UPPER($P109)),6)&lt;&gt;"SINAPI",ISNA(VLOOKUP(TRIM(UPPER($S109)),ListaTgov.Unidades,1,FALSE))),"Unid. Não Disp",
" "))))))))))))))))</f>
        <v xml:space="preserve"> </v>
      </c>
      <c r="AD109" s="696">
        <f ca="1">IF(C109&lt;=CRONO.NivelExibicao,MAX($AD$15:OFFSET(AD109,-1,0))+IF($C109&lt;&gt;1,1,MAX(1,COUNTIF(QCI!$A$13:$A$24,OFFSET($E109,-1,0)))),"")</f>
        <v>20</v>
      </c>
      <c r="AE109" s="694" t="b">
        <f t="array" aca="1" ref="AE109" ca="1">IF(AND($C109="S",ORÇAMENTO.CodBarra&lt;&gt;""),IF(ORÇAMENTO.Fonte="",ORÇAMENTO.CodBarra,CONCATENATE(ORÇAMENTO.Fonte," ",ORÇAMENTO.CodBarra)))</f>
        <v>0</v>
      </c>
      <c r="AF109" s="695" t="str">
        <f t="array" aca="1" ref="AF109" ca="1">IF(ISERROR(ORÇAMENTO.BancoRef),"(abra o arquivo 'Referência "&amp;Excel_BuiltIn_Database&amp;".xlsm)",IF(OR($C109&lt;&gt;"S",ORÇAMENTO.CodBarra=""),"(Sem Código)",IF(ISERROR(MATCH($AE109,INDIRECT(ORÇAMENTO.BancoRef),0)),"(Código não identificado nas referências)",MATCH($AE109,INDIRECT(ORÇAMENTO.BancoRef),0))))</f>
        <v>(Sem Código)</v>
      </c>
      <c r="AG109" s="428">
        <f t="array" aca="1" ref="AG109" ca="1">ROUND(IF(DESONERACAO="sim",REFERENCIA.Desonerado,REFERENCIA.NaoDesonerado),2)</f>
        <v>0</v>
      </c>
      <c r="AH109" s="429">
        <f t="shared" ca="1" si="27"/>
        <v>0.29389999999999999</v>
      </c>
      <c r="AJ109" s="431"/>
      <c r="AL109" s="439"/>
      <c r="AM109" s="336">
        <f t="shared" ca="1" si="0"/>
        <v>18165</v>
      </c>
      <c r="AN109" s="469">
        <f t="array" aca="1" ref="AN109" ca="1">ROUND(ORÇAMENTO.CustoUnitario*(1+$AH109),2)</f>
        <v>0</v>
      </c>
    </row>
    <row r="110" spans="1:40" s="696" customFormat="1" ht="25.5" x14ac:dyDescent="0.2">
      <c r="A110" s="696" t="str">
        <f t="shared" si="15"/>
        <v>S</v>
      </c>
      <c r="B110" s="696">
        <f t="shared" ca="1" si="16"/>
        <v>2</v>
      </c>
      <c r="C110" s="696" t="str">
        <f t="shared" ca="1" si="17"/>
        <v>S</v>
      </c>
      <c r="D110" s="696">
        <f t="shared" ca="1" si="18"/>
        <v>0</v>
      </c>
      <c r="E110" s="696">
        <f ca="1">IF($C110=1,OFFSET(E110,-1,0)+MAX(1,COUNTIF(QCI!$A$13:$A$24,OFFSET(ORÇAMENTO!E110,-1,0))),OFFSET(E110,-1,0))</f>
        <v>1</v>
      </c>
      <c r="F110" s="696">
        <f t="shared" ca="1" si="19"/>
        <v>19</v>
      </c>
      <c r="G110" s="696">
        <f t="shared" ca="1" si="20"/>
        <v>0</v>
      </c>
      <c r="H110" s="696">
        <f t="shared" ca="1" si="21"/>
        <v>0</v>
      </c>
      <c r="I110" s="696">
        <f t="shared" ca="1" si="22"/>
        <v>1</v>
      </c>
      <c r="J110" s="696">
        <f t="shared" ca="1" si="28"/>
        <v>0</v>
      </c>
      <c r="K110" s="696">
        <f ca="1">IF(OR($C110="S",$C110=0),0,MATCH(OFFSET($D110,0,$C110)+IF($C110&lt;&gt;1,1,COUNTIF(QCI!$A$13:$A$24,ORÇAMENTO!E110)),OFFSET($D110,1,$C110,ROW($C$235)-ROW($C110)),0))</f>
        <v>0</v>
      </c>
      <c r="L110" s="114" t="str">
        <f t="shared" ca="1" si="23"/>
        <v>F</v>
      </c>
      <c r="M110" s="115" t="s">
        <v>705</v>
      </c>
      <c r="N110" s="116" t="str">
        <f t="shared" ca="1" si="24"/>
        <v>Serviço</v>
      </c>
      <c r="O110" s="117" t="str">
        <f t="shared" ca="1" si="25"/>
        <v>1.19.1.</v>
      </c>
      <c r="P110" s="118" t="s">
        <v>750</v>
      </c>
      <c r="Q110" s="119" t="s">
        <v>1094</v>
      </c>
      <c r="R110" s="120" t="str">
        <f t="array" aca="1" ref="R110" ca="1">IF($C110="S",REFERENCIA.Descricao,"(digite a descrição aqui)")</f>
        <v>LIXAMENTO DE MADEIRA PARA APLICAÇÃO DE FUNDO OU PINTURA. AF_01/2021</v>
      </c>
      <c r="S110" s="121" t="str">
        <f t="array" aca="1" ref="S110" ca="1">REFERENCIA.Unidade</f>
        <v>M2</v>
      </c>
      <c r="T110" s="122">
        <f ca="1">OFFSET(CÁLCULO!H$15,ROW($T110)-ROW(T$15),0)</f>
        <v>420</v>
      </c>
      <c r="U110" s="123">
        <f>2.28*0.94</f>
        <v>2.1431999999999998</v>
      </c>
      <c r="V110" s="124" t="s">
        <v>697</v>
      </c>
      <c r="W110" s="122">
        <f t="array" aca="1" ref="W110" ca="1">IF($C110="S",ROUND(IF(TIPOORCAMENTO="Proposto",ORÇAMENTO.CustoUnitario*(1+$AH110),ORÇAMENTO.PrecoUnitarioLicitado),15-13*$AF$10),0)</f>
        <v>2.58</v>
      </c>
      <c r="X110" s="125">
        <f t="array" aca="1" ref="X110" ca="1">IF($C110="S",IF(OR(Import.TipoArredondamento&lt;&gt;"TransfereGOV",ACOMPANHAMENTO="BM"),VTOTAL1,SUM(OFFSET(CÁLCULO!$AI$15,ROW($X110)-ROW($X$15),1):OFFSET(CÁLCULO!$BB$15,ROW($X110)-ROW($X$15),-1))),IF($C110=0,0,ROUND(SomaAgrup,15-13*$AF$11)))</f>
        <v>1083.5999999999999</v>
      </c>
      <c r="Y110" s="126" t="s">
        <v>751</v>
      </c>
      <c r="Z110" s="696" t="str">
        <f t="shared" ca="1" si="26"/>
        <v>RA</v>
      </c>
      <c r="AA110" s="127">
        <f t="array" aca="1" ref="AA110" ca="1">IF($C110="S",IF($Z110="CP",$X110,IF($Z110="RA",(($X110)*QCI!$AA$3),0)),SomaAgrup)</f>
        <v>0</v>
      </c>
      <c r="AB110" s="128">
        <f t="array" aca="1" ref="AB110" ca="1">IF($C110="S",IF($Z110="OU",ROUND($X110,2),0),SomaAgrup)</f>
        <v>0</v>
      </c>
      <c r="AC110" s="563" t="str">
        <f t="array" aca="1" ref="AC110" ca="1">IF($N110=""," ",
IF(AND($C110&lt;&gt;"S",OR($R110="",$R110="(digite a descrição aqui)")),"DESCRIÇÃO",
IF(AND($C110="S",OR($Q110&lt;&gt;"",$T110&gt;0,$U110&gt;0),$P110=""),"FONTE",
IF(AND($C110="S",$P110&lt;&gt;"",OR($T110&gt;0,$U110&gt;0),$Q110=""),"CÓDIGO",
IF(AND($C110="S",$P110&lt;&gt;"",$Q110&lt;&gt;"",$R110="(Código não identificado nas referências)"),"CÓDIGO N/ID",
IF(AND($C110="S",OR($R110="",$R110="(digite a descrição aqui)"),OR($Q110&lt;&gt;"",$T110&gt;0,$U110&gt;0)),"DESCRIÇÃO",
IF(AND($C110="S",$P110&lt;&gt;"",$Q110&lt;&gt;"",$S110=""),"UNIDADE",
IF(AND($C110="S",$P110&lt;&gt;"",$Q110&lt;&gt;"",$U110=0),"SEM CUSTO",
IF(AND(TIPOORCAMENTO="Licitado",$AL110=0,$AN110&gt;0),"SEM PREÇO",
IF(AND($C110="S",$P110&lt;&gt;"",$Q110&lt;&gt;"",$U110&gt;0,AND($V110&lt;&gt;"BDI 1",$V110&lt;&gt;"BDI 2",$V110&lt;&gt;"BDI 3")),IF(ISNUMBER($V110),"JUSTIFICAR BDI","BDI"),
IF(OR(AND(import.recurso="OGU",TIPOORCAMENTO="Proposto",LEFT($O$8,5)&lt;&gt;"(N/D:",$AG110&lt;&gt;"",ORÇAMENTO.CustoUnitario&gt;$AG110),AND(TIPOORCAMENTO="LICITADO",ORÇAMENTO.PrecoUnitarioLicitado&gt;$AN110)),"ACIMA REF.",
IF(AND($C110="S",$P110&lt;&gt;"",$Q110&lt;&gt;"",$T110=0,$U110&gt;0),"QUANT.",
IF(AND(Import.TipoArredondamento="TransfereGOV",$L110="F",$C110="S",LEN($Q110)&gt;13),"Código &gt;13",
IF(AND(Import.TipoArredondamento="TransfereGOV",$L110="F",$C110&lt;&gt;"S",LEN($R110)&gt;100),"Descrição &gt;100",
IF(AND(Import.TipoArredondamento="TransfereGOV",$L110="F",$C110="S",LEN($R110)&gt;500),"Descrição &gt;500",
IF(AND(Import.TipoArredondamento="TransfereGOV",$L110="F",$C110="S",LEFT(TRIM(UPPER($P110)),6)&lt;&gt;"SINAPI",ISNA(VLOOKUP(TRIM(UPPER($S110)),ListaTgov.Unidades,1,FALSE))),"Unid. Não Disp",
" "))))))))))))))))</f>
        <v xml:space="preserve"> </v>
      </c>
      <c r="AD110" s="696" t="str">
        <f ca="1">IF(C110&lt;=CRONO.NivelExibicao,MAX($AD$15:OFFSET(AD110,-1,0))+IF($C110&lt;&gt;1,1,MAX(1,COUNTIF(QCI!$A$13:$A$24,OFFSET($E110,-1,0)))),"")</f>
        <v/>
      </c>
      <c r="AE110" s="694" t="str">
        <f t="array" aca="1" ref="AE110" ca="1">IF(AND($C110="S",ORÇAMENTO.CodBarra&lt;&gt;""),IF(ORÇAMENTO.Fonte="",ORÇAMENTO.CodBarra,CONCATENATE(ORÇAMENTO.Fonte," ",ORÇAMENTO.CodBarra)))</f>
        <v>SINAPI 102193</v>
      </c>
      <c r="AF110" s="695">
        <f t="array" aca="1" ref="AF110" ca="1">IF(ISERROR(ORÇAMENTO.BancoRef),"(abra o arquivo 'Referência "&amp;Excel_BuiltIn_Database&amp;".xlsm)",IF(OR($C110&lt;&gt;"S",ORÇAMENTO.CodBarra=""),"(Sem Código)",IF(ISERROR(MATCH($AE110,INDIRECT(ORÇAMENTO.BancoRef),0)),"(Código não identificado nas referências)",MATCH($AE110,INDIRECT(ORÇAMENTO.BancoRef),0))))</f>
        <v>13892</v>
      </c>
      <c r="AG110" s="428">
        <f t="array" aca="1" ref="AG110" ca="1">ROUND(IF(DESONERACAO="sim",REFERENCIA.Desonerado,REFERENCIA.NaoDesonerado),2)</f>
        <v>2.2799999999999998</v>
      </c>
      <c r="AH110" s="429">
        <f t="shared" ca="1" si="27"/>
        <v>0.2034</v>
      </c>
      <c r="AJ110" s="431"/>
      <c r="AL110" s="439"/>
      <c r="AM110" s="336">
        <f t="shared" ca="1" si="0"/>
        <v>1083.5999999999999</v>
      </c>
      <c r="AN110" s="469">
        <f t="array" aca="1" ref="AN110" ca="1">ROUND(ORÇAMENTO.CustoUnitario*(1+$AH110),2)</f>
        <v>2.58</v>
      </c>
    </row>
    <row r="111" spans="1:40" s="696" customFormat="1" ht="51" x14ac:dyDescent="0.2">
      <c r="A111" s="696" t="str">
        <f t="shared" si="15"/>
        <v>S</v>
      </c>
      <c r="B111" s="696">
        <f t="shared" ca="1" si="16"/>
        <v>2</v>
      </c>
      <c r="C111" s="696" t="str">
        <f t="shared" ca="1" si="17"/>
        <v>S</v>
      </c>
      <c r="D111" s="696">
        <f t="shared" ca="1" si="18"/>
        <v>0</v>
      </c>
      <c r="E111" s="696">
        <f ca="1">IF($C111=1,OFFSET(E111,-1,0)+MAX(1,COUNTIF(QCI!$A$13:$A$24,OFFSET(ORÇAMENTO!E111,-1,0))),OFFSET(E111,-1,0))</f>
        <v>1</v>
      </c>
      <c r="F111" s="696">
        <f t="shared" ca="1" si="19"/>
        <v>19</v>
      </c>
      <c r="G111" s="696">
        <f t="shared" ca="1" si="20"/>
        <v>0</v>
      </c>
      <c r="H111" s="696">
        <f t="shared" ca="1" si="21"/>
        <v>0</v>
      </c>
      <c r="I111" s="696">
        <f t="shared" ca="1" si="22"/>
        <v>2</v>
      </c>
      <c r="J111" s="696">
        <f t="shared" ca="1" si="28"/>
        <v>0</v>
      </c>
      <c r="K111" s="696">
        <f ca="1">IF(OR($C111="S",$C111=0),0,MATCH(OFFSET($D111,0,$C111)+IF($C111&lt;&gt;1,1,COUNTIF(QCI!$A$13:$A$24,ORÇAMENTO!E111)),OFFSET($D111,1,$C111,ROW($C$235)-ROW($C111)),0))</f>
        <v>0</v>
      </c>
      <c r="L111" s="114" t="str">
        <f t="shared" ca="1" si="23"/>
        <v>F</v>
      </c>
      <c r="M111" s="115" t="s">
        <v>705</v>
      </c>
      <c r="N111" s="116" t="str">
        <f t="shared" ca="1" si="24"/>
        <v>Serviço</v>
      </c>
      <c r="O111" s="117" t="str">
        <f t="shared" ca="1" si="25"/>
        <v>1.19.2.</v>
      </c>
      <c r="P111" s="118" t="s">
        <v>1008</v>
      </c>
      <c r="Q111" s="119" t="s">
        <v>1095</v>
      </c>
      <c r="R111" s="120" t="str">
        <f t="array" aca="1" ref="R111" ca="1">IF($C111="S",REFERENCIA.Descricao,"(digite a descrição aqui)")</f>
        <v>PINTURA ESMALTE BASE SOLVENTE EM ESQUADRIA DE MADEIRA, DUAS (2) DEMÃOS, COM APLICAÇÃO MANUAL, INCLUSIVE UMA (1) DEMÃO DE FUNDO NIVELADOR E PREPARAÇÃO DA SUPERFÍCIE COM LIXAMENTO, EXCLUSIVE MASSA A ÓLEO</v>
      </c>
      <c r="S111" s="121" t="str">
        <f t="array" aca="1" ref="S111" ca="1">REFERENCIA.Unidade</f>
        <v>m2</v>
      </c>
      <c r="T111" s="122">
        <f ca="1">OFFSET(CÁLCULO!H$15,ROW($T111)-ROW(T$15),0)</f>
        <v>420</v>
      </c>
      <c r="U111" s="123">
        <f>35.96*0.94</f>
        <v>33.802399999999999</v>
      </c>
      <c r="V111" s="124" t="s">
        <v>697</v>
      </c>
      <c r="W111" s="122">
        <f t="array" aca="1" ref="W111" ca="1">IF($C111="S",ROUND(IF(TIPOORCAMENTO="Proposto",ORÇAMENTO.CustoUnitario*(1+$AH111),ORÇAMENTO.PrecoUnitarioLicitado),15-13*$AF$10),0)</f>
        <v>40.67</v>
      </c>
      <c r="X111" s="125">
        <f t="array" aca="1" ref="X111" ca="1">IF($C111="S",IF(OR(Import.TipoArredondamento&lt;&gt;"TransfereGOV",ACOMPANHAMENTO="BM"),VTOTAL1,SUM(OFFSET(CÁLCULO!$AI$15,ROW($X111)-ROW($X$15),1):OFFSET(CÁLCULO!$BB$15,ROW($X111)-ROW($X$15),-1))),IF($C111=0,0,ROUND(SomaAgrup,15-13*$AF$11)))</f>
        <v>17081.400000000001</v>
      </c>
      <c r="Y111" s="126" t="s">
        <v>751</v>
      </c>
      <c r="Z111" s="696" t="str">
        <f t="shared" ca="1" si="26"/>
        <v>RA</v>
      </c>
      <c r="AA111" s="127">
        <f t="array" aca="1" ref="AA111" ca="1">IF($C111="S",IF($Z111="CP",$X111,IF($Z111="RA",(($X111)*QCI!$AA$3),0)),SomaAgrup)</f>
        <v>0</v>
      </c>
      <c r="AB111" s="128">
        <f t="array" aca="1" ref="AB111" ca="1">IF($C111="S",IF($Z111="OU",ROUND($X111,2),0),SomaAgrup)</f>
        <v>0</v>
      </c>
      <c r="AC111" s="563" t="str">
        <f t="array" aca="1" ref="AC111" ca="1">IF($N111=""," ",
IF(AND($C111&lt;&gt;"S",OR($R111="",$R111="(digite a descrição aqui)")),"DESCRIÇÃO",
IF(AND($C111="S",OR($Q111&lt;&gt;"",$T111&gt;0,$U111&gt;0),$P111=""),"FONTE",
IF(AND($C111="S",$P111&lt;&gt;"",OR($T111&gt;0,$U111&gt;0),$Q111=""),"CÓDIGO",
IF(AND($C111="S",$P111&lt;&gt;"",$Q111&lt;&gt;"",$R111="(Código não identificado nas referências)"),"CÓDIGO N/ID",
IF(AND($C111="S",OR($R111="",$R111="(digite a descrição aqui)"),OR($Q111&lt;&gt;"",$T111&gt;0,$U111&gt;0)),"DESCRIÇÃO",
IF(AND($C111="S",$P111&lt;&gt;"",$Q111&lt;&gt;"",$S111=""),"UNIDADE",
IF(AND($C111="S",$P111&lt;&gt;"",$Q111&lt;&gt;"",$U111=0),"SEM CUSTO",
IF(AND(TIPOORCAMENTO="Licitado",$AL111=0,$AN111&gt;0),"SEM PREÇO",
IF(AND($C111="S",$P111&lt;&gt;"",$Q111&lt;&gt;"",$U111&gt;0,AND($V111&lt;&gt;"BDI 1",$V111&lt;&gt;"BDI 2",$V111&lt;&gt;"BDI 3")),IF(ISNUMBER($V111),"JUSTIFICAR BDI","BDI"),
IF(OR(AND(import.recurso="OGU",TIPOORCAMENTO="Proposto",LEFT($O$8,5)&lt;&gt;"(N/D:",$AG111&lt;&gt;"",ORÇAMENTO.CustoUnitario&gt;$AG111),AND(TIPOORCAMENTO="LICITADO",ORÇAMENTO.PrecoUnitarioLicitado&gt;$AN111)),"ACIMA REF.",
IF(AND($C111="S",$P111&lt;&gt;"",$Q111&lt;&gt;"",$T111=0,$U111&gt;0),"QUANT.",
IF(AND(Import.TipoArredondamento="TransfereGOV",$L111="F",$C111="S",LEN($Q111)&gt;13),"Código &gt;13",
IF(AND(Import.TipoArredondamento="TransfereGOV",$L111="F",$C111&lt;&gt;"S",LEN($R111)&gt;100),"Descrição &gt;100",
IF(AND(Import.TipoArredondamento="TransfereGOV",$L111="F",$C111="S",LEN($R111)&gt;500),"Descrição &gt;500",
IF(AND(Import.TipoArredondamento="TransfereGOV",$L111="F",$C111="S",LEFT(TRIM(UPPER($P111)),6)&lt;&gt;"SINAPI",ISNA(VLOOKUP(TRIM(UPPER($S111)),ListaTgov.Unidades,1,FALSE))),"Unid. Não Disp",
" "))))))))))))))))</f>
        <v xml:space="preserve"> </v>
      </c>
      <c r="AD111" s="696" t="str">
        <f ca="1">IF(C111&lt;=CRONO.NivelExibicao,MAX($AD$15:OFFSET(AD111,-1,0))+IF($C111&lt;&gt;1,1,MAX(1,COUNTIF(QCI!$A$13:$A$24,OFFSET($E111,-1,0)))),"")</f>
        <v/>
      </c>
      <c r="AE111" s="694" t="str">
        <f t="array" aca="1" ref="AE111" ca="1">IF(AND($C111="S",ORÇAMENTO.CodBarra&lt;&gt;""),IF(ORÇAMENTO.Fonte="",ORÇAMENTO.CodBarra,CONCATENATE(ORÇAMENTO.Fonte," ",ORÇAMENTO.CodBarra)))</f>
        <v>SICOR ED-50493</v>
      </c>
      <c r="AF111" s="695">
        <f t="array" aca="1" ref="AF111" ca="1">IF(ISERROR(ORÇAMENTO.BancoRef),"(abra o arquivo 'Referência "&amp;Excel_BuiltIn_Database&amp;".xlsm)",IF(OR($C111&lt;&gt;"S",ORÇAMENTO.CodBarra=""),"(Sem Código)",IF(ISERROR(MATCH($AE111,INDIRECT(ORÇAMENTO.BancoRef),0)),"(Código não identificado nas referências)",MATCH($AE111,INDIRECT(ORÇAMENTO.BancoRef),0))))</f>
        <v>16873</v>
      </c>
      <c r="AG111" s="428">
        <f t="array" aca="1" ref="AG111" ca="1">ROUND(IF(DESONERACAO="sim",REFERENCIA.Desonerado,REFERENCIA.NaoDesonerado),2)</f>
        <v>35.96</v>
      </c>
      <c r="AH111" s="429">
        <f t="shared" ca="1" si="27"/>
        <v>0.2034</v>
      </c>
      <c r="AJ111" s="431"/>
      <c r="AL111" s="439"/>
      <c r="AM111" s="336">
        <f t="shared" ca="1" si="0"/>
        <v>17081.400000000001</v>
      </c>
      <c r="AN111" s="469">
        <f t="array" aca="1" ref="AN111" ca="1">ROUND(ORÇAMENTO.CustoUnitario*(1+$AH111),2)</f>
        <v>40.67</v>
      </c>
    </row>
    <row r="112" spans="1:40" s="696" customFormat="1" x14ac:dyDescent="0.2">
      <c r="A112" s="696">
        <f t="shared" si="15"/>
        <v>2</v>
      </c>
      <c r="B112" s="696">
        <f t="shared" ca="1" si="16"/>
        <v>2</v>
      </c>
      <c r="C112" s="696">
        <f t="shared" ca="1" si="17"/>
        <v>2</v>
      </c>
      <c r="D112" s="696">
        <f t="shared" ca="1" si="18"/>
        <v>10</v>
      </c>
      <c r="E112" s="696">
        <f ca="1">IF($C112=1,OFFSET(E112,-1,0)+MAX(1,COUNTIF(QCI!$A$13:$A$24,OFFSET(ORÇAMENTO!E112,-1,0))),OFFSET(E112,-1,0))</f>
        <v>1</v>
      </c>
      <c r="F112" s="696">
        <f t="shared" ca="1" si="19"/>
        <v>20</v>
      </c>
      <c r="G112" s="696">
        <f t="shared" ca="1" si="20"/>
        <v>0</v>
      </c>
      <c r="H112" s="696">
        <f t="shared" ca="1" si="21"/>
        <v>0</v>
      </c>
      <c r="I112" s="696">
        <f t="shared" ca="1" si="22"/>
        <v>0</v>
      </c>
      <c r="J112" s="696">
        <f t="shared" ca="1" si="28"/>
        <v>123</v>
      </c>
      <c r="K112" s="696">
        <f ca="1">IF(OR($C112="S",$C112=0),0,MATCH(OFFSET($D112,0,$C112)+IF($C112&lt;&gt;1,1,COUNTIF(QCI!$A$13:$A$24,ORÇAMENTO!E112)),OFFSET($D112,1,$C112,ROW($C$235)-ROW($C112)),0))</f>
        <v>10</v>
      </c>
      <c r="L112" s="114" t="str">
        <f t="shared" ca="1" si="23"/>
        <v>F</v>
      </c>
      <c r="M112" s="115" t="s">
        <v>702</v>
      </c>
      <c r="N112" s="116" t="str">
        <f t="shared" ca="1" si="24"/>
        <v>Nível 2</v>
      </c>
      <c r="O112" s="117" t="str">
        <f t="shared" ca="1" si="25"/>
        <v>1.20.</v>
      </c>
      <c r="P112" s="118" t="s">
        <v>750</v>
      </c>
      <c r="Q112" s="119"/>
      <c r="R112" s="120" t="s">
        <v>1096</v>
      </c>
      <c r="S112" s="121" t="s">
        <v>688</v>
      </c>
      <c r="T112" s="122">
        <f ca="1">OFFSET(CÁLCULO!H$15,ROW($T112)-ROW(T$15),0)</f>
        <v>0</v>
      </c>
      <c r="U112" s="123"/>
      <c r="V112" s="124" t="s">
        <v>663</v>
      </c>
      <c r="W112" s="122">
        <f t="array" aca="1" ref="W112" ca="1">IF($C112="S",ROUND(IF(TIPOORCAMENTO="Proposto",ORÇAMENTO.CustoUnitario*(1+$AH112),ORÇAMENTO.PrecoUnitarioLicitado),15-13*$AF$10),0)</f>
        <v>0</v>
      </c>
      <c r="X112" s="125">
        <f t="array" aca="1" ref="X112" ca="1">IF($C112="S",IF(OR(Import.TipoArredondamento&lt;&gt;"TransfereGOV",ACOMPANHAMENTO="BM"),VTOTAL1,SUM(OFFSET(CÁLCULO!$AI$15,ROW($X112)-ROW($X$15),1):OFFSET(CÁLCULO!$BB$15,ROW($X112)-ROW($X$15),-1))),IF($C112=0,0,ROUND(SomaAgrup,15-13*$AF$11)))</f>
        <v>200638.2</v>
      </c>
      <c r="Y112" s="126" t="s">
        <v>751</v>
      </c>
      <c r="Z112" s="696" t="str">
        <f t="shared" ca="1" si="26"/>
        <v/>
      </c>
      <c r="AA112" s="127">
        <f t="array" aca="1" ref="AA112" ca="1">IF($C112="S",IF($Z112="CP",$X112,IF($Z112="RA",(($X112)*QCI!$AA$3),0)),SomaAgrup)</f>
        <v>0</v>
      </c>
      <c r="AB112" s="128">
        <f t="array" aca="1" ref="AB112" ca="1">IF($C112="S",IF($Z112="OU",ROUND($X112,2),0),SomaAgrup)</f>
        <v>0</v>
      </c>
      <c r="AC112" s="563" t="str">
        <f t="array" aca="1" ref="AC112" ca="1">IF($N112=""," ",
IF(AND($C112&lt;&gt;"S",OR($R112="",$R112="(digite a descrição aqui)")),"DESCRIÇÃO",
IF(AND($C112="S",OR($Q112&lt;&gt;"",$T112&gt;0,$U112&gt;0),$P112=""),"FONTE",
IF(AND($C112="S",$P112&lt;&gt;"",OR($T112&gt;0,$U112&gt;0),$Q112=""),"CÓDIGO",
IF(AND($C112="S",$P112&lt;&gt;"",$Q112&lt;&gt;"",$R112="(Código não identificado nas referências)"),"CÓDIGO N/ID",
IF(AND($C112="S",OR($R112="",$R112="(digite a descrição aqui)"),OR($Q112&lt;&gt;"",$T112&gt;0,$U112&gt;0)),"DESCRIÇÃO",
IF(AND($C112="S",$P112&lt;&gt;"",$Q112&lt;&gt;"",$S112=""),"UNIDADE",
IF(AND($C112="S",$P112&lt;&gt;"",$Q112&lt;&gt;"",$U112=0),"SEM CUSTO",
IF(AND(TIPOORCAMENTO="Licitado",$AL112=0,$AN112&gt;0),"SEM PREÇO",
IF(AND($C112="S",$P112&lt;&gt;"",$Q112&lt;&gt;"",$U112&gt;0,AND($V112&lt;&gt;"BDI 1",$V112&lt;&gt;"BDI 2",$V112&lt;&gt;"BDI 3")),IF(ISNUMBER($V112),"JUSTIFICAR BDI","BDI"),
IF(OR(AND(import.recurso="OGU",TIPOORCAMENTO="Proposto",LEFT($O$8,5)&lt;&gt;"(N/D:",$AG112&lt;&gt;"",ORÇAMENTO.CustoUnitario&gt;$AG112),AND(TIPOORCAMENTO="LICITADO",ORÇAMENTO.PrecoUnitarioLicitado&gt;$AN112)),"ACIMA REF.",
IF(AND($C112="S",$P112&lt;&gt;"",$Q112&lt;&gt;"",$T112=0,$U112&gt;0),"QUANT.",
IF(AND(Import.TipoArredondamento="TransfereGOV",$L112="F",$C112="S",LEN($Q112)&gt;13),"Código &gt;13",
IF(AND(Import.TipoArredondamento="TransfereGOV",$L112="F",$C112&lt;&gt;"S",LEN($R112)&gt;100),"Descrição &gt;100",
IF(AND(Import.TipoArredondamento="TransfereGOV",$L112="F",$C112="S",LEN($R112)&gt;500),"Descrição &gt;500",
IF(AND(Import.TipoArredondamento="TransfereGOV",$L112="F",$C112="S",LEFT(TRIM(UPPER($P112)),6)&lt;&gt;"SINAPI",ISNA(VLOOKUP(TRIM(UPPER($S112)),ListaTgov.Unidades,1,FALSE))),"Unid. Não Disp",
" "))))))))))))))))</f>
        <v xml:space="preserve"> </v>
      </c>
      <c r="AD112" s="696">
        <f ca="1">IF(C112&lt;=CRONO.NivelExibicao,MAX($AD$15:OFFSET(AD112,-1,0))+IF($C112&lt;&gt;1,1,MAX(1,COUNTIF(QCI!$A$13:$A$24,OFFSET($E112,-1,0)))),"")</f>
        <v>21</v>
      </c>
      <c r="AE112" s="694" t="b">
        <f t="array" aca="1" ref="AE112" ca="1">IF(AND($C112="S",ORÇAMENTO.CodBarra&lt;&gt;""),IF(ORÇAMENTO.Fonte="",ORÇAMENTO.CodBarra,CONCATENATE(ORÇAMENTO.Fonte," ",ORÇAMENTO.CodBarra)))</f>
        <v>0</v>
      </c>
      <c r="AF112" s="695" t="str">
        <f t="array" aca="1" ref="AF112" ca="1">IF(ISERROR(ORÇAMENTO.BancoRef),"(abra o arquivo 'Referência "&amp;Excel_BuiltIn_Database&amp;".xlsm)",IF(OR($C112&lt;&gt;"S",ORÇAMENTO.CodBarra=""),"(Sem Código)",IF(ISERROR(MATCH($AE112,INDIRECT(ORÇAMENTO.BancoRef),0)),"(Código não identificado nas referências)",MATCH($AE112,INDIRECT(ORÇAMENTO.BancoRef),0))))</f>
        <v>(Sem Código)</v>
      </c>
      <c r="AG112" s="428">
        <f t="array" aca="1" ref="AG112" ca="1">ROUND(IF(DESONERACAO="sim",REFERENCIA.Desonerado,REFERENCIA.NaoDesonerado),2)</f>
        <v>0</v>
      </c>
      <c r="AH112" s="429">
        <f t="shared" ca="1" si="27"/>
        <v>0.29389999999999999</v>
      </c>
      <c r="AJ112" s="431"/>
      <c r="AL112" s="439"/>
      <c r="AM112" s="336">
        <f t="shared" ca="1" si="0"/>
        <v>200638.2</v>
      </c>
      <c r="AN112" s="469">
        <f t="array" aca="1" ref="AN112" ca="1">ROUND(ORÇAMENTO.CustoUnitario*(1+$AH112),2)</f>
        <v>0</v>
      </c>
    </row>
    <row r="113" spans="1:40" s="696" customFormat="1" ht="38.25" x14ac:dyDescent="0.2">
      <c r="A113" s="696" t="str">
        <f t="shared" si="15"/>
        <v>S</v>
      </c>
      <c r="B113" s="696">
        <f t="shared" ca="1" si="16"/>
        <v>2</v>
      </c>
      <c r="C113" s="696" t="str">
        <f t="shared" ca="1" si="17"/>
        <v>S</v>
      </c>
      <c r="D113" s="696">
        <f t="shared" ca="1" si="18"/>
        <v>0</v>
      </c>
      <c r="E113" s="696">
        <f ca="1">IF($C113=1,OFFSET(E113,-1,0)+MAX(1,COUNTIF(QCI!$A$13:$A$24,OFFSET(ORÇAMENTO!E113,-1,0))),OFFSET(E113,-1,0))</f>
        <v>1</v>
      </c>
      <c r="F113" s="696">
        <f t="shared" ca="1" si="19"/>
        <v>20</v>
      </c>
      <c r="G113" s="696">
        <f t="shared" ca="1" si="20"/>
        <v>0</v>
      </c>
      <c r="H113" s="696">
        <f t="shared" ca="1" si="21"/>
        <v>0</v>
      </c>
      <c r="I113" s="696">
        <f t="shared" ca="1" si="22"/>
        <v>1</v>
      </c>
      <c r="J113" s="696">
        <f t="shared" ca="1" si="28"/>
        <v>0</v>
      </c>
      <c r="K113" s="696">
        <f ca="1">IF(OR($C113="S",$C113=0),0,MATCH(OFFSET($D113,0,$C113)+IF($C113&lt;&gt;1,1,COUNTIF(QCI!$A$13:$A$24,ORÇAMENTO!E113)),OFFSET($D113,1,$C113,ROW($C$235)-ROW($C113)),0))</f>
        <v>0</v>
      </c>
      <c r="L113" s="114" t="str">
        <f t="shared" ca="1" si="23"/>
        <v>F</v>
      </c>
      <c r="M113" s="115" t="s">
        <v>705</v>
      </c>
      <c r="N113" s="116" t="str">
        <f t="shared" ca="1" si="24"/>
        <v>Serviço</v>
      </c>
      <c r="O113" s="117" t="str">
        <f t="shared" ca="1" si="25"/>
        <v>1.20.1.</v>
      </c>
      <c r="P113" s="118" t="s">
        <v>750</v>
      </c>
      <c r="Q113" s="119" t="s">
        <v>1097</v>
      </c>
      <c r="R113" s="120" t="str">
        <f t="array" aca="1" ref="R113" ca="1">IF($C113="S",REFERENCIA.Descricao,"(digite a descrição aqui)")</f>
        <v>COMPACTAÇÃO MECÂNICA DE SOLO PARA EXECUÇÃO DE RADIER, PISO DE CONCRETO OU LAJE SOBRE SOLO, COM COMPACTADOR DE SOLOS TIPO PLACA VIBRATÓRIA. AF_09/2021</v>
      </c>
      <c r="S113" s="121" t="str">
        <f t="array" aca="1" ref="S113" ca="1">REFERENCIA.Unidade</f>
        <v>M2</v>
      </c>
      <c r="T113" s="122">
        <f ca="1">OFFSET(CÁLCULO!H$15,ROW($T113)-ROW(T$15),0)</f>
        <v>1077.4000000000001</v>
      </c>
      <c r="U113" s="123">
        <f>0.75*0.94</f>
        <v>0.70499999999999996</v>
      </c>
      <c r="V113" s="124" t="s">
        <v>697</v>
      </c>
      <c r="W113" s="122">
        <f t="array" aca="1" ref="W113" ca="1">IF($C113="S",ROUND(IF(TIPOORCAMENTO="Proposto",ORÇAMENTO.CustoUnitario*(1+$AH113),ORÇAMENTO.PrecoUnitarioLicitado),15-13*$AF$10),0)</f>
        <v>0.85</v>
      </c>
      <c r="X113" s="125">
        <f t="array" aca="1" ref="X113" ca="1">IF($C113="S",IF(OR(Import.TipoArredondamento&lt;&gt;"TransfereGOV",ACOMPANHAMENTO="BM"),VTOTAL1,SUM(OFFSET(CÁLCULO!$AI$15,ROW($X113)-ROW($X$15),1):OFFSET(CÁLCULO!$BB$15,ROW($X113)-ROW($X$15),-1))),IF($C113=0,0,ROUND(SomaAgrup,15-13*$AF$11)))</f>
        <v>915.8</v>
      </c>
      <c r="Y113" s="126" t="s">
        <v>751</v>
      </c>
      <c r="Z113" s="696" t="str">
        <f t="shared" ca="1" si="26"/>
        <v>RA</v>
      </c>
      <c r="AA113" s="127">
        <f t="array" aca="1" ref="AA113" ca="1">IF($C113="S",IF($Z113="CP",$X113,IF($Z113="RA",(($X113)*QCI!$AA$3),0)),SomaAgrup)</f>
        <v>0</v>
      </c>
      <c r="AB113" s="128">
        <f t="array" aca="1" ref="AB113" ca="1">IF($C113="S",IF($Z113="OU",ROUND($X113,2),0),SomaAgrup)</f>
        <v>0</v>
      </c>
      <c r="AC113" s="563" t="str">
        <f t="array" aca="1" ref="AC113" ca="1">IF($N113=""," ",
IF(AND($C113&lt;&gt;"S",OR($R113="",$R113="(digite a descrição aqui)")),"DESCRIÇÃO",
IF(AND($C113="S",OR($Q113&lt;&gt;"",$T113&gt;0,$U113&gt;0),$P113=""),"FONTE",
IF(AND($C113="S",$P113&lt;&gt;"",OR($T113&gt;0,$U113&gt;0),$Q113=""),"CÓDIGO",
IF(AND($C113="S",$P113&lt;&gt;"",$Q113&lt;&gt;"",$R113="(Código não identificado nas referências)"),"CÓDIGO N/ID",
IF(AND($C113="S",OR($R113="",$R113="(digite a descrição aqui)"),OR($Q113&lt;&gt;"",$T113&gt;0,$U113&gt;0)),"DESCRIÇÃO",
IF(AND($C113="S",$P113&lt;&gt;"",$Q113&lt;&gt;"",$S113=""),"UNIDADE",
IF(AND($C113="S",$P113&lt;&gt;"",$Q113&lt;&gt;"",$U113=0),"SEM CUSTO",
IF(AND(TIPOORCAMENTO="Licitado",$AL113=0,$AN113&gt;0),"SEM PREÇO",
IF(AND($C113="S",$P113&lt;&gt;"",$Q113&lt;&gt;"",$U113&gt;0,AND($V113&lt;&gt;"BDI 1",$V113&lt;&gt;"BDI 2",$V113&lt;&gt;"BDI 3")),IF(ISNUMBER($V113),"JUSTIFICAR BDI","BDI"),
IF(OR(AND(import.recurso="OGU",TIPOORCAMENTO="Proposto",LEFT($O$8,5)&lt;&gt;"(N/D:",$AG113&lt;&gt;"",ORÇAMENTO.CustoUnitario&gt;$AG113),AND(TIPOORCAMENTO="LICITADO",ORÇAMENTO.PrecoUnitarioLicitado&gt;$AN113)),"ACIMA REF.",
IF(AND($C113="S",$P113&lt;&gt;"",$Q113&lt;&gt;"",$T113=0,$U113&gt;0),"QUANT.",
IF(AND(Import.TipoArredondamento="TransfereGOV",$L113="F",$C113="S",LEN($Q113)&gt;13),"Código &gt;13",
IF(AND(Import.TipoArredondamento="TransfereGOV",$L113="F",$C113&lt;&gt;"S",LEN($R113)&gt;100),"Descrição &gt;100",
IF(AND(Import.TipoArredondamento="TransfereGOV",$L113="F",$C113="S",LEN($R113)&gt;500),"Descrição &gt;500",
IF(AND(Import.TipoArredondamento="TransfereGOV",$L113="F",$C113="S",LEFT(TRIM(UPPER($P113)),6)&lt;&gt;"SINAPI",ISNA(VLOOKUP(TRIM(UPPER($S113)),ListaTgov.Unidades,1,FALSE))),"Unid. Não Disp",
" "))))))))))))))))</f>
        <v xml:space="preserve"> </v>
      </c>
      <c r="AD113" s="696" t="str">
        <f ca="1">IF(C113&lt;=CRONO.NivelExibicao,MAX($AD$15:OFFSET(AD113,-1,0))+IF($C113&lt;&gt;1,1,MAX(1,COUNTIF(QCI!$A$13:$A$24,OFFSET($E113,-1,0)))),"")</f>
        <v/>
      </c>
      <c r="AE113" s="694" t="str">
        <f t="array" aca="1" ref="AE113" ca="1">IF(AND($C113="S",ORÇAMENTO.CodBarra&lt;&gt;""),IF(ORÇAMENTO.Fonte="",ORÇAMENTO.CodBarra,CONCATENATE(ORÇAMENTO.Fonte," ",ORÇAMENTO.CodBarra)))</f>
        <v>SINAPI 97084</v>
      </c>
      <c r="AF113" s="695">
        <f t="array" aca="1" ref="AF113" ca="1">IF(ISERROR(ORÇAMENTO.BancoRef),"(abra o arquivo 'Referência "&amp;Excel_BuiltIn_Database&amp;".xlsm)",IF(OR($C113&lt;&gt;"S",ORÇAMENTO.CodBarra=""),"(Sem Código)",IF(ISERROR(MATCH($AE113,INDIRECT(ORÇAMENTO.BancoRef),0)),"(Código não identificado nas referências)",MATCH($AE113,INDIRECT(ORÇAMENTO.BancoRef),0))))</f>
        <v>14384</v>
      </c>
      <c r="AG113" s="428">
        <f t="array" aca="1" ref="AG113" ca="1">ROUND(IF(DESONERACAO="sim",REFERENCIA.Desonerado,REFERENCIA.NaoDesonerado),2)</f>
        <v>0.75</v>
      </c>
      <c r="AH113" s="429">
        <f t="shared" ca="1" si="27"/>
        <v>0.2034</v>
      </c>
      <c r="AJ113" s="431"/>
      <c r="AL113" s="439"/>
      <c r="AM113" s="336">
        <f t="shared" ca="1" si="0"/>
        <v>915.8</v>
      </c>
      <c r="AN113" s="469">
        <f t="array" aca="1" ref="AN113" ca="1">ROUND(ORÇAMENTO.CustoUnitario*(1+$AH113),2)</f>
        <v>0.85</v>
      </c>
    </row>
    <row r="114" spans="1:40" s="696" customFormat="1" ht="38.25" x14ac:dyDescent="0.2">
      <c r="A114" s="696" t="str">
        <f t="shared" si="15"/>
        <v>S</v>
      </c>
      <c r="B114" s="696">
        <f t="shared" ca="1" si="16"/>
        <v>2</v>
      </c>
      <c r="C114" s="696" t="str">
        <f t="shared" ca="1" si="17"/>
        <v>S</v>
      </c>
      <c r="D114" s="696">
        <f t="shared" ca="1" si="18"/>
        <v>0</v>
      </c>
      <c r="E114" s="696">
        <f ca="1">IF($C114=1,OFFSET(E114,-1,0)+MAX(1,COUNTIF(QCI!$A$13:$A$24,OFFSET(ORÇAMENTO!E114,-1,0))),OFFSET(E114,-1,0))</f>
        <v>1</v>
      </c>
      <c r="F114" s="696">
        <f t="shared" ca="1" si="19"/>
        <v>20</v>
      </c>
      <c r="G114" s="696">
        <f t="shared" ca="1" si="20"/>
        <v>0</v>
      </c>
      <c r="H114" s="696">
        <f t="shared" ca="1" si="21"/>
        <v>0</v>
      </c>
      <c r="I114" s="696">
        <f t="shared" ca="1" si="22"/>
        <v>2</v>
      </c>
      <c r="J114" s="696">
        <f t="shared" ca="1" si="28"/>
        <v>0</v>
      </c>
      <c r="K114" s="696">
        <f ca="1">IF(OR($C114="S",$C114=0),0,MATCH(OFFSET($D114,0,$C114)+IF($C114&lt;&gt;1,1,COUNTIF(QCI!$A$13:$A$24,ORÇAMENTO!E114)),OFFSET($D114,1,$C114,ROW($C$235)-ROW($C114)),0))</f>
        <v>0</v>
      </c>
      <c r="L114" s="114" t="str">
        <f t="shared" ca="1" si="23"/>
        <v>F</v>
      </c>
      <c r="M114" s="115" t="s">
        <v>705</v>
      </c>
      <c r="N114" s="116" t="str">
        <f t="shared" ca="1" si="24"/>
        <v>Serviço</v>
      </c>
      <c r="O114" s="117" t="str">
        <f t="shared" ca="1" si="25"/>
        <v>1.20.2.</v>
      </c>
      <c r="P114" s="118" t="s">
        <v>750</v>
      </c>
      <c r="Q114" s="119" t="s">
        <v>1098</v>
      </c>
      <c r="R114" s="120" t="str">
        <f t="array" aca="1" ref="R114" ca="1">IF($C114="S",REFERENCIA.Descricao,"(digite a descrição aqui)")</f>
        <v>LASTRO COM MATERIAL GRANULAR (PEDRA BRITADA N.3), APLICADO EM PISOS OU LAJES SOBRE SOLO, ESPESSURA DE *10 CM*. AF_01/2024</v>
      </c>
      <c r="S114" s="121" t="str">
        <f t="array" aca="1" ref="S114" ca="1">REFERENCIA.Unidade</f>
        <v>M3</v>
      </c>
      <c r="T114" s="122">
        <f ca="1">OFFSET(CÁLCULO!H$15,ROW($T114)-ROW(T$15),0)</f>
        <v>107.8</v>
      </c>
      <c r="U114" s="123">
        <f>206.61*0.94</f>
        <v>194.21340000000001</v>
      </c>
      <c r="V114" s="124" t="s">
        <v>697</v>
      </c>
      <c r="W114" s="122">
        <f t="array" aca="1" ref="W114" ca="1">IF($C114="S",ROUND(IF(TIPOORCAMENTO="Proposto",ORÇAMENTO.CustoUnitario*(1+$AH114),ORÇAMENTO.PrecoUnitarioLicitado),15-13*$AF$10),0)</f>
        <v>233.71</v>
      </c>
      <c r="X114" s="125">
        <f t="array" aca="1" ref="X114" ca="1">IF($C114="S",IF(OR(Import.TipoArredondamento&lt;&gt;"TransfereGOV",ACOMPANHAMENTO="BM"),VTOTAL1,SUM(OFFSET(CÁLCULO!$AI$15,ROW($X114)-ROW($X$15),1):OFFSET(CÁLCULO!$BB$15,ROW($X114)-ROW($X$15),-1))),IF($C114=0,0,ROUND(SomaAgrup,15-13*$AF$11)))</f>
        <v>25193.919999999998</v>
      </c>
      <c r="Y114" s="126" t="s">
        <v>751</v>
      </c>
      <c r="Z114" s="696" t="str">
        <f t="shared" ca="1" si="26"/>
        <v>RA</v>
      </c>
      <c r="AA114" s="127">
        <f t="array" aca="1" ref="AA114" ca="1">IF($C114="S",IF($Z114="CP",$X114,IF($Z114="RA",(($X114)*QCI!$AA$3),0)),SomaAgrup)</f>
        <v>0</v>
      </c>
      <c r="AB114" s="128">
        <f t="array" aca="1" ref="AB114" ca="1">IF($C114="S",IF($Z114="OU",ROUND($X114,2),0),SomaAgrup)</f>
        <v>0</v>
      </c>
      <c r="AC114" s="563" t="str">
        <f t="array" aca="1" ref="AC114" ca="1">IF($N114=""," ",
IF(AND($C114&lt;&gt;"S",OR($R114="",$R114="(digite a descrição aqui)")),"DESCRIÇÃO",
IF(AND($C114="S",OR($Q114&lt;&gt;"",$T114&gt;0,$U114&gt;0),$P114=""),"FONTE",
IF(AND($C114="S",$P114&lt;&gt;"",OR($T114&gt;0,$U114&gt;0),$Q114=""),"CÓDIGO",
IF(AND($C114="S",$P114&lt;&gt;"",$Q114&lt;&gt;"",$R114="(Código não identificado nas referências)"),"CÓDIGO N/ID",
IF(AND($C114="S",OR($R114="",$R114="(digite a descrição aqui)"),OR($Q114&lt;&gt;"",$T114&gt;0,$U114&gt;0)),"DESCRIÇÃO",
IF(AND($C114="S",$P114&lt;&gt;"",$Q114&lt;&gt;"",$S114=""),"UNIDADE",
IF(AND($C114="S",$P114&lt;&gt;"",$Q114&lt;&gt;"",$U114=0),"SEM CUSTO",
IF(AND(TIPOORCAMENTO="Licitado",$AL114=0,$AN114&gt;0),"SEM PREÇO",
IF(AND($C114="S",$P114&lt;&gt;"",$Q114&lt;&gt;"",$U114&gt;0,AND($V114&lt;&gt;"BDI 1",$V114&lt;&gt;"BDI 2",$V114&lt;&gt;"BDI 3")),IF(ISNUMBER($V114),"JUSTIFICAR BDI","BDI"),
IF(OR(AND(import.recurso="OGU",TIPOORCAMENTO="Proposto",LEFT($O$8,5)&lt;&gt;"(N/D:",$AG114&lt;&gt;"",ORÇAMENTO.CustoUnitario&gt;$AG114),AND(TIPOORCAMENTO="LICITADO",ORÇAMENTO.PrecoUnitarioLicitado&gt;$AN114)),"ACIMA REF.",
IF(AND($C114="S",$P114&lt;&gt;"",$Q114&lt;&gt;"",$T114=0,$U114&gt;0),"QUANT.",
IF(AND(Import.TipoArredondamento="TransfereGOV",$L114="F",$C114="S",LEN($Q114)&gt;13),"Código &gt;13",
IF(AND(Import.TipoArredondamento="TransfereGOV",$L114="F",$C114&lt;&gt;"S",LEN($R114)&gt;100),"Descrição &gt;100",
IF(AND(Import.TipoArredondamento="TransfereGOV",$L114="F",$C114="S",LEN($R114)&gt;500),"Descrição &gt;500",
IF(AND(Import.TipoArredondamento="TransfereGOV",$L114="F",$C114="S",LEFT(TRIM(UPPER($P114)),6)&lt;&gt;"SINAPI",ISNA(VLOOKUP(TRIM(UPPER($S114)),ListaTgov.Unidades,1,FALSE))),"Unid. Não Disp",
" "))))))))))))))))</f>
        <v xml:space="preserve"> </v>
      </c>
      <c r="AD114" s="696" t="str">
        <f ca="1">IF(C114&lt;=CRONO.NivelExibicao,MAX($AD$15:OFFSET(AD114,-1,0))+IF($C114&lt;&gt;1,1,MAX(1,COUNTIF(QCI!$A$13:$A$24,OFFSET($E114,-1,0)))),"")</f>
        <v/>
      </c>
      <c r="AE114" s="694" t="str">
        <f t="array" aca="1" ref="AE114" ca="1">IF(AND($C114="S",ORÇAMENTO.CodBarra&lt;&gt;""),IF(ORÇAMENTO.Fonte="",ORÇAMENTO.CodBarra,CONCATENATE(ORÇAMENTO.Fonte," ",ORÇAMENTO.CodBarra)))</f>
        <v>SINAPI 100322</v>
      </c>
      <c r="AF114" s="695">
        <f t="array" aca="1" ref="AF114" ca="1">IF(ISERROR(ORÇAMENTO.BancoRef),"(abra o arquivo 'Referência "&amp;Excel_BuiltIn_Database&amp;".xlsm)",IF(OR($C114&lt;&gt;"S",ORÇAMENTO.CodBarra=""),"(Sem Código)",IF(ISERROR(MATCH($AE114,INDIRECT(ORÇAMENTO.BancoRef),0)),"(Código não identificado nas referências)",MATCH($AE114,INDIRECT(ORÇAMENTO.BancoRef),0))))</f>
        <v>12708</v>
      </c>
      <c r="AG114" s="428">
        <f t="array" aca="1" ref="AG114" ca="1">ROUND(IF(DESONERACAO="sim",REFERENCIA.Desonerado,REFERENCIA.NaoDesonerado),2)</f>
        <v>206.61</v>
      </c>
      <c r="AH114" s="429">
        <f t="shared" ca="1" si="27"/>
        <v>0.2034</v>
      </c>
      <c r="AJ114" s="431"/>
      <c r="AL114" s="439"/>
      <c r="AM114" s="336">
        <f t="shared" ca="1" si="0"/>
        <v>25193.919999999998</v>
      </c>
      <c r="AN114" s="469">
        <f t="array" aca="1" ref="AN114" ca="1">ROUND(ORÇAMENTO.CustoUnitario*(1+$AH114),2)</f>
        <v>233.71</v>
      </c>
    </row>
    <row r="115" spans="1:40" s="696" customFormat="1" ht="25.5" x14ac:dyDescent="0.2">
      <c r="A115" s="696" t="str">
        <f t="shared" si="15"/>
        <v>S</v>
      </c>
      <c r="B115" s="696">
        <f t="shared" ca="1" si="16"/>
        <v>2</v>
      </c>
      <c r="C115" s="696" t="str">
        <f t="shared" ca="1" si="17"/>
        <v>S</v>
      </c>
      <c r="D115" s="696">
        <f t="shared" ca="1" si="18"/>
        <v>0</v>
      </c>
      <c r="E115" s="696">
        <f ca="1">IF($C115=1,OFFSET(E115,-1,0)+MAX(1,COUNTIF(QCI!$A$13:$A$24,OFFSET(ORÇAMENTO!E115,-1,0))),OFFSET(E115,-1,0))</f>
        <v>1</v>
      </c>
      <c r="F115" s="696">
        <f t="shared" ca="1" si="19"/>
        <v>20</v>
      </c>
      <c r="G115" s="696">
        <f t="shared" ca="1" si="20"/>
        <v>0</v>
      </c>
      <c r="H115" s="696">
        <f t="shared" ca="1" si="21"/>
        <v>0</v>
      </c>
      <c r="I115" s="696">
        <f t="shared" ca="1" si="22"/>
        <v>3</v>
      </c>
      <c r="J115" s="696">
        <f t="shared" ca="1" si="28"/>
        <v>0</v>
      </c>
      <c r="K115" s="696">
        <f ca="1">IF(OR($C115="S",$C115=0),0,MATCH(OFFSET($D115,0,$C115)+IF($C115&lt;&gt;1,1,COUNTIF(QCI!$A$13:$A$24,ORÇAMENTO!E115)),OFFSET($D115,1,$C115,ROW($C$235)-ROW($C115)),0))</f>
        <v>0</v>
      </c>
      <c r="L115" s="114" t="str">
        <f t="shared" ca="1" si="23"/>
        <v>F</v>
      </c>
      <c r="M115" s="115" t="s">
        <v>705</v>
      </c>
      <c r="N115" s="116" t="str">
        <f t="shared" ca="1" si="24"/>
        <v>Serviço</v>
      </c>
      <c r="O115" s="117" t="str">
        <f t="shared" ca="1" si="25"/>
        <v>1.20.3.</v>
      </c>
      <c r="P115" s="118" t="s">
        <v>750</v>
      </c>
      <c r="Q115" s="119" t="s">
        <v>1099</v>
      </c>
      <c r="R115" s="120" t="str">
        <f t="array" aca="1" ref="R115" ca="1">IF($C115="S",REFERENCIA.Descricao,"(digite a descrição aqui)")</f>
        <v>CAMADA SEPARADORA PARA EXECUÇÃO DE RADIER, PISO DE CONCRETO OU LAJE SOBRE SOLO, EM LONA PLÁSTICA. AF_09/2021</v>
      </c>
      <c r="S115" s="121" t="str">
        <f t="array" aca="1" ref="S115" ca="1">REFERENCIA.Unidade</f>
        <v>M2</v>
      </c>
      <c r="T115" s="122">
        <f ca="1">OFFSET(CÁLCULO!H$15,ROW($T115)-ROW(T$15),0)</f>
        <v>1077.4000000000001</v>
      </c>
      <c r="U115" s="123">
        <f>3.07*0.94</f>
        <v>2.8857999999999997</v>
      </c>
      <c r="V115" s="124" t="s">
        <v>697</v>
      </c>
      <c r="W115" s="122">
        <f t="array" aca="1" ref="W115" ca="1">IF($C115="S",ROUND(IF(TIPOORCAMENTO="Proposto",ORÇAMENTO.CustoUnitario*(1+$AH115),ORÇAMENTO.PrecoUnitarioLicitado),15-13*$AF$10),0)</f>
        <v>3.48</v>
      </c>
      <c r="X115" s="125">
        <f t="array" aca="1" ref="X115" ca="1">IF($C115="S",IF(OR(Import.TipoArredondamento&lt;&gt;"TransfereGOV",ACOMPANHAMENTO="BM"),VTOTAL1,SUM(OFFSET(CÁLCULO!$AI$15,ROW($X115)-ROW($X$15),1):OFFSET(CÁLCULO!$BB$15,ROW($X115)-ROW($X$15),-1))),IF($C115=0,0,ROUND(SomaAgrup,15-13*$AF$11)))</f>
        <v>3749.36</v>
      </c>
      <c r="Y115" s="126" t="s">
        <v>751</v>
      </c>
      <c r="Z115" s="696" t="str">
        <f t="shared" ca="1" si="26"/>
        <v>RA</v>
      </c>
      <c r="AA115" s="127">
        <f t="array" aca="1" ref="AA115" ca="1">IF($C115="S",IF($Z115="CP",$X115,IF($Z115="RA",(($X115)*QCI!$AA$3),0)),SomaAgrup)</f>
        <v>0</v>
      </c>
      <c r="AB115" s="128">
        <f t="array" aca="1" ref="AB115" ca="1">IF($C115="S",IF($Z115="OU",ROUND($X115,2),0),SomaAgrup)</f>
        <v>0</v>
      </c>
      <c r="AC115" s="563" t="str">
        <f t="array" aca="1" ref="AC115" ca="1">IF($N115=""," ",
IF(AND($C115&lt;&gt;"S",OR($R115="",$R115="(digite a descrição aqui)")),"DESCRIÇÃO",
IF(AND($C115="S",OR($Q115&lt;&gt;"",$T115&gt;0,$U115&gt;0),$P115=""),"FONTE",
IF(AND($C115="S",$P115&lt;&gt;"",OR($T115&gt;0,$U115&gt;0),$Q115=""),"CÓDIGO",
IF(AND($C115="S",$P115&lt;&gt;"",$Q115&lt;&gt;"",$R115="(Código não identificado nas referências)"),"CÓDIGO N/ID",
IF(AND($C115="S",OR($R115="",$R115="(digite a descrição aqui)"),OR($Q115&lt;&gt;"",$T115&gt;0,$U115&gt;0)),"DESCRIÇÃO",
IF(AND($C115="S",$P115&lt;&gt;"",$Q115&lt;&gt;"",$S115=""),"UNIDADE",
IF(AND($C115="S",$P115&lt;&gt;"",$Q115&lt;&gt;"",$U115=0),"SEM CUSTO",
IF(AND(TIPOORCAMENTO="Licitado",$AL115=0,$AN115&gt;0),"SEM PREÇO",
IF(AND($C115="S",$P115&lt;&gt;"",$Q115&lt;&gt;"",$U115&gt;0,AND($V115&lt;&gt;"BDI 1",$V115&lt;&gt;"BDI 2",$V115&lt;&gt;"BDI 3")),IF(ISNUMBER($V115),"JUSTIFICAR BDI","BDI"),
IF(OR(AND(import.recurso="OGU",TIPOORCAMENTO="Proposto",LEFT($O$8,5)&lt;&gt;"(N/D:",$AG115&lt;&gt;"",ORÇAMENTO.CustoUnitario&gt;$AG115),AND(TIPOORCAMENTO="LICITADO",ORÇAMENTO.PrecoUnitarioLicitado&gt;$AN115)),"ACIMA REF.",
IF(AND($C115="S",$P115&lt;&gt;"",$Q115&lt;&gt;"",$T115=0,$U115&gt;0),"QUANT.",
IF(AND(Import.TipoArredondamento="TransfereGOV",$L115="F",$C115="S",LEN($Q115)&gt;13),"Código &gt;13",
IF(AND(Import.TipoArredondamento="TransfereGOV",$L115="F",$C115&lt;&gt;"S",LEN($R115)&gt;100),"Descrição &gt;100",
IF(AND(Import.TipoArredondamento="TransfereGOV",$L115="F",$C115="S",LEN($R115)&gt;500),"Descrição &gt;500",
IF(AND(Import.TipoArredondamento="TransfereGOV",$L115="F",$C115="S",LEFT(TRIM(UPPER($P115)),6)&lt;&gt;"SINAPI",ISNA(VLOOKUP(TRIM(UPPER($S115)),ListaTgov.Unidades,1,FALSE))),"Unid. Não Disp",
" "))))))))))))))))</f>
        <v xml:space="preserve"> </v>
      </c>
      <c r="AD115" s="696" t="str">
        <f ca="1">IF(C115&lt;=CRONO.NivelExibicao,MAX($AD$15:OFFSET(AD115,-1,0))+IF($C115&lt;&gt;1,1,MAX(1,COUNTIF(QCI!$A$13:$A$24,OFFSET($E115,-1,0)))),"")</f>
        <v/>
      </c>
      <c r="AE115" s="694" t="str">
        <f t="array" aca="1" ref="AE115" ca="1">IF(AND($C115="S",ORÇAMENTO.CodBarra&lt;&gt;""),IF(ORÇAMENTO.Fonte="",ORÇAMENTO.CodBarra,CONCATENATE(ORÇAMENTO.Fonte," ",ORÇAMENTO.CodBarra)))</f>
        <v>SINAPI 97087</v>
      </c>
      <c r="AF115" s="695">
        <f t="array" aca="1" ref="AF115" ca="1">IF(ISERROR(ORÇAMENTO.BancoRef),"(abra o arquivo 'Referência "&amp;Excel_BuiltIn_Database&amp;".xlsm)",IF(OR($C115&lt;&gt;"S",ORÇAMENTO.CodBarra=""),"(Sem Código)",IF(ISERROR(MATCH($AE115,INDIRECT(ORÇAMENTO.BancoRef),0)),"(Código não identificado nas referências)",MATCH($AE115,INDIRECT(ORÇAMENTO.BancoRef),0))))</f>
        <v>14382</v>
      </c>
      <c r="AG115" s="428">
        <f t="array" aca="1" ref="AG115" ca="1">ROUND(IF(DESONERACAO="sim",REFERENCIA.Desonerado,REFERENCIA.NaoDesonerado),2)</f>
        <v>3.07</v>
      </c>
      <c r="AH115" s="429">
        <f t="shared" ca="1" si="27"/>
        <v>0.2034</v>
      </c>
      <c r="AJ115" s="431"/>
      <c r="AL115" s="439"/>
      <c r="AM115" s="336">
        <f t="shared" ca="1" si="0"/>
        <v>3749.36</v>
      </c>
      <c r="AN115" s="469">
        <f t="array" aca="1" ref="AN115" ca="1">ROUND(ORÇAMENTO.CustoUnitario*(1+$AH115),2)</f>
        <v>3.48</v>
      </c>
    </row>
    <row r="116" spans="1:40" s="696" customFormat="1" ht="25.5" x14ac:dyDescent="0.2">
      <c r="A116" s="696" t="str">
        <f t="shared" si="15"/>
        <v>S</v>
      </c>
      <c r="B116" s="696">
        <f t="shared" ca="1" si="16"/>
        <v>2</v>
      </c>
      <c r="C116" s="696" t="str">
        <f t="shared" ca="1" si="17"/>
        <v>S</v>
      </c>
      <c r="D116" s="696">
        <f t="shared" ca="1" si="18"/>
        <v>0</v>
      </c>
      <c r="E116" s="696">
        <f ca="1">IF($C116=1,OFFSET(E116,-1,0)+MAX(1,COUNTIF(QCI!$A$13:$A$24,OFFSET(ORÇAMENTO!E116,-1,0))),OFFSET(E116,-1,0))</f>
        <v>1</v>
      </c>
      <c r="F116" s="696">
        <f t="shared" ca="1" si="19"/>
        <v>20</v>
      </c>
      <c r="G116" s="696">
        <f t="shared" ca="1" si="20"/>
        <v>0</v>
      </c>
      <c r="H116" s="696">
        <f t="shared" ca="1" si="21"/>
        <v>0</v>
      </c>
      <c r="I116" s="696">
        <f t="shared" ca="1" si="22"/>
        <v>4</v>
      </c>
      <c r="J116" s="696">
        <f t="shared" ca="1" si="28"/>
        <v>0</v>
      </c>
      <c r="K116" s="696">
        <f ca="1">IF(OR($C116="S",$C116=0),0,MATCH(OFFSET($D116,0,$C116)+IF($C116&lt;&gt;1,1,COUNTIF(QCI!$A$13:$A$24,ORÇAMENTO!E116)),OFFSET($D116,1,$C116,ROW($C$235)-ROW($C116)),0))</f>
        <v>0</v>
      </c>
      <c r="L116" s="114" t="str">
        <f t="shared" ca="1" si="23"/>
        <v>F</v>
      </c>
      <c r="M116" s="115" t="s">
        <v>705</v>
      </c>
      <c r="N116" s="116" t="str">
        <f t="shared" ca="1" si="24"/>
        <v>Serviço</v>
      </c>
      <c r="O116" s="117" t="str">
        <f t="shared" ca="1" si="25"/>
        <v>1.20.4.</v>
      </c>
      <c r="P116" s="118" t="s">
        <v>750</v>
      </c>
      <c r="Q116" s="119" t="s">
        <v>1100</v>
      </c>
      <c r="R116" s="120" t="str">
        <f t="array" aca="1" ref="R116" ca="1">IF($C116="S",REFERENCIA.Descricao,"(digite a descrição aqui)")</f>
        <v>LASTRO DE CONCRETO MAGRO, APLICADO EM PISOS, LAJES SOBRE SOLO OU RADIERS, ESPESSURA DE 5 CM. AF_01/2024</v>
      </c>
      <c r="S116" s="121" t="str">
        <f t="array" aca="1" ref="S116" ca="1">REFERENCIA.Unidade</f>
        <v>M2</v>
      </c>
      <c r="T116" s="122">
        <f ca="1">OFFSET(CÁLCULO!H$15,ROW($T116)-ROW(T$15),0)</f>
        <v>1077.4000000000001</v>
      </c>
      <c r="U116" s="123">
        <f>42.03*0.94</f>
        <v>39.508200000000002</v>
      </c>
      <c r="V116" s="124" t="s">
        <v>697</v>
      </c>
      <c r="W116" s="122">
        <f t="array" aca="1" ref="W116" ca="1">IF($C116="S",ROUND(IF(TIPOORCAMENTO="Proposto",ORÇAMENTO.CustoUnitario*(1+$AH116),ORÇAMENTO.PrecoUnitarioLicitado),15-13*$AF$10),0)</f>
        <v>47.55</v>
      </c>
      <c r="X116" s="125">
        <f t="array" aca="1" ref="X116" ca="1">IF($C116="S",IF(OR(Import.TipoArredondamento&lt;&gt;"TransfereGOV",ACOMPANHAMENTO="BM"),VTOTAL1,SUM(OFFSET(CÁLCULO!$AI$15,ROW($X116)-ROW($X$15),1):OFFSET(CÁLCULO!$BB$15,ROW($X116)-ROW($X$15),-1))),IF($C116=0,0,ROUND(SomaAgrup,15-13*$AF$11)))</f>
        <v>51230.36</v>
      </c>
      <c r="Y116" s="126" t="s">
        <v>751</v>
      </c>
      <c r="Z116" s="696" t="str">
        <f t="shared" ca="1" si="26"/>
        <v>RA</v>
      </c>
      <c r="AA116" s="127">
        <f t="array" aca="1" ref="AA116" ca="1">IF($C116="S",IF($Z116="CP",$X116,IF($Z116="RA",(($X116)*QCI!$AA$3),0)),SomaAgrup)</f>
        <v>0</v>
      </c>
      <c r="AB116" s="128">
        <f t="array" aca="1" ref="AB116" ca="1">IF($C116="S",IF($Z116="OU",ROUND($X116,2),0),SomaAgrup)</f>
        <v>0</v>
      </c>
      <c r="AC116" s="563" t="str">
        <f t="array" aca="1" ref="AC116" ca="1">IF($N116=""," ",
IF(AND($C116&lt;&gt;"S",OR($R116="",$R116="(digite a descrição aqui)")),"DESCRIÇÃO",
IF(AND($C116="S",OR($Q116&lt;&gt;"",$T116&gt;0,$U116&gt;0),$P116=""),"FONTE",
IF(AND($C116="S",$P116&lt;&gt;"",OR($T116&gt;0,$U116&gt;0),$Q116=""),"CÓDIGO",
IF(AND($C116="S",$P116&lt;&gt;"",$Q116&lt;&gt;"",$R116="(Código não identificado nas referências)"),"CÓDIGO N/ID",
IF(AND($C116="S",OR($R116="",$R116="(digite a descrição aqui)"),OR($Q116&lt;&gt;"",$T116&gt;0,$U116&gt;0)),"DESCRIÇÃO",
IF(AND($C116="S",$P116&lt;&gt;"",$Q116&lt;&gt;"",$S116=""),"UNIDADE",
IF(AND($C116="S",$P116&lt;&gt;"",$Q116&lt;&gt;"",$U116=0),"SEM CUSTO",
IF(AND(TIPOORCAMENTO="Licitado",$AL116=0,$AN116&gt;0),"SEM PREÇO",
IF(AND($C116="S",$P116&lt;&gt;"",$Q116&lt;&gt;"",$U116&gt;0,AND($V116&lt;&gt;"BDI 1",$V116&lt;&gt;"BDI 2",$V116&lt;&gt;"BDI 3")),IF(ISNUMBER($V116),"JUSTIFICAR BDI","BDI"),
IF(OR(AND(import.recurso="OGU",TIPOORCAMENTO="Proposto",LEFT($O$8,5)&lt;&gt;"(N/D:",$AG116&lt;&gt;"",ORÇAMENTO.CustoUnitario&gt;$AG116),AND(TIPOORCAMENTO="LICITADO",ORÇAMENTO.PrecoUnitarioLicitado&gt;$AN116)),"ACIMA REF.",
IF(AND($C116="S",$P116&lt;&gt;"",$Q116&lt;&gt;"",$T116=0,$U116&gt;0),"QUANT.",
IF(AND(Import.TipoArredondamento="TransfereGOV",$L116="F",$C116="S",LEN($Q116)&gt;13),"Código &gt;13",
IF(AND(Import.TipoArredondamento="TransfereGOV",$L116="F",$C116&lt;&gt;"S",LEN($R116)&gt;100),"Descrição &gt;100",
IF(AND(Import.TipoArredondamento="TransfereGOV",$L116="F",$C116="S",LEN($R116)&gt;500),"Descrição &gt;500",
IF(AND(Import.TipoArredondamento="TransfereGOV",$L116="F",$C116="S",LEFT(TRIM(UPPER($P116)),6)&lt;&gt;"SINAPI",ISNA(VLOOKUP(TRIM(UPPER($S116)),ListaTgov.Unidades,1,FALSE))),"Unid. Não Disp",
" "))))))))))))))))</f>
        <v xml:space="preserve"> </v>
      </c>
      <c r="AD116" s="696" t="str">
        <f ca="1">IF(C116&lt;=CRONO.NivelExibicao,MAX($AD$15:OFFSET(AD116,-1,0))+IF($C116&lt;&gt;1,1,MAX(1,COUNTIF(QCI!$A$13:$A$24,OFFSET($E116,-1,0)))),"")</f>
        <v/>
      </c>
      <c r="AE116" s="694" t="str">
        <f t="array" aca="1" ref="AE116" ca="1">IF(AND($C116="S",ORÇAMENTO.CodBarra&lt;&gt;""),IF(ORÇAMENTO.Fonte="",ORÇAMENTO.CodBarra,CONCATENATE(ORÇAMENTO.Fonte," ",ORÇAMENTO.CodBarra)))</f>
        <v>SINAPI 95241</v>
      </c>
      <c r="AF116" s="695">
        <f t="array" aca="1" ref="AF116" ca="1">IF(ISERROR(ORÇAMENTO.BancoRef),"(abra o arquivo 'Referência "&amp;Excel_BuiltIn_Database&amp;".xlsm)",IF(OR($C116&lt;&gt;"S",ORÇAMENTO.CodBarra=""),"(Sem Código)",IF(ISERROR(MATCH($AE116,INDIRECT(ORÇAMENTO.BancoRef),0)),"(Código não identificado nas referências)",MATCH($AE116,INDIRECT(ORÇAMENTO.BancoRef),0))))</f>
        <v>12716</v>
      </c>
      <c r="AG116" s="428">
        <f t="array" aca="1" ref="AG116" ca="1">ROUND(IF(DESONERACAO="sim",REFERENCIA.Desonerado,REFERENCIA.NaoDesonerado),2)</f>
        <v>42.03</v>
      </c>
      <c r="AH116" s="429">
        <f t="shared" ca="1" si="27"/>
        <v>0.2034</v>
      </c>
      <c r="AJ116" s="431"/>
      <c r="AL116" s="439"/>
      <c r="AM116" s="336">
        <f t="shared" ca="1" si="0"/>
        <v>51230.36</v>
      </c>
      <c r="AN116" s="469">
        <f t="array" aca="1" ref="AN116" ca="1">ROUND(ORÇAMENTO.CustoUnitario*(1+$AH116),2)</f>
        <v>47.55</v>
      </c>
    </row>
    <row r="117" spans="1:40" s="696" customFormat="1" ht="51" x14ac:dyDescent="0.2">
      <c r="A117" s="696" t="str">
        <f t="shared" si="15"/>
        <v>S</v>
      </c>
      <c r="B117" s="696">
        <f t="shared" ca="1" si="16"/>
        <v>2</v>
      </c>
      <c r="C117" s="696" t="str">
        <f t="shared" ca="1" si="17"/>
        <v>S</v>
      </c>
      <c r="D117" s="696">
        <f t="shared" ca="1" si="18"/>
        <v>0</v>
      </c>
      <c r="E117" s="696">
        <f ca="1">IF($C117=1,OFFSET(E117,-1,0)+MAX(1,COUNTIF(QCI!$A$13:$A$24,OFFSET(ORÇAMENTO!E117,-1,0))),OFFSET(E117,-1,0))</f>
        <v>1</v>
      </c>
      <c r="F117" s="696">
        <f t="shared" ca="1" si="19"/>
        <v>20</v>
      </c>
      <c r="G117" s="696">
        <f t="shared" ca="1" si="20"/>
        <v>0</v>
      </c>
      <c r="H117" s="696">
        <f t="shared" ca="1" si="21"/>
        <v>0</v>
      </c>
      <c r="I117" s="696">
        <f t="shared" ca="1" si="22"/>
        <v>5</v>
      </c>
      <c r="J117" s="696">
        <f t="shared" ca="1" si="28"/>
        <v>0</v>
      </c>
      <c r="K117" s="696">
        <f ca="1">IF(OR($C117="S",$C117=0),0,MATCH(OFFSET($D117,0,$C117)+IF($C117&lt;&gt;1,1,COUNTIF(QCI!$A$13:$A$24,ORÇAMENTO!E117)),OFFSET($D117,1,$C117,ROW($C$235)-ROW($C117)),0))</f>
        <v>0</v>
      </c>
      <c r="L117" s="114" t="str">
        <f t="shared" ca="1" si="23"/>
        <v>F</v>
      </c>
      <c r="M117" s="115" t="s">
        <v>705</v>
      </c>
      <c r="N117" s="116" t="str">
        <f t="shared" ca="1" si="24"/>
        <v>Serviço</v>
      </c>
      <c r="O117" s="117" t="str">
        <f t="shared" ca="1" si="25"/>
        <v>1.20.5.</v>
      </c>
      <c r="P117" s="118" t="s">
        <v>750</v>
      </c>
      <c r="Q117" s="119" t="s">
        <v>1101</v>
      </c>
      <c r="R117" s="120" t="str">
        <f t="array" aca="1" ref="R117" ca="1">IF($C117="S",REFERENCIA.Descricao,"(digite a descrição aqui)")</f>
        <v>CONTRAPISO EM ARGAMASSA TRAÇO 1:4 (CIMENTO E AREIA), PREPARO MECÂNICO COM BETONEIRA 400 L, APLICADO EM ÁREAS MOLHADAS SOBRE LAJE, ADERIDO, ACABAMENTO NÃO REFORÇADO, ESPESSURA 3CM. AF_07/2021</v>
      </c>
      <c r="S117" s="121" t="str">
        <f t="array" aca="1" ref="S117" ca="1">REFERENCIA.Unidade</f>
        <v>M2</v>
      </c>
      <c r="T117" s="122">
        <f ca="1">OFFSET(CÁLCULO!H$15,ROW($T117)-ROW(T$15),0)</f>
        <v>302.60000000000002</v>
      </c>
      <c r="U117" s="123">
        <f>57.8*0.94</f>
        <v>54.331999999999994</v>
      </c>
      <c r="V117" s="124" t="s">
        <v>697</v>
      </c>
      <c r="W117" s="122">
        <f t="array" aca="1" ref="W117" ca="1">IF($C117="S",ROUND(IF(TIPOORCAMENTO="Proposto",ORÇAMENTO.CustoUnitario*(1+$AH117),ORÇAMENTO.PrecoUnitarioLicitado),15-13*$AF$10),0)</f>
        <v>65.38</v>
      </c>
      <c r="X117" s="125">
        <f t="array" aca="1" ref="X117" ca="1">IF($C117="S",IF(OR(Import.TipoArredondamento&lt;&gt;"TransfereGOV",ACOMPANHAMENTO="BM"),VTOTAL1,SUM(OFFSET(CÁLCULO!$AI$15,ROW($X117)-ROW($X$15),1):OFFSET(CÁLCULO!$BB$15,ROW($X117)-ROW($X$15),-1))),IF($C117=0,0,ROUND(SomaAgrup,15-13*$AF$11)))</f>
        <v>19784</v>
      </c>
      <c r="Y117" s="126" t="s">
        <v>751</v>
      </c>
      <c r="Z117" s="696" t="str">
        <f t="shared" ca="1" si="26"/>
        <v>RA</v>
      </c>
      <c r="AA117" s="127">
        <f t="array" aca="1" ref="AA117" ca="1">IF($C117="S",IF($Z117="CP",$X117,IF($Z117="RA",(($X117)*QCI!$AA$3),0)),SomaAgrup)</f>
        <v>0</v>
      </c>
      <c r="AB117" s="128">
        <f t="array" aca="1" ref="AB117" ca="1">IF($C117="S",IF($Z117="OU",ROUND($X117,2),0),SomaAgrup)</f>
        <v>0</v>
      </c>
      <c r="AC117" s="563" t="str">
        <f t="array" aca="1" ref="AC117" ca="1">IF($N117=""," ",
IF(AND($C117&lt;&gt;"S",OR($R117="",$R117="(digite a descrição aqui)")),"DESCRIÇÃO",
IF(AND($C117="S",OR($Q117&lt;&gt;"",$T117&gt;0,$U117&gt;0),$P117=""),"FONTE",
IF(AND($C117="S",$P117&lt;&gt;"",OR($T117&gt;0,$U117&gt;0),$Q117=""),"CÓDIGO",
IF(AND($C117="S",$P117&lt;&gt;"",$Q117&lt;&gt;"",$R117="(Código não identificado nas referências)"),"CÓDIGO N/ID",
IF(AND($C117="S",OR($R117="",$R117="(digite a descrição aqui)"),OR($Q117&lt;&gt;"",$T117&gt;0,$U117&gt;0)),"DESCRIÇÃO",
IF(AND($C117="S",$P117&lt;&gt;"",$Q117&lt;&gt;"",$S117=""),"UNIDADE",
IF(AND($C117="S",$P117&lt;&gt;"",$Q117&lt;&gt;"",$U117=0),"SEM CUSTO",
IF(AND(TIPOORCAMENTO="Licitado",$AL117=0,$AN117&gt;0),"SEM PREÇO",
IF(AND($C117="S",$P117&lt;&gt;"",$Q117&lt;&gt;"",$U117&gt;0,AND($V117&lt;&gt;"BDI 1",$V117&lt;&gt;"BDI 2",$V117&lt;&gt;"BDI 3")),IF(ISNUMBER($V117),"JUSTIFICAR BDI","BDI"),
IF(OR(AND(import.recurso="OGU",TIPOORCAMENTO="Proposto",LEFT($O$8,5)&lt;&gt;"(N/D:",$AG117&lt;&gt;"",ORÇAMENTO.CustoUnitario&gt;$AG117),AND(TIPOORCAMENTO="LICITADO",ORÇAMENTO.PrecoUnitarioLicitado&gt;$AN117)),"ACIMA REF.",
IF(AND($C117="S",$P117&lt;&gt;"",$Q117&lt;&gt;"",$T117=0,$U117&gt;0),"QUANT.",
IF(AND(Import.TipoArredondamento="TransfereGOV",$L117="F",$C117="S",LEN($Q117)&gt;13),"Código &gt;13",
IF(AND(Import.TipoArredondamento="TransfereGOV",$L117="F",$C117&lt;&gt;"S",LEN($R117)&gt;100),"Descrição &gt;100",
IF(AND(Import.TipoArredondamento="TransfereGOV",$L117="F",$C117="S",LEN($R117)&gt;500),"Descrição &gt;500",
IF(AND(Import.TipoArredondamento="TransfereGOV",$L117="F",$C117="S",LEFT(TRIM(UPPER($P117)),6)&lt;&gt;"SINAPI",ISNA(VLOOKUP(TRIM(UPPER($S117)),ListaTgov.Unidades,1,FALSE))),"Unid. Não Disp",
" "))))))))))))))))</f>
        <v xml:space="preserve"> </v>
      </c>
      <c r="AD117" s="696" t="str">
        <f ca="1">IF(C117&lt;=CRONO.NivelExibicao,MAX($AD$15:OFFSET(AD117,-1,0))+IF($C117&lt;&gt;1,1,MAX(1,COUNTIF(QCI!$A$13:$A$24,OFFSET($E117,-1,0)))),"")</f>
        <v/>
      </c>
      <c r="AE117" s="694" t="str">
        <f t="array" aca="1" ref="AE117" ca="1">IF(AND($C117="S",ORÇAMENTO.CodBarra&lt;&gt;""),IF(ORÇAMENTO.Fonte="",ORÇAMENTO.CodBarra,CONCATENATE(ORÇAMENTO.Fonte," ",ORÇAMENTO.CodBarra)))</f>
        <v>SINAPI 87745</v>
      </c>
      <c r="AF117" s="695">
        <f t="array" aca="1" ref="AF117" ca="1">IF(ISERROR(ORÇAMENTO.BancoRef),"(abra o arquivo 'Referência "&amp;Excel_BuiltIn_Database&amp;".xlsm)",IF(OR($C117&lt;&gt;"S",ORÇAMENTO.CodBarra=""),"(Sem Código)",IF(ISERROR(MATCH($AE117,INDIRECT(ORÇAMENTO.BancoRef),0)),"(Código não identificado nas referências)",MATCH($AE117,INDIRECT(ORÇAMENTO.BancoRef),0))))</f>
        <v>7446</v>
      </c>
      <c r="AG117" s="428">
        <f t="array" aca="1" ref="AG117" ca="1">ROUND(IF(DESONERACAO="sim",REFERENCIA.Desonerado,REFERENCIA.NaoDesonerado),2)</f>
        <v>57.8</v>
      </c>
      <c r="AH117" s="429">
        <f t="shared" ca="1" si="27"/>
        <v>0.2034</v>
      </c>
      <c r="AJ117" s="431"/>
      <c r="AL117" s="439"/>
      <c r="AM117" s="336">
        <f t="shared" ca="1" si="0"/>
        <v>19784</v>
      </c>
      <c r="AN117" s="469">
        <f t="array" aca="1" ref="AN117" ca="1">ROUND(ORÇAMENTO.CustoUnitario*(1+$AH117),2)</f>
        <v>65.38</v>
      </c>
    </row>
    <row r="118" spans="1:40" s="696" customFormat="1" ht="51" x14ac:dyDescent="0.2">
      <c r="A118" s="696" t="str">
        <f t="shared" si="15"/>
        <v>S</v>
      </c>
      <c r="B118" s="696">
        <f t="shared" ca="1" si="16"/>
        <v>2</v>
      </c>
      <c r="C118" s="696" t="str">
        <f t="shared" ca="1" si="17"/>
        <v>S</v>
      </c>
      <c r="D118" s="696">
        <f t="shared" ca="1" si="18"/>
        <v>0</v>
      </c>
      <c r="E118" s="696">
        <f ca="1">IF($C118=1,OFFSET(E118,-1,0)+MAX(1,COUNTIF(QCI!$A$13:$A$24,OFFSET(ORÇAMENTO!E118,-1,0))),OFFSET(E118,-1,0))</f>
        <v>1</v>
      </c>
      <c r="F118" s="696">
        <f t="shared" ca="1" si="19"/>
        <v>20</v>
      </c>
      <c r="G118" s="696">
        <f t="shared" ca="1" si="20"/>
        <v>0</v>
      </c>
      <c r="H118" s="696">
        <f t="shared" ca="1" si="21"/>
        <v>0</v>
      </c>
      <c r="I118" s="696">
        <f t="shared" ca="1" si="22"/>
        <v>6</v>
      </c>
      <c r="J118" s="696">
        <f t="shared" ca="1" si="28"/>
        <v>0</v>
      </c>
      <c r="K118" s="696">
        <f ca="1">IF(OR($C118="S",$C118=0),0,MATCH(OFFSET($D118,0,$C118)+IF($C118&lt;&gt;1,1,COUNTIF(QCI!$A$13:$A$24,ORÇAMENTO!E118)),OFFSET($D118,1,$C118,ROW($C$235)-ROW($C118)),0))</f>
        <v>0</v>
      </c>
      <c r="L118" s="114" t="str">
        <f t="shared" ca="1" si="23"/>
        <v>F</v>
      </c>
      <c r="M118" s="115" t="s">
        <v>705</v>
      </c>
      <c r="N118" s="116" t="str">
        <f t="shared" ca="1" si="24"/>
        <v>Serviço</v>
      </c>
      <c r="O118" s="117" t="str">
        <f t="shared" ca="1" si="25"/>
        <v>1.20.6.</v>
      </c>
      <c r="P118" s="118" t="s">
        <v>750</v>
      </c>
      <c r="Q118" s="119" t="s">
        <v>1102</v>
      </c>
      <c r="R118" s="120" t="str">
        <f t="array" aca="1" ref="R118" ca="1">IF($C118="S",REFERENCIA.Descricao,"(digite a descrição aqui)")</f>
        <v>CONTRAPISO EM ARGAMASSA TRAÇO 1:4 (CIMENTO E AREIA), PREPARO MECÂNICO COM BETONEIRA 400 L, APLICADO EM ÁREAS SECAS SOBRE LAJE, ADERIDO, ACABAMENTO NÃO REFORÇADO, ESPESSURA 3CM. AF_07/2021</v>
      </c>
      <c r="S118" s="121" t="str">
        <f t="array" aca="1" ref="S118" ca="1">REFERENCIA.Unidade</f>
        <v>M2</v>
      </c>
      <c r="T118" s="122">
        <f ca="1">OFFSET(CÁLCULO!H$15,ROW($T118)-ROW(T$15),0)</f>
        <v>643.79999999999995</v>
      </c>
      <c r="U118" s="123">
        <f>44.39*0.94</f>
        <v>41.726599999999998</v>
      </c>
      <c r="V118" s="124" t="s">
        <v>697</v>
      </c>
      <c r="W118" s="122">
        <f t="array" aca="1" ref="W118" ca="1">IF($C118="S",ROUND(IF(TIPOORCAMENTO="Proposto",ORÇAMENTO.CustoUnitario*(1+$AH118),ORÇAMENTO.PrecoUnitarioLicitado),15-13*$AF$10),0)</f>
        <v>50.22</v>
      </c>
      <c r="X118" s="125">
        <f t="array" aca="1" ref="X118" ca="1">IF($C118="S",IF(OR(Import.TipoArredondamento&lt;&gt;"TransfereGOV",ACOMPANHAMENTO="BM"),VTOTAL1,SUM(OFFSET(CÁLCULO!$AI$15,ROW($X118)-ROW($X$15),1):OFFSET(CÁLCULO!$BB$15,ROW($X118)-ROW($X$15),-1))),IF($C118=0,0,ROUND(SomaAgrup,15-13*$AF$11)))</f>
        <v>32331.64</v>
      </c>
      <c r="Y118" s="126" t="s">
        <v>751</v>
      </c>
      <c r="Z118" s="696" t="str">
        <f t="shared" ca="1" si="26"/>
        <v>RA</v>
      </c>
      <c r="AA118" s="127">
        <f t="array" aca="1" ref="AA118" ca="1">IF($C118="S",IF($Z118="CP",$X118,IF($Z118="RA",(($X118)*QCI!$AA$3),0)),SomaAgrup)</f>
        <v>0</v>
      </c>
      <c r="AB118" s="128">
        <f t="array" aca="1" ref="AB118" ca="1">IF($C118="S",IF($Z118="OU",ROUND($X118,2),0),SomaAgrup)</f>
        <v>0</v>
      </c>
      <c r="AC118" s="563" t="str">
        <f t="array" aca="1" ref="AC118" ca="1">IF($N118=""," ",
IF(AND($C118&lt;&gt;"S",OR($R118="",$R118="(digite a descrição aqui)")),"DESCRIÇÃO",
IF(AND($C118="S",OR($Q118&lt;&gt;"",$T118&gt;0,$U118&gt;0),$P118=""),"FONTE",
IF(AND($C118="S",$P118&lt;&gt;"",OR($T118&gt;0,$U118&gt;0),$Q118=""),"CÓDIGO",
IF(AND($C118="S",$P118&lt;&gt;"",$Q118&lt;&gt;"",$R118="(Código não identificado nas referências)"),"CÓDIGO N/ID",
IF(AND($C118="S",OR($R118="",$R118="(digite a descrição aqui)"),OR($Q118&lt;&gt;"",$T118&gt;0,$U118&gt;0)),"DESCRIÇÃO",
IF(AND($C118="S",$P118&lt;&gt;"",$Q118&lt;&gt;"",$S118=""),"UNIDADE",
IF(AND($C118="S",$P118&lt;&gt;"",$Q118&lt;&gt;"",$U118=0),"SEM CUSTO",
IF(AND(TIPOORCAMENTO="Licitado",$AL118=0,$AN118&gt;0),"SEM PREÇO",
IF(AND($C118="S",$P118&lt;&gt;"",$Q118&lt;&gt;"",$U118&gt;0,AND($V118&lt;&gt;"BDI 1",$V118&lt;&gt;"BDI 2",$V118&lt;&gt;"BDI 3")),IF(ISNUMBER($V118),"JUSTIFICAR BDI","BDI"),
IF(OR(AND(import.recurso="OGU",TIPOORCAMENTO="Proposto",LEFT($O$8,5)&lt;&gt;"(N/D:",$AG118&lt;&gt;"",ORÇAMENTO.CustoUnitario&gt;$AG118),AND(TIPOORCAMENTO="LICITADO",ORÇAMENTO.PrecoUnitarioLicitado&gt;$AN118)),"ACIMA REF.",
IF(AND($C118="S",$P118&lt;&gt;"",$Q118&lt;&gt;"",$T118=0,$U118&gt;0),"QUANT.",
IF(AND(Import.TipoArredondamento="TransfereGOV",$L118="F",$C118="S",LEN($Q118)&gt;13),"Código &gt;13",
IF(AND(Import.TipoArredondamento="TransfereGOV",$L118="F",$C118&lt;&gt;"S",LEN($R118)&gt;100),"Descrição &gt;100",
IF(AND(Import.TipoArredondamento="TransfereGOV",$L118="F",$C118="S",LEN($R118)&gt;500),"Descrição &gt;500",
IF(AND(Import.TipoArredondamento="TransfereGOV",$L118="F",$C118="S",LEFT(TRIM(UPPER($P118)),6)&lt;&gt;"SINAPI",ISNA(VLOOKUP(TRIM(UPPER($S118)),ListaTgov.Unidades,1,FALSE))),"Unid. Não Disp",
" "))))))))))))))))</f>
        <v xml:space="preserve"> </v>
      </c>
      <c r="AD118" s="696" t="str">
        <f ca="1">IF(C118&lt;=CRONO.NivelExibicao,MAX($AD$15:OFFSET(AD118,-1,0))+IF($C118&lt;&gt;1,1,MAX(1,COUNTIF(QCI!$A$13:$A$24,OFFSET($E118,-1,0)))),"")</f>
        <v/>
      </c>
      <c r="AE118" s="694" t="str">
        <f t="array" aca="1" ref="AE118" ca="1">IF(AND($C118="S",ORÇAMENTO.CodBarra&lt;&gt;""),IF(ORÇAMENTO.Fonte="",ORÇAMENTO.CodBarra,CONCATENATE(ORÇAMENTO.Fonte," ",ORÇAMENTO.CodBarra)))</f>
        <v>SINAPI 87630</v>
      </c>
      <c r="AF118" s="695">
        <f t="array" aca="1" ref="AF118" ca="1">IF(ISERROR(ORÇAMENTO.BancoRef),"(abra o arquivo 'Referência "&amp;Excel_BuiltIn_Database&amp;".xlsm)",IF(OR($C118&lt;&gt;"S",ORÇAMENTO.CodBarra=""),"(Sem Código)",IF(ISERROR(MATCH($AE118,INDIRECT(ORÇAMENTO.BancoRef),0)),"(Código não identificado nas referências)",MATCH($AE118,INDIRECT(ORÇAMENTO.BancoRef),0))))</f>
        <v>7448</v>
      </c>
      <c r="AG118" s="428">
        <f t="array" aca="1" ref="AG118" ca="1">ROUND(IF(DESONERACAO="sim",REFERENCIA.Desonerado,REFERENCIA.NaoDesonerado),2)</f>
        <v>44.39</v>
      </c>
      <c r="AH118" s="429">
        <f t="shared" ca="1" si="27"/>
        <v>0.2034</v>
      </c>
      <c r="AJ118" s="431"/>
      <c r="AL118" s="439"/>
      <c r="AM118" s="336">
        <f t="shared" ca="1" si="0"/>
        <v>32331.64</v>
      </c>
      <c r="AN118" s="469">
        <f t="array" aca="1" ref="AN118" ca="1">ROUND(ORÇAMENTO.CustoUnitario*(1+$AH118),2)</f>
        <v>50.22</v>
      </c>
    </row>
    <row r="119" spans="1:40" s="696" customFormat="1" ht="38.25" x14ac:dyDescent="0.2">
      <c r="A119" s="696" t="str">
        <f t="shared" si="15"/>
        <v>S</v>
      </c>
      <c r="B119" s="696">
        <f t="shared" ca="1" si="16"/>
        <v>2</v>
      </c>
      <c r="C119" s="696" t="str">
        <f t="shared" ca="1" si="17"/>
        <v>S</v>
      </c>
      <c r="D119" s="696">
        <f t="shared" ca="1" si="18"/>
        <v>0</v>
      </c>
      <c r="E119" s="696">
        <f ca="1">IF($C119=1,OFFSET(E119,-1,0)+MAX(1,COUNTIF(QCI!$A$13:$A$24,OFFSET(ORÇAMENTO!E119,-1,0))),OFFSET(E119,-1,0))</f>
        <v>1</v>
      </c>
      <c r="F119" s="696">
        <f t="shared" ca="1" si="19"/>
        <v>20</v>
      </c>
      <c r="G119" s="696">
        <f t="shared" ca="1" si="20"/>
        <v>0</v>
      </c>
      <c r="H119" s="696">
        <f t="shared" ca="1" si="21"/>
        <v>0</v>
      </c>
      <c r="I119" s="696">
        <f t="shared" ca="1" si="22"/>
        <v>7</v>
      </c>
      <c r="J119" s="696">
        <f t="shared" ca="1" si="28"/>
        <v>0</v>
      </c>
      <c r="K119" s="696">
        <f ca="1">IF(OR($C119="S",$C119=0),0,MATCH(OFFSET($D119,0,$C119)+IF($C119&lt;&gt;1,1,COUNTIF(QCI!$A$13:$A$24,ORÇAMENTO!E119)),OFFSET($D119,1,$C119,ROW($C$235)-ROW($C119)),0))</f>
        <v>0</v>
      </c>
      <c r="L119" s="114" t="str">
        <f t="shared" ca="1" si="23"/>
        <v>F</v>
      </c>
      <c r="M119" s="115" t="s">
        <v>705</v>
      </c>
      <c r="N119" s="116" t="str">
        <f t="shared" ca="1" si="24"/>
        <v>Serviço</v>
      </c>
      <c r="O119" s="117" t="str">
        <f t="shared" ca="1" si="25"/>
        <v>1.20.7.</v>
      </c>
      <c r="P119" s="118" t="s">
        <v>750</v>
      </c>
      <c r="Q119" s="119" t="s">
        <v>1103</v>
      </c>
      <c r="R119" s="120" t="str">
        <f t="array" aca="1" ref="R119" ca="1">IF($C119="S",REFERENCIA.Descricao,"(digite a descrição aqui)")</f>
        <v>REVESTIMENTO CERÂMICO PARA PISO COM PLACAS TIPO ESMALTADA DE DIMENSÕES 35X35 CM APLICADA EM AMBIENTES DE ÁREA ENTRE 5 M2 E 10 M2. AF_02/2023_PE</v>
      </c>
      <c r="S119" s="121" t="str">
        <f t="array" aca="1" ref="S119" ca="1">REFERENCIA.Unidade</f>
        <v>M2</v>
      </c>
      <c r="T119" s="122">
        <f ca="1">OFFSET(CÁLCULO!H$15,ROW($T119)-ROW(T$15),0)</f>
        <v>336</v>
      </c>
      <c r="U119" s="123">
        <f>62.18*0.94</f>
        <v>58.449199999999998</v>
      </c>
      <c r="V119" s="124" t="s">
        <v>697</v>
      </c>
      <c r="W119" s="122">
        <f t="array" aca="1" ref="W119" ca="1">IF($C119="S",ROUND(IF(TIPOORCAMENTO="Proposto",ORÇAMENTO.CustoUnitario*(1+$AH119),ORÇAMENTO.PrecoUnitarioLicitado),15-13*$AF$10),0)</f>
        <v>70.34</v>
      </c>
      <c r="X119" s="125">
        <f t="array" aca="1" ref="X119" ca="1">IF($C119="S",IF(OR(Import.TipoArredondamento&lt;&gt;"TransfereGOV",ACOMPANHAMENTO="BM"),VTOTAL1,SUM(OFFSET(CÁLCULO!$AI$15,ROW($X119)-ROW($X$15),1):OFFSET(CÁLCULO!$BB$15,ROW($X119)-ROW($X$15),-1))),IF($C119=0,0,ROUND(SomaAgrup,15-13*$AF$11)))</f>
        <v>23634.240000000002</v>
      </c>
      <c r="Y119" s="126" t="s">
        <v>751</v>
      </c>
      <c r="Z119" s="696" t="str">
        <f t="shared" ca="1" si="26"/>
        <v>RA</v>
      </c>
      <c r="AA119" s="127">
        <f t="array" aca="1" ref="AA119" ca="1">IF($C119="S",IF($Z119="CP",$X119,IF($Z119="RA",(($X119)*QCI!$AA$3),0)),SomaAgrup)</f>
        <v>0</v>
      </c>
      <c r="AB119" s="128">
        <f t="array" aca="1" ref="AB119" ca="1">IF($C119="S",IF($Z119="OU",ROUND($X119,2),0),SomaAgrup)</f>
        <v>0</v>
      </c>
      <c r="AC119" s="563" t="str">
        <f t="array" aca="1" ref="AC119" ca="1">IF($N119=""," ",
IF(AND($C119&lt;&gt;"S",OR($R119="",$R119="(digite a descrição aqui)")),"DESCRIÇÃO",
IF(AND($C119="S",OR($Q119&lt;&gt;"",$T119&gt;0,$U119&gt;0),$P119=""),"FONTE",
IF(AND($C119="S",$P119&lt;&gt;"",OR($T119&gt;0,$U119&gt;0),$Q119=""),"CÓDIGO",
IF(AND($C119="S",$P119&lt;&gt;"",$Q119&lt;&gt;"",$R119="(Código não identificado nas referências)"),"CÓDIGO N/ID",
IF(AND($C119="S",OR($R119="",$R119="(digite a descrição aqui)"),OR($Q119&lt;&gt;"",$T119&gt;0,$U119&gt;0)),"DESCRIÇÃO",
IF(AND($C119="S",$P119&lt;&gt;"",$Q119&lt;&gt;"",$S119=""),"UNIDADE",
IF(AND($C119="S",$P119&lt;&gt;"",$Q119&lt;&gt;"",$U119=0),"SEM CUSTO",
IF(AND(TIPOORCAMENTO="Licitado",$AL119=0,$AN119&gt;0),"SEM PREÇO",
IF(AND($C119="S",$P119&lt;&gt;"",$Q119&lt;&gt;"",$U119&gt;0,AND($V119&lt;&gt;"BDI 1",$V119&lt;&gt;"BDI 2",$V119&lt;&gt;"BDI 3")),IF(ISNUMBER($V119),"JUSTIFICAR BDI","BDI"),
IF(OR(AND(import.recurso="OGU",TIPOORCAMENTO="Proposto",LEFT($O$8,5)&lt;&gt;"(N/D:",$AG119&lt;&gt;"",ORÇAMENTO.CustoUnitario&gt;$AG119),AND(TIPOORCAMENTO="LICITADO",ORÇAMENTO.PrecoUnitarioLicitado&gt;$AN119)),"ACIMA REF.",
IF(AND($C119="S",$P119&lt;&gt;"",$Q119&lt;&gt;"",$T119=0,$U119&gt;0),"QUANT.",
IF(AND(Import.TipoArredondamento="TransfereGOV",$L119="F",$C119="S",LEN($Q119)&gt;13),"Código &gt;13",
IF(AND(Import.TipoArredondamento="TransfereGOV",$L119="F",$C119&lt;&gt;"S",LEN($R119)&gt;100),"Descrição &gt;100",
IF(AND(Import.TipoArredondamento="TransfereGOV",$L119="F",$C119="S",LEN($R119)&gt;500),"Descrição &gt;500",
IF(AND(Import.TipoArredondamento="TransfereGOV",$L119="F",$C119="S",LEFT(TRIM(UPPER($P119)),6)&lt;&gt;"SINAPI",ISNA(VLOOKUP(TRIM(UPPER($S119)),ListaTgov.Unidades,1,FALSE))),"Unid. Não Disp",
" "))))))))))))))))</f>
        <v xml:space="preserve"> </v>
      </c>
      <c r="AD119" s="696" t="str">
        <f ca="1">IF(C119&lt;=CRONO.NivelExibicao,MAX($AD$15:OFFSET(AD119,-1,0))+IF($C119&lt;&gt;1,1,MAX(1,COUNTIF(QCI!$A$13:$A$24,OFFSET($E119,-1,0)))),"")</f>
        <v/>
      </c>
      <c r="AE119" s="694" t="str">
        <f t="array" aca="1" ref="AE119" ca="1">IF(AND($C119="S",ORÇAMENTO.CodBarra&lt;&gt;""),IF(ORÇAMENTO.Fonte="",ORÇAMENTO.CodBarra,CONCATENATE(ORÇAMENTO.Fonte," ",ORÇAMENTO.CodBarra)))</f>
        <v>SINAPI 87247</v>
      </c>
      <c r="AF119" s="695">
        <f t="array" aca="1" ref="AF119" ca="1">IF(ISERROR(ORÇAMENTO.BancoRef),"(abra o arquivo 'Referência "&amp;Excel_BuiltIn_Database&amp;".xlsm)",IF(OR($C119&lt;&gt;"S",ORÇAMENTO.CodBarra=""),"(Sem Código)",IF(ISERROR(MATCH($AE119,INDIRECT(ORÇAMENTO.BancoRef),0)),"(Código não identificado nas referências)",MATCH($AE119,INDIRECT(ORÇAMENTO.BancoRef),0))))</f>
        <v>14820</v>
      </c>
      <c r="AG119" s="428">
        <f t="array" aca="1" ref="AG119" ca="1">ROUND(IF(DESONERACAO="sim",REFERENCIA.Desonerado,REFERENCIA.NaoDesonerado),2)</f>
        <v>62.18</v>
      </c>
      <c r="AH119" s="429">
        <f t="shared" ca="1" si="27"/>
        <v>0.2034</v>
      </c>
      <c r="AJ119" s="431"/>
      <c r="AL119" s="439"/>
      <c r="AM119" s="336">
        <f t="shared" ca="1" si="0"/>
        <v>23634.240000000002</v>
      </c>
      <c r="AN119" s="469">
        <f t="array" aca="1" ref="AN119" ca="1">ROUND(ORÇAMENTO.CustoUnitario*(1+$AH119),2)</f>
        <v>70.34</v>
      </c>
    </row>
    <row r="120" spans="1:40" s="696" customFormat="1" ht="38.25" x14ac:dyDescent="0.2">
      <c r="A120" s="696" t="str">
        <f t="shared" si="15"/>
        <v>S</v>
      </c>
      <c r="B120" s="696">
        <f t="shared" ca="1" si="16"/>
        <v>2</v>
      </c>
      <c r="C120" s="696" t="str">
        <f t="shared" ca="1" si="17"/>
        <v>S</v>
      </c>
      <c r="D120" s="696">
        <f t="shared" ca="1" si="18"/>
        <v>0</v>
      </c>
      <c r="E120" s="696">
        <f ca="1">IF($C120=1,OFFSET(E120,-1,0)+MAX(1,COUNTIF(QCI!$A$13:$A$24,OFFSET(ORÇAMENTO!E120,-1,0))),OFFSET(E120,-1,0))</f>
        <v>1</v>
      </c>
      <c r="F120" s="696">
        <f t="shared" ca="1" si="19"/>
        <v>20</v>
      </c>
      <c r="G120" s="696">
        <f t="shared" ca="1" si="20"/>
        <v>0</v>
      </c>
      <c r="H120" s="696">
        <f t="shared" ca="1" si="21"/>
        <v>0</v>
      </c>
      <c r="I120" s="696">
        <f t="shared" ca="1" si="22"/>
        <v>8</v>
      </c>
      <c r="J120" s="696">
        <f t="shared" ca="1" si="28"/>
        <v>0</v>
      </c>
      <c r="K120" s="696">
        <f ca="1">IF(OR($C120="S",$C120=0),0,MATCH(OFFSET($D120,0,$C120)+IF($C120&lt;&gt;1,1,COUNTIF(QCI!$A$13:$A$24,ORÇAMENTO!E120)),OFFSET($D120,1,$C120,ROW($C$235)-ROW($C120)),0))</f>
        <v>0</v>
      </c>
      <c r="L120" s="114" t="str">
        <f t="shared" ca="1" si="23"/>
        <v>F</v>
      </c>
      <c r="M120" s="115" t="s">
        <v>705</v>
      </c>
      <c r="N120" s="116" t="str">
        <f t="shared" ca="1" si="24"/>
        <v>Serviço</v>
      </c>
      <c r="O120" s="117" t="str">
        <f t="shared" ca="1" si="25"/>
        <v>1.20.8.</v>
      </c>
      <c r="P120" s="118" t="s">
        <v>750</v>
      </c>
      <c r="Q120" s="119" t="s">
        <v>1104</v>
      </c>
      <c r="R120" s="120" t="str">
        <f t="array" aca="1" ref="R120" ca="1">IF($C120="S",REFERENCIA.Descricao,"(digite a descrição aqui)")</f>
        <v>REVESTIMENTO CERÂMICO PARA PISO COM PLACAS TIPO ESMALTADA DE DIMENSÕES 35X35 CM APLICADA EM AMBIENTES DE ÁREA MAIOR QUE 10 M2. AF_02/2023_PE</v>
      </c>
      <c r="S120" s="121" t="str">
        <f t="array" aca="1" ref="S120" ca="1">REFERENCIA.Unidade</f>
        <v>M2</v>
      </c>
      <c r="T120" s="122">
        <f ca="1">OFFSET(CÁLCULO!H$15,ROW($T120)-ROW(T$15),0)</f>
        <v>382</v>
      </c>
      <c r="U120" s="123">
        <f>53.6*0.94</f>
        <v>50.384</v>
      </c>
      <c r="V120" s="124" t="s">
        <v>697</v>
      </c>
      <c r="W120" s="122">
        <f t="array" aca="1" ref="W120" ca="1">IF($C120="S",ROUND(IF(TIPOORCAMENTO="Proposto",ORÇAMENTO.CustoUnitario*(1+$AH120),ORÇAMENTO.PrecoUnitarioLicitado),15-13*$AF$10),0)</f>
        <v>60.63</v>
      </c>
      <c r="X120" s="125">
        <f t="array" aca="1" ref="X120" ca="1">IF($C120="S",IF(OR(Import.TipoArredondamento&lt;&gt;"TransfereGOV",ACOMPANHAMENTO="BM"),VTOTAL1,SUM(OFFSET(CÁLCULO!$AI$15,ROW($X120)-ROW($X$15),1):OFFSET(CÁLCULO!$BB$15,ROW($X120)-ROW($X$15),-1))),IF($C120=0,0,ROUND(SomaAgrup,15-13*$AF$11)))</f>
        <v>23160.68</v>
      </c>
      <c r="Y120" s="126" t="s">
        <v>751</v>
      </c>
      <c r="Z120" s="696" t="str">
        <f t="shared" ca="1" si="26"/>
        <v>RA</v>
      </c>
      <c r="AA120" s="127">
        <f t="array" aca="1" ref="AA120" ca="1">IF($C120="S",IF($Z120="CP",$X120,IF($Z120="RA",(($X120)*QCI!$AA$3),0)),SomaAgrup)</f>
        <v>0</v>
      </c>
      <c r="AB120" s="128">
        <f t="array" aca="1" ref="AB120" ca="1">IF($C120="S",IF($Z120="OU",ROUND($X120,2),0),SomaAgrup)</f>
        <v>0</v>
      </c>
      <c r="AC120" s="563" t="str">
        <f t="array" aca="1" ref="AC120" ca="1">IF($N120=""," ",
IF(AND($C120&lt;&gt;"S",OR($R120="",$R120="(digite a descrição aqui)")),"DESCRIÇÃO",
IF(AND($C120="S",OR($Q120&lt;&gt;"",$T120&gt;0,$U120&gt;0),$P120=""),"FONTE",
IF(AND($C120="S",$P120&lt;&gt;"",OR($T120&gt;0,$U120&gt;0),$Q120=""),"CÓDIGO",
IF(AND($C120="S",$P120&lt;&gt;"",$Q120&lt;&gt;"",$R120="(Código não identificado nas referências)"),"CÓDIGO N/ID",
IF(AND($C120="S",OR($R120="",$R120="(digite a descrição aqui)"),OR($Q120&lt;&gt;"",$T120&gt;0,$U120&gt;0)),"DESCRIÇÃO",
IF(AND($C120="S",$P120&lt;&gt;"",$Q120&lt;&gt;"",$S120=""),"UNIDADE",
IF(AND($C120="S",$P120&lt;&gt;"",$Q120&lt;&gt;"",$U120=0),"SEM CUSTO",
IF(AND(TIPOORCAMENTO="Licitado",$AL120=0,$AN120&gt;0),"SEM PREÇO",
IF(AND($C120="S",$P120&lt;&gt;"",$Q120&lt;&gt;"",$U120&gt;0,AND($V120&lt;&gt;"BDI 1",$V120&lt;&gt;"BDI 2",$V120&lt;&gt;"BDI 3")),IF(ISNUMBER($V120),"JUSTIFICAR BDI","BDI"),
IF(OR(AND(import.recurso="OGU",TIPOORCAMENTO="Proposto",LEFT($O$8,5)&lt;&gt;"(N/D:",$AG120&lt;&gt;"",ORÇAMENTO.CustoUnitario&gt;$AG120),AND(TIPOORCAMENTO="LICITADO",ORÇAMENTO.PrecoUnitarioLicitado&gt;$AN120)),"ACIMA REF.",
IF(AND($C120="S",$P120&lt;&gt;"",$Q120&lt;&gt;"",$T120=0,$U120&gt;0),"QUANT.",
IF(AND(Import.TipoArredondamento="TransfereGOV",$L120="F",$C120="S",LEN($Q120)&gt;13),"Código &gt;13",
IF(AND(Import.TipoArredondamento="TransfereGOV",$L120="F",$C120&lt;&gt;"S",LEN($R120)&gt;100),"Descrição &gt;100",
IF(AND(Import.TipoArredondamento="TransfereGOV",$L120="F",$C120="S",LEN($R120)&gt;500),"Descrição &gt;500",
IF(AND(Import.TipoArredondamento="TransfereGOV",$L120="F",$C120="S",LEFT(TRIM(UPPER($P120)),6)&lt;&gt;"SINAPI",ISNA(VLOOKUP(TRIM(UPPER($S120)),ListaTgov.Unidades,1,FALSE))),"Unid. Não Disp",
" "))))))))))))))))</f>
        <v xml:space="preserve"> </v>
      </c>
      <c r="AD120" s="696" t="str">
        <f ca="1">IF(C120&lt;=CRONO.NivelExibicao,MAX($AD$15:OFFSET(AD120,-1,0))+IF($C120&lt;&gt;1,1,MAX(1,COUNTIF(QCI!$A$13:$A$24,OFFSET($E120,-1,0)))),"")</f>
        <v/>
      </c>
      <c r="AE120" s="694" t="str">
        <f t="array" aca="1" ref="AE120" ca="1">IF(AND($C120="S",ORÇAMENTO.CodBarra&lt;&gt;""),IF(ORÇAMENTO.Fonte="",ORÇAMENTO.CodBarra,CONCATENATE(ORÇAMENTO.Fonte," ",ORÇAMENTO.CodBarra)))</f>
        <v>SINAPI 87248</v>
      </c>
      <c r="AF120" s="695">
        <f t="array" aca="1" ref="AF120" ca="1">IF(ISERROR(ORÇAMENTO.BancoRef),"(abra o arquivo 'Referência "&amp;Excel_BuiltIn_Database&amp;".xlsm)",IF(OR($C120&lt;&gt;"S",ORÇAMENTO.CodBarra=""),"(Sem Código)",IF(ISERROR(MATCH($AE120,INDIRECT(ORÇAMENTO.BancoRef),0)),"(Código não identificado nas referências)",MATCH($AE120,INDIRECT(ORÇAMENTO.BancoRef),0))))</f>
        <v>14821</v>
      </c>
      <c r="AG120" s="428">
        <f t="array" aca="1" ref="AG120" ca="1">ROUND(IF(DESONERACAO="sim",REFERENCIA.Desonerado,REFERENCIA.NaoDesonerado),2)</f>
        <v>53.6</v>
      </c>
      <c r="AH120" s="429">
        <f t="shared" ca="1" si="27"/>
        <v>0.2034</v>
      </c>
      <c r="AJ120" s="431"/>
      <c r="AL120" s="439"/>
      <c r="AM120" s="336">
        <f t="shared" ca="1" si="0"/>
        <v>23160.68</v>
      </c>
      <c r="AN120" s="469">
        <f t="array" aca="1" ref="AN120" ca="1">ROUND(ORÇAMENTO.CustoUnitario*(1+$AH120),2)</f>
        <v>60.63</v>
      </c>
    </row>
    <row r="121" spans="1:40" s="696" customFormat="1" ht="38.25" x14ac:dyDescent="0.2">
      <c r="A121" s="696" t="str">
        <f t="shared" si="15"/>
        <v>S</v>
      </c>
      <c r="B121" s="696">
        <f t="shared" ca="1" si="16"/>
        <v>2</v>
      </c>
      <c r="C121" s="696" t="str">
        <f t="shared" ca="1" si="17"/>
        <v>S</v>
      </c>
      <c r="D121" s="696">
        <f t="shared" ca="1" si="18"/>
        <v>0</v>
      </c>
      <c r="E121" s="696">
        <f ca="1">IF($C121=1,OFFSET(E121,-1,0)+MAX(1,COUNTIF(QCI!$A$13:$A$24,OFFSET(ORÇAMENTO!E121,-1,0))),OFFSET(E121,-1,0))</f>
        <v>1</v>
      </c>
      <c r="F121" s="696">
        <f t="shared" ca="1" si="19"/>
        <v>20</v>
      </c>
      <c r="G121" s="696">
        <f t="shared" ca="1" si="20"/>
        <v>0</v>
      </c>
      <c r="H121" s="696">
        <f t="shared" ca="1" si="21"/>
        <v>0</v>
      </c>
      <c r="I121" s="696">
        <f t="shared" ca="1" si="22"/>
        <v>9</v>
      </c>
      <c r="J121" s="696">
        <f t="shared" ca="1" si="28"/>
        <v>0</v>
      </c>
      <c r="K121" s="696">
        <f ca="1">IF(OR($C121="S",$C121=0),0,MATCH(OFFSET($D121,0,$C121)+IF($C121&lt;&gt;1,1,COUNTIF(QCI!$A$13:$A$24,ORÇAMENTO!E121)),OFFSET($D121,1,$C121,ROW($C$235)-ROW($C121)),0))</f>
        <v>0</v>
      </c>
      <c r="L121" s="114" t="str">
        <f t="shared" ca="1" si="23"/>
        <v>F</v>
      </c>
      <c r="M121" s="115" t="s">
        <v>705</v>
      </c>
      <c r="N121" s="116" t="str">
        <f t="shared" ca="1" si="24"/>
        <v>Serviço</v>
      </c>
      <c r="O121" s="117" t="str">
        <f t="shared" ca="1" si="25"/>
        <v>1.20.9.</v>
      </c>
      <c r="P121" s="118" t="s">
        <v>750</v>
      </c>
      <c r="Q121" s="119" t="s">
        <v>1105</v>
      </c>
      <c r="R121" s="120" t="str">
        <f t="array" aca="1" ref="R121" ca="1">IF($C121="S",REFERENCIA.Descricao,"(digite a descrição aqui)")</f>
        <v>REVESTIMENTO CERÂMICO PARA PISO COM PLACAS TIPO ESMALTADA DE DIMENSÕES 35X35 CM APLICADA EM AMBIENTES DE ÁREA MENOR QUE 5 M2. AF_02/2023_PE</v>
      </c>
      <c r="S121" s="121" t="str">
        <f t="array" aca="1" ref="S121" ca="1">REFERENCIA.Unidade</f>
        <v>M2</v>
      </c>
      <c r="T121" s="122">
        <f ca="1">OFFSET(CÁLCULO!H$15,ROW($T121)-ROW(T$15),0)</f>
        <v>259.60000000000002</v>
      </c>
      <c r="U121" s="123">
        <f>70.28*0.94</f>
        <v>66.063199999999995</v>
      </c>
      <c r="V121" s="124" t="s">
        <v>697</v>
      </c>
      <c r="W121" s="122">
        <f t="array" aca="1" ref="W121" ca="1">IF($C121="S",ROUND(IF(TIPOORCAMENTO="Proposto",ORÇAMENTO.CustoUnitario*(1+$AH121),ORÇAMENTO.PrecoUnitarioLicitado),15-13*$AF$10),0)</f>
        <v>79.5</v>
      </c>
      <c r="X121" s="125">
        <f t="array" aca="1" ref="X121" ca="1">IF($C121="S",IF(OR(Import.TipoArredondamento&lt;&gt;"TransfereGOV",ACOMPANHAMENTO="BM"),VTOTAL1,SUM(OFFSET(CÁLCULO!$AI$15,ROW($X121)-ROW($X$15),1):OFFSET(CÁLCULO!$BB$15,ROW($X121)-ROW($X$15),-1))),IF($C121=0,0,ROUND(SomaAgrup,15-13*$AF$11)))</f>
        <v>20638.2</v>
      </c>
      <c r="Y121" s="126" t="s">
        <v>751</v>
      </c>
      <c r="Z121" s="696" t="str">
        <f t="shared" ca="1" si="26"/>
        <v>RA</v>
      </c>
      <c r="AA121" s="127">
        <f t="array" aca="1" ref="AA121" ca="1">IF($C121="S",IF($Z121="CP",$X121,IF($Z121="RA",(($X121)*QCI!$AA$3),0)),SomaAgrup)</f>
        <v>0</v>
      </c>
      <c r="AB121" s="128">
        <f t="array" aca="1" ref="AB121" ca="1">IF($C121="S",IF($Z121="OU",ROUND($X121,2),0),SomaAgrup)</f>
        <v>0</v>
      </c>
      <c r="AC121" s="563" t="str">
        <f t="array" aca="1" ref="AC121" ca="1">IF($N121=""," ",
IF(AND($C121&lt;&gt;"S",OR($R121="",$R121="(digite a descrição aqui)")),"DESCRIÇÃO",
IF(AND($C121="S",OR($Q121&lt;&gt;"",$T121&gt;0,$U121&gt;0),$P121=""),"FONTE",
IF(AND($C121="S",$P121&lt;&gt;"",OR($T121&gt;0,$U121&gt;0),$Q121=""),"CÓDIGO",
IF(AND($C121="S",$P121&lt;&gt;"",$Q121&lt;&gt;"",$R121="(Código não identificado nas referências)"),"CÓDIGO N/ID",
IF(AND($C121="S",OR($R121="",$R121="(digite a descrição aqui)"),OR($Q121&lt;&gt;"",$T121&gt;0,$U121&gt;0)),"DESCRIÇÃO",
IF(AND($C121="S",$P121&lt;&gt;"",$Q121&lt;&gt;"",$S121=""),"UNIDADE",
IF(AND($C121="S",$P121&lt;&gt;"",$Q121&lt;&gt;"",$U121=0),"SEM CUSTO",
IF(AND(TIPOORCAMENTO="Licitado",$AL121=0,$AN121&gt;0),"SEM PREÇO",
IF(AND($C121="S",$P121&lt;&gt;"",$Q121&lt;&gt;"",$U121&gt;0,AND($V121&lt;&gt;"BDI 1",$V121&lt;&gt;"BDI 2",$V121&lt;&gt;"BDI 3")),IF(ISNUMBER($V121),"JUSTIFICAR BDI","BDI"),
IF(OR(AND(import.recurso="OGU",TIPOORCAMENTO="Proposto",LEFT($O$8,5)&lt;&gt;"(N/D:",$AG121&lt;&gt;"",ORÇAMENTO.CustoUnitario&gt;$AG121),AND(TIPOORCAMENTO="LICITADO",ORÇAMENTO.PrecoUnitarioLicitado&gt;$AN121)),"ACIMA REF.",
IF(AND($C121="S",$P121&lt;&gt;"",$Q121&lt;&gt;"",$T121=0,$U121&gt;0),"QUANT.",
IF(AND(Import.TipoArredondamento="TransfereGOV",$L121="F",$C121="S",LEN($Q121)&gt;13),"Código &gt;13",
IF(AND(Import.TipoArredondamento="TransfereGOV",$L121="F",$C121&lt;&gt;"S",LEN($R121)&gt;100),"Descrição &gt;100",
IF(AND(Import.TipoArredondamento="TransfereGOV",$L121="F",$C121="S",LEN($R121)&gt;500),"Descrição &gt;500",
IF(AND(Import.TipoArredondamento="TransfereGOV",$L121="F",$C121="S",LEFT(TRIM(UPPER($P121)),6)&lt;&gt;"SINAPI",ISNA(VLOOKUP(TRIM(UPPER($S121)),ListaTgov.Unidades,1,FALSE))),"Unid. Não Disp",
" "))))))))))))))))</f>
        <v xml:space="preserve"> </v>
      </c>
      <c r="AD121" s="696" t="str">
        <f ca="1">IF(C121&lt;=CRONO.NivelExibicao,MAX($AD$15:OFFSET(AD121,-1,0))+IF($C121&lt;&gt;1,1,MAX(1,COUNTIF(QCI!$A$13:$A$24,OFFSET($E121,-1,0)))),"")</f>
        <v/>
      </c>
      <c r="AE121" s="694" t="str">
        <f t="array" aca="1" ref="AE121" ca="1">IF(AND($C121="S",ORÇAMENTO.CodBarra&lt;&gt;""),IF(ORÇAMENTO.Fonte="",ORÇAMENTO.CodBarra,CONCATENATE(ORÇAMENTO.Fonte," ",ORÇAMENTO.CodBarra)))</f>
        <v>SINAPI 87246</v>
      </c>
      <c r="AF121" s="695">
        <f t="array" aca="1" ref="AF121" ca="1">IF(ISERROR(ORÇAMENTO.BancoRef),"(abra o arquivo 'Referência "&amp;Excel_BuiltIn_Database&amp;".xlsm)",IF(OR($C121&lt;&gt;"S",ORÇAMENTO.CodBarra=""),"(Sem Código)",IF(ISERROR(MATCH($AE121,INDIRECT(ORÇAMENTO.BancoRef),0)),"(Código não identificado nas referências)",MATCH($AE121,INDIRECT(ORÇAMENTO.BancoRef),0))))</f>
        <v>14822</v>
      </c>
      <c r="AG121" s="428">
        <f t="array" aca="1" ref="AG121" ca="1">ROUND(IF(DESONERACAO="sim",REFERENCIA.Desonerado,REFERENCIA.NaoDesonerado),2)</f>
        <v>70.28</v>
      </c>
      <c r="AH121" s="429">
        <f t="shared" ca="1" si="27"/>
        <v>0.2034</v>
      </c>
      <c r="AJ121" s="431"/>
      <c r="AL121" s="439"/>
      <c r="AM121" s="336">
        <f t="shared" ca="1" si="0"/>
        <v>20638.2</v>
      </c>
      <c r="AN121" s="469">
        <f t="array" aca="1" ref="AN121" ca="1">ROUND(ORÇAMENTO.CustoUnitario*(1+$AH121),2)</f>
        <v>79.5</v>
      </c>
    </row>
    <row r="122" spans="1:40" s="696" customFormat="1" x14ac:dyDescent="0.2">
      <c r="A122" s="696">
        <f t="shared" si="15"/>
        <v>2</v>
      </c>
      <c r="B122" s="696">
        <f t="shared" ca="1" si="16"/>
        <v>2</v>
      </c>
      <c r="C122" s="696">
        <f t="shared" ca="1" si="17"/>
        <v>2</v>
      </c>
      <c r="D122" s="696">
        <f t="shared" ca="1" si="18"/>
        <v>3</v>
      </c>
      <c r="E122" s="696">
        <f ca="1">IF($C122=1,OFFSET(E122,-1,0)+MAX(1,COUNTIF(QCI!$A$13:$A$24,OFFSET(ORÇAMENTO!E122,-1,0))),OFFSET(E122,-1,0))</f>
        <v>1</v>
      </c>
      <c r="F122" s="696">
        <f t="shared" ca="1" si="19"/>
        <v>21</v>
      </c>
      <c r="G122" s="696">
        <f t="shared" ca="1" si="20"/>
        <v>0</v>
      </c>
      <c r="H122" s="696">
        <f t="shared" ca="1" si="21"/>
        <v>0</v>
      </c>
      <c r="I122" s="696">
        <f t="shared" ca="1" si="22"/>
        <v>0</v>
      </c>
      <c r="J122" s="696">
        <f t="shared" ca="1" si="28"/>
        <v>113</v>
      </c>
      <c r="K122" s="696">
        <f ca="1">IF(OR($C122="S",$C122=0),0,MATCH(OFFSET($D122,0,$C122)+IF($C122&lt;&gt;1,1,COUNTIF(QCI!$A$13:$A$24,ORÇAMENTO!E122)),OFFSET($D122,1,$C122,ROW($C$235)-ROW($C122)),0))</f>
        <v>3</v>
      </c>
      <c r="L122" s="114" t="str">
        <f t="shared" ca="1" si="23"/>
        <v>F</v>
      </c>
      <c r="M122" s="115" t="s">
        <v>702</v>
      </c>
      <c r="N122" s="116" t="str">
        <f t="shared" ca="1" si="24"/>
        <v>Nível 2</v>
      </c>
      <c r="O122" s="117" t="str">
        <f t="shared" ca="1" si="25"/>
        <v>1.21.</v>
      </c>
      <c r="P122" s="118" t="s">
        <v>750</v>
      </c>
      <c r="Q122" s="119"/>
      <c r="R122" s="120" t="s">
        <v>1106</v>
      </c>
      <c r="S122" s="121" t="s">
        <v>688</v>
      </c>
      <c r="T122" s="122">
        <f ca="1">OFFSET(CÁLCULO!H$15,ROW($T122)-ROW(T$15),0)</f>
        <v>0</v>
      </c>
      <c r="U122" s="123"/>
      <c r="V122" s="124" t="s">
        <v>663</v>
      </c>
      <c r="W122" s="122">
        <f t="array" aca="1" ref="W122" ca="1">IF($C122="S",ROUND(IF(TIPOORCAMENTO="Proposto",ORÇAMENTO.CustoUnitario*(1+$AH122),ORÇAMENTO.PrecoUnitarioLicitado),15-13*$AF$10),0)</f>
        <v>0</v>
      </c>
      <c r="X122" s="125">
        <f t="array" aca="1" ref="X122" ca="1">IF($C122="S",IF(OR(Import.TipoArredondamento&lt;&gt;"TransfereGOV",ACOMPANHAMENTO="BM"),VTOTAL1,SUM(OFFSET(CÁLCULO!$AI$15,ROW($X122)-ROW($X$15),1):OFFSET(CÁLCULO!$BB$15,ROW($X122)-ROW($X$15),-1))),IF($C122=0,0,ROUND(SomaAgrup,15-13*$AF$11)))</f>
        <v>22365.16</v>
      </c>
      <c r="Y122" s="126" t="s">
        <v>751</v>
      </c>
      <c r="Z122" s="696" t="str">
        <f t="shared" ca="1" si="26"/>
        <v/>
      </c>
      <c r="AA122" s="127">
        <f t="array" aca="1" ref="AA122" ca="1">IF($C122="S",IF($Z122="CP",$X122,IF($Z122="RA",(($X122)*QCI!$AA$3),0)),SomaAgrup)</f>
        <v>0</v>
      </c>
      <c r="AB122" s="128">
        <f t="array" aca="1" ref="AB122" ca="1">IF($C122="S",IF($Z122="OU",ROUND($X122,2),0),SomaAgrup)</f>
        <v>0</v>
      </c>
      <c r="AC122" s="563" t="str">
        <f t="array" aca="1" ref="AC122" ca="1">IF($N122=""," ",
IF(AND($C122&lt;&gt;"S",OR($R122="",$R122="(digite a descrição aqui)")),"DESCRIÇÃO",
IF(AND($C122="S",OR($Q122&lt;&gt;"",$T122&gt;0,$U122&gt;0),$P122=""),"FONTE",
IF(AND($C122="S",$P122&lt;&gt;"",OR($T122&gt;0,$U122&gt;0),$Q122=""),"CÓDIGO",
IF(AND($C122="S",$P122&lt;&gt;"",$Q122&lt;&gt;"",$R122="(Código não identificado nas referências)"),"CÓDIGO N/ID",
IF(AND($C122="S",OR($R122="",$R122="(digite a descrição aqui)"),OR($Q122&lt;&gt;"",$T122&gt;0,$U122&gt;0)),"DESCRIÇÃO",
IF(AND($C122="S",$P122&lt;&gt;"",$Q122&lt;&gt;"",$S122=""),"UNIDADE",
IF(AND($C122="S",$P122&lt;&gt;"",$Q122&lt;&gt;"",$U122=0),"SEM CUSTO",
IF(AND(TIPOORCAMENTO="Licitado",$AL122=0,$AN122&gt;0),"SEM PREÇO",
IF(AND($C122="S",$P122&lt;&gt;"",$Q122&lt;&gt;"",$U122&gt;0,AND($V122&lt;&gt;"BDI 1",$V122&lt;&gt;"BDI 2",$V122&lt;&gt;"BDI 3")),IF(ISNUMBER($V122),"JUSTIFICAR BDI","BDI"),
IF(OR(AND(import.recurso="OGU",TIPOORCAMENTO="Proposto",LEFT($O$8,5)&lt;&gt;"(N/D:",$AG122&lt;&gt;"",ORÇAMENTO.CustoUnitario&gt;$AG122),AND(TIPOORCAMENTO="LICITADO",ORÇAMENTO.PrecoUnitarioLicitado&gt;$AN122)),"ACIMA REF.",
IF(AND($C122="S",$P122&lt;&gt;"",$Q122&lt;&gt;"",$T122=0,$U122&gt;0),"QUANT.",
IF(AND(Import.TipoArredondamento="TransfereGOV",$L122="F",$C122="S",LEN($Q122)&gt;13),"Código &gt;13",
IF(AND(Import.TipoArredondamento="TransfereGOV",$L122="F",$C122&lt;&gt;"S",LEN($R122)&gt;100),"Descrição &gt;100",
IF(AND(Import.TipoArredondamento="TransfereGOV",$L122="F",$C122="S",LEN($R122)&gt;500),"Descrição &gt;500",
IF(AND(Import.TipoArredondamento="TransfereGOV",$L122="F",$C122="S",LEFT(TRIM(UPPER($P122)),6)&lt;&gt;"SINAPI",ISNA(VLOOKUP(TRIM(UPPER($S122)),ListaTgov.Unidades,1,FALSE))),"Unid. Não Disp",
" "))))))))))))))))</f>
        <v xml:space="preserve"> </v>
      </c>
      <c r="AD122" s="696">
        <f ca="1">IF(C122&lt;=CRONO.NivelExibicao,MAX($AD$15:OFFSET(AD122,-1,0))+IF($C122&lt;&gt;1,1,MAX(1,COUNTIF(QCI!$A$13:$A$24,OFFSET($E122,-1,0)))),"")</f>
        <v>22</v>
      </c>
      <c r="AE122" s="694" t="b">
        <f t="array" aca="1" ref="AE122" ca="1">IF(AND($C122="S",ORÇAMENTO.CodBarra&lt;&gt;""),IF(ORÇAMENTO.Fonte="",ORÇAMENTO.CodBarra,CONCATENATE(ORÇAMENTO.Fonte," ",ORÇAMENTO.CodBarra)))</f>
        <v>0</v>
      </c>
      <c r="AF122" s="695" t="str">
        <f t="array" aca="1" ref="AF122" ca="1">IF(ISERROR(ORÇAMENTO.BancoRef),"(abra o arquivo 'Referência "&amp;Excel_BuiltIn_Database&amp;".xlsm)",IF(OR($C122&lt;&gt;"S",ORÇAMENTO.CodBarra=""),"(Sem Código)",IF(ISERROR(MATCH($AE122,INDIRECT(ORÇAMENTO.BancoRef),0)),"(Código não identificado nas referências)",MATCH($AE122,INDIRECT(ORÇAMENTO.BancoRef),0))))</f>
        <v>(Sem Código)</v>
      </c>
      <c r="AG122" s="428">
        <f t="array" aca="1" ref="AG122" ca="1">ROUND(IF(DESONERACAO="sim",REFERENCIA.Desonerado,REFERENCIA.NaoDesonerado),2)</f>
        <v>0</v>
      </c>
      <c r="AH122" s="429">
        <f t="shared" ca="1" si="27"/>
        <v>0.29389999999999999</v>
      </c>
      <c r="AJ122" s="431"/>
      <c r="AL122" s="439"/>
      <c r="AM122" s="336">
        <f t="shared" ca="1" si="0"/>
        <v>22365.16</v>
      </c>
      <c r="AN122" s="469">
        <f t="array" aca="1" ref="AN122" ca="1">ROUND(ORÇAMENTO.CustoUnitario*(1+$AH122),2)</f>
        <v>0</v>
      </c>
    </row>
    <row r="123" spans="1:40" s="696" customFormat="1" ht="38.25" x14ac:dyDescent="0.2">
      <c r="A123" s="696" t="str">
        <f t="shared" si="15"/>
        <v>S</v>
      </c>
      <c r="B123" s="696">
        <f t="shared" ca="1" si="16"/>
        <v>2</v>
      </c>
      <c r="C123" s="696" t="str">
        <f t="shared" ca="1" si="17"/>
        <v>S</v>
      </c>
      <c r="D123" s="696">
        <f t="shared" ca="1" si="18"/>
        <v>0</v>
      </c>
      <c r="E123" s="696">
        <f ca="1">IF($C123=1,OFFSET(E123,-1,0)+MAX(1,COUNTIF(QCI!$A$13:$A$24,OFFSET(ORÇAMENTO!E123,-1,0))),OFFSET(E123,-1,0))</f>
        <v>1</v>
      </c>
      <c r="F123" s="696">
        <f t="shared" ca="1" si="19"/>
        <v>21</v>
      </c>
      <c r="G123" s="696">
        <f t="shared" ca="1" si="20"/>
        <v>0</v>
      </c>
      <c r="H123" s="696">
        <f t="shared" ca="1" si="21"/>
        <v>0</v>
      </c>
      <c r="I123" s="696">
        <f t="shared" ca="1" si="22"/>
        <v>1</v>
      </c>
      <c r="J123" s="696">
        <f t="shared" ca="1" si="28"/>
        <v>0</v>
      </c>
      <c r="K123" s="696">
        <f ca="1">IF(OR($C123="S",$C123=0),0,MATCH(OFFSET($D123,0,$C123)+IF($C123&lt;&gt;1,1,COUNTIF(QCI!$A$13:$A$24,ORÇAMENTO!E123)),OFFSET($D123,1,$C123,ROW($C$235)-ROW($C123)),0))</f>
        <v>0</v>
      </c>
      <c r="L123" s="114" t="str">
        <f t="shared" ca="1" si="23"/>
        <v>F</v>
      </c>
      <c r="M123" s="115" t="s">
        <v>705</v>
      </c>
      <c r="N123" s="116" t="str">
        <f t="shared" ca="1" si="24"/>
        <v>Serviço</v>
      </c>
      <c r="O123" s="117" t="str">
        <f t="shared" ca="1" si="25"/>
        <v>1.21.1.</v>
      </c>
      <c r="P123" s="118" t="s">
        <v>750</v>
      </c>
      <c r="Q123" s="119" t="s">
        <v>1097</v>
      </c>
      <c r="R123" s="120" t="str">
        <f t="array" aca="1" ref="R123" ca="1">IF($C123="S",REFERENCIA.Descricao,"(digite a descrição aqui)")</f>
        <v>COMPACTAÇÃO MECÂNICA DE SOLO PARA EXECUÇÃO DE RADIER, PISO DE CONCRETO OU LAJE SOBRE SOLO, COM COMPACTADOR DE SOLOS TIPO PLACA VIBRATÓRIA. AF_09/2021</v>
      </c>
      <c r="S123" s="121" t="str">
        <f t="array" aca="1" ref="S123" ca="1">REFERENCIA.Unidade</f>
        <v>M2</v>
      </c>
      <c r="T123" s="122">
        <f ca="1">OFFSET(CÁLCULO!H$15,ROW($T123)-ROW(T$15),0)</f>
        <v>323</v>
      </c>
      <c r="U123" s="123">
        <f>0.75*0.94</f>
        <v>0.70499999999999996</v>
      </c>
      <c r="V123" s="124" t="s">
        <v>697</v>
      </c>
      <c r="W123" s="122">
        <f t="array" aca="1" ref="W123" ca="1">IF($C123="S",ROUND(IF(TIPOORCAMENTO="Proposto",ORÇAMENTO.CustoUnitario*(1+$AH123),ORÇAMENTO.PrecoUnitarioLicitado),15-13*$AF$10),0)</f>
        <v>0.85</v>
      </c>
      <c r="X123" s="125">
        <f t="array" aca="1" ref="X123" ca="1">IF($C123="S",IF(OR(Import.TipoArredondamento&lt;&gt;"TransfereGOV",ACOMPANHAMENTO="BM"),VTOTAL1,SUM(OFFSET(CÁLCULO!$AI$15,ROW($X123)-ROW($X$15),1):OFFSET(CÁLCULO!$BB$15,ROW($X123)-ROW($X$15),-1))),IF($C123=0,0,ROUND(SomaAgrup,15-13*$AF$11)))</f>
        <v>274.56</v>
      </c>
      <c r="Y123" s="126" t="s">
        <v>751</v>
      </c>
      <c r="Z123" s="696" t="str">
        <f t="shared" ca="1" si="26"/>
        <v>RA</v>
      </c>
      <c r="AA123" s="127">
        <f t="array" aca="1" ref="AA123" ca="1">IF($C123="S",IF($Z123="CP",$X123,IF($Z123="RA",(($X123)*QCI!$AA$3),0)),SomaAgrup)</f>
        <v>0</v>
      </c>
      <c r="AB123" s="128">
        <f t="array" aca="1" ref="AB123" ca="1">IF($C123="S",IF($Z123="OU",ROUND($X123,2),0),SomaAgrup)</f>
        <v>0</v>
      </c>
      <c r="AC123" s="563" t="str">
        <f t="array" aca="1" ref="AC123" ca="1">IF($N123=""," ",
IF(AND($C123&lt;&gt;"S",OR($R123="",$R123="(digite a descrição aqui)")),"DESCRIÇÃO",
IF(AND($C123="S",OR($Q123&lt;&gt;"",$T123&gt;0,$U123&gt;0),$P123=""),"FONTE",
IF(AND($C123="S",$P123&lt;&gt;"",OR($T123&gt;0,$U123&gt;0),$Q123=""),"CÓDIGO",
IF(AND($C123="S",$P123&lt;&gt;"",$Q123&lt;&gt;"",$R123="(Código não identificado nas referências)"),"CÓDIGO N/ID",
IF(AND($C123="S",OR($R123="",$R123="(digite a descrição aqui)"),OR($Q123&lt;&gt;"",$T123&gt;0,$U123&gt;0)),"DESCRIÇÃO",
IF(AND($C123="S",$P123&lt;&gt;"",$Q123&lt;&gt;"",$S123=""),"UNIDADE",
IF(AND($C123="S",$P123&lt;&gt;"",$Q123&lt;&gt;"",$U123=0),"SEM CUSTO",
IF(AND(TIPOORCAMENTO="Licitado",$AL123=0,$AN123&gt;0),"SEM PREÇO",
IF(AND($C123="S",$P123&lt;&gt;"",$Q123&lt;&gt;"",$U123&gt;0,AND($V123&lt;&gt;"BDI 1",$V123&lt;&gt;"BDI 2",$V123&lt;&gt;"BDI 3")),IF(ISNUMBER($V123),"JUSTIFICAR BDI","BDI"),
IF(OR(AND(import.recurso="OGU",TIPOORCAMENTO="Proposto",LEFT($O$8,5)&lt;&gt;"(N/D:",$AG123&lt;&gt;"",ORÇAMENTO.CustoUnitario&gt;$AG123),AND(TIPOORCAMENTO="LICITADO",ORÇAMENTO.PrecoUnitarioLicitado&gt;$AN123)),"ACIMA REF.",
IF(AND($C123="S",$P123&lt;&gt;"",$Q123&lt;&gt;"",$T123=0,$U123&gt;0),"QUANT.",
IF(AND(Import.TipoArredondamento="TransfereGOV",$L123="F",$C123="S",LEN($Q123)&gt;13),"Código &gt;13",
IF(AND(Import.TipoArredondamento="TransfereGOV",$L123="F",$C123&lt;&gt;"S",LEN($R123)&gt;100),"Descrição &gt;100",
IF(AND(Import.TipoArredondamento="TransfereGOV",$L123="F",$C123="S",LEN($R123)&gt;500),"Descrição &gt;500",
IF(AND(Import.TipoArredondamento="TransfereGOV",$L123="F",$C123="S",LEFT(TRIM(UPPER($P123)),6)&lt;&gt;"SINAPI",ISNA(VLOOKUP(TRIM(UPPER($S123)),ListaTgov.Unidades,1,FALSE))),"Unid. Não Disp",
" "))))))))))))))))</f>
        <v xml:space="preserve"> </v>
      </c>
      <c r="AD123" s="696" t="str">
        <f ca="1">IF(C123&lt;=CRONO.NivelExibicao,MAX($AD$15:OFFSET(AD123,-1,0))+IF($C123&lt;&gt;1,1,MAX(1,COUNTIF(QCI!$A$13:$A$24,OFFSET($E123,-1,0)))),"")</f>
        <v/>
      </c>
      <c r="AE123" s="694" t="str">
        <f t="array" aca="1" ref="AE123" ca="1">IF(AND($C123="S",ORÇAMENTO.CodBarra&lt;&gt;""),IF(ORÇAMENTO.Fonte="",ORÇAMENTO.CodBarra,CONCATENATE(ORÇAMENTO.Fonte," ",ORÇAMENTO.CodBarra)))</f>
        <v>SINAPI 97084</v>
      </c>
      <c r="AF123" s="695">
        <f t="array" aca="1" ref="AF123" ca="1">IF(ISERROR(ORÇAMENTO.BancoRef),"(abra o arquivo 'Referência "&amp;Excel_BuiltIn_Database&amp;".xlsm)",IF(OR($C123&lt;&gt;"S",ORÇAMENTO.CodBarra=""),"(Sem Código)",IF(ISERROR(MATCH($AE123,INDIRECT(ORÇAMENTO.BancoRef),0)),"(Código não identificado nas referências)",MATCH($AE123,INDIRECT(ORÇAMENTO.BancoRef),0))))</f>
        <v>14384</v>
      </c>
      <c r="AG123" s="428">
        <f t="array" aca="1" ref="AG123" ca="1">ROUND(IF(DESONERACAO="sim",REFERENCIA.Desonerado,REFERENCIA.NaoDesonerado),2)</f>
        <v>0.75</v>
      </c>
      <c r="AH123" s="429">
        <f t="shared" ca="1" si="27"/>
        <v>0.2034</v>
      </c>
      <c r="AJ123" s="431"/>
      <c r="AL123" s="439"/>
      <c r="AM123" s="336">
        <f t="shared" ca="1" si="0"/>
        <v>274.56</v>
      </c>
      <c r="AN123" s="469">
        <f t="array" aca="1" ref="AN123" ca="1">ROUND(ORÇAMENTO.CustoUnitario*(1+$AH123),2)</f>
        <v>0.85</v>
      </c>
    </row>
    <row r="124" spans="1:40" s="696" customFormat="1" ht="38.25" x14ac:dyDescent="0.2">
      <c r="A124" s="696" t="str">
        <f t="shared" si="15"/>
        <v>S</v>
      </c>
      <c r="B124" s="696">
        <f t="shared" ca="1" si="16"/>
        <v>2</v>
      </c>
      <c r="C124" s="696" t="str">
        <f t="shared" ca="1" si="17"/>
        <v>S</v>
      </c>
      <c r="D124" s="696">
        <f t="shared" ca="1" si="18"/>
        <v>0</v>
      </c>
      <c r="E124" s="696">
        <f ca="1">IF($C124=1,OFFSET(E124,-1,0)+MAX(1,COUNTIF(QCI!$A$13:$A$24,OFFSET(ORÇAMENTO!E124,-1,0))),OFFSET(E124,-1,0))</f>
        <v>1</v>
      </c>
      <c r="F124" s="696">
        <f t="shared" ca="1" si="19"/>
        <v>21</v>
      </c>
      <c r="G124" s="696">
        <f t="shared" ca="1" si="20"/>
        <v>0</v>
      </c>
      <c r="H124" s="696">
        <f t="shared" ca="1" si="21"/>
        <v>0</v>
      </c>
      <c r="I124" s="696">
        <f t="shared" ca="1" si="22"/>
        <v>2</v>
      </c>
      <c r="J124" s="696">
        <f t="shared" ca="1" si="28"/>
        <v>0</v>
      </c>
      <c r="K124" s="696">
        <f ca="1">IF(OR($C124="S",$C124=0),0,MATCH(OFFSET($D124,0,$C124)+IF($C124&lt;&gt;1,1,COUNTIF(QCI!$A$13:$A$24,ORÇAMENTO!E124)),OFFSET($D124,1,$C124,ROW($C$235)-ROW($C124)),0))</f>
        <v>0</v>
      </c>
      <c r="L124" s="114" t="str">
        <f t="shared" ca="1" si="23"/>
        <v>F</v>
      </c>
      <c r="M124" s="115" t="s">
        <v>705</v>
      </c>
      <c r="N124" s="116" t="str">
        <f t="shared" ca="1" si="24"/>
        <v>Serviço</v>
      </c>
      <c r="O124" s="117" t="str">
        <f t="shared" ca="1" si="25"/>
        <v>1.21.2.</v>
      </c>
      <c r="P124" s="118" t="s">
        <v>750</v>
      </c>
      <c r="Q124" s="119" t="s">
        <v>1107</v>
      </c>
      <c r="R124" s="120" t="str">
        <f t="array" aca="1" ref="R124" ca="1">IF($C124="S",REFERENCIA.Descricao,"(digite a descrição aqui)")</f>
        <v>EXECUÇÃO DE PASSEIO (CALÇADA) OU PISO DE CONCRETO COM CONCRETO MOLDADO IN LOCO, FEITO EM OBRA, ACABAMENTO CONVENCIONAL, NÃO ARMADO. AF_08/2022</v>
      </c>
      <c r="S124" s="121" t="str">
        <f t="array" aca="1" ref="S124" ca="1">REFERENCIA.Unidade</f>
        <v>M3</v>
      </c>
      <c r="T124" s="122">
        <f ca="1">OFFSET(CÁLCULO!H$15,ROW($T124)-ROW(T$15),0)</f>
        <v>22.6</v>
      </c>
      <c r="U124" s="123">
        <f>864.1*0.94</f>
        <v>812.25400000000002</v>
      </c>
      <c r="V124" s="124" t="s">
        <v>697</v>
      </c>
      <c r="W124" s="122">
        <f t="array" aca="1" ref="W124" ca="1">IF($C124="S",ROUND(IF(TIPOORCAMENTO="Proposto",ORÇAMENTO.CustoUnitario*(1+$AH124),ORÇAMENTO.PrecoUnitarioLicitado),15-13*$AF$10),0)</f>
        <v>977.46</v>
      </c>
      <c r="X124" s="125">
        <f t="array" aca="1" ref="X124" ca="1">IF($C124="S",IF(OR(Import.TipoArredondamento&lt;&gt;"TransfereGOV",ACOMPANHAMENTO="BM"),VTOTAL1,SUM(OFFSET(CÁLCULO!$AI$15,ROW($X124)-ROW($X$15),1):OFFSET(CÁLCULO!$BB$15,ROW($X124)-ROW($X$15),-1))),IF($C124=0,0,ROUND(SomaAgrup,15-13*$AF$11)))</f>
        <v>22090.6</v>
      </c>
      <c r="Y124" s="126" t="s">
        <v>751</v>
      </c>
      <c r="Z124" s="696" t="str">
        <f t="shared" ca="1" si="26"/>
        <v>RA</v>
      </c>
      <c r="AA124" s="127">
        <f t="array" aca="1" ref="AA124" ca="1">IF($C124="S",IF($Z124="CP",$X124,IF($Z124="RA",(($X124)*QCI!$AA$3),0)),SomaAgrup)</f>
        <v>0</v>
      </c>
      <c r="AB124" s="128">
        <f t="array" aca="1" ref="AB124" ca="1">IF($C124="S",IF($Z124="OU",ROUND($X124,2),0),SomaAgrup)</f>
        <v>0</v>
      </c>
      <c r="AC124" s="563" t="str">
        <f t="array" aca="1" ref="AC124" ca="1">IF($N124=""," ",
IF(AND($C124&lt;&gt;"S",OR($R124="",$R124="(digite a descrição aqui)")),"DESCRIÇÃO",
IF(AND($C124="S",OR($Q124&lt;&gt;"",$T124&gt;0,$U124&gt;0),$P124=""),"FONTE",
IF(AND($C124="S",$P124&lt;&gt;"",OR($T124&gt;0,$U124&gt;0),$Q124=""),"CÓDIGO",
IF(AND($C124="S",$P124&lt;&gt;"",$Q124&lt;&gt;"",$R124="(Código não identificado nas referências)"),"CÓDIGO N/ID",
IF(AND($C124="S",OR($R124="",$R124="(digite a descrição aqui)"),OR($Q124&lt;&gt;"",$T124&gt;0,$U124&gt;0)),"DESCRIÇÃO",
IF(AND($C124="S",$P124&lt;&gt;"",$Q124&lt;&gt;"",$S124=""),"UNIDADE",
IF(AND($C124="S",$P124&lt;&gt;"",$Q124&lt;&gt;"",$U124=0),"SEM CUSTO",
IF(AND(TIPOORCAMENTO="Licitado",$AL124=0,$AN124&gt;0),"SEM PREÇO",
IF(AND($C124="S",$P124&lt;&gt;"",$Q124&lt;&gt;"",$U124&gt;0,AND($V124&lt;&gt;"BDI 1",$V124&lt;&gt;"BDI 2",$V124&lt;&gt;"BDI 3")),IF(ISNUMBER($V124),"JUSTIFICAR BDI","BDI"),
IF(OR(AND(import.recurso="OGU",TIPOORCAMENTO="Proposto",LEFT($O$8,5)&lt;&gt;"(N/D:",$AG124&lt;&gt;"",ORÇAMENTO.CustoUnitario&gt;$AG124),AND(TIPOORCAMENTO="LICITADO",ORÇAMENTO.PrecoUnitarioLicitado&gt;$AN124)),"ACIMA REF.",
IF(AND($C124="S",$P124&lt;&gt;"",$Q124&lt;&gt;"",$T124=0,$U124&gt;0),"QUANT.",
IF(AND(Import.TipoArredondamento="TransfereGOV",$L124="F",$C124="S",LEN($Q124)&gt;13),"Código &gt;13",
IF(AND(Import.TipoArredondamento="TransfereGOV",$L124="F",$C124&lt;&gt;"S",LEN($R124)&gt;100),"Descrição &gt;100",
IF(AND(Import.TipoArredondamento="TransfereGOV",$L124="F",$C124="S",LEN($R124)&gt;500),"Descrição &gt;500",
IF(AND(Import.TipoArredondamento="TransfereGOV",$L124="F",$C124="S",LEFT(TRIM(UPPER($P124)),6)&lt;&gt;"SINAPI",ISNA(VLOOKUP(TRIM(UPPER($S124)),ListaTgov.Unidades,1,FALSE))),"Unid. Não Disp",
" "))))))))))))))))</f>
        <v xml:space="preserve"> </v>
      </c>
      <c r="AD124" s="696" t="str">
        <f ca="1">IF(C124&lt;=CRONO.NivelExibicao,MAX($AD$15:OFFSET(AD124,-1,0))+IF($C124&lt;&gt;1,1,MAX(1,COUNTIF(QCI!$A$13:$A$24,OFFSET($E124,-1,0)))),"")</f>
        <v/>
      </c>
      <c r="AE124" s="694" t="str">
        <f t="array" aca="1" ref="AE124" ca="1">IF(AND($C124="S",ORÇAMENTO.CodBarra&lt;&gt;""),IF(ORÇAMENTO.Fonte="",ORÇAMENTO.CodBarra,CONCATENATE(ORÇAMENTO.Fonte," ",ORÇAMENTO.CodBarra)))</f>
        <v>SINAPI 94990</v>
      </c>
      <c r="AF124" s="695">
        <f t="array" aca="1" ref="AF124" ca="1">IF(ISERROR(ORÇAMENTO.BancoRef),"(abra o arquivo 'Referência "&amp;Excel_BuiltIn_Database&amp;".xlsm)",IF(OR($C124&lt;&gt;"S",ORÇAMENTO.CodBarra=""),"(Sem Código)",IF(ISERROR(MATCH($AE124,INDIRECT(ORÇAMENTO.BancoRef),0)),"(Código não identificado nas referências)",MATCH($AE124,INDIRECT(ORÇAMENTO.BancoRef),0))))</f>
        <v>13676</v>
      </c>
      <c r="AG124" s="428">
        <f t="array" aca="1" ref="AG124" ca="1">ROUND(IF(DESONERACAO="sim",REFERENCIA.Desonerado,REFERENCIA.NaoDesonerado),2)</f>
        <v>864.1</v>
      </c>
      <c r="AH124" s="429">
        <f t="shared" ca="1" si="27"/>
        <v>0.2034</v>
      </c>
      <c r="AJ124" s="431"/>
      <c r="AL124" s="439"/>
      <c r="AM124" s="336">
        <f t="shared" ca="1" si="0"/>
        <v>22090.6</v>
      </c>
      <c r="AN124" s="469">
        <f t="array" aca="1" ref="AN124" ca="1">ROUND(ORÇAMENTO.CustoUnitario*(1+$AH124),2)</f>
        <v>977.46</v>
      </c>
    </row>
    <row r="125" spans="1:40" s="696" customFormat="1" x14ac:dyDescent="0.2">
      <c r="A125" s="696">
        <f t="shared" si="15"/>
        <v>2</v>
      </c>
      <c r="B125" s="696">
        <f t="shared" ca="1" si="16"/>
        <v>2</v>
      </c>
      <c r="C125" s="696">
        <f t="shared" ca="1" si="17"/>
        <v>2</v>
      </c>
      <c r="D125" s="696">
        <f t="shared" ca="1" si="18"/>
        <v>4</v>
      </c>
      <c r="E125" s="696">
        <f ca="1">IF($C125=1,OFFSET(E125,-1,0)+MAX(1,COUNTIF(QCI!$A$13:$A$24,OFFSET(ORÇAMENTO!E125,-1,0))),OFFSET(E125,-1,0))</f>
        <v>1</v>
      </c>
      <c r="F125" s="696">
        <f t="shared" ca="1" si="19"/>
        <v>22</v>
      </c>
      <c r="G125" s="696">
        <f t="shared" ca="1" si="20"/>
        <v>0</v>
      </c>
      <c r="H125" s="696">
        <f t="shared" ca="1" si="21"/>
        <v>0</v>
      </c>
      <c r="I125" s="696">
        <f t="shared" ca="1" si="22"/>
        <v>0</v>
      </c>
      <c r="J125" s="696">
        <f t="shared" ca="1" si="28"/>
        <v>110</v>
      </c>
      <c r="K125" s="696">
        <f ca="1">IF(OR($C125="S",$C125=0),0,MATCH(OFFSET($D125,0,$C125)+IF($C125&lt;&gt;1,1,COUNTIF(QCI!$A$13:$A$24,ORÇAMENTO!E125)),OFFSET($D125,1,$C125,ROW($C$235)-ROW($C125)),0))</f>
        <v>4</v>
      </c>
      <c r="L125" s="114" t="str">
        <f t="shared" ca="1" si="23"/>
        <v>F</v>
      </c>
      <c r="M125" s="115" t="s">
        <v>702</v>
      </c>
      <c r="N125" s="116" t="str">
        <f t="shared" ca="1" si="24"/>
        <v>Nível 2</v>
      </c>
      <c r="O125" s="117" t="str">
        <f t="shared" ca="1" si="25"/>
        <v>1.22.</v>
      </c>
      <c r="P125" s="118" t="s">
        <v>750</v>
      </c>
      <c r="Q125" s="119"/>
      <c r="R125" s="120" t="s">
        <v>1108</v>
      </c>
      <c r="S125" s="121" t="s">
        <v>688</v>
      </c>
      <c r="T125" s="122">
        <f ca="1">OFFSET(CÁLCULO!H$15,ROW($T125)-ROW(T$15),0)</f>
        <v>0</v>
      </c>
      <c r="U125" s="123"/>
      <c r="V125" s="124" t="s">
        <v>663</v>
      </c>
      <c r="W125" s="122">
        <f t="array" aca="1" ref="W125" ca="1">IF($C125="S",ROUND(IF(TIPOORCAMENTO="Proposto",ORÇAMENTO.CustoUnitario*(1+$AH125),ORÇAMENTO.PrecoUnitarioLicitado),15-13*$AF$10),0)</f>
        <v>0</v>
      </c>
      <c r="X125" s="125">
        <f t="array" aca="1" ref="X125" ca="1">IF($C125="S",IF(OR(Import.TipoArredondamento&lt;&gt;"TransfereGOV",ACOMPANHAMENTO="BM"),VTOTAL1,SUM(OFFSET(CÁLCULO!$AI$15,ROW($X125)-ROW($X$15),1):OFFSET(CÁLCULO!$BB$15,ROW($X125)-ROW($X$15),-1))),IF($C125=0,0,ROUND(SomaAgrup,15-13*$AF$11)))</f>
        <v>29004.400000000001</v>
      </c>
      <c r="Y125" s="126" t="s">
        <v>751</v>
      </c>
      <c r="Z125" s="696" t="str">
        <f t="shared" ca="1" si="26"/>
        <v/>
      </c>
      <c r="AA125" s="127">
        <f t="array" aca="1" ref="AA125" ca="1">IF($C125="S",IF($Z125="CP",$X125,IF($Z125="RA",(($X125)*QCI!$AA$3),0)),SomaAgrup)</f>
        <v>0</v>
      </c>
      <c r="AB125" s="128">
        <f t="array" aca="1" ref="AB125" ca="1">IF($C125="S",IF($Z125="OU",ROUND($X125,2),0),SomaAgrup)</f>
        <v>0</v>
      </c>
      <c r="AC125" s="563" t="str">
        <f t="array" aca="1" ref="AC125" ca="1">IF($N125=""," ",
IF(AND($C125&lt;&gt;"S",OR($R125="",$R125="(digite a descrição aqui)")),"DESCRIÇÃO",
IF(AND($C125="S",OR($Q125&lt;&gt;"",$T125&gt;0,$U125&gt;0),$P125=""),"FONTE",
IF(AND($C125="S",$P125&lt;&gt;"",OR($T125&gt;0,$U125&gt;0),$Q125=""),"CÓDIGO",
IF(AND($C125="S",$P125&lt;&gt;"",$Q125&lt;&gt;"",$R125="(Código não identificado nas referências)"),"CÓDIGO N/ID",
IF(AND($C125="S",OR($R125="",$R125="(digite a descrição aqui)"),OR($Q125&lt;&gt;"",$T125&gt;0,$U125&gt;0)),"DESCRIÇÃO",
IF(AND($C125="S",$P125&lt;&gt;"",$Q125&lt;&gt;"",$S125=""),"UNIDADE",
IF(AND($C125="S",$P125&lt;&gt;"",$Q125&lt;&gt;"",$U125=0),"SEM CUSTO",
IF(AND(TIPOORCAMENTO="Licitado",$AL125=0,$AN125&gt;0),"SEM PREÇO",
IF(AND($C125="S",$P125&lt;&gt;"",$Q125&lt;&gt;"",$U125&gt;0,AND($V125&lt;&gt;"BDI 1",$V125&lt;&gt;"BDI 2",$V125&lt;&gt;"BDI 3")),IF(ISNUMBER($V125),"JUSTIFICAR BDI","BDI"),
IF(OR(AND(import.recurso="OGU",TIPOORCAMENTO="Proposto",LEFT($O$8,5)&lt;&gt;"(N/D:",$AG125&lt;&gt;"",ORÇAMENTO.CustoUnitario&gt;$AG125),AND(TIPOORCAMENTO="LICITADO",ORÇAMENTO.PrecoUnitarioLicitado&gt;$AN125)),"ACIMA REF.",
IF(AND($C125="S",$P125&lt;&gt;"",$Q125&lt;&gt;"",$T125=0,$U125&gt;0),"QUANT.",
IF(AND(Import.TipoArredondamento="TransfereGOV",$L125="F",$C125="S",LEN($Q125)&gt;13),"Código &gt;13",
IF(AND(Import.TipoArredondamento="TransfereGOV",$L125="F",$C125&lt;&gt;"S",LEN($R125)&gt;100),"Descrição &gt;100",
IF(AND(Import.TipoArredondamento="TransfereGOV",$L125="F",$C125="S",LEN($R125)&gt;500),"Descrição &gt;500",
IF(AND(Import.TipoArredondamento="TransfereGOV",$L125="F",$C125="S",LEFT(TRIM(UPPER($P125)),6)&lt;&gt;"SINAPI",ISNA(VLOOKUP(TRIM(UPPER($S125)),ListaTgov.Unidades,1,FALSE))),"Unid. Não Disp",
" "))))))))))))))))</f>
        <v xml:space="preserve"> </v>
      </c>
      <c r="AD125" s="696">
        <f ca="1">IF(C125&lt;=CRONO.NivelExibicao,MAX($AD$15:OFFSET(AD125,-1,0))+IF($C125&lt;&gt;1,1,MAX(1,COUNTIF(QCI!$A$13:$A$24,OFFSET($E125,-1,0)))),"")</f>
        <v>23</v>
      </c>
      <c r="AE125" s="694" t="b">
        <f t="array" aca="1" ref="AE125" ca="1">IF(AND($C125="S",ORÇAMENTO.CodBarra&lt;&gt;""),IF(ORÇAMENTO.Fonte="",ORÇAMENTO.CodBarra,CONCATENATE(ORÇAMENTO.Fonte," ",ORÇAMENTO.CodBarra)))</f>
        <v>0</v>
      </c>
      <c r="AF125" s="695" t="str">
        <f t="array" aca="1" ref="AF125" ca="1">IF(ISERROR(ORÇAMENTO.BancoRef),"(abra o arquivo 'Referência "&amp;Excel_BuiltIn_Database&amp;".xlsm)",IF(OR($C125&lt;&gt;"S",ORÇAMENTO.CodBarra=""),"(Sem Código)",IF(ISERROR(MATCH($AE125,INDIRECT(ORÇAMENTO.BancoRef),0)),"(Código não identificado nas referências)",MATCH($AE125,INDIRECT(ORÇAMENTO.BancoRef),0))))</f>
        <v>(Sem Código)</v>
      </c>
      <c r="AG125" s="428">
        <f t="array" aca="1" ref="AG125" ca="1">ROUND(IF(DESONERACAO="sim",REFERENCIA.Desonerado,REFERENCIA.NaoDesonerado),2)</f>
        <v>0</v>
      </c>
      <c r="AH125" s="429">
        <f t="shared" ca="1" si="27"/>
        <v>0.29389999999999999</v>
      </c>
      <c r="AJ125" s="431"/>
      <c r="AL125" s="439"/>
      <c r="AM125" s="336">
        <f t="shared" ca="1" si="0"/>
        <v>29004.400000000001</v>
      </c>
      <c r="AN125" s="469">
        <f t="array" aca="1" ref="AN125" ca="1">ROUND(ORÇAMENTO.CustoUnitario*(1+$AH125),2)</f>
        <v>0</v>
      </c>
    </row>
    <row r="126" spans="1:40" s="696" customFormat="1" ht="25.5" x14ac:dyDescent="0.2">
      <c r="A126" s="696" t="str">
        <f t="shared" si="15"/>
        <v>S</v>
      </c>
      <c r="B126" s="696">
        <f t="shared" ca="1" si="16"/>
        <v>2</v>
      </c>
      <c r="C126" s="696" t="str">
        <f t="shared" ca="1" si="17"/>
        <v>S</v>
      </c>
      <c r="D126" s="696">
        <f t="shared" ca="1" si="18"/>
        <v>0</v>
      </c>
      <c r="E126" s="696">
        <f ca="1">IF($C126=1,OFFSET(E126,-1,0)+MAX(1,COUNTIF(QCI!$A$13:$A$24,OFFSET(ORÇAMENTO!E126,-1,0))),OFFSET(E126,-1,0))</f>
        <v>1</v>
      </c>
      <c r="F126" s="696">
        <f t="shared" ca="1" si="19"/>
        <v>22</v>
      </c>
      <c r="G126" s="696">
        <f t="shared" ca="1" si="20"/>
        <v>0</v>
      </c>
      <c r="H126" s="696">
        <f t="shared" ca="1" si="21"/>
        <v>0</v>
      </c>
      <c r="I126" s="696">
        <f t="shared" ca="1" si="22"/>
        <v>1</v>
      </c>
      <c r="J126" s="696">
        <f t="shared" ca="1" si="28"/>
        <v>0</v>
      </c>
      <c r="K126" s="696">
        <f ca="1">IF(OR($C126="S",$C126=0),0,MATCH(OFFSET($D126,0,$C126)+IF($C126&lt;&gt;1,1,COUNTIF(QCI!$A$13:$A$24,ORÇAMENTO!E126)),OFFSET($D126,1,$C126,ROW($C$235)-ROW($C126)),0))</f>
        <v>0</v>
      </c>
      <c r="L126" s="114" t="str">
        <f t="shared" ca="1" si="23"/>
        <v>F</v>
      </c>
      <c r="M126" s="115" t="s">
        <v>705</v>
      </c>
      <c r="N126" s="116" t="str">
        <f t="shared" ca="1" si="24"/>
        <v>Serviço</v>
      </c>
      <c r="O126" s="117" t="str">
        <f t="shared" ca="1" si="25"/>
        <v>1.22.1.</v>
      </c>
      <c r="P126" s="118" t="s">
        <v>750</v>
      </c>
      <c r="Q126" s="119" t="s">
        <v>1109</v>
      </c>
      <c r="R126" s="120" t="str">
        <f t="array" aca="1" ref="R126" ca="1">IF($C126="S",REFERENCIA.Descricao,"(digite a descrição aqui)")</f>
        <v>SOLEIRA EM MÁRMORE, LARGURA 15 CM, ESPESSURA 2,0 CM. AF_09/2020</v>
      </c>
      <c r="S126" s="121" t="str">
        <f t="array" aca="1" ref="S126" ca="1">REFERENCIA.Unidade</f>
        <v>M</v>
      </c>
      <c r="T126" s="122">
        <f ca="1">OFFSET(CÁLCULO!H$15,ROW($T126)-ROW(T$15),0)</f>
        <v>50.4</v>
      </c>
      <c r="U126" s="123">
        <f>84.38*0.94</f>
        <v>79.317199999999985</v>
      </c>
      <c r="V126" s="124" t="s">
        <v>697</v>
      </c>
      <c r="W126" s="122">
        <f t="array" aca="1" ref="W126" ca="1">IF($C126="S",ROUND(IF(TIPOORCAMENTO="Proposto",ORÇAMENTO.CustoUnitario*(1+$AH126),ORÇAMENTO.PrecoUnitarioLicitado),15-13*$AF$10),0)</f>
        <v>95.45</v>
      </c>
      <c r="X126" s="125">
        <f t="array" aca="1" ref="X126" ca="1">IF($C126="S",IF(OR(Import.TipoArredondamento&lt;&gt;"TransfereGOV",ACOMPANHAMENTO="BM"),VTOTAL1,SUM(OFFSET(CÁLCULO!$AI$15,ROW($X126)-ROW($X$15),1):OFFSET(CÁLCULO!$BB$15,ROW($X126)-ROW($X$15),-1))),IF($C126=0,0,ROUND(SomaAgrup,15-13*$AF$11)))</f>
        <v>4810.68</v>
      </c>
      <c r="Y126" s="126" t="s">
        <v>751</v>
      </c>
      <c r="Z126" s="696" t="str">
        <f t="shared" ca="1" si="26"/>
        <v>RA</v>
      </c>
      <c r="AA126" s="127">
        <f t="array" aca="1" ref="AA126" ca="1">IF($C126="S",IF($Z126="CP",$X126,IF($Z126="RA",(($X126)*QCI!$AA$3),0)),SomaAgrup)</f>
        <v>0</v>
      </c>
      <c r="AB126" s="128">
        <f t="array" aca="1" ref="AB126" ca="1">IF($C126="S",IF($Z126="OU",ROUND($X126,2),0),SomaAgrup)</f>
        <v>0</v>
      </c>
      <c r="AC126" s="563" t="str">
        <f t="array" aca="1" ref="AC126" ca="1">IF($N126=""," ",
IF(AND($C126&lt;&gt;"S",OR($R126="",$R126="(digite a descrição aqui)")),"DESCRIÇÃO",
IF(AND($C126="S",OR($Q126&lt;&gt;"",$T126&gt;0,$U126&gt;0),$P126=""),"FONTE",
IF(AND($C126="S",$P126&lt;&gt;"",OR($T126&gt;0,$U126&gt;0),$Q126=""),"CÓDIGO",
IF(AND($C126="S",$P126&lt;&gt;"",$Q126&lt;&gt;"",$R126="(Código não identificado nas referências)"),"CÓDIGO N/ID",
IF(AND($C126="S",OR($R126="",$R126="(digite a descrição aqui)"),OR($Q126&lt;&gt;"",$T126&gt;0,$U126&gt;0)),"DESCRIÇÃO",
IF(AND($C126="S",$P126&lt;&gt;"",$Q126&lt;&gt;"",$S126=""),"UNIDADE",
IF(AND($C126="S",$P126&lt;&gt;"",$Q126&lt;&gt;"",$U126=0),"SEM CUSTO",
IF(AND(TIPOORCAMENTO="Licitado",$AL126=0,$AN126&gt;0),"SEM PREÇO",
IF(AND($C126="S",$P126&lt;&gt;"",$Q126&lt;&gt;"",$U126&gt;0,AND($V126&lt;&gt;"BDI 1",$V126&lt;&gt;"BDI 2",$V126&lt;&gt;"BDI 3")),IF(ISNUMBER($V126),"JUSTIFICAR BDI","BDI"),
IF(OR(AND(import.recurso="OGU",TIPOORCAMENTO="Proposto",LEFT($O$8,5)&lt;&gt;"(N/D:",$AG126&lt;&gt;"",ORÇAMENTO.CustoUnitario&gt;$AG126),AND(TIPOORCAMENTO="LICITADO",ORÇAMENTO.PrecoUnitarioLicitado&gt;$AN126)),"ACIMA REF.",
IF(AND($C126="S",$P126&lt;&gt;"",$Q126&lt;&gt;"",$T126=0,$U126&gt;0),"QUANT.",
IF(AND(Import.TipoArredondamento="TransfereGOV",$L126="F",$C126="S",LEN($Q126)&gt;13),"Código &gt;13",
IF(AND(Import.TipoArredondamento="TransfereGOV",$L126="F",$C126&lt;&gt;"S",LEN($R126)&gt;100),"Descrição &gt;100",
IF(AND(Import.TipoArredondamento="TransfereGOV",$L126="F",$C126="S",LEN($R126)&gt;500),"Descrição &gt;500",
IF(AND(Import.TipoArredondamento="TransfereGOV",$L126="F",$C126="S",LEFT(TRIM(UPPER($P126)),6)&lt;&gt;"SINAPI",ISNA(VLOOKUP(TRIM(UPPER($S126)),ListaTgov.Unidades,1,FALSE))),"Unid. Não Disp",
" "))))))))))))))))</f>
        <v xml:space="preserve"> </v>
      </c>
      <c r="AD126" s="696" t="str">
        <f ca="1">IF(C126&lt;=CRONO.NivelExibicao,MAX($AD$15:OFFSET(AD126,-1,0))+IF($C126&lt;&gt;1,1,MAX(1,COUNTIF(QCI!$A$13:$A$24,OFFSET($E126,-1,0)))),"")</f>
        <v/>
      </c>
      <c r="AE126" s="694" t="str">
        <f t="array" aca="1" ref="AE126" ca="1">IF(AND($C126="S",ORÇAMENTO.CodBarra&lt;&gt;""),IF(ORÇAMENTO.Fonte="",ORÇAMENTO.CodBarra,CONCATENATE(ORÇAMENTO.Fonte," ",ORÇAMENTO.CodBarra)))</f>
        <v>SINAPI 98695</v>
      </c>
      <c r="AF126" s="695">
        <f t="array" aca="1" ref="AF126" ca="1">IF(ISERROR(ORÇAMENTO.BancoRef),"(abra o arquivo 'Referência "&amp;Excel_BuiltIn_Database&amp;".xlsm)",IF(OR($C126&lt;&gt;"S",ORÇAMENTO.CodBarra=""),"(Sem Código)",IF(ISERROR(MATCH($AE126,INDIRECT(ORÇAMENTO.BancoRef),0)),"(Código não identificado nas referências)",MATCH($AE126,INDIRECT(ORÇAMENTO.BancoRef),0))))</f>
        <v>14059</v>
      </c>
      <c r="AG126" s="428">
        <f t="array" aca="1" ref="AG126" ca="1">ROUND(IF(DESONERACAO="sim",REFERENCIA.Desonerado,REFERENCIA.NaoDesonerado),2)</f>
        <v>84.38</v>
      </c>
      <c r="AH126" s="429">
        <f t="shared" ca="1" si="27"/>
        <v>0.2034</v>
      </c>
      <c r="AJ126" s="431"/>
      <c r="AL126" s="439"/>
      <c r="AM126" s="336">
        <f t="shared" ca="1" si="0"/>
        <v>4810.68</v>
      </c>
      <c r="AN126" s="469">
        <f t="array" aca="1" ref="AN126" ca="1">ROUND(ORÇAMENTO.CustoUnitario*(1+$AH126),2)</f>
        <v>95.45</v>
      </c>
    </row>
    <row r="127" spans="1:40" s="696" customFormat="1" ht="25.5" x14ac:dyDescent="0.2">
      <c r="A127" s="696" t="str">
        <f t="shared" si="15"/>
        <v>S</v>
      </c>
      <c r="B127" s="696">
        <f t="shared" ca="1" si="16"/>
        <v>2</v>
      </c>
      <c r="C127" s="696" t="str">
        <f t="shared" ca="1" si="17"/>
        <v>S</v>
      </c>
      <c r="D127" s="696">
        <f t="shared" ca="1" si="18"/>
        <v>0</v>
      </c>
      <c r="E127" s="696">
        <f ca="1">IF($C127=1,OFFSET(E127,-1,0)+MAX(1,COUNTIF(QCI!$A$13:$A$24,OFFSET(ORÇAMENTO!E127,-1,0))),OFFSET(E127,-1,0))</f>
        <v>1</v>
      </c>
      <c r="F127" s="696">
        <f t="shared" ca="1" si="19"/>
        <v>22</v>
      </c>
      <c r="G127" s="696">
        <f t="shared" ca="1" si="20"/>
        <v>0</v>
      </c>
      <c r="H127" s="696">
        <f t="shared" ca="1" si="21"/>
        <v>0</v>
      </c>
      <c r="I127" s="696">
        <f t="shared" ca="1" si="22"/>
        <v>2</v>
      </c>
      <c r="J127" s="696">
        <f t="shared" ca="1" si="28"/>
        <v>0</v>
      </c>
      <c r="K127" s="696">
        <f ca="1">IF(OR($C127="S",$C127=0),0,MATCH(OFFSET($D127,0,$C127)+IF($C127&lt;&gt;1,1,COUNTIF(QCI!$A$13:$A$24,ORÇAMENTO!E127)),OFFSET($D127,1,$C127,ROW($C$235)-ROW($C127)),0))</f>
        <v>0</v>
      </c>
      <c r="L127" s="114" t="str">
        <f t="shared" ca="1" si="23"/>
        <v>F</v>
      </c>
      <c r="M127" s="115" t="s">
        <v>705</v>
      </c>
      <c r="N127" s="116" t="str">
        <f t="shared" ca="1" si="24"/>
        <v>Serviço</v>
      </c>
      <c r="O127" s="117" t="str">
        <f t="shared" ca="1" si="25"/>
        <v>1.22.2.</v>
      </c>
      <c r="P127" s="118" t="s">
        <v>750</v>
      </c>
      <c r="Q127" s="119" t="s">
        <v>1110</v>
      </c>
      <c r="R127" s="120" t="str">
        <f t="array" aca="1" ref="R127" ca="1">IF($C127="S",REFERENCIA.Descricao,"(digite a descrição aqui)")</f>
        <v>RODAPÉ CERÂMICO DE 7CM DE ALTURA COM PLACAS TIPO ESMALTADA DE DIMENSÕES 35X35CM. AF_02/2023</v>
      </c>
      <c r="S127" s="121" t="str">
        <f t="array" aca="1" ref="S127" ca="1">REFERENCIA.Unidade</f>
        <v>M</v>
      </c>
      <c r="T127" s="122">
        <f ca="1">OFFSET(CÁLCULO!H$15,ROW($T127)-ROW(T$15),0)</f>
        <v>774</v>
      </c>
      <c r="U127" s="123">
        <f>7.94*0.94</f>
        <v>7.4635999999999996</v>
      </c>
      <c r="V127" s="124" t="s">
        <v>697</v>
      </c>
      <c r="W127" s="122">
        <f t="array" aca="1" ref="W127" ca="1">IF($C127="S",ROUND(IF(TIPOORCAMENTO="Proposto",ORÇAMENTO.CustoUnitario*(1+$AH127),ORÇAMENTO.PrecoUnitarioLicitado),15-13*$AF$10),0)</f>
        <v>8.98</v>
      </c>
      <c r="X127" s="125">
        <f t="array" aca="1" ref="X127" ca="1">IF($C127="S",IF(OR(Import.TipoArredondamento&lt;&gt;"TransfereGOV",ACOMPANHAMENTO="BM"),VTOTAL1,SUM(OFFSET(CÁLCULO!$AI$15,ROW($X127)-ROW($X$15),1):OFFSET(CÁLCULO!$BB$15,ROW($X127)-ROW($X$15),-1))),IF($C127=0,0,ROUND(SomaAgrup,15-13*$AF$11)))</f>
        <v>6950.52</v>
      </c>
      <c r="Y127" s="126" t="s">
        <v>751</v>
      </c>
      <c r="Z127" s="696" t="str">
        <f t="shared" ca="1" si="26"/>
        <v>RA</v>
      </c>
      <c r="AA127" s="127">
        <f t="array" aca="1" ref="AA127" ca="1">IF($C127="S",IF($Z127="CP",$X127,IF($Z127="RA",(($X127)*QCI!$AA$3),0)),SomaAgrup)</f>
        <v>0</v>
      </c>
      <c r="AB127" s="128">
        <f t="array" aca="1" ref="AB127" ca="1">IF($C127="S",IF($Z127="OU",ROUND($X127,2),0),SomaAgrup)</f>
        <v>0</v>
      </c>
      <c r="AC127" s="563" t="str">
        <f t="array" aca="1" ref="AC127" ca="1">IF($N127=""," ",
IF(AND($C127&lt;&gt;"S",OR($R127="",$R127="(digite a descrição aqui)")),"DESCRIÇÃO",
IF(AND($C127="S",OR($Q127&lt;&gt;"",$T127&gt;0,$U127&gt;0),$P127=""),"FONTE",
IF(AND($C127="S",$P127&lt;&gt;"",OR($T127&gt;0,$U127&gt;0),$Q127=""),"CÓDIGO",
IF(AND($C127="S",$P127&lt;&gt;"",$Q127&lt;&gt;"",$R127="(Código não identificado nas referências)"),"CÓDIGO N/ID",
IF(AND($C127="S",OR($R127="",$R127="(digite a descrição aqui)"),OR($Q127&lt;&gt;"",$T127&gt;0,$U127&gt;0)),"DESCRIÇÃO",
IF(AND($C127="S",$P127&lt;&gt;"",$Q127&lt;&gt;"",$S127=""),"UNIDADE",
IF(AND($C127="S",$P127&lt;&gt;"",$Q127&lt;&gt;"",$U127=0),"SEM CUSTO",
IF(AND(TIPOORCAMENTO="Licitado",$AL127=0,$AN127&gt;0),"SEM PREÇO",
IF(AND($C127="S",$P127&lt;&gt;"",$Q127&lt;&gt;"",$U127&gt;0,AND($V127&lt;&gt;"BDI 1",$V127&lt;&gt;"BDI 2",$V127&lt;&gt;"BDI 3")),IF(ISNUMBER($V127),"JUSTIFICAR BDI","BDI"),
IF(OR(AND(import.recurso="OGU",TIPOORCAMENTO="Proposto",LEFT($O$8,5)&lt;&gt;"(N/D:",$AG127&lt;&gt;"",ORÇAMENTO.CustoUnitario&gt;$AG127),AND(TIPOORCAMENTO="LICITADO",ORÇAMENTO.PrecoUnitarioLicitado&gt;$AN127)),"ACIMA REF.",
IF(AND($C127="S",$P127&lt;&gt;"",$Q127&lt;&gt;"",$T127=0,$U127&gt;0),"QUANT.",
IF(AND(Import.TipoArredondamento="TransfereGOV",$L127="F",$C127="S",LEN($Q127)&gt;13),"Código &gt;13",
IF(AND(Import.TipoArredondamento="TransfereGOV",$L127="F",$C127&lt;&gt;"S",LEN($R127)&gt;100),"Descrição &gt;100",
IF(AND(Import.TipoArredondamento="TransfereGOV",$L127="F",$C127="S",LEN($R127)&gt;500),"Descrição &gt;500",
IF(AND(Import.TipoArredondamento="TransfereGOV",$L127="F",$C127="S",LEFT(TRIM(UPPER($P127)),6)&lt;&gt;"SINAPI",ISNA(VLOOKUP(TRIM(UPPER($S127)),ListaTgov.Unidades,1,FALSE))),"Unid. Não Disp",
" "))))))))))))))))</f>
        <v xml:space="preserve"> </v>
      </c>
      <c r="AD127" s="696" t="str">
        <f ca="1">IF(C127&lt;=CRONO.NivelExibicao,MAX($AD$15:OFFSET(AD127,-1,0))+IF($C127&lt;&gt;1,1,MAX(1,COUNTIF(QCI!$A$13:$A$24,OFFSET($E127,-1,0)))),"")</f>
        <v/>
      </c>
      <c r="AE127" s="694" t="str">
        <f t="array" aca="1" ref="AE127" ca="1">IF(AND($C127="S",ORÇAMENTO.CodBarra&lt;&gt;""),IF(ORÇAMENTO.Fonte="",ORÇAMENTO.CodBarra,CONCATENATE(ORÇAMENTO.Fonte," ",ORÇAMENTO.CodBarra)))</f>
        <v>SINAPI 88648</v>
      </c>
      <c r="AF127" s="695">
        <f t="array" aca="1" ref="AF127" ca="1">IF(ISERROR(ORÇAMENTO.BancoRef),"(abra o arquivo 'Referência "&amp;Excel_BuiltIn_Database&amp;".xlsm)",IF(OR($C127&lt;&gt;"S",ORÇAMENTO.CodBarra=""),"(Sem Código)",IF(ISERROR(MATCH($AE127,INDIRECT(ORÇAMENTO.BancoRef),0)),"(Código não identificado nas referências)",MATCH($AE127,INDIRECT(ORÇAMENTO.BancoRef),0))))</f>
        <v>14844</v>
      </c>
      <c r="AG127" s="428">
        <f t="array" aca="1" ref="AG127" ca="1">ROUND(IF(DESONERACAO="sim",REFERENCIA.Desonerado,REFERENCIA.NaoDesonerado),2)</f>
        <v>7.94</v>
      </c>
      <c r="AH127" s="429">
        <f t="shared" ca="1" si="27"/>
        <v>0.2034</v>
      </c>
      <c r="AJ127" s="431"/>
      <c r="AL127" s="439"/>
      <c r="AM127" s="336">
        <f t="shared" ca="1" si="0"/>
        <v>6950.52</v>
      </c>
      <c r="AN127" s="469">
        <f t="array" aca="1" ref="AN127" ca="1">ROUND(ORÇAMENTO.CustoUnitario*(1+$AH127),2)</f>
        <v>8.98</v>
      </c>
    </row>
    <row r="128" spans="1:40" s="696" customFormat="1" ht="25.5" x14ac:dyDescent="0.2">
      <c r="A128" s="696" t="str">
        <f t="shared" si="15"/>
        <v>S</v>
      </c>
      <c r="B128" s="696">
        <f t="shared" ca="1" si="16"/>
        <v>2</v>
      </c>
      <c r="C128" s="696" t="str">
        <f t="shared" ca="1" si="17"/>
        <v>S</v>
      </c>
      <c r="D128" s="696">
        <f t="shared" ca="1" si="18"/>
        <v>0</v>
      </c>
      <c r="E128" s="696">
        <f ca="1">IF($C128=1,OFFSET(E128,-1,0)+MAX(1,COUNTIF(QCI!$A$13:$A$24,OFFSET(ORÇAMENTO!E128,-1,0))),OFFSET(E128,-1,0))</f>
        <v>1</v>
      </c>
      <c r="F128" s="696">
        <f t="shared" ca="1" si="19"/>
        <v>22</v>
      </c>
      <c r="G128" s="696">
        <f t="shared" ca="1" si="20"/>
        <v>0</v>
      </c>
      <c r="H128" s="696">
        <f t="shared" ca="1" si="21"/>
        <v>0</v>
      </c>
      <c r="I128" s="696">
        <f t="shared" ca="1" si="22"/>
        <v>3</v>
      </c>
      <c r="J128" s="696">
        <f t="shared" ca="1" si="28"/>
        <v>0</v>
      </c>
      <c r="K128" s="696">
        <f ca="1">IF(OR($C128="S",$C128=0),0,MATCH(OFFSET($D128,0,$C128)+IF($C128&lt;&gt;1,1,COUNTIF(QCI!$A$13:$A$24,ORÇAMENTO!E128)),OFFSET($D128,1,$C128,ROW($C$235)-ROW($C128)),0))</f>
        <v>0</v>
      </c>
      <c r="L128" s="114" t="str">
        <f t="shared" ca="1" si="23"/>
        <v>F</v>
      </c>
      <c r="M128" s="115" t="s">
        <v>705</v>
      </c>
      <c r="N128" s="116" t="str">
        <f t="shared" ca="1" si="24"/>
        <v>Serviço</v>
      </c>
      <c r="O128" s="117" t="str">
        <f t="shared" ca="1" si="25"/>
        <v>1.22.3.</v>
      </c>
      <c r="P128" s="118" t="s">
        <v>750</v>
      </c>
      <c r="Q128" s="119" t="s">
        <v>1111</v>
      </c>
      <c r="R128" s="120" t="str">
        <f t="array" aca="1" ref="R128" ca="1">IF($C128="S",REFERENCIA.Descricao,"(digite a descrição aqui)")</f>
        <v>PEITORIL LINEAR EM GRANITO OU MÁRMORE, L = 15CM, ASSENTADO COM ARGAMASSA 1:6 COM ADITIVO. AF_11/2020</v>
      </c>
      <c r="S128" s="121" t="str">
        <f t="array" aca="1" ref="S128" ca="1">REFERENCIA.Unidade</f>
        <v>M</v>
      </c>
      <c r="T128" s="122">
        <f ca="1">OFFSET(CÁLCULO!H$15,ROW($T128)-ROW(T$15),0)</f>
        <v>130</v>
      </c>
      <c r="U128" s="123">
        <f>117.25*0.94</f>
        <v>110.21499999999999</v>
      </c>
      <c r="V128" s="124" t="s">
        <v>697</v>
      </c>
      <c r="W128" s="122">
        <f t="array" aca="1" ref="W128" ca="1">IF($C128="S",ROUND(IF(TIPOORCAMENTO="Proposto",ORÇAMENTO.CustoUnitario*(1+$AH128),ORÇAMENTO.PrecoUnitarioLicitado),15-13*$AF$10),0)</f>
        <v>132.63999999999999</v>
      </c>
      <c r="X128" s="125">
        <f t="array" aca="1" ref="X128" ca="1">IF($C128="S",IF(OR(Import.TipoArredondamento&lt;&gt;"TransfereGOV",ACOMPANHAMENTO="BM"),VTOTAL1,SUM(OFFSET(CÁLCULO!$AI$15,ROW($X128)-ROW($X$15),1):OFFSET(CÁLCULO!$BB$15,ROW($X128)-ROW($X$15),-1))),IF($C128=0,0,ROUND(SomaAgrup,15-13*$AF$11)))</f>
        <v>17243.2</v>
      </c>
      <c r="Y128" s="126" t="s">
        <v>751</v>
      </c>
      <c r="Z128" s="696" t="str">
        <f t="shared" ca="1" si="26"/>
        <v>RA</v>
      </c>
      <c r="AA128" s="127">
        <f t="array" aca="1" ref="AA128" ca="1">IF($C128="S",IF($Z128="CP",$X128,IF($Z128="RA",(($X128)*QCI!$AA$3),0)),SomaAgrup)</f>
        <v>0</v>
      </c>
      <c r="AB128" s="128">
        <f t="array" aca="1" ref="AB128" ca="1">IF($C128="S",IF($Z128="OU",ROUND($X128,2),0),SomaAgrup)</f>
        <v>0</v>
      </c>
      <c r="AC128" s="563" t="str">
        <f t="array" aca="1" ref="AC128" ca="1">IF($N128=""," ",
IF(AND($C128&lt;&gt;"S",OR($R128="",$R128="(digite a descrição aqui)")),"DESCRIÇÃO",
IF(AND($C128="S",OR($Q128&lt;&gt;"",$T128&gt;0,$U128&gt;0),$P128=""),"FONTE",
IF(AND($C128="S",$P128&lt;&gt;"",OR($T128&gt;0,$U128&gt;0),$Q128=""),"CÓDIGO",
IF(AND($C128="S",$P128&lt;&gt;"",$Q128&lt;&gt;"",$R128="(Código não identificado nas referências)"),"CÓDIGO N/ID",
IF(AND($C128="S",OR($R128="",$R128="(digite a descrição aqui)"),OR($Q128&lt;&gt;"",$T128&gt;0,$U128&gt;0)),"DESCRIÇÃO",
IF(AND($C128="S",$P128&lt;&gt;"",$Q128&lt;&gt;"",$S128=""),"UNIDADE",
IF(AND($C128="S",$P128&lt;&gt;"",$Q128&lt;&gt;"",$U128=0),"SEM CUSTO",
IF(AND(TIPOORCAMENTO="Licitado",$AL128=0,$AN128&gt;0),"SEM PREÇO",
IF(AND($C128="S",$P128&lt;&gt;"",$Q128&lt;&gt;"",$U128&gt;0,AND($V128&lt;&gt;"BDI 1",$V128&lt;&gt;"BDI 2",$V128&lt;&gt;"BDI 3")),IF(ISNUMBER($V128),"JUSTIFICAR BDI","BDI"),
IF(OR(AND(import.recurso="OGU",TIPOORCAMENTO="Proposto",LEFT($O$8,5)&lt;&gt;"(N/D:",$AG128&lt;&gt;"",ORÇAMENTO.CustoUnitario&gt;$AG128),AND(TIPOORCAMENTO="LICITADO",ORÇAMENTO.PrecoUnitarioLicitado&gt;$AN128)),"ACIMA REF.",
IF(AND($C128="S",$P128&lt;&gt;"",$Q128&lt;&gt;"",$T128=0,$U128&gt;0),"QUANT.",
IF(AND(Import.TipoArredondamento="TransfereGOV",$L128="F",$C128="S",LEN($Q128)&gt;13),"Código &gt;13",
IF(AND(Import.TipoArredondamento="TransfereGOV",$L128="F",$C128&lt;&gt;"S",LEN($R128)&gt;100),"Descrição &gt;100",
IF(AND(Import.TipoArredondamento="TransfereGOV",$L128="F",$C128="S",LEN($R128)&gt;500),"Descrição &gt;500",
IF(AND(Import.TipoArredondamento="TransfereGOV",$L128="F",$C128="S",LEFT(TRIM(UPPER($P128)),6)&lt;&gt;"SINAPI",ISNA(VLOOKUP(TRIM(UPPER($S128)),ListaTgov.Unidades,1,FALSE))),"Unid. Não Disp",
" "))))))))))))))))</f>
        <v xml:space="preserve"> </v>
      </c>
      <c r="AD128" s="696" t="str">
        <f ca="1">IF(C128&lt;=CRONO.NivelExibicao,MAX($AD$15:OFFSET(AD128,-1,0))+IF($C128&lt;&gt;1,1,MAX(1,COUNTIF(QCI!$A$13:$A$24,OFFSET($E128,-1,0)))),"")</f>
        <v/>
      </c>
      <c r="AE128" s="694" t="str">
        <f t="array" aca="1" ref="AE128" ca="1">IF(AND($C128="S",ORÇAMENTO.CodBarra&lt;&gt;""),IF(ORÇAMENTO.Fonte="",ORÇAMENTO.CodBarra,CONCATENATE(ORÇAMENTO.Fonte," ",ORÇAMENTO.CodBarra)))</f>
        <v>SINAPI 101965</v>
      </c>
      <c r="AF128" s="695">
        <f t="array" aca="1" ref="AF128" ca="1">IF(ISERROR(ORÇAMENTO.BancoRef),"(abra o arquivo 'Referência "&amp;Excel_BuiltIn_Database&amp;".xlsm)",IF(OR($C128&lt;&gt;"S",ORÇAMENTO.CodBarra=""),"(Sem Código)",IF(ISERROR(MATCH($AE128,INDIRECT(ORÇAMENTO.BancoRef),0)),"(Código não identificado nas referências)",MATCH($AE128,INDIRECT(ORÇAMENTO.BancoRef),0))))</f>
        <v>13761</v>
      </c>
      <c r="AG128" s="428">
        <f t="array" aca="1" ref="AG128" ca="1">ROUND(IF(DESONERACAO="sim",REFERENCIA.Desonerado,REFERENCIA.NaoDesonerado),2)</f>
        <v>117.25</v>
      </c>
      <c r="AH128" s="429">
        <f t="shared" ca="1" si="27"/>
        <v>0.2034</v>
      </c>
      <c r="AJ128" s="431"/>
      <c r="AL128" s="439"/>
      <c r="AM128" s="336">
        <f t="shared" ca="1" si="0"/>
        <v>17243.2</v>
      </c>
      <c r="AN128" s="469">
        <f t="array" aca="1" ref="AN128" ca="1">ROUND(ORÇAMENTO.CustoUnitario*(1+$AH128),2)</f>
        <v>132.63999999999999</v>
      </c>
    </row>
    <row r="129" spans="1:40" s="696" customFormat="1" x14ac:dyDescent="0.2">
      <c r="A129" s="696">
        <f t="shared" si="15"/>
        <v>2</v>
      </c>
      <c r="B129" s="696">
        <f t="shared" ca="1" si="16"/>
        <v>2</v>
      </c>
      <c r="C129" s="696">
        <f t="shared" ca="1" si="17"/>
        <v>2</v>
      </c>
      <c r="D129" s="696">
        <f t="shared" ca="1" si="18"/>
        <v>8</v>
      </c>
      <c r="E129" s="696">
        <f ca="1">IF($C129=1,OFFSET(E129,-1,0)+MAX(1,COUNTIF(QCI!$A$13:$A$24,OFFSET(ORÇAMENTO!E129,-1,0))),OFFSET(E129,-1,0))</f>
        <v>1</v>
      </c>
      <c r="F129" s="696">
        <f t="shared" ca="1" si="19"/>
        <v>23</v>
      </c>
      <c r="G129" s="696">
        <f t="shared" ca="1" si="20"/>
        <v>0</v>
      </c>
      <c r="H129" s="696">
        <f t="shared" ca="1" si="21"/>
        <v>0</v>
      </c>
      <c r="I129" s="696">
        <f t="shared" ca="1" si="22"/>
        <v>0</v>
      </c>
      <c r="J129" s="696">
        <f t="shared" ca="1" si="28"/>
        <v>106</v>
      </c>
      <c r="K129" s="696">
        <f ca="1">IF(OR($C129="S",$C129=0),0,MATCH(OFFSET($D129,0,$C129)+IF($C129&lt;&gt;1,1,COUNTIF(QCI!$A$13:$A$24,ORÇAMENTO!E129)),OFFSET($D129,1,$C129,ROW($C$235)-ROW($C129)),0))</f>
        <v>8</v>
      </c>
      <c r="L129" s="114" t="str">
        <f t="shared" ca="1" si="23"/>
        <v>F</v>
      </c>
      <c r="M129" s="115" t="s">
        <v>702</v>
      </c>
      <c r="N129" s="116" t="str">
        <f t="shared" ca="1" si="24"/>
        <v>Nível 2</v>
      </c>
      <c r="O129" s="117" t="str">
        <f t="shared" ca="1" si="25"/>
        <v>1.23.</v>
      </c>
      <c r="P129" s="118" t="s">
        <v>750</v>
      </c>
      <c r="Q129" s="119"/>
      <c r="R129" s="120" t="s">
        <v>1112</v>
      </c>
      <c r="S129" s="121" t="s">
        <v>688</v>
      </c>
      <c r="T129" s="122">
        <f ca="1">OFFSET(CÁLCULO!H$15,ROW($T129)-ROW(T$15),0)</f>
        <v>0</v>
      </c>
      <c r="U129" s="123"/>
      <c r="V129" s="124" t="s">
        <v>663</v>
      </c>
      <c r="W129" s="122">
        <f t="array" aca="1" ref="W129" ca="1">IF($C129="S",ROUND(IF(TIPOORCAMENTO="Proposto",ORÇAMENTO.CustoUnitario*(1+$AH129),ORÇAMENTO.PrecoUnitarioLicitado),15-13*$AF$10),0)</f>
        <v>0</v>
      </c>
      <c r="X129" s="125">
        <f t="array" aca="1" ref="X129" ca="1">IF($C129="S",IF(OR(Import.TipoArredondamento&lt;&gt;"TransfereGOV",ACOMPANHAMENTO="BM"),VTOTAL1,SUM(OFFSET(CÁLCULO!$AI$15,ROW($X129)-ROW($X$15),1):OFFSET(CÁLCULO!$BB$15,ROW($X129)-ROW($X$15),-1))),IF($C129=0,0,ROUND(SomaAgrup,15-13*$AF$11)))</f>
        <v>52827.76</v>
      </c>
      <c r="Y129" s="126" t="s">
        <v>751</v>
      </c>
      <c r="Z129" s="696" t="str">
        <f t="shared" ca="1" si="26"/>
        <v/>
      </c>
      <c r="AA129" s="127">
        <f t="array" aca="1" ref="AA129" ca="1">IF($C129="S",IF($Z129="CP",$X129,IF($Z129="RA",(($X129)*QCI!$AA$3),0)),SomaAgrup)</f>
        <v>0</v>
      </c>
      <c r="AB129" s="128">
        <f t="array" aca="1" ref="AB129" ca="1">IF($C129="S",IF($Z129="OU",ROUND($X129,2),0),SomaAgrup)</f>
        <v>0</v>
      </c>
      <c r="AC129" s="563" t="str">
        <f t="array" aca="1" ref="AC129" ca="1">IF($N129=""," ",
IF(AND($C129&lt;&gt;"S",OR($R129="",$R129="(digite a descrição aqui)")),"DESCRIÇÃO",
IF(AND($C129="S",OR($Q129&lt;&gt;"",$T129&gt;0,$U129&gt;0),$P129=""),"FONTE",
IF(AND($C129="S",$P129&lt;&gt;"",OR($T129&gt;0,$U129&gt;0),$Q129=""),"CÓDIGO",
IF(AND($C129="S",$P129&lt;&gt;"",$Q129&lt;&gt;"",$R129="(Código não identificado nas referências)"),"CÓDIGO N/ID",
IF(AND($C129="S",OR($R129="",$R129="(digite a descrição aqui)"),OR($Q129&lt;&gt;"",$T129&gt;0,$U129&gt;0)),"DESCRIÇÃO",
IF(AND($C129="S",$P129&lt;&gt;"",$Q129&lt;&gt;"",$S129=""),"UNIDADE",
IF(AND($C129="S",$P129&lt;&gt;"",$Q129&lt;&gt;"",$U129=0),"SEM CUSTO",
IF(AND(TIPOORCAMENTO="Licitado",$AL129=0,$AN129&gt;0),"SEM PREÇO",
IF(AND($C129="S",$P129&lt;&gt;"",$Q129&lt;&gt;"",$U129&gt;0,AND($V129&lt;&gt;"BDI 1",$V129&lt;&gt;"BDI 2",$V129&lt;&gt;"BDI 3")),IF(ISNUMBER($V129),"JUSTIFICAR BDI","BDI"),
IF(OR(AND(import.recurso="OGU",TIPOORCAMENTO="Proposto",LEFT($O$8,5)&lt;&gt;"(N/D:",$AG129&lt;&gt;"",ORÇAMENTO.CustoUnitario&gt;$AG129),AND(TIPOORCAMENTO="LICITADO",ORÇAMENTO.PrecoUnitarioLicitado&gt;$AN129)),"ACIMA REF.",
IF(AND($C129="S",$P129&lt;&gt;"",$Q129&lt;&gt;"",$T129=0,$U129&gt;0),"QUANT.",
IF(AND(Import.TipoArredondamento="TransfereGOV",$L129="F",$C129="S",LEN($Q129)&gt;13),"Código &gt;13",
IF(AND(Import.TipoArredondamento="TransfereGOV",$L129="F",$C129&lt;&gt;"S",LEN($R129)&gt;100),"Descrição &gt;100",
IF(AND(Import.TipoArredondamento="TransfereGOV",$L129="F",$C129="S",LEN($R129)&gt;500),"Descrição &gt;500",
IF(AND(Import.TipoArredondamento="TransfereGOV",$L129="F",$C129="S",LEFT(TRIM(UPPER($P129)),6)&lt;&gt;"SINAPI",ISNA(VLOOKUP(TRIM(UPPER($S129)),ListaTgov.Unidades,1,FALSE))),"Unid. Não Disp",
" "))))))))))))))))</f>
        <v xml:space="preserve"> </v>
      </c>
      <c r="AD129" s="696">
        <f ca="1">IF(C129&lt;=CRONO.NivelExibicao,MAX($AD$15:OFFSET(AD129,-1,0))+IF($C129&lt;&gt;1,1,MAX(1,COUNTIF(QCI!$A$13:$A$24,OFFSET($E129,-1,0)))),"")</f>
        <v>24</v>
      </c>
      <c r="AE129" s="694" t="b">
        <f t="array" aca="1" ref="AE129" ca="1">IF(AND($C129="S",ORÇAMENTO.CodBarra&lt;&gt;""),IF(ORÇAMENTO.Fonte="",ORÇAMENTO.CodBarra,CONCATENATE(ORÇAMENTO.Fonte," ",ORÇAMENTO.CodBarra)))</f>
        <v>0</v>
      </c>
      <c r="AF129" s="695" t="str">
        <f t="array" aca="1" ref="AF129" ca="1">IF(ISERROR(ORÇAMENTO.BancoRef),"(abra o arquivo 'Referência "&amp;Excel_BuiltIn_Database&amp;".xlsm)",IF(OR($C129&lt;&gt;"S",ORÇAMENTO.CodBarra=""),"(Sem Código)",IF(ISERROR(MATCH($AE129,INDIRECT(ORÇAMENTO.BancoRef),0)),"(Código não identificado nas referências)",MATCH($AE129,INDIRECT(ORÇAMENTO.BancoRef),0))))</f>
        <v>(Sem Código)</v>
      </c>
      <c r="AG129" s="428">
        <f t="array" aca="1" ref="AG129" ca="1">ROUND(IF(DESONERACAO="sim",REFERENCIA.Desonerado,REFERENCIA.NaoDesonerado),2)</f>
        <v>0</v>
      </c>
      <c r="AH129" s="429">
        <f t="shared" ca="1" si="27"/>
        <v>0.29389999999999999</v>
      </c>
      <c r="AJ129" s="431"/>
      <c r="AL129" s="439"/>
      <c r="AM129" s="336">
        <f t="shared" ca="1" si="0"/>
        <v>52827.76</v>
      </c>
      <c r="AN129" s="469">
        <f t="array" aca="1" ref="AN129" ca="1">ROUND(ORÇAMENTO.CustoUnitario*(1+$AH129),2)</f>
        <v>0</v>
      </c>
    </row>
    <row r="130" spans="1:40" s="696" customFormat="1" ht="25.5" x14ac:dyDescent="0.2">
      <c r="A130" s="696" t="str">
        <f t="shared" si="15"/>
        <v>S</v>
      </c>
      <c r="B130" s="696">
        <f t="shared" ca="1" si="16"/>
        <v>2</v>
      </c>
      <c r="C130" s="696" t="str">
        <f t="shared" ca="1" si="17"/>
        <v>S</v>
      </c>
      <c r="D130" s="696">
        <f t="shared" ca="1" si="18"/>
        <v>0</v>
      </c>
      <c r="E130" s="696">
        <f ca="1">IF($C130=1,OFFSET(E130,-1,0)+MAX(1,COUNTIF(QCI!$A$13:$A$24,OFFSET(ORÇAMENTO!E130,-1,0))),OFFSET(E130,-1,0))</f>
        <v>1</v>
      </c>
      <c r="F130" s="696">
        <f t="shared" ca="1" si="19"/>
        <v>23</v>
      </c>
      <c r="G130" s="696">
        <f t="shared" ca="1" si="20"/>
        <v>0</v>
      </c>
      <c r="H130" s="696">
        <f t="shared" ca="1" si="21"/>
        <v>0</v>
      </c>
      <c r="I130" s="696">
        <f t="shared" ca="1" si="22"/>
        <v>1</v>
      </c>
      <c r="J130" s="696">
        <f t="shared" ca="1" si="28"/>
        <v>0</v>
      </c>
      <c r="K130" s="696">
        <f ca="1">IF(OR($C130="S",$C130=0),0,MATCH(OFFSET($D130,0,$C130)+IF($C130&lt;&gt;1,1,COUNTIF(QCI!$A$13:$A$24,ORÇAMENTO!E130)),OFFSET($D130,1,$C130,ROW($C$235)-ROW($C130)),0))</f>
        <v>0</v>
      </c>
      <c r="L130" s="114" t="str">
        <f t="shared" ca="1" si="23"/>
        <v>F</v>
      </c>
      <c r="M130" s="115" t="s">
        <v>705</v>
      </c>
      <c r="N130" s="116" t="str">
        <f t="shared" ca="1" si="24"/>
        <v>Serviço</v>
      </c>
      <c r="O130" s="117" t="str">
        <f t="shared" ca="1" si="25"/>
        <v>1.23.1.</v>
      </c>
      <c r="P130" s="118" t="s">
        <v>750</v>
      </c>
      <c r="Q130" s="119" t="s">
        <v>1113</v>
      </c>
      <c r="R130" s="120" t="str">
        <f t="array" aca="1" ref="R130" ca="1">IF($C130="S",REFERENCIA.Descricao,"(digite a descrição aqui)")</f>
        <v>DISJUNTOR MONOPOLAR TIPO DIN, CORRENTE NOMINAL DE 10A - FORNECIMENTO E INSTALAÇÃO. AF_07/2025</v>
      </c>
      <c r="S130" s="121" t="str">
        <f t="array" aca="1" ref="S130" ca="1">REFERENCIA.Unidade</f>
        <v>UN</v>
      </c>
      <c r="T130" s="122">
        <f ca="1">OFFSET(CÁLCULO!H$15,ROW($T130)-ROW(T$15),0)</f>
        <v>40</v>
      </c>
      <c r="U130" s="123">
        <f>14.6*0.94</f>
        <v>13.723999999999998</v>
      </c>
      <c r="V130" s="124" t="s">
        <v>697</v>
      </c>
      <c r="W130" s="122">
        <f t="array" aca="1" ref="W130" ca="1">IF($C130="S",ROUND(IF(TIPOORCAMENTO="Proposto",ORÇAMENTO.CustoUnitario*(1+$AH130),ORÇAMENTO.PrecoUnitarioLicitado),15-13*$AF$10),0)</f>
        <v>16.510000000000002</v>
      </c>
      <c r="X130" s="125">
        <f t="array" aca="1" ref="X130" ca="1">IF($C130="S",IF(OR(Import.TipoArredondamento&lt;&gt;"TransfereGOV",ACOMPANHAMENTO="BM"),VTOTAL1,SUM(OFFSET(CÁLCULO!$AI$15,ROW($X130)-ROW($X$15),1):OFFSET(CÁLCULO!$BB$15,ROW($X130)-ROW($X$15),-1))),IF($C130=0,0,ROUND(SomaAgrup,15-13*$AF$11)))</f>
        <v>660.4</v>
      </c>
      <c r="Y130" s="126" t="s">
        <v>751</v>
      </c>
      <c r="Z130" s="696" t="str">
        <f t="shared" ca="1" si="26"/>
        <v>RA</v>
      </c>
      <c r="AA130" s="127">
        <f t="array" aca="1" ref="AA130" ca="1">IF($C130="S",IF($Z130="CP",$X130,IF($Z130="RA",(($X130)*QCI!$AA$3),0)),SomaAgrup)</f>
        <v>0</v>
      </c>
      <c r="AB130" s="128">
        <f t="array" aca="1" ref="AB130" ca="1">IF($C130="S",IF($Z130="OU",ROUND($X130,2),0),SomaAgrup)</f>
        <v>0</v>
      </c>
      <c r="AC130" s="563" t="str">
        <f t="array" aca="1" ref="AC130" ca="1">IF($N130=""," ",
IF(AND($C130&lt;&gt;"S",OR($R130="",$R130="(digite a descrição aqui)")),"DESCRIÇÃO",
IF(AND($C130="S",OR($Q130&lt;&gt;"",$T130&gt;0,$U130&gt;0),$P130=""),"FONTE",
IF(AND($C130="S",$P130&lt;&gt;"",OR($T130&gt;0,$U130&gt;0),$Q130=""),"CÓDIGO",
IF(AND($C130="S",$P130&lt;&gt;"",$Q130&lt;&gt;"",$R130="(Código não identificado nas referências)"),"CÓDIGO N/ID",
IF(AND($C130="S",OR($R130="",$R130="(digite a descrição aqui)"),OR($Q130&lt;&gt;"",$T130&gt;0,$U130&gt;0)),"DESCRIÇÃO",
IF(AND($C130="S",$P130&lt;&gt;"",$Q130&lt;&gt;"",$S130=""),"UNIDADE",
IF(AND($C130="S",$P130&lt;&gt;"",$Q130&lt;&gt;"",$U130=0),"SEM CUSTO",
IF(AND(TIPOORCAMENTO="Licitado",$AL130=0,$AN130&gt;0),"SEM PREÇO",
IF(AND($C130="S",$P130&lt;&gt;"",$Q130&lt;&gt;"",$U130&gt;0,AND($V130&lt;&gt;"BDI 1",$V130&lt;&gt;"BDI 2",$V130&lt;&gt;"BDI 3")),IF(ISNUMBER($V130),"JUSTIFICAR BDI","BDI"),
IF(OR(AND(import.recurso="OGU",TIPOORCAMENTO="Proposto",LEFT($O$8,5)&lt;&gt;"(N/D:",$AG130&lt;&gt;"",ORÇAMENTO.CustoUnitario&gt;$AG130),AND(TIPOORCAMENTO="LICITADO",ORÇAMENTO.PrecoUnitarioLicitado&gt;$AN130)),"ACIMA REF.",
IF(AND($C130="S",$P130&lt;&gt;"",$Q130&lt;&gt;"",$T130=0,$U130&gt;0),"QUANT.",
IF(AND(Import.TipoArredondamento="TransfereGOV",$L130="F",$C130="S",LEN($Q130)&gt;13),"Código &gt;13",
IF(AND(Import.TipoArredondamento="TransfereGOV",$L130="F",$C130&lt;&gt;"S",LEN($R130)&gt;100),"Descrição &gt;100",
IF(AND(Import.TipoArredondamento="TransfereGOV",$L130="F",$C130="S",LEN($R130)&gt;500),"Descrição &gt;500",
IF(AND(Import.TipoArredondamento="TransfereGOV",$L130="F",$C130="S",LEFT(TRIM(UPPER($P130)),6)&lt;&gt;"SINAPI",ISNA(VLOOKUP(TRIM(UPPER($S130)),ListaTgov.Unidades,1,FALSE))),"Unid. Não Disp",
" "))))))))))))))))</f>
        <v xml:space="preserve"> </v>
      </c>
      <c r="AD130" s="696" t="str">
        <f ca="1">IF(C130&lt;=CRONO.NivelExibicao,MAX($AD$15:OFFSET(AD130,-1,0))+IF($C130&lt;&gt;1,1,MAX(1,COUNTIF(QCI!$A$13:$A$24,OFFSET($E130,-1,0)))),"")</f>
        <v/>
      </c>
      <c r="AE130" s="694" t="str">
        <f t="array" aca="1" ref="AE130" ca="1">IF(AND($C130="S",ORÇAMENTO.CodBarra&lt;&gt;""),IF(ORÇAMENTO.Fonte="",ORÇAMENTO.CodBarra,CONCATENATE(ORÇAMENTO.Fonte," ",ORÇAMENTO.CodBarra)))</f>
        <v>SINAPI 93653</v>
      </c>
      <c r="AF130" s="695">
        <f t="array" aca="1" ref="AF130" ca="1">IF(ISERROR(ORÇAMENTO.BancoRef),"(abra o arquivo 'Referência "&amp;Excel_BuiltIn_Database&amp;".xlsm)",IF(OR($C130&lt;&gt;"S",ORÇAMENTO.CodBarra=""),"(Sem Código)",IF(ISERROR(MATCH($AE130,INDIRECT(ORÇAMENTO.BancoRef),0)),"(Código não identificado nas referências)",MATCH($AE130,INDIRECT(ORÇAMENTO.BancoRef),0))))</f>
        <v>10671</v>
      </c>
      <c r="AG130" s="428">
        <f t="array" aca="1" ref="AG130" ca="1">ROUND(IF(DESONERACAO="sim",REFERENCIA.Desonerado,REFERENCIA.NaoDesonerado),2)</f>
        <v>14.6</v>
      </c>
      <c r="AH130" s="429">
        <f t="shared" ca="1" si="27"/>
        <v>0.2034</v>
      </c>
      <c r="AJ130" s="431"/>
      <c r="AL130" s="439"/>
      <c r="AM130" s="336">
        <f t="shared" ca="1" si="0"/>
        <v>660.4</v>
      </c>
      <c r="AN130" s="469">
        <f t="array" aca="1" ref="AN130" ca="1">ROUND(ORÇAMENTO.CustoUnitario*(1+$AH130),2)</f>
        <v>16.510000000000002</v>
      </c>
    </row>
    <row r="131" spans="1:40" s="696" customFormat="1" ht="25.5" x14ac:dyDescent="0.2">
      <c r="A131" s="696" t="str">
        <f t="shared" si="15"/>
        <v>S</v>
      </c>
      <c r="B131" s="696">
        <f t="shared" ca="1" si="16"/>
        <v>2</v>
      </c>
      <c r="C131" s="696" t="str">
        <f t="shared" ca="1" si="17"/>
        <v>S</v>
      </c>
      <c r="D131" s="696">
        <f t="shared" ca="1" si="18"/>
        <v>0</v>
      </c>
      <c r="E131" s="696">
        <f ca="1">IF($C131=1,OFFSET(E131,-1,0)+MAX(1,COUNTIF(QCI!$A$13:$A$24,OFFSET(ORÇAMENTO!E131,-1,0))),OFFSET(E131,-1,0))</f>
        <v>1</v>
      </c>
      <c r="F131" s="696">
        <f t="shared" ca="1" si="19"/>
        <v>23</v>
      </c>
      <c r="G131" s="696">
        <f t="shared" ca="1" si="20"/>
        <v>0</v>
      </c>
      <c r="H131" s="696">
        <f t="shared" ca="1" si="21"/>
        <v>0</v>
      </c>
      <c r="I131" s="696">
        <f t="shared" ca="1" si="22"/>
        <v>2</v>
      </c>
      <c r="J131" s="696">
        <f t="shared" ca="1" si="28"/>
        <v>0</v>
      </c>
      <c r="K131" s="696">
        <f ca="1">IF(OR($C131="S",$C131=0),0,MATCH(OFFSET($D131,0,$C131)+IF($C131&lt;&gt;1,1,COUNTIF(QCI!$A$13:$A$24,ORÇAMENTO!E131)),OFFSET($D131,1,$C131,ROW($C$235)-ROW($C131)),0))</f>
        <v>0</v>
      </c>
      <c r="L131" s="114" t="str">
        <f t="shared" ca="1" si="23"/>
        <v>F</v>
      </c>
      <c r="M131" s="115" t="s">
        <v>705</v>
      </c>
      <c r="N131" s="116" t="str">
        <f t="shared" ca="1" si="24"/>
        <v>Serviço</v>
      </c>
      <c r="O131" s="117" t="str">
        <f t="shared" ca="1" si="25"/>
        <v>1.23.2.</v>
      </c>
      <c r="P131" s="118" t="s">
        <v>750</v>
      </c>
      <c r="Q131" s="119" t="s">
        <v>1114</v>
      </c>
      <c r="R131" s="120" t="str">
        <f t="array" aca="1" ref="R131" ca="1">IF($C131="S",REFERENCIA.Descricao,"(digite a descrição aqui)")</f>
        <v>DISJUNTOR MONOPOLAR TIPO DIN, CORRENTE NOMINAL DE 16A - FORNECIMENTO E INSTALAÇÃO. AF_07/2025</v>
      </c>
      <c r="S131" s="121" t="str">
        <f t="array" aca="1" ref="S131" ca="1">REFERENCIA.Unidade</f>
        <v>UN</v>
      </c>
      <c r="T131" s="122">
        <f ca="1">OFFSET(CÁLCULO!H$15,ROW($T131)-ROW(T$15),0)</f>
        <v>20</v>
      </c>
      <c r="U131" s="123">
        <f>14.6*0.94</f>
        <v>13.723999999999998</v>
      </c>
      <c r="V131" s="124" t="s">
        <v>697</v>
      </c>
      <c r="W131" s="122">
        <f t="array" aca="1" ref="W131" ca="1">IF($C131="S",ROUND(IF(TIPOORCAMENTO="Proposto",ORÇAMENTO.CustoUnitario*(1+$AH131),ORÇAMENTO.PrecoUnitarioLicitado),15-13*$AF$10),0)</f>
        <v>16.510000000000002</v>
      </c>
      <c r="X131" s="125">
        <f t="array" aca="1" ref="X131" ca="1">IF($C131="S",IF(OR(Import.TipoArredondamento&lt;&gt;"TransfereGOV",ACOMPANHAMENTO="BM"),VTOTAL1,SUM(OFFSET(CÁLCULO!$AI$15,ROW($X131)-ROW($X$15),1):OFFSET(CÁLCULO!$BB$15,ROW($X131)-ROW($X$15),-1))),IF($C131=0,0,ROUND(SomaAgrup,15-13*$AF$11)))</f>
        <v>330.2</v>
      </c>
      <c r="Y131" s="126" t="s">
        <v>751</v>
      </c>
      <c r="Z131" s="696" t="str">
        <f t="shared" ca="1" si="26"/>
        <v>RA</v>
      </c>
      <c r="AA131" s="127">
        <f t="array" aca="1" ref="AA131" ca="1">IF($C131="S",IF($Z131="CP",$X131,IF($Z131="RA",(($X131)*QCI!$AA$3),0)),SomaAgrup)</f>
        <v>0</v>
      </c>
      <c r="AB131" s="128">
        <f t="array" aca="1" ref="AB131" ca="1">IF($C131="S",IF($Z131="OU",ROUND($X131,2),0),SomaAgrup)</f>
        <v>0</v>
      </c>
      <c r="AC131" s="563" t="str">
        <f t="array" aca="1" ref="AC131" ca="1">IF($N131=""," ",
IF(AND($C131&lt;&gt;"S",OR($R131="",$R131="(digite a descrição aqui)")),"DESCRIÇÃO",
IF(AND($C131="S",OR($Q131&lt;&gt;"",$T131&gt;0,$U131&gt;0),$P131=""),"FONTE",
IF(AND($C131="S",$P131&lt;&gt;"",OR($T131&gt;0,$U131&gt;0),$Q131=""),"CÓDIGO",
IF(AND($C131="S",$P131&lt;&gt;"",$Q131&lt;&gt;"",$R131="(Código não identificado nas referências)"),"CÓDIGO N/ID",
IF(AND($C131="S",OR($R131="",$R131="(digite a descrição aqui)"),OR($Q131&lt;&gt;"",$T131&gt;0,$U131&gt;0)),"DESCRIÇÃO",
IF(AND($C131="S",$P131&lt;&gt;"",$Q131&lt;&gt;"",$S131=""),"UNIDADE",
IF(AND($C131="S",$P131&lt;&gt;"",$Q131&lt;&gt;"",$U131=0),"SEM CUSTO",
IF(AND(TIPOORCAMENTO="Licitado",$AL131=0,$AN131&gt;0),"SEM PREÇO",
IF(AND($C131="S",$P131&lt;&gt;"",$Q131&lt;&gt;"",$U131&gt;0,AND($V131&lt;&gt;"BDI 1",$V131&lt;&gt;"BDI 2",$V131&lt;&gt;"BDI 3")),IF(ISNUMBER($V131),"JUSTIFICAR BDI","BDI"),
IF(OR(AND(import.recurso="OGU",TIPOORCAMENTO="Proposto",LEFT($O$8,5)&lt;&gt;"(N/D:",$AG131&lt;&gt;"",ORÇAMENTO.CustoUnitario&gt;$AG131),AND(TIPOORCAMENTO="LICITADO",ORÇAMENTO.PrecoUnitarioLicitado&gt;$AN131)),"ACIMA REF.",
IF(AND($C131="S",$P131&lt;&gt;"",$Q131&lt;&gt;"",$T131=0,$U131&gt;0),"QUANT.",
IF(AND(Import.TipoArredondamento="TransfereGOV",$L131="F",$C131="S",LEN($Q131)&gt;13),"Código &gt;13",
IF(AND(Import.TipoArredondamento="TransfereGOV",$L131="F",$C131&lt;&gt;"S",LEN($R131)&gt;100),"Descrição &gt;100",
IF(AND(Import.TipoArredondamento="TransfereGOV",$L131="F",$C131="S",LEN($R131)&gt;500),"Descrição &gt;500",
IF(AND(Import.TipoArredondamento="TransfereGOV",$L131="F",$C131="S",LEFT(TRIM(UPPER($P131)),6)&lt;&gt;"SINAPI",ISNA(VLOOKUP(TRIM(UPPER($S131)),ListaTgov.Unidades,1,FALSE))),"Unid. Não Disp",
" "))))))))))))))))</f>
        <v xml:space="preserve"> </v>
      </c>
      <c r="AD131" s="696" t="str">
        <f ca="1">IF(C131&lt;=CRONO.NivelExibicao,MAX($AD$15:OFFSET(AD131,-1,0))+IF($C131&lt;&gt;1,1,MAX(1,COUNTIF(QCI!$A$13:$A$24,OFFSET($E131,-1,0)))),"")</f>
        <v/>
      </c>
      <c r="AE131" s="694" t="str">
        <f t="array" aca="1" ref="AE131" ca="1">IF(AND($C131="S",ORÇAMENTO.CodBarra&lt;&gt;""),IF(ORÇAMENTO.Fonte="",ORÇAMENTO.CodBarra,CONCATENATE(ORÇAMENTO.Fonte," ",ORÇAMENTO.CodBarra)))</f>
        <v>SINAPI 93654</v>
      </c>
      <c r="AF131" s="695">
        <f t="array" aca="1" ref="AF131" ca="1">IF(ISERROR(ORÇAMENTO.BancoRef),"(abra o arquivo 'Referência "&amp;Excel_BuiltIn_Database&amp;".xlsm)",IF(OR($C131&lt;&gt;"S",ORÇAMENTO.CodBarra=""),"(Sem Código)",IF(ISERROR(MATCH($AE131,INDIRECT(ORÇAMENTO.BancoRef),0)),"(Código não identificado nas referências)",MATCH($AE131,INDIRECT(ORÇAMENTO.BancoRef),0))))</f>
        <v>10672</v>
      </c>
      <c r="AG131" s="428">
        <f t="array" aca="1" ref="AG131" ca="1">ROUND(IF(DESONERACAO="sim",REFERENCIA.Desonerado,REFERENCIA.NaoDesonerado),2)</f>
        <v>14.6</v>
      </c>
      <c r="AH131" s="429">
        <f t="shared" ca="1" si="27"/>
        <v>0.2034</v>
      </c>
      <c r="AJ131" s="431"/>
      <c r="AL131" s="439"/>
      <c r="AM131" s="336">
        <f t="shared" ca="1" si="0"/>
        <v>330.2</v>
      </c>
      <c r="AN131" s="469">
        <f t="array" aca="1" ref="AN131" ca="1">ROUND(ORÇAMENTO.CustoUnitario*(1+$AH131),2)</f>
        <v>16.510000000000002</v>
      </c>
    </row>
    <row r="132" spans="1:40" s="696" customFormat="1" ht="25.5" x14ac:dyDescent="0.2">
      <c r="A132" s="696" t="str">
        <f t="shared" ref="A132:A195" si="29">CHOOSE(1+LOG(1+2*(ORÇAMENTO.Nivel="Meta")+4*(ORÇAMENTO.Nivel="Nível 2")+8*(ORÇAMENTO.Nivel="Nível 3")+16*(ORÇAMENTO.Nivel="Nível 4")+32*(ORÇAMENTO.Nivel="Serviço"),2),0,1,2,3,4,"S")</f>
        <v>S</v>
      </c>
      <c r="B132" s="696">
        <f t="shared" ref="B132:B195" ca="1" si="30">IF(OR(C132="s",C132=0),OFFSET(B132,-1,0),C132)</f>
        <v>2</v>
      </c>
      <c r="C132" s="696" t="str">
        <f t="shared" ref="C132:C195" ca="1" si="31">IF(OFFSET(C132,-1,0)="L",1,IF(OFFSET(C132,-1,0)=1,2,IF(OR(A132="s",A132=0),"S",IF(AND(OFFSET(C132,-1,0)=2,A132=4),3,IF(AND(OR(OFFSET(C132,-1,0)="s",OFFSET(C132,-1,0)=0),A132&lt;&gt;"s",A132&gt;OFFSET(B132,-1,0)),OFFSET(B132,-1,0),A132)))))</f>
        <v>S</v>
      </c>
      <c r="D132" s="696">
        <f t="shared" ref="D132:D195" ca="1" si="32">IF(OR(C132="S",C132=0),0,IF(ISERROR(K132),J132,SMALL(J132:K132,1)))</f>
        <v>0</v>
      </c>
      <c r="E132" s="696">
        <f ca="1">IF($C132=1,OFFSET(E132,-1,0)+MAX(1,COUNTIF(QCI!$A$13:$A$24,OFFSET(ORÇAMENTO!E132,-1,0))),OFFSET(E132,-1,0))</f>
        <v>1</v>
      </c>
      <c r="F132" s="696">
        <f t="shared" ref="F132:F195" ca="1" si="33">IF($C132=1,0,IF($C132=2,OFFSET(F132,-1,0)+1,OFFSET(F132,-1,0)))</f>
        <v>23</v>
      </c>
      <c r="G132" s="696">
        <f t="shared" ref="G132:G195" ca="1" si="34">IF(AND($C132&lt;=2,$C132&lt;&gt;0),0,IF($C132=3,OFFSET(G132,-1,0)+1,OFFSET(G132,-1,0)))</f>
        <v>0</v>
      </c>
      <c r="H132" s="696">
        <f t="shared" ref="H132:H195" ca="1" si="35">IF(AND($C132&lt;=3,$C132&lt;&gt;0),0,IF($C132=4,OFFSET(H132,-1,0)+1,OFFSET(H132,-1,0)))</f>
        <v>0</v>
      </c>
      <c r="I132" s="696">
        <f t="shared" ref="I132:I195" ca="1" si="36">IF(AND($C132&lt;=4,$C132&lt;&gt;0),0,IF(AND($C132="S",$X132&gt;0),OFFSET(I132,-1,0)+1,OFFSET(I132,-1,0)))</f>
        <v>3</v>
      </c>
      <c r="J132" s="696">
        <f t="shared" ca="1" si="28"/>
        <v>0</v>
      </c>
      <c r="K132" s="696">
        <f ca="1">IF(OR($C132="S",$C132=0),0,MATCH(OFFSET($D132,0,$C132)+IF($C132&lt;&gt;1,1,COUNTIF(QCI!$A$13:$A$24,ORÇAMENTO!E132)),OFFSET($D132,1,$C132,ROW($C$235)-ROW($C132)),0))</f>
        <v>0</v>
      </c>
      <c r="L132" s="114" t="str">
        <f t="shared" ref="L132:L195" ca="1" si="37">IF(OR($X132&gt;0,$C132=1,$C132=2,$C132=3,$C132=4),"F","")</f>
        <v>F</v>
      </c>
      <c r="M132" s="115" t="s">
        <v>705</v>
      </c>
      <c r="N132" s="116" t="str">
        <f t="shared" ref="N132:N195" ca="1" si="38">CHOOSE(1+LOG(1+2*(C132=1)+4*(C132=2)+8*(C132=3)+16*(C132=4)+32*(C132="S"),2),"","Meta","Nível 2","Nível 3","Nível 4","Serviço")</f>
        <v>Serviço</v>
      </c>
      <c r="O132" s="117" t="str">
        <f t="shared" ref="O132:O195" ca="1" si="39">IF(OR($C132=0,$L132=""),"-",CONCATENATE(E132&amp;".",IF(AND($A$5&gt;=2,$C132&gt;=2),F132&amp;".",""),IF(AND($A$5&gt;=3,$C132&gt;=3),G132&amp;".",""),IF(AND($A$5&gt;=4,$C132&gt;=4),H132&amp;".",""),IF($C132="S",I132&amp;".","")))</f>
        <v>1.23.3.</v>
      </c>
      <c r="P132" s="118" t="s">
        <v>750</v>
      </c>
      <c r="Q132" s="119" t="s">
        <v>1115</v>
      </c>
      <c r="R132" s="120" t="str">
        <f t="array" aca="1" ref="R132" ca="1">IF($C132="S",REFERENCIA.Descricao,"(digite a descrição aqui)")</f>
        <v>DISJUNTOR MONOPOLAR TIPO DIN, CORRENTE NOMINAL DE 25A - FORNECIMENTO E INSTALAÇÃO. AF_07/2025</v>
      </c>
      <c r="S132" s="121" t="str">
        <f t="array" aca="1" ref="S132" ca="1">REFERENCIA.Unidade</f>
        <v>UN</v>
      </c>
      <c r="T132" s="122">
        <f ca="1">OFFSET(CÁLCULO!H$15,ROW($T132)-ROW(T$15),0)</f>
        <v>12</v>
      </c>
      <c r="U132" s="123">
        <f>16.65*0.94</f>
        <v>15.650999999999998</v>
      </c>
      <c r="V132" s="124" t="s">
        <v>697</v>
      </c>
      <c r="W132" s="122">
        <f t="array" aca="1" ref="W132" ca="1">IF($C132="S",ROUND(IF(TIPOORCAMENTO="Proposto",ORÇAMENTO.CustoUnitario*(1+$AH132),ORÇAMENTO.PrecoUnitarioLicitado),15-13*$AF$10),0)</f>
        <v>18.829999999999998</v>
      </c>
      <c r="X132" s="125">
        <f t="array" aca="1" ref="X132" ca="1">IF($C132="S",IF(OR(Import.TipoArredondamento&lt;&gt;"TransfereGOV",ACOMPANHAMENTO="BM"),VTOTAL1,SUM(OFFSET(CÁLCULO!$AI$15,ROW($X132)-ROW($X$15),1):OFFSET(CÁLCULO!$BB$15,ROW($X132)-ROW($X$15),-1))),IF($C132=0,0,ROUND(SomaAgrup,15-13*$AF$11)))</f>
        <v>225.96</v>
      </c>
      <c r="Y132" s="126" t="s">
        <v>751</v>
      </c>
      <c r="Z132" s="696" t="str">
        <f t="shared" ref="Z132:Z195" ca="1" si="40">IF(AND($C132="S",$X132&gt;0),IF(ISBLANK($Y132),"RA",LEFT($Y132,2)),"")</f>
        <v>RA</v>
      </c>
      <c r="AA132" s="127">
        <f t="array" aca="1" ref="AA132" ca="1">IF($C132="S",IF($Z132="CP",$X132,IF($Z132="RA",(($X132)*QCI!$AA$3),0)),SomaAgrup)</f>
        <v>0</v>
      </c>
      <c r="AB132" s="128">
        <f t="array" aca="1" ref="AB132" ca="1">IF($C132="S",IF($Z132="OU",ROUND($X132,2),0),SomaAgrup)</f>
        <v>0</v>
      </c>
      <c r="AC132" s="563" t="str">
        <f t="array" aca="1" ref="AC132" ca="1">IF($N132=""," ",
IF(AND($C132&lt;&gt;"S",OR($R132="",$R132="(digite a descrição aqui)")),"DESCRIÇÃO",
IF(AND($C132="S",OR($Q132&lt;&gt;"",$T132&gt;0,$U132&gt;0),$P132=""),"FONTE",
IF(AND($C132="S",$P132&lt;&gt;"",OR($T132&gt;0,$U132&gt;0),$Q132=""),"CÓDIGO",
IF(AND($C132="S",$P132&lt;&gt;"",$Q132&lt;&gt;"",$R132="(Código não identificado nas referências)"),"CÓDIGO N/ID",
IF(AND($C132="S",OR($R132="",$R132="(digite a descrição aqui)"),OR($Q132&lt;&gt;"",$T132&gt;0,$U132&gt;0)),"DESCRIÇÃO",
IF(AND($C132="S",$P132&lt;&gt;"",$Q132&lt;&gt;"",$S132=""),"UNIDADE",
IF(AND($C132="S",$P132&lt;&gt;"",$Q132&lt;&gt;"",$U132=0),"SEM CUSTO",
IF(AND(TIPOORCAMENTO="Licitado",$AL132=0,$AN132&gt;0),"SEM PREÇO",
IF(AND($C132="S",$P132&lt;&gt;"",$Q132&lt;&gt;"",$U132&gt;0,AND($V132&lt;&gt;"BDI 1",$V132&lt;&gt;"BDI 2",$V132&lt;&gt;"BDI 3")),IF(ISNUMBER($V132),"JUSTIFICAR BDI","BDI"),
IF(OR(AND(import.recurso="OGU",TIPOORCAMENTO="Proposto",LEFT($O$8,5)&lt;&gt;"(N/D:",$AG132&lt;&gt;"",ORÇAMENTO.CustoUnitario&gt;$AG132),AND(TIPOORCAMENTO="LICITADO",ORÇAMENTO.PrecoUnitarioLicitado&gt;$AN132)),"ACIMA REF.",
IF(AND($C132="S",$P132&lt;&gt;"",$Q132&lt;&gt;"",$T132=0,$U132&gt;0),"QUANT.",
IF(AND(Import.TipoArredondamento="TransfereGOV",$L132="F",$C132="S",LEN($Q132)&gt;13),"Código &gt;13",
IF(AND(Import.TipoArredondamento="TransfereGOV",$L132="F",$C132&lt;&gt;"S",LEN($R132)&gt;100),"Descrição &gt;100",
IF(AND(Import.TipoArredondamento="TransfereGOV",$L132="F",$C132="S",LEN($R132)&gt;500),"Descrição &gt;500",
IF(AND(Import.TipoArredondamento="TransfereGOV",$L132="F",$C132="S",LEFT(TRIM(UPPER($P132)),6)&lt;&gt;"SINAPI",ISNA(VLOOKUP(TRIM(UPPER($S132)),ListaTgov.Unidades,1,FALSE))),"Unid. Não Disp",
" "))))))))))))))))</f>
        <v xml:space="preserve"> </v>
      </c>
      <c r="AD132" s="696" t="str">
        <f ca="1">IF(C132&lt;=CRONO.NivelExibicao,MAX($AD$15:OFFSET(AD132,-1,0))+IF($C132&lt;&gt;1,1,MAX(1,COUNTIF(QCI!$A$13:$A$24,OFFSET($E132,-1,0)))),"")</f>
        <v/>
      </c>
      <c r="AE132" s="694" t="str">
        <f t="array" aca="1" ref="AE132" ca="1">IF(AND($C132="S",ORÇAMENTO.CodBarra&lt;&gt;""),IF(ORÇAMENTO.Fonte="",ORÇAMENTO.CodBarra,CONCATENATE(ORÇAMENTO.Fonte," ",ORÇAMENTO.CodBarra)))</f>
        <v>SINAPI 93656</v>
      </c>
      <c r="AF132" s="695">
        <f t="array" aca="1" ref="AF132" ca="1">IF(ISERROR(ORÇAMENTO.BancoRef),"(abra o arquivo 'Referência "&amp;Excel_BuiltIn_Database&amp;".xlsm)",IF(OR($C132&lt;&gt;"S",ORÇAMENTO.CodBarra=""),"(Sem Código)",IF(ISERROR(MATCH($AE132,INDIRECT(ORÇAMENTO.BancoRef),0)),"(Código não identificado nas referências)",MATCH($AE132,INDIRECT(ORÇAMENTO.BancoRef),0))))</f>
        <v>10674</v>
      </c>
      <c r="AG132" s="428">
        <f t="array" aca="1" ref="AG132" ca="1">ROUND(IF(DESONERACAO="sim",REFERENCIA.Desonerado,REFERENCIA.NaoDesonerado),2)</f>
        <v>16.649999999999999</v>
      </c>
      <c r="AH132" s="429">
        <f t="shared" ref="AH132:AH195" ca="1" si="41">ROUND(IF(ISNUMBER(ORÇAMENTO.OpcaoBDI),ORÇAMENTO.OpcaoBDI,IF(LEFT(ORÇAMENTO.OpcaoBDI,3)="BDI",HLOOKUP(ORÇAMENTO.OpcaoBDI,$F$4:$H$5,2,FALSE),0)),15-11*$AF$9)</f>
        <v>0.2034</v>
      </c>
      <c r="AJ132" s="431"/>
      <c r="AL132" s="439"/>
      <c r="AM132" s="336">
        <f t="shared" ca="1" si="0"/>
        <v>225.96</v>
      </c>
      <c r="AN132" s="469">
        <f t="array" aca="1" ref="AN132" ca="1">ROUND(ORÇAMENTO.CustoUnitario*(1+$AH132),2)</f>
        <v>18.829999999999998</v>
      </c>
    </row>
    <row r="133" spans="1:40" s="696" customFormat="1" ht="25.5" x14ac:dyDescent="0.2">
      <c r="A133" s="696" t="str">
        <f t="shared" si="29"/>
        <v>S</v>
      </c>
      <c r="B133" s="696">
        <f t="shared" ca="1" si="30"/>
        <v>2</v>
      </c>
      <c r="C133" s="696" t="str">
        <f t="shared" ca="1" si="31"/>
        <v>S</v>
      </c>
      <c r="D133" s="696">
        <f t="shared" ca="1" si="32"/>
        <v>0</v>
      </c>
      <c r="E133" s="696">
        <f ca="1">IF($C133=1,OFFSET(E133,-1,0)+MAX(1,COUNTIF(QCI!$A$13:$A$24,OFFSET(ORÇAMENTO!E133,-1,0))),OFFSET(E133,-1,0))</f>
        <v>1</v>
      </c>
      <c r="F133" s="696">
        <f t="shared" ca="1" si="33"/>
        <v>23</v>
      </c>
      <c r="G133" s="696">
        <f t="shared" ca="1" si="34"/>
        <v>0</v>
      </c>
      <c r="H133" s="696">
        <f t="shared" ca="1" si="35"/>
        <v>0</v>
      </c>
      <c r="I133" s="696">
        <f t="shared" ca="1" si="36"/>
        <v>4</v>
      </c>
      <c r="J133" s="696">
        <f t="shared" ca="1" si="28"/>
        <v>0</v>
      </c>
      <c r="K133" s="696">
        <f ca="1">IF(OR($C133="S",$C133=0),0,MATCH(OFFSET($D133,0,$C133)+IF($C133&lt;&gt;1,1,COUNTIF(QCI!$A$13:$A$24,ORÇAMENTO!E133)),OFFSET($D133,1,$C133,ROW($C$235)-ROW($C133)),0))</f>
        <v>0</v>
      </c>
      <c r="L133" s="114" t="str">
        <f t="shared" ca="1" si="37"/>
        <v>F</v>
      </c>
      <c r="M133" s="115" t="s">
        <v>705</v>
      </c>
      <c r="N133" s="116" t="str">
        <f t="shared" ca="1" si="38"/>
        <v>Serviço</v>
      </c>
      <c r="O133" s="117" t="str">
        <f t="shared" ca="1" si="39"/>
        <v>1.23.4.</v>
      </c>
      <c r="P133" s="118" t="s">
        <v>750</v>
      </c>
      <c r="Q133" s="119" t="s">
        <v>1116</v>
      </c>
      <c r="R133" s="120" t="str">
        <f t="array" aca="1" ref="R133" ca="1">IF($C133="S",REFERENCIA.Descricao,"(digite a descrição aqui)")</f>
        <v>DISJUNTOR MONOPOLAR TIPO DIN, CORRENTE NOMINAL DE 50A - FORNECIMENTO E INSTALAÇÃO. AF_07/2025</v>
      </c>
      <c r="S133" s="121" t="str">
        <f t="array" aca="1" ref="S133" ca="1">REFERENCIA.Unidade</f>
        <v>UN</v>
      </c>
      <c r="T133" s="122">
        <f ca="1">OFFSET(CÁLCULO!H$15,ROW($T133)-ROW(T$15),0)</f>
        <v>20</v>
      </c>
      <c r="U133" s="123">
        <f>29.45*0.94</f>
        <v>27.682999999999996</v>
      </c>
      <c r="V133" s="124" t="s">
        <v>697</v>
      </c>
      <c r="W133" s="122">
        <f t="array" aca="1" ref="W133" ca="1">IF($C133="S",ROUND(IF(TIPOORCAMENTO="Proposto",ORÇAMENTO.CustoUnitario*(1+$AH133),ORÇAMENTO.PrecoUnitarioLicitado),15-13*$AF$10),0)</f>
        <v>33.31</v>
      </c>
      <c r="X133" s="125">
        <f t="array" aca="1" ref="X133" ca="1">IF($C133="S",IF(OR(Import.TipoArredondamento&lt;&gt;"TransfereGOV",ACOMPANHAMENTO="BM"),VTOTAL1,SUM(OFFSET(CÁLCULO!$AI$15,ROW($X133)-ROW($X$15),1):OFFSET(CÁLCULO!$BB$15,ROW($X133)-ROW($X$15),-1))),IF($C133=0,0,ROUND(SomaAgrup,15-13*$AF$11)))</f>
        <v>666.2</v>
      </c>
      <c r="Y133" s="126" t="s">
        <v>751</v>
      </c>
      <c r="Z133" s="696" t="str">
        <f t="shared" ca="1" si="40"/>
        <v>RA</v>
      </c>
      <c r="AA133" s="127">
        <f t="array" aca="1" ref="AA133" ca="1">IF($C133="S",IF($Z133="CP",$X133,IF($Z133="RA",(($X133)*QCI!$AA$3),0)),SomaAgrup)</f>
        <v>0</v>
      </c>
      <c r="AB133" s="128">
        <f t="array" aca="1" ref="AB133" ca="1">IF($C133="S",IF($Z133="OU",ROUND($X133,2),0),SomaAgrup)</f>
        <v>0</v>
      </c>
      <c r="AC133" s="563" t="str">
        <f t="array" aca="1" ref="AC133" ca="1">IF($N133=""," ",
IF(AND($C133&lt;&gt;"S",OR($R133="",$R133="(digite a descrição aqui)")),"DESCRIÇÃO",
IF(AND($C133="S",OR($Q133&lt;&gt;"",$T133&gt;0,$U133&gt;0),$P133=""),"FONTE",
IF(AND($C133="S",$P133&lt;&gt;"",OR($T133&gt;0,$U133&gt;0),$Q133=""),"CÓDIGO",
IF(AND($C133="S",$P133&lt;&gt;"",$Q133&lt;&gt;"",$R133="(Código não identificado nas referências)"),"CÓDIGO N/ID",
IF(AND($C133="S",OR($R133="",$R133="(digite a descrição aqui)"),OR($Q133&lt;&gt;"",$T133&gt;0,$U133&gt;0)),"DESCRIÇÃO",
IF(AND($C133="S",$P133&lt;&gt;"",$Q133&lt;&gt;"",$S133=""),"UNIDADE",
IF(AND($C133="S",$P133&lt;&gt;"",$Q133&lt;&gt;"",$U133=0),"SEM CUSTO",
IF(AND(TIPOORCAMENTO="Licitado",$AL133=0,$AN133&gt;0),"SEM PREÇO",
IF(AND($C133="S",$P133&lt;&gt;"",$Q133&lt;&gt;"",$U133&gt;0,AND($V133&lt;&gt;"BDI 1",$V133&lt;&gt;"BDI 2",$V133&lt;&gt;"BDI 3")),IF(ISNUMBER($V133),"JUSTIFICAR BDI","BDI"),
IF(OR(AND(import.recurso="OGU",TIPOORCAMENTO="Proposto",LEFT($O$8,5)&lt;&gt;"(N/D:",$AG133&lt;&gt;"",ORÇAMENTO.CustoUnitario&gt;$AG133),AND(TIPOORCAMENTO="LICITADO",ORÇAMENTO.PrecoUnitarioLicitado&gt;$AN133)),"ACIMA REF.",
IF(AND($C133="S",$P133&lt;&gt;"",$Q133&lt;&gt;"",$T133=0,$U133&gt;0),"QUANT.",
IF(AND(Import.TipoArredondamento="TransfereGOV",$L133="F",$C133="S",LEN($Q133)&gt;13),"Código &gt;13",
IF(AND(Import.TipoArredondamento="TransfereGOV",$L133="F",$C133&lt;&gt;"S",LEN($R133)&gt;100),"Descrição &gt;100",
IF(AND(Import.TipoArredondamento="TransfereGOV",$L133="F",$C133="S",LEN($R133)&gt;500),"Descrição &gt;500",
IF(AND(Import.TipoArredondamento="TransfereGOV",$L133="F",$C133="S",LEFT(TRIM(UPPER($P133)),6)&lt;&gt;"SINAPI",ISNA(VLOOKUP(TRIM(UPPER($S133)),ListaTgov.Unidades,1,FALSE))),"Unid. Não Disp",
" "))))))))))))))))</f>
        <v xml:space="preserve"> </v>
      </c>
      <c r="AD133" s="696" t="str">
        <f ca="1">IF(C133&lt;=CRONO.NivelExibicao,MAX($AD$15:OFFSET(AD133,-1,0))+IF($C133&lt;&gt;1,1,MAX(1,COUNTIF(QCI!$A$13:$A$24,OFFSET($E133,-1,0)))),"")</f>
        <v/>
      </c>
      <c r="AE133" s="694" t="str">
        <f t="array" aca="1" ref="AE133" ca="1">IF(AND($C133="S",ORÇAMENTO.CodBarra&lt;&gt;""),IF(ORÇAMENTO.Fonte="",ORÇAMENTO.CodBarra,CONCATENATE(ORÇAMENTO.Fonte," ",ORÇAMENTO.CodBarra)))</f>
        <v>SINAPI 93659</v>
      </c>
      <c r="AF133" s="695">
        <f t="array" aca="1" ref="AF133" ca="1">IF(ISERROR(ORÇAMENTO.BancoRef),"(abra o arquivo 'Referência "&amp;Excel_BuiltIn_Database&amp;".xlsm)",IF(OR($C133&lt;&gt;"S",ORÇAMENTO.CodBarra=""),"(Sem Código)",IF(ISERROR(MATCH($AE133,INDIRECT(ORÇAMENTO.BancoRef),0)),"(Código não identificado nas referências)",MATCH($AE133,INDIRECT(ORÇAMENTO.BancoRef),0))))</f>
        <v>10677</v>
      </c>
      <c r="AG133" s="428">
        <f t="array" aca="1" ref="AG133" ca="1">ROUND(IF(DESONERACAO="sim",REFERENCIA.Desonerado,REFERENCIA.NaoDesonerado),2)</f>
        <v>29.45</v>
      </c>
      <c r="AH133" s="429">
        <f t="shared" ca="1" si="41"/>
        <v>0.2034</v>
      </c>
      <c r="AJ133" s="431"/>
      <c r="AL133" s="439"/>
      <c r="AM133" s="336">
        <f t="shared" ca="1" si="0"/>
        <v>666.2</v>
      </c>
      <c r="AN133" s="469">
        <f t="array" aca="1" ref="AN133" ca="1">ROUND(ORÇAMENTO.CustoUnitario*(1+$AH133),2)</f>
        <v>33.31</v>
      </c>
    </row>
    <row r="134" spans="1:40" s="696" customFormat="1" ht="25.5" x14ac:dyDescent="0.2">
      <c r="A134" s="696" t="str">
        <f t="shared" si="29"/>
        <v>S</v>
      </c>
      <c r="B134" s="696">
        <f t="shared" ca="1" si="30"/>
        <v>2</v>
      </c>
      <c r="C134" s="696" t="str">
        <f t="shared" ca="1" si="31"/>
        <v>S</v>
      </c>
      <c r="D134" s="696">
        <f t="shared" ca="1" si="32"/>
        <v>0</v>
      </c>
      <c r="E134" s="696">
        <f ca="1">IF($C134=1,OFFSET(E134,-1,0)+MAX(1,COUNTIF(QCI!$A$13:$A$24,OFFSET(ORÇAMENTO!E134,-1,0))),OFFSET(E134,-1,0))</f>
        <v>1</v>
      </c>
      <c r="F134" s="696">
        <f t="shared" ca="1" si="33"/>
        <v>23</v>
      </c>
      <c r="G134" s="696">
        <f t="shared" ca="1" si="34"/>
        <v>0</v>
      </c>
      <c r="H134" s="696">
        <f t="shared" ca="1" si="35"/>
        <v>0</v>
      </c>
      <c r="I134" s="696">
        <f t="shared" ca="1" si="36"/>
        <v>5</v>
      </c>
      <c r="J134" s="696">
        <f t="shared" ca="1" si="28"/>
        <v>0</v>
      </c>
      <c r="K134" s="696">
        <f ca="1">IF(OR($C134="S",$C134=0),0,MATCH(OFFSET($D134,0,$C134)+IF($C134&lt;&gt;1,1,COUNTIF(QCI!$A$13:$A$24,ORÇAMENTO!E134)),OFFSET($D134,1,$C134,ROW($C$235)-ROW($C134)),0))</f>
        <v>0</v>
      </c>
      <c r="L134" s="114" t="str">
        <f t="shared" ca="1" si="37"/>
        <v>F</v>
      </c>
      <c r="M134" s="115" t="s">
        <v>705</v>
      </c>
      <c r="N134" s="116" t="str">
        <f t="shared" ca="1" si="38"/>
        <v>Serviço</v>
      </c>
      <c r="O134" s="117" t="str">
        <f t="shared" ca="1" si="39"/>
        <v>1.23.5.</v>
      </c>
      <c r="P134" s="118" t="s">
        <v>750</v>
      </c>
      <c r="Q134" s="119" t="s">
        <v>1117</v>
      </c>
      <c r="R134" s="120" t="str">
        <f t="array" aca="1" ref="R134" ca="1">IF($C134="S",REFERENCIA.Descricao,"(digite a descrição aqui)")</f>
        <v>DISJUNTOR BIPOLAR TIPO DR, CORRENTE NOMINAL DE 25A - FORNECIMENTO E INSTALAÇÃO. AF_07/2025</v>
      </c>
      <c r="S134" s="121" t="str">
        <f t="array" aca="1" ref="S134" ca="1">REFERENCIA.Unidade</f>
        <v>UN</v>
      </c>
      <c r="T134" s="122">
        <f ca="1">OFFSET(CÁLCULO!H$15,ROW($T134)-ROW(T$15),0)</f>
        <v>40</v>
      </c>
      <c r="U134" s="123">
        <f>183.3*0.94</f>
        <v>172.30199999999999</v>
      </c>
      <c r="V134" s="124" t="s">
        <v>697</v>
      </c>
      <c r="W134" s="122">
        <f t="array" aca="1" ref="W134" ca="1">IF($C134="S",ROUND(IF(TIPOORCAMENTO="Proposto",ORÇAMENTO.CustoUnitario*(1+$AH134),ORÇAMENTO.PrecoUnitarioLicitado),15-13*$AF$10),0)</f>
        <v>207.35</v>
      </c>
      <c r="X134" s="125">
        <f t="array" aca="1" ref="X134" ca="1">IF($C134="S",IF(OR(Import.TipoArredondamento&lt;&gt;"TransfereGOV",ACOMPANHAMENTO="BM"),VTOTAL1,SUM(OFFSET(CÁLCULO!$AI$15,ROW($X134)-ROW($X$15),1):OFFSET(CÁLCULO!$BB$15,ROW($X134)-ROW($X$15),-1))),IF($C134=0,0,ROUND(SomaAgrup,15-13*$AF$11)))</f>
        <v>8294</v>
      </c>
      <c r="Y134" s="126" t="s">
        <v>751</v>
      </c>
      <c r="Z134" s="696" t="str">
        <f t="shared" ca="1" si="40"/>
        <v>RA</v>
      </c>
      <c r="AA134" s="127">
        <f t="array" aca="1" ref="AA134" ca="1">IF($C134="S",IF($Z134="CP",$X134,IF($Z134="RA",(($X134)*QCI!$AA$3),0)),SomaAgrup)</f>
        <v>0</v>
      </c>
      <c r="AB134" s="128">
        <f t="array" aca="1" ref="AB134" ca="1">IF($C134="S",IF($Z134="OU",ROUND($X134,2),0),SomaAgrup)</f>
        <v>0</v>
      </c>
      <c r="AC134" s="563" t="str">
        <f t="array" aca="1" ref="AC134" ca="1">IF($N134=""," ",
IF(AND($C134&lt;&gt;"S",OR($R134="",$R134="(digite a descrição aqui)")),"DESCRIÇÃO",
IF(AND($C134="S",OR($Q134&lt;&gt;"",$T134&gt;0,$U134&gt;0),$P134=""),"FONTE",
IF(AND($C134="S",$P134&lt;&gt;"",OR($T134&gt;0,$U134&gt;0),$Q134=""),"CÓDIGO",
IF(AND($C134="S",$P134&lt;&gt;"",$Q134&lt;&gt;"",$R134="(Código não identificado nas referências)"),"CÓDIGO N/ID",
IF(AND($C134="S",OR($R134="",$R134="(digite a descrição aqui)"),OR($Q134&lt;&gt;"",$T134&gt;0,$U134&gt;0)),"DESCRIÇÃO",
IF(AND($C134="S",$P134&lt;&gt;"",$Q134&lt;&gt;"",$S134=""),"UNIDADE",
IF(AND($C134="S",$P134&lt;&gt;"",$Q134&lt;&gt;"",$U134=0),"SEM CUSTO",
IF(AND(TIPOORCAMENTO="Licitado",$AL134=0,$AN134&gt;0),"SEM PREÇO",
IF(AND($C134="S",$P134&lt;&gt;"",$Q134&lt;&gt;"",$U134&gt;0,AND($V134&lt;&gt;"BDI 1",$V134&lt;&gt;"BDI 2",$V134&lt;&gt;"BDI 3")),IF(ISNUMBER($V134),"JUSTIFICAR BDI","BDI"),
IF(OR(AND(import.recurso="OGU",TIPOORCAMENTO="Proposto",LEFT($O$8,5)&lt;&gt;"(N/D:",$AG134&lt;&gt;"",ORÇAMENTO.CustoUnitario&gt;$AG134),AND(TIPOORCAMENTO="LICITADO",ORÇAMENTO.PrecoUnitarioLicitado&gt;$AN134)),"ACIMA REF.",
IF(AND($C134="S",$P134&lt;&gt;"",$Q134&lt;&gt;"",$T134=0,$U134&gt;0),"QUANT.",
IF(AND(Import.TipoArredondamento="TransfereGOV",$L134="F",$C134="S",LEN($Q134)&gt;13),"Código &gt;13",
IF(AND(Import.TipoArredondamento="TransfereGOV",$L134="F",$C134&lt;&gt;"S",LEN($R134)&gt;100),"Descrição &gt;100",
IF(AND(Import.TipoArredondamento="TransfereGOV",$L134="F",$C134="S",LEN($R134)&gt;500),"Descrição &gt;500",
IF(AND(Import.TipoArredondamento="TransfereGOV",$L134="F",$C134="S",LEFT(TRIM(UPPER($P134)),6)&lt;&gt;"SINAPI",ISNA(VLOOKUP(TRIM(UPPER($S134)),ListaTgov.Unidades,1,FALSE))),"Unid. Não Disp",
" "))))))))))))))))</f>
        <v xml:space="preserve"> </v>
      </c>
      <c r="AD134" s="696" t="str">
        <f ca="1">IF(C134&lt;=CRONO.NivelExibicao,MAX($AD$15:OFFSET(AD134,-1,0))+IF($C134&lt;&gt;1,1,MAX(1,COUNTIF(QCI!$A$13:$A$24,OFFSET($E134,-1,0)))),"")</f>
        <v/>
      </c>
      <c r="AE134" s="694" t="str">
        <f t="array" aca="1" ref="AE134" ca="1">IF(AND($C134="S",ORÇAMENTO.CodBarra&lt;&gt;""),IF(ORÇAMENTO.Fonte="",ORÇAMENTO.CodBarra,CONCATENATE(ORÇAMENTO.Fonte," ",ORÇAMENTO.CodBarra)))</f>
        <v>SINAPI 93674</v>
      </c>
      <c r="AF134" s="695">
        <f t="array" aca="1" ref="AF134" ca="1">IF(ISERROR(ORÇAMENTO.BancoRef),"(abra o arquivo 'Referência "&amp;Excel_BuiltIn_Database&amp;".xlsm)",IF(OR($C134&lt;&gt;"S",ORÇAMENTO.CodBarra=""),"(Sem Código)",IF(ISERROR(MATCH($AE134,INDIRECT(ORÇAMENTO.BancoRef),0)),"(Código não identificado nas referências)",MATCH($AE134,INDIRECT(ORÇAMENTO.BancoRef),0))))</f>
        <v>10668</v>
      </c>
      <c r="AG134" s="428">
        <f t="array" aca="1" ref="AG134" ca="1">ROUND(IF(DESONERACAO="sim",REFERENCIA.Desonerado,REFERENCIA.NaoDesonerado),2)</f>
        <v>183.3</v>
      </c>
      <c r="AH134" s="429">
        <f t="shared" ca="1" si="41"/>
        <v>0.2034</v>
      </c>
      <c r="AJ134" s="431"/>
      <c r="AL134" s="439"/>
      <c r="AM134" s="336">
        <f t="shared" ca="1" si="0"/>
        <v>8294</v>
      </c>
      <c r="AN134" s="469">
        <f t="array" aca="1" ref="AN134" ca="1">ROUND(ORÇAMENTO.CustoUnitario*(1+$AH134),2)</f>
        <v>207.35</v>
      </c>
    </row>
    <row r="135" spans="1:40" s="696" customFormat="1" ht="51" x14ac:dyDescent="0.2">
      <c r="A135" s="696" t="str">
        <f t="shared" si="29"/>
        <v>S</v>
      </c>
      <c r="B135" s="696">
        <f t="shared" ca="1" si="30"/>
        <v>2</v>
      </c>
      <c r="C135" s="696" t="str">
        <f t="shared" ca="1" si="31"/>
        <v>S</v>
      </c>
      <c r="D135" s="696">
        <f t="shared" ca="1" si="32"/>
        <v>0</v>
      </c>
      <c r="E135" s="696">
        <f ca="1">IF($C135=1,OFFSET(E135,-1,0)+MAX(1,COUNTIF(QCI!$A$13:$A$24,OFFSET(ORÇAMENTO!E135,-1,0))),OFFSET(E135,-1,0))</f>
        <v>1</v>
      </c>
      <c r="F135" s="696">
        <f t="shared" ca="1" si="33"/>
        <v>23</v>
      </c>
      <c r="G135" s="696">
        <f t="shared" ca="1" si="34"/>
        <v>0</v>
      </c>
      <c r="H135" s="696">
        <f t="shared" ca="1" si="35"/>
        <v>0</v>
      </c>
      <c r="I135" s="696">
        <f t="shared" ca="1" si="36"/>
        <v>6</v>
      </c>
      <c r="J135" s="696">
        <f t="shared" ca="1" si="28"/>
        <v>0</v>
      </c>
      <c r="K135" s="696">
        <f ca="1">IF(OR($C135="S",$C135=0),0,MATCH(OFFSET($D135,0,$C135)+IF($C135&lt;&gt;1,1,COUNTIF(QCI!$A$13:$A$24,ORÇAMENTO!E135)),OFFSET($D135,1,$C135,ROW($C$235)-ROW($C135)),0))</f>
        <v>0</v>
      </c>
      <c r="L135" s="114" t="str">
        <f t="shared" ca="1" si="37"/>
        <v>F</v>
      </c>
      <c r="M135" s="115" t="s">
        <v>705</v>
      </c>
      <c r="N135" s="116" t="str">
        <f t="shared" ca="1" si="38"/>
        <v>Serviço</v>
      </c>
      <c r="O135" s="117" t="str">
        <f t="shared" ca="1" si="39"/>
        <v>1.23.6.</v>
      </c>
      <c r="P135" s="118" t="s">
        <v>1008</v>
      </c>
      <c r="Q135" s="119" t="s">
        <v>1473</v>
      </c>
      <c r="R135" s="120" t="str">
        <f t="array" aca="1" ref="R135" ca="1">IF($C135="S",REFERENCIA.Descricao,"(digite a descrição aqui)")</f>
        <v>ENTRADA DE ENERGIA AÉREA, TIPO B1, PADRÃO CEMIG, CARGA INSTALADA DE ATÉ 10KW, BIFÁSICO, COM SAÍDA SUBTERRÂNEA, INCLUSIVE POSTE, CAIXA PARA MEDIDOR, DISJUNTOR, BARRAMENTO, ATERRAMENTO E ACESSÓRIOS</v>
      </c>
      <c r="S135" s="121" t="str">
        <f t="array" aca="1" ref="S135" ca="1">REFERENCIA.Unidade</f>
        <v>un</v>
      </c>
      <c r="T135" s="122">
        <f ca="1">OFFSET(CÁLCULO!H$15,ROW($T135)-ROW(T$15),0)</f>
        <v>20</v>
      </c>
      <c r="U135" s="123">
        <v>1666.94</v>
      </c>
      <c r="V135" s="124" t="s">
        <v>697</v>
      </c>
      <c r="W135" s="122">
        <f t="array" aca="1" ref="W135" ca="1">IF($C135="S",ROUND(IF(TIPOORCAMENTO="Proposto",ORÇAMENTO.CustoUnitario*(1+$AH135),ORÇAMENTO.PrecoUnitarioLicitado),15-13*$AF$10),0)</f>
        <v>2006</v>
      </c>
      <c r="X135" s="125">
        <f t="array" aca="1" ref="X135" ca="1">IF($C135="S",IF(OR(Import.TipoArredondamento&lt;&gt;"TransfereGOV",ACOMPANHAMENTO="BM"),VTOTAL1,SUM(OFFSET(CÁLCULO!$AI$15,ROW($X135)-ROW($X$15),1):OFFSET(CÁLCULO!$BB$15,ROW($X135)-ROW($X$15),-1))),IF($C135=0,0,ROUND(SomaAgrup,15-13*$AF$11)))</f>
        <v>40120</v>
      </c>
      <c r="Y135" s="126" t="s">
        <v>751</v>
      </c>
      <c r="Z135" s="696" t="str">
        <f t="shared" ca="1" si="40"/>
        <v>RA</v>
      </c>
      <c r="AA135" s="127">
        <f t="array" aca="1" ref="AA135" ca="1">IF($C135="S",IF($Z135="CP",$X135,IF($Z135="RA",(($X135)*QCI!$AA$3),0)),SomaAgrup)</f>
        <v>0</v>
      </c>
      <c r="AB135" s="128">
        <f t="array" aca="1" ref="AB135" ca="1">IF($C135="S",IF($Z135="OU",ROUND($X135,2),0),SomaAgrup)</f>
        <v>0</v>
      </c>
      <c r="AC135" s="563" t="str">
        <f t="array" aca="1" ref="AC135" ca="1">IF($N135=""," ",
IF(AND($C135&lt;&gt;"S",OR($R135="",$R135="(digite a descrição aqui)")),"DESCRIÇÃO",
IF(AND($C135="S",OR($Q135&lt;&gt;"",$T135&gt;0,$U135&gt;0),$P135=""),"FONTE",
IF(AND($C135="S",$P135&lt;&gt;"",OR($T135&gt;0,$U135&gt;0),$Q135=""),"CÓDIGO",
IF(AND($C135="S",$P135&lt;&gt;"",$Q135&lt;&gt;"",$R135="(Código não identificado nas referências)"),"CÓDIGO N/ID",
IF(AND($C135="S",OR($R135="",$R135="(digite a descrição aqui)"),OR($Q135&lt;&gt;"",$T135&gt;0,$U135&gt;0)),"DESCRIÇÃO",
IF(AND($C135="S",$P135&lt;&gt;"",$Q135&lt;&gt;"",$S135=""),"UNIDADE",
IF(AND($C135="S",$P135&lt;&gt;"",$Q135&lt;&gt;"",$U135=0),"SEM CUSTO",
IF(AND(TIPOORCAMENTO="Licitado",$AL135=0,$AN135&gt;0),"SEM PREÇO",
IF(AND($C135="S",$P135&lt;&gt;"",$Q135&lt;&gt;"",$U135&gt;0,AND($V135&lt;&gt;"BDI 1",$V135&lt;&gt;"BDI 2",$V135&lt;&gt;"BDI 3")),IF(ISNUMBER($V135),"JUSTIFICAR BDI","BDI"),
IF(OR(AND(import.recurso="OGU",TIPOORCAMENTO="Proposto",LEFT($O$8,5)&lt;&gt;"(N/D:",$AG135&lt;&gt;"",ORÇAMENTO.CustoUnitario&gt;$AG135),AND(TIPOORCAMENTO="LICITADO",ORÇAMENTO.PrecoUnitarioLicitado&gt;$AN135)),"ACIMA REF.",
IF(AND($C135="S",$P135&lt;&gt;"",$Q135&lt;&gt;"",$T135=0,$U135&gt;0),"QUANT.",
IF(AND(Import.TipoArredondamento="TransfereGOV",$L135="F",$C135="S",LEN($Q135)&gt;13),"Código &gt;13",
IF(AND(Import.TipoArredondamento="TransfereGOV",$L135="F",$C135&lt;&gt;"S",LEN($R135)&gt;100),"Descrição &gt;100",
IF(AND(Import.TipoArredondamento="TransfereGOV",$L135="F",$C135="S",LEN($R135)&gt;500),"Descrição &gt;500",
IF(AND(Import.TipoArredondamento="TransfereGOV",$L135="F",$C135="S",LEFT(TRIM(UPPER($P135)),6)&lt;&gt;"SINAPI",ISNA(VLOOKUP(TRIM(UPPER($S135)),ListaTgov.Unidades,1,FALSE))),"Unid. Não Disp",
" "))))))))))))))))</f>
        <v xml:space="preserve"> </v>
      </c>
      <c r="AD135" s="696" t="str">
        <f ca="1">IF(C135&lt;=CRONO.NivelExibicao,MAX($AD$15:OFFSET(AD135,-1,0))+IF($C135&lt;&gt;1,1,MAX(1,COUNTIF(QCI!$A$13:$A$24,OFFSET($E135,-1,0)))),"")</f>
        <v/>
      </c>
      <c r="AE135" s="694" t="str">
        <f t="array" aca="1" ref="AE135" ca="1">IF(AND($C135="S",ORÇAMENTO.CodBarra&lt;&gt;""),IF(ORÇAMENTO.Fonte="",ORÇAMENTO.CodBarra,CONCATENATE(ORÇAMENTO.Fonte," ",ORÇAMENTO.CodBarra)))</f>
        <v>SICOR ED-20579</v>
      </c>
      <c r="AF135" s="695">
        <f t="array" aca="1" ref="AF135" ca="1">IF(ISERROR(ORÇAMENTO.BancoRef),"(abra o arquivo 'Referência "&amp;Excel_BuiltIn_Database&amp;".xlsm)",IF(OR($C135&lt;&gt;"S",ORÇAMENTO.CodBarra=""),"(Sem Código)",IF(ISERROR(MATCH($AE135,INDIRECT(ORÇAMENTO.BancoRef),0)),"(Código não identificado nas referências)",MATCH($AE135,INDIRECT(ORÇAMENTO.BancoRef),0))))</f>
        <v>17501</v>
      </c>
      <c r="AG135" s="428">
        <f t="array" aca="1" ref="AG135" ca="1">ROUND(IF(DESONERACAO="sim",REFERENCIA.Desonerado,REFERENCIA.NaoDesonerado),2)</f>
        <v>2666.94</v>
      </c>
      <c r="AH135" s="429">
        <f t="shared" ca="1" si="41"/>
        <v>0.2034</v>
      </c>
      <c r="AJ135" s="431"/>
      <c r="AL135" s="439"/>
      <c r="AM135" s="336">
        <f t="shared" ca="1" si="0"/>
        <v>40120</v>
      </c>
      <c r="AN135" s="469">
        <f t="array" aca="1" ref="AN135" ca="1">ROUND(ORÇAMENTO.CustoUnitario*(1+$AH135),2)</f>
        <v>2006</v>
      </c>
    </row>
    <row r="136" spans="1:40" s="696" customFormat="1" ht="25.5" x14ac:dyDescent="0.2">
      <c r="A136" s="696" t="str">
        <f t="shared" si="29"/>
        <v>S</v>
      </c>
      <c r="B136" s="696">
        <f t="shared" ca="1" si="30"/>
        <v>2</v>
      </c>
      <c r="C136" s="696" t="str">
        <f t="shared" ca="1" si="31"/>
        <v>S</v>
      </c>
      <c r="D136" s="696">
        <f t="shared" ca="1" si="32"/>
        <v>0</v>
      </c>
      <c r="E136" s="696">
        <f ca="1">IF($C136=1,OFFSET(E136,-1,0)+MAX(1,COUNTIF(QCI!$A$13:$A$24,OFFSET(ORÇAMENTO!E136,-1,0))),OFFSET(E136,-1,0))</f>
        <v>1</v>
      </c>
      <c r="F136" s="696">
        <f t="shared" ca="1" si="33"/>
        <v>23</v>
      </c>
      <c r="G136" s="696">
        <f t="shared" ca="1" si="34"/>
        <v>0</v>
      </c>
      <c r="H136" s="696">
        <f t="shared" ca="1" si="35"/>
        <v>0</v>
      </c>
      <c r="I136" s="696">
        <f t="shared" ca="1" si="36"/>
        <v>7</v>
      </c>
      <c r="J136" s="696">
        <f t="shared" ca="1" si="28"/>
        <v>0</v>
      </c>
      <c r="K136" s="696">
        <f ca="1">IF(OR($C136="S",$C136=0),0,MATCH(OFFSET($D136,0,$C136)+IF($C136&lt;&gt;1,1,COUNTIF(QCI!$A$13:$A$24,ORÇAMENTO!E136)),OFFSET($D136,1,$C136,ROW($C$235)-ROW($C136)),0))</f>
        <v>0</v>
      </c>
      <c r="L136" s="114" t="str">
        <f t="shared" ca="1" si="37"/>
        <v>F</v>
      </c>
      <c r="M136" s="115" t="s">
        <v>705</v>
      </c>
      <c r="N136" s="116" t="str">
        <f t="shared" ca="1" si="38"/>
        <v>Serviço</v>
      </c>
      <c r="O136" s="117" t="str">
        <f t="shared" ca="1" si="39"/>
        <v>1.23.7.</v>
      </c>
      <c r="P136" s="118" t="s">
        <v>750</v>
      </c>
      <c r="Q136" s="119" t="s">
        <v>1118</v>
      </c>
      <c r="R136" s="120" t="str">
        <f t="array" aca="1" ref="R136" ca="1">IF($C136="S",REFERENCIA.Descricao,"(digite a descrição aqui)")</f>
        <v>CHUVEIRO ELÉTRICO COMUM CORPO PLÁSTICO, TIPO DUCHA - FORNECIMENTO E INSTALAÇÃO. AF_01/2020</v>
      </c>
      <c r="S136" s="121" t="str">
        <f t="array" aca="1" ref="S136" ca="1">REFERENCIA.Unidade</f>
        <v>UN</v>
      </c>
      <c r="T136" s="122">
        <f ca="1">OFFSET(CÁLCULO!H$15,ROW($T136)-ROW(T$15),0)</f>
        <v>20</v>
      </c>
      <c r="U136" s="123">
        <f>111.87*0.94</f>
        <v>105.15779999999999</v>
      </c>
      <c r="V136" s="124" t="s">
        <v>697</v>
      </c>
      <c r="W136" s="122">
        <f t="array" aca="1" ref="W136" ca="1">IF($C136="S",ROUND(IF(TIPOORCAMENTO="Proposto",ORÇAMENTO.CustoUnitario*(1+$AH136),ORÇAMENTO.PrecoUnitarioLicitado),15-13*$AF$10),0)</f>
        <v>126.55</v>
      </c>
      <c r="X136" s="125">
        <f t="array" aca="1" ref="X136" ca="1">IF($C136="S",IF(OR(Import.TipoArredondamento&lt;&gt;"TransfereGOV",ACOMPANHAMENTO="BM"),VTOTAL1,SUM(OFFSET(CÁLCULO!$AI$15,ROW($X136)-ROW($X$15),1):OFFSET(CÁLCULO!$BB$15,ROW($X136)-ROW($X$15),-1))),IF($C136=0,0,ROUND(SomaAgrup,15-13*$AF$11)))</f>
        <v>2531</v>
      </c>
      <c r="Y136" s="126" t="s">
        <v>751</v>
      </c>
      <c r="Z136" s="696" t="str">
        <f t="shared" ca="1" si="40"/>
        <v>RA</v>
      </c>
      <c r="AA136" s="127">
        <f t="array" aca="1" ref="AA136" ca="1">IF($C136="S",IF($Z136="CP",$X136,IF($Z136="RA",(($X136)*QCI!$AA$3),0)),SomaAgrup)</f>
        <v>0</v>
      </c>
      <c r="AB136" s="128">
        <f t="array" aca="1" ref="AB136" ca="1">IF($C136="S",IF($Z136="OU",ROUND($X136,2),0),SomaAgrup)</f>
        <v>0</v>
      </c>
      <c r="AC136" s="563" t="str">
        <f t="array" aca="1" ref="AC136" ca="1">IF($N136=""," ",
IF(AND($C136&lt;&gt;"S",OR($R136="",$R136="(digite a descrição aqui)")),"DESCRIÇÃO",
IF(AND($C136="S",OR($Q136&lt;&gt;"",$T136&gt;0,$U136&gt;0),$P136=""),"FONTE",
IF(AND($C136="S",$P136&lt;&gt;"",OR($T136&gt;0,$U136&gt;0),$Q136=""),"CÓDIGO",
IF(AND($C136="S",$P136&lt;&gt;"",$Q136&lt;&gt;"",$R136="(Código não identificado nas referências)"),"CÓDIGO N/ID",
IF(AND($C136="S",OR($R136="",$R136="(digite a descrição aqui)"),OR($Q136&lt;&gt;"",$T136&gt;0,$U136&gt;0)),"DESCRIÇÃO",
IF(AND($C136="S",$P136&lt;&gt;"",$Q136&lt;&gt;"",$S136=""),"UNIDADE",
IF(AND($C136="S",$P136&lt;&gt;"",$Q136&lt;&gt;"",$U136=0),"SEM CUSTO",
IF(AND(TIPOORCAMENTO="Licitado",$AL136=0,$AN136&gt;0),"SEM PREÇO",
IF(AND($C136="S",$P136&lt;&gt;"",$Q136&lt;&gt;"",$U136&gt;0,AND($V136&lt;&gt;"BDI 1",$V136&lt;&gt;"BDI 2",$V136&lt;&gt;"BDI 3")),IF(ISNUMBER($V136),"JUSTIFICAR BDI","BDI"),
IF(OR(AND(import.recurso="OGU",TIPOORCAMENTO="Proposto",LEFT($O$8,5)&lt;&gt;"(N/D:",$AG136&lt;&gt;"",ORÇAMENTO.CustoUnitario&gt;$AG136),AND(TIPOORCAMENTO="LICITADO",ORÇAMENTO.PrecoUnitarioLicitado&gt;$AN136)),"ACIMA REF.",
IF(AND($C136="S",$P136&lt;&gt;"",$Q136&lt;&gt;"",$T136=0,$U136&gt;0),"QUANT.",
IF(AND(Import.TipoArredondamento="TransfereGOV",$L136="F",$C136="S",LEN($Q136)&gt;13),"Código &gt;13",
IF(AND(Import.TipoArredondamento="TransfereGOV",$L136="F",$C136&lt;&gt;"S",LEN($R136)&gt;100),"Descrição &gt;100",
IF(AND(Import.TipoArredondamento="TransfereGOV",$L136="F",$C136="S",LEN($R136)&gt;500),"Descrição &gt;500",
IF(AND(Import.TipoArredondamento="TransfereGOV",$L136="F",$C136="S",LEFT(TRIM(UPPER($P136)),6)&lt;&gt;"SINAPI",ISNA(VLOOKUP(TRIM(UPPER($S136)),ListaTgov.Unidades,1,FALSE))),"Unid. Não Disp",
" "))))))))))))))))</f>
        <v xml:space="preserve"> </v>
      </c>
      <c r="AD136" s="696" t="str">
        <f ca="1">IF(C136&lt;=CRONO.NivelExibicao,MAX($AD$15:OFFSET(AD136,-1,0))+IF($C136&lt;&gt;1,1,MAX(1,COUNTIF(QCI!$A$13:$A$24,OFFSET($E136,-1,0)))),"")</f>
        <v/>
      </c>
      <c r="AE136" s="694" t="str">
        <f t="array" aca="1" ref="AE136" ca="1">IF(AND($C136="S",ORÇAMENTO.CodBarra&lt;&gt;""),IF(ORÇAMENTO.Fonte="",ORÇAMENTO.CodBarra,CONCATENATE(ORÇAMENTO.Fonte," ",ORÇAMENTO.CodBarra)))</f>
        <v>SINAPI 100860</v>
      </c>
      <c r="AF136" s="695">
        <f t="array" aca="1" ref="AF136" ca="1">IF(ISERROR(ORÇAMENTO.BancoRef),"(abra o arquivo 'Referência "&amp;Excel_BuiltIn_Database&amp;".xlsm)",IF(OR($C136&lt;&gt;"S",ORÇAMENTO.CodBarra=""),"(Sem Código)",IF(ISERROR(MATCH($AE136,INDIRECT(ORÇAMENTO.BancoRef),0)),"(Código não identificado nas referências)",MATCH($AE136,INDIRECT(ORÇAMENTO.BancoRef),0))))</f>
        <v>13207</v>
      </c>
      <c r="AG136" s="428">
        <f t="array" aca="1" ref="AG136" ca="1">ROUND(IF(DESONERACAO="sim",REFERENCIA.Desonerado,REFERENCIA.NaoDesonerado),2)</f>
        <v>111.87</v>
      </c>
      <c r="AH136" s="429">
        <f t="shared" ca="1" si="41"/>
        <v>0.2034</v>
      </c>
      <c r="AJ136" s="431"/>
      <c r="AL136" s="439"/>
      <c r="AM136" s="336">
        <f t="shared" ca="1" si="0"/>
        <v>2531</v>
      </c>
      <c r="AN136" s="469">
        <f t="array" aca="1" ref="AN136" ca="1">ROUND(ORÇAMENTO.CustoUnitario*(1+$AH136),2)</f>
        <v>126.55</v>
      </c>
    </row>
    <row r="137" spans="1:40" s="696" customFormat="1" x14ac:dyDescent="0.2">
      <c r="A137" s="696">
        <f t="shared" si="29"/>
        <v>2</v>
      </c>
      <c r="B137" s="696">
        <f t="shared" ca="1" si="30"/>
        <v>2</v>
      </c>
      <c r="C137" s="696">
        <f t="shared" ca="1" si="31"/>
        <v>2</v>
      </c>
      <c r="D137" s="696">
        <f t="shared" ca="1" si="32"/>
        <v>15</v>
      </c>
      <c r="E137" s="696">
        <f ca="1">IF($C137=1,OFFSET(E137,-1,0)+MAX(1,COUNTIF(QCI!$A$13:$A$24,OFFSET(ORÇAMENTO!E137,-1,0))),OFFSET(E137,-1,0))</f>
        <v>1</v>
      </c>
      <c r="F137" s="696">
        <f t="shared" ca="1" si="33"/>
        <v>24</v>
      </c>
      <c r="G137" s="696">
        <f t="shared" ca="1" si="34"/>
        <v>0</v>
      </c>
      <c r="H137" s="696">
        <f t="shared" ca="1" si="35"/>
        <v>0</v>
      </c>
      <c r="I137" s="696">
        <f t="shared" ca="1" si="36"/>
        <v>0</v>
      </c>
      <c r="J137" s="696">
        <f t="shared" ca="1" si="28"/>
        <v>98</v>
      </c>
      <c r="K137" s="696">
        <f ca="1">IF(OR($C137="S",$C137=0),0,MATCH(OFFSET($D137,0,$C137)+IF($C137&lt;&gt;1,1,COUNTIF(QCI!$A$13:$A$24,ORÇAMENTO!E137)),OFFSET($D137,1,$C137,ROW($C$235)-ROW($C137)),0))</f>
        <v>15</v>
      </c>
      <c r="L137" s="114" t="str">
        <f t="shared" ca="1" si="37"/>
        <v>F</v>
      </c>
      <c r="M137" s="115" t="s">
        <v>702</v>
      </c>
      <c r="N137" s="116" t="str">
        <f t="shared" ca="1" si="38"/>
        <v>Nível 2</v>
      </c>
      <c r="O137" s="117" t="str">
        <f t="shared" ca="1" si="39"/>
        <v>1.24.</v>
      </c>
      <c r="P137" s="118" t="s">
        <v>750</v>
      </c>
      <c r="Q137" s="119"/>
      <c r="R137" s="120" t="s">
        <v>1119</v>
      </c>
      <c r="S137" s="121" t="s">
        <v>688</v>
      </c>
      <c r="T137" s="122">
        <f ca="1">OFFSET(CÁLCULO!H$15,ROW($T137)-ROW(T$15),0)</f>
        <v>0</v>
      </c>
      <c r="U137" s="123"/>
      <c r="V137" s="124" t="s">
        <v>663</v>
      </c>
      <c r="W137" s="122">
        <f t="array" aca="1" ref="W137" ca="1">IF($C137="S",ROUND(IF(TIPOORCAMENTO="Proposto",ORÇAMENTO.CustoUnitario*(1+$AH137),ORÇAMENTO.PrecoUnitarioLicitado),15-13*$AF$10),0)</f>
        <v>0</v>
      </c>
      <c r="X137" s="125">
        <f t="array" aca="1" ref="X137" ca="1">IF($C137="S",IF(OR(Import.TipoArredondamento&lt;&gt;"TransfereGOV",ACOMPANHAMENTO="BM"),VTOTAL1,SUM(OFFSET(CÁLCULO!$AI$15,ROW($X137)-ROW($X$15),1):OFFSET(CÁLCULO!$BB$15,ROW($X137)-ROW($X$15),-1))),IF($C137=0,0,ROUND(SomaAgrup,15-13*$AF$11)))</f>
        <v>41021.4</v>
      </c>
      <c r="Y137" s="126" t="s">
        <v>751</v>
      </c>
      <c r="Z137" s="696" t="str">
        <f t="shared" ca="1" si="40"/>
        <v/>
      </c>
      <c r="AA137" s="127">
        <f t="array" aca="1" ref="AA137" ca="1">IF($C137="S",IF($Z137="CP",$X137,IF($Z137="RA",(($X137)*QCI!$AA$3),0)),SomaAgrup)</f>
        <v>0</v>
      </c>
      <c r="AB137" s="128">
        <f t="array" aca="1" ref="AB137" ca="1">IF($C137="S",IF($Z137="OU",ROUND($X137,2),0),SomaAgrup)</f>
        <v>0</v>
      </c>
      <c r="AC137" s="563" t="str">
        <f t="array" aca="1" ref="AC137" ca="1">IF($N137=""," ",
IF(AND($C137&lt;&gt;"S",OR($R137="",$R137="(digite a descrição aqui)")),"DESCRIÇÃO",
IF(AND($C137="S",OR($Q137&lt;&gt;"",$T137&gt;0,$U137&gt;0),$P137=""),"FONTE",
IF(AND($C137="S",$P137&lt;&gt;"",OR($T137&gt;0,$U137&gt;0),$Q137=""),"CÓDIGO",
IF(AND($C137="S",$P137&lt;&gt;"",$Q137&lt;&gt;"",$R137="(Código não identificado nas referências)"),"CÓDIGO N/ID",
IF(AND($C137="S",OR($R137="",$R137="(digite a descrição aqui)"),OR($Q137&lt;&gt;"",$T137&gt;0,$U137&gt;0)),"DESCRIÇÃO",
IF(AND($C137="S",$P137&lt;&gt;"",$Q137&lt;&gt;"",$S137=""),"UNIDADE",
IF(AND($C137="S",$P137&lt;&gt;"",$Q137&lt;&gt;"",$U137=0),"SEM CUSTO",
IF(AND(TIPOORCAMENTO="Licitado",$AL137=0,$AN137&gt;0),"SEM PREÇO",
IF(AND($C137="S",$P137&lt;&gt;"",$Q137&lt;&gt;"",$U137&gt;0,AND($V137&lt;&gt;"BDI 1",$V137&lt;&gt;"BDI 2",$V137&lt;&gt;"BDI 3")),IF(ISNUMBER($V137),"JUSTIFICAR BDI","BDI"),
IF(OR(AND(import.recurso="OGU",TIPOORCAMENTO="Proposto",LEFT($O$8,5)&lt;&gt;"(N/D:",$AG137&lt;&gt;"",ORÇAMENTO.CustoUnitario&gt;$AG137),AND(TIPOORCAMENTO="LICITADO",ORÇAMENTO.PrecoUnitarioLicitado&gt;$AN137)),"ACIMA REF.",
IF(AND($C137="S",$P137&lt;&gt;"",$Q137&lt;&gt;"",$T137=0,$U137&gt;0),"QUANT.",
IF(AND(Import.TipoArredondamento="TransfereGOV",$L137="F",$C137="S",LEN($Q137)&gt;13),"Código &gt;13",
IF(AND(Import.TipoArredondamento="TransfereGOV",$L137="F",$C137&lt;&gt;"S",LEN($R137)&gt;100),"Descrição &gt;100",
IF(AND(Import.TipoArredondamento="TransfereGOV",$L137="F",$C137="S",LEN($R137)&gt;500),"Descrição &gt;500",
IF(AND(Import.TipoArredondamento="TransfereGOV",$L137="F",$C137="S",LEFT(TRIM(UPPER($P137)),6)&lt;&gt;"SINAPI",ISNA(VLOOKUP(TRIM(UPPER($S137)),ListaTgov.Unidades,1,FALSE))),"Unid. Não Disp",
" "))))))))))))))))</f>
        <v xml:space="preserve"> </v>
      </c>
      <c r="AD137" s="696">
        <f ca="1">IF(C137&lt;=CRONO.NivelExibicao,MAX($AD$15:OFFSET(AD137,-1,0))+IF($C137&lt;&gt;1,1,MAX(1,COUNTIF(QCI!$A$13:$A$24,OFFSET($E137,-1,0)))),"")</f>
        <v>25</v>
      </c>
      <c r="AE137" s="694" t="b">
        <f t="array" aca="1" ref="AE137" ca="1">IF(AND($C137="S",ORÇAMENTO.CodBarra&lt;&gt;""),IF(ORÇAMENTO.Fonte="",ORÇAMENTO.CodBarra,CONCATENATE(ORÇAMENTO.Fonte," ",ORÇAMENTO.CodBarra)))</f>
        <v>0</v>
      </c>
      <c r="AF137" s="695" t="str">
        <f t="array" aca="1" ref="AF137" ca="1">IF(ISERROR(ORÇAMENTO.BancoRef),"(abra o arquivo 'Referência "&amp;Excel_BuiltIn_Database&amp;".xlsm)",IF(OR($C137&lt;&gt;"S",ORÇAMENTO.CodBarra=""),"(Sem Código)",IF(ISERROR(MATCH($AE137,INDIRECT(ORÇAMENTO.BancoRef),0)),"(Código não identificado nas referências)",MATCH($AE137,INDIRECT(ORÇAMENTO.BancoRef),0))))</f>
        <v>(Sem Código)</v>
      </c>
      <c r="AG137" s="428">
        <f t="array" aca="1" ref="AG137" ca="1">ROUND(IF(DESONERACAO="sim",REFERENCIA.Desonerado,REFERENCIA.NaoDesonerado),2)</f>
        <v>0</v>
      </c>
      <c r="AH137" s="429">
        <f t="shared" ca="1" si="41"/>
        <v>0.29389999999999999</v>
      </c>
      <c r="AJ137" s="431"/>
      <c r="AL137" s="439"/>
      <c r="AM137" s="336">
        <f t="shared" ca="1" si="0"/>
        <v>41021.4</v>
      </c>
      <c r="AN137" s="469">
        <f t="array" aca="1" ref="AN137" ca="1">ROUND(ORÇAMENTO.CustoUnitario*(1+$AH137),2)</f>
        <v>0</v>
      </c>
    </row>
    <row r="138" spans="1:40" s="696" customFormat="1" ht="25.5" x14ac:dyDescent="0.2">
      <c r="A138" s="696" t="str">
        <f t="shared" si="29"/>
        <v>S</v>
      </c>
      <c r="B138" s="696">
        <f t="shared" ca="1" si="30"/>
        <v>2</v>
      </c>
      <c r="C138" s="696" t="str">
        <f t="shared" ca="1" si="31"/>
        <v>S</v>
      </c>
      <c r="D138" s="696">
        <f t="shared" ca="1" si="32"/>
        <v>0</v>
      </c>
      <c r="E138" s="696">
        <f ca="1">IF($C138=1,OFFSET(E138,-1,0)+MAX(1,COUNTIF(QCI!$A$13:$A$24,OFFSET(ORÇAMENTO!E138,-1,0))),OFFSET(E138,-1,0))</f>
        <v>1</v>
      </c>
      <c r="F138" s="696">
        <f t="shared" ca="1" si="33"/>
        <v>24</v>
      </c>
      <c r="G138" s="696">
        <f t="shared" ca="1" si="34"/>
        <v>0</v>
      </c>
      <c r="H138" s="696">
        <f t="shared" ca="1" si="35"/>
        <v>0</v>
      </c>
      <c r="I138" s="696">
        <f t="shared" ca="1" si="36"/>
        <v>1</v>
      </c>
      <c r="J138" s="696">
        <f t="shared" ca="1" si="28"/>
        <v>0</v>
      </c>
      <c r="K138" s="696">
        <f ca="1">IF(OR($C138="S",$C138=0),0,MATCH(OFFSET($D138,0,$C138)+IF($C138&lt;&gt;1,1,COUNTIF(QCI!$A$13:$A$24,ORÇAMENTO!E138)),OFFSET($D138,1,$C138,ROW($C$235)-ROW($C138)),0))</f>
        <v>0</v>
      </c>
      <c r="L138" s="114" t="str">
        <f t="shared" ca="1" si="37"/>
        <v>F</v>
      </c>
      <c r="M138" s="115" t="s">
        <v>705</v>
      </c>
      <c r="N138" s="116" t="str">
        <f t="shared" ca="1" si="38"/>
        <v>Serviço</v>
      </c>
      <c r="O138" s="117" t="str">
        <f t="shared" ca="1" si="39"/>
        <v>1.24.1.</v>
      </c>
      <c r="P138" s="118" t="s">
        <v>750</v>
      </c>
      <c r="Q138" s="119" t="s">
        <v>1120</v>
      </c>
      <c r="R138" s="120" t="str">
        <f t="array" aca="1" ref="R138" ca="1">IF($C138="S",REFERENCIA.Descricao,"(digite a descrição aqui)")</f>
        <v>LUMINÁRIA TIPO PLAFON CIRCULAR, DE SOBREPOR, COM LED DE 12/13 W - FORNECIMENTO E INSTALAÇÃO. AF_09/2024</v>
      </c>
      <c r="S138" s="121" t="str">
        <f t="array" aca="1" ref="S138" ca="1">REFERENCIA.Unidade</f>
        <v>UN</v>
      </c>
      <c r="T138" s="122">
        <f ca="1">OFFSET(CÁLCULO!H$15,ROW($T138)-ROW(T$15),0)</f>
        <v>140</v>
      </c>
      <c r="U138" s="123">
        <f>30.6*0.94</f>
        <v>28.763999999999999</v>
      </c>
      <c r="V138" s="124" t="s">
        <v>697</v>
      </c>
      <c r="W138" s="122">
        <f t="array" aca="1" ref="W138" ca="1">IF($C138="S",ROUND(IF(TIPOORCAMENTO="Proposto",ORÇAMENTO.CustoUnitario*(1+$AH138),ORÇAMENTO.PrecoUnitarioLicitado),15-13*$AF$10),0)</f>
        <v>34.61</v>
      </c>
      <c r="X138" s="125">
        <f t="array" aca="1" ref="X138" ca="1">IF($C138="S",IF(OR(Import.TipoArredondamento&lt;&gt;"TransfereGOV",ACOMPANHAMENTO="BM"),VTOTAL1,SUM(OFFSET(CÁLCULO!$AI$15,ROW($X138)-ROW($X$15),1):OFFSET(CÁLCULO!$BB$15,ROW($X138)-ROW($X$15),-1))),IF($C138=0,0,ROUND(SomaAgrup,15-13*$AF$11)))</f>
        <v>4845.3999999999996</v>
      </c>
      <c r="Y138" s="126" t="s">
        <v>751</v>
      </c>
      <c r="Z138" s="696" t="str">
        <f t="shared" ca="1" si="40"/>
        <v>RA</v>
      </c>
      <c r="AA138" s="127">
        <f t="array" aca="1" ref="AA138" ca="1">IF($C138="S",IF($Z138="CP",$X138,IF($Z138="RA",(($X138)*QCI!$AA$3),0)),SomaAgrup)</f>
        <v>0</v>
      </c>
      <c r="AB138" s="128">
        <f t="array" aca="1" ref="AB138" ca="1">IF($C138="S",IF($Z138="OU",ROUND($X138,2),0),SomaAgrup)</f>
        <v>0</v>
      </c>
      <c r="AC138" s="563" t="str">
        <f t="array" aca="1" ref="AC138" ca="1">IF($N138=""," ",
IF(AND($C138&lt;&gt;"S",OR($R138="",$R138="(digite a descrição aqui)")),"DESCRIÇÃO",
IF(AND($C138="S",OR($Q138&lt;&gt;"",$T138&gt;0,$U138&gt;0),$P138=""),"FONTE",
IF(AND($C138="S",$P138&lt;&gt;"",OR($T138&gt;0,$U138&gt;0),$Q138=""),"CÓDIGO",
IF(AND($C138="S",$P138&lt;&gt;"",$Q138&lt;&gt;"",$R138="(Código não identificado nas referências)"),"CÓDIGO N/ID",
IF(AND($C138="S",OR($R138="",$R138="(digite a descrição aqui)"),OR($Q138&lt;&gt;"",$T138&gt;0,$U138&gt;0)),"DESCRIÇÃO",
IF(AND($C138="S",$P138&lt;&gt;"",$Q138&lt;&gt;"",$S138=""),"UNIDADE",
IF(AND($C138="S",$P138&lt;&gt;"",$Q138&lt;&gt;"",$U138=0),"SEM CUSTO",
IF(AND(TIPOORCAMENTO="Licitado",$AL138=0,$AN138&gt;0),"SEM PREÇO",
IF(AND($C138="S",$P138&lt;&gt;"",$Q138&lt;&gt;"",$U138&gt;0,AND($V138&lt;&gt;"BDI 1",$V138&lt;&gt;"BDI 2",$V138&lt;&gt;"BDI 3")),IF(ISNUMBER($V138),"JUSTIFICAR BDI","BDI"),
IF(OR(AND(import.recurso="OGU",TIPOORCAMENTO="Proposto",LEFT($O$8,5)&lt;&gt;"(N/D:",$AG138&lt;&gt;"",ORÇAMENTO.CustoUnitario&gt;$AG138),AND(TIPOORCAMENTO="LICITADO",ORÇAMENTO.PrecoUnitarioLicitado&gt;$AN138)),"ACIMA REF.",
IF(AND($C138="S",$P138&lt;&gt;"",$Q138&lt;&gt;"",$T138=0,$U138&gt;0),"QUANT.",
IF(AND(Import.TipoArredondamento="TransfereGOV",$L138="F",$C138="S",LEN($Q138)&gt;13),"Código &gt;13",
IF(AND(Import.TipoArredondamento="TransfereGOV",$L138="F",$C138&lt;&gt;"S",LEN($R138)&gt;100),"Descrição &gt;100",
IF(AND(Import.TipoArredondamento="TransfereGOV",$L138="F",$C138="S",LEN($R138)&gt;500),"Descrição &gt;500",
IF(AND(Import.TipoArredondamento="TransfereGOV",$L138="F",$C138="S",LEFT(TRIM(UPPER($P138)),6)&lt;&gt;"SINAPI",ISNA(VLOOKUP(TRIM(UPPER($S138)),ListaTgov.Unidades,1,FALSE))),"Unid. Não Disp",
" "))))))))))))))))</f>
        <v xml:space="preserve"> </v>
      </c>
      <c r="AD138" s="696" t="str">
        <f ca="1">IF(C138&lt;=CRONO.NivelExibicao,MAX($AD$15:OFFSET(AD138,-1,0))+IF($C138&lt;&gt;1,1,MAX(1,COUNTIF(QCI!$A$13:$A$24,OFFSET($E138,-1,0)))),"")</f>
        <v/>
      </c>
      <c r="AE138" s="694" t="str">
        <f t="array" aca="1" ref="AE138" ca="1">IF(AND($C138="S",ORÇAMENTO.CodBarra&lt;&gt;""),IF(ORÇAMENTO.Fonte="",ORÇAMENTO.CodBarra,CONCATENATE(ORÇAMENTO.Fonte," ",ORÇAMENTO.CodBarra)))</f>
        <v>SINAPI 103782</v>
      </c>
      <c r="AF138" s="695">
        <f t="array" aca="1" ref="AF138" ca="1">IF(ISERROR(ORÇAMENTO.BancoRef),"(abra o arquivo 'Referência "&amp;Excel_BuiltIn_Database&amp;".xlsm)",IF(OR($C138&lt;&gt;"S",ORÇAMENTO.CodBarra=""),"(Sem Código)",IF(ISERROR(MATCH($AE138,INDIRECT(ORÇAMENTO.BancoRef),0)),"(Código não identificado nas referências)",MATCH($AE138,INDIRECT(ORÇAMENTO.BancoRef),0))))</f>
        <v>10309</v>
      </c>
      <c r="AG138" s="428">
        <f t="array" aca="1" ref="AG138" ca="1">ROUND(IF(DESONERACAO="sim",REFERENCIA.Desonerado,REFERENCIA.NaoDesonerado),2)</f>
        <v>30.6</v>
      </c>
      <c r="AH138" s="429">
        <f t="shared" ca="1" si="41"/>
        <v>0.2034</v>
      </c>
      <c r="AJ138" s="431"/>
      <c r="AL138" s="439"/>
      <c r="AM138" s="336">
        <f t="shared" ca="1" si="0"/>
        <v>4845.3999999999996</v>
      </c>
      <c r="AN138" s="469">
        <f t="array" aca="1" ref="AN138" ca="1">ROUND(ORÇAMENTO.CustoUnitario*(1+$AH138),2)</f>
        <v>34.61</v>
      </c>
    </row>
    <row r="139" spans="1:40" s="696" customFormat="1" ht="25.5" x14ac:dyDescent="0.2">
      <c r="A139" s="696" t="str">
        <f t="shared" si="29"/>
        <v>S</v>
      </c>
      <c r="B139" s="696">
        <f t="shared" ca="1" si="30"/>
        <v>2</v>
      </c>
      <c r="C139" s="696" t="str">
        <f t="shared" ca="1" si="31"/>
        <v>S</v>
      </c>
      <c r="D139" s="696">
        <f t="shared" ca="1" si="32"/>
        <v>0</v>
      </c>
      <c r="E139" s="696">
        <f ca="1">IF($C139=1,OFFSET(E139,-1,0)+MAX(1,COUNTIF(QCI!$A$13:$A$24,OFFSET(ORÇAMENTO!E139,-1,0))),OFFSET(E139,-1,0))</f>
        <v>1</v>
      </c>
      <c r="F139" s="696">
        <f t="shared" ca="1" si="33"/>
        <v>24</v>
      </c>
      <c r="G139" s="696">
        <f t="shared" ca="1" si="34"/>
        <v>0</v>
      </c>
      <c r="H139" s="696">
        <f t="shared" ca="1" si="35"/>
        <v>0</v>
      </c>
      <c r="I139" s="696">
        <f t="shared" ca="1" si="36"/>
        <v>2</v>
      </c>
      <c r="J139" s="696">
        <f t="shared" ca="1" si="28"/>
        <v>0</v>
      </c>
      <c r="K139" s="696">
        <f ca="1">IF(OR($C139="S",$C139=0),0,MATCH(OFFSET($D139,0,$C139)+IF($C139&lt;&gt;1,1,COUNTIF(QCI!$A$13:$A$24,ORÇAMENTO!E139)),OFFSET($D139,1,$C139,ROW($C$235)-ROW($C139)),0))</f>
        <v>0</v>
      </c>
      <c r="L139" s="114" t="str">
        <f t="shared" ca="1" si="37"/>
        <v>F</v>
      </c>
      <c r="M139" s="115" t="s">
        <v>705</v>
      </c>
      <c r="N139" s="116" t="str">
        <f t="shared" ca="1" si="38"/>
        <v>Serviço</v>
      </c>
      <c r="O139" s="117" t="str">
        <f t="shared" ca="1" si="39"/>
        <v>1.24.2.</v>
      </c>
      <c r="P139" s="118" t="s">
        <v>750</v>
      </c>
      <c r="Q139" s="119" t="s">
        <v>1121</v>
      </c>
      <c r="R139" s="120" t="str">
        <f t="array" aca="1" ref="R139" ca="1">IF($C139="S",REFERENCIA.Descricao,"(digite a descrição aqui)")</f>
        <v>LÂMPADA COMPACTA DE LED 10 W, BASE E27 - FORNECIMENTO E INSTALAÇÃO. AF_09/2024</v>
      </c>
      <c r="S139" s="121" t="str">
        <f t="array" aca="1" ref="S139" ca="1">REFERENCIA.Unidade</f>
        <v>UN</v>
      </c>
      <c r="T139" s="122">
        <f ca="1">OFFSET(CÁLCULO!H$15,ROW($T139)-ROW(T$15),0)</f>
        <v>140</v>
      </c>
      <c r="U139" s="123">
        <f>14.35*0.94</f>
        <v>13.488999999999999</v>
      </c>
      <c r="V139" s="124" t="s">
        <v>697</v>
      </c>
      <c r="W139" s="122">
        <f t="array" aca="1" ref="W139" ca="1">IF($C139="S",ROUND(IF(TIPOORCAMENTO="Proposto",ORÇAMENTO.CustoUnitario*(1+$AH139),ORÇAMENTO.PrecoUnitarioLicitado),15-13*$AF$10),0)</f>
        <v>16.23</v>
      </c>
      <c r="X139" s="125">
        <f t="array" aca="1" ref="X139" ca="1">IF($C139="S",IF(OR(Import.TipoArredondamento&lt;&gt;"TransfereGOV",ACOMPANHAMENTO="BM"),VTOTAL1,SUM(OFFSET(CÁLCULO!$AI$15,ROW($X139)-ROW($X$15),1):OFFSET(CÁLCULO!$BB$15,ROW($X139)-ROW($X$15),-1))),IF($C139=0,0,ROUND(SomaAgrup,15-13*$AF$11)))</f>
        <v>2272.1999999999998</v>
      </c>
      <c r="Y139" s="126" t="s">
        <v>751</v>
      </c>
      <c r="Z139" s="696" t="str">
        <f t="shared" ca="1" si="40"/>
        <v>RA</v>
      </c>
      <c r="AA139" s="127">
        <f t="array" aca="1" ref="AA139" ca="1">IF($C139="S",IF($Z139="CP",$X139,IF($Z139="RA",(($X139)*QCI!$AA$3),0)),SomaAgrup)</f>
        <v>0</v>
      </c>
      <c r="AB139" s="128">
        <f t="array" aca="1" ref="AB139" ca="1">IF($C139="S",IF($Z139="OU",ROUND($X139,2),0),SomaAgrup)</f>
        <v>0</v>
      </c>
      <c r="AC139" s="563" t="str">
        <f t="array" aca="1" ref="AC139" ca="1">IF($N139=""," ",
IF(AND($C139&lt;&gt;"S",OR($R139="",$R139="(digite a descrição aqui)")),"DESCRIÇÃO",
IF(AND($C139="S",OR($Q139&lt;&gt;"",$T139&gt;0,$U139&gt;0),$P139=""),"FONTE",
IF(AND($C139="S",$P139&lt;&gt;"",OR($T139&gt;0,$U139&gt;0),$Q139=""),"CÓDIGO",
IF(AND($C139="S",$P139&lt;&gt;"",$Q139&lt;&gt;"",$R139="(Código não identificado nas referências)"),"CÓDIGO N/ID",
IF(AND($C139="S",OR($R139="",$R139="(digite a descrição aqui)"),OR($Q139&lt;&gt;"",$T139&gt;0,$U139&gt;0)),"DESCRIÇÃO",
IF(AND($C139="S",$P139&lt;&gt;"",$Q139&lt;&gt;"",$S139=""),"UNIDADE",
IF(AND($C139="S",$P139&lt;&gt;"",$Q139&lt;&gt;"",$U139=0),"SEM CUSTO",
IF(AND(TIPOORCAMENTO="Licitado",$AL139=0,$AN139&gt;0),"SEM PREÇO",
IF(AND($C139="S",$P139&lt;&gt;"",$Q139&lt;&gt;"",$U139&gt;0,AND($V139&lt;&gt;"BDI 1",$V139&lt;&gt;"BDI 2",$V139&lt;&gt;"BDI 3")),IF(ISNUMBER($V139),"JUSTIFICAR BDI","BDI"),
IF(OR(AND(import.recurso="OGU",TIPOORCAMENTO="Proposto",LEFT($O$8,5)&lt;&gt;"(N/D:",$AG139&lt;&gt;"",ORÇAMENTO.CustoUnitario&gt;$AG139),AND(TIPOORCAMENTO="LICITADO",ORÇAMENTO.PrecoUnitarioLicitado&gt;$AN139)),"ACIMA REF.",
IF(AND($C139="S",$P139&lt;&gt;"",$Q139&lt;&gt;"",$T139=0,$U139&gt;0),"QUANT.",
IF(AND(Import.TipoArredondamento="TransfereGOV",$L139="F",$C139="S",LEN($Q139)&gt;13),"Código &gt;13",
IF(AND(Import.TipoArredondamento="TransfereGOV",$L139="F",$C139&lt;&gt;"S",LEN($R139)&gt;100),"Descrição &gt;100",
IF(AND(Import.TipoArredondamento="TransfereGOV",$L139="F",$C139="S",LEN($R139)&gt;500),"Descrição &gt;500",
IF(AND(Import.TipoArredondamento="TransfereGOV",$L139="F",$C139="S",LEFT(TRIM(UPPER($P139)),6)&lt;&gt;"SINAPI",ISNA(VLOOKUP(TRIM(UPPER($S139)),ListaTgov.Unidades,1,FALSE))),"Unid. Não Disp",
" "))))))))))))))))</f>
        <v xml:space="preserve"> </v>
      </c>
      <c r="AD139" s="696" t="str">
        <f ca="1">IF(C139&lt;=CRONO.NivelExibicao,MAX($AD$15:OFFSET(AD139,-1,0))+IF($C139&lt;&gt;1,1,MAX(1,COUNTIF(QCI!$A$13:$A$24,OFFSET($E139,-1,0)))),"")</f>
        <v/>
      </c>
      <c r="AE139" s="694" t="str">
        <f t="array" aca="1" ref="AE139" ca="1">IF(AND($C139="S",ORÇAMENTO.CodBarra&lt;&gt;""),IF(ORÇAMENTO.Fonte="",ORÇAMENTO.CodBarra,CONCATENATE(ORÇAMENTO.Fonte," ",ORÇAMENTO.CodBarra)))</f>
        <v>SINAPI 97610</v>
      </c>
      <c r="AF139" s="695">
        <f t="array" aca="1" ref="AF139" ca="1">IF(ISERROR(ORÇAMENTO.BancoRef),"(abra o arquivo 'Referência "&amp;Excel_BuiltIn_Database&amp;".xlsm)",IF(OR($C139&lt;&gt;"S",ORÇAMENTO.CodBarra=""),"(Sem Código)",IF(ISERROR(MATCH($AE139,INDIRECT(ORÇAMENTO.BancoRef),0)),"(Código não identificado nas referências)",MATCH($AE139,INDIRECT(ORÇAMENTO.BancoRef),0))))</f>
        <v>10318</v>
      </c>
      <c r="AG139" s="428">
        <f t="array" aca="1" ref="AG139" ca="1">ROUND(IF(DESONERACAO="sim",REFERENCIA.Desonerado,REFERENCIA.NaoDesonerado),2)</f>
        <v>14.35</v>
      </c>
      <c r="AH139" s="429">
        <f t="shared" ca="1" si="41"/>
        <v>0.2034</v>
      </c>
      <c r="AJ139" s="431"/>
      <c r="AL139" s="439"/>
      <c r="AM139" s="336">
        <f t="shared" ca="1" si="0"/>
        <v>2272.1999999999998</v>
      </c>
      <c r="AN139" s="469">
        <f t="array" aca="1" ref="AN139" ca="1">ROUND(ORÇAMENTO.CustoUnitario*(1+$AH139),2)</f>
        <v>16.23</v>
      </c>
    </row>
    <row r="140" spans="1:40" s="696" customFormat="1" ht="25.5" x14ac:dyDescent="0.2">
      <c r="A140" s="696" t="str">
        <f t="shared" si="29"/>
        <v>S</v>
      </c>
      <c r="B140" s="696">
        <f t="shared" ca="1" si="30"/>
        <v>2</v>
      </c>
      <c r="C140" s="696" t="str">
        <f t="shared" ca="1" si="31"/>
        <v>S</v>
      </c>
      <c r="D140" s="696">
        <f t="shared" ca="1" si="32"/>
        <v>0</v>
      </c>
      <c r="E140" s="696">
        <f ca="1">IF($C140=1,OFFSET(E140,-1,0)+MAX(1,COUNTIF(QCI!$A$13:$A$24,OFFSET(ORÇAMENTO!E140,-1,0))),OFFSET(E140,-1,0))</f>
        <v>1</v>
      </c>
      <c r="F140" s="696">
        <f t="shared" ca="1" si="33"/>
        <v>24</v>
      </c>
      <c r="G140" s="696">
        <f t="shared" ca="1" si="34"/>
        <v>0</v>
      </c>
      <c r="H140" s="696">
        <f t="shared" ca="1" si="35"/>
        <v>0</v>
      </c>
      <c r="I140" s="696">
        <f t="shared" ca="1" si="36"/>
        <v>3</v>
      </c>
      <c r="J140" s="696">
        <f t="shared" ca="1" si="28"/>
        <v>0</v>
      </c>
      <c r="K140" s="696">
        <f ca="1">IF(OR($C140="S",$C140=0),0,MATCH(OFFSET($D140,0,$C140)+IF($C140&lt;&gt;1,1,COUNTIF(QCI!$A$13:$A$24,ORÇAMENTO!E140)),OFFSET($D140,1,$C140,ROW($C$235)-ROW($C140)),0))</f>
        <v>0</v>
      </c>
      <c r="L140" s="114" t="str">
        <f t="shared" ca="1" si="37"/>
        <v>F</v>
      </c>
      <c r="M140" s="115" t="s">
        <v>705</v>
      </c>
      <c r="N140" s="116" t="str">
        <f t="shared" ca="1" si="38"/>
        <v>Serviço</v>
      </c>
      <c r="O140" s="117" t="str">
        <f t="shared" ca="1" si="39"/>
        <v>1.24.3.</v>
      </c>
      <c r="P140" s="118" t="s">
        <v>750</v>
      </c>
      <c r="Q140" s="119" t="s">
        <v>1122</v>
      </c>
      <c r="R140" s="120" t="str">
        <f t="array" aca="1" ref="R140" ca="1">IF($C140="S",REFERENCIA.Descricao,"(digite a descrição aqui)")</f>
        <v>INTERRUPTOR SIMPLES (1 MÓDULO), 10A/250V, INCLUINDO SUPORTE E PLACA - FORNECIMENTO E INSTALAÇÃO. AF_03/2023</v>
      </c>
      <c r="S140" s="121" t="str">
        <f t="array" aca="1" ref="S140" ca="1">REFERENCIA.Unidade</f>
        <v>UN</v>
      </c>
      <c r="T140" s="122">
        <f ca="1">OFFSET(CÁLCULO!H$15,ROW($T140)-ROW(T$15),0)</f>
        <v>100</v>
      </c>
      <c r="U140" s="123">
        <f>30.99*0.94</f>
        <v>29.130599999999998</v>
      </c>
      <c r="V140" s="124" t="s">
        <v>697</v>
      </c>
      <c r="W140" s="122">
        <f t="array" aca="1" ref="W140" ca="1">IF($C140="S",ROUND(IF(TIPOORCAMENTO="Proposto",ORÇAMENTO.CustoUnitario*(1+$AH140),ORÇAMENTO.PrecoUnitarioLicitado),15-13*$AF$10),0)</f>
        <v>35.06</v>
      </c>
      <c r="X140" s="125">
        <f t="array" aca="1" ref="X140" ca="1">IF($C140="S",IF(OR(Import.TipoArredondamento&lt;&gt;"TransfereGOV",ACOMPANHAMENTO="BM"),VTOTAL1,SUM(OFFSET(CÁLCULO!$AI$15,ROW($X140)-ROW($X$15),1):OFFSET(CÁLCULO!$BB$15,ROW($X140)-ROW($X$15),-1))),IF($C140=0,0,ROUND(SomaAgrup,15-13*$AF$11)))</f>
        <v>3506</v>
      </c>
      <c r="Y140" s="126" t="s">
        <v>751</v>
      </c>
      <c r="Z140" s="696" t="str">
        <f t="shared" ca="1" si="40"/>
        <v>RA</v>
      </c>
      <c r="AA140" s="127">
        <f t="array" aca="1" ref="AA140" ca="1">IF($C140="S",IF($Z140="CP",$X140,IF($Z140="RA",(($X140)*QCI!$AA$3),0)),SomaAgrup)</f>
        <v>0</v>
      </c>
      <c r="AB140" s="128">
        <f t="array" aca="1" ref="AB140" ca="1">IF($C140="S",IF($Z140="OU",ROUND($X140,2),0),SomaAgrup)</f>
        <v>0</v>
      </c>
      <c r="AC140" s="563" t="str">
        <f t="array" aca="1" ref="AC140" ca="1">IF($N140=""," ",
IF(AND($C140&lt;&gt;"S",OR($R140="",$R140="(digite a descrição aqui)")),"DESCRIÇÃO",
IF(AND($C140="S",OR($Q140&lt;&gt;"",$T140&gt;0,$U140&gt;0),$P140=""),"FONTE",
IF(AND($C140="S",$P140&lt;&gt;"",OR($T140&gt;0,$U140&gt;0),$Q140=""),"CÓDIGO",
IF(AND($C140="S",$P140&lt;&gt;"",$Q140&lt;&gt;"",$R140="(Código não identificado nas referências)"),"CÓDIGO N/ID",
IF(AND($C140="S",OR($R140="",$R140="(digite a descrição aqui)"),OR($Q140&lt;&gt;"",$T140&gt;0,$U140&gt;0)),"DESCRIÇÃO",
IF(AND($C140="S",$P140&lt;&gt;"",$Q140&lt;&gt;"",$S140=""),"UNIDADE",
IF(AND($C140="S",$P140&lt;&gt;"",$Q140&lt;&gt;"",$U140=0),"SEM CUSTO",
IF(AND(TIPOORCAMENTO="Licitado",$AL140=0,$AN140&gt;0),"SEM PREÇO",
IF(AND($C140="S",$P140&lt;&gt;"",$Q140&lt;&gt;"",$U140&gt;0,AND($V140&lt;&gt;"BDI 1",$V140&lt;&gt;"BDI 2",$V140&lt;&gt;"BDI 3")),IF(ISNUMBER($V140),"JUSTIFICAR BDI","BDI"),
IF(OR(AND(import.recurso="OGU",TIPOORCAMENTO="Proposto",LEFT($O$8,5)&lt;&gt;"(N/D:",$AG140&lt;&gt;"",ORÇAMENTO.CustoUnitario&gt;$AG140),AND(TIPOORCAMENTO="LICITADO",ORÇAMENTO.PrecoUnitarioLicitado&gt;$AN140)),"ACIMA REF.",
IF(AND($C140="S",$P140&lt;&gt;"",$Q140&lt;&gt;"",$T140=0,$U140&gt;0),"QUANT.",
IF(AND(Import.TipoArredondamento="TransfereGOV",$L140="F",$C140="S",LEN($Q140)&gt;13),"Código &gt;13",
IF(AND(Import.TipoArredondamento="TransfereGOV",$L140="F",$C140&lt;&gt;"S",LEN($R140)&gt;100),"Descrição &gt;100",
IF(AND(Import.TipoArredondamento="TransfereGOV",$L140="F",$C140="S",LEN($R140)&gt;500),"Descrição &gt;500",
IF(AND(Import.TipoArredondamento="TransfereGOV",$L140="F",$C140="S",LEFT(TRIM(UPPER($P140)),6)&lt;&gt;"SINAPI",ISNA(VLOOKUP(TRIM(UPPER($S140)),ListaTgov.Unidades,1,FALSE))),"Unid. Não Disp",
" "))))))))))))))))</f>
        <v xml:space="preserve"> </v>
      </c>
      <c r="AD140" s="696" t="str">
        <f ca="1">IF(C140&lt;=CRONO.NivelExibicao,MAX($AD$15:OFFSET(AD140,-1,0))+IF($C140&lt;&gt;1,1,MAX(1,COUNTIF(QCI!$A$13:$A$24,OFFSET($E140,-1,0)))),"")</f>
        <v/>
      </c>
      <c r="AE140" s="694" t="str">
        <f t="array" aca="1" ref="AE140" ca="1">IF(AND($C140="S",ORÇAMENTO.CodBarra&lt;&gt;""),IF(ORÇAMENTO.Fonte="",ORÇAMENTO.CodBarra,CONCATENATE(ORÇAMENTO.Fonte," ",ORÇAMENTO.CodBarra)))</f>
        <v>SINAPI 91953</v>
      </c>
      <c r="AF140" s="695">
        <f t="array" aca="1" ref="AF140" ca="1">IF(ISERROR(ORÇAMENTO.BancoRef),"(abra o arquivo 'Referência "&amp;Excel_BuiltIn_Database&amp;".xlsm)",IF(OR($C140&lt;&gt;"S",ORÇAMENTO.CodBarra=""),"(Sem Código)",IF(ISERROR(MATCH($AE140,INDIRECT(ORÇAMENTO.BancoRef),0)),"(Código não identificado nas referências)",MATCH($AE140,INDIRECT(ORÇAMENTO.BancoRef),0))))</f>
        <v>10489</v>
      </c>
      <c r="AG140" s="428">
        <f t="array" aca="1" ref="AG140" ca="1">ROUND(IF(DESONERACAO="sim",REFERENCIA.Desonerado,REFERENCIA.NaoDesonerado),2)</f>
        <v>30.99</v>
      </c>
      <c r="AH140" s="429">
        <f t="shared" ca="1" si="41"/>
        <v>0.2034</v>
      </c>
      <c r="AJ140" s="431"/>
      <c r="AL140" s="439"/>
      <c r="AM140" s="336">
        <f t="shared" ca="1" si="0"/>
        <v>3506</v>
      </c>
      <c r="AN140" s="469">
        <f t="array" aca="1" ref="AN140" ca="1">ROUND(ORÇAMENTO.CustoUnitario*(1+$AH140),2)</f>
        <v>35.06</v>
      </c>
    </row>
    <row r="141" spans="1:40" s="696" customFormat="1" ht="25.5" x14ac:dyDescent="0.2">
      <c r="A141" s="696" t="str">
        <f t="shared" si="29"/>
        <v>S</v>
      </c>
      <c r="B141" s="696">
        <f t="shared" ca="1" si="30"/>
        <v>2</v>
      </c>
      <c r="C141" s="696" t="str">
        <f t="shared" ca="1" si="31"/>
        <v>S</v>
      </c>
      <c r="D141" s="696">
        <f t="shared" ca="1" si="32"/>
        <v>0</v>
      </c>
      <c r="E141" s="696">
        <f ca="1">IF($C141=1,OFFSET(E141,-1,0)+MAX(1,COUNTIF(QCI!$A$13:$A$24,OFFSET(ORÇAMENTO!E141,-1,0))),OFFSET(E141,-1,0))</f>
        <v>1</v>
      </c>
      <c r="F141" s="696">
        <f t="shared" ca="1" si="33"/>
        <v>24</v>
      </c>
      <c r="G141" s="696">
        <f t="shared" ca="1" si="34"/>
        <v>0</v>
      </c>
      <c r="H141" s="696">
        <f t="shared" ca="1" si="35"/>
        <v>0</v>
      </c>
      <c r="I141" s="696">
        <f t="shared" ca="1" si="36"/>
        <v>4</v>
      </c>
      <c r="J141" s="696">
        <f t="shared" ca="1" si="28"/>
        <v>0</v>
      </c>
      <c r="K141" s="696">
        <f ca="1">IF(OR($C141="S",$C141=0),0,MATCH(OFFSET($D141,0,$C141)+IF($C141&lt;&gt;1,1,COUNTIF(QCI!$A$13:$A$24,ORÇAMENTO!E141)),OFFSET($D141,1,$C141,ROW($C$235)-ROW($C141)),0))</f>
        <v>0</v>
      </c>
      <c r="L141" s="114" t="str">
        <f t="shared" ca="1" si="37"/>
        <v>F</v>
      </c>
      <c r="M141" s="115" t="s">
        <v>705</v>
      </c>
      <c r="N141" s="116" t="str">
        <f t="shared" ca="1" si="38"/>
        <v>Serviço</v>
      </c>
      <c r="O141" s="117" t="str">
        <f t="shared" ca="1" si="39"/>
        <v>1.24.4.</v>
      </c>
      <c r="P141" s="118" t="s">
        <v>750</v>
      </c>
      <c r="Q141" s="119" t="s">
        <v>1123</v>
      </c>
      <c r="R141" s="120" t="str">
        <f t="array" aca="1" ref="R141" ca="1">IF($C141="S",REFERENCIA.Descricao,"(digite a descrição aqui)")</f>
        <v>INTERRUPTOR SIMPLES (2 MÓDULOS), 10A/250V, INCLUINDO SUPORTE E PLACA - FORNECIMENTO E INSTALAÇÃO. AF_03/2023</v>
      </c>
      <c r="S141" s="121" t="str">
        <f t="array" aca="1" ref="S141" ca="1">REFERENCIA.Unidade</f>
        <v>UN</v>
      </c>
      <c r="T141" s="122">
        <f ca="1">OFFSET(CÁLCULO!H$15,ROW($T141)-ROW(T$15),0)</f>
        <v>20</v>
      </c>
      <c r="U141" s="123">
        <f>47.05*0.94</f>
        <v>44.226999999999997</v>
      </c>
      <c r="V141" s="124" t="s">
        <v>697</v>
      </c>
      <c r="W141" s="122">
        <f t="array" aca="1" ref="W141" ca="1">IF($C141="S",ROUND(IF(TIPOORCAMENTO="Proposto",ORÇAMENTO.CustoUnitario*(1+$AH141),ORÇAMENTO.PrecoUnitarioLicitado),15-13*$AF$10),0)</f>
        <v>53.23</v>
      </c>
      <c r="X141" s="125">
        <f t="array" aca="1" ref="X141" ca="1">IF($C141="S",IF(OR(Import.TipoArredondamento&lt;&gt;"TransfereGOV",ACOMPANHAMENTO="BM"),VTOTAL1,SUM(OFFSET(CÁLCULO!$AI$15,ROW($X141)-ROW($X$15),1):OFFSET(CÁLCULO!$BB$15,ROW($X141)-ROW($X$15),-1))),IF($C141=0,0,ROUND(SomaAgrup,15-13*$AF$11)))</f>
        <v>1064.5999999999999</v>
      </c>
      <c r="Y141" s="126" t="s">
        <v>751</v>
      </c>
      <c r="Z141" s="696" t="str">
        <f t="shared" ca="1" si="40"/>
        <v>RA</v>
      </c>
      <c r="AA141" s="127">
        <f t="array" aca="1" ref="AA141" ca="1">IF($C141="S",IF($Z141="CP",$X141,IF($Z141="RA",(($X141)*QCI!$AA$3),0)),SomaAgrup)</f>
        <v>0</v>
      </c>
      <c r="AB141" s="128">
        <f t="array" aca="1" ref="AB141" ca="1">IF($C141="S",IF($Z141="OU",ROUND($X141,2),0),SomaAgrup)</f>
        <v>0</v>
      </c>
      <c r="AC141" s="563" t="str">
        <f t="array" aca="1" ref="AC141" ca="1">IF($N141=""," ",
IF(AND($C141&lt;&gt;"S",OR($R141="",$R141="(digite a descrição aqui)")),"DESCRIÇÃO",
IF(AND($C141="S",OR($Q141&lt;&gt;"",$T141&gt;0,$U141&gt;0),$P141=""),"FONTE",
IF(AND($C141="S",$P141&lt;&gt;"",OR($T141&gt;0,$U141&gt;0),$Q141=""),"CÓDIGO",
IF(AND($C141="S",$P141&lt;&gt;"",$Q141&lt;&gt;"",$R141="(Código não identificado nas referências)"),"CÓDIGO N/ID",
IF(AND($C141="S",OR($R141="",$R141="(digite a descrição aqui)"),OR($Q141&lt;&gt;"",$T141&gt;0,$U141&gt;0)),"DESCRIÇÃO",
IF(AND($C141="S",$P141&lt;&gt;"",$Q141&lt;&gt;"",$S141=""),"UNIDADE",
IF(AND($C141="S",$P141&lt;&gt;"",$Q141&lt;&gt;"",$U141=0),"SEM CUSTO",
IF(AND(TIPOORCAMENTO="Licitado",$AL141=0,$AN141&gt;0),"SEM PREÇO",
IF(AND($C141="S",$P141&lt;&gt;"",$Q141&lt;&gt;"",$U141&gt;0,AND($V141&lt;&gt;"BDI 1",$V141&lt;&gt;"BDI 2",$V141&lt;&gt;"BDI 3")),IF(ISNUMBER($V141),"JUSTIFICAR BDI","BDI"),
IF(OR(AND(import.recurso="OGU",TIPOORCAMENTO="Proposto",LEFT($O$8,5)&lt;&gt;"(N/D:",$AG141&lt;&gt;"",ORÇAMENTO.CustoUnitario&gt;$AG141),AND(TIPOORCAMENTO="LICITADO",ORÇAMENTO.PrecoUnitarioLicitado&gt;$AN141)),"ACIMA REF.",
IF(AND($C141="S",$P141&lt;&gt;"",$Q141&lt;&gt;"",$T141=0,$U141&gt;0),"QUANT.",
IF(AND(Import.TipoArredondamento="TransfereGOV",$L141="F",$C141="S",LEN($Q141)&gt;13),"Código &gt;13",
IF(AND(Import.TipoArredondamento="TransfereGOV",$L141="F",$C141&lt;&gt;"S",LEN($R141)&gt;100),"Descrição &gt;100",
IF(AND(Import.TipoArredondamento="TransfereGOV",$L141="F",$C141="S",LEN($R141)&gt;500),"Descrição &gt;500",
IF(AND(Import.TipoArredondamento="TransfereGOV",$L141="F",$C141="S",LEFT(TRIM(UPPER($P141)),6)&lt;&gt;"SINAPI",ISNA(VLOOKUP(TRIM(UPPER($S141)),ListaTgov.Unidades,1,FALSE))),"Unid. Não Disp",
" "))))))))))))))))</f>
        <v xml:space="preserve"> </v>
      </c>
      <c r="AD141" s="696" t="str">
        <f ca="1">IF(C141&lt;=CRONO.NivelExibicao,MAX($AD$15:OFFSET(AD141,-1,0))+IF($C141&lt;&gt;1,1,MAX(1,COUNTIF(QCI!$A$13:$A$24,OFFSET($E141,-1,0)))),"")</f>
        <v/>
      </c>
      <c r="AE141" s="694" t="str">
        <f t="array" aca="1" ref="AE141" ca="1">IF(AND($C141="S",ORÇAMENTO.CodBarra&lt;&gt;""),IF(ORÇAMENTO.Fonte="",ORÇAMENTO.CodBarra,CONCATENATE(ORÇAMENTO.Fonte," ",ORÇAMENTO.CodBarra)))</f>
        <v>SINAPI 91959</v>
      </c>
      <c r="AF141" s="695">
        <f t="array" aca="1" ref="AF141" ca="1">IF(ISERROR(ORÇAMENTO.BancoRef),"(abra o arquivo 'Referência "&amp;Excel_BuiltIn_Database&amp;".xlsm)",IF(OR($C141&lt;&gt;"S",ORÇAMENTO.CodBarra=""),"(Sem Código)",IF(ISERROR(MATCH($AE141,INDIRECT(ORÇAMENTO.BancoRef),0)),"(Código não identificado nas referências)",MATCH($AE141,INDIRECT(ORÇAMENTO.BancoRef),0))))</f>
        <v>10499</v>
      </c>
      <c r="AG141" s="428">
        <f t="array" aca="1" ref="AG141" ca="1">ROUND(IF(DESONERACAO="sim",REFERENCIA.Desonerado,REFERENCIA.NaoDesonerado),2)</f>
        <v>47.05</v>
      </c>
      <c r="AH141" s="429">
        <f t="shared" ca="1" si="41"/>
        <v>0.2034</v>
      </c>
      <c r="AJ141" s="431"/>
      <c r="AL141" s="439"/>
      <c r="AM141" s="336">
        <f t="shared" ca="1" si="0"/>
        <v>1064.5999999999999</v>
      </c>
      <c r="AN141" s="469">
        <f t="array" aca="1" ref="AN141" ca="1">ROUND(ORÇAMENTO.CustoUnitario*(1+$AH141),2)</f>
        <v>53.23</v>
      </c>
    </row>
    <row r="142" spans="1:40" s="696" customFormat="1" ht="25.5" x14ac:dyDescent="0.2">
      <c r="A142" s="696" t="str">
        <f t="shared" si="29"/>
        <v>S</v>
      </c>
      <c r="B142" s="696">
        <f t="shared" ca="1" si="30"/>
        <v>2</v>
      </c>
      <c r="C142" s="696" t="str">
        <f t="shared" ca="1" si="31"/>
        <v>S</v>
      </c>
      <c r="D142" s="696">
        <f t="shared" ca="1" si="32"/>
        <v>0</v>
      </c>
      <c r="E142" s="696">
        <f ca="1">IF($C142=1,OFFSET(E142,-1,0)+MAX(1,COUNTIF(QCI!$A$13:$A$24,OFFSET(ORÇAMENTO!E142,-1,0))),OFFSET(E142,-1,0))</f>
        <v>1</v>
      </c>
      <c r="F142" s="696">
        <f t="shared" ca="1" si="33"/>
        <v>24</v>
      </c>
      <c r="G142" s="696">
        <f t="shared" ca="1" si="34"/>
        <v>0</v>
      </c>
      <c r="H142" s="696">
        <f t="shared" ca="1" si="35"/>
        <v>0</v>
      </c>
      <c r="I142" s="696">
        <f t="shared" ca="1" si="36"/>
        <v>5</v>
      </c>
      <c r="J142" s="696">
        <f t="shared" ca="1" si="28"/>
        <v>0</v>
      </c>
      <c r="K142" s="696">
        <f ca="1">IF(OR($C142="S",$C142=0),0,MATCH(OFFSET($D142,0,$C142)+IF($C142&lt;&gt;1,1,COUNTIF(QCI!$A$13:$A$24,ORÇAMENTO!E142)),OFFSET($D142,1,$C142,ROW($C$235)-ROW($C142)),0))</f>
        <v>0</v>
      </c>
      <c r="L142" s="114" t="str">
        <f t="shared" ca="1" si="37"/>
        <v>F</v>
      </c>
      <c r="M142" s="115" t="s">
        <v>705</v>
      </c>
      <c r="N142" s="116" t="str">
        <f t="shared" ca="1" si="38"/>
        <v>Serviço</v>
      </c>
      <c r="O142" s="117" t="str">
        <f t="shared" ca="1" si="39"/>
        <v>1.24.5.</v>
      </c>
      <c r="P142" s="118" t="s">
        <v>750</v>
      </c>
      <c r="Q142" s="119" t="s">
        <v>1124</v>
      </c>
      <c r="R142" s="120" t="str">
        <f t="array" aca="1" ref="R142" ca="1">IF($C142="S",REFERENCIA.Descricao,"(digite a descrição aqui)")</f>
        <v>TOMADA BAIXA DE EMBUTIR (1 MÓDULO), 2P+T 10 A, INCLUINDO SUPORTE E PLACA - FORNECIMENTO E INSTALAÇÃO. AF_03/2023</v>
      </c>
      <c r="S142" s="121" t="str">
        <f t="array" aca="1" ref="S142" ca="1">REFERENCIA.Unidade</f>
        <v>UN</v>
      </c>
      <c r="T142" s="122">
        <f ca="1">OFFSET(CÁLCULO!H$15,ROW($T142)-ROW(T$15),0)</f>
        <v>200</v>
      </c>
      <c r="U142" s="123">
        <f>32.44*0.94</f>
        <v>30.493599999999997</v>
      </c>
      <c r="V142" s="124" t="s">
        <v>697</v>
      </c>
      <c r="W142" s="122">
        <f t="array" aca="1" ref="W142" ca="1">IF($C142="S",ROUND(IF(TIPOORCAMENTO="Proposto",ORÇAMENTO.CustoUnitario*(1+$AH142),ORÇAMENTO.PrecoUnitarioLicitado),15-13*$AF$10),0)</f>
        <v>36.69</v>
      </c>
      <c r="X142" s="125">
        <f t="array" aca="1" ref="X142" ca="1">IF($C142="S",IF(OR(Import.TipoArredondamento&lt;&gt;"TransfereGOV",ACOMPANHAMENTO="BM"),VTOTAL1,SUM(OFFSET(CÁLCULO!$AI$15,ROW($X142)-ROW($X$15),1):OFFSET(CÁLCULO!$BB$15,ROW($X142)-ROW($X$15),-1))),IF($C142=0,0,ROUND(SomaAgrup,15-13*$AF$11)))</f>
        <v>7338</v>
      </c>
      <c r="Y142" s="126" t="s">
        <v>751</v>
      </c>
      <c r="Z142" s="696" t="str">
        <f t="shared" ca="1" si="40"/>
        <v>RA</v>
      </c>
      <c r="AA142" s="127">
        <f t="array" aca="1" ref="AA142" ca="1">IF($C142="S",IF($Z142="CP",$X142,IF($Z142="RA",(($X142)*QCI!$AA$3),0)),SomaAgrup)</f>
        <v>0</v>
      </c>
      <c r="AB142" s="128">
        <f t="array" aca="1" ref="AB142" ca="1">IF($C142="S",IF($Z142="OU",ROUND($X142,2),0),SomaAgrup)</f>
        <v>0</v>
      </c>
      <c r="AC142" s="563" t="str">
        <f t="array" aca="1" ref="AC142" ca="1">IF($N142=""," ",
IF(AND($C142&lt;&gt;"S",OR($R142="",$R142="(digite a descrição aqui)")),"DESCRIÇÃO",
IF(AND($C142="S",OR($Q142&lt;&gt;"",$T142&gt;0,$U142&gt;0),$P142=""),"FONTE",
IF(AND($C142="S",$P142&lt;&gt;"",OR($T142&gt;0,$U142&gt;0),$Q142=""),"CÓDIGO",
IF(AND($C142="S",$P142&lt;&gt;"",$Q142&lt;&gt;"",$R142="(Código não identificado nas referências)"),"CÓDIGO N/ID",
IF(AND($C142="S",OR($R142="",$R142="(digite a descrição aqui)"),OR($Q142&lt;&gt;"",$T142&gt;0,$U142&gt;0)),"DESCRIÇÃO",
IF(AND($C142="S",$P142&lt;&gt;"",$Q142&lt;&gt;"",$S142=""),"UNIDADE",
IF(AND($C142="S",$P142&lt;&gt;"",$Q142&lt;&gt;"",$U142=0),"SEM CUSTO",
IF(AND(TIPOORCAMENTO="Licitado",$AL142=0,$AN142&gt;0),"SEM PREÇO",
IF(AND($C142="S",$P142&lt;&gt;"",$Q142&lt;&gt;"",$U142&gt;0,AND($V142&lt;&gt;"BDI 1",$V142&lt;&gt;"BDI 2",$V142&lt;&gt;"BDI 3")),IF(ISNUMBER($V142),"JUSTIFICAR BDI","BDI"),
IF(OR(AND(import.recurso="OGU",TIPOORCAMENTO="Proposto",LEFT($O$8,5)&lt;&gt;"(N/D:",$AG142&lt;&gt;"",ORÇAMENTO.CustoUnitario&gt;$AG142),AND(TIPOORCAMENTO="LICITADO",ORÇAMENTO.PrecoUnitarioLicitado&gt;$AN142)),"ACIMA REF.",
IF(AND($C142="S",$P142&lt;&gt;"",$Q142&lt;&gt;"",$T142=0,$U142&gt;0),"QUANT.",
IF(AND(Import.TipoArredondamento="TransfereGOV",$L142="F",$C142="S",LEN($Q142)&gt;13),"Código &gt;13",
IF(AND(Import.TipoArredondamento="TransfereGOV",$L142="F",$C142&lt;&gt;"S",LEN($R142)&gt;100),"Descrição &gt;100",
IF(AND(Import.TipoArredondamento="TransfereGOV",$L142="F",$C142="S",LEN($R142)&gt;500),"Descrição &gt;500",
IF(AND(Import.TipoArredondamento="TransfereGOV",$L142="F",$C142="S",LEFT(TRIM(UPPER($P142)),6)&lt;&gt;"SINAPI",ISNA(VLOOKUP(TRIM(UPPER($S142)),ListaTgov.Unidades,1,FALSE))),"Unid. Não Disp",
" "))))))))))))))))</f>
        <v xml:space="preserve"> </v>
      </c>
      <c r="AD142" s="696" t="str">
        <f ca="1">IF(C142&lt;=CRONO.NivelExibicao,MAX($AD$15:OFFSET(AD142,-1,0))+IF($C142&lt;&gt;1,1,MAX(1,COUNTIF(QCI!$A$13:$A$24,OFFSET($E142,-1,0)))),"")</f>
        <v/>
      </c>
      <c r="AE142" s="694" t="str">
        <f t="array" aca="1" ref="AE142" ca="1">IF(AND($C142="S",ORÇAMENTO.CodBarra&lt;&gt;""),IF(ORÇAMENTO.Fonte="",ORÇAMENTO.CodBarra,CONCATENATE(ORÇAMENTO.Fonte," ",ORÇAMENTO.CodBarra)))</f>
        <v>SINAPI 92000</v>
      </c>
      <c r="AF142" s="695">
        <f t="array" aca="1" ref="AF142" ca="1">IF(ISERROR(ORÇAMENTO.BancoRef),"(abra o arquivo 'Referência "&amp;Excel_BuiltIn_Database&amp;".xlsm)",IF(OR($C142&lt;&gt;"S",ORÇAMENTO.CodBarra=""),"(Sem Código)",IF(ISERROR(MATCH($AE142,INDIRECT(ORÇAMENTO.BancoRef),0)),"(Código não identificado nas referências)",MATCH($AE142,INDIRECT(ORÇAMENTO.BancoRef),0))))</f>
        <v>10531</v>
      </c>
      <c r="AG142" s="428">
        <f t="array" aca="1" ref="AG142" ca="1">ROUND(IF(DESONERACAO="sim",REFERENCIA.Desonerado,REFERENCIA.NaoDesonerado),2)</f>
        <v>32.44</v>
      </c>
      <c r="AH142" s="429">
        <f t="shared" ca="1" si="41"/>
        <v>0.2034</v>
      </c>
      <c r="AJ142" s="431"/>
      <c r="AL142" s="439"/>
      <c r="AM142" s="336">
        <f t="shared" ca="1" si="0"/>
        <v>7338</v>
      </c>
      <c r="AN142" s="469">
        <f t="array" aca="1" ref="AN142" ca="1">ROUND(ORÇAMENTO.CustoUnitario*(1+$AH142),2)</f>
        <v>36.69</v>
      </c>
    </row>
    <row r="143" spans="1:40" s="696" customFormat="1" ht="25.5" x14ac:dyDescent="0.2">
      <c r="A143" s="696" t="str">
        <f t="shared" si="29"/>
        <v>S</v>
      </c>
      <c r="B143" s="696">
        <f t="shared" ca="1" si="30"/>
        <v>2</v>
      </c>
      <c r="C143" s="696" t="str">
        <f t="shared" ca="1" si="31"/>
        <v>S</v>
      </c>
      <c r="D143" s="696">
        <f t="shared" ca="1" si="32"/>
        <v>0</v>
      </c>
      <c r="E143" s="696">
        <f ca="1">IF($C143=1,OFFSET(E143,-1,0)+MAX(1,COUNTIF(QCI!$A$13:$A$24,OFFSET(ORÇAMENTO!E143,-1,0))),OFFSET(E143,-1,0))</f>
        <v>1</v>
      </c>
      <c r="F143" s="696">
        <f t="shared" ca="1" si="33"/>
        <v>24</v>
      </c>
      <c r="G143" s="696">
        <f t="shared" ca="1" si="34"/>
        <v>0</v>
      </c>
      <c r="H143" s="696">
        <f t="shared" ca="1" si="35"/>
        <v>0</v>
      </c>
      <c r="I143" s="696">
        <f t="shared" ca="1" si="36"/>
        <v>6</v>
      </c>
      <c r="J143" s="696">
        <f t="shared" ca="1" si="28"/>
        <v>0</v>
      </c>
      <c r="K143" s="696">
        <f ca="1">IF(OR($C143="S",$C143=0),0,MATCH(OFFSET($D143,0,$C143)+IF($C143&lt;&gt;1,1,COUNTIF(QCI!$A$13:$A$24,ORÇAMENTO!E143)),OFFSET($D143,1,$C143,ROW($C$235)-ROW($C143)),0))</f>
        <v>0</v>
      </c>
      <c r="L143" s="114" t="str">
        <f t="shared" ca="1" si="37"/>
        <v>F</v>
      </c>
      <c r="M143" s="115" t="s">
        <v>705</v>
      </c>
      <c r="N143" s="116" t="str">
        <f t="shared" ca="1" si="38"/>
        <v>Serviço</v>
      </c>
      <c r="O143" s="117" t="str">
        <f t="shared" ca="1" si="39"/>
        <v>1.24.6.</v>
      </c>
      <c r="P143" s="118" t="s">
        <v>750</v>
      </c>
      <c r="Q143" s="119" t="s">
        <v>1125</v>
      </c>
      <c r="R143" s="120" t="str">
        <f t="array" aca="1" ref="R143" ca="1">IF($C143="S",REFERENCIA.Descricao,"(digite a descrição aqui)")</f>
        <v>TOMADA MÉDIA DE EMBUTIR (1 MÓDULO), 2P+T 10 A, INCLUINDO SUPORTE E PLACA - FORNECIMENTO E INSTALAÇÃO. AF_03/2023</v>
      </c>
      <c r="S143" s="121" t="str">
        <f t="array" aca="1" ref="S143" ca="1">REFERENCIA.Unidade</f>
        <v>UN</v>
      </c>
      <c r="T143" s="122">
        <f ca="1">OFFSET(CÁLCULO!H$15,ROW($T143)-ROW(T$15),0)</f>
        <v>120</v>
      </c>
      <c r="U143" s="123">
        <f>36.72*0.94</f>
        <v>34.516799999999996</v>
      </c>
      <c r="V143" s="124" t="s">
        <v>697</v>
      </c>
      <c r="W143" s="122">
        <f t="array" aca="1" ref="W143" ca="1">IF($C143="S",ROUND(IF(TIPOORCAMENTO="Proposto",ORÇAMENTO.CustoUnitario*(1+$AH143),ORÇAMENTO.PrecoUnitarioLicitado),15-13*$AF$10),0)</f>
        <v>41.54</v>
      </c>
      <c r="X143" s="125">
        <f t="array" aca="1" ref="X143" ca="1">IF($C143="S",IF(OR(Import.TipoArredondamento&lt;&gt;"TransfereGOV",ACOMPANHAMENTO="BM"),VTOTAL1,SUM(OFFSET(CÁLCULO!$AI$15,ROW($X143)-ROW($X$15),1):OFFSET(CÁLCULO!$BB$15,ROW($X143)-ROW($X$15),-1))),IF($C143=0,0,ROUND(SomaAgrup,15-13*$AF$11)))</f>
        <v>4984.8</v>
      </c>
      <c r="Y143" s="126" t="s">
        <v>751</v>
      </c>
      <c r="Z143" s="696" t="str">
        <f t="shared" ca="1" si="40"/>
        <v>RA</v>
      </c>
      <c r="AA143" s="127">
        <f t="array" aca="1" ref="AA143" ca="1">IF($C143="S",IF($Z143="CP",$X143,IF($Z143="RA",(($X143)*QCI!$AA$3),0)),SomaAgrup)</f>
        <v>0</v>
      </c>
      <c r="AB143" s="128">
        <f t="array" aca="1" ref="AB143" ca="1">IF($C143="S",IF($Z143="OU",ROUND($X143,2),0),SomaAgrup)</f>
        <v>0</v>
      </c>
      <c r="AC143" s="563" t="str">
        <f t="array" aca="1" ref="AC143" ca="1">IF($N143=""," ",
IF(AND($C143&lt;&gt;"S",OR($R143="",$R143="(digite a descrição aqui)")),"DESCRIÇÃO",
IF(AND($C143="S",OR($Q143&lt;&gt;"",$T143&gt;0,$U143&gt;0),$P143=""),"FONTE",
IF(AND($C143="S",$P143&lt;&gt;"",OR($T143&gt;0,$U143&gt;0),$Q143=""),"CÓDIGO",
IF(AND($C143="S",$P143&lt;&gt;"",$Q143&lt;&gt;"",$R143="(Código não identificado nas referências)"),"CÓDIGO N/ID",
IF(AND($C143="S",OR($R143="",$R143="(digite a descrição aqui)"),OR($Q143&lt;&gt;"",$T143&gt;0,$U143&gt;0)),"DESCRIÇÃO",
IF(AND($C143="S",$P143&lt;&gt;"",$Q143&lt;&gt;"",$S143=""),"UNIDADE",
IF(AND($C143="S",$P143&lt;&gt;"",$Q143&lt;&gt;"",$U143=0),"SEM CUSTO",
IF(AND(TIPOORCAMENTO="Licitado",$AL143=0,$AN143&gt;0),"SEM PREÇO",
IF(AND($C143="S",$P143&lt;&gt;"",$Q143&lt;&gt;"",$U143&gt;0,AND($V143&lt;&gt;"BDI 1",$V143&lt;&gt;"BDI 2",$V143&lt;&gt;"BDI 3")),IF(ISNUMBER($V143),"JUSTIFICAR BDI","BDI"),
IF(OR(AND(import.recurso="OGU",TIPOORCAMENTO="Proposto",LEFT($O$8,5)&lt;&gt;"(N/D:",$AG143&lt;&gt;"",ORÇAMENTO.CustoUnitario&gt;$AG143),AND(TIPOORCAMENTO="LICITADO",ORÇAMENTO.PrecoUnitarioLicitado&gt;$AN143)),"ACIMA REF.",
IF(AND($C143="S",$P143&lt;&gt;"",$Q143&lt;&gt;"",$T143=0,$U143&gt;0),"QUANT.",
IF(AND(Import.TipoArredondamento="TransfereGOV",$L143="F",$C143="S",LEN($Q143)&gt;13),"Código &gt;13",
IF(AND(Import.TipoArredondamento="TransfereGOV",$L143="F",$C143&lt;&gt;"S",LEN($R143)&gt;100),"Descrição &gt;100",
IF(AND(Import.TipoArredondamento="TransfereGOV",$L143="F",$C143="S",LEN($R143)&gt;500),"Descrição &gt;500",
IF(AND(Import.TipoArredondamento="TransfereGOV",$L143="F",$C143="S",LEFT(TRIM(UPPER($P143)),6)&lt;&gt;"SINAPI",ISNA(VLOOKUP(TRIM(UPPER($S143)),ListaTgov.Unidades,1,FALSE))),"Unid. Não Disp",
" "))))))))))))))))</f>
        <v xml:space="preserve"> </v>
      </c>
      <c r="AD143" s="696" t="str">
        <f ca="1">IF(C143&lt;=CRONO.NivelExibicao,MAX($AD$15:OFFSET(AD143,-1,0))+IF($C143&lt;&gt;1,1,MAX(1,COUNTIF(QCI!$A$13:$A$24,OFFSET($E143,-1,0)))),"")</f>
        <v/>
      </c>
      <c r="AE143" s="694" t="str">
        <f t="array" aca="1" ref="AE143" ca="1">IF(AND($C143="S",ORÇAMENTO.CodBarra&lt;&gt;""),IF(ORÇAMENTO.Fonte="",ORÇAMENTO.CodBarra,CONCATENATE(ORÇAMENTO.Fonte," ",ORÇAMENTO.CodBarra)))</f>
        <v>SINAPI 91996</v>
      </c>
      <c r="AF143" s="695">
        <f t="array" aca="1" ref="AF143" ca="1">IF(ISERROR(ORÇAMENTO.BancoRef),"(abra o arquivo 'Referência "&amp;Excel_BuiltIn_Database&amp;".xlsm)",IF(OR($C143&lt;&gt;"S",ORÇAMENTO.CodBarra=""),"(Sem Código)",IF(ISERROR(MATCH($AE143,INDIRECT(ORÇAMENTO.BancoRef),0)),"(Código não identificado nas referências)",MATCH($AE143,INDIRECT(ORÇAMENTO.BancoRef),0))))</f>
        <v>10547</v>
      </c>
      <c r="AG143" s="428">
        <f t="array" aca="1" ref="AG143" ca="1">ROUND(IF(DESONERACAO="sim",REFERENCIA.Desonerado,REFERENCIA.NaoDesonerado),2)</f>
        <v>36.72</v>
      </c>
      <c r="AH143" s="429">
        <f t="shared" ca="1" si="41"/>
        <v>0.2034</v>
      </c>
      <c r="AJ143" s="431"/>
      <c r="AL143" s="439"/>
      <c r="AM143" s="336">
        <f t="shared" ca="1" si="0"/>
        <v>4984.8</v>
      </c>
      <c r="AN143" s="469">
        <f t="array" aca="1" ref="AN143" ca="1">ROUND(ORÇAMENTO.CustoUnitario*(1+$AH143),2)</f>
        <v>41.54</v>
      </c>
    </row>
    <row r="144" spans="1:40" s="696" customFormat="1" ht="25.5" x14ac:dyDescent="0.2">
      <c r="A144" s="696" t="str">
        <f t="shared" si="29"/>
        <v>S</v>
      </c>
      <c r="B144" s="696">
        <f t="shared" ca="1" si="30"/>
        <v>2</v>
      </c>
      <c r="C144" s="696" t="str">
        <f t="shared" ca="1" si="31"/>
        <v>S</v>
      </c>
      <c r="D144" s="696">
        <f t="shared" ca="1" si="32"/>
        <v>0</v>
      </c>
      <c r="E144" s="696">
        <f ca="1">IF($C144=1,OFFSET(E144,-1,0)+MAX(1,COUNTIF(QCI!$A$13:$A$24,OFFSET(ORÇAMENTO!E144,-1,0))),OFFSET(E144,-1,0))</f>
        <v>1</v>
      </c>
      <c r="F144" s="696">
        <f t="shared" ca="1" si="33"/>
        <v>24</v>
      </c>
      <c r="G144" s="696">
        <f t="shared" ca="1" si="34"/>
        <v>0</v>
      </c>
      <c r="H144" s="696">
        <f t="shared" ca="1" si="35"/>
        <v>0</v>
      </c>
      <c r="I144" s="696">
        <f t="shared" ca="1" si="36"/>
        <v>7</v>
      </c>
      <c r="J144" s="696">
        <f t="shared" ref="J144:J207" ca="1" si="42">IF(OR($C144="S",$C144=0),0,MATCH(0,OFFSET($D144,1,$C144,ROW($C$235)-ROW($C144)),0))</f>
        <v>0</v>
      </c>
      <c r="K144" s="696">
        <f ca="1">IF(OR($C144="S",$C144=0),0,MATCH(OFFSET($D144,0,$C144)+IF($C144&lt;&gt;1,1,COUNTIF(QCI!$A$13:$A$24,ORÇAMENTO!E144)),OFFSET($D144,1,$C144,ROW($C$235)-ROW($C144)),0))</f>
        <v>0</v>
      </c>
      <c r="L144" s="114" t="str">
        <f t="shared" ca="1" si="37"/>
        <v>F</v>
      </c>
      <c r="M144" s="115" t="s">
        <v>705</v>
      </c>
      <c r="N144" s="116" t="str">
        <f t="shared" ca="1" si="38"/>
        <v>Serviço</v>
      </c>
      <c r="O144" s="117" t="str">
        <f t="shared" ca="1" si="39"/>
        <v>1.24.7.</v>
      </c>
      <c r="P144" s="118" t="s">
        <v>750</v>
      </c>
      <c r="Q144" s="119" t="s">
        <v>1126</v>
      </c>
      <c r="R144" s="120" t="str">
        <f t="array" aca="1" ref="R144" ca="1">IF($C144="S",REFERENCIA.Descricao,"(digite a descrição aqui)")</f>
        <v>TOMADA ALTA DE EMBUTIR (1 MÓDULO), 2P+T 20 A, INCLUINDO SUPORTE E PLACA - FORNECIMENTO E INSTALAÇÃO. AF_03/2023</v>
      </c>
      <c r="S144" s="121" t="str">
        <f t="array" aca="1" ref="S144" ca="1">REFERENCIA.Unidade</f>
        <v>UN</v>
      </c>
      <c r="T144" s="122">
        <f ca="1">OFFSET(CÁLCULO!H$15,ROW($T144)-ROW(T$15),0)</f>
        <v>20</v>
      </c>
      <c r="U144" s="123">
        <f>49.84*0.94</f>
        <v>46.849600000000002</v>
      </c>
      <c r="V144" s="124" t="s">
        <v>697</v>
      </c>
      <c r="W144" s="122">
        <f t="array" aca="1" ref="W144" ca="1">IF($C144="S",ROUND(IF(TIPOORCAMENTO="Proposto",ORÇAMENTO.CustoUnitario*(1+$AH144),ORÇAMENTO.PrecoUnitarioLicitado),15-13*$AF$10),0)</f>
        <v>56.38</v>
      </c>
      <c r="X144" s="125">
        <f t="array" aca="1" ref="X144" ca="1">IF($C144="S",IF(OR(Import.TipoArredondamento&lt;&gt;"TransfereGOV",ACOMPANHAMENTO="BM"),VTOTAL1,SUM(OFFSET(CÁLCULO!$AI$15,ROW($X144)-ROW($X$15),1):OFFSET(CÁLCULO!$BB$15,ROW($X144)-ROW($X$15),-1))),IF($C144=0,0,ROUND(SomaAgrup,15-13*$AF$11)))</f>
        <v>1127.5999999999999</v>
      </c>
      <c r="Y144" s="126" t="s">
        <v>751</v>
      </c>
      <c r="Z144" s="696" t="str">
        <f t="shared" ca="1" si="40"/>
        <v>RA</v>
      </c>
      <c r="AA144" s="127">
        <f t="array" aca="1" ref="AA144" ca="1">IF($C144="S",IF($Z144="CP",$X144,IF($Z144="RA",(($X144)*QCI!$AA$3),0)),SomaAgrup)</f>
        <v>0</v>
      </c>
      <c r="AB144" s="128">
        <f t="array" aca="1" ref="AB144" ca="1">IF($C144="S",IF($Z144="OU",ROUND($X144,2),0),SomaAgrup)</f>
        <v>0</v>
      </c>
      <c r="AC144" s="563" t="str">
        <f t="array" aca="1" ref="AC144" ca="1">IF($N144=""," ",
IF(AND($C144&lt;&gt;"S",OR($R144="",$R144="(digite a descrição aqui)")),"DESCRIÇÃO",
IF(AND($C144="S",OR($Q144&lt;&gt;"",$T144&gt;0,$U144&gt;0),$P144=""),"FONTE",
IF(AND($C144="S",$P144&lt;&gt;"",OR($T144&gt;0,$U144&gt;0),$Q144=""),"CÓDIGO",
IF(AND($C144="S",$P144&lt;&gt;"",$Q144&lt;&gt;"",$R144="(Código não identificado nas referências)"),"CÓDIGO N/ID",
IF(AND($C144="S",OR($R144="",$R144="(digite a descrição aqui)"),OR($Q144&lt;&gt;"",$T144&gt;0,$U144&gt;0)),"DESCRIÇÃO",
IF(AND($C144="S",$P144&lt;&gt;"",$Q144&lt;&gt;"",$S144=""),"UNIDADE",
IF(AND($C144="S",$P144&lt;&gt;"",$Q144&lt;&gt;"",$U144=0),"SEM CUSTO",
IF(AND(TIPOORCAMENTO="Licitado",$AL144=0,$AN144&gt;0),"SEM PREÇO",
IF(AND($C144="S",$P144&lt;&gt;"",$Q144&lt;&gt;"",$U144&gt;0,AND($V144&lt;&gt;"BDI 1",$V144&lt;&gt;"BDI 2",$V144&lt;&gt;"BDI 3")),IF(ISNUMBER($V144),"JUSTIFICAR BDI","BDI"),
IF(OR(AND(import.recurso="OGU",TIPOORCAMENTO="Proposto",LEFT($O$8,5)&lt;&gt;"(N/D:",$AG144&lt;&gt;"",ORÇAMENTO.CustoUnitario&gt;$AG144),AND(TIPOORCAMENTO="LICITADO",ORÇAMENTO.PrecoUnitarioLicitado&gt;$AN144)),"ACIMA REF.",
IF(AND($C144="S",$P144&lt;&gt;"",$Q144&lt;&gt;"",$T144=0,$U144&gt;0),"QUANT.",
IF(AND(Import.TipoArredondamento="TransfereGOV",$L144="F",$C144="S",LEN($Q144)&gt;13),"Código &gt;13",
IF(AND(Import.TipoArredondamento="TransfereGOV",$L144="F",$C144&lt;&gt;"S",LEN($R144)&gt;100),"Descrição &gt;100",
IF(AND(Import.TipoArredondamento="TransfereGOV",$L144="F",$C144="S",LEN($R144)&gt;500),"Descrição &gt;500",
IF(AND(Import.TipoArredondamento="TransfereGOV",$L144="F",$C144="S",LEFT(TRIM(UPPER($P144)),6)&lt;&gt;"SINAPI",ISNA(VLOOKUP(TRIM(UPPER($S144)),ListaTgov.Unidades,1,FALSE))),"Unid. Não Disp",
" "))))))))))))))))</f>
        <v xml:space="preserve"> </v>
      </c>
      <c r="AD144" s="696" t="str">
        <f ca="1">IF(C144&lt;=CRONO.NivelExibicao,MAX($AD$15:OFFSET(AD144,-1,0))+IF($C144&lt;&gt;1,1,MAX(1,COUNTIF(QCI!$A$13:$A$24,OFFSET($E144,-1,0)))),"")</f>
        <v/>
      </c>
      <c r="AE144" s="694" t="str">
        <f t="array" aca="1" ref="AE144" ca="1">IF(AND($C144="S",ORÇAMENTO.CodBarra&lt;&gt;""),IF(ORÇAMENTO.Fonte="",ORÇAMENTO.CodBarra,CONCATENATE(ORÇAMENTO.Fonte," ",ORÇAMENTO.CodBarra)))</f>
        <v>SINAPI 91993</v>
      </c>
      <c r="AF144" s="695">
        <f t="array" aca="1" ref="AF144" ca="1">IF(ISERROR(ORÇAMENTO.BancoRef),"(abra o arquivo 'Referência "&amp;Excel_BuiltIn_Database&amp;".xlsm)",IF(OR($C144&lt;&gt;"S",ORÇAMENTO.CodBarra=""),"(Sem Código)",IF(ISERROR(MATCH($AE144,INDIRECT(ORÇAMENTO.BancoRef),0)),"(Código não identificado nas referências)",MATCH($AE144,INDIRECT(ORÇAMENTO.BancoRef),0))))</f>
        <v>10529</v>
      </c>
      <c r="AG144" s="428">
        <f t="array" aca="1" ref="AG144" ca="1">ROUND(IF(DESONERACAO="sim",REFERENCIA.Desonerado,REFERENCIA.NaoDesonerado),2)</f>
        <v>49.84</v>
      </c>
      <c r="AH144" s="429">
        <f t="shared" ca="1" si="41"/>
        <v>0.2034</v>
      </c>
      <c r="AJ144" s="431"/>
      <c r="AL144" s="439"/>
      <c r="AM144" s="336">
        <f t="shared" ca="1" si="0"/>
        <v>1127.5999999999999</v>
      </c>
      <c r="AN144" s="469">
        <f t="array" aca="1" ref="AN144" ca="1">ROUND(ORÇAMENTO.CustoUnitario*(1+$AH144),2)</f>
        <v>56.38</v>
      </c>
    </row>
    <row r="145" spans="1:40" s="696" customFormat="1" ht="38.25" x14ac:dyDescent="0.2">
      <c r="A145" s="696" t="str">
        <f t="shared" si="29"/>
        <v>S</v>
      </c>
      <c r="B145" s="696">
        <f t="shared" ca="1" si="30"/>
        <v>2</v>
      </c>
      <c r="C145" s="696" t="str">
        <f t="shared" ca="1" si="31"/>
        <v>S</v>
      </c>
      <c r="D145" s="696">
        <f t="shared" ca="1" si="32"/>
        <v>0</v>
      </c>
      <c r="E145" s="696">
        <f ca="1">IF($C145=1,OFFSET(E145,-1,0)+MAX(1,COUNTIF(QCI!$A$13:$A$24,OFFSET(ORÇAMENTO!E145,-1,0))),OFFSET(E145,-1,0))</f>
        <v>1</v>
      </c>
      <c r="F145" s="696">
        <f t="shared" ca="1" si="33"/>
        <v>24</v>
      </c>
      <c r="G145" s="696">
        <f t="shared" ca="1" si="34"/>
        <v>0</v>
      </c>
      <c r="H145" s="696">
        <f t="shared" ca="1" si="35"/>
        <v>0</v>
      </c>
      <c r="I145" s="696">
        <f t="shared" ca="1" si="36"/>
        <v>8</v>
      </c>
      <c r="J145" s="696">
        <f t="shared" ca="1" si="42"/>
        <v>0</v>
      </c>
      <c r="K145" s="696">
        <f ca="1">IF(OR($C145="S",$C145=0),0,MATCH(OFFSET($D145,0,$C145)+IF($C145&lt;&gt;1,1,COUNTIF(QCI!$A$13:$A$24,ORÇAMENTO!E145)),OFFSET($D145,1,$C145,ROW($C$235)-ROW($C145)),0))</f>
        <v>0</v>
      </c>
      <c r="L145" s="114" t="str">
        <f t="shared" ca="1" si="37"/>
        <v>F</v>
      </c>
      <c r="M145" s="115" t="s">
        <v>705</v>
      </c>
      <c r="N145" s="116" t="str">
        <f t="shared" ca="1" si="38"/>
        <v>Serviço</v>
      </c>
      <c r="O145" s="117" t="str">
        <f t="shared" ca="1" si="39"/>
        <v>1.24.8.</v>
      </c>
      <c r="P145" s="118" t="s">
        <v>750</v>
      </c>
      <c r="Q145" s="119" t="s">
        <v>1127</v>
      </c>
      <c r="R145" s="120" t="str">
        <f t="array" aca="1" ref="R145" ca="1">IF($C145="S",REFERENCIA.Descricao,"(digite a descrição aqui)")</f>
        <v>INTERRUPTOR PULSADOR CAMPAINHA (1 MÓDULO), 10A/250V, INCLUINDO SUPORTE E PLACA - FORNECIMENTO E INSTALAÇÃO. AF_03/2023</v>
      </c>
      <c r="S145" s="121" t="str">
        <f t="array" aca="1" ref="S145" ca="1">REFERENCIA.Unidade</f>
        <v>UN</v>
      </c>
      <c r="T145" s="122">
        <f ca="1">OFFSET(CÁLCULO!H$15,ROW($T145)-ROW(T$15),0)</f>
        <v>20</v>
      </c>
      <c r="U145" s="123">
        <f>29.96*0.94</f>
        <v>28.162399999999998</v>
      </c>
      <c r="V145" s="124" t="s">
        <v>697</v>
      </c>
      <c r="W145" s="122">
        <f t="array" aca="1" ref="W145" ca="1">IF($C145="S",ROUND(IF(TIPOORCAMENTO="Proposto",ORÇAMENTO.CustoUnitario*(1+$AH145),ORÇAMENTO.PrecoUnitarioLicitado),15-13*$AF$10),0)</f>
        <v>33.89</v>
      </c>
      <c r="X145" s="125">
        <f t="array" aca="1" ref="X145" ca="1">IF($C145="S",IF(OR(Import.TipoArredondamento&lt;&gt;"TransfereGOV",ACOMPANHAMENTO="BM"),VTOTAL1,SUM(OFFSET(CÁLCULO!$AI$15,ROW($X145)-ROW($X$15),1):OFFSET(CÁLCULO!$BB$15,ROW($X145)-ROW($X$15),-1))),IF($C145=0,0,ROUND(SomaAgrup,15-13*$AF$11)))</f>
        <v>677.8</v>
      </c>
      <c r="Y145" s="126" t="s">
        <v>751</v>
      </c>
      <c r="Z145" s="696" t="str">
        <f t="shared" ca="1" si="40"/>
        <v>RA</v>
      </c>
      <c r="AA145" s="127">
        <f t="array" aca="1" ref="AA145" ca="1">IF($C145="S",IF($Z145="CP",$X145,IF($Z145="RA",(($X145)*QCI!$AA$3),0)),SomaAgrup)</f>
        <v>0</v>
      </c>
      <c r="AB145" s="128">
        <f t="array" aca="1" ref="AB145" ca="1">IF($C145="S",IF($Z145="OU",ROUND($X145,2),0),SomaAgrup)</f>
        <v>0</v>
      </c>
      <c r="AC145" s="563" t="str">
        <f t="array" aca="1" ref="AC145" ca="1">IF($N145=""," ",
IF(AND($C145&lt;&gt;"S",OR($R145="",$R145="(digite a descrição aqui)")),"DESCRIÇÃO",
IF(AND($C145="S",OR($Q145&lt;&gt;"",$T145&gt;0,$U145&gt;0),$P145=""),"FONTE",
IF(AND($C145="S",$P145&lt;&gt;"",OR($T145&gt;0,$U145&gt;0),$Q145=""),"CÓDIGO",
IF(AND($C145="S",$P145&lt;&gt;"",$Q145&lt;&gt;"",$R145="(Código não identificado nas referências)"),"CÓDIGO N/ID",
IF(AND($C145="S",OR($R145="",$R145="(digite a descrição aqui)"),OR($Q145&lt;&gt;"",$T145&gt;0,$U145&gt;0)),"DESCRIÇÃO",
IF(AND($C145="S",$P145&lt;&gt;"",$Q145&lt;&gt;"",$S145=""),"UNIDADE",
IF(AND($C145="S",$P145&lt;&gt;"",$Q145&lt;&gt;"",$U145=0),"SEM CUSTO",
IF(AND(TIPOORCAMENTO="Licitado",$AL145=0,$AN145&gt;0),"SEM PREÇO",
IF(AND($C145="S",$P145&lt;&gt;"",$Q145&lt;&gt;"",$U145&gt;0,AND($V145&lt;&gt;"BDI 1",$V145&lt;&gt;"BDI 2",$V145&lt;&gt;"BDI 3")),IF(ISNUMBER($V145),"JUSTIFICAR BDI","BDI"),
IF(OR(AND(import.recurso="OGU",TIPOORCAMENTO="Proposto",LEFT($O$8,5)&lt;&gt;"(N/D:",$AG145&lt;&gt;"",ORÇAMENTO.CustoUnitario&gt;$AG145),AND(TIPOORCAMENTO="LICITADO",ORÇAMENTO.PrecoUnitarioLicitado&gt;$AN145)),"ACIMA REF.",
IF(AND($C145="S",$P145&lt;&gt;"",$Q145&lt;&gt;"",$T145=0,$U145&gt;0),"QUANT.",
IF(AND(Import.TipoArredondamento="TransfereGOV",$L145="F",$C145="S",LEN($Q145)&gt;13),"Código &gt;13",
IF(AND(Import.TipoArredondamento="TransfereGOV",$L145="F",$C145&lt;&gt;"S",LEN($R145)&gt;100),"Descrição &gt;100",
IF(AND(Import.TipoArredondamento="TransfereGOV",$L145="F",$C145="S",LEN($R145)&gt;500),"Descrição &gt;500",
IF(AND(Import.TipoArredondamento="TransfereGOV",$L145="F",$C145="S",LEFT(TRIM(UPPER($P145)),6)&lt;&gt;"SINAPI",ISNA(VLOOKUP(TRIM(UPPER($S145)),ListaTgov.Unidades,1,FALSE))),"Unid. Não Disp",
" "))))))))))))))))</f>
        <v xml:space="preserve"> </v>
      </c>
      <c r="AD145" s="696" t="str">
        <f ca="1">IF(C145&lt;=CRONO.NivelExibicao,MAX($AD$15:OFFSET(AD145,-1,0))+IF($C145&lt;&gt;1,1,MAX(1,COUNTIF(QCI!$A$13:$A$24,OFFSET($E145,-1,0)))),"")</f>
        <v/>
      </c>
      <c r="AE145" s="694" t="str">
        <f t="array" aca="1" ref="AE145" ca="1">IF(AND($C145="S",ORÇAMENTO.CodBarra&lt;&gt;""),IF(ORÇAMENTO.Fonte="",ORÇAMENTO.CodBarra,CONCATENATE(ORÇAMENTO.Fonte," ",ORÇAMENTO.CodBarra)))</f>
        <v>SINAPI 91985</v>
      </c>
      <c r="AF145" s="695">
        <f t="array" aca="1" ref="AF145" ca="1">IF(ISERROR(ORÇAMENTO.BancoRef),"(abra o arquivo 'Referência "&amp;Excel_BuiltIn_Database&amp;".xlsm)",IF(OR($C145&lt;&gt;"S",ORÇAMENTO.CodBarra=""),"(Sem Código)",IF(ISERROR(MATCH($AE145,INDIRECT(ORÇAMENTO.BancoRef),0)),"(Código não identificado nas referências)",MATCH($AE145,INDIRECT(ORÇAMENTO.BancoRef),0))))</f>
        <v>10477</v>
      </c>
      <c r="AG145" s="428">
        <f t="array" aca="1" ref="AG145" ca="1">ROUND(IF(DESONERACAO="sim",REFERENCIA.Desonerado,REFERENCIA.NaoDesonerado),2)</f>
        <v>29.96</v>
      </c>
      <c r="AH145" s="429">
        <f t="shared" ca="1" si="41"/>
        <v>0.2034</v>
      </c>
      <c r="AJ145" s="431"/>
      <c r="AL145" s="439"/>
      <c r="AM145" s="336">
        <f t="shared" ca="1" si="0"/>
        <v>677.8</v>
      </c>
      <c r="AN145" s="469">
        <f t="array" aca="1" ref="AN145" ca="1">ROUND(ORÇAMENTO.CustoUnitario*(1+$AH145),2)</f>
        <v>33.89</v>
      </c>
    </row>
    <row r="146" spans="1:40" s="696" customFormat="1" ht="25.5" x14ac:dyDescent="0.2">
      <c r="A146" s="696" t="str">
        <f t="shared" si="29"/>
        <v>S</v>
      </c>
      <c r="B146" s="696">
        <f t="shared" ca="1" si="30"/>
        <v>2</v>
      </c>
      <c r="C146" s="696" t="str">
        <f t="shared" ca="1" si="31"/>
        <v>S</v>
      </c>
      <c r="D146" s="696">
        <f t="shared" ca="1" si="32"/>
        <v>0</v>
      </c>
      <c r="E146" s="696">
        <f ca="1">IF($C146=1,OFFSET(E146,-1,0)+MAX(1,COUNTIF(QCI!$A$13:$A$24,OFFSET(ORÇAMENTO!E146,-1,0))),OFFSET(E146,-1,0))</f>
        <v>1</v>
      </c>
      <c r="F146" s="696">
        <f t="shared" ca="1" si="33"/>
        <v>24</v>
      </c>
      <c r="G146" s="696">
        <f t="shared" ca="1" si="34"/>
        <v>0</v>
      </c>
      <c r="H146" s="696">
        <f t="shared" ca="1" si="35"/>
        <v>0</v>
      </c>
      <c r="I146" s="696">
        <f t="shared" ca="1" si="36"/>
        <v>9</v>
      </c>
      <c r="J146" s="696">
        <f t="shared" ca="1" si="42"/>
        <v>0</v>
      </c>
      <c r="K146" s="696">
        <f ca="1">IF(OR($C146="S",$C146=0),0,MATCH(OFFSET($D146,0,$C146)+IF($C146&lt;&gt;1,1,COUNTIF(QCI!$A$13:$A$24,ORÇAMENTO!E146)),OFFSET($D146,1,$C146,ROW($C$235)-ROW($C146)),0))</f>
        <v>0</v>
      </c>
      <c r="L146" s="114" t="str">
        <f t="shared" ca="1" si="37"/>
        <v>F</v>
      </c>
      <c r="M146" s="115" t="s">
        <v>705</v>
      </c>
      <c r="N146" s="116" t="str">
        <f t="shared" ca="1" si="38"/>
        <v>Serviço</v>
      </c>
      <c r="O146" s="117" t="str">
        <f t="shared" ca="1" si="39"/>
        <v>1.24.9.</v>
      </c>
      <c r="P146" s="118" t="s">
        <v>750</v>
      </c>
      <c r="Q146" s="119" t="s">
        <v>1128</v>
      </c>
      <c r="R146" s="120" t="str">
        <f t="array" aca="1" ref="R146" ca="1">IF($C146="S",REFERENCIA.Descricao,"(digite a descrição aqui)")</f>
        <v>CAMPAINHA CIGARRA (1 MÓDULO), 10A/250V, INCLUINDO SUPORTE E PLACA - FORNECIMENTO E INSTALAÇÃO. AF_03/2023</v>
      </c>
      <c r="S146" s="121" t="str">
        <f t="array" aca="1" ref="S146" ca="1">REFERENCIA.Unidade</f>
        <v>UN</v>
      </c>
      <c r="T146" s="122">
        <f ca="1">OFFSET(CÁLCULO!H$15,ROW($T146)-ROW(T$15),0)</f>
        <v>20</v>
      </c>
      <c r="U146" s="123">
        <f>49.04*0.94</f>
        <v>46.0976</v>
      </c>
      <c r="V146" s="124" t="s">
        <v>697</v>
      </c>
      <c r="W146" s="122">
        <f t="array" aca="1" ref="W146" ca="1">IF($C146="S",ROUND(IF(TIPOORCAMENTO="Proposto",ORÇAMENTO.CustoUnitario*(1+$AH146),ORÇAMENTO.PrecoUnitarioLicitado),15-13*$AF$10),0)</f>
        <v>55.48</v>
      </c>
      <c r="X146" s="125">
        <f t="array" aca="1" ref="X146" ca="1">IF($C146="S",IF(OR(Import.TipoArredondamento&lt;&gt;"TransfereGOV",ACOMPANHAMENTO="BM"),VTOTAL1,SUM(OFFSET(CÁLCULO!$AI$15,ROW($X146)-ROW($X$15),1):OFFSET(CÁLCULO!$BB$15,ROW($X146)-ROW($X$15),-1))),IF($C146=0,0,ROUND(SomaAgrup,15-13*$AF$11)))</f>
        <v>1109.5999999999999</v>
      </c>
      <c r="Y146" s="126" t="s">
        <v>751</v>
      </c>
      <c r="Z146" s="696" t="str">
        <f t="shared" ca="1" si="40"/>
        <v>RA</v>
      </c>
      <c r="AA146" s="127">
        <f t="array" aca="1" ref="AA146" ca="1">IF($C146="S",IF($Z146="CP",$X146,IF($Z146="RA",(($X146)*QCI!$AA$3),0)),SomaAgrup)</f>
        <v>0</v>
      </c>
      <c r="AB146" s="128">
        <f t="array" aca="1" ref="AB146" ca="1">IF($C146="S",IF($Z146="OU",ROUND($X146,2),0),SomaAgrup)</f>
        <v>0</v>
      </c>
      <c r="AC146" s="563" t="str">
        <f t="array" aca="1" ref="AC146" ca="1">IF($N146=""," ",
IF(AND($C146&lt;&gt;"S",OR($R146="",$R146="(digite a descrição aqui)")),"DESCRIÇÃO",
IF(AND($C146="S",OR($Q146&lt;&gt;"",$T146&gt;0,$U146&gt;0),$P146=""),"FONTE",
IF(AND($C146="S",$P146&lt;&gt;"",OR($T146&gt;0,$U146&gt;0),$Q146=""),"CÓDIGO",
IF(AND($C146="S",$P146&lt;&gt;"",$Q146&lt;&gt;"",$R146="(Código não identificado nas referências)"),"CÓDIGO N/ID",
IF(AND($C146="S",OR($R146="",$R146="(digite a descrição aqui)"),OR($Q146&lt;&gt;"",$T146&gt;0,$U146&gt;0)),"DESCRIÇÃO",
IF(AND($C146="S",$P146&lt;&gt;"",$Q146&lt;&gt;"",$S146=""),"UNIDADE",
IF(AND($C146="S",$P146&lt;&gt;"",$Q146&lt;&gt;"",$U146=0),"SEM CUSTO",
IF(AND(TIPOORCAMENTO="Licitado",$AL146=0,$AN146&gt;0),"SEM PREÇO",
IF(AND($C146="S",$P146&lt;&gt;"",$Q146&lt;&gt;"",$U146&gt;0,AND($V146&lt;&gt;"BDI 1",$V146&lt;&gt;"BDI 2",$V146&lt;&gt;"BDI 3")),IF(ISNUMBER($V146),"JUSTIFICAR BDI","BDI"),
IF(OR(AND(import.recurso="OGU",TIPOORCAMENTO="Proposto",LEFT($O$8,5)&lt;&gt;"(N/D:",$AG146&lt;&gt;"",ORÇAMENTO.CustoUnitario&gt;$AG146),AND(TIPOORCAMENTO="LICITADO",ORÇAMENTO.PrecoUnitarioLicitado&gt;$AN146)),"ACIMA REF.",
IF(AND($C146="S",$P146&lt;&gt;"",$Q146&lt;&gt;"",$T146=0,$U146&gt;0),"QUANT.",
IF(AND(Import.TipoArredondamento="TransfereGOV",$L146="F",$C146="S",LEN($Q146)&gt;13),"Código &gt;13",
IF(AND(Import.TipoArredondamento="TransfereGOV",$L146="F",$C146&lt;&gt;"S",LEN($R146)&gt;100),"Descrição &gt;100",
IF(AND(Import.TipoArredondamento="TransfereGOV",$L146="F",$C146="S",LEN($R146)&gt;500),"Descrição &gt;500",
IF(AND(Import.TipoArredondamento="TransfereGOV",$L146="F",$C146="S",LEFT(TRIM(UPPER($P146)),6)&lt;&gt;"SINAPI",ISNA(VLOOKUP(TRIM(UPPER($S146)),ListaTgov.Unidades,1,FALSE))),"Unid. Não Disp",
" "))))))))))))))))</f>
        <v xml:space="preserve"> </v>
      </c>
      <c r="AD146" s="696" t="str">
        <f ca="1">IF(C146&lt;=CRONO.NivelExibicao,MAX($AD$15:OFFSET(AD146,-1,0))+IF($C146&lt;&gt;1,1,MAX(1,COUNTIF(QCI!$A$13:$A$24,OFFSET($E146,-1,0)))),"")</f>
        <v/>
      </c>
      <c r="AE146" s="694" t="str">
        <f t="array" aca="1" ref="AE146" ca="1">IF(AND($C146="S",ORÇAMENTO.CodBarra&lt;&gt;""),IF(ORÇAMENTO.Fonte="",ORÇAMENTO.CodBarra,CONCATENATE(ORÇAMENTO.Fonte," ",ORÇAMENTO.CodBarra)))</f>
        <v>SINAPI 91987</v>
      </c>
      <c r="AF146" s="695">
        <f t="array" aca="1" ref="AF146" ca="1">IF(ISERROR(ORÇAMENTO.BancoRef),"(abra o arquivo 'Referência "&amp;Excel_BuiltIn_Database&amp;".xlsm)",IF(OR($C146&lt;&gt;"S",ORÇAMENTO.CodBarra=""),"(Sem Código)",IF(ISERROR(MATCH($AE146,INDIRECT(ORÇAMENTO.BancoRef),0)),"(Código não identificado nas referências)",MATCH($AE146,INDIRECT(ORÇAMENTO.BancoRef),0))))</f>
        <v>10391</v>
      </c>
      <c r="AG146" s="428">
        <f t="array" aca="1" ref="AG146" ca="1">ROUND(IF(DESONERACAO="sim",REFERENCIA.Desonerado,REFERENCIA.NaoDesonerado),2)</f>
        <v>49.04</v>
      </c>
      <c r="AH146" s="429">
        <f t="shared" ca="1" si="41"/>
        <v>0.2034</v>
      </c>
      <c r="AJ146" s="431"/>
      <c r="AL146" s="439"/>
      <c r="AM146" s="336">
        <f t="shared" ca="1" si="0"/>
        <v>1109.5999999999999</v>
      </c>
      <c r="AN146" s="469">
        <f t="array" aca="1" ref="AN146" ca="1">ROUND(ORÇAMENTO.CustoUnitario*(1+$AH146),2)</f>
        <v>55.48</v>
      </c>
    </row>
    <row r="147" spans="1:40" s="696" customFormat="1" ht="25.5" x14ac:dyDescent="0.2">
      <c r="A147" s="696" t="str">
        <f t="shared" si="29"/>
        <v>S</v>
      </c>
      <c r="B147" s="696">
        <f t="shared" ca="1" si="30"/>
        <v>2</v>
      </c>
      <c r="C147" s="696" t="str">
        <f t="shared" ca="1" si="31"/>
        <v>S</v>
      </c>
      <c r="D147" s="696">
        <f t="shared" ca="1" si="32"/>
        <v>0</v>
      </c>
      <c r="E147" s="696">
        <f ca="1">IF($C147=1,OFFSET(E147,-1,0)+MAX(1,COUNTIF(QCI!$A$13:$A$24,OFFSET(ORÇAMENTO!E147,-1,0))),OFFSET(E147,-1,0))</f>
        <v>1</v>
      </c>
      <c r="F147" s="696">
        <f t="shared" ca="1" si="33"/>
        <v>24</v>
      </c>
      <c r="G147" s="696">
        <f t="shared" ca="1" si="34"/>
        <v>0</v>
      </c>
      <c r="H147" s="696">
        <f t="shared" ca="1" si="35"/>
        <v>0</v>
      </c>
      <c r="I147" s="696">
        <f t="shared" ca="1" si="36"/>
        <v>10</v>
      </c>
      <c r="J147" s="696">
        <f t="shared" ca="1" si="42"/>
        <v>0</v>
      </c>
      <c r="K147" s="696">
        <f ca="1">IF(OR($C147="S",$C147=0),0,MATCH(OFFSET($D147,0,$C147)+IF($C147&lt;&gt;1,1,COUNTIF(QCI!$A$13:$A$24,ORÇAMENTO!E147)),OFFSET($D147,1,$C147,ROW($C$235)-ROW($C147)),0))</f>
        <v>0</v>
      </c>
      <c r="L147" s="114" t="str">
        <f t="shared" ca="1" si="37"/>
        <v>F</v>
      </c>
      <c r="M147" s="115" t="s">
        <v>705</v>
      </c>
      <c r="N147" s="116" t="str">
        <f t="shared" ca="1" si="38"/>
        <v>Serviço</v>
      </c>
      <c r="O147" s="117" t="str">
        <f t="shared" ca="1" si="39"/>
        <v>1.24.10.</v>
      </c>
      <c r="P147" s="118" t="s">
        <v>1008</v>
      </c>
      <c r="Q147" s="119" t="s">
        <v>1129</v>
      </c>
      <c r="R147" s="120" t="str">
        <f t="array" aca="1" ref="R147" ca="1">IF($C147="S",REFERENCIA.Descricao,"(digite a descrição aqui)")</f>
        <v>PLACA 4"X2" CEGA, INCLUSIVE FORNECIMENTO E INSTALAÇÃO, EXCLUSIVE SUPORTE</v>
      </c>
      <c r="S147" s="121" t="str">
        <f t="array" aca="1" ref="S147" ca="1">REFERENCIA.Unidade</f>
        <v>un</v>
      </c>
      <c r="T147" s="122">
        <f ca="1">OFFSET(CÁLCULO!H$15,ROW($T147)-ROW(T$15),0)</f>
        <v>40</v>
      </c>
      <c r="U147" s="123">
        <f>5.39*0.94</f>
        <v>5.0665999999999993</v>
      </c>
      <c r="V147" s="124" t="s">
        <v>697</v>
      </c>
      <c r="W147" s="122">
        <f t="array" aca="1" ref="W147" ca="1">IF($C147="S",ROUND(IF(TIPOORCAMENTO="Proposto",ORÇAMENTO.CustoUnitario*(1+$AH147),ORÇAMENTO.PrecoUnitarioLicitado),15-13*$AF$10),0)</f>
        <v>6.1</v>
      </c>
      <c r="X147" s="125">
        <f t="array" aca="1" ref="X147" ca="1">IF($C147="S",IF(OR(Import.TipoArredondamento&lt;&gt;"TransfereGOV",ACOMPANHAMENTO="BM"),VTOTAL1,SUM(OFFSET(CÁLCULO!$AI$15,ROW($X147)-ROW($X$15),1):OFFSET(CÁLCULO!$BB$15,ROW($X147)-ROW($X$15),-1))),IF($C147=0,0,ROUND(SomaAgrup,15-13*$AF$11)))</f>
        <v>244</v>
      </c>
      <c r="Y147" s="126" t="s">
        <v>751</v>
      </c>
      <c r="Z147" s="696" t="str">
        <f t="shared" ca="1" si="40"/>
        <v>RA</v>
      </c>
      <c r="AA147" s="127">
        <f t="array" aca="1" ref="AA147" ca="1">IF($C147="S",IF($Z147="CP",$X147,IF($Z147="RA",(($X147)*QCI!$AA$3),0)),SomaAgrup)</f>
        <v>0</v>
      </c>
      <c r="AB147" s="128">
        <f t="array" aca="1" ref="AB147" ca="1">IF($C147="S",IF($Z147="OU",ROUND($X147,2),0),SomaAgrup)</f>
        <v>0</v>
      </c>
      <c r="AC147" s="563" t="str">
        <f t="array" aca="1" ref="AC147" ca="1">IF($N147=""," ",
IF(AND($C147&lt;&gt;"S",OR($R147="",$R147="(digite a descrição aqui)")),"DESCRIÇÃO",
IF(AND($C147="S",OR($Q147&lt;&gt;"",$T147&gt;0,$U147&gt;0),$P147=""),"FONTE",
IF(AND($C147="S",$P147&lt;&gt;"",OR($T147&gt;0,$U147&gt;0),$Q147=""),"CÓDIGO",
IF(AND($C147="S",$P147&lt;&gt;"",$Q147&lt;&gt;"",$R147="(Código não identificado nas referências)"),"CÓDIGO N/ID",
IF(AND($C147="S",OR($R147="",$R147="(digite a descrição aqui)"),OR($Q147&lt;&gt;"",$T147&gt;0,$U147&gt;0)),"DESCRIÇÃO",
IF(AND($C147="S",$P147&lt;&gt;"",$Q147&lt;&gt;"",$S147=""),"UNIDADE",
IF(AND($C147="S",$P147&lt;&gt;"",$Q147&lt;&gt;"",$U147=0),"SEM CUSTO",
IF(AND(TIPOORCAMENTO="Licitado",$AL147=0,$AN147&gt;0),"SEM PREÇO",
IF(AND($C147="S",$P147&lt;&gt;"",$Q147&lt;&gt;"",$U147&gt;0,AND($V147&lt;&gt;"BDI 1",$V147&lt;&gt;"BDI 2",$V147&lt;&gt;"BDI 3")),IF(ISNUMBER($V147),"JUSTIFICAR BDI","BDI"),
IF(OR(AND(import.recurso="OGU",TIPOORCAMENTO="Proposto",LEFT($O$8,5)&lt;&gt;"(N/D:",$AG147&lt;&gt;"",ORÇAMENTO.CustoUnitario&gt;$AG147),AND(TIPOORCAMENTO="LICITADO",ORÇAMENTO.PrecoUnitarioLicitado&gt;$AN147)),"ACIMA REF.",
IF(AND($C147="S",$P147&lt;&gt;"",$Q147&lt;&gt;"",$T147=0,$U147&gt;0),"QUANT.",
IF(AND(Import.TipoArredondamento="TransfereGOV",$L147="F",$C147="S",LEN($Q147)&gt;13),"Código &gt;13",
IF(AND(Import.TipoArredondamento="TransfereGOV",$L147="F",$C147&lt;&gt;"S",LEN($R147)&gt;100),"Descrição &gt;100",
IF(AND(Import.TipoArredondamento="TransfereGOV",$L147="F",$C147="S",LEN($R147)&gt;500),"Descrição &gt;500",
IF(AND(Import.TipoArredondamento="TransfereGOV",$L147="F",$C147="S",LEFT(TRIM(UPPER($P147)),6)&lt;&gt;"SINAPI",ISNA(VLOOKUP(TRIM(UPPER($S147)),ListaTgov.Unidades,1,FALSE))),"Unid. Não Disp",
" "))))))))))))))))</f>
        <v xml:space="preserve"> </v>
      </c>
      <c r="AD147" s="696" t="str">
        <f ca="1">IF(C147&lt;=CRONO.NivelExibicao,MAX($AD$15:OFFSET(AD147,-1,0))+IF($C147&lt;&gt;1,1,MAX(1,COUNTIF(QCI!$A$13:$A$24,OFFSET($E147,-1,0)))),"")</f>
        <v/>
      </c>
      <c r="AE147" s="694" t="str">
        <f t="array" aca="1" ref="AE147" ca="1">IF(AND($C147="S",ORÇAMENTO.CodBarra&lt;&gt;""),IF(ORÇAMENTO.Fonte="",ORÇAMENTO.CodBarra,CONCATENATE(ORÇAMENTO.Fonte," ",ORÇAMENTO.CodBarra)))</f>
        <v>SICOR ED-5618</v>
      </c>
      <c r="AF147" s="695">
        <f t="array" aca="1" ref="AF147" ca="1">IF(ISERROR(ORÇAMENTO.BancoRef),"(abra o arquivo 'Referência "&amp;Excel_BuiltIn_Database&amp;".xlsm)",IF(OR($C147&lt;&gt;"S",ORÇAMENTO.CodBarra=""),"(Sem Código)",IF(ISERROR(MATCH($AE147,INDIRECT(ORÇAMENTO.BancoRef),0)),"(Código não identificado nas referências)",MATCH($AE147,INDIRECT(ORÇAMENTO.BancoRef),0))))</f>
        <v>17266</v>
      </c>
      <c r="AG147" s="428">
        <f t="array" aca="1" ref="AG147" ca="1">ROUND(IF(DESONERACAO="sim",REFERENCIA.Desonerado,REFERENCIA.NaoDesonerado),2)</f>
        <v>5.39</v>
      </c>
      <c r="AH147" s="429">
        <f t="shared" ca="1" si="41"/>
        <v>0.2034</v>
      </c>
      <c r="AJ147" s="431"/>
      <c r="AL147" s="439"/>
      <c r="AM147" s="336">
        <f t="shared" ca="1" si="0"/>
        <v>244</v>
      </c>
      <c r="AN147" s="469">
        <f t="array" aca="1" ref="AN147" ca="1">ROUND(ORÇAMENTO.CustoUnitario*(1+$AH147),2)</f>
        <v>6.1</v>
      </c>
    </row>
    <row r="148" spans="1:40" s="696" customFormat="1" ht="25.5" x14ac:dyDescent="0.2">
      <c r="A148" s="696" t="str">
        <f t="shared" si="29"/>
        <v>S</v>
      </c>
      <c r="B148" s="696">
        <f t="shared" ca="1" si="30"/>
        <v>2</v>
      </c>
      <c r="C148" s="696" t="str">
        <f t="shared" ca="1" si="31"/>
        <v>S</v>
      </c>
      <c r="D148" s="696">
        <f t="shared" ca="1" si="32"/>
        <v>0</v>
      </c>
      <c r="E148" s="696">
        <f ca="1">IF($C148=1,OFFSET(E148,-1,0)+MAX(1,COUNTIF(QCI!$A$13:$A$24,OFFSET(ORÇAMENTO!E148,-1,0))),OFFSET(E148,-1,0))</f>
        <v>1</v>
      </c>
      <c r="F148" s="696">
        <f t="shared" ca="1" si="33"/>
        <v>24</v>
      </c>
      <c r="G148" s="696">
        <f t="shared" ca="1" si="34"/>
        <v>0</v>
      </c>
      <c r="H148" s="696">
        <f t="shared" ca="1" si="35"/>
        <v>0</v>
      </c>
      <c r="I148" s="696">
        <f t="shared" ca="1" si="36"/>
        <v>11</v>
      </c>
      <c r="J148" s="696">
        <f t="shared" ca="1" si="42"/>
        <v>0</v>
      </c>
      <c r="K148" s="696">
        <f ca="1">IF(OR($C148="S",$C148=0),0,MATCH(OFFSET($D148,0,$C148)+IF($C148&lt;&gt;1,1,COUNTIF(QCI!$A$13:$A$24,ORÇAMENTO!E148)),OFFSET($D148,1,$C148,ROW($C$235)-ROW($C148)),0))</f>
        <v>0</v>
      </c>
      <c r="L148" s="114" t="str">
        <f t="shared" ca="1" si="37"/>
        <v>F</v>
      </c>
      <c r="M148" s="115" t="s">
        <v>705</v>
      </c>
      <c r="N148" s="116" t="str">
        <f t="shared" ca="1" si="38"/>
        <v>Serviço</v>
      </c>
      <c r="O148" s="117" t="str">
        <f t="shared" ca="1" si="39"/>
        <v>1.24.11.</v>
      </c>
      <c r="P148" s="118" t="s">
        <v>750</v>
      </c>
      <c r="Q148" s="119" t="s">
        <v>1130</v>
      </c>
      <c r="R148" s="120" t="str">
        <f t="array" aca="1" ref="R148" ca="1">IF($C148="S",REFERENCIA.Descricao,"(digite a descrição aqui)")</f>
        <v>CAIXA RETANGULAR 4" X 2" BAIXA (0,30 M DO PISO), PVC, INSTALADA EM PAREDE - FORNECIMENTO E INSTALAÇÃO. AF_03/2023</v>
      </c>
      <c r="S148" s="121" t="str">
        <f t="array" aca="1" ref="S148" ca="1">REFERENCIA.Unidade</f>
        <v>UN</v>
      </c>
      <c r="T148" s="122">
        <f ca="1">OFFSET(CÁLCULO!H$15,ROW($T148)-ROW(T$15),0)</f>
        <v>240</v>
      </c>
      <c r="U148" s="123">
        <f>12.91*0.94</f>
        <v>12.135399999999999</v>
      </c>
      <c r="V148" s="124" t="s">
        <v>697</v>
      </c>
      <c r="W148" s="122">
        <f t="array" aca="1" ref="W148" ca="1">IF($C148="S",ROUND(IF(TIPOORCAMENTO="Proposto",ORÇAMENTO.CustoUnitario*(1+$AH148),ORÇAMENTO.PrecoUnitarioLicitado),15-13*$AF$10),0)</f>
        <v>14.61</v>
      </c>
      <c r="X148" s="125">
        <f t="array" aca="1" ref="X148" ca="1">IF($C148="S",IF(OR(Import.TipoArredondamento&lt;&gt;"TransfereGOV",ACOMPANHAMENTO="BM"),VTOTAL1,SUM(OFFSET(CÁLCULO!$AI$15,ROW($X148)-ROW($X$15),1):OFFSET(CÁLCULO!$BB$15,ROW($X148)-ROW($X$15),-1))),IF($C148=0,0,ROUND(SomaAgrup,15-13*$AF$11)))</f>
        <v>3506.4</v>
      </c>
      <c r="Y148" s="126" t="s">
        <v>751</v>
      </c>
      <c r="Z148" s="696" t="str">
        <f t="shared" ca="1" si="40"/>
        <v>RA</v>
      </c>
      <c r="AA148" s="127">
        <f t="array" aca="1" ref="AA148" ca="1">IF($C148="S",IF($Z148="CP",$X148,IF($Z148="RA",(($X148)*QCI!$AA$3),0)),SomaAgrup)</f>
        <v>0</v>
      </c>
      <c r="AB148" s="128">
        <f t="array" aca="1" ref="AB148" ca="1">IF($C148="S",IF($Z148="OU",ROUND($X148,2),0),SomaAgrup)</f>
        <v>0</v>
      </c>
      <c r="AC148" s="563" t="str">
        <f t="array" aca="1" ref="AC148" ca="1">IF($N148=""," ",
IF(AND($C148&lt;&gt;"S",OR($R148="",$R148="(digite a descrição aqui)")),"DESCRIÇÃO",
IF(AND($C148="S",OR($Q148&lt;&gt;"",$T148&gt;0,$U148&gt;0),$P148=""),"FONTE",
IF(AND($C148="S",$P148&lt;&gt;"",OR($T148&gt;0,$U148&gt;0),$Q148=""),"CÓDIGO",
IF(AND($C148="S",$P148&lt;&gt;"",$Q148&lt;&gt;"",$R148="(Código não identificado nas referências)"),"CÓDIGO N/ID",
IF(AND($C148="S",OR($R148="",$R148="(digite a descrição aqui)"),OR($Q148&lt;&gt;"",$T148&gt;0,$U148&gt;0)),"DESCRIÇÃO",
IF(AND($C148="S",$P148&lt;&gt;"",$Q148&lt;&gt;"",$S148=""),"UNIDADE",
IF(AND($C148="S",$P148&lt;&gt;"",$Q148&lt;&gt;"",$U148=0),"SEM CUSTO",
IF(AND(TIPOORCAMENTO="Licitado",$AL148=0,$AN148&gt;0),"SEM PREÇO",
IF(AND($C148="S",$P148&lt;&gt;"",$Q148&lt;&gt;"",$U148&gt;0,AND($V148&lt;&gt;"BDI 1",$V148&lt;&gt;"BDI 2",$V148&lt;&gt;"BDI 3")),IF(ISNUMBER($V148),"JUSTIFICAR BDI","BDI"),
IF(OR(AND(import.recurso="OGU",TIPOORCAMENTO="Proposto",LEFT($O$8,5)&lt;&gt;"(N/D:",$AG148&lt;&gt;"",ORÇAMENTO.CustoUnitario&gt;$AG148),AND(TIPOORCAMENTO="LICITADO",ORÇAMENTO.PrecoUnitarioLicitado&gt;$AN148)),"ACIMA REF.",
IF(AND($C148="S",$P148&lt;&gt;"",$Q148&lt;&gt;"",$T148=0,$U148&gt;0),"QUANT.",
IF(AND(Import.TipoArredondamento="TransfereGOV",$L148="F",$C148="S",LEN($Q148)&gt;13),"Código &gt;13",
IF(AND(Import.TipoArredondamento="TransfereGOV",$L148="F",$C148&lt;&gt;"S",LEN($R148)&gt;100),"Descrição &gt;100",
IF(AND(Import.TipoArredondamento="TransfereGOV",$L148="F",$C148="S",LEN($R148)&gt;500),"Descrição &gt;500",
IF(AND(Import.TipoArredondamento="TransfereGOV",$L148="F",$C148="S",LEFT(TRIM(UPPER($P148)),6)&lt;&gt;"SINAPI",ISNA(VLOOKUP(TRIM(UPPER($S148)),ListaTgov.Unidades,1,FALSE))),"Unid. Não Disp",
" "))))))))))))))))</f>
        <v xml:space="preserve"> </v>
      </c>
      <c r="AD148" s="696" t="str">
        <f ca="1">IF(C148&lt;=CRONO.NivelExibicao,MAX($AD$15:OFFSET(AD148,-1,0))+IF($C148&lt;&gt;1,1,MAX(1,COUNTIF(QCI!$A$13:$A$24,OFFSET($E148,-1,0)))),"")</f>
        <v/>
      </c>
      <c r="AE148" s="694" t="str">
        <f t="array" aca="1" ref="AE148" ca="1">IF(AND($C148="S",ORÇAMENTO.CodBarra&lt;&gt;""),IF(ORÇAMENTO.Fonte="",ORÇAMENTO.CodBarra,CONCATENATE(ORÇAMENTO.Fonte," ",ORÇAMENTO.CodBarra)))</f>
        <v>SINAPI 91941</v>
      </c>
      <c r="AF148" s="695">
        <f t="array" aca="1" ref="AF148" ca="1">IF(ISERROR(ORÇAMENTO.BancoRef),"(abra o arquivo 'Referência "&amp;Excel_BuiltIn_Database&amp;".xlsm)",IF(OR($C148&lt;&gt;"S",ORÇAMENTO.CodBarra=""),"(Sem Código)",IF(ISERROR(MATCH($AE148,INDIRECT(ORÇAMENTO.BancoRef),0)),"(Código não identificado nas referências)",MATCH($AE148,INDIRECT(ORÇAMENTO.BancoRef),0))))</f>
        <v>10381</v>
      </c>
      <c r="AG148" s="428">
        <f t="array" aca="1" ref="AG148" ca="1">ROUND(IF(DESONERACAO="sim",REFERENCIA.Desonerado,REFERENCIA.NaoDesonerado),2)</f>
        <v>12.91</v>
      </c>
      <c r="AH148" s="429">
        <f t="shared" ca="1" si="41"/>
        <v>0.2034</v>
      </c>
      <c r="AJ148" s="431"/>
      <c r="AL148" s="439"/>
      <c r="AM148" s="336">
        <f t="shared" ca="1" si="0"/>
        <v>3506.4</v>
      </c>
      <c r="AN148" s="469">
        <f t="array" aca="1" ref="AN148" ca="1">ROUND(ORÇAMENTO.CustoUnitario*(1+$AH148),2)</f>
        <v>14.61</v>
      </c>
    </row>
    <row r="149" spans="1:40" s="696" customFormat="1" ht="38.25" x14ac:dyDescent="0.2">
      <c r="A149" s="696" t="str">
        <f t="shared" si="29"/>
        <v>S</v>
      </c>
      <c r="B149" s="696">
        <f t="shared" ca="1" si="30"/>
        <v>2</v>
      </c>
      <c r="C149" s="696" t="str">
        <f t="shared" ca="1" si="31"/>
        <v>S</v>
      </c>
      <c r="D149" s="696">
        <f t="shared" ca="1" si="32"/>
        <v>0</v>
      </c>
      <c r="E149" s="696">
        <f ca="1">IF($C149=1,OFFSET(E149,-1,0)+MAX(1,COUNTIF(QCI!$A$13:$A$24,OFFSET(ORÇAMENTO!E149,-1,0))),OFFSET(E149,-1,0))</f>
        <v>1</v>
      </c>
      <c r="F149" s="696">
        <f t="shared" ca="1" si="33"/>
        <v>24</v>
      </c>
      <c r="G149" s="696">
        <f t="shared" ca="1" si="34"/>
        <v>0</v>
      </c>
      <c r="H149" s="696">
        <f t="shared" ca="1" si="35"/>
        <v>0</v>
      </c>
      <c r="I149" s="696">
        <f t="shared" ca="1" si="36"/>
        <v>12</v>
      </c>
      <c r="J149" s="696">
        <f t="shared" ca="1" si="42"/>
        <v>0</v>
      </c>
      <c r="K149" s="696">
        <f ca="1">IF(OR($C149="S",$C149=0),0,MATCH(OFFSET($D149,0,$C149)+IF($C149&lt;&gt;1,1,COUNTIF(QCI!$A$13:$A$24,ORÇAMENTO!E149)),OFFSET($D149,1,$C149,ROW($C$235)-ROW($C149)),0))</f>
        <v>0</v>
      </c>
      <c r="L149" s="114" t="str">
        <f t="shared" ca="1" si="37"/>
        <v>F</v>
      </c>
      <c r="M149" s="115" t="s">
        <v>705</v>
      </c>
      <c r="N149" s="116" t="str">
        <f t="shared" ca="1" si="38"/>
        <v>Serviço</v>
      </c>
      <c r="O149" s="117" t="str">
        <f t="shared" ca="1" si="39"/>
        <v>1.24.12.</v>
      </c>
      <c r="P149" s="118" t="s">
        <v>750</v>
      </c>
      <c r="Q149" s="119" t="s">
        <v>1131</v>
      </c>
      <c r="R149" s="120" t="str">
        <f t="array" aca="1" ref="R149" ca="1">IF($C149="S",REFERENCIA.Descricao,"(digite a descrição aqui)")</f>
        <v>CAIXA RETANGULAR 4" X 2" MÉDIA (1,30 M DO PISO), PVC, INSTALADA EM PAREDE - FORNECIMENTO E INSTALAÇÃO. AF_03/2023</v>
      </c>
      <c r="S149" s="121" t="str">
        <f t="array" aca="1" ref="S149" ca="1">REFERENCIA.Unidade</f>
        <v>UN</v>
      </c>
      <c r="T149" s="122">
        <f ca="1">OFFSET(CÁLCULO!H$15,ROW($T149)-ROW(T$15),0)</f>
        <v>260</v>
      </c>
      <c r="U149" s="123">
        <f>20.17*0.94</f>
        <v>18.959800000000001</v>
      </c>
      <c r="V149" s="124" t="s">
        <v>697</v>
      </c>
      <c r="W149" s="122">
        <f t="array" aca="1" ref="W149" ca="1">IF($C149="S",ROUND(IF(TIPOORCAMENTO="Proposto",ORÇAMENTO.CustoUnitario*(1+$AH149),ORÇAMENTO.PrecoUnitarioLicitado),15-13*$AF$10),0)</f>
        <v>22.82</v>
      </c>
      <c r="X149" s="125">
        <f t="array" aca="1" ref="X149" ca="1">IF($C149="S",IF(OR(Import.TipoArredondamento&lt;&gt;"TransfereGOV",ACOMPANHAMENTO="BM"),VTOTAL1,SUM(OFFSET(CÁLCULO!$AI$15,ROW($X149)-ROW($X$15),1):OFFSET(CÁLCULO!$BB$15,ROW($X149)-ROW($X$15),-1))),IF($C149=0,0,ROUND(SomaAgrup,15-13*$AF$11)))</f>
        <v>5933.2</v>
      </c>
      <c r="Y149" s="126" t="s">
        <v>751</v>
      </c>
      <c r="Z149" s="696" t="str">
        <f t="shared" ca="1" si="40"/>
        <v>RA</v>
      </c>
      <c r="AA149" s="127">
        <f t="array" aca="1" ref="AA149" ca="1">IF($C149="S",IF($Z149="CP",$X149,IF($Z149="RA",(($X149)*QCI!$AA$3),0)),SomaAgrup)</f>
        <v>0</v>
      </c>
      <c r="AB149" s="128">
        <f t="array" aca="1" ref="AB149" ca="1">IF($C149="S",IF($Z149="OU",ROUND($X149,2),0),SomaAgrup)</f>
        <v>0</v>
      </c>
      <c r="AC149" s="563" t="str">
        <f t="array" aca="1" ref="AC149" ca="1">IF($N149=""," ",
IF(AND($C149&lt;&gt;"S",OR($R149="",$R149="(digite a descrição aqui)")),"DESCRIÇÃO",
IF(AND($C149="S",OR($Q149&lt;&gt;"",$T149&gt;0,$U149&gt;0),$P149=""),"FONTE",
IF(AND($C149="S",$P149&lt;&gt;"",OR($T149&gt;0,$U149&gt;0),$Q149=""),"CÓDIGO",
IF(AND($C149="S",$P149&lt;&gt;"",$Q149&lt;&gt;"",$R149="(Código não identificado nas referências)"),"CÓDIGO N/ID",
IF(AND($C149="S",OR($R149="",$R149="(digite a descrição aqui)"),OR($Q149&lt;&gt;"",$T149&gt;0,$U149&gt;0)),"DESCRIÇÃO",
IF(AND($C149="S",$P149&lt;&gt;"",$Q149&lt;&gt;"",$S149=""),"UNIDADE",
IF(AND($C149="S",$P149&lt;&gt;"",$Q149&lt;&gt;"",$U149=0),"SEM CUSTO",
IF(AND(TIPOORCAMENTO="Licitado",$AL149=0,$AN149&gt;0),"SEM PREÇO",
IF(AND($C149="S",$P149&lt;&gt;"",$Q149&lt;&gt;"",$U149&gt;0,AND($V149&lt;&gt;"BDI 1",$V149&lt;&gt;"BDI 2",$V149&lt;&gt;"BDI 3")),IF(ISNUMBER($V149),"JUSTIFICAR BDI","BDI"),
IF(OR(AND(import.recurso="OGU",TIPOORCAMENTO="Proposto",LEFT($O$8,5)&lt;&gt;"(N/D:",$AG149&lt;&gt;"",ORÇAMENTO.CustoUnitario&gt;$AG149),AND(TIPOORCAMENTO="LICITADO",ORÇAMENTO.PrecoUnitarioLicitado&gt;$AN149)),"ACIMA REF.",
IF(AND($C149="S",$P149&lt;&gt;"",$Q149&lt;&gt;"",$T149=0,$U149&gt;0),"QUANT.",
IF(AND(Import.TipoArredondamento="TransfereGOV",$L149="F",$C149="S",LEN($Q149)&gt;13),"Código &gt;13",
IF(AND(Import.TipoArredondamento="TransfereGOV",$L149="F",$C149&lt;&gt;"S",LEN($R149)&gt;100),"Descrição &gt;100",
IF(AND(Import.TipoArredondamento="TransfereGOV",$L149="F",$C149="S",LEN($R149)&gt;500),"Descrição &gt;500",
IF(AND(Import.TipoArredondamento="TransfereGOV",$L149="F",$C149="S",LEFT(TRIM(UPPER($P149)),6)&lt;&gt;"SINAPI",ISNA(VLOOKUP(TRIM(UPPER($S149)),ListaTgov.Unidades,1,FALSE))),"Unid. Não Disp",
" "))))))))))))))))</f>
        <v xml:space="preserve"> </v>
      </c>
      <c r="AD149" s="696" t="str">
        <f ca="1">IF(C149&lt;=CRONO.NivelExibicao,MAX($AD$15:OFFSET(AD149,-1,0))+IF($C149&lt;&gt;1,1,MAX(1,COUNTIF(QCI!$A$13:$A$24,OFFSET($E149,-1,0)))),"")</f>
        <v/>
      </c>
      <c r="AE149" s="694" t="str">
        <f t="array" aca="1" ref="AE149" ca="1">IF(AND($C149="S",ORÇAMENTO.CodBarra&lt;&gt;""),IF(ORÇAMENTO.Fonte="",ORÇAMENTO.CodBarra,CONCATENATE(ORÇAMENTO.Fonte," ",ORÇAMENTO.CodBarra)))</f>
        <v>SINAPI 91940</v>
      </c>
      <c r="AF149" s="695">
        <f t="array" aca="1" ref="AF149" ca="1">IF(ISERROR(ORÇAMENTO.BancoRef),"(abra o arquivo 'Referência "&amp;Excel_BuiltIn_Database&amp;".xlsm)",IF(OR($C149&lt;&gt;"S",ORÇAMENTO.CodBarra=""),"(Sem Código)",IF(ISERROR(MATCH($AE149,INDIRECT(ORÇAMENTO.BancoRef),0)),"(Código não identificado nas referências)",MATCH($AE149,INDIRECT(ORÇAMENTO.BancoRef),0))))</f>
        <v>10383</v>
      </c>
      <c r="AG149" s="428">
        <f t="array" aca="1" ref="AG149" ca="1">ROUND(IF(DESONERACAO="sim",REFERENCIA.Desonerado,REFERENCIA.NaoDesonerado),2)</f>
        <v>20.170000000000002</v>
      </c>
      <c r="AH149" s="429">
        <f t="shared" ca="1" si="41"/>
        <v>0.2034</v>
      </c>
      <c r="AJ149" s="431"/>
      <c r="AL149" s="439"/>
      <c r="AM149" s="336">
        <f t="shared" ca="1" si="0"/>
        <v>5933.2</v>
      </c>
      <c r="AN149" s="469">
        <f t="array" aca="1" ref="AN149" ca="1">ROUND(ORÇAMENTO.CustoUnitario*(1+$AH149),2)</f>
        <v>22.82</v>
      </c>
    </row>
    <row r="150" spans="1:40" s="696" customFormat="1" ht="25.5" x14ac:dyDescent="0.2">
      <c r="A150" s="696" t="str">
        <f t="shared" si="29"/>
        <v>S</v>
      </c>
      <c r="B150" s="696">
        <f t="shared" ca="1" si="30"/>
        <v>2</v>
      </c>
      <c r="C150" s="696" t="str">
        <f t="shared" ca="1" si="31"/>
        <v>S</v>
      </c>
      <c r="D150" s="696">
        <f t="shared" ca="1" si="32"/>
        <v>0</v>
      </c>
      <c r="E150" s="696">
        <f ca="1">IF($C150=1,OFFSET(E150,-1,0)+MAX(1,COUNTIF(QCI!$A$13:$A$24,OFFSET(ORÇAMENTO!E150,-1,0))),OFFSET(E150,-1,0))</f>
        <v>1</v>
      </c>
      <c r="F150" s="696">
        <f t="shared" ca="1" si="33"/>
        <v>24</v>
      </c>
      <c r="G150" s="696">
        <f t="shared" ca="1" si="34"/>
        <v>0</v>
      </c>
      <c r="H150" s="696">
        <f t="shared" ca="1" si="35"/>
        <v>0</v>
      </c>
      <c r="I150" s="696">
        <f t="shared" ca="1" si="36"/>
        <v>13</v>
      </c>
      <c r="J150" s="696">
        <f t="shared" ca="1" si="42"/>
        <v>0</v>
      </c>
      <c r="K150" s="696">
        <f ca="1">IF(OR($C150="S",$C150=0),0,MATCH(OFFSET($D150,0,$C150)+IF($C150&lt;&gt;1,1,COUNTIF(QCI!$A$13:$A$24,ORÇAMENTO!E150)),OFFSET($D150,1,$C150,ROW($C$235)-ROW($C150)),0))</f>
        <v>0</v>
      </c>
      <c r="L150" s="114" t="str">
        <f t="shared" ca="1" si="37"/>
        <v>F</v>
      </c>
      <c r="M150" s="115" t="s">
        <v>705</v>
      </c>
      <c r="N150" s="116" t="str">
        <f t="shared" ca="1" si="38"/>
        <v>Serviço</v>
      </c>
      <c r="O150" s="117" t="str">
        <f t="shared" ca="1" si="39"/>
        <v>1.24.13.</v>
      </c>
      <c r="P150" s="118" t="s">
        <v>750</v>
      </c>
      <c r="Q150" s="119" t="s">
        <v>1132</v>
      </c>
      <c r="R150" s="120" t="str">
        <f t="array" aca="1" ref="R150" ca="1">IF($C150="S",REFERENCIA.Descricao,"(digite a descrição aqui)")</f>
        <v>CAIXA RETANGULAR 4" X 2" ALTA (2,00 M DO PISO), PVC, INSTALADA EM PAREDE - FORNECIMENTO E INSTALAÇÃO. AF_03/2023</v>
      </c>
      <c r="S150" s="121" t="str">
        <f t="array" aca="1" ref="S150" ca="1">REFERENCIA.Unidade</f>
        <v>UN</v>
      </c>
      <c r="T150" s="122">
        <f ca="1">OFFSET(CÁLCULO!H$15,ROW($T150)-ROW(T$15),0)</f>
        <v>40</v>
      </c>
      <c r="U150" s="123">
        <f>34.97*0.94</f>
        <v>32.8718</v>
      </c>
      <c r="V150" s="124" t="s">
        <v>697</v>
      </c>
      <c r="W150" s="122">
        <f t="array" aca="1" ref="W150" ca="1">IF($C150="S",ROUND(IF(TIPOORCAMENTO="Proposto",ORÇAMENTO.CustoUnitario*(1+$AH150),ORÇAMENTO.PrecoUnitarioLicitado),15-13*$AF$10),0)</f>
        <v>39.56</v>
      </c>
      <c r="X150" s="125">
        <f t="array" aca="1" ref="X150" ca="1">IF($C150="S",IF(OR(Import.TipoArredondamento&lt;&gt;"TransfereGOV",ACOMPANHAMENTO="BM"),VTOTAL1,SUM(OFFSET(CÁLCULO!$AI$15,ROW($X150)-ROW($X$15),1):OFFSET(CÁLCULO!$BB$15,ROW($X150)-ROW($X$15),-1))),IF($C150=0,0,ROUND(SomaAgrup,15-13*$AF$11)))</f>
        <v>1582.4</v>
      </c>
      <c r="Y150" s="126" t="s">
        <v>751</v>
      </c>
      <c r="Z150" s="696" t="str">
        <f t="shared" ca="1" si="40"/>
        <v>RA</v>
      </c>
      <c r="AA150" s="127">
        <f t="array" aca="1" ref="AA150" ca="1">IF($C150="S",IF($Z150="CP",$X150,IF($Z150="RA",(($X150)*QCI!$AA$3),0)),SomaAgrup)</f>
        <v>0</v>
      </c>
      <c r="AB150" s="128">
        <f t="array" aca="1" ref="AB150" ca="1">IF($C150="S",IF($Z150="OU",ROUND($X150,2),0),SomaAgrup)</f>
        <v>0</v>
      </c>
      <c r="AC150" s="563" t="str">
        <f t="array" aca="1" ref="AC150" ca="1">IF($N150=""," ",
IF(AND($C150&lt;&gt;"S",OR($R150="",$R150="(digite a descrição aqui)")),"DESCRIÇÃO",
IF(AND($C150="S",OR($Q150&lt;&gt;"",$T150&gt;0,$U150&gt;0),$P150=""),"FONTE",
IF(AND($C150="S",$P150&lt;&gt;"",OR($T150&gt;0,$U150&gt;0),$Q150=""),"CÓDIGO",
IF(AND($C150="S",$P150&lt;&gt;"",$Q150&lt;&gt;"",$R150="(Código não identificado nas referências)"),"CÓDIGO N/ID",
IF(AND($C150="S",OR($R150="",$R150="(digite a descrição aqui)"),OR($Q150&lt;&gt;"",$T150&gt;0,$U150&gt;0)),"DESCRIÇÃO",
IF(AND($C150="S",$P150&lt;&gt;"",$Q150&lt;&gt;"",$S150=""),"UNIDADE",
IF(AND($C150="S",$P150&lt;&gt;"",$Q150&lt;&gt;"",$U150=0),"SEM CUSTO",
IF(AND(TIPOORCAMENTO="Licitado",$AL150=0,$AN150&gt;0),"SEM PREÇO",
IF(AND($C150="S",$P150&lt;&gt;"",$Q150&lt;&gt;"",$U150&gt;0,AND($V150&lt;&gt;"BDI 1",$V150&lt;&gt;"BDI 2",$V150&lt;&gt;"BDI 3")),IF(ISNUMBER($V150),"JUSTIFICAR BDI","BDI"),
IF(OR(AND(import.recurso="OGU",TIPOORCAMENTO="Proposto",LEFT($O$8,5)&lt;&gt;"(N/D:",$AG150&lt;&gt;"",ORÇAMENTO.CustoUnitario&gt;$AG150),AND(TIPOORCAMENTO="LICITADO",ORÇAMENTO.PrecoUnitarioLicitado&gt;$AN150)),"ACIMA REF.",
IF(AND($C150="S",$P150&lt;&gt;"",$Q150&lt;&gt;"",$T150=0,$U150&gt;0),"QUANT.",
IF(AND(Import.TipoArredondamento="TransfereGOV",$L150="F",$C150="S",LEN($Q150)&gt;13),"Código &gt;13",
IF(AND(Import.TipoArredondamento="TransfereGOV",$L150="F",$C150&lt;&gt;"S",LEN($R150)&gt;100),"Descrição &gt;100",
IF(AND(Import.TipoArredondamento="TransfereGOV",$L150="F",$C150="S",LEN($R150)&gt;500),"Descrição &gt;500",
IF(AND(Import.TipoArredondamento="TransfereGOV",$L150="F",$C150="S",LEFT(TRIM(UPPER($P150)),6)&lt;&gt;"SINAPI",ISNA(VLOOKUP(TRIM(UPPER($S150)),ListaTgov.Unidades,1,FALSE))),"Unid. Não Disp",
" "))))))))))))))))</f>
        <v xml:space="preserve"> </v>
      </c>
      <c r="AD150" s="696" t="str">
        <f ca="1">IF(C150&lt;=CRONO.NivelExibicao,MAX($AD$15:OFFSET(AD150,-1,0))+IF($C150&lt;&gt;1,1,MAX(1,COUNTIF(QCI!$A$13:$A$24,OFFSET($E150,-1,0)))),"")</f>
        <v/>
      </c>
      <c r="AE150" s="694" t="str">
        <f t="array" aca="1" ref="AE150" ca="1">IF(AND($C150="S",ORÇAMENTO.CodBarra&lt;&gt;""),IF(ORÇAMENTO.Fonte="",ORÇAMENTO.CodBarra,CONCATENATE(ORÇAMENTO.Fonte," ",ORÇAMENTO.CodBarra)))</f>
        <v>SINAPI 91939</v>
      </c>
      <c r="AF150" s="695">
        <f t="array" aca="1" ref="AF150" ca="1">IF(ISERROR(ORÇAMENTO.BancoRef),"(abra o arquivo 'Referência "&amp;Excel_BuiltIn_Database&amp;".xlsm)",IF(OR($C150&lt;&gt;"S",ORÇAMENTO.CodBarra=""),"(Sem Código)",IF(ISERROR(MATCH($AE150,INDIRECT(ORÇAMENTO.BancoRef),0)),"(Código não identificado nas referências)",MATCH($AE150,INDIRECT(ORÇAMENTO.BancoRef),0))))</f>
        <v>10379</v>
      </c>
      <c r="AG150" s="428">
        <f t="array" aca="1" ref="AG150" ca="1">ROUND(IF(DESONERACAO="sim",REFERENCIA.Desonerado,REFERENCIA.NaoDesonerado),2)</f>
        <v>34.97</v>
      </c>
      <c r="AH150" s="429">
        <f t="shared" ca="1" si="41"/>
        <v>0.2034</v>
      </c>
      <c r="AJ150" s="431"/>
      <c r="AL150" s="439"/>
      <c r="AM150" s="336">
        <f t="shared" ca="1" si="0"/>
        <v>1582.4</v>
      </c>
      <c r="AN150" s="469">
        <f t="array" aca="1" ref="AN150" ca="1">ROUND(ORÇAMENTO.CustoUnitario*(1+$AH150),2)</f>
        <v>39.56</v>
      </c>
    </row>
    <row r="151" spans="1:40" s="696" customFormat="1" ht="25.5" x14ac:dyDescent="0.2">
      <c r="A151" s="696" t="str">
        <f t="shared" si="29"/>
        <v>S</v>
      </c>
      <c r="B151" s="696">
        <f t="shared" ca="1" si="30"/>
        <v>2</v>
      </c>
      <c r="C151" s="696" t="str">
        <f t="shared" ca="1" si="31"/>
        <v>S</v>
      </c>
      <c r="D151" s="696">
        <f t="shared" ca="1" si="32"/>
        <v>0</v>
      </c>
      <c r="E151" s="696">
        <f ca="1">IF($C151=1,OFFSET(E151,-1,0)+MAX(1,COUNTIF(QCI!$A$13:$A$24,OFFSET(ORÇAMENTO!E151,-1,0))),OFFSET(E151,-1,0))</f>
        <v>1</v>
      </c>
      <c r="F151" s="696">
        <f t="shared" ca="1" si="33"/>
        <v>24</v>
      </c>
      <c r="G151" s="696">
        <f t="shared" ca="1" si="34"/>
        <v>0</v>
      </c>
      <c r="H151" s="696">
        <f t="shared" ca="1" si="35"/>
        <v>0</v>
      </c>
      <c r="I151" s="696">
        <f t="shared" ca="1" si="36"/>
        <v>14</v>
      </c>
      <c r="J151" s="696">
        <f t="shared" ca="1" si="42"/>
        <v>0</v>
      </c>
      <c r="K151" s="696">
        <f ca="1">IF(OR($C151="S",$C151=0),0,MATCH(OFFSET($D151,0,$C151)+IF($C151&lt;&gt;1,1,COUNTIF(QCI!$A$13:$A$24,ORÇAMENTO!E151)),OFFSET($D151,1,$C151,ROW($C$235)-ROW($C151)),0))</f>
        <v>0</v>
      </c>
      <c r="L151" s="114" t="str">
        <f t="shared" ca="1" si="37"/>
        <v>F</v>
      </c>
      <c r="M151" s="115" t="s">
        <v>705</v>
      </c>
      <c r="N151" s="116" t="str">
        <f t="shared" ca="1" si="38"/>
        <v>Serviço</v>
      </c>
      <c r="O151" s="117" t="str">
        <f t="shared" ca="1" si="39"/>
        <v>1.24.14.</v>
      </c>
      <c r="P151" s="118" t="s">
        <v>750</v>
      </c>
      <c r="Q151" s="119" t="s">
        <v>1133</v>
      </c>
      <c r="R151" s="120" t="str">
        <f t="array" aca="1" ref="R151" ca="1">IF($C151="S",REFERENCIA.Descricao,"(digite a descrição aqui)")</f>
        <v>CAIXA OCTOGONAL 3" X 3", PVC, INSTALADA EM LAJE - FORNECIMENTO E INSTALAÇÃO. AF_03/2023</v>
      </c>
      <c r="S151" s="121" t="str">
        <f t="array" aca="1" ref="S151" ca="1">REFERENCIA.Unidade</f>
        <v>UN</v>
      </c>
      <c r="T151" s="122">
        <f ca="1">OFFSET(CÁLCULO!H$15,ROW($T151)-ROW(T$15),0)</f>
        <v>140</v>
      </c>
      <c r="U151" s="123">
        <f>17.86*0.94</f>
        <v>16.788399999999999</v>
      </c>
      <c r="V151" s="124" t="s">
        <v>697</v>
      </c>
      <c r="W151" s="122">
        <f t="array" aca="1" ref="W151" ca="1">IF($C151="S",ROUND(IF(TIPOORCAMENTO="Proposto",ORÇAMENTO.CustoUnitario*(1+$AH151),ORÇAMENTO.PrecoUnitarioLicitado),15-13*$AF$10),0)</f>
        <v>20.21</v>
      </c>
      <c r="X151" s="125">
        <f t="array" aca="1" ref="X151" ca="1">IF($C151="S",IF(OR(Import.TipoArredondamento&lt;&gt;"TransfereGOV",ACOMPANHAMENTO="BM"),VTOTAL1,SUM(OFFSET(CÁLCULO!$AI$15,ROW($X151)-ROW($X$15),1):OFFSET(CÁLCULO!$BB$15,ROW($X151)-ROW($X$15),-1))),IF($C151=0,0,ROUND(SomaAgrup,15-13*$AF$11)))</f>
        <v>2829.4</v>
      </c>
      <c r="Y151" s="126" t="s">
        <v>751</v>
      </c>
      <c r="Z151" s="696" t="str">
        <f t="shared" ca="1" si="40"/>
        <v>RA</v>
      </c>
      <c r="AA151" s="127">
        <f t="array" aca="1" ref="AA151" ca="1">IF($C151="S",IF($Z151="CP",$X151,IF($Z151="RA",(($X151)*QCI!$AA$3),0)),SomaAgrup)</f>
        <v>0</v>
      </c>
      <c r="AB151" s="128">
        <f t="array" aca="1" ref="AB151" ca="1">IF($C151="S",IF($Z151="OU",ROUND($X151,2),0),SomaAgrup)</f>
        <v>0</v>
      </c>
      <c r="AC151" s="563" t="str">
        <f t="array" aca="1" ref="AC151" ca="1">IF($N151=""," ",
IF(AND($C151&lt;&gt;"S",OR($R151="",$R151="(digite a descrição aqui)")),"DESCRIÇÃO",
IF(AND($C151="S",OR($Q151&lt;&gt;"",$T151&gt;0,$U151&gt;0),$P151=""),"FONTE",
IF(AND($C151="S",$P151&lt;&gt;"",OR($T151&gt;0,$U151&gt;0),$Q151=""),"CÓDIGO",
IF(AND($C151="S",$P151&lt;&gt;"",$Q151&lt;&gt;"",$R151="(Código não identificado nas referências)"),"CÓDIGO N/ID",
IF(AND($C151="S",OR($R151="",$R151="(digite a descrição aqui)"),OR($Q151&lt;&gt;"",$T151&gt;0,$U151&gt;0)),"DESCRIÇÃO",
IF(AND($C151="S",$P151&lt;&gt;"",$Q151&lt;&gt;"",$S151=""),"UNIDADE",
IF(AND($C151="S",$P151&lt;&gt;"",$Q151&lt;&gt;"",$U151=0),"SEM CUSTO",
IF(AND(TIPOORCAMENTO="Licitado",$AL151=0,$AN151&gt;0),"SEM PREÇO",
IF(AND($C151="S",$P151&lt;&gt;"",$Q151&lt;&gt;"",$U151&gt;0,AND($V151&lt;&gt;"BDI 1",$V151&lt;&gt;"BDI 2",$V151&lt;&gt;"BDI 3")),IF(ISNUMBER($V151),"JUSTIFICAR BDI","BDI"),
IF(OR(AND(import.recurso="OGU",TIPOORCAMENTO="Proposto",LEFT($O$8,5)&lt;&gt;"(N/D:",$AG151&lt;&gt;"",ORÇAMENTO.CustoUnitario&gt;$AG151),AND(TIPOORCAMENTO="LICITADO",ORÇAMENTO.PrecoUnitarioLicitado&gt;$AN151)),"ACIMA REF.",
IF(AND($C151="S",$P151&lt;&gt;"",$Q151&lt;&gt;"",$T151=0,$U151&gt;0),"QUANT.",
IF(AND(Import.TipoArredondamento="TransfereGOV",$L151="F",$C151="S",LEN($Q151)&gt;13),"Código &gt;13",
IF(AND(Import.TipoArredondamento="TransfereGOV",$L151="F",$C151&lt;&gt;"S",LEN($R151)&gt;100),"Descrição &gt;100",
IF(AND(Import.TipoArredondamento="TransfereGOV",$L151="F",$C151="S",LEN($R151)&gt;500),"Descrição &gt;500",
IF(AND(Import.TipoArredondamento="TransfereGOV",$L151="F",$C151="S",LEFT(TRIM(UPPER($P151)),6)&lt;&gt;"SINAPI",ISNA(VLOOKUP(TRIM(UPPER($S151)),ListaTgov.Unidades,1,FALSE))),"Unid. Não Disp",
" "))))))))))))))))</f>
        <v xml:space="preserve"> </v>
      </c>
      <c r="AD151" s="696" t="str">
        <f ca="1">IF(C151&lt;=CRONO.NivelExibicao,MAX($AD$15:OFFSET(AD151,-1,0))+IF($C151&lt;&gt;1,1,MAX(1,COUNTIF(QCI!$A$13:$A$24,OFFSET($E151,-1,0)))),"")</f>
        <v/>
      </c>
      <c r="AE151" s="694" t="str">
        <f t="array" aca="1" ref="AE151" ca="1">IF(AND($C151="S",ORÇAMENTO.CodBarra&lt;&gt;""),IF(ORÇAMENTO.Fonte="",ORÇAMENTO.CodBarra,CONCATENATE(ORÇAMENTO.Fonte," ",ORÇAMENTO.CodBarra)))</f>
        <v>SINAPI 91937</v>
      </c>
      <c r="AF151" s="695">
        <f t="array" aca="1" ref="AF151" ca="1">IF(ISERROR(ORÇAMENTO.BancoRef),"(abra o arquivo 'Referência "&amp;Excel_BuiltIn_Database&amp;".xlsm)",IF(OR($C151&lt;&gt;"S",ORÇAMENTO.CodBarra=""),"(Sem Código)",IF(ISERROR(MATCH($AE151,INDIRECT(ORÇAMENTO.BancoRef),0)),"(Código não identificado nas referências)",MATCH($AE151,INDIRECT(ORÇAMENTO.BancoRef),0))))</f>
        <v>10375</v>
      </c>
      <c r="AG151" s="428">
        <f t="array" aca="1" ref="AG151" ca="1">ROUND(IF(DESONERACAO="sim",REFERENCIA.Desonerado,REFERENCIA.NaoDesonerado),2)</f>
        <v>17.86</v>
      </c>
      <c r="AH151" s="429">
        <f t="shared" ca="1" si="41"/>
        <v>0.2034</v>
      </c>
      <c r="AJ151" s="431"/>
      <c r="AL151" s="439"/>
      <c r="AM151" s="336">
        <f t="shared" ca="1" si="0"/>
        <v>2829.4</v>
      </c>
      <c r="AN151" s="469">
        <f t="array" aca="1" ref="AN151" ca="1">ROUND(ORÇAMENTO.CustoUnitario*(1+$AH151),2)</f>
        <v>20.21</v>
      </c>
    </row>
    <row r="152" spans="1:40" s="696" customFormat="1" x14ac:dyDescent="0.2">
      <c r="A152" s="696">
        <f t="shared" si="29"/>
        <v>2</v>
      </c>
      <c r="B152" s="696">
        <f t="shared" ca="1" si="30"/>
        <v>2</v>
      </c>
      <c r="C152" s="696">
        <f t="shared" ca="1" si="31"/>
        <v>2</v>
      </c>
      <c r="D152" s="696">
        <f t="shared" ca="1" si="32"/>
        <v>10</v>
      </c>
      <c r="E152" s="696">
        <f ca="1">IF($C152=1,OFFSET(E152,-1,0)+MAX(1,COUNTIF(QCI!$A$13:$A$24,OFFSET(ORÇAMENTO!E152,-1,0))),OFFSET(E152,-1,0))</f>
        <v>1</v>
      </c>
      <c r="F152" s="696">
        <f t="shared" ca="1" si="33"/>
        <v>25</v>
      </c>
      <c r="G152" s="696">
        <f t="shared" ca="1" si="34"/>
        <v>0</v>
      </c>
      <c r="H152" s="696">
        <f t="shared" ca="1" si="35"/>
        <v>0</v>
      </c>
      <c r="I152" s="696">
        <f t="shared" ca="1" si="36"/>
        <v>0</v>
      </c>
      <c r="J152" s="696">
        <f t="shared" ca="1" si="42"/>
        <v>83</v>
      </c>
      <c r="K152" s="696">
        <f ca="1">IF(OR($C152="S",$C152=0),0,MATCH(OFFSET($D152,0,$C152)+IF($C152&lt;&gt;1,1,COUNTIF(QCI!$A$13:$A$24,ORÇAMENTO!E152)),OFFSET($D152,1,$C152,ROW($C$235)-ROW($C152)),0))</f>
        <v>10</v>
      </c>
      <c r="L152" s="114" t="str">
        <f t="shared" ca="1" si="37"/>
        <v>F</v>
      </c>
      <c r="M152" s="115" t="s">
        <v>702</v>
      </c>
      <c r="N152" s="116" t="str">
        <f t="shared" ca="1" si="38"/>
        <v>Nível 2</v>
      </c>
      <c r="O152" s="117" t="str">
        <f t="shared" ca="1" si="39"/>
        <v>1.25.</v>
      </c>
      <c r="P152" s="118" t="s">
        <v>750</v>
      </c>
      <c r="Q152" s="119"/>
      <c r="R152" s="120" t="s">
        <v>1134</v>
      </c>
      <c r="S152" s="121" t="s">
        <v>688</v>
      </c>
      <c r="T152" s="122">
        <f ca="1">OFFSET(CÁLCULO!H$15,ROW($T152)-ROW(T$15),0)</f>
        <v>0</v>
      </c>
      <c r="U152" s="123"/>
      <c r="V152" s="124" t="s">
        <v>663</v>
      </c>
      <c r="W152" s="122">
        <f t="array" aca="1" ref="W152" ca="1">IF($C152="S",ROUND(IF(TIPOORCAMENTO="Proposto",ORÇAMENTO.CustoUnitario*(1+$AH152),ORÇAMENTO.PrecoUnitarioLicitado),15-13*$AF$10),0)</f>
        <v>0</v>
      </c>
      <c r="X152" s="125">
        <f t="array" aca="1" ref="X152" ca="1">IF($C152="S",IF(OR(Import.TipoArredondamento&lt;&gt;"TransfereGOV",ACOMPANHAMENTO="BM"),VTOTAL1,SUM(OFFSET(CÁLCULO!$AI$15,ROW($X152)-ROW($X$15),1):OFFSET(CÁLCULO!$BB$15,ROW($X152)-ROW($X$15),-1))),IF($C152=0,0,ROUND(SomaAgrup,15-13*$AF$11)))</f>
        <v>96143.56</v>
      </c>
      <c r="Y152" s="126" t="s">
        <v>751</v>
      </c>
      <c r="Z152" s="696" t="str">
        <f t="shared" ca="1" si="40"/>
        <v/>
      </c>
      <c r="AA152" s="127">
        <f t="array" aca="1" ref="AA152" ca="1">IF($C152="S",IF($Z152="CP",$X152,IF($Z152="RA",(($X152)*QCI!$AA$3),0)),SomaAgrup)</f>
        <v>0</v>
      </c>
      <c r="AB152" s="128">
        <f t="array" aca="1" ref="AB152" ca="1">IF($C152="S",IF($Z152="OU",ROUND($X152,2),0),SomaAgrup)</f>
        <v>0</v>
      </c>
      <c r="AC152" s="563" t="str">
        <f t="array" aca="1" ref="AC152" ca="1">IF($N152=""," ",
IF(AND($C152&lt;&gt;"S",OR($R152="",$R152="(digite a descrição aqui)")),"DESCRIÇÃO",
IF(AND($C152="S",OR($Q152&lt;&gt;"",$T152&gt;0,$U152&gt;0),$P152=""),"FONTE",
IF(AND($C152="S",$P152&lt;&gt;"",OR($T152&gt;0,$U152&gt;0),$Q152=""),"CÓDIGO",
IF(AND($C152="S",$P152&lt;&gt;"",$Q152&lt;&gt;"",$R152="(Código não identificado nas referências)"),"CÓDIGO N/ID",
IF(AND($C152="S",OR($R152="",$R152="(digite a descrição aqui)"),OR($Q152&lt;&gt;"",$T152&gt;0,$U152&gt;0)),"DESCRIÇÃO",
IF(AND($C152="S",$P152&lt;&gt;"",$Q152&lt;&gt;"",$S152=""),"UNIDADE",
IF(AND($C152="S",$P152&lt;&gt;"",$Q152&lt;&gt;"",$U152=0),"SEM CUSTO",
IF(AND(TIPOORCAMENTO="Licitado",$AL152=0,$AN152&gt;0),"SEM PREÇO",
IF(AND($C152="S",$P152&lt;&gt;"",$Q152&lt;&gt;"",$U152&gt;0,AND($V152&lt;&gt;"BDI 1",$V152&lt;&gt;"BDI 2",$V152&lt;&gt;"BDI 3")),IF(ISNUMBER($V152),"JUSTIFICAR BDI","BDI"),
IF(OR(AND(import.recurso="OGU",TIPOORCAMENTO="Proposto",LEFT($O$8,5)&lt;&gt;"(N/D:",$AG152&lt;&gt;"",ORÇAMENTO.CustoUnitario&gt;$AG152),AND(TIPOORCAMENTO="LICITADO",ORÇAMENTO.PrecoUnitarioLicitado&gt;$AN152)),"ACIMA REF.",
IF(AND($C152="S",$P152&lt;&gt;"",$Q152&lt;&gt;"",$T152=0,$U152&gt;0),"QUANT.",
IF(AND(Import.TipoArredondamento="TransfereGOV",$L152="F",$C152="S",LEN($Q152)&gt;13),"Código &gt;13",
IF(AND(Import.TipoArredondamento="TransfereGOV",$L152="F",$C152&lt;&gt;"S",LEN($R152)&gt;100),"Descrição &gt;100",
IF(AND(Import.TipoArredondamento="TransfereGOV",$L152="F",$C152="S",LEN($R152)&gt;500),"Descrição &gt;500",
IF(AND(Import.TipoArredondamento="TransfereGOV",$L152="F",$C152="S",LEFT(TRIM(UPPER($P152)),6)&lt;&gt;"SINAPI",ISNA(VLOOKUP(TRIM(UPPER($S152)),ListaTgov.Unidades,1,FALSE))),"Unid. Não Disp",
" "))))))))))))))))</f>
        <v xml:space="preserve"> </v>
      </c>
      <c r="AD152" s="696">
        <f ca="1">IF(C152&lt;=CRONO.NivelExibicao,MAX($AD$15:OFFSET(AD152,-1,0))+IF($C152&lt;&gt;1,1,MAX(1,COUNTIF(QCI!$A$13:$A$24,OFFSET($E152,-1,0)))),"")</f>
        <v>26</v>
      </c>
      <c r="AE152" s="694" t="b">
        <f t="array" aca="1" ref="AE152" ca="1">IF(AND($C152="S",ORÇAMENTO.CodBarra&lt;&gt;""),IF(ORÇAMENTO.Fonte="",ORÇAMENTO.CodBarra,CONCATENATE(ORÇAMENTO.Fonte," ",ORÇAMENTO.CodBarra)))</f>
        <v>0</v>
      </c>
      <c r="AF152" s="695" t="str">
        <f t="array" aca="1" ref="AF152" ca="1">IF(ISERROR(ORÇAMENTO.BancoRef),"(abra o arquivo 'Referência "&amp;Excel_BuiltIn_Database&amp;".xlsm)",IF(OR($C152&lt;&gt;"S",ORÇAMENTO.CodBarra=""),"(Sem Código)",IF(ISERROR(MATCH($AE152,INDIRECT(ORÇAMENTO.BancoRef),0)),"(Código não identificado nas referências)",MATCH($AE152,INDIRECT(ORÇAMENTO.BancoRef),0))))</f>
        <v>(Sem Código)</v>
      </c>
      <c r="AG152" s="428">
        <f t="array" aca="1" ref="AG152" ca="1">ROUND(IF(DESONERACAO="sim",REFERENCIA.Desonerado,REFERENCIA.NaoDesonerado),2)</f>
        <v>0</v>
      </c>
      <c r="AH152" s="429">
        <f t="shared" ca="1" si="41"/>
        <v>0.29389999999999999</v>
      </c>
      <c r="AJ152" s="431"/>
      <c r="AL152" s="439"/>
      <c r="AM152" s="336">
        <f t="shared" ca="1" si="0"/>
        <v>96143.56</v>
      </c>
      <c r="AN152" s="469">
        <f t="array" aca="1" ref="AN152" ca="1">ROUND(ORÇAMENTO.CustoUnitario*(1+$AH152),2)</f>
        <v>0</v>
      </c>
    </row>
    <row r="153" spans="1:40" s="696" customFormat="1" ht="38.25" x14ac:dyDescent="0.2">
      <c r="A153" s="696" t="str">
        <f t="shared" si="29"/>
        <v>S</v>
      </c>
      <c r="B153" s="696">
        <f t="shared" ca="1" si="30"/>
        <v>2</v>
      </c>
      <c r="C153" s="696" t="str">
        <f t="shared" ca="1" si="31"/>
        <v>S</v>
      </c>
      <c r="D153" s="696">
        <f t="shared" ca="1" si="32"/>
        <v>0</v>
      </c>
      <c r="E153" s="696">
        <f ca="1">IF($C153=1,OFFSET(E153,-1,0)+MAX(1,COUNTIF(QCI!$A$13:$A$24,OFFSET(ORÇAMENTO!E153,-1,0))),OFFSET(E153,-1,0))</f>
        <v>1</v>
      </c>
      <c r="F153" s="696">
        <f t="shared" ca="1" si="33"/>
        <v>25</v>
      </c>
      <c r="G153" s="696">
        <f t="shared" ca="1" si="34"/>
        <v>0</v>
      </c>
      <c r="H153" s="696">
        <f t="shared" ca="1" si="35"/>
        <v>0</v>
      </c>
      <c r="I153" s="696">
        <f t="shared" ca="1" si="36"/>
        <v>1</v>
      </c>
      <c r="J153" s="696">
        <f t="shared" ca="1" si="42"/>
        <v>0</v>
      </c>
      <c r="K153" s="696">
        <f ca="1">IF(OR($C153="S",$C153=0),0,MATCH(OFFSET($D153,0,$C153)+IF($C153&lt;&gt;1,1,COUNTIF(QCI!$A$13:$A$24,ORÇAMENTO!E153)),OFFSET($D153,1,$C153,ROW($C$235)-ROW($C153)),0))</f>
        <v>0</v>
      </c>
      <c r="L153" s="114" t="str">
        <f t="shared" ca="1" si="37"/>
        <v>F</v>
      </c>
      <c r="M153" s="115" t="s">
        <v>705</v>
      </c>
      <c r="N153" s="116" t="str">
        <f t="shared" ca="1" si="38"/>
        <v>Serviço</v>
      </c>
      <c r="O153" s="117" t="str">
        <f t="shared" ca="1" si="39"/>
        <v>1.25.1.</v>
      </c>
      <c r="P153" s="118" t="s">
        <v>750</v>
      </c>
      <c r="Q153" s="119" t="s">
        <v>1135</v>
      </c>
      <c r="R153" s="120" t="str">
        <f t="array" aca="1" ref="R153" ca="1">IF($C153="S",REFERENCIA.Descricao,"(digite a descrição aqui)")</f>
        <v>CABO DE COBRE FLEXÍVEL ISOLADO, 1,5 MM², ANTI-CHAMA 450/750 V, PARA CIRCUITOS TERMINAIS - FORNECIMENTO E INSTALAÇÃO. AF_03/2023</v>
      </c>
      <c r="S153" s="121" t="str">
        <f t="array" aca="1" ref="S153" ca="1">REFERENCIA.Unidade</f>
        <v>M</v>
      </c>
      <c r="T153" s="122">
        <f ca="1">OFFSET(CÁLCULO!H$15,ROW($T153)-ROW(T$15),0)</f>
        <v>1944</v>
      </c>
      <c r="U153" s="123">
        <f>3.2*0.94</f>
        <v>3.008</v>
      </c>
      <c r="V153" s="124" t="s">
        <v>697</v>
      </c>
      <c r="W153" s="122">
        <f t="array" aca="1" ref="W153" ca="1">IF($C153="S",ROUND(IF(TIPOORCAMENTO="Proposto",ORÇAMENTO.CustoUnitario*(1+$AH153),ORÇAMENTO.PrecoUnitarioLicitado),15-13*$AF$10),0)</f>
        <v>3.62</v>
      </c>
      <c r="X153" s="125">
        <f t="array" aca="1" ref="X153" ca="1">IF($C153="S",IF(OR(Import.TipoArredondamento&lt;&gt;"TransfereGOV",ACOMPANHAMENTO="BM"),VTOTAL1,SUM(OFFSET(CÁLCULO!$AI$15,ROW($X153)-ROW($X$15),1):OFFSET(CÁLCULO!$BB$15,ROW($X153)-ROW($X$15),-1))),IF($C153=0,0,ROUND(SomaAgrup,15-13*$AF$11)))</f>
        <v>7037.28</v>
      </c>
      <c r="Y153" s="126" t="s">
        <v>751</v>
      </c>
      <c r="Z153" s="696" t="str">
        <f t="shared" ca="1" si="40"/>
        <v>RA</v>
      </c>
      <c r="AA153" s="127">
        <f t="array" aca="1" ref="AA153" ca="1">IF($C153="S",IF($Z153="CP",$X153,IF($Z153="RA",(($X153)*QCI!$AA$3),0)),SomaAgrup)</f>
        <v>0</v>
      </c>
      <c r="AB153" s="128">
        <f t="array" aca="1" ref="AB153" ca="1">IF($C153="S",IF($Z153="OU",ROUND($X153,2),0),SomaAgrup)</f>
        <v>0</v>
      </c>
      <c r="AC153" s="563" t="str">
        <f t="array" aca="1" ref="AC153" ca="1">IF($N153=""," ",
IF(AND($C153&lt;&gt;"S",OR($R153="",$R153="(digite a descrição aqui)")),"DESCRIÇÃO",
IF(AND($C153="S",OR($Q153&lt;&gt;"",$T153&gt;0,$U153&gt;0),$P153=""),"FONTE",
IF(AND($C153="S",$P153&lt;&gt;"",OR($T153&gt;0,$U153&gt;0),$Q153=""),"CÓDIGO",
IF(AND($C153="S",$P153&lt;&gt;"",$Q153&lt;&gt;"",$R153="(Código não identificado nas referências)"),"CÓDIGO N/ID",
IF(AND($C153="S",OR($R153="",$R153="(digite a descrição aqui)"),OR($Q153&lt;&gt;"",$T153&gt;0,$U153&gt;0)),"DESCRIÇÃO",
IF(AND($C153="S",$P153&lt;&gt;"",$Q153&lt;&gt;"",$S153=""),"UNIDADE",
IF(AND($C153="S",$P153&lt;&gt;"",$Q153&lt;&gt;"",$U153=0),"SEM CUSTO",
IF(AND(TIPOORCAMENTO="Licitado",$AL153=0,$AN153&gt;0),"SEM PREÇO",
IF(AND($C153="S",$P153&lt;&gt;"",$Q153&lt;&gt;"",$U153&gt;0,AND($V153&lt;&gt;"BDI 1",$V153&lt;&gt;"BDI 2",$V153&lt;&gt;"BDI 3")),IF(ISNUMBER($V153),"JUSTIFICAR BDI","BDI"),
IF(OR(AND(import.recurso="OGU",TIPOORCAMENTO="Proposto",LEFT($O$8,5)&lt;&gt;"(N/D:",$AG153&lt;&gt;"",ORÇAMENTO.CustoUnitario&gt;$AG153),AND(TIPOORCAMENTO="LICITADO",ORÇAMENTO.PrecoUnitarioLicitado&gt;$AN153)),"ACIMA REF.",
IF(AND($C153="S",$P153&lt;&gt;"",$Q153&lt;&gt;"",$T153=0,$U153&gt;0),"QUANT.",
IF(AND(Import.TipoArredondamento="TransfereGOV",$L153="F",$C153="S",LEN($Q153)&gt;13),"Código &gt;13",
IF(AND(Import.TipoArredondamento="TransfereGOV",$L153="F",$C153&lt;&gt;"S",LEN($R153)&gt;100),"Descrição &gt;100",
IF(AND(Import.TipoArredondamento="TransfereGOV",$L153="F",$C153="S",LEN($R153)&gt;500),"Descrição &gt;500",
IF(AND(Import.TipoArredondamento="TransfereGOV",$L153="F",$C153="S",LEFT(TRIM(UPPER($P153)),6)&lt;&gt;"SINAPI",ISNA(VLOOKUP(TRIM(UPPER($S153)),ListaTgov.Unidades,1,FALSE))),"Unid. Não Disp",
" "))))))))))))))))</f>
        <v xml:space="preserve"> </v>
      </c>
      <c r="AD153" s="696" t="str">
        <f ca="1">IF(C153&lt;=CRONO.NivelExibicao,MAX($AD$15:OFFSET(AD153,-1,0))+IF($C153&lt;&gt;1,1,MAX(1,COUNTIF(QCI!$A$13:$A$24,OFFSET($E153,-1,0)))),"")</f>
        <v/>
      </c>
      <c r="AE153" s="694" t="str">
        <f t="array" aca="1" ref="AE153" ca="1">IF(AND($C153="S",ORÇAMENTO.CodBarra&lt;&gt;""),IF(ORÇAMENTO.Fonte="",ORÇAMENTO.CodBarra,CONCATENATE(ORÇAMENTO.Fonte," ",ORÇAMENTO.CodBarra)))</f>
        <v>SINAPI 91924</v>
      </c>
      <c r="AF153" s="695">
        <f t="array" aca="1" ref="AF153" ca="1">IF(ISERROR(ORÇAMENTO.BancoRef),"(abra o arquivo 'Referência "&amp;Excel_BuiltIn_Database&amp;".xlsm)",IF(OR($C153&lt;&gt;"S",ORÇAMENTO.CodBarra=""),"(Sem Código)",IF(ISERROR(MATCH($AE153,INDIRECT(ORÇAMENTO.BancoRef),0)),"(Código não identificado nas referências)",MATCH($AE153,INDIRECT(ORÇAMENTO.BancoRef),0))))</f>
        <v>10358</v>
      </c>
      <c r="AG153" s="428">
        <f t="array" aca="1" ref="AG153" ca="1">ROUND(IF(DESONERACAO="sim",REFERENCIA.Desonerado,REFERENCIA.NaoDesonerado),2)</f>
        <v>3.2</v>
      </c>
      <c r="AH153" s="429">
        <f t="shared" ca="1" si="41"/>
        <v>0.2034</v>
      </c>
      <c r="AJ153" s="431"/>
      <c r="AL153" s="439"/>
      <c r="AM153" s="336">
        <f t="shared" ca="1" si="0"/>
        <v>7037.28</v>
      </c>
      <c r="AN153" s="469">
        <f t="array" aca="1" ref="AN153" ca="1">ROUND(ORÇAMENTO.CustoUnitario*(1+$AH153),2)</f>
        <v>3.62</v>
      </c>
    </row>
    <row r="154" spans="1:40" s="696" customFormat="1" ht="38.25" x14ac:dyDescent="0.2">
      <c r="A154" s="696" t="str">
        <f t="shared" si="29"/>
        <v>S</v>
      </c>
      <c r="B154" s="696">
        <f t="shared" ca="1" si="30"/>
        <v>2</v>
      </c>
      <c r="C154" s="696" t="str">
        <f t="shared" ca="1" si="31"/>
        <v>S</v>
      </c>
      <c r="D154" s="696">
        <f t="shared" ca="1" si="32"/>
        <v>0</v>
      </c>
      <c r="E154" s="696">
        <f ca="1">IF($C154=1,OFFSET(E154,-1,0)+MAX(1,COUNTIF(QCI!$A$13:$A$24,OFFSET(ORÇAMENTO!E154,-1,0))),OFFSET(E154,-1,0))</f>
        <v>1</v>
      </c>
      <c r="F154" s="696">
        <f t="shared" ca="1" si="33"/>
        <v>25</v>
      </c>
      <c r="G154" s="696">
        <f t="shared" ca="1" si="34"/>
        <v>0</v>
      </c>
      <c r="H154" s="696">
        <f t="shared" ca="1" si="35"/>
        <v>0</v>
      </c>
      <c r="I154" s="696">
        <f t="shared" ca="1" si="36"/>
        <v>2</v>
      </c>
      <c r="J154" s="696">
        <f t="shared" ca="1" si="42"/>
        <v>0</v>
      </c>
      <c r="K154" s="696">
        <f ca="1">IF(OR($C154="S",$C154=0),0,MATCH(OFFSET($D154,0,$C154)+IF($C154&lt;&gt;1,1,COUNTIF(QCI!$A$13:$A$24,ORÇAMENTO!E154)),OFFSET($D154,1,$C154,ROW($C$235)-ROW($C154)),0))</f>
        <v>0</v>
      </c>
      <c r="L154" s="114" t="str">
        <f t="shared" ca="1" si="37"/>
        <v>F</v>
      </c>
      <c r="M154" s="115" t="s">
        <v>705</v>
      </c>
      <c r="N154" s="116" t="str">
        <f t="shared" ca="1" si="38"/>
        <v>Serviço</v>
      </c>
      <c r="O154" s="117" t="str">
        <f t="shared" ca="1" si="39"/>
        <v>1.25.2.</v>
      </c>
      <c r="P154" s="118" t="s">
        <v>750</v>
      </c>
      <c r="Q154" s="119" t="s">
        <v>1136</v>
      </c>
      <c r="R154" s="120" t="str">
        <f t="array" aca="1" ref="R154" ca="1">IF($C154="S",REFERENCIA.Descricao,"(digite a descrição aqui)")</f>
        <v>CABO DE COBRE FLEXÍVEL ISOLADO, 2,5 MM², ANTI-CHAMA 450/750 V, PARA CIRCUITOS TERMINAIS - FORNECIMENTO E INSTALAÇÃO. AF_03/2023</v>
      </c>
      <c r="S154" s="121" t="str">
        <f t="array" aca="1" ref="S154" ca="1">REFERENCIA.Unidade</f>
        <v>M</v>
      </c>
      <c r="T154" s="122">
        <f ca="1">OFFSET(CÁLCULO!H$15,ROW($T154)-ROW(T$15),0)</f>
        <v>5176</v>
      </c>
      <c r="U154" s="123">
        <f>4.65*0.94</f>
        <v>4.3710000000000004</v>
      </c>
      <c r="V154" s="124" t="s">
        <v>697</v>
      </c>
      <c r="W154" s="122">
        <f t="array" aca="1" ref="W154" ca="1">IF($C154="S",ROUND(IF(TIPOORCAMENTO="Proposto",ORÇAMENTO.CustoUnitario*(1+$AH154),ORÇAMENTO.PrecoUnitarioLicitado),15-13*$AF$10),0)</f>
        <v>5.26</v>
      </c>
      <c r="X154" s="125">
        <f t="array" aca="1" ref="X154" ca="1">IF($C154="S",IF(OR(Import.TipoArredondamento&lt;&gt;"TransfereGOV",ACOMPANHAMENTO="BM"),VTOTAL1,SUM(OFFSET(CÁLCULO!$AI$15,ROW($X154)-ROW($X$15),1):OFFSET(CÁLCULO!$BB$15,ROW($X154)-ROW($X$15),-1))),IF($C154=0,0,ROUND(SomaAgrup,15-13*$AF$11)))</f>
        <v>27225.759999999998</v>
      </c>
      <c r="Y154" s="126" t="s">
        <v>751</v>
      </c>
      <c r="Z154" s="696" t="str">
        <f t="shared" ca="1" si="40"/>
        <v>RA</v>
      </c>
      <c r="AA154" s="127">
        <f t="array" aca="1" ref="AA154" ca="1">IF($C154="S",IF($Z154="CP",$X154,IF($Z154="RA",(($X154)*QCI!$AA$3),0)),SomaAgrup)</f>
        <v>0</v>
      </c>
      <c r="AB154" s="128">
        <f t="array" aca="1" ref="AB154" ca="1">IF($C154="S",IF($Z154="OU",ROUND($X154,2),0),SomaAgrup)</f>
        <v>0</v>
      </c>
      <c r="AC154" s="563" t="str">
        <f t="array" aca="1" ref="AC154" ca="1">IF($N154=""," ",
IF(AND($C154&lt;&gt;"S",OR($R154="",$R154="(digite a descrição aqui)")),"DESCRIÇÃO",
IF(AND($C154="S",OR($Q154&lt;&gt;"",$T154&gt;0,$U154&gt;0),$P154=""),"FONTE",
IF(AND($C154="S",$P154&lt;&gt;"",OR($T154&gt;0,$U154&gt;0),$Q154=""),"CÓDIGO",
IF(AND($C154="S",$P154&lt;&gt;"",$Q154&lt;&gt;"",$R154="(Código não identificado nas referências)"),"CÓDIGO N/ID",
IF(AND($C154="S",OR($R154="",$R154="(digite a descrição aqui)"),OR($Q154&lt;&gt;"",$T154&gt;0,$U154&gt;0)),"DESCRIÇÃO",
IF(AND($C154="S",$P154&lt;&gt;"",$Q154&lt;&gt;"",$S154=""),"UNIDADE",
IF(AND($C154="S",$P154&lt;&gt;"",$Q154&lt;&gt;"",$U154=0),"SEM CUSTO",
IF(AND(TIPOORCAMENTO="Licitado",$AL154=0,$AN154&gt;0),"SEM PREÇO",
IF(AND($C154="S",$P154&lt;&gt;"",$Q154&lt;&gt;"",$U154&gt;0,AND($V154&lt;&gt;"BDI 1",$V154&lt;&gt;"BDI 2",$V154&lt;&gt;"BDI 3")),IF(ISNUMBER($V154),"JUSTIFICAR BDI","BDI"),
IF(OR(AND(import.recurso="OGU",TIPOORCAMENTO="Proposto",LEFT($O$8,5)&lt;&gt;"(N/D:",$AG154&lt;&gt;"",ORÇAMENTO.CustoUnitario&gt;$AG154),AND(TIPOORCAMENTO="LICITADO",ORÇAMENTO.PrecoUnitarioLicitado&gt;$AN154)),"ACIMA REF.",
IF(AND($C154="S",$P154&lt;&gt;"",$Q154&lt;&gt;"",$T154=0,$U154&gt;0),"QUANT.",
IF(AND(Import.TipoArredondamento="TransfereGOV",$L154="F",$C154="S",LEN($Q154)&gt;13),"Código &gt;13",
IF(AND(Import.TipoArredondamento="TransfereGOV",$L154="F",$C154&lt;&gt;"S",LEN($R154)&gt;100),"Descrição &gt;100",
IF(AND(Import.TipoArredondamento="TransfereGOV",$L154="F",$C154="S",LEN($R154)&gt;500),"Descrição &gt;500",
IF(AND(Import.TipoArredondamento="TransfereGOV",$L154="F",$C154="S",LEFT(TRIM(UPPER($P154)),6)&lt;&gt;"SINAPI",ISNA(VLOOKUP(TRIM(UPPER($S154)),ListaTgov.Unidades,1,FALSE))),"Unid. Não Disp",
" "))))))))))))))))</f>
        <v xml:space="preserve"> </v>
      </c>
      <c r="AD154" s="696" t="str">
        <f ca="1">IF(C154&lt;=CRONO.NivelExibicao,MAX($AD$15:OFFSET(AD154,-1,0))+IF($C154&lt;&gt;1,1,MAX(1,COUNTIF(QCI!$A$13:$A$24,OFFSET($E154,-1,0)))),"")</f>
        <v/>
      </c>
      <c r="AE154" s="694" t="str">
        <f t="array" aca="1" ref="AE154" ca="1">IF(AND($C154="S",ORÇAMENTO.CodBarra&lt;&gt;""),IF(ORÇAMENTO.Fonte="",ORÇAMENTO.CodBarra,CONCATENATE(ORÇAMENTO.Fonte," ",ORÇAMENTO.CodBarra)))</f>
        <v>SINAPI 91926</v>
      </c>
      <c r="AF154" s="695">
        <f t="array" aca="1" ref="AF154" ca="1">IF(ISERROR(ORÇAMENTO.BancoRef),"(abra o arquivo 'Referência "&amp;Excel_BuiltIn_Database&amp;".xlsm)",IF(OR($C154&lt;&gt;"S",ORÇAMENTO.CodBarra=""),"(Sem Código)",IF(ISERROR(MATCH($AE154,INDIRECT(ORÇAMENTO.BancoRef),0)),"(Código não identificado nas referências)",MATCH($AE154,INDIRECT(ORÇAMENTO.BancoRef),0))))</f>
        <v>10364</v>
      </c>
      <c r="AG154" s="428">
        <f t="array" aca="1" ref="AG154" ca="1">ROUND(IF(DESONERACAO="sim",REFERENCIA.Desonerado,REFERENCIA.NaoDesonerado),2)</f>
        <v>4.6500000000000004</v>
      </c>
      <c r="AH154" s="429">
        <f t="shared" ca="1" si="41"/>
        <v>0.2034</v>
      </c>
      <c r="AJ154" s="431"/>
      <c r="AL154" s="439"/>
      <c r="AM154" s="336">
        <f t="shared" ca="1" si="0"/>
        <v>27225.759999999998</v>
      </c>
      <c r="AN154" s="469">
        <f t="array" aca="1" ref="AN154" ca="1">ROUND(ORÇAMENTO.CustoUnitario*(1+$AH154),2)</f>
        <v>5.26</v>
      </c>
    </row>
    <row r="155" spans="1:40" s="696" customFormat="1" ht="38.25" x14ac:dyDescent="0.2">
      <c r="A155" s="696" t="str">
        <f t="shared" si="29"/>
        <v>S</v>
      </c>
      <c r="B155" s="696">
        <f t="shared" ca="1" si="30"/>
        <v>2</v>
      </c>
      <c r="C155" s="696" t="str">
        <f t="shared" ca="1" si="31"/>
        <v>S</v>
      </c>
      <c r="D155" s="696">
        <f t="shared" ca="1" si="32"/>
        <v>0</v>
      </c>
      <c r="E155" s="696">
        <f ca="1">IF($C155=1,OFFSET(E155,-1,0)+MAX(1,COUNTIF(QCI!$A$13:$A$24,OFFSET(ORÇAMENTO!E155,-1,0))),OFFSET(E155,-1,0))</f>
        <v>1</v>
      </c>
      <c r="F155" s="696">
        <f t="shared" ca="1" si="33"/>
        <v>25</v>
      </c>
      <c r="G155" s="696">
        <f t="shared" ca="1" si="34"/>
        <v>0</v>
      </c>
      <c r="H155" s="696">
        <f t="shared" ca="1" si="35"/>
        <v>0</v>
      </c>
      <c r="I155" s="696">
        <f t="shared" ca="1" si="36"/>
        <v>3</v>
      </c>
      <c r="J155" s="696">
        <f t="shared" ca="1" si="42"/>
        <v>0</v>
      </c>
      <c r="K155" s="696">
        <f ca="1">IF(OR($C155="S",$C155=0),0,MATCH(OFFSET($D155,0,$C155)+IF($C155&lt;&gt;1,1,COUNTIF(QCI!$A$13:$A$24,ORÇAMENTO!E155)),OFFSET($D155,1,$C155,ROW($C$235)-ROW($C155)),0))</f>
        <v>0</v>
      </c>
      <c r="L155" s="114" t="str">
        <f t="shared" ca="1" si="37"/>
        <v>F</v>
      </c>
      <c r="M155" s="115" t="s">
        <v>705</v>
      </c>
      <c r="N155" s="116" t="str">
        <f t="shared" ca="1" si="38"/>
        <v>Serviço</v>
      </c>
      <c r="O155" s="117" t="str">
        <f t="shared" ca="1" si="39"/>
        <v>1.25.3.</v>
      </c>
      <c r="P155" s="118" t="s">
        <v>750</v>
      </c>
      <c r="Q155" s="119" t="s">
        <v>1137</v>
      </c>
      <c r="R155" s="120" t="str">
        <f t="array" aca="1" ref="R155" ca="1">IF($C155="S",REFERENCIA.Descricao,"(digite a descrição aqui)")</f>
        <v>CABO DE COBRE FLEXÍVEL ISOLADO, 4 MM², ANTI-CHAMA 450/750 V, PARA CIRCUITOS TERMINAIS - FORNECIMENTO E INSTALAÇÃO. AF_03/2023</v>
      </c>
      <c r="S155" s="121" t="str">
        <f t="array" aca="1" ref="S155" ca="1">REFERENCIA.Unidade</f>
        <v>M</v>
      </c>
      <c r="T155" s="122">
        <f ca="1">OFFSET(CÁLCULO!H$15,ROW($T155)-ROW(T$15),0)</f>
        <v>496</v>
      </c>
      <c r="U155" s="123">
        <f>7.17*0.94</f>
        <v>6.7397999999999998</v>
      </c>
      <c r="V155" s="124" t="s">
        <v>697</v>
      </c>
      <c r="W155" s="122">
        <f t="array" aca="1" ref="W155" ca="1">IF($C155="S",ROUND(IF(TIPOORCAMENTO="Proposto",ORÇAMENTO.CustoUnitario*(1+$AH155),ORÇAMENTO.PrecoUnitarioLicitado),15-13*$AF$10),0)</f>
        <v>8.11</v>
      </c>
      <c r="X155" s="125">
        <f t="array" aca="1" ref="X155" ca="1">IF($C155="S",IF(OR(Import.TipoArredondamento&lt;&gt;"TransfereGOV",ACOMPANHAMENTO="BM"),VTOTAL1,SUM(OFFSET(CÁLCULO!$AI$15,ROW($X155)-ROW($X$15),1):OFFSET(CÁLCULO!$BB$15,ROW($X155)-ROW($X$15),-1))),IF($C155=0,0,ROUND(SomaAgrup,15-13*$AF$11)))</f>
        <v>4022.56</v>
      </c>
      <c r="Y155" s="126" t="s">
        <v>751</v>
      </c>
      <c r="Z155" s="696" t="str">
        <f t="shared" ca="1" si="40"/>
        <v>RA</v>
      </c>
      <c r="AA155" s="127">
        <f t="array" aca="1" ref="AA155" ca="1">IF($C155="S",IF($Z155="CP",$X155,IF($Z155="RA",(($X155)*QCI!$AA$3),0)),SomaAgrup)</f>
        <v>0</v>
      </c>
      <c r="AB155" s="128">
        <f t="array" aca="1" ref="AB155" ca="1">IF($C155="S",IF($Z155="OU",ROUND($X155,2),0),SomaAgrup)</f>
        <v>0</v>
      </c>
      <c r="AC155" s="563" t="str">
        <f t="array" aca="1" ref="AC155" ca="1">IF($N155=""," ",
IF(AND($C155&lt;&gt;"S",OR($R155="",$R155="(digite a descrição aqui)")),"DESCRIÇÃO",
IF(AND($C155="S",OR($Q155&lt;&gt;"",$T155&gt;0,$U155&gt;0),$P155=""),"FONTE",
IF(AND($C155="S",$P155&lt;&gt;"",OR($T155&gt;0,$U155&gt;0),$Q155=""),"CÓDIGO",
IF(AND($C155="S",$P155&lt;&gt;"",$Q155&lt;&gt;"",$R155="(Código não identificado nas referências)"),"CÓDIGO N/ID",
IF(AND($C155="S",OR($R155="",$R155="(digite a descrição aqui)"),OR($Q155&lt;&gt;"",$T155&gt;0,$U155&gt;0)),"DESCRIÇÃO",
IF(AND($C155="S",$P155&lt;&gt;"",$Q155&lt;&gt;"",$S155=""),"UNIDADE",
IF(AND($C155="S",$P155&lt;&gt;"",$Q155&lt;&gt;"",$U155=0),"SEM CUSTO",
IF(AND(TIPOORCAMENTO="Licitado",$AL155=0,$AN155&gt;0),"SEM PREÇO",
IF(AND($C155="S",$P155&lt;&gt;"",$Q155&lt;&gt;"",$U155&gt;0,AND($V155&lt;&gt;"BDI 1",$V155&lt;&gt;"BDI 2",$V155&lt;&gt;"BDI 3")),IF(ISNUMBER($V155),"JUSTIFICAR BDI","BDI"),
IF(OR(AND(import.recurso="OGU",TIPOORCAMENTO="Proposto",LEFT($O$8,5)&lt;&gt;"(N/D:",$AG155&lt;&gt;"",ORÇAMENTO.CustoUnitario&gt;$AG155),AND(TIPOORCAMENTO="LICITADO",ORÇAMENTO.PrecoUnitarioLicitado&gt;$AN155)),"ACIMA REF.",
IF(AND($C155="S",$P155&lt;&gt;"",$Q155&lt;&gt;"",$T155=0,$U155&gt;0),"QUANT.",
IF(AND(Import.TipoArredondamento="TransfereGOV",$L155="F",$C155="S",LEN($Q155)&gt;13),"Código &gt;13",
IF(AND(Import.TipoArredondamento="TransfereGOV",$L155="F",$C155&lt;&gt;"S",LEN($R155)&gt;100),"Descrição &gt;100",
IF(AND(Import.TipoArredondamento="TransfereGOV",$L155="F",$C155="S",LEN($R155)&gt;500),"Descrição &gt;500",
IF(AND(Import.TipoArredondamento="TransfereGOV",$L155="F",$C155="S",LEFT(TRIM(UPPER($P155)),6)&lt;&gt;"SINAPI",ISNA(VLOOKUP(TRIM(UPPER($S155)),ListaTgov.Unidades,1,FALSE))),"Unid. Não Disp",
" "))))))))))))))))</f>
        <v xml:space="preserve"> </v>
      </c>
      <c r="AD155" s="696" t="str">
        <f ca="1">IF(C155&lt;=CRONO.NivelExibicao,MAX($AD$15:OFFSET(AD155,-1,0))+IF($C155&lt;&gt;1,1,MAX(1,COUNTIF(QCI!$A$13:$A$24,OFFSET($E155,-1,0)))),"")</f>
        <v/>
      </c>
      <c r="AE155" s="694" t="str">
        <f t="array" aca="1" ref="AE155" ca="1">IF(AND($C155="S",ORÇAMENTO.CodBarra&lt;&gt;""),IF(ORÇAMENTO.Fonte="",ORÇAMENTO.CodBarra,CONCATENATE(ORÇAMENTO.Fonte," ",ORÇAMENTO.CodBarra)))</f>
        <v>SINAPI 91928</v>
      </c>
      <c r="AF155" s="695">
        <f t="array" aca="1" ref="AF155" ca="1">IF(ISERROR(ORÇAMENTO.BancoRef),"(abra o arquivo 'Referência "&amp;Excel_BuiltIn_Database&amp;".xlsm)",IF(OR($C155&lt;&gt;"S",ORÇAMENTO.CodBarra=""),"(Sem Código)",IF(ISERROR(MATCH($AE155,INDIRECT(ORÇAMENTO.BancoRef),0)),"(Código não identificado nas referências)",MATCH($AE155,INDIRECT(ORÇAMENTO.BancoRef),0))))</f>
        <v>10366</v>
      </c>
      <c r="AG155" s="428">
        <f t="array" aca="1" ref="AG155" ca="1">ROUND(IF(DESONERACAO="sim",REFERENCIA.Desonerado,REFERENCIA.NaoDesonerado),2)</f>
        <v>7.17</v>
      </c>
      <c r="AH155" s="429">
        <f t="shared" ca="1" si="41"/>
        <v>0.2034</v>
      </c>
      <c r="AJ155" s="431"/>
      <c r="AL155" s="439"/>
      <c r="AM155" s="336">
        <f t="shared" ca="1" si="0"/>
        <v>4022.56</v>
      </c>
      <c r="AN155" s="469">
        <f t="array" aca="1" ref="AN155" ca="1">ROUND(ORÇAMENTO.CustoUnitario*(1+$AH155),2)</f>
        <v>8.11</v>
      </c>
    </row>
    <row r="156" spans="1:40" s="696" customFormat="1" ht="38.25" x14ac:dyDescent="0.2">
      <c r="A156" s="696" t="str">
        <f t="shared" si="29"/>
        <v>S</v>
      </c>
      <c r="B156" s="696">
        <f t="shared" ca="1" si="30"/>
        <v>2</v>
      </c>
      <c r="C156" s="696" t="str">
        <f t="shared" ca="1" si="31"/>
        <v>S</v>
      </c>
      <c r="D156" s="696">
        <f t="shared" ca="1" si="32"/>
        <v>0</v>
      </c>
      <c r="E156" s="696">
        <f ca="1">IF($C156=1,OFFSET(E156,-1,0)+MAX(1,COUNTIF(QCI!$A$13:$A$24,OFFSET(ORÇAMENTO!E156,-1,0))),OFFSET(E156,-1,0))</f>
        <v>1</v>
      </c>
      <c r="F156" s="696">
        <f t="shared" ca="1" si="33"/>
        <v>25</v>
      </c>
      <c r="G156" s="696">
        <f t="shared" ca="1" si="34"/>
        <v>0</v>
      </c>
      <c r="H156" s="696">
        <f t="shared" ca="1" si="35"/>
        <v>0</v>
      </c>
      <c r="I156" s="696">
        <f t="shared" ca="1" si="36"/>
        <v>4</v>
      </c>
      <c r="J156" s="696">
        <f t="shared" ca="1" si="42"/>
        <v>0</v>
      </c>
      <c r="K156" s="696">
        <f ca="1">IF(OR($C156="S",$C156=0),0,MATCH(OFFSET($D156,0,$C156)+IF($C156&lt;&gt;1,1,COUNTIF(QCI!$A$13:$A$24,ORÇAMENTO!E156)),OFFSET($D156,1,$C156,ROW($C$235)-ROW($C156)),0))</f>
        <v>0</v>
      </c>
      <c r="L156" s="114" t="str">
        <f t="shared" ca="1" si="37"/>
        <v>F</v>
      </c>
      <c r="M156" s="115" t="s">
        <v>705</v>
      </c>
      <c r="N156" s="116" t="str">
        <f t="shared" ca="1" si="38"/>
        <v>Serviço</v>
      </c>
      <c r="O156" s="117" t="str">
        <f t="shared" ca="1" si="39"/>
        <v>1.25.4.</v>
      </c>
      <c r="P156" s="118" t="s">
        <v>750</v>
      </c>
      <c r="Q156" s="119" t="s">
        <v>1138</v>
      </c>
      <c r="R156" s="120" t="str">
        <f t="array" aca="1" ref="R156" ca="1">IF($C156="S",REFERENCIA.Descricao,"(digite a descrição aqui)")</f>
        <v>CABO DE COBRE ISOLADO, 10 MM², ANTI-CHAMA 450/750 V, INSTALADO EM ELETROCALHA OU PERFILADO - FORNECIMENTO E INSTALAÇÃO. AF_07/2025</v>
      </c>
      <c r="S156" s="121" t="str">
        <f t="array" aca="1" ref="S156" ca="1">REFERENCIA.Unidade</f>
        <v>M</v>
      </c>
      <c r="T156" s="122">
        <f ca="1">OFFSET(CÁLCULO!H$15,ROW($T156)-ROW(T$15),0)</f>
        <v>518</v>
      </c>
      <c r="U156" s="123">
        <f>11.14*0.94</f>
        <v>10.4716</v>
      </c>
      <c r="V156" s="124" t="s">
        <v>697</v>
      </c>
      <c r="W156" s="122">
        <f t="array" aca="1" ref="W156" ca="1">IF($C156="S",ROUND(IF(TIPOORCAMENTO="Proposto",ORÇAMENTO.CustoUnitario*(1+$AH156),ORÇAMENTO.PrecoUnitarioLicitado),15-13*$AF$10),0)</f>
        <v>12.6</v>
      </c>
      <c r="X156" s="125">
        <f t="array" aca="1" ref="X156" ca="1">IF($C156="S",IF(OR(Import.TipoArredondamento&lt;&gt;"TransfereGOV",ACOMPANHAMENTO="BM"),VTOTAL1,SUM(OFFSET(CÁLCULO!$AI$15,ROW($X156)-ROW($X$15),1):OFFSET(CÁLCULO!$BB$15,ROW($X156)-ROW($X$15),-1))),IF($C156=0,0,ROUND(SomaAgrup,15-13*$AF$11)))</f>
        <v>6526.8</v>
      </c>
      <c r="Y156" s="126" t="s">
        <v>751</v>
      </c>
      <c r="Z156" s="696" t="str">
        <f t="shared" ca="1" si="40"/>
        <v>RA</v>
      </c>
      <c r="AA156" s="127">
        <f t="array" aca="1" ref="AA156" ca="1">IF($C156="S",IF($Z156="CP",$X156,IF($Z156="RA",(($X156)*QCI!$AA$3),0)),SomaAgrup)</f>
        <v>0</v>
      </c>
      <c r="AB156" s="128">
        <f t="array" aca="1" ref="AB156" ca="1">IF($C156="S",IF($Z156="OU",ROUND($X156,2),0),SomaAgrup)</f>
        <v>0</v>
      </c>
      <c r="AC156" s="563" t="str">
        <f t="array" aca="1" ref="AC156" ca="1">IF($N156=""," ",
IF(AND($C156&lt;&gt;"S",OR($R156="",$R156="(digite a descrição aqui)")),"DESCRIÇÃO",
IF(AND($C156="S",OR($Q156&lt;&gt;"",$T156&gt;0,$U156&gt;0),$P156=""),"FONTE",
IF(AND($C156="S",$P156&lt;&gt;"",OR($T156&gt;0,$U156&gt;0),$Q156=""),"CÓDIGO",
IF(AND($C156="S",$P156&lt;&gt;"",$Q156&lt;&gt;"",$R156="(Código não identificado nas referências)"),"CÓDIGO N/ID",
IF(AND($C156="S",OR($R156="",$R156="(digite a descrição aqui)"),OR($Q156&lt;&gt;"",$T156&gt;0,$U156&gt;0)),"DESCRIÇÃO",
IF(AND($C156="S",$P156&lt;&gt;"",$Q156&lt;&gt;"",$S156=""),"UNIDADE",
IF(AND($C156="S",$P156&lt;&gt;"",$Q156&lt;&gt;"",$U156=0),"SEM CUSTO",
IF(AND(TIPOORCAMENTO="Licitado",$AL156=0,$AN156&gt;0),"SEM PREÇO",
IF(AND($C156="S",$P156&lt;&gt;"",$Q156&lt;&gt;"",$U156&gt;0,AND($V156&lt;&gt;"BDI 1",$V156&lt;&gt;"BDI 2",$V156&lt;&gt;"BDI 3")),IF(ISNUMBER($V156),"JUSTIFICAR BDI","BDI"),
IF(OR(AND(import.recurso="OGU",TIPOORCAMENTO="Proposto",LEFT($O$8,5)&lt;&gt;"(N/D:",$AG156&lt;&gt;"",ORÇAMENTO.CustoUnitario&gt;$AG156),AND(TIPOORCAMENTO="LICITADO",ORÇAMENTO.PrecoUnitarioLicitado&gt;$AN156)),"ACIMA REF.",
IF(AND($C156="S",$P156&lt;&gt;"",$Q156&lt;&gt;"",$T156=0,$U156&gt;0),"QUANT.",
IF(AND(Import.TipoArredondamento="TransfereGOV",$L156="F",$C156="S",LEN($Q156)&gt;13),"Código &gt;13",
IF(AND(Import.TipoArredondamento="TransfereGOV",$L156="F",$C156&lt;&gt;"S",LEN($R156)&gt;100),"Descrição &gt;100",
IF(AND(Import.TipoArredondamento="TransfereGOV",$L156="F",$C156="S",LEN($R156)&gt;500),"Descrição &gt;500",
IF(AND(Import.TipoArredondamento="TransfereGOV",$L156="F",$C156="S",LEFT(TRIM(UPPER($P156)),6)&lt;&gt;"SINAPI",ISNA(VLOOKUP(TRIM(UPPER($S156)),ListaTgov.Unidades,1,FALSE))),"Unid. Não Disp",
" "))))))))))))))))</f>
        <v xml:space="preserve"> </v>
      </c>
      <c r="AD156" s="696" t="str">
        <f ca="1">IF(C156&lt;=CRONO.NivelExibicao,MAX($AD$15:OFFSET(AD156,-1,0))+IF($C156&lt;&gt;1,1,MAX(1,COUNTIF(QCI!$A$13:$A$24,OFFSET($E156,-1,0)))),"")</f>
        <v/>
      </c>
      <c r="AE156" s="694" t="str">
        <f t="array" aca="1" ref="AE156" ca="1">IF(AND($C156="S",ORÇAMENTO.CodBarra&lt;&gt;""),IF(ORÇAMENTO.Fonte="",ORÇAMENTO.CodBarra,CONCATENATE(ORÇAMENTO.Fonte," ",ORÇAMENTO.CodBarra)))</f>
        <v>SINAPI 101884</v>
      </c>
      <c r="AF156" s="695">
        <f t="array" aca="1" ref="AF156" ca="1">IF(ISERROR(ORÇAMENTO.BancoRef),"(abra o arquivo 'Referência "&amp;Excel_BuiltIn_Database&amp;".xlsm)",IF(OR($C156&lt;&gt;"S",ORÇAMENTO.CodBarra=""),"(Sem Código)",IF(ISERROR(MATCH($AE156,INDIRECT(ORÇAMENTO.BancoRef),0)),"(Código não identificado nas referências)",MATCH($AE156,INDIRECT(ORÇAMENTO.BancoRef),0))))</f>
        <v>10641</v>
      </c>
      <c r="AG156" s="428">
        <f t="array" aca="1" ref="AG156" ca="1">ROUND(IF(DESONERACAO="sim",REFERENCIA.Desonerado,REFERENCIA.NaoDesonerado),2)</f>
        <v>11.4</v>
      </c>
      <c r="AH156" s="429">
        <f t="shared" ca="1" si="41"/>
        <v>0.2034</v>
      </c>
      <c r="AJ156" s="431"/>
      <c r="AL156" s="439"/>
      <c r="AM156" s="336">
        <f t="shared" ca="1" si="0"/>
        <v>6526.8</v>
      </c>
      <c r="AN156" s="469">
        <f t="array" aca="1" ref="AN156" ca="1">ROUND(ORÇAMENTO.CustoUnitario*(1+$AH156),2)</f>
        <v>12.6</v>
      </c>
    </row>
    <row r="157" spans="1:40" s="702" customFormat="1" ht="38.25" x14ac:dyDescent="0.2">
      <c r="A157" s="702" t="str">
        <f>CHOOSE(1+LOG(1+2*(ORÇAMENTO.Nivel="Meta")+4*(ORÇAMENTO.Nivel="Nível 2")+8*(ORÇAMENTO.Nivel="Nível 3")+16*(ORÇAMENTO.Nivel="Nível 4")+32*(ORÇAMENTO.Nivel="Serviço"),2),0,1,2,3,4,"S")</f>
        <v>S</v>
      </c>
      <c r="B157" s="702">
        <f ca="1">IF(OR(C157="s",C157=0),OFFSET(B157,-1,0),C157)</f>
        <v>2</v>
      </c>
      <c r="C157" s="702" t="str">
        <f ca="1">IF(OFFSET(C157,-1,0)="L",1,IF(OFFSET(C157,-1,0)=1,2,IF(OR(A157="s",A157=0),"S",IF(AND(OFFSET(C157,-1,0)=2,A157=4),3,IF(AND(OR(OFFSET(C157,-1,0)="s",OFFSET(C157,-1,0)=0),A157&lt;&gt;"s",A157&gt;OFFSET(B157,-1,0)),OFFSET(B157,-1,0),A157)))))</f>
        <v>S</v>
      </c>
      <c r="D157" s="702">
        <f ca="1">IF(OR(C157="S",C157=0),0,IF(ISERROR(K157),J157,SMALL(J157:K157,1)))</f>
        <v>0</v>
      </c>
      <c r="E157" s="702">
        <f ca="1">IF($C157=1,OFFSET(E157,-1,0)+MAX(1,COUNTIF(QCI!$A$13:$A$24,OFFSET(ORÇAMENTO!E157,-1,0))),OFFSET(E157,-1,0))</f>
        <v>1</v>
      </c>
      <c r="F157" s="702">
        <f ca="1">IF($C157=1,0,IF($C157=2,OFFSET(F157,-1,0)+1,OFFSET(F157,-1,0)))</f>
        <v>25</v>
      </c>
      <c r="G157" s="702">
        <f ca="1">IF(AND($C157&lt;=2,$C157&lt;&gt;0),0,IF($C157=3,OFFSET(G157,-1,0)+1,OFFSET(G157,-1,0)))</f>
        <v>0</v>
      </c>
      <c r="H157" s="702">
        <f ca="1">IF(AND($C157&lt;=3,$C157&lt;&gt;0),0,IF($C157=4,OFFSET(H157,-1,0)+1,OFFSET(H157,-1,0)))</f>
        <v>0</v>
      </c>
      <c r="I157" s="702">
        <f ca="1">IF(AND($C157&lt;=4,$C157&lt;&gt;0),0,IF(AND($C157="S",$X157&gt;0),OFFSET(I157,-1,0)+1,OFFSET(I157,-1,0)))</f>
        <v>5</v>
      </c>
      <c r="J157" s="702">
        <f t="shared" ca="1" si="42"/>
        <v>0</v>
      </c>
      <c r="K157" s="702">
        <f ca="1">IF(OR($C157="S",$C157=0),0,MATCH(OFFSET($D157,0,$C157)+IF($C157&lt;&gt;1,1,COUNTIF(QCI!$A$13:$A$24,ORÇAMENTO!E157)),OFFSET($D157,1,$C157,ROW($C$235)-ROW($C157)),0))</f>
        <v>0</v>
      </c>
      <c r="L157" s="114" t="str">
        <f ca="1">IF(OR($X157&gt;0,$C157=1,$C157=2,$C157=3,$C157=4),"F","")</f>
        <v>F</v>
      </c>
      <c r="M157" s="115" t="s">
        <v>705</v>
      </c>
      <c r="N157" s="116" t="str">
        <f ca="1">CHOOSE(1+LOG(1+2*(C157=1)+4*(C157=2)+8*(C157=3)+16*(C157=4)+32*(C157="S"),2),"","Meta","Nível 2","Nível 3","Nível 4","Serviço")</f>
        <v>Serviço</v>
      </c>
      <c r="O157" s="117" t="str">
        <f ca="1">IF(OR($C157=0,$L157=""),"-",CONCATENATE(E157&amp;".",IF(AND($A$5&gt;=2,$C157&gt;=2),F157&amp;".",""),IF(AND($A$5&gt;=3,$C157&gt;=3),G157&amp;".",""),IF(AND($A$5&gt;=4,$C157&gt;=4),H157&amp;".",""),IF($C157="S",I157&amp;".","")))</f>
        <v>1.25.5.</v>
      </c>
      <c r="P157" s="118" t="s">
        <v>750</v>
      </c>
      <c r="Q157" s="119" t="s">
        <v>1309</v>
      </c>
      <c r="R157" s="120" t="str">
        <f t="array" aca="1" ref="R157" ca="1">IF($C157="S",REFERENCIA.Descricao,"(digite a descrição aqui)")</f>
        <v>CABO DE COBRE FLEXÍVEL ISOLADO, 10 MM², 0,6/1,0 KV, PARA REDE AÉREA DE DISTRIBUIÇÃO DE ENERGIA ELÉTRICA DE BAIXA TENSÃO - FORNECIMENTO E INSTALAÇÃO. AF_07/2020</v>
      </c>
      <c r="S157" s="121" t="str">
        <f t="array" aca="1" ref="S157" ca="1">REFERENCIA.Unidade</f>
        <v>M</v>
      </c>
      <c r="T157" s="122">
        <f ca="1">OFFSET(CÁLCULO!H$15,ROW($T157)-ROW(T$15),0)</f>
        <v>166</v>
      </c>
      <c r="U157" s="123">
        <f>10.86*0.94</f>
        <v>10.208399999999999</v>
      </c>
      <c r="V157" s="124" t="s">
        <v>697</v>
      </c>
      <c r="W157" s="122">
        <f t="array" aca="1" ref="W157" ca="1">IF($C157="S",ROUND(IF(TIPOORCAMENTO="Proposto",ORÇAMENTO.CustoUnitario*(1+$AH157),ORÇAMENTO.PrecoUnitarioLicitado),15-13*$AF$10),0)</f>
        <v>12.29</v>
      </c>
      <c r="X157" s="125">
        <f t="array" aca="1" ref="X157" ca="1">IF($C157="S",IF(OR(Import.TipoArredondamento&lt;&gt;"TransfereGOV",ACOMPANHAMENTO="BM"),VTOTAL1,SUM(OFFSET(CÁLCULO!$AI$15,ROW($X157)-ROW($X$15),1):OFFSET(CÁLCULO!$BB$15,ROW($X157)-ROW($X$15),-1))),IF($C157=0,0,ROUND(SomaAgrup,15-13*$AF$11)))</f>
        <v>2040.16</v>
      </c>
      <c r="Y157" s="126" t="s">
        <v>751</v>
      </c>
      <c r="Z157" s="702" t="str">
        <f ca="1">IF(AND($C157="S",$X157&gt;0),IF(ISBLANK($Y157),"RA",LEFT($Y157,2)),"")</f>
        <v>RA</v>
      </c>
      <c r="AA157" s="127">
        <f t="array" aca="1" ref="AA157" ca="1">IF($C157="S",IF($Z157="CP",$X157,IF($Z157="RA",(($X157)*QCI!$AA$3),0)),SomaAgrup)</f>
        <v>0</v>
      </c>
      <c r="AB157" s="128">
        <f t="array" aca="1" ref="AB157" ca="1">IF($C157="S",IF($Z157="OU",ROUND($X157,2),0),SomaAgrup)</f>
        <v>0</v>
      </c>
      <c r="AC157" s="563" t="str">
        <f t="array" aca="1" ref="AC157" ca="1">IF($N157=""," ",
IF(AND($C157&lt;&gt;"S",OR($R157="",$R157="(digite a descrição aqui)")),"DESCRIÇÃO",
IF(AND($C157="S",OR($Q157&lt;&gt;"",$T157&gt;0,$U157&gt;0),$P157=""),"FONTE",
IF(AND($C157="S",$P157&lt;&gt;"",OR($T157&gt;0,$U157&gt;0),$Q157=""),"CÓDIGO",
IF(AND($C157="S",$P157&lt;&gt;"",$Q157&lt;&gt;"",$R157="(Código não identificado nas referências)"),"CÓDIGO N/ID",
IF(AND($C157="S",OR($R157="",$R157="(digite a descrição aqui)"),OR($Q157&lt;&gt;"",$T157&gt;0,$U157&gt;0)),"DESCRIÇÃO",
IF(AND($C157="S",$P157&lt;&gt;"",$Q157&lt;&gt;"",$S157=""),"UNIDADE",
IF(AND($C157="S",$P157&lt;&gt;"",$Q157&lt;&gt;"",$U157=0),"SEM CUSTO",
IF(AND(TIPOORCAMENTO="Licitado",$AL157=0,$AN157&gt;0),"SEM PREÇO",
IF(AND($C157="S",$P157&lt;&gt;"",$Q157&lt;&gt;"",$U157&gt;0,AND($V157&lt;&gt;"BDI 1",$V157&lt;&gt;"BDI 2",$V157&lt;&gt;"BDI 3")),IF(ISNUMBER($V157),"JUSTIFICAR BDI","BDI"),
IF(OR(AND(import.recurso="OGU",TIPOORCAMENTO="Proposto",LEFT($O$8,5)&lt;&gt;"(N/D:",$AG157&lt;&gt;"",ORÇAMENTO.CustoUnitario&gt;$AG157),AND(TIPOORCAMENTO="LICITADO",ORÇAMENTO.PrecoUnitarioLicitado&gt;$AN157)),"ACIMA REF.",
IF(AND($C157="S",$P157&lt;&gt;"",$Q157&lt;&gt;"",$T157=0,$U157&gt;0),"QUANT.",
IF(AND(Import.TipoArredondamento="TransfereGOV",$L157="F",$C157="S",LEN($Q157)&gt;13),"Código &gt;13",
IF(AND(Import.TipoArredondamento="TransfereGOV",$L157="F",$C157&lt;&gt;"S",LEN($R157)&gt;100),"Descrição &gt;100",
IF(AND(Import.TipoArredondamento="TransfereGOV",$L157="F",$C157="S",LEN($R157)&gt;500),"Descrição &gt;500",
IF(AND(Import.TipoArredondamento="TransfereGOV",$L157="F",$C157="S",LEFT(TRIM(UPPER($P157)),6)&lt;&gt;"SINAPI",ISNA(VLOOKUP(TRIM(UPPER($S157)),ListaTgov.Unidades,1,FALSE))),"Unid. Não Disp",
" "))))))))))))))))</f>
        <v xml:space="preserve"> </v>
      </c>
      <c r="AD157" s="702" t="str">
        <f ca="1">IF(C157&lt;=CRONO.NivelExibicao,MAX($AD$15:OFFSET(AD157,-1,0))+IF($C157&lt;&gt;1,1,MAX(1,COUNTIF(QCI!$A$13:$A$24,OFFSET($E157,-1,0)))),"")</f>
        <v/>
      </c>
      <c r="AE157" s="700" t="str">
        <f t="array" aca="1" ref="AE157" ca="1">IF(AND($C157="S",ORÇAMENTO.CodBarra&lt;&gt;""),IF(ORÇAMENTO.Fonte="",ORÇAMENTO.CodBarra,CONCATENATE(ORÇAMENTO.Fonte," ",ORÇAMENTO.CodBarra)))</f>
        <v>SINAPI 101560</v>
      </c>
      <c r="AF157" s="701">
        <f t="array" aca="1" ref="AF157" ca="1">IF(ISERROR(ORÇAMENTO.BancoRef),"(abra o arquivo 'Referência "&amp;Excel_BuiltIn_Database&amp;".xlsm)",IF(OR($C157&lt;&gt;"S",ORÇAMENTO.CodBarra=""),"(Sem Código)",IF(ISERROR(MATCH($AE157,INDIRECT(ORÇAMENTO.BancoRef),0)),"(Código não identificado nas referências)",MATCH($AE157,INDIRECT(ORÇAMENTO.BancoRef),0))))</f>
        <v>10749</v>
      </c>
      <c r="AG157" s="428">
        <f t="array" aca="1" ref="AG157" ca="1">ROUND(IF(DESONERACAO="sim",REFERENCIA.Desonerado,REFERENCIA.NaoDesonerado),2)</f>
        <v>10.87</v>
      </c>
      <c r="AH157" s="429">
        <f ca="1">ROUND(IF(ISNUMBER(ORÇAMENTO.OpcaoBDI),ORÇAMENTO.OpcaoBDI,IF(LEFT(ORÇAMENTO.OpcaoBDI,3)="BDI",HLOOKUP(ORÇAMENTO.OpcaoBDI,$F$4:$H$5,2,FALSE),0)),15-11*$AF$9)</f>
        <v>0.2034</v>
      </c>
      <c r="AJ157" s="431"/>
      <c r="AL157" s="439"/>
      <c r="AM157" s="336">
        <f t="shared" ca="1" si="0"/>
        <v>2040.16</v>
      </c>
      <c r="AN157" s="469">
        <f t="array" aca="1" ref="AN157" ca="1">ROUND(ORÇAMENTO.CustoUnitario*(1+$AH157),2)</f>
        <v>12.29</v>
      </c>
    </row>
    <row r="158" spans="1:40" s="696" customFormat="1" ht="38.25" x14ac:dyDescent="0.2">
      <c r="A158" s="696" t="str">
        <f t="shared" si="29"/>
        <v>S</v>
      </c>
      <c r="B158" s="696">
        <f t="shared" ca="1" si="30"/>
        <v>2</v>
      </c>
      <c r="C158" s="696" t="str">
        <f t="shared" ca="1" si="31"/>
        <v>S</v>
      </c>
      <c r="D158" s="696">
        <f t="shared" ca="1" si="32"/>
        <v>0</v>
      </c>
      <c r="E158" s="696">
        <f ca="1">IF($C158=1,OFFSET(E158,-1,0)+MAX(1,COUNTIF(QCI!$A$13:$A$24,OFFSET(ORÇAMENTO!E158,-1,0))),OFFSET(E158,-1,0))</f>
        <v>1</v>
      </c>
      <c r="F158" s="696">
        <f t="shared" ca="1" si="33"/>
        <v>25</v>
      </c>
      <c r="G158" s="696">
        <f t="shared" ca="1" si="34"/>
        <v>0</v>
      </c>
      <c r="H158" s="696">
        <f t="shared" ca="1" si="35"/>
        <v>0</v>
      </c>
      <c r="I158" s="696">
        <f t="shared" ca="1" si="36"/>
        <v>6</v>
      </c>
      <c r="J158" s="696">
        <f t="shared" ca="1" si="42"/>
        <v>0</v>
      </c>
      <c r="K158" s="696">
        <f ca="1">IF(OR($C158="S",$C158=0),0,MATCH(OFFSET($D158,0,$C158)+IF($C158&lt;&gt;1,1,COUNTIF(QCI!$A$13:$A$24,ORÇAMENTO!E158)),OFFSET($D158,1,$C158,ROW($C$235)-ROW($C158)),0))</f>
        <v>0</v>
      </c>
      <c r="L158" s="114" t="str">
        <f t="shared" ca="1" si="37"/>
        <v>F</v>
      </c>
      <c r="M158" s="115" t="s">
        <v>705</v>
      </c>
      <c r="N158" s="116" t="str">
        <f t="shared" ca="1" si="38"/>
        <v>Serviço</v>
      </c>
      <c r="O158" s="117" t="str">
        <f t="shared" ca="1" si="39"/>
        <v>1.25.6.</v>
      </c>
      <c r="P158" s="118" t="s">
        <v>750</v>
      </c>
      <c r="Q158" s="119" t="s">
        <v>1139</v>
      </c>
      <c r="R158" s="120" t="str">
        <f t="array" aca="1" ref="R158" ca="1">IF($C158="S",REFERENCIA.Descricao,"(digite a descrição aqui)")</f>
        <v>ELETRODUTO FLEXÍVEL CORRUGADO, PVC, DN 25 MM (3/4"), PARA CIRCUITOS TERMINAIS, INSTALADO EM FORRO - FORNECIMENTO E INSTALAÇÃO. AF_03/2023</v>
      </c>
      <c r="S158" s="121" t="str">
        <f t="array" aca="1" ref="S158" ca="1">REFERENCIA.Unidade</f>
        <v>M</v>
      </c>
      <c r="T158" s="122">
        <f ca="1">OFFSET(CÁLCULO!H$15,ROW($T158)-ROW(T$15),0)</f>
        <v>894</v>
      </c>
      <c r="U158" s="123">
        <f>18.74*0.94</f>
        <v>17.615599999999997</v>
      </c>
      <c r="V158" s="124" t="s">
        <v>697</v>
      </c>
      <c r="W158" s="122">
        <f t="array" aca="1" ref="W158" ca="1">IF($C158="S",ROUND(IF(TIPOORCAMENTO="Proposto",ORÇAMENTO.CustoUnitario*(1+$AH158),ORÇAMENTO.PrecoUnitarioLicitado),15-13*$AF$10),0)</f>
        <v>21.2</v>
      </c>
      <c r="X158" s="125">
        <f t="array" aca="1" ref="X158" ca="1">IF($C158="S",IF(OR(Import.TipoArredondamento&lt;&gt;"TransfereGOV",ACOMPANHAMENTO="BM"),VTOTAL1,SUM(OFFSET(CÁLCULO!$AI$15,ROW($X158)-ROW($X$15),1):OFFSET(CÁLCULO!$BB$15,ROW($X158)-ROW($X$15),-1))),IF($C158=0,0,ROUND(SomaAgrup,15-13*$AF$11)))</f>
        <v>18952.8</v>
      </c>
      <c r="Y158" s="126" t="s">
        <v>751</v>
      </c>
      <c r="Z158" s="696" t="str">
        <f t="shared" ca="1" si="40"/>
        <v>RA</v>
      </c>
      <c r="AA158" s="127">
        <f t="array" aca="1" ref="AA158" ca="1">IF($C158="S",IF($Z158="CP",$X158,IF($Z158="RA",(($X158)*QCI!$AA$3),0)),SomaAgrup)</f>
        <v>0</v>
      </c>
      <c r="AB158" s="128">
        <f t="array" aca="1" ref="AB158" ca="1">IF($C158="S",IF($Z158="OU",ROUND($X158,2),0),SomaAgrup)</f>
        <v>0</v>
      </c>
      <c r="AC158" s="563" t="str">
        <f t="array" aca="1" ref="AC158" ca="1">IF($N158=""," ",
IF(AND($C158&lt;&gt;"S",OR($R158="",$R158="(digite a descrição aqui)")),"DESCRIÇÃO",
IF(AND($C158="S",OR($Q158&lt;&gt;"",$T158&gt;0,$U158&gt;0),$P158=""),"FONTE",
IF(AND($C158="S",$P158&lt;&gt;"",OR($T158&gt;0,$U158&gt;0),$Q158=""),"CÓDIGO",
IF(AND($C158="S",$P158&lt;&gt;"",$Q158&lt;&gt;"",$R158="(Código não identificado nas referências)"),"CÓDIGO N/ID",
IF(AND($C158="S",OR($R158="",$R158="(digite a descrição aqui)"),OR($Q158&lt;&gt;"",$T158&gt;0,$U158&gt;0)),"DESCRIÇÃO",
IF(AND($C158="S",$P158&lt;&gt;"",$Q158&lt;&gt;"",$S158=""),"UNIDADE",
IF(AND($C158="S",$P158&lt;&gt;"",$Q158&lt;&gt;"",$U158=0),"SEM CUSTO",
IF(AND(TIPOORCAMENTO="Licitado",$AL158=0,$AN158&gt;0),"SEM PREÇO",
IF(AND($C158="S",$P158&lt;&gt;"",$Q158&lt;&gt;"",$U158&gt;0,AND($V158&lt;&gt;"BDI 1",$V158&lt;&gt;"BDI 2",$V158&lt;&gt;"BDI 3")),IF(ISNUMBER($V158),"JUSTIFICAR BDI","BDI"),
IF(OR(AND(import.recurso="OGU",TIPOORCAMENTO="Proposto",LEFT($O$8,5)&lt;&gt;"(N/D:",$AG158&lt;&gt;"",ORÇAMENTO.CustoUnitario&gt;$AG158),AND(TIPOORCAMENTO="LICITADO",ORÇAMENTO.PrecoUnitarioLicitado&gt;$AN158)),"ACIMA REF.",
IF(AND($C158="S",$P158&lt;&gt;"",$Q158&lt;&gt;"",$T158=0,$U158&gt;0),"QUANT.",
IF(AND(Import.TipoArredondamento="TransfereGOV",$L158="F",$C158="S",LEN($Q158)&gt;13),"Código &gt;13",
IF(AND(Import.TipoArredondamento="TransfereGOV",$L158="F",$C158&lt;&gt;"S",LEN($R158)&gt;100),"Descrição &gt;100",
IF(AND(Import.TipoArredondamento="TransfereGOV",$L158="F",$C158="S",LEN($R158)&gt;500),"Descrição &gt;500",
IF(AND(Import.TipoArredondamento="TransfereGOV",$L158="F",$C158="S",LEFT(TRIM(UPPER($P158)),6)&lt;&gt;"SINAPI",ISNA(VLOOKUP(TRIM(UPPER($S158)),ListaTgov.Unidades,1,FALSE))),"Unid. Não Disp",
" "))))))))))))))))</f>
        <v xml:space="preserve"> </v>
      </c>
      <c r="AD158" s="696" t="str">
        <f ca="1">IF(C158&lt;=CRONO.NivelExibicao,MAX($AD$15:OFFSET(AD158,-1,0))+IF($C158&lt;&gt;1,1,MAX(1,COUNTIF(QCI!$A$13:$A$24,OFFSET($E158,-1,0)))),"")</f>
        <v/>
      </c>
      <c r="AE158" s="694" t="str">
        <f t="array" aca="1" ref="AE158" ca="1">IF(AND($C158="S",ORÇAMENTO.CodBarra&lt;&gt;""),IF(ORÇAMENTO.Fonte="",ORÇAMENTO.CodBarra,CONCATENATE(ORÇAMENTO.Fonte," ",ORÇAMENTO.CodBarra)))</f>
        <v>SINAPI 91834</v>
      </c>
      <c r="AF158" s="695">
        <f t="array" aca="1" ref="AF158" ca="1">IF(ISERROR(ORÇAMENTO.BancoRef),"(abra o arquivo 'Referência "&amp;Excel_BuiltIn_Database&amp;".xlsm)",IF(OR($C158&lt;&gt;"S",ORÇAMENTO.CodBarra=""),"(Sem Código)",IF(ISERROR(MATCH($AE158,INDIRECT(ORÇAMENTO.BancoRef),0)),"(Código não identificado nas referências)",MATCH($AE158,INDIRECT(ORÇAMENTO.BancoRef),0))))</f>
        <v>10439</v>
      </c>
      <c r="AG158" s="428">
        <f t="array" aca="1" ref="AG158" ca="1">ROUND(IF(DESONERACAO="sim",REFERENCIA.Desonerado,REFERENCIA.NaoDesonerado),2)</f>
        <v>18.739999999999998</v>
      </c>
      <c r="AH158" s="429">
        <f t="shared" ca="1" si="41"/>
        <v>0.2034</v>
      </c>
      <c r="AJ158" s="431"/>
      <c r="AL158" s="439"/>
      <c r="AM158" s="336">
        <f t="shared" ca="1" si="0"/>
        <v>18952.8</v>
      </c>
      <c r="AN158" s="469">
        <f t="array" aca="1" ref="AN158" ca="1">ROUND(ORÇAMENTO.CustoUnitario*(1+$AH158),2)</f>
        <v>21.2</v>
      </c>
    </row>
    <row r="159" spans="1:40" s="696" customFormat="1" ht="38.25" x14ac:dyDescent="0.2">
      <c r="A159" s="696" t="str">
        <f t="shared" si="29"/>
        <v>S</v>
      </c>
      <c r="B159" s="696">
        <f t="shared" ca="1" si="30"/>
        <v>2</v>
      </c>
      <c r="C159" s="696" t="str">
        <f t="shared" ca="1" si="31"/>
        <v>S</v>
      </c>
      <c r="D159" s="696">
        <f t="shared" ca="1" si="32"/>
        <v>0</v>
      </c>
      <c r="E159" s="696">
        <f ca="1">IF($C159=1,OFFSET(E159,-1,0)+MAX(1,COUNTIF(QCI!$A$13:$A$24,OFFSET(ORÇAMENTO!E159,-1,0))),OFFSET(E159,-1,0))</f>
        <v>1</v>
      </c>
      <c r="F159" s="696">
        <f t="shared" ca="1" si="33"/>
        <v>25</v>
      </c>
      <c r="G159" s="696">
        <f t="shared" ca="1" si="34"/>
        <v>0</v>
      </c>
      <c r="H159" s="696">
        <f t="shared" ca="1" si="35"/>
        <v>0</v>
      </c>
      <c r="I159" s="696">
        <f t="shared" ca="1" si="36"/>
        <v>7</v>
      </c>
      <c r="J159" s="696">
        <f t="shared" ca="1" si="42"/>
        <v>0</v>
      </c>
      <c r="K159" s="696">
        <f ca="1">IF(OR($C159="S",$C159=0),0,MATCH(OFFSET($D159,0,$C159)+IF($C159&lt;&gt;1,1,COUNTIF(QCI!$A$13:$A$24,ORÇAMENTO!E159)),OFFSET($D159,1,$C159,ROW($C$235)-ROW($C159)),0))</f>
        <v>0</v>
      </c>
      <c r="L159" s="114" t="str">
        <f t="shared" ca="1" si="37"/>
        <v>F</v>
      </c>
      <c r="M159" s="115" t="s">
        <v>705</v>
      </c>
      <c r="N159" s="116" t="str">
        <f t="shared" ca="1" si="38"/>
        <v>Serviço</v>
      </c>
      <c r="O159" s="117" t="str">
        <f t="shared" ca="1" si="39"/>
        <v>1.25.7.</v>
      </c>
      <c r="P159" s="118" t="s">
        <v>750</v>
      </c>
      <c r="Q159" s="119" t="s">
        <v>1140</v>
      </c>
      <c r="R159" s="120" t="str">
        <f t="array" aca="1" ref="R159" ca="1">IF($C159="S",REFERENCIA.Descricao,"(digite a descrição aqui)")</f>
        <v>ELETRODUTO FLEXÍVEL CORRUGADO, PVC, DN 25 MM (3/4"), PARA CIRCUITOS TERMINAIS, INSTALADO EM PAREDE - FORNECIMENTO E INSTALAÇÃO. AF_03/2023</v>
      </c>
      <c r="S159" s="121" t="str">
        <f t="array" aca="1" ref="S159" ca="1">REFERENCIA.Unidade</f>
        <v>M</v>
      </c>
      <c r="T159" s="122">
        <f ca="1">OFFSET(CÁLCULO!H$15,ROW($T159)-ROW(T$15),0)</f>
        <v>1166</v>
      </c>
      <c r="U159" s="123">
        <f>10.54*0.94</f>
        <v>9.9075999999999986</v>
      </c>
      <c r="V159" s="124" t="s">
        <v>697</v>
      </c>
      <c r="W159" s="122">
        <f t="array" aca="1" ref="W159" ca="1">IF($C159="S",ROUND(IF(TIPOORCAMENTO="Proposto",ORÇAMENTO.CustoUnitario*(1+$AH159),ORÇAMENTO.PrecoUnitarioLicitado),15-13*$AF$10),0)</f>
        <v>11.93</v>
      </c>
      <c r="X159" s="125">
        <f t="array" aca="1" ref="X159" ca="1">IF($C159="S",IF(OR(Import.TipoArredondamento&lt;&gt;"TransfereGOV",ACOMPANHAMENTO="BM"),VTOTAL1,SUM(OFFSET(CÁLCULO!$AI$15,ROW($X159)-ROW($X$15),1):OFFSET(CÁLCULO!$BB$15,ROW($X159)-ROW($X$15),-1))),IF($C159=0,0,ROUND(SomaAgrup,15-13*$AF$11)))</f>
        <v>13910.4</v>
      </c>
      <c r="Y159" s="126" t="s">
        <v>751</v>
      </c>
      <c r="Z159" s="696" t="str">
        <f t="shared" ca="1" si="40"/>
        <v>RA</v>
      </c>
      <c r="AA159" s="127">
        <f t="array" aca="1" ref="AA159" ca="1">IF($C159="S",IF($Z159="CP",$X159,IF($Z159="RA",(($X159)*QCI!$AA$3),0)),SomaAgrup)</f>
        <v>0</v>
      </c>
      <c r="AB159" s="128">
        <f t="array" aca="1" ref="AB159" ca="1">IF($C159="S",IF($Z159="OU",ROUND($X159,2),0),SomaAgrup)</f>
        <v>0</v>
      </c>
      <c r="AC159" s="563" t="str">
        <f t="array" aca="1" ref="AC159" ca="1">IF($N159=""," ",
IF(AND($C159&lt;&gt;"S",OR($R159="",$R159="(digite a descrição aqui)")),"DESCRIÇÃO",
IF(AND($C159="S",OR($Q159&lt;&gt;"",$T159&gt;0,$U159&gt;0),$P159=""),"FONTE",
IF(AND($C159="S",$P159&lt;&gt;"",OR($T159&gt;0,$U159&gt;0),$Q159=""),"CÓDIGO",
IF(AND($C159="S",$P159&lt;&gt;"",$Q159&lt;&gt;"",$R159="(Código não identificado nas referências)"),"CÓDIGO N/ID",
IF(AND($C159="S",OR($R159="",$R159="(digite a descrição aqui)"),OR($Q159&lt;&gt;"",$T159&gt;0,$U159&gt;0)),"DESCRIÇÃO",
IF(AND($C159="S",$P159&lt;&gt;"",$Q159&lt;&gt;"",$S159=""),"UNIDADE",
IF(AND($C159="S",$P159&lt;&gt;"",$Q159&lt;&gt;"",$U159=0),"SEM CUSTO",
IF(AND(TIPOORCAMENTO="Licitado",$AL159=0,$AN159&gt;0),"SEM PREÇO",
IF(AND($C159="S",$P159&lt;&gt;"",$Q159&lt;&gt;"",$U159&gt;0,AND($V159&lt;&gt;"BDI 1",$V159&lt;&gt;"BDI 2",$V159&lt;&gt;"BDI 3")),IF(ISNUMBER($V159),"JUSTIFICAR BDI","BDI"),
IF(OR(AND(import.recurso="OGU",TIPOORCAMENTO="Proposto",LEFT($O$8,5)&lt;&gt;"(N/D:",$AG159&lt;&gt;"",ORÇAMENTO.CustoUnitario&gt;$AG159),AND(TIPOORCAMENTO="LICITADO",ORÇAMENTO.PrecoUnitarioLicitado&gt;$AN159)),"ACIMA REF.",
IF(AND($C159="S",$P159&lt;&gt;"",$Q159&lt;&gt;"",$T159=0,$U159&gt;0),"QUANT.",
IF(AND(Import.TipoArredondamento="TransfereGOV",$L159="F",$C159="S",LEN($Q159)&gt;13),"Código &gt;13",
IF(AND(Import.TipoArredondamento="TransfereGOV",$L159="F",$C159&lt;&gt;"S",LEN($R159)&gt;100),"Descrição &gt;100",
IF(AND(Import.TipoArredondamento="TransfereGOV",$L159="F",$C159="S",LEN($R159)&gt;500),"Descrição &gt;500",
IF(AND(Import.TipoArredondamento="TransfereGOV",$L159="F",$C159="S",LEFT(TRIM(UPPER($P159)),6)&lt;&gt;"SINAPI",ISNA(VLOOKUP(TRIM(UPPER($S159)),ListaTgov.Unidades,1,FALSE))),"Unid. Não Disp",
" "))))))))))))))))</f>
        <v xml:space="preserve"> </v>
      </c>
      <c r="AD159" s="696" t="str">
        <f ca="1">IF(C159&lt;=CRONO.NivelExibicao,MAX($AD$15:OFFSET(AD159,-1,0))+IF($C159&lt;&gt;1,1,MAX(1,COUNTIF(QCI!$A$13:$A$24,OFFSET($E159,-1,0)))),"")</f>
        <v/>
      </c>
      <c r="AE159" s="694" t="str">
        <f t="array" aca="1" ref="AE159" ca="1">IF(AND($C159="S",ORÇAMENTO.CodBarra&lt;&gt;""),IF(ORÇAMENTO.Fonte="",ORÇAMENTO.CodBarra,CONCATENATE(ORÇAMENTO.Fonte," ",ORÇAMENTO.CodBarra)))</f>
        <v>SINAPI 91854</v>
      </c>
      <c r="AF159" s="695">
        <f t="array" aca="1" ref="AF159" ca="1">IF(ISERROR(ORÇAMENTO.BancoRef),"(abra o arquivo 'Referência "&amp;Excel_BuiltIn_Database&amp;".xlsm)",IF(OR($C159&lt;&gt;"S",ORÇAMENTO.CodBarra=""),"(Sem Código)",IF(ISERROR(MATCH($AE159,INDIRECT(ORÇAMENTO.BancoRef),0)),"(Código não identificado nas referências)",MATCH($AE159,INDIRECT(ORÇAMENTO.BancoRef),0))))</f>
        <v>10440</v>
      </c>
      <c r="AG159" s="428">
        <f t="array" aca="1" ref="AG159" ca="1">ROUND(IF(DESONERACAO="sim",REFERENCIA.Desonerado,REFERENCIA.NaoDesonerado),2)</f>
        <v>10.54</v>
      </c>
      <c r="AH159" s="429">
        <f t="shared" ca="1" si="41"/>
        <v>0.2034</v>
      </c>
      <c r="AJ159" s="431"/>
      <c r="AL159" s="439"/>
      <c r="AM159" s="336">
        <f t="shared" ca="1" si="0"/>
        <v>13910.4</v>
      </c>
      <c r="AN159" s="469">
        <f t="array" aca="1" ref="AN159" ca="1">ROUND(ORÇAMENTO.CustoUnitario*(1+$AH159),2)</f>
        <v>11.93</v>
      </c>
    </row>
    <row r="160" spans="1:40" s="696" customFormat="1" ht="38.25" x14ac:dyDescent="0.2">
      <c r="A160" s="696" t="str">
        <f t="shared" si="29"/>
        <v>S</v>
      </c>
      <c r="B160" s="696">
        <f t="shared" ca="1" si="30"/>
        <v>2</v>
      </c>
      <c r="C160" s="696" t="str">
        <f t="shared" ca="1" si="31"/>
        <v>S</v>
      </c>
      <c r="D160" s="696">
        <f t="shared" ca="1" si="32"/>
        <v>0</v>
      </c>
      <c r="E160" s="696">
        <f ca="1">IF($C160=1,OFFSET(E160,-1,0)+MAX(1,COUNTIF(QCI!$A$13:$A$24,OFFSET(ORÇAMENTO!E160,-1,0))),OFFSET(E160,-1,0))</f>
        <v>1</v>
      </c>
      <c r="F160" s="696">
        <f t="shared" ca="1" si="33"/>
        <v>25</v>
      </c>
      <c r="G160" s="696">
        <f t="shared" ca="1" si="34"/>
        <v>0</v>
      </c>
      <c r="H160" s="696">
        <f t="shared" ca="1" si="35"/>
        <v>0</v>
      </c>
      <c r="I160" s="696">
        <f t="shared" ca="1" si="36"/>
        <v>8</v>
      </c>
      <c r="J160" s="696">
        <f t="shared" ca="1" si="42"/>
        <v>0</v>
      </c>
      <c r="K160" s="696">
        <f ca="1">IF(OR($C160="S",$C160=0),0,MATCH(OFFSET($D160,0,$C160)+IF($C160&lt;&gt;1,1,COUNTIF(QCI!$A$13:$A$24,ORÇAMENTO!E160)),OFFSET($D160,1,$C160,ROW($C$235)-ROW($C160)),0))</f>
        <v>0</v>
      </c>
      <c r="L160" s="114" t="str">
        <f t="shared" ca="1" si="37"/>
        <v>F</v>
      </c>
      <c r="M160" s="115" t="s">
        <v>705</v>
      </c>
      <c r="N160" s="116" t="str">
        <f t="shared" ca="1" si="38"/>
        <v>Serviço</v>
      </c>
      <c r="O160" s="117" t="str">
        <f t="shared" ca="1" si="39"/>
        <v>1.25.8.</v>
      </c>
      <c r="P160" s="118" t="s">
        <v>750</v>
      </c>
      <c r="Q160" s="119" t="s">
        <v>1141</v>
      </c>
      <c r="R160" s="120" t="str">
        <f t="array" aca="1" ref="R160" ca="1">IF($C160="S",REFERENCIA.Descricao,"(digite a descrição aqui)")</f>
        <v>ELETRODUTO FLEXÍVEL CORRUGADO REFORÇADO, PVC, DN 25 MM (3/4"), PARA CIRCUITOS TERMINAIS, INSTALADO EM LAJE - FORNECIMENTO E INSTALAÇÃO. AF_03/2023</v>
      </c>
      <c r="S160" s="121" t="str">
        <f t="array" aca="1" ref="S160" ca="1">REFERENCIA.Unidade</f>
        <v>M</v>
      </c>
      <c r="T160" s="122">
        <f ca="1">OFFSET(CÁLCULO!H$15,ROW($T160)-ROW(T$15),0)</f>
        <v>441.2</v>
      </c>
      <c r="U160" s="123">
        <f>8.87*0.94</f>
        <v>8.3377999999999997</v>
      </c>
      <c r="V160" s="124" t="s">
        <v>697</v>
      </c>
      <c r="W160" s="122">
        <f t="array" aca="1" ref="W160" ca="1">IF($C160="S",ROUND(IF(TIPOORCAMENTO="Proposto",ORÇAMENTO.CustoUnitario*(1+$AH160),ORÇAMENTO.PrecoUnitarioLicitado),15-13*$AF$10),0)</f>
        <v>10.039999999999999</v>
      </c>
      <c r="X160" s="125">
        <f t="array" aca="1" ref="X160" ca="1">IF($C160="S",IF(OR(Import.TipoArredondamento&lt;&gt;"TransfereGOV",ACOMPANHAMENTO="BM"),VTOTAL1,SUM(OFFSET(CÁLCULO!$AI$15,ROW($X160)-ROW($X$15),1):OFFSET(CÁLCULO!$BB$15,ROW($X160)-ROW($X$15),-1))),IF($C160=0,0,ROUND(SomaAgrup,15-13*$AF$11)))</f>
        <v>4429.6400000000003</v>
      </c>
      <c r="Y160" s="126" t="s">
        <v>751</v>
      </c>
      <c r="Z160" s="696" t="str">
        <f t="shared" ca="1" si="40"/>
        <v>RA</v>
      </c>
      <c r="AA160" s="127">
        <f t="array" aca="1" ref="AA160" ca="1">IF($C160="S",IF($Z160="CP",$X160,IF($Z160="RA",(($X160)*QCI!$AA$3),0)),SomaAgrup)</f>
        <v>0</v>
      </c>
      <c r="AB160" s="128">
        <f t="array" aca="1" ref="AB160" ca="1">IF($C160="S",IF($Z160="OU",ROUND($X160,2),0),SomaAgrup)</f>
        <v>0</v>
      </c>
      <c r="AC160" s="563" t="str">
        <f t="array" aca="1" ref="AC160" ca="1">IF($N160=""," ",
IF(AND($C160&lt;&gt;"S",OR($R160="",$R160="(digite a descrição aqui)")),"DESCRIÇÃO",
IF(AND($C160="S",OR($Q160&lt;&gt;"",$T160&gt;0,$U160&gt;0),$P160=""),"FONTE",
IF(AND($C160="S",$P160&lt;&gt;"",OR($T160&gt;0,$U160&gt;0),$Q160=""),"CÓDIGO",
IF(AND($C160="S",$P160&lt;&gt;"",$Q160&lt;&gt;"",$R160="(Código não identificado nas referências)"),"CÓDIGO N/ID",
IF(AND($C160="S",OR($R160="",$R160="(digite a descrição aqui)"),OR($Q160&lt;&gt;"",$T160&gt;0,$U160&gt;0)),"DESCRIÇÃO",
IF(AND($C160="S",$P160&lt;&gt;"",$Q160&lt;&gt;"",$S160=""),"UNIDADE",
IF(AND($C160="S",$P160&lt;&gt;"",$Q160&lt;&gt;"",$U160=0),"SEM CUSTO",
IF(AND(TIPOORCAMENTO="Licitado",$AL160=0,$AN160&gt;0),"SEM PREÇO",
IF(AND($C160="S",$P160&lt;&gt;"",$Q160&lt;&gt;"",$U160&gt;0,AND($V160&lt;&gt;"BDI 1",$V160&lt;&gt;"BDI 2",$V160&lt;&gt;"BDI 3")),IF(ISNUMBER($V160),"JUSTIFICAR BDI","BDI"),
IF(OR(AND(import.recurso="OGU",TIPOORCAMENTO="Proposto",LEFT($O$8,5)&lt;&gt;"(N/D:",$AG160&lt;&gt;"",ORÇAMENTO.CustoUnitario&gt;$AG160),AND(TIPOORCAMENTO="LICITADO",ORÇAMENTO.PrecoUnitarioLicitado&gt;$AN160)),"ACIMA REF.",
IF(AND($C160="S",$P160&lt;&gt;"",$Q160&lt;&gt;"",$T160=0,$U160&gt;0),"QUANT.",
IF(AND(Import.TipoArredondamento="TransfereGOV",$L160="F",$C160="S",LEN($Q160)&gt;13),"Código &gt;13",
IF(AND(Import.TipoArredondamento="TransfereGOV",$L160="F",$C160&lt;&gt;"S",LEN($R160)&gt;100),"Descrição &gt;100",
IF(AND(Import.TipoArredondamento="TransfereGOV",$L160="F",$C160="S",LEN($R160)&gt;500),"Descrição &gt;500",
IF(AND(Import.TipoArredondamento="TransfereGOV",$L160="F",$C160="S",LEFT(TRIM(UPPER($P160)),6)&lt;&gt;"SINAPI",ISNA(VLOOKUP(TRIM(UPPER($S160)),ListaTgov.Unidades,1,FALSE))),"Unid. Não Disp",
" "))))))))))))))))</f>
        <v xml:space="preserve"> </v>
      </c>
      <c r="AD160" s="696" t="str">
        <f ca="1">IF(C160&lt;=CRONO.NivelExibicao,MAX($AD$15:OFFSET(AD160,-1,0))+IF($C160&lt;&gt;1,1,MAX(1,COUNTIF(QCI!$A$13:$A$24,OFFSET($E160,-1,0)))),"")</f>
        <v/>
      </c>
      <c r="AE160" s="694" t="str">
        <f t="array" aca="1" ref="AE160" ca="1">IF(AND($C160="S",ORÇAMENTO.CodBarra&lt;&gt;""),IF(ORÇAMENTO.Fonte="",ORÇAMENTO.CodBarra,CONCATENATE(ORÇAMENTO.Fonte," ",ORÇAMENTO.CodBarra)))</f>
        <v>SINAPI 91845</v>
      </c>
      <c r="AF160" s="695">
        <f t="array" aca="1" ref="AF160" ca="1">IF(ISERROR(ORÇAMENTO.BancoRef),"(abra o arquivo 'Referência "&amp;Excel_BuiltIn_Database&amp;".xlsm)",IF(OR($C160&lt;&gt;"S",ORÇAMENTO.CodBarra=""),"(Sem Código)",IF(ISERROR(MATCH($AE160,INDIRECT(ORÇAMENTO.BancoRef),0)),"(Código não identificado nas referências)",MATCH($AE160,INDIRECT(ORÇAMENTO.BancoRef),0))))</f>
        <v>10426</v>
      </c>
      <c r="AG160" s="428">
        <f t="array" aca="1" ref="AG160" ca="1">ROUND(IF(DESONERACAO="sim",REFERENCIA.Desonerado,REFERENCIA.NaoDesonerado),2)</f>
        <v>8.8699999999999992</v>
      </c>
      <c r="AH160" s="429">
        <f t="shared" ca="1" si="41"/>
        <v>0.2034</v>
      </c>
      <c r="AJ160" s="431"/>
      <c r="AL160" s="439"/>
      <c r="AM160" s="336">
        <f t="shared" ca="1" si="0"/>
        <v>4429.6400000000003</v>
      </c>
      <c r="AN160" s="469">
        <f t="array" aca="1" ref="AN160" ca="1">ROUND(ORÇAMENTO.CustoUnitario*(1+$AH160),2)</f>
        <v>10.039999999999999</v>
      </c>
    </row>
    <row r="161" spans="1:40" s="696" customFormat="1" ht="25.5" x14ac:dyDescent="0.2">
      <c r="A161" s="696" t="str">
        <f t="shared" si="29"/>
        <v>S</v>
      </c>
      <c r="B161" s="696">
        <f t="shared" ca="1" si="30"/>
        <v>2</v>
      </c>
      <c r="C161" s="696" t="str">
        <f t="shared" ca="1" si="31"/>
        <v>S</v>
      </c>
      <c r="D161" s="696">
        <f t="shared" ca="1" si="32"/>
        <v>0</v>
      </c>
      <c r="E161" s="696">
        <f ca="1">IF($C161=1,OFFSET(E161,-1,0)+MAX(1,COUNTIF(QCI!$A$13:$A$24,OFFSET(ORÇAMENTO!E161,-1,0))),OFFSET(E161,-1,0))</f>
        <v>1</v>
      </c>
      <c r="F161" s="696">
        <f t="shared" ca="1" si="33"/>
        <v>25</v>
      </c>
      <c r="G161" s="696">
        <f t="shared" ca="1" si="34"/>
        <v>0</v>
      </c>
      <c r="H161" s="696">
        <f t="shared" ca="1" si="35"/>
        <v>0</v>
      </c>
      <c r="I161" s="696">
        <f t="shared" ca="1" si="36"/>
        <v>9</v>
      </c>
      <c r="J161" s="696">
        <f t="shared" ca="1" si="42"/>
        <v>0</v>
      </c>
      <c r="K161" s="696">
        <f ca="1">IF(OR($C161="S",$C161=0),0,MATCH(OFFSET($D161,0,$C161)+IF($C161&lt;&gt;1,1,COUNTIF(QCI!$A$13:$A$24,ORÇAMENTO!E161)),OFFSET($D161,1,$C161,ROW($C$235)-ROW($C161)),0))</f>
        <v>0</v>
      </c>
      <c r="L161" s="114" t="str">
        <f t="shared" ca="1" si="37"/>
        <v>F</v>
      </c>
      <c r="M161" s="115" t="s">
        <v>705</v>
      </c>
      <c r="N161" s="116" t="str">
        <f t="shared" ca="1" si="38"/>
        <v>Serviço</v>
      </c>
      <c r="O161" s="117" t="str">
        <f t="shared" ca="1" si="39"/>
        <v>1.25.9.</v>
      </c>
      <c r="P161" s="118" t="s">
        <v>750</v>
      </c>
      <c r="Q161" s="119" t="s">
        <v>1142</v>
      </c>
      <c r="R161" s="120" t="str">
        <f t="array" aca="1" ref="R161" ca="1">IF($C161="S",REFERENCIA.Descricao,"(digite a descrição aqui)")</f>
        <v>RASGO LINEAR MANUAL EM ALVENARIA, PARA ELETRODUTOS, DIÂMETROS MENORES OU IGUAIS A 40 MM. AF_09/2023</v>
      </c>
      <c r="S161" s="121" t="str">
        <f t="array" aca="1" ref="S161" ca="1">REFERENCIA.Unidade</f>
        <v>M</v>
      </c>
      <c r="T161" s="122">
        <f ca="1">OFFSET(CÁLCULO!H$15,ROW($T161)-ROW(T$15),0)</f>
        <v>1166</v>
      </c>
      <c r="U161" s="123">
        <f>9.1*0.94</f>
        <v>8.5539999999999985</v>
      </c>
      <c r="V161" s="124" t="s">
        <v>697</v>
      </c>
      <c r="W161" s="122">
        <f t="array" aca="1" ref="W161" ca="1">IF($C161="S",ROUND(IF(TIPOORCAMENTO="Proposto",ORÇAMENTO.CustoUnitario*(1+$AH161),ORÇAMENTO.PrecoUnitarioLicitado),15-13*$AF$10),0)</f>
        <v>10.29</v>
      </c>
      <c r="X161" s="125">
        <f t="array" aca="1" ref="X161" ca="1">IF($C161="S",IF(OR(Import.TipoArredondamento&lt;&gt;"TransfereGOV",ACOMPANHAMENTO="BM"),VTOTAL1,SUM(OFFSET(CÁLCULO!$AI$15,ROW($X161)-ROW($X$15),1):OFFSET(CÁLCULO!$BB$15,ROW($X161)-ROW($X$15),-1))),IF($C161=0,0,ROUND(SomaAgrup,15-13*$AF$11)))</f>
        <v>11998.16</v>
      </c>
      <c r="Y161" s="126" t="s">
        <v>751</v>
      </c>
      <c r="Z161" s="696" t="str">
        <f t="shared" ca="1" si="40"/>
        <v>RA</v>
      </c>
      <c r="AA161" s="127">
        <f t="array" aca="1" ref="AA161" ca="1">IF($C161="S",IF($Z161="CP",$X161,IF($Z161="RA",(($X161)*QCI!$AA$3),0)),SomaAgrup)</f>
        <v>0</v>
      </c>
      <c r="AB161" s="128">
        <f t="array" aca="1" ref="AB161" ca="1">IF($C161="S",IF($Z161="OU",ROUND($X161,2),0),SomaAgrup)</f>
        <v>0</v>
      </c>
      <c r="AC161" s="563" t="str">
        <f t="array" aca="1" ref="AC161" ca="1">IF($N161=""," ",
IF(AND($C161&lt;&gt;"S",OR($R161="",$R161="(digite a descrição aqui)")),"DESCRIÇÃO",
IF(AND($C161="S",OR($Q161&lt;&gt;"",$T161&gt;0,$U161&gt;0),$P161=""),"FONTE",
IF(AND($C161="S",$P161&lt;&gt;"",OR($T161&gt;0,$U161&gt;0),$Q161=""),"CÓDIGO",
IF(AND($C161="S",$P161&lt;&gt;"",$Q161&lt;&gt;"",$R161="(Código não identificado nas referências)"),"CÓDIGO N/ID",
IF(AND($C161="S",OR($R161="",$R161="(digite a descrição aqui)"),OR($Q161&lt;&gt;"",$T161&gt;0,$U161&gt;0)),"DESCRIÇÃO",
IF(AND($C161="S",$P161&lt;&gt;"",$Q161&lt;&gt;"",$S161=""),"UNIDADE",
IF(AND($C161="S",$P161&lt;&gt;"",$Q161&lt;&gt;"",$U161=0),"SEM CUSTO",
IF(AND(TIPOORCAMENTO="Licitado",$AL161=0,$AN161&gt;0),"SEM PREÇO",
IF(AND($C161="S",$P161&lt;&gt;"",$Q161&lt;&gt;"",$U161&gt;0,AND($V161&lt;&gt;"BDI 1",$V161&lt;&gt;"BDI 2",$V161&lt;&gt;"BDI 3")),IF(ISNUMBER($V161),"JUSTIFICAR BDI","BDI"),
IF(OR(AND(import.recurso="OGU",TIPOORCAMENTO="Proposto",LEFT($O$8,5)&lt;&gt;"(N/D:",$AG161&lt;&gt;"",ORÇAMENTO.CustoUnitario&gt;$AG161),AND(TIPOORCAMENTO="LICITADO",ORÇAMENTO.PrecoUnitarioLicitado&gt;$AN161)),"ACIMA REF.",
IF(AND($C161="S",$P161&lt;&gt;"",$Q161&lt;&gt;"",$T161=0,$U161&gt;0),"QUANT.",
IF(AND(Import.TipoArredondamento="TransfereGOV",$L161="F",$C161="S",LEN($Q161)&gt;13),"Código &gt;13",
IF(AND(Import.TipoArredondamento="TransfereGOV",$L161="F",$C161&lt;&gt;"S",LEN($R161)&gt;100),"Descrição &gt;100",
IF(AND(Import.TipoArredondamento="TransfereGOV",$L161="F",$C161="S",LEN($R161)&gt;500),"Descrição &gt;500",
IF(AND(Import.TipoArredondamento="TransfereGOV",$L161="F",$C161="S",LEFT(TRIM(UPPER($P161)),6)&lt;&gt;"SINAPI",ISNA(VLOOKUP(TRIM(UPPER($S161)),ListaTgov.Unidades,1,FALSE))),"Unid. Não Disp",
" "))))))))))))))))</f>
        <v xml:space="preserve"> </v>
      </c>
      <c r="AD161" s="696" t="str">
        <f ca="1">IF(C161&lt;=CRONO.NivelExibicao,MAX($AD$15:OFFSET(AD161,-1,0))+IF($C161&lt;&gt;1,1,MAX(1,COUNTIF(QCI!$A$13:$A$24,OFFSET($E161,-1,0)))),"")</f>
        <v/>
      </c>
      <c r="AE161" s="694" t="str">
        <f t="array" aca="1" ref="AE161" ca="1">IF(AND($C161="S",ORÇAMENTO.CodBarra&lt;&gt;""),IF(ORÇAMENTO.Fonte="",ORÇAMENTO.CodBarra,CONCATENATE(ORÇAMENTO.Fonte," ",ORÇAMENTO.CodBarra)))</f>
        <v>SINAPI 90447</v>
      </c>
      <c r="AF161" s="695">
        <f t="array" aca="1" ref="AF161" ca="1">IF(ISERROR(ORÇAMENTO.BancoRef),"(abra o arquivo 'Referência "&amp;Excel_BuiltIn_Database&amp;".xlsm)",IF(OR($C161&lt;&gt;"S",ORÇAMENTO.CodBarra=""),"(Sem Código)",IF(ISERROR(MATCH($AE161,INDIRECT(ORÇAMENTO.BancoRef),0)),"(Código não identificado nas referências)",MATCH($AE161,INDIRECT(ORÇAMENTO.BancoRef),0))))</f>
        <v>14487</v>
      </c>
      <c r="AG161" s="428">
        <f t="array" aca="1" ref="AG161" ca="1">ROUND(IF(DESONERACAO="sim",REFERENCIA.Desonerado,REFERENCIA.NaoDesonerado),2)</f>
        <v>9.1</v>
      </c>
      <c r="AH161" s="429">
        <f t="shared" ca="1" si="41"/>
        <v>0.2034</v>
      </c>
      <c r="AJ161" s="431"/>
      <c r="AL161" s="439"/>
      <c r="AM161" s="336">
        <f t="shared" ca="1" si="0"/>
        <v>11998.16</v>
      </c>
      <c r="AN161" s="469">
        <f t="array" aca="1" ref="AN161" ca="1">ROUND(ORÇAMENTO.CustoUnitario*(1+$AH161),2)</f>
        <v>10.29</v>
      </c>
    </row>
    <row r="162" spans="1:40" s="696" customFormat="1" x14ac:dyDescent="0.2">
      <c r="A162" s="696">
        <f t="shared" si="29"/>
        <v>2</v>
      </c>
      <c r="B162" s="696">
        <f t="shared" ca="1" si="30"/>
        <v>2</v>
      </c>
      <c r="C162" s="696">
        <f t="shared" ca="1" si="31"/>
        <v>2</v>
      </c>
      <c r="D162" s="696">
        <f t="shared" ca="1" si="32"/>
        <v>7</v>
      </c>
      <c r="E162" s="696">
        <f ca="1">IF($C162=1,OFFSET(E162,-1,0)+MAX(1,COUNTIF(QCI!$A$13:$A$24,OFFSET(ORÇAMENTO!E162,-1,0))),OFFSET(E162,-1,0))</f>
        <v>1</v>
      </c>
      <c r="F162" s="696">
        <f t="shared" ca="1" si="33"/>
        <v>26</v>
      </c>
      <c r="G162" s="696">
        <f t="shared" ca="1" si="34"/>
        <v>0</v>
      </c>
      <c r="H162" s="696">
        <f t="shared" ca="1" si="35"/>
        <v>0</v>
      </c>
      <c r="I162" s="696">
        <f t="shared" ca="1" si="36"/>
        <v>0</v>
      </c>
      <c r="J162" s="696">
        <f t="shared" ca="1" si="42"/>
        <v>73</v>
      </c>
      <c r="K162" s="696">
        <f ca="1">IF(OR($C162="S",$C162=0),0,MATCH(OFFSET($D162,0,$C162)+IF($C162&lt;&gt;1,1,COUNTIF(QCI!$A$13:$A$24,ORÇAMENTO!E162)),OFFSET($D162,1,$C162,ROW($C$235)-ROW($C162)),0))</f>
        <v>7</v>
      </c>
      <c r="L162" s="114" t="str">
        <f t="shared" ca="1" si="37"/>
        <v>F</v>
      </c>
      <c r="M162" s="115" t="s">
        <v>702</v>
      </c>
      <c r="N162" s="116" t="str">
        <f t="shared" ca="1" si="38"/>
        <v>Nível 2</v>
      </c>
      <c r="O162" s="117" t="str">
        <f t="shared" ca="1" si="39"/>
        <v>1.26.</v>
      </c>
      <c r="P162" s="118" t="s">
        <v>750</v>
      </c>
      <c r="Q162" s="119"/>
      <c r="R162" s="120" t="s">
        <v>1143</v>
      </c>
      <c r="S162" s="121" t="s">
        <v>688</v>
      </c>
      <c r="T162" s="122">
        <f ca="1">OFFSET(CÁLCULO!H$15,ROW($T162)-ROW(T$15),0)</f>
        <v>0</v>
      </c>
      <c r="U162" s="123"/>
      <c r="V162" s="124" t="s">
        <v>663</v>
      </c>
      <c r="W162" s="122">
        <f t="array" aca="1" ref="W162" ca="1">IF($C162="S",ROUND(IF(TIPOORCAMENTO="Proposto",ORÇAMENTO.CustoUnitario*(1+$AH162),ORÇAMENTO.PrecoUnitarioLicitado),15-13*$AF$10),0)</f>
        <v>0</v>
      </c>
      <c r="X162" s="125">
        <f t="array" aca="1" ref="X162" ca="1">IF($C162="S",IF(OR(Import.TipoArredondamento&lt;&gt;"TransfereGOV",ACOMPANHAMENTO="BM"),VTOTAL1,SUM(OFFSET(CÁLCULO!$AI$15,ROW($X162)-ROW($X$15),1):OFFSET(CÁLCULO!$BB$15,ROW($X162)-ROW($X$15),-1))),IF($C162=0,0,ROUND(SomaAgrup,15-13*$AF$11)))</f>
        <v>13216.68</v>
      </c>
      <c r="Y162" s="126" t="s">
        <v>751</v>
      </c>
      <c r="Z162" s="696" t="str">
        <f t="shared" ca="1" si="40"/>
        <v/>
      </c>
      <c r="AA162" s="127">
        <f t="array" aca="1" ref="AA162" ca="1">IF($C162="S",IF($Z162="CP",$X162,IF($Z162="RA",(($X162)*QCI!$AA$3),0)),SomaAgrup)</f>
        <v>0</v>
      </c>
      <c r="AB162" s="128">
        <f t="array" aca="1" ref="AB162" ca="1">IF($C162="S",IF($Z162="OU",ROUND($X162,2),0),SomaAgrup)</f>
        <v>0</v>
      </c>
      <c r="AC162" s="563" t="str">
        <f t="array" aca="1" ref="AC162" ca="1">IF($N162=""," ",
IF(AND($C162&lt;&gt;"S",OR($R162="",$R162="(digite a descrição aqui)")),"DESCRIÇÃO",
IF(AND($C162="S",OR($Q162&lt;&gt;"",$T162&gt;0,$U162&gt;0),$P162=""),"FONTE",
IF(AND($C162="S",$P162&lt;&gt;"",OR($T162&gt;0,$U162&gt;0),$Q162=""),"CÓDIGO",
IF(AND($C162="S",$P162&lt;&gt;"",$Q162&lt;&gt;"",$R162="(Código não identificado nas referências)"),"CÓDIGO N/ID",
IF(AND($C162="S",OR($R162="",$R162="(digite a descrição aqui)"),OR($Q162&lt;&gt;"",$T162&gt;0,$U162&gt;0)),"DESCRIÇÃO",
IF(AND($C162="S",$P162&lt;&gt;"",$Q162&lt;&gt;"",$S162=""),"UNIDADE",
IF(AND($C162="S",$P162&lt;&gt;"",$Q162&lt;&gt;"",$U162=0),"SEM CUSTO",
IF(AND(TIPOORCAMENTO="Licitado",$AL162=0,$AN162&gt;0),"SEM PREÇO",
IF(AND($C162="S",$P162&lt;&gt;"",$Q162&lt;&gt;"",$U162&gt;0,AND($V162&lt;&gt;"BDI 1",$V162&lt;&gt;"BDI 2",$V162&lt;&gt;"BDI 3")),IF(ISNUMBER($V162),"JUSTIFICAR BDI","BDI"),
IF(OR(AND(import.recurso="OGU",TIPOORCAMENTO="Proposto",LEFT($O$8,5)&lt;&gt;"(N/D:",$AG162&lt;&gt;"",ORÇAMENTO.CustoUnitario&gt;$AG162),AND(TIPOORCAMENTO="LICITADO",ORÇAMENTO.PrecoUnitarioLicitado&gt;$AN162)),"ACIMA REF.",
IF(AND($C162="S",$P162&lt;&gt;"",$Q162&lt;&gt;"",$T162=0,$U162&gt;0),"QUANT.",
IF(AND(Import.TipoArredondamento="TransfereGOV",$L162="F",$C162="S",LEN($Q162)&gt;13),"Código &gt;13",
IF(AND(Import.TipoArredondamento="TransfereGOV",$L162="F",$C162&lt;&gt;"S",LEN($R162)&gt;100),"Descrição &gt;100",
IF(AND(Import.TipoArredondamento="TransfereGOV",$L162="F",$C162="S",LEN($R162)&gt;500),"Descrição &gt;500",
IF(AND(Import.TipoArredondamento="TransfereGOV",$L162="F",$C162="S",LEFT(TRIM(UPPER($P162)),6)&lt;&gt;"SINAPI",ISNA(VLOOKUP(TRIM(UPPER($S162)),ListaTgov.Unidades,1,FALSE))),"Unid. Não Disp",
" "))))))))))))))))</f>
        <v xml:space="preserve"> </v>
      </c>
      <c r="AD162" s="696">
        <f ca="1">IF(C162&lt;=CRONO.NivelExibicao,MAX($AD$15:OFFSET(AD162,-1,0))+IF($C162&lt;&gt;1,1,MAX(1,COUNTIF(QCI!$A$13:$A$24,OFFSET($E162,-1,0)))),"")</f>
        <v>27</v>
      </c>
      <c r="AE162" s="694" t="b">
        <f t="array" aca="1" ref="AE162" ca="1">IF(AND($C162="S",ORÇAMENTO.CodBarra&lt;&gt;""),IF(ORÇAMENTO.Fonte="",ORÇAMENTO.CodBarra,CONCATENATE(ORÇAMENTO.Fonte," ",ORÇAMENTO.CodBarra)))</f>
        <v>0</v>
      </c>
      <c r="AF162" s="695" t="str">
        <f t="array" aca="1" ref="AF162" ca="1">IF(ISERROR(ORÇAMENTO.BancoRef),"(abra o arquivo 'Referência "&amp;Excel_BuiltIn_Database&amp;".xlsm)",IF(OR($C162&lt;&gt;"S",ORÇAMENTO.CodBarra=""),"(Sem Código)",IF(ISERROR(MATCH($AE162,INDIRECT(ORÇAMENTO.BancoRef),0)),"(Código não identificado nas referências)",MATCH($AE162,INDIRECT(ORÇAMENTO.BancoRef),0))))</f>
        <v>(Sem Código)</v>
      </c>
      <c r="AG162" s="428">
        <f t="array" aca="1" ref="AG162" ca="1">ROUND(IF(DESONERACAO="sim",REFERENCIA.Desonerado,REFERENCIA.NaoDesonerado),2)</f>
        <v>0</v>
      </c>
      <c r="AH162" s="429">
        <f t="shared" ca="1" si="41"/>
        <v>0.29389999999999999</v>
      </c>
      <c r="AJ162" s="431"/>
      <c r="AL162" s="439"/>
      <c r="AM162" s="336">
        <f t="shared" ca="1" si="0"/>
        <v>13216.68</v>
      </c>
      <c r="AN162" s="469">
        <f t="array" aca="1" ref="AN162" ca="1">ROUND(ORÇAMENTO.CustoUnitario*(1+$AH162),2)</f>
        <v>0</v>
      </c>
    </row>
    <row r="163" spans="1:40" s="696" customFormat="1" ht="38.25" x14ac:dyDescent="0.2">
      <c r="A163" s="696" t="str">
        <f t="shared" si="29"/>
        <v>S</v>
      </c>
      <c r="B163" s="696">
        <f t="shared" ca="1" si="30"/>
        <v>2</v>
      </c>
      <c r="C163" s="696" t="str">
        <f t="shared" ca="1" si="31"/>
        <v>S</v>
      </c>
      <c r="D163" s="696">
        <f t="shared" ca="1" si="32"/>
        <v>0</v>
      </c>
      <c r="E163" s="696">
        <f ca="1">IF($C163=1,OFFSET(E163,-1,0)+MAX(1,COUNTIF(QCI!$A$13:$A$24,OFFSET(ORÇAMENTO!E163,-1,0))),OFFSET(E163,-1,0))</f>
        <v>1</v>
      </c>
      <c r="F163" s="696">
        <f t="shared" ca="1" si="33"/>
        <v>26</v>
      </c>
      <c r="G163" s="696">
        <f t="shared" ca="1" si="34"/>
        <v>0</v>
      </c>
      <c r="H163" s="696">
        <f t="shared" ca="1" si="35"/>
        <v>0</v>
      </c>
      <c r="I163" s="696">
        <f t="shared" ca="1" si="36"/>
        <v>1</v>
      </c>
      <c r="J163" s="696">
        <f t="shared" ca="1" si="42"/>
        <v>0</v>
      </c>
      <c r="K163" s="696">
        <f ca="1">IF(OR($C163="S",$C163=0),0,MATCH(OFFSET($D163,0,$C163)+IF($C163&lt;&gt;1,1,COUNTIF(QCI!$A$13:$A$24,ORÇAMENTO!E163)),OFFSET($D163,1,$C163,ROW($C$235)-ROW($C163)),0))</f>
        <v>0</v>
      </c>
      <c r="L163" s="114" t="str">
        <f t="shared" ca="1" si="37"/>
        <v>F</v>
      </c>
      <c r="M163" s="115" t="s">
        <v>705</v>
      </c>
      <c r="N163" s="116" t="str">
        <f t="shared" ca="1" si="38"/>
        <v>Serviço</v>
      </c>
      <c r="O163" s="117" t="str">
        <f t="shared" ca="1" si="39"/>
        <v>1.26.1.</v>
      </c>
      <c r="P163" s="118" t="s">
        <v>750</v>
      </c>
      <c r="Q163" s="119" t="s">
        <v>1144</v>
      </c>
      <c r="R163" s="120" t="str">
        <f t="array" aca="1" ref="R163" ca="1">IF($C163="S",REFERENCIA.Descricao,"(digite a descrição aqui)")</f>
        <v>JOELHO 90 GRAUS COM BUCHA DE LATÃO, PVC, SOLDÁVEL, DN 25MM, X 1/2 INSTALADO EM RAMAL OU SUB-RAMAL DE ÁGUA - FORNECIMENTO E INSTALAÇÃO. AF_06/2022</v>
      </c>
      <c r="S163" s="121" t="str">
        <f t="array" aca="1" ref="S163" ca="1">REFERENCIA.Unidade</f>
        <v>UN</v>
      </c>
      <c r="T163" s="122">
        <f ca="1">OFFSET(CÁLCULO!H$15,ROW($T163)-ROW(T$15),0)</f>
        <v>140</v>
      </c>
      <c r="U163" s="123">
        <f>13.77*0.94</f>
        <v>12.9438</v>
      </c>
      <c r="V163" s="124" t="s">
        <v>697</v>
      </c>
      <c r="W163" s="122">
        <f t="array" aca="1" ref="W163" ca="1">IF($C163="S",ROUND(IF(TIPOORCAMENTO="Proposto",ORÇAMENTO.CustoUnitario*(1+$AH163),ORÇAMENTO.PrecoUnitarioLicitado),15-13*$AF$10),0)</f>
        <v>15.57</v>
      </c>
      <c r="X163" s="125">
        <f t="array" aca="1" ref="X163" ca="1">IF($C163="S",IF(OR(Import.TipoArredondamento&lt;&gt;"TransfereGOV",ACOMPANHAMENTO="BM"),VTOTAL1,SUM(OFFSET(CÁLCULO!$AI$15,ROW($X163)-ROW($X$15),1):OFFSET(CÁLCULO!$BB$15,ROW($X163)-ROW($X$15),-1))),IF($C163=0,0,ROUND(SomaAgrup,15-13*$AF$11)))</f>
        <v>2179.8000000000002</v>
      </c>
      <c r="Y163" s="126" t="s">
        <v>751</v>
      </c>
      <c r="Z163" s="696" t="str">
        <f t="shared" ca="1" si="40"/>
        <v>RA</v>
      </c>
      <c r="AA163" s="127">
        <f t="array" aca="1" ref="AA163" ca="1">IF($C163="S",IF($Z163="CP",$X163,IF($Z163="RA",(($X163)*QCI!$AA$3),0)),SomaAgrup)</f>
        <v>0</v>
      </c>
      <c r="AB163" s="128">
        <f t="array" aca="1" ref="AB163" ca="1">IF($C163="S",IF($Z163="OU",ROUND($X163,2),0),SomaAgrup)</f>
        <v>0</v>
      </c>
      <c r="AC163" s="563" t="str">
        <f t="array" aca="1" ref="AC163" ca="1">IF($N163=""," ",
IF(AND($C163&lt;&gt;"S",OR($R163="",$R163="(digite a descrição aqui)")),"DESCRIÇÃO",
IF(AND($C163="S",OR($Q163&lt;&gt;"",$T163&gt;0,$U163&gt;0),$P163=""),"FONTE",
IF(AND($C163="S",$P163&lt;&gt;"",OR($T163&gt;0,$U163&gt;0),$Q163=""),"CÓDIGO",
IF(AND($C163="S",$P163&lt;&gt;"",$Q163&lt;&gt;"",$R163="(Código não identificado nas referências)"),"CÓDIGO N/ID",
IF(AND($C163="S",OR($R163="",$R163="(digite a descrição aqui)"),OR($Q163&lt;&gt;"",$T163&gt;0,$U163&gt;0)),"DESCRIÇÃO",
IF(AND($C163="S",$P163&lt;&gt;"",$Q163&lt;&gt;"",$S163=""),"UNIDADE",
IF(AND($C163="S",$P163&lt;&gt;"",$Q163&lt;&gt;"",$U163=0),"SEM CUSTO",
IF(AND(TIPOORCAMENTO="Licitado",$AL163=0,$AN163&gt;0),"SEM PREÇO",
IF(AND($C163="S",$P163&lt;&gt;"",$Q163&lt;&gt;"",$U163&gt;0,AND($V163&lt;&gt;"BDI 1",$V163&lt;&gt;"BDI 2",$V163&lt;&gt;"BDI 3")),IF(ISNUMBER($V163),"JUSTIFICAR BDI","BDI"),
IF(OR(AND(import.recurso="OGU",TIPOORCAMENTO="Proposto",LEFT($O$8,5)&lt;&gt;"(N/D:",$AG163&lt;&gt;"",ORÇAMENTO.CustoUnitario&gt;$AG163),AND(TIPOORCAMENTO="LICITADO",ORÇAMENTO.PrecoUnitarioLicitado&gt;$AN163)),"ACIMA REF.",
IF(AND($C163="S",$P163&lt;&gt;"",$Q163&lt;&gt;"",$T163=0,$U163&gt;0),"QUANT.",
IF(AND(Import.TipoArredondamento="TransfereGOV",$L163="F",$C163="S",LEN($Q163)&gt;13),"Código &gt;13",
IF(AND(Import.TipoArredondamento="TransfereGOV",$L163="F",$C163&lt;&gt;"S",LEN($R163)&gt;100),"Descrição &gt;100",
IF(AND(Import.TipoArredondamento="TransfereGOV",$L163="F",$C163="S",LEN($R163)&gt;500),"Descrição &gt;500",
IF(AND(Import.TipoArredondamento="TransfereGOV",$L163="F",$C163="S",LEFT(TRIM(UPPER($P163)),6)&lt;&gt;"SINAPI",ISNA(VLOOKUP(TRIM(UPPER($S163)),ListaTgov.Unidades,1,FALSE))),"Unid. Não Disp",
" "))))))))))))))))</f>
        <v xml:space="preserve"> </v>
      </c>
      <c r="AD163" s="696" t="str">
        <f ca="1">IF(C163&lt;=CRONO.NivelExibicao,MAX($AD$15:OFFSET(AD163,-1,0))+IF($C163&lt;&gt;1,1,MAX(1,COUNTIF(QCI!$A$13:$A$24,OFFSET($E163,-1,0)))),"")</f>
        <v/>
      </c>
      <c r="AE163" s="694" t="str">
        <f t="array" aca="1" ref="AE163" ca="1">IF(AND($C163="S",ORÇAMENTO.CodBarra&lt;&gt;""),IF(ORÇAMENTO.Fonte="",ORÇAMENTO.CodBarra,CONCATENATE(ORÇAMENTO.Fonte," ",ORÇAMENTO.CodBarra)))</f>
        <v>SINAPI 90373</v>
      </c>
      <c r="AF163" s="695">
        <f t="array" aca="1" ref="AF163" ca="1">IF(ISERROR(ORÇAMENTO.BancoRef),"(abra o arquivo 'Referência "&amp;Excel_BuiltIn_Database&amp;".xlsm)",IF(OR($C163&lt;&gt;"S",ORÇAMENTO.CodBarra=""),"(Sem Código)",IF(ISERROR(MATCH($AE163,INDIRECT(ORÇAMENTO.BancoRef),0)),"(Código não identificado nas referências)",MATCH($AE163,INDIRECT(ORÇAMENTO.BancoRef),0))))</f>
        <v>11542</v>
      </c>
      <c r="AG163" s="428">
        <f t="array" aca="1" ref="AG163" ca="1">ROUND(IF(DESONERACAO="sim",REFERENCIA.Desonerado,REFERENCIA.NaoDesonerado),2)</f>
        <v>13.77</v>
      </c>
      <c r="AH163" s="429">
        <f t="shared" ca="1" si="41"/>
        <v>0.2034</v>
      </c>
      <c r="AJ163" s="431"/>
      <c r="AL163" s="439"/>
      <c r="AM163" s="336">
        <f t="shared" ca="1" si="0"/>
        <v>2179.8000000000002</v>
      </c>
      <c r="AN163" s="469">
        <f t="array" aca="1" ref="AN163" ca="1">ROUND(ORÇAMENTO.CustoUnitario*(1+$AH163),2)</f>
        <v>15.57</v>
      </c>
    </row>
    <row r="164" spans="1:40" s="696" customFormat="1" ht="38.25" x14ac:dyDescent="0.2">
      <c r="A164" s="696" t="str">
        <f t="shared" si="29"/>
        <v>S</v>
      </c>
      <c r="B164" s="696">
        <f t="shared" ca="1" si="30"/>
        <v>2</v>
      </c>
      <c r="C164" s="696" t="str">
        <f t="shared" ca="1" si="31"/>
        <v>S</v>
      </c>
      <c r="D164" s="696">
        <f t="shared" ca="1" si="32"/>
        <v>0</v>
      </c>
      <c r="E164" s="696">
        <f ca="1">IF($C164=1,OFFSET(E164,-1,0)+MAX(1,COUNTIF(QCI!$A$13:$A$24,OFFSET(ORÇAMENTO!E164,-1,0))),OFFSET(E164,-1,0))</f>
        <v>1</v>
      </c>
      <c r="F164" s="696">
        <f t="shared" ca="1" si="33"/>
        <v>26</v>
      </c>
      <c r="G164" s="696">
        <f t="shared" ca="1" si="34"/>
        <v>0</v>
      </c>
      <c r="H164" s="696">
        <f t="shared" ca="1" si="35"/>
        <v>0</v>
      </c>
      <c r="I164" s="696">
        <f t="shared" ca="1" si="36"/>
        <v>2</v>
      </c>
      <c r="J164" s="696">
        <f t="shared" ca="1" si="42"/>
        <v>0</v>
      </c>
      <c r="K164" s="696">
        <f ca="1">IF(OR($C164="S",$C164=0),0,MATCH(OFFSET($D164,0,$C164)+IF($C164&lt;&gt;1,1,COUNTIF(QCI!$A$13:$A$24,ORÇAMENTO!E164)),OFFSET($D164,1,$C164,ROW($C$235)-ROW($C164)),0))</f>
        <v>0</v>
      </c>
      <c r="L164" s="114" t="str">
        <f t="shared" ca="1" si="37"/>
        <v>F</v>
      </c>
      <c r="M164" s="115" t="s">
        <v>705</v>
      </c>
      <c r="N164" s="116" t="str">
        <f t="shared" ca="1" si="38"/>
        <v>Serviço</v>
      </c>
      <c r="O164" s="117" t="str">
        <f t="shared" ca="1" si="39"/>
        <v>1.26.2.</v>
      </c>
      <c r="P164" s="118" t="s">
        <v>750</v>
      </c>
      <c r="Q164" s="119" t="s">
        <v>1145</v>
      </c>
      <c r="R164" s="120" t="str">
        <f t="array" aca="1" ref="R164" ca="1">IF($C164="S",REFERENCIA.Descricao,"(digite a descrição aqui)")</f>
        <v>JOELHO 90 GRAUS, PVC, SOLDÁVEL, DN 25MM, INSTALADO EM RAMAL DE DISTRIBUIÇÃO DE ÁGUA - FORNECIMENTO E INSTALAÇÃO. AF_06/2022</v>
      </c>
      <c r="S164" s="121" t="str">
        <f t="array" aca="1" ref="S164" ca="1">REFERENCIA.Unidade</f>
        <v>UN</v>
      </c>
      <c r="T164" s="122">
        <f ca="1">OFFSET(CÁLCULO!H$15,ROW($T164)-ROW(T$15),0)</f>
        <v>260</v>
      </c>
      <c r="U164" s="123">
        <f>9.45*0.94</f>
        <v>8.8829999999999991</v>
      </c>
      <c r="V164" s="124" t="s">
        <v>697</v>
      </c>
      <c r="W164" s="122">
        <f t="array" aca="1" ref="W164" ca="1">IF($C164="S",ROUND(IF(TIPOORCAMENTO="Proposto",ORÇAMENTO.CustoUnitario*(1+$AH164),ORÇAMENTO.PrecoUnitarioLicitado),15-13*$AF$10),0)</f>
        <v>10.69</v>
      </c>
      <c r="X164" s="125">
        <f t="array" aca="1" ref="X164" ca="1">IF($C164="S",IF(OR(Import.TipoArredondamento&lt;&gt;"TransfereGOV",ACOMPANHAMENTO="BM"),VTOTAL1,SUM(OFFSET(CÁLCULO!$AI$15,ROW($X164)-ROW($X$15),1):OFFSET(CÁLCULO!$BB$15,ROW($X164)-ROW($X$15),-1))),IF($C164=0,0,ROUND(SomaAgrup,15-13*$AF$11)))</f>
        <v>2779.4</v>
      </c>
      <c r="Y164" s="126" t="s">
        <v>751</v>
      </c>
      <c r="Z164" s="696" t="str">
        <f t="shared" ca="1" si="40"/>
        <v>RA</v>
      </c>
      <c r="AA164" s="127">
        <f t="array" aca="1" ref="AA164" ca="1">IF($C164="S",IF($Z164="CP",$X164,IF($Z164="RA",(($X164)*QCI!$AA$3),0)),SomaAgrup)</f>
        <v>0</v>
      </c>
      <c r="AB164" s="128">
        <f t="array" aca="1" ref="AB164" ca="1">IF($C164="S",IF($Z164="OU",ROUND($X164,2),0),SomaAgrup)</f>
        <v>0</v>
      </c>
      <c r="AC164" s="563" t="str">
        <f t="array" aca="1" ref="AC164" ca="1">IF($N164=""," ",
IF(AND($C164&lt;&gt;"S",OR($R164="",$R164="(digite a descrição aqui)")),"DESCRIÇÃO",
IF(AND($C164="S",OR($Q164&lt;&gt;"",$T164&gt;0,$U164&gt;0),$P164=""),"FONTE",
IF(AND($C164="S",$P164&lt;&gt;"",OR($T164&gt;0,$U164&gt;0),$Q164=""),"CÓDIGO",
IF(AND($C164="S",$P164&lt;&gt;"",$Q164&lt;&gt;"",$R164="(Código não identificado nas referências)"),"CÓDIGO N/ID",
IF(AND($C164="S",OR($R164="",$R164="(digite a descrição aqui)"),OR($Q164&lt;&gt;"",$T164&gt;0,$U164&gt;0)),"DESCRIÇÃO",
IF(AND($C164="S",$P164&lt;&gt;"",$Q164&lt;&gt;"",$S164=""),"UNIDADE",
IF(AND($C164="S",$P164&lt;&gt;"",$Q164&lt;&gt;"",$U164=0),"SEM CUSTO",
IF(AND(TIPOORCAMENTO="Licitado",$AL164=0,$AN164&gt;0),"SEM PREÇO",
IF(AND($C164="S",$P164&lt;&gt;"",$Q164&lt;&gt;"",$U164&gt;0,AND($V164&lt;&gt;"BDI 1",$V164&lt;&gt;"BDI 2",$V164&lt;&gt;"BDI 3")),IF(ISNUMBER($V164),"JUSTIFICAR BDI","BDI"),
IF(OR(AND(import.recurso="OGU",TIPOORCAMENTO="Proposto",LEFT($O$8,5)&lt;&gt;"(N/D:",$AG164&lt;&gt;"",ORÇAMENTO.CustoUnitario&gt;$AG164),AND(TIPOORCAMENTO="LICITADO",ORÇAMENTO.PrecoUnitarioLicitado&gt;$AN164)),"ACIMA REF.",
IF(AND($C164="S",$P164&lt;&gt;"",$Q164&lt;&gt;"",$T164=0,$U164&gt;0),"QUANT.",
IF(AND(Import.TipoArredondamento="TransfereGOV",$L164="F",$C164="S",LEN($Q164)&gt;13),"Código &gt;13",
IF(AND(Import.TipoArredondamento="TransfereGOV",$L164="F",$C164&lt;&gt;"S",LEN($R164)&gt;100),"Descrição &gt;100",
IF(AND(Import.TipoArredondamento="TransfereGOV",$L164="F",$C164="S",LEN($R164)&gt;500),"Descrição &gt;500",
IF(AND(Import.TipoArredondamento="TransfereGOV",$L164="F",$C164="S",LEFT(TRIM(UPPER($P164)),6)&lt;&gt;"SINAPI",ISNA(VLOOKUP(TRIM(UPPER($S164)),ListaTgov.Unidades,1,FALSE))),"Unid. Não Disp",
" "))))))))))))))))</f>
        <v xml:space="preserve"> </v>
      </c>
      <c r="AD164" s="696" t="str">
        <f ca="1">IF(C164&lt;=CRONO.NivelExibicao,MAX($AD$15:OFFSET(AD164,-1,0))+IF($C164&lt;&gt;1,1,MAX(1,COUNTIF(QCI!$A$13:$A$24,OFFSET($E164,-1,0)))),"")</f>
        <v/>
      </c>
      <c r="AE164" s="694" t="str">
        <f t="array" aca="1" ref="AE164" ca="1">IF(AND($C164="S",ORÇAMENTO.CodBarra&lt;&gt;""),IF(ORÇAMENTO.Fonte="",ORÇAMENTO.CodBarra,CONCATENATE(ORÇAMENTO.Fonte," ",ORÇAMENTO.CodBarra)))</f>
        <v>SINAPI 89408</v>
      </c>
      <c r="AF164" s="695">
        <f t="array" aca="1" ref="AF164" ca="1">IF(ISERROR(ORÇAMENTO.BancoRef),"(abra o arquivo 'Referência "&amp;Excel_BuiltIn_Database&amp;".xlsm)",IF(OR($C164&lt;&gt;"S",ORÇAMENTO.CodBarra=""),"(Sem Código)",IF(ISERROR(MATCH($AE164,INDIRECT(ORÇAMENTO.BancoRef),0)),"(Código não identificado nas referências)",MATCH($AE164,INDIRECT(ORÇAMENTO.BancoRef),0))))</f>
        <v>11547</v>
      </c>
      <c r="AG164" s="428">
        <f t="array" aca="1" ref="AG164" ca="1">ROUND(IF(DESONERACAO="sim",REFERENCIA.Desonerado,REFERENCIA.NaoDesonerado),2)</f>
        <v>9.4499999999999993</v>
      </c>
      <c r="AH164" s="429">
        <f t="shared" ca="1" si="41"/>
        <v>0.2034</v>
      </c>
      <c r="AJ164" s="431"/>
      <c r="AL164" s="439"/>
      <c r="AM164" s="336">
        <f t="shared" ca="1" si="0"/>
        <v>2779.4</v>
      </c>
      <c r="AN164" s="469">
        <f t="array" aca="1" ref="AN164" ca="1">ROUND(ORÇAMENTO.CustoUnitario*(1+$AH164),2)</f>
        <v>10.69</v>
      </c>
    </row>
    <row r="165" spans="1:40" s="696" customFormat="1" ht="25.5" x14ac:dyDescent="0.2">
      <c r="A165" s="696" t="str">
        <f t="shared" si="29"/>
        <v>S</v>
      </c>
      <c r="B165" s="696">
        <f t="shared" ca="1" si="30"/>
        <v>2</v>
      </c>
      <c r="C165" s="696" t="str">
        <f t="shared" ca="1" si="31"/>
        <v>S</v>
      </c>
      <c r="D165" s="696">
        <f t="shared" ca="1" si="32"/>
        <v>0</v>
      </c>
      <c r="E165" s="696">
        <f ca="1">IF($C165=1,OFFSET(E165,-1,0)+MAX(1,COUNTIF(QCI!$A$13:$A$24,OFFSET(ORÇAMENTO!E165,-1,0))),OFFSET(E165,-1,0))</f>
        <v>1</v>
      </c>
      <c r="F165" s="696">
        <f t="shared" ca="1" si="33"/>
        <v>26</v>
      </c>
      <c r="G165" s="696">
        <f t="shared" ca="1" si="34"/>
        <v>0</v>
      </c>
      <c r="H165" s="696">
        <f t="shared" ca="1" si="35"/>
        <v>0</v>
      </c>
      <c r="I165" s="696">
        <f t="shared" ca="1" si="36"/>
        <v>3</v>
      </c>
      <c r="J165" s="696">
        <f t="shared" ca="1" si="42"/>
        <v>0</v>
      </c>
      <c r="K165" s="696">
        <f ca="1">IF(OR($C165="S",$C165=0),0,MATCH(OFFSET($D165,0,$C165)+IF($C165&lt;&gt;1,1,COUNTIF(QCI!$A$13:$A$24,ORÇAMENTO!E165)),OFFSET($D165,1,$C165,ROW($C$235)-ROW($C165)),0))</f>
        <v>0</v>
      </c>
      <c r="L165" s="114" t="str">
        <f t="shared" ca="1" si="37"/>
        <v>F</v>
      </c>
      <c r="M165" s="115" t="s">
        <v>705</v>
      </c>
      <c r="N165" s="116" t="str">
        <f t="shared" ca="1" si="38"/>
        <v>Serviço</v>
      </c>
      <c r="O165" s="117" t="str">
        <f t="shared" ca="1" si="39"/>
        <v>1.26.3.</v>
      </c>
      <c r="P165" s="118" t="s">
        <v>750</v>
      </c>
      <c r="Q165" s="119" t="s">
        <v>1146</v>
      </c>
      <c r="R165" s="120" t="str">
        <f t="array" aca="1" ref="R165" ca="1">IF($C165="S",REFERENCIA.Descricao,"(digite a descrição aqui)")</f>
        <v>TE, PVC, SOLDÁVEL, DN 25MM, INSTALADO EM RAMAL OU SUB-RAMAL DE ÁGUA - FORNECIMENTO E INSTALAÇÃO. AF_06/2022</v>
      </c>
      <c r="S165" s="121" t="str">
        <f t="array" aca="1" ref="S165" ca="1">REFERENCIA.Unidade</f>
        <v>UN</v>
      </c>
      <c r="T165" s="122">
        <f ca="1">OFFSET(CÁLCULO!H$15,ROW($T165)-ROW(T$15),0)</f>
        <v>80</v>
      </c>
      <c r="U165" s="123">
        <f>14.25*0.94</f>
        <v>13.395</v>
      </c>
      <c r="V165" s="124" t="s">
        <v>697</v>
      </c>
      <c r="W165" s="122">
        <f t="array" aca="1" ref="W165" ca="1">IF($C165="S",ROUND(IF(TIPOORCAMENTO="Proposto",ORÇAMENTO.CustoUnitario*(1+$AH165),ORÇAMENTO.PrecoUnitarioLicitado),15-13*$AF$10),0)</f>
        <v>16.13</v>
      </c>
      <c r="X165" s="125">
        <f t="array" aca="1" ref="X165" ca="1">IF($C165="S",IF(OR(Import.TipoArredondamento&lt;&gt;"TransfereGOV",ACOMPANHAMENTO="BM"),VTOTAL1,SUM(OFFSET(CÁLCULO!$AI$15,ROW($X165)-ROW($X$15),1):OFFSET(CÁLCULO!$BB$15,ROW($X165)-ROW($X$15),-1))),IF($C165=0,0,ROUND(SomaAgrup,15-13*$AF$11)))</f>
        <v>1290.4000000000001</v>
      </c>
      <c r="Y165" s="126" t="s">
        <v>751</v>
      </c>
      <c r="Z165" s="696" t="str">
        <f t="shared" ca="1" si="40"/>
        <v>RA</v>
      </c>
      <c r="AA165" s="127">
        <f t="array" aca="1" ref="AA165" ca="1">IF($C165="S",IF($Z165="CP",$X165,IF($Z165="RA",(($X165)*QCI!$AA$3),0)),SomaAgrup)</f>
        <v>0</v>
      </c>
      <c r="AB165" s="128">
        <f t="array" aca="1" ref="AB165" ca="1">IF($C165="S",IF($Z165="OU",ROUND($X165,2),0),SomaAgrup)</f>
        <v>0</v>
      </c>
      <c r="AC165" s="563" t="str">
        <f t="array" aca="1" ref="AC165" ca="1">IF($N165=""," ",
IF(AND($C165&lt;&gt;"S",OR($R165="",$R165="(digite a descrição aqui)")),"DESCRIÇÃO",
IF(AND($C165="S",OR($Q165&lt;&gt;"",$T165&gt;0,$U165&gt;0),$P165=""),"FONTE",
IF(AND($C165="S",$P165&lt;&gt;"",OR($T165&gt;0,$U165&gt;0),$Q165=""),"CÓDIGO",
IF(AND($C165="S",$P165&lt;&gt;"",$Q165&lt;&gt;"",$R165="(Código não identificado nas referências)"),"CÓDIGO N/ID",
IF(AND($C165="S",OR($R165="",$R165="(digite a descrição aqui)"),OR($Q165&lt;&gt;"",$T165&gt;0,$U165&gt;0)),"DESCRIÇÃO",
IF(AND($C165="S",$P165&lt;&gt;"",$Q165&lt;&gt;"",$S165=""),"UNIDADE",
IF(AND($C165="S",$P165&lt;&gt;"",$Q165&lt;&gt;"",$U165=0),"SEM CUSTO",
IF(AND(TIPOORCAMENTO="Licitado",$AL165=0,$AN165&gt;0),"SEM PREÇO",
IF(AND($C165="S",$P165&lt;&gt;"",$Q165&lt;&gt;"",$U165&gt;0,AND($V165&lt;&gt;"BDI 1",$V165&lt;&gt;"BDI 2",$V165&lt;&gt;"BDI 3")),IF(ISNUMBER($V165),"JUSTIFICAR BDI","BDI"),
IF(OR(AND(import.recurso="OGU",TIPOORCAMENTO="Proposto",LEFT($O$8,5)&lt;&gt;"(N/D:",$AG165&lt;&gt;"",ORÇAMENTO.CustoUnitario&gt;$AG165),AND(TIPOORCAMENTO="LICITADO",ORÇAMENTO.PrecoUnitarioLicitado&gt;$AN165)),"ACIMA REF.",
IF(AND($C165="S",$P165&lt;&gt;"",$Q165&lt;&gt;"",$T165=0,$U165&gt;0),"QUANT.",
IF(AND(Import.TipoArredondamento="TransfereGOV",$L165="F",$C165="S",LEN($Q165)&gt;13),"Código &gt;13",
IF(AND(Import.TipoArredondamento="TransfereGOV",$L165="F",$C165&lt;&gt;"S",LEN($R165)&gt;100),"Descrição &gt;100",
IF(AND(Import.TipoArredondamento="TransfereGOV",$L165="F",$C165="S",LEN($R165)&gt;500),"Descrição &gt;500",
IF(AND(Import.TipoArredondamento="TransfereGOV",$L165="F",$C165="S",LEFT(TRIM(UPPER($P165)),6)&lt;&gt;"SINAPI",ISNA(VLOOKUP(TRIM(UPPER($S165)),ListaTgov.Unidades,1,FALSE))),"Unid. Não Disp",
" "))))))))))))))))</f>
        <v xml:space="preserve"> </v>
      </c>
      <c r="AD165" s="696" t="str">
        <f ca="1">IF(C165&lt;=CRONO.NivelExibicao,MAX($AD$15:OFFSET(AD165,-1,0))+IF($C165&lt;&gt;1,1,MAX(1,COUNTIF(QCI!$A$13:$A$24,OFFSET($E165,-1,0)))),"")</f>
        <v/>
      </c>
      <c r="AE165" s="694" t="str">
        <f t="array" aca="1" ref="AE165" ca="1">IF(AND($C165="S",ORÇAMENTO.CodBarra&lt;&gt;""),IF(ORÇAMENTO.Fonte="",ORÇAMENTO.CodBarra,CONCATENATE(ORÇAMENTO.Fonte," ",ORÇAMENTO.CodBarra)))</f>
        <v>SINAPI 89395</v>
      </c>
      <c r="AF165" s="695">
        <f t="array" aca="1" ref="AF165" ca="1">IF(ISERROR(ORÇAMENTO.BancoRef),"(abra o arquivo 'Referência "&amp;Excel_BuiltIn_Database&amp;".xlsm)",IF(OR($C165&lt;&gt;"S",ORÇAMENTO.CodBarra=""),"(Sem Código)",IF(ISERROR(MATCH($AE165,INDIRECT(ORÇAMENTO.BancoRef),0)),"(Código não identificado nas referências)",MATCH($AE165,INDIRECT(ORÇAMENTO.BancoRef),0))))</f>
        <v>11627</v>
      </c>
      <c r="AG165" s="428">
        <f t="array" aca="1" ref="AG165" ca="1">ROUND(IF(DESONERACAO="sim",REFERENCIA.Desonerado,REFERENCIA.NaoDesonerado),2)</f>
        <v>14.25</v>
      </c>
      <c r="AH165" s="429">
        <f t="shared" ca="1" si="41"/>
        <v>0.2034</v>
      </c>
      <c r="AJ165" s="431"/>
      <c r="AL165" s="439"/>
      <c r="AM165" s="336">
        <f t="shared" ca="1" si="0"/>
        <v>1290.4000000000001</v>
      </c>
      <c r="AN165" s="469">
        <f t="array" aca="1" ref="AN165" ca="1">ROUND(ORÇAMENTO.CustoUnitario*(1+$AH165),2)</f>
        <v>16.13</v>
      </c>
    </row>
    <row r="166" spans="1:40" s="696" customFormat="1" ht="38.25" x14ac:dyDescent="0.2">
      <c r="A166" s="696" t="str">
        <f t="shared" si="29"/>
        <v>S</v>
      </c>
      <c r="B166" s="696">
        <f t="shared" ca="1" si="30"/>
        <v>2</v>
      </c>
      <c r="C166" s="696" t="str">
        <f t="shared" ca="1" si="31"/>
        <v>S</v>
      </c>
      <c r="D166" s="696">
        <f t="shared" ca="1" si="32"/>
        <v>0</v>
      </c>
      <c r="E166" s="696">
        <f ca="1">IF($C166=1,OFFSET(E166,-1,0)+MAX(1,COUNTIF(QCI!$A$13:$A$24,OFFSET(ORÇAMENTO!E166,-1,0))),OFFSET(E166,-1,0))</f>
        <v>1</v>
      </c>
      <c r="F166" s="696">
        <f t="shared" ca="1" si="33"/>
        <v>26</v>
      </c>
      <c r="G166" s="696">
        <f t="shared" ca="1" si="34"/>
        <v>0</v>
      </c>
      <c r="H166" s="696">
        <f t="shared" ca="1" si="35"/>
        <v>0</v>
      </c>
      <c r="I166" s="696">
        <f t="shared" ca="1" si="36"/>
        <v>4</v>
      </c>
      <c r="J166" s="696">
        <f t="shared" ca="1" si="42"/>
        <v>0</v>
      </c>
      <c r="K166" s="696">
        <f ca="1">IF(OR($C166="S",$C166=0),0,MATCH(OFFSET($D166,0,$C166)+IF($C166&lt;&gt;1,1,COUNTIF(QCI!$A$13:$A$24,ORÇAMENTO!E166)),OFFSET($D166,1,$C166,ROW($C$235)-ROW($C166)),0))</f>
        <v>0</v>
      </c>
      <c r="L166" s="114" t="str">
        <f t="shared" ca="1" si="37"/>
        <v>F</v>
      </c>
      <c r="M166" s="115" t="s">
        <v>705</v>
      </c>
      <c r="N166" s="116" t="str">
        <f t="shared" ca="1" si="38"/>
        <v>Serviço</v>
      </c>
      <c r="O166" s="117" t="str">
        <f t="shared" ca="1" si="39"/>
        <v>1.26.4.</v>
      </c>
      <c r="P166" s="118" t="s">
        <v>750</v>
      </c>
      <c r="Q166" s="119" t="s">
        <v>1147</v>
      </c>
      <c r="R166" s="120" t="str">
        <f t="array" aca="1" ref="R166" ca="1">IF($C166="S",REFERENCIA.Descricao,"(digite a descrição aqui)")</f>
        <v>ADAPTADOR CURTO COM BOLSA E ROSCA PARA REGISTRO, PVC, SOLDÁVEL, DN 25MM X 3/4, INSTALADO EM RAMAL OU SUB-RAMAL DE ÁGUA - FORNECIMENTO E INSTALAÇÃO. AF_06/2022</v>
      </c>
      <c r="S166" s="121" t="str">
        <f t="array" aca="1" ref="S166" ca="1">REFERENCIA.Unidade</f>
        <v>UN</v>
      </c>
      <c r="T166" s="122">
        <f ca="1">OFFSET(CÁLCULO!H$15,ROW($T166)-ROW(T$15),0)</f>
        <v>160</v>
      </c>
      <c r="U166" s="123">
        <f>7.18*0.94</f>
        <v>6.7491999999999992</v>
      </c>
      <c r="V166" s="124" t="s">
        <v>697</v>
      </c>
      <c r="W166" s="122">
        <f t="array" aca="1" ref="W166" ca="1">IF($C166="S",ROUND(IF(TIPOORCAMENTO="Proposto",ORÇAMENTO.CustoUnitario*(1+$AH166),ORÇAMENTO.PrecoUnitarioLicitado),15-13*$AF$10),0)</f>
        <v>8.1199999999999992</v>
      </c>
      <c r="X166" s="125">
        <f t="array" aca="1" ref="X166" ca="1">IF($C166="S",IF(OR(Import.TipoArredondamento&lt;&gt;"TransfereGOV",ACOMPANHAMENTO="BM"),VTOTAL1,SUM(OFFSET(CÁLCULO!$AI$15,ROW($X166)-ROW($X$15),1):OFFSET(CÁLCULO!$BB$15,ROW($X166)-ROW($X$15),-1))),IF($C166=0,0,ROUND(SomaAgrup,15-13*$AF$11)))</f>
        <v>1299.2</v>
      </c>
      <c r="Y166" s="126" t="s">
        <v>751</v>
      </c>
      <c r="Z166" s="696" t="str">
        <f t="shared" ca="1" si="40"/>
        <v>RA</v>
      </c>
      <c r="AA166" s="127">
        <f t="array" aca="1" ref="AA166" ca="1">IF($C166="S",IF($Z166="CP",$X166,IF($Z166="RA",(($X166)*QCI!$AA$3),0)),SomaAgrup)</f>
        <v>0</v>
      </c>
      <c r="AB166" s="128">
        <f t="array" aca="1" ref="AB166" ca="1">IF($C166="S",IF($Z166="OU",ROUND($X166,2),0),SomaAgrup)</f>
        <v>0</v>
      </c>
      <c r="AC166" s="563" t="str">
        <f t="array" aca="1" ref="AC166" ca="1">IF($N166=""," ",
IF(AND($C166&lt;&gt;"S",OR($R166="",$R166="(digite a descrição aqui)")),"DESCRIÇÃO",
IF(AND($C166="S",OR($Q166&lt;&gt;"",$T166&gt;0,$U166&gt;0),$P166=""),"FONTE",
IF(AND($C166="S",$P166&lt;&gt;"",OR($T166&gt;0,$U166&gt;0),$Q166=""),"CÓDIGO",
IF(AND($C166="S",$P166&lt;&gt;"",$Q166&lt;&gt;"",$R166="(Código não identificado nas referências)"),"CÓDIGO N/ID",
IF(AND($C166="S",OR($R166="",$R166="(digite a descrição aqui)"),OR($Q166&lt;&gt;"",$T166&gt;0,$U166&gt;0)),"DESCRIÇÃO",
IF(AND($C166="S",$P166&lt;&gt;"",$Q166&lt;&gt;"",$S166=""),"UNIDADE",
IF(AND($C166="S",$P166&lt;&gt;"",$Q166&lt;&gt;"",$U166=0),"SEM CUSTO",
IF(AND(TIPOORCAMENTO="Licitado",$AL166=0,$AN166&gt;0),"SEM PREÇO",
IF(AND($C166="S",$P166&lt;&gt;"",$Q166&lt;&gt;"",$U166&gt;0,AND($V166&lt;&gt;"BDI 1",$V166&lt;&gt;"BDI 2",$V166&lt;&gt;"BDI 3")),IF(ISNUMBER($V166),"JUSTIFICAR BDI","BDI"),
IF(OR(AND(import.recurso="OGU",TIPOORCAMENTO="Proposto",LEFT($O$8,5)&lt;&gt;"(N/D:",$AG166&lt;&gt;"",ORÇAMENTO.CustoUnitario&gt;$AG166),AND(TIPOORCAMENTO="LICITADO",ORÇAMENTO.PrecoUnitarioLicitado&gt;$AN166)),"ACIMA REF.",
IF(AND($C166="S",$P166&lt;&gt;"",$Q166&lt;&gt;"",$T166=0,$U166&gt;0),"QUANT.",
IF(AND(Import.TipoArredondamento="TransfereGOV",$L166="F",$C166="S",LEN($Q166)&gt;13),"Código &gt;13",
IF(AND(Import.TipoArredondamento="TransfereGOV",$L166="F",$C166&lt;&gt;"S",LEN($R166)&gt;100),"Descrição &gt;100",
IF(AND(Import.TipoArredondamento="TransfereGOV",$L166="F",$C166="S",LEN($R166)&gt;500),"Descrição &gt;500",
IF(AND(Import.TipoArredondamento="TransfereGOV",$L166="F",$C166="S",LEFT(TRIM(UPPER($P166)),6)&lt;&gt;"SINAPI",ISNA(VLOOKUP(TRIM(UPPER($S166)),ListaTgov.Unidades,1,FALSE))),"Unid. Não Disp",
" "))))))))))))))))</f>
        <v xml:space="preserve"> </v>
      </c>
      <c r="AD166" s="696" t="str">
        <f ca="1">IF(C166&lt;=CRONO.NivelExibicao,MAX($AD$15:OFFSET(AD166,-1,0))+IF($C166&lt;&gt;1,1,MAX(1,COUNTIF(QCI!$A$13:$A$24,OFFSET($E166,-1,0)))),"")</f>
        <v/>
      </c>
      <c r="AE166" s="694" t="str">
        <f t="array" aca="1" ref="AE166" ca="1">IF(AND($C166="S",ORÇAMENTO.CodBarra&lt;&gt;""),IF(ORÇAMENTO.Fonte="",ORÇAMENTO.CodBarra,CONCATENATE(ORÇAMENTO.Fonte," ",ORÇAMENTO.CodBarra)))</f>
        <v>SINAPI 89383</v>
      </c>
      <c r="AF166" s="695">
        <f t="array" aca="1" ref="AF166" ca="1">IF(ISERROR(ORÇAMENTO.BancoRef),"(abra o arquivo 'Referência "&amp;Excel_BuiltIn_Database&amp;".xlsm)",IF(OR($C166&lt;&gt;"S",ORÇAMENTO.CodBarra=""),"(Sem Código)",IF(ISERROR(MATCH($AE166,INDIRECT(ORÇAMENTO.BancoRef),0)),"(Código não identificado nas referências)",MATCH($AE166,INDIRECT(ORÇAMENTO.BancoRef),0))))</f>
        <v>11452</v>
      </c>
      <c r="AG166" s="428">
        <f t="array" aca="1" ref="AG166" ca="1">ROUND(IF(DESONERACAO="sim",REFERENCIA.Desonerado,REFERENCIA.NaoDesonerado),2)</f>
        <v>7.18</v>
      </c>
      <c r="AH166" s="429">
        <f t="shared" ca="1" si="41"/>
        <v>0.2034</v>
      </c>
      <c r="AJ166" s="431"/>
      <c r="AL166" s="439"/>
      <c r="AM166" s="336">
        <f t="shared" ca="1" si="0"/>
        <v>1299.2</v>
      </c>
      <c r="AN166" s="469">
        <f t="array" aca="1" ref="AN166" ca="1">ROUND(ORÇAMENTO.CustoUnitario*(1+$AH166),2)</f>
        <v>8.1199999999999992</v>
      </c>
    </row>
    <row r="167" spans="1:40" s="696" customFormat="1" ht="25.5" x14ac:dyDescent="0.2">
      <c r="A167" s="696" t="str">
        <f t="shared" si="29"/>
        <v>S</v>
      </c>
      <c r="B167" s="696">
        <f t="shared" ca="1" si="30"/>
        <v>2</v>
      </c>
      <c r="C167" s="696" t="str">
        <f t="shared" ca="1" si="31"/>
        <v>S</v>
      </c>
      <c r="D167" s="696">
        <f t="shared" ca="1" si="32"/>
        <v>0</v>
      </c>
      <c r="E167" s="696">
        <f ca="1">IF($C167=1,OFFSET(E167,-1,0)+MAX(1,COUNTIF(QCI!$A$13:$A$24,OFFSET(ORÇAMENTO!E167,-1,0))),OFFSET(E167,-1,0))</f>
        <v>1</v>
      </c>
      <c r="F167" s="696">
        <f t="shared" ca="1" si="33"/>
        <v>26</v>
      </c>
      <c r="G167" s="696">
        <f t="shared" ca="1" si="34"/>
        <v>0</v>
      </c>
      <c r="H167" s="696">
        <f t="shared" ca="1" si="35"/>
        <v>0</v>
      </c>
      <c r="I167" s="696">
        <f t="shared" ca="1" si="36"/>
        <v>5</v>
      </c>
      <c r="J167" s="696">
        <f t="shared" ca="1" si="42"/>
        <v>0</v>
      </c>
      <c r="K167" s="696">
        <f ca="1">IF(OR($C167="S",$C167=0),0,MATCH(OFFSET($D167,0,$C167)+IF($C167&lt;&gt;1,1,COUNTIF(QCI!$A$13:$A$24,ORÇAMENTO!E167)),OFFSET($D167,1,$C167,ROW($C$235)-ROW($C167)),0))</f>
        <v>0</v>
      </c>
      <c r="L167" s="114" t="str">
        <f t="shared" ca="1" si="37"/>
        <v>F</v>
      </c>
      <c r="M167" s="115" t="s">
        <v>705</v>
      </c>
      <c r="N167" s="116" t="str">
        <f t="shared" ca="1" si="38"/>
        <v>Serviço</v>
      </c>
      <c r="O167" s="117" t="str">
        <f t="shared" ca="1" si="39"/>
        <v>1.26.5.</v>
      </c>
      <c r="P167" s="118" t="s">
        <v>750</v>
      </c>
      <c r="Q167" s="119" t="s">
        <v>1148</v>
      </c>
      <c r="R167" s="120" t="str">
        <f t="array" aca="1" ref="R167" ca="1">IF($C167="S",REFERENCIA.Descricao,"(digite a descrição aqui)")</f>
        <v>TUBO, PVC, SOLDÁVEL, DE 25MM, INSTALADO EM PRUMADA DE ÁGUA - FORNECIMENTO E INSTALAÇÃO. AF_06/2022</v>
      </c>
      <c r="S167" s="121" t="str">
        <f t="array" aca="1" ref="S167" ca="1">REFERENCIA.Unidade</f>
        <v>M</v>
      </c>
      <c r="T167" s="122">
        <f ca="1">OFFSET(CÁLCULO!H$15,ROW($T167)-ROW(T$15),0)</f>
        <v>102</v>
      </c>
      <c r="U167" s="123">
        <f>5.52*0.94</f>
        <v>5.1887999999999996</v>
      </c>
      <c r="V167" s="124" t="s">
        <v>697</v>
      </c>
      <c r="W167" s="122">
        <f t="array" aca="1" ref="W167" ca="1">IF($C167="S",ROUND(IF(TIPOORCAMENTO="Proposto",ORÇAMENTO.CustoUnitario*(1+$AH167),ORÇAMENTO.PrecoUnitarioLicitado),15-13*$AF$10),0)</f>
        <v>6.25</v>
      </c>
      <c r="X167" s="125">
        <f t="array" aca="1" ref="X167" ca="1">IF($C167="S",IF(OR(Import.TipoArredondamento&lt;&gt;"TransfereGOV",ACOMPANHAMENTO="BM"),VTOTAL1,SUM(OFFSET(CÁLCULO!$AI$15,ROW($X167)-ROW($X$15),1):OFFSET(CÁLCULO!$BB$15,ROW($X167)-ROW($X$15),-1))),IF($C167=0,0,ROUND(SomaAgrup,15-13*$AF$11)))</f>
        <v>637.52</v>
      </c>
      <c r="Y167" s="126" t="s">
        <v>751</v>
      </c>
      <c r="Z167" s="696" t="str">
        <f t="shared" ca="1" si="40"/>
        <v>RA</v>
      </c>
      <c r="AA167" s="127">
        <f t="array" aca="1" ref="AA167" ca="1">IF($C167="S",IF($Z167="CP",$X167,IF($Z167="RA",(($X167)*QCI!$AA$3),0)),SomaAgrup)</f>
        <v>0</v>
      </c>
      <c r="AB167" s="128">
        <f t="array" aca="1" ref="AB167" ca="1">IF($C167="S",IF($Z167="OU",ROUND($X167,2),0),SomaAgrup)</f>
        <v>0</v>
      </c>
      <c r="AC167" s="563" t="str">
        <f t="array" aca="1" ref="AC167" ca="1">IF($N167=""," ",
IF(AND($C167&lt;&gt;"S",OR($R167="",$R167="(digite a descrição aqui)")),"DESCRIÇÃO",
IF(AND($C167="S",OR($Q167&lt;&gt;"",$T167&gt;0,$U167&gt;0),$P167=""),"FONTE",
IF(AND($C167="S",$P167&lt;&gt;"",OR($T167&gt;0,$U167&gt;0),$Q167=""),"CÓDIGO",
IF(AND($C167="S",$P167&lt;&gt;"",$Q167&lt;&gt;"",$R167="(Código não identificado nas referências)"),"CÓDIGO N/ID",
IF(AND($C167="S",OR($R167="",$R167="(digite a descrição aqui)"),OR($Q167&lt;&gt;"",$T167&gt;0,$U167&gt;0)),"DESCRIÇÃO",
IF(AND($C167="S",$P167&lt;&gt;"",$Q167&lt;&gt;"",$S167=""),"UNIDADE",
IF(AND($C167="S",$P167&lt;&gt;"",$Q167&lt;&gt;"",$U167=0),"SEM CUSTO",
IF(AND(TIPOORCAMENTO="Licitado",$AL167=0,$AN167&gt;0),"SEM PREÇO",
IF(AND($C167="S",$P167&lt;&gt;"",$Q167&lt;&gt;"",$U167&gt;0,AND($V167&lt;&gt;"BDI 1",$V167&lt;&gt;"BDI 2",$V167&lt;&gt;"BDI 3")),IF(ISNUMBER($V167),"JUSTIFICAR BDI","BDI"),
IF(OR(AND(import.recurso="OGU",TIPOORCAMENTO="Proposto",LEFT($O$8,5)&lt;&gt;"(N/D:",$AG167&lt;&gt;"",ORÇAMENTO.CustoUnitario&gt;$AG167),AND(TIPOORCAMENTO="LICITADO",ORÇAMENTO.PrecoUnitarioLicitado&gt;$AN167)),"ACIMA REF.",
IF(AND($C167="S",$P167&lt;&gt;"",$Q167&lt;&gt;"",$T167=0,$U167&gt;0),"QUANT.",
IF(AND(Import.TipoArredondamento="TransfereGOV",$L167="F",$C167="S",LEN($Q167)&gt;13),"Código &gt;13",
IF(AND(Import.TipoArredondamento="TransfereGOV",$L167="F",$C167&lt;&gt;"S",LEN($R167)&gt;100),"Descrição &gt;100",
IF(AND(Import.TipoArredondamento="TransfereGOV",$L167="F",$C167="S",LEN($R167)&gt;500),"Descrição &gt;500",
IF(AND(Import.TipoArredondamento="TransfereGOV",$L167="F",$C167="S",LEFT(TRIM(UPPER($P167)),6)&lt;&gt;"SINAPI",ISNA(VLOOKUP(TRIM(UPPER($S167)),ListaTgov.Unidades,1,FALSE))),"Unid. Não Disp",
" "))))))))))))))))</f>
        <v xml:space="preserve"> </v>
      </c>
      <c r="AD167" s="696" t="str">
        <f ca="1">IF(C167&lt;=CRONO.NivelExibicao,MAX($AD$15:OFFSET(AD167,-1,0))+IF($C167&lt;&gt;1,1,MAX(1,COUNTIF(QCI!$A$13:$A$24,OFFSET($E167,-1,0)))),"")</f>
        <v/>
      </c>
      <c r="AE167" s="694" t="str">
        <f t="array" aca="1" ref="AE167" ca="1">IF(AND($C167="S",ORÇAMENTO.CodBarra&lt;&gt;""),IF(ORÇAMENTO.Fonte="",ORÇAMENTO.CodBarra,CONCATENATE(ORÇAMENTO.Fonte," ",ORÇAMENTO.CodBarra)))</f>
        <v>SINAPI 89446</v>
      </c>
      <c r="AF167" s="695">
        <f t="array" aca="1" ref="AF167" ca="1">IF(ISERROR(ORÇAMENTO.BancoRef),"(abra o arquivo 'Referência "&amp;Excel_BuiltIn_Database&amp;".xlsm)",IF(OR($C167&lt;&gt;"S",ORÇAMENTO.CodBarra=""),"(Sem Código)",IF(ISERROR(MATCH($AE167,INDIRECT(ORÇAMENTO.BancoRef),0)),"(Código não identificado nas referências)",MATCH($AE167,INDIRECT(ORÇAMENTO.BancoRef),0))))</f>
        <v>11640</v>
      </c>
      <c r="AG167" s="428">
        <f t="array" aca="1" ref="AG167" ca="1">ROUND(IF(DESONERACAO="sim",REFERENCIA.Desonerado,REFERENCIA.NaoDesonerado),2)</f>
        <v>5.52</v>
      </c>
      <c r="AH167" s="429">
        <f t="shared" ca="1" si="41"/>
        <v>0.2034</v>
      </c>
      <c r="AJ167" s="431"/>
      <c r="AL167" s="439"/>
      <c r="AM167" s="336">
        <f t="shared" ca="1" si="0"/>
        <v>637.52</v>
      </c>
      <c r="AN167" s="469">
        <f t="array" aca="1" ref="AN167" ca="1">ROUND(ORÇAMENTO.CustoUnitario*(1+$AH167),2)</f>
        <v>6.25</v>
      </c>
    </row>
    <row r="168" spans="1:40" s="696" customFormat="1" ht="25.5" x14ac:dyDescent="0.2">
      <c r="A168" s="696" t="str">
        <f t="shared" si="29"/>
        <v>S</v>
      </c>
      <c r="B168" s="696">
        <f t="shared" ca="1" si="30"/>
        <v>2</v>
      </c>
      <c r="C168" s="696" t="str">
        <f t="shared" ca="1" si="31"/>
        <v>S</v>
      </c>
      <c r="D168" s="696">
        <f t="shared" ca="1" si="32"/>
        <v>0</v>
      </c>
      <c r="E168" s="696">
        <f ca="1">IF($C168=1,OFFSET(E168,-1,0)+MAX(1,COUNTIF(QCI!$A$13:$A$24,OFFSET(ORÇAMENTO!E168,-1,0))),OFFSET(E168,-1,0))</f>
        <v>1</v>
      </c>
      <c r="F168" s="696">
        <f t="shared" ca="1" si="33"/>
        <v>26</v>
      </c>
      <c r="G168" s="696">
        <f t="shared" ca="1" si="34"/>
        <v>0</v>
      </c>
      <c r="H168" s="696">
        <f t="shared" ca="1" si="35"/>
        <v>0</v>
      </c>
      <c r="I168" s="696">
        <f t="shared" ca="1" si="36"/>
        <v>6</v>
      </c>
      <c r="J168" s="696">
        <f t="shared" ca="1" si="42"/>
        <v>0</v>
      </c>
      <c r="K168" s="696">
        <f ca="1">IF(OR($C168="S",$C168=0),0,MATCH(OFFSET($D168,0,$C168)+IF($C168&lt;&gt;1,1,COUNTIF(QCI!$A$13:$A$24,ORÇAMENTO!E168)),OFFSET($D168,1,$C168,ROW($C$235)-ROW($C168)),0))</f>
        <v>0</v>
      </c>
      <c r="L168" s="114" t="str">
        <f t="shared" ca="1" si="37"/>
        <v>F</v>
      </c>
      <c r="M168" s="115" t="s">
        <v>705</v>
      </c>
      <c r="N168" s="116" t="str">
        <f t="shared" ca="1" si="38"/>
        <v>Serviço</v>
      </c>
      <c r="O168" s="117" t="str">
        <f t="shared" ca="1" si="39"/>
        <v>1.26.6.</v>
      </c>
      <c r="P168" s="118" t="s">
        <v>750</v>
      </c>
      <c r="Q168" s="119" t="s">
        <v>1149</v>
      </c>
      <c r="R168" s="120" t="str">
        <f t="array" aca="1" ref="R168" ca="1">IF($C168="S",REFERENCIA.Descricao,"(digite a descrição aqui)")</f>
        <v>TUBO, PVC, SOLDÁVEL, DE 25MM, INSTALADO EM RAMAL OU SUB-RAMAL DE ÁGUA - FORNECIMENTO E INSTALAÇÃO. AF_06/2022</v>
      </c>
      <c r="S168" s="121" t="str">
        <f t="array" aca="1" ref="S168" ca="1">REFERENCIA.Unidade</f>
        <v>M</v>
      </c>
      <c r="T168" s="122">
        <f ca="1">OFFSET(CÁLCULO!H$15,ROW($T168)-ROW(T$15),0)</f>
        <v>174</v>
      </c>
      <c r="U168" s="123">
        <f>25.55*0.94</f>
        <v>24.016999999999999</v>
      </c>
      <c r="V168" s="124" t="s">
        <v>697</v>
      </c>
      <c r="W168" s="122">
        <f t="array" aca="1" ref="W168" ca="1">IF($C168="S",ROUND(IF(TIPOORCAMENTO="Proposto",ORÇAMENTO.CustoUnitario*(1+$AH168),ORÇAMENTO.PrecoUnitarioLicitado),15-13*$AF$10),0)</f>
        <v>28.91</v>
      </c>
      <c r="X168" s="125">
        <f t="array" aca="1" ref="X168" ca="1">IF($C168="S",IF(OR(Import.TipoArredondamento&lt;&gt;"TransfereGOV",ACOMPANHAMENTO="BM"),VTOTAL1,SUM(OFFSET(CÁLCULO!$AI$15,ROW($X168)-ROW($X$15),1):OFFSET(CÁLCULO!$BB$15,ROW($X168)-ROW($X$15),-1))),IF($C168=0,0,ROUND(SomaAgrup,15-13*$AF$11)))</f>
        <v>5030.3599999999997</v>
      </c>
      <c r="Y168" s="126" t="s">
        <v>751</v>
      </c>
      <c r="Z168" s="696" t="str">
        <f t="shared" ca="1" si="40"/>
        <v>RA</v>
      </c>
      <c r="AA168" s="127">
        <f t="array" aca="1" ref="AA168" ca="1">IF($C168="S",IF($Z168="CP",$X168,IF($Z168="RA",(($X168)*QCI!$AA$3),0)),SomaAgrup)</f>
        <v>0</v>
      </c>
      <c r="AB168" s="128">
        <f t="array" aca="1" ref="AB168" ca="1">IF($C168="S",IF($Z168="OU",ROUND($X168,2),0),SomaAgrup)</f>
        <v>0</v>
      </c>
      <c r="AC168" s="563" t="str">
        <f t="array" aca="1" ref="AC168" ca="1">IF($N168=""," ",
IF(AND($C168&lt;&gt;"S",OR($R168="",$R168="(digite a descrição aqui)")),"DESCRIÇÃO",
IF(AND($C168="S",OR($Q168&lt;&gt;"",$T168&gt;0,$U168&gt;0),$P168=""),"FONTE",
IF(AND($C168="S",$P168&lt;&gt;"",OR($T168&gt;0,$U168&gt;0),$Q168=""),"CÓDIGO",
IF(AND($C168="S",$P168&lt;&gt;"",$Q168&lt;&gt;"",$R168="(Código não identificado nas referências)"),"CÓDIGO N/ID",
IF(AND($C168="S",OR($R168="",$R168="(digite a descrição aqui)"),OR($Q168&lt;&gt;"",$T168&gt;0,$U168&gt;0)),"DESCRIÇÃO",
IF(AND($C168="S",$P168&lt;&gt;"",$Q168&lt;&gt;"",$S168=""),"UNIDADE",
IF(AND($C168="S",$P168&lt;&gt;"",$Q168&lt;&gt;"",$U168=0),"SEM CUSTO",
IF(AND(TIPOORCAMENTO="Licitado",$AL168=0,$AN168&gt;0),"SEM PREÇO",
IF(AND($C168="S",$P168&lt;&gt;"",$Q168&lt;&gt;"",$U168&gt;0,AND($V168&lt;&gt;"BDI 1",$V168&lt;&gt;"BDI 2",$V168&lt;&gt;"BDI 3")),IF(ISNUMBER($V168),"JUSTIFICAR BDI","BDI"),
IF(OR(AND(import.recurso="OGU",TIPOORCAMENTO="Proposto",LEFT($O$8,5)&lt;&gt;"(N/D:",$AG168&lt;&gt;"",ORÇAMENTO.CustoUnitario&gt;$AG168),AND(TIPOORCAMENTO="LICITADO",ORÇAMENTO.PrecoUnitarioLicitado&gt;$AN168)),"ACIMA REF.",
IF(AND($C168="S",$P168&lt;&gt;"",$Q168&lt;&gt;"",$T168=0,$U168&gt;0),"QUANT.",
IF(AND(Import.TipoArredondamento="TransfereGOV",$L168="F",$C168="S",LEN($Q168)&gt;13),"Código &gt;13",
IF(AND(Import.TipoArredondamento="TransfereGOV",$L168="F",$C168&lt;&gt;"S",LEN($R168)&gt;100),"Descrição &gt;100",
IF(AND(Import.TipoArredondamento="TransfereGOV",$L168="F",$C168="S",LEN($R168)&gt;500),"Descrição &gt;500",
IF(AND(Import.TipoArredondamento="TransfereGOV",$L168="F",$C168="S",LEFT(TRIM(UPPER($P168)),6)&lt;&gt;"SINAPI",ISNA(VLOOKUP(TRIM(UPPER($S168)),ListaTgov.Unidades,1,FALSE))),"Unid. Não Disp",
" "))))))))))))))))</f>
        <v xml:space="preserve"> </v>
      </c>
      <c r="AD168" s="696" t="str">
        <f ca="1">IF(C168&lt;=CRONO.NivelExibicao,MAX($AD$15:OFFSET(AD168,-1,0))+IF($C168&lt;&gt;1,1,MAX(1,COUNTIF(QCI!$A$13:$A$24,OFFSET($E168,-1,0)))),"")</f>
        <v/>
      </c>
      <c r="AE168" s="694" t="str">
        <f t="array" aca="1" ref="AE168" ca="1">IF(AND($C168="S",ORÇAMENTO.CodBarra&lt;&gt;""),IF(ORÇAMENTO.Fonte="",ORÇAMENTO.CodBarra,CONCATENATE(ORÇAMENTO.Fonte," ",ORÇAMENTO.CodBarra)))</f>
        <v>SINAPI 89356</v>
      </c>
      <c r="AF168" s="695">
        <f t="array" aca="1" ref="AF168" ca="1">IF(ISERROR(ORÇAMENTO.BancoRef),"(abra o arquivo 'Referência "&amp;Excel_BuiltIn_Database&amp;".xlsm)",IF(OR($C168&lt;&gt;"S",ORÇAMENTO.CodBarra=""),"(Sem Código)",IF(ISERROR(MATCH($AE168,INDIRECT(ORÇAMENTO.BancoRef),0)),"(Código não identificado nas referências)",MATCH($AE168,INDIRECT(ORÇAMENTO.BancoRef),0))))</f>
        <v>11642</v>
      </c>
      <c r="AG168" s="428">
        <f t="array" aca="1" ref="AG168" ca="1">ROUND(IF(DESONERACAO="sim",REFERENCIA.Desonerado,REFERENCIA.NaoDesonerado),2)</f>
        <v>25.55</v>
      </c>
      <c r="AH168" s="429">
        <f t="shared" ca="1" si="41"/>
        <v>0.2034</v>
      </c>
      <c r="AJ168" s="431"/>
      <c r="AL168" s="439"/>
      <c r="AM168" s="336">
        <f t="shared" ca="1" si="0"/>
        <v>5030.3599999999997</v>
      </c>
      <c r="AN168" s="469">
        <f t="array" aca="1" ref="AN168" ca="1">ROUND(ORÇAMENTO.CustoUnitario*(1+$AH168),2)</f>
        <v>28.91</v>
      </c>
    </row>
    <row r="169" spans="1:40" s="696" customFormat="1" x14ac:dyDescent="0.2">
      <c r="A169" s="696">
        <f t="shared" si="29"/>
        <v>2</v>
      </c>
      <c r="B169" s="696">
        <f t="shared" ca="1" si="30"/>
        <v>2</v>
      </c>
      <c r="C169" s="696">
        <f t="shared" ca="1" si="31"/>
        <v>2</v>
      </c>
      <c r="D169" s="696">
        <f t="shared" ca="1" si="32"/>
        <v>5</v>
      </c>
      <c r="E169" s="696">
        <f ca="1">IF($C169=1,OFFSET(E169,-1,0)+MAX(1,COUNTIF(QCI!$A$13:$A$24,OFFSET(ORÇAMENTO!E169,-1,0))),OFFSET(E169,-1,0))</f>
        <v>1</v>
      </c>
      <c r="F169" s="696">
        <f t="shared" ca="1" si="33"/>
        <v>27</v>
      </c>
      <c r="G169" s="696">
        <f t="shared" ca="1" si="34"/>
        <v>0</v>
      </c>
      <c r="H169" s="696">
        <f t="shared" ca="1" si="35"/>
        <v>0</v>
      </c>
      <c r="I169" s="696">
        <f t="shared" ca="1" si="36"/>
        <v>0</v>
      </c>
      <c r="J169" s="696">
        <f t="shared" ca="1" si="42"/>
        <v>66</v>
      </c>
      <c r="K169" s="696">
        <f ca="1">IF(OR($C169="S",$C169=0),0,MATCH(OFFSET($D169,0,$C169)+IF($C169&lt;&gt;1,1,COUNTIF(QCI!$A$13:$A$24,ORÇAMENTO!E169)),OFFSET($D169,1,$C169,ROW($C$235)-ROW($C169)),0))</f>
        <v>5</v>
      </c>
      <c r="L169" s="114" t="str">
        <f t="shared" ca="1" si="37"/>
        <v>F</v>
      </c>
      <c r="M169" s="115" t="s">
        <v>702</v>
      </c>
      <c r="N169" s="116" t="str">
        <f t="shared" ca="1" si="38"/>
        <v>Nível 2</v>
      </c>
      <c r="O169" s="117" t="str">
        <f t="shared" ca="1" si="39"/>
        <v>1.27.</v>
      </c>
      <c r="P169" s="118" t="s">
        <v>750</v>
      </c>
      <c r="Q169" s="119"/>
      <c r="R169" s="120" t="s">
        <v>1150</v>
      </c>
      <c r="S169" s="121" t="s">
        <v>688</v>
      </c>
      <c r="T169" s="122">
        <f ca="1">OFFSET(CÁLCULO!H$15,ROW($T169)-ROW(T$15),0)</f>
        <v>0</v>
      </c>
      <c r="U169" s="123"/>
      <c r="V169" s="124" t="s">
        <v>663</v>
      </c>
      <c r="W169" s="122">
        <f t="array" aca="1" ref="W169" ca="1">IF($C169="S",ROUND(IF(TIPOORCAMENTO="Proposto",ORÇAMENTO.CustoUnitario*(1+$AH169),ORÇAMENTO.PrecoUnitarioLicitado),15-13*$AF$10),0)</f>
        <v>0</v>
      </c>
      <c r="X169" s="125">
        <f t="array" aca="1" ref="X169" ca="1">IF($C169="S",IF(OR(Import.TipoArredondamento&lt;&gt;"TransfereGOV",ACOMPANHAMENTO="BM"),VTOTAL1,SUM(OFFSET(CÁLCULO!$AI$15,ROW($X169)-ROW($X$15),1):OFFSET(CÁLCULO!$BB$15,ROW($X169)-ROW($X$15),-1))),IF($C169=0,0,ROUND(SomaAgrup,15-13*$AF$11)))</f>
        <v>16039.8</v>
      </c>
      <c r="Y169" s="126" t="s">
        <v>751</v>
      </c>
      <c r="Z169" s="696" t="str">
        <f t="shared" ca="1" si="40"/>
        <v/>
      </c>
      <c r="AA169" s="127">
        <f t="array" aca="1" ref="AA169" ca="1">IF($C169="S",IF($Z169="CP",$X169,IF($Z169="RA",(($X169)*QCI!$AA$3),0)),SomaAgrup)</f>
        <v>0</v>
      </c>
      <c r="AB169" s="128">
        <f t="array" aca="1" ref="AB169" ca="1">IF($C169="S",IF($Z169="OU",ROUND($X169,2),0),SomaAgrup)</f>
        <v>0</v>
      </c>
      <c r="AC169" s="563" t="str">
        <f t="array" aca="1" ref="AC169" ca="1">IF($N169=""," ",
IF(AND($C169&lt;&gt;"S",OR($R169="",$R169="(digite a descrição aqui)")),"DESCRIÇÃO",
IF(AND($C169="S",OR($Q169&lt;&gt;"",$T169&gt;0,$U169&gt;0),$P169=""),"FONTE",
IF(AND($C169="S",$P169&lt;&gt;"",OR($T169&gt;0,$U169&gt;0),$Q169=""),"CÓDIGO",
IF(AND($C169="S",$P169&lt;&gt;"",$Q169&lt;&gt;"",$R169="(Código não identificado nas referências)"),"CÓDIGO N/ID",
IF(AND($C169="S",OR($R169="",$R169="(digite a descrição aqui)"),OR($Q169&lt;&gt;"",$T169&gt;0,$U169&gt;0)),"DESCRIÇÃO",
IF(AND($C169="S",$P169&lt;&gt;"",$Q169&lt;&gt;"",$S169=""),"UNIDADE",
IF(AND($C169="S",$P169&lt;&gt;"",$Q169&lt;&gt;"",$U169=0),"SEM CUSTO",
IF(AND(TIPOORCAMENTO="Licitado",$AL169=0,$AN169&gt;0),"SEM PREÇO",
IF(AND($C169="S",$P169&lt;&gt;"",$Q169&lt;&gt;"",$U169&gt;0,AND($V169&lt;&gt;"BDI 1",$V169&lt;&gt;"BDI 2",$V169&lt;&gt;"BDI 3")),IF(ISNUMBER($V169),"JUSTIFICAR BDI","BDI"),
IF(OR(AND(import.recurso="OGU",TIPOORCAMENTO="Proposto",LEFT($O$8,5)&lt;&gt;"(N/D:",$AG169&lt;&gt;"",ORÇAMENTO.CustoUnitario&gt;$AG169),AND(TIPOORCAMENTO="LICITADO",ORÇAMENTO.PrecoUnitarioLicitado&gt;$AN169)),"ACIMA REF.",
IF(AND($C169="S",$P169&lt;&gt;"",$Q169&lt;&gt;"",$T169=0,$U169&gt;0),"QUANT.",
IF(AND(Import.TipoArredondamento="TransfereGOV",$L169="F",$C169="S",LEN($Q169)&gt;13),"Código &gt;13",
IF(AND(Import.TipoArredondamento="TransfereGOV",$L169="F",$C169&lt;&gt;"S",LEN($R169)&gt;100),"Descrição &gt;100",
IF(AND(Import.TipoArredondamento="TransfereGOV",$L169="F",$C169="S",LEN($R169)&gt;500),"Descrição &gt;500",
IF(AND(Import.TipoArredondamento="TransfereGOV",$L169="F",$C169="S",LEFT(TRIM(UPPER($P169)),6)&lt;&gt;"SINAPI",ISNA(VLOOKUP(TRIM(UPPER($S169)),ListaTgov.Unidades,1,FALSE))),"Unid. Não Disp",
" "))))))))))))))))</f>
        <v xml:space="preserve"> </v>
      </c>
      <c r="AD169" s="696">
        <f ca="1">IF(C169&lt;=CRONO.NivelExibicao,MAX($AD$15:OFFSET(AD169,-1,0))+IF($C169&lt;&gt;1,1,MAX(1,COUNTIF(QCI!$A$13:$A$24,OFFSET($E169,-1,0)))),"")</f>
        <v>28</v>
      </c>
      <c r="AE169" s="694" t="b">
        <f t="array" aca="1" ref="AE169" ca="1">IF(AND($C169="S",ORÇAMENTO.CodBarra&lt;&gt;""),IF(ORÇAMENTO.Fonte="",ORÇAMENTO.CodBarra,CONCATENATE(ORÇAMENTO.Fonte," ",ORÇAMENTO.CodBarra)))</f>
        <v>0</v>
      </c>
      <c r="AF169" s="695" t="str">
        <f t="array" aca="1" ref="AF169" ca="1">IF(ISERROR(ORÇAMENTO.BancoRef),"(abra o arquivo 'Referência "&amp;Excel_BuiltIn_Database&amp;".xlsm)",IF(OR($C169&lt;&gt;"S",ORÇAMENTO.CodBarra=""),"(Sem Código)",IF(ISERROR(MATCH($AE169,INDIRECT(ORÇAMENTO.BancoRef),0)),"(Código não identificado nas referências)",MATCH($AE169,INDIRECT(ORÇAMENTO.BancoRef),0))))</f>
        <v>(Sem Código)</v>
      </c>
      <c r="AG169" s="428">
        <f t="array" aca="1" ref="AG169" ca="1">ROUND(IF(DESONERACAO="sim",REFERENCIA.Desonerado,REFERENCIA.NaoDesonerado),2)</f>
        <v>0</v>
      </c>
      <c r="AH169" s="429">
        <f t="shared" ca="1" si="41"/>
        <v>0.29389999999999999</v>
      </c>
      <c r="AJ169" s="431"/>
      <c r="AL169" s="439"/>
      <c r="AM169" s="336">
        <f t="shared" ca="1" si="0"/>
        <v>16039.8</v>
      </c>
      <c r="AN169" s="469">
        <f t="array" aca="1" ref="AN169" ca="1">ROUND(ORÇAMENTO.CustoUnitario*(1+$AH169),2)</f>
        <v>0</v>
      </c>
    </row>
    <row r="170" spans="1:40" s="696" customFormat="1" ht="38.25" x14ac:dyDescent="0.2">
      <c r="A170" s="696" t="str">
        <f t="shared" si="29"/>
        <v>S</v>
      </c>
      <c r="B170" s="696">
        <f t="shared" ca="1" si="30"/>
        <v>2</v>
      </c>
      <c r="C170" s="696" t="str">
        <f t="shared" ca="1" si="31"/>
        <v>S</v>
      </c>
      <c r="D170" s="696">
        <f t="shared" ca="1" si="32"/>
        <v>0</v>
      </c>
      <c r="E170" s="696">
        <f ca="1">IF($C170=1,OFFSET(E170,-1,0)+MAX(1,COUNTIF(QCI!$A$13:$A$24,OFFSET(ORÇAMENTO!E170,-1,0))),OFFSET(E170,-1,0))</f>
        <v>1</v>
      </c>
      <c r="F170" s="696">
        <f t="shared" ca="1" si="33"/>
        <v>27</v>
      </c>
      <c r="G170" s="696">
        <f t="shared" ca="1" si="34"/>
        <v>0</v>
      </c>
      <c r="H170" s="696">
        <f t="shared" ca="1" si="35"/>
        <v>0</v>
      </c>
      <c r="I170" s="696">
        <f t="shared" ca="1" si="36"/>
        <v>1</v>
      </c>
      <c r="J170" s="696">
        <f t="shared" ca="1" si="42"/>
        <v>0</v>
      </c>
      <c r="K170" s="696">
        <f ca="1">IF(OR($C170="S",$C170=0),0,MATCH(OFFSET($D170,0,$C170)+IF($C170&lt;&gt;1,1,COUNTIF(QCI!$A$13:$A$24,ORÇAMENTO!E170)),OFFSET($D170,1,$C170,ROW($C$235)-ROW($C170)),0))</f>
        <v>0</v>
      </c>
      <c r="L170" s="114" t="str">
        <f t="shared" ca="1" si="37"/>
        <v>F</v>
      </c>
      <c r="M170" s="115" t="s">
        <v>705</v>
      </c>
      <c r="N170" s="116" t="str">
        <f t="shared" ca="1" si="38"/>
        <v>Serviço</v>
      </c>
      <c r="O170" s="117" t="str">
        <f t="shared" ca="1" si="39"/>
        <v>1.27.1.</v>
      </c>
      <c r="P170" s="118" t="s">
        <v>750</v>
      </c>
      <c r="Q170" s="119" t="s">
        <v>1151</v>
      </c>
      <c r="R170" s="120" t="str">
        <f t="array" aca="1" ref="R170" ca="1">IF($C170="S",REFERENCIA.Descricao,"(digite a descrição aqui)")</f>
        <v>REGISTRO DE PRESSÃO BRUTO, LATÃO, ROSCÁVEL, 3/4", COM ACABAMENTO E CANOPLA CROMADOS - FORNECIMENTO E INSTALAÇÃO. AF_08/2021</v>
      </c>
      <c r="S170" s="121" t="str">
        <f t="array" aca="1" ref="S170" ca="1">REFERENCIA.Unidade</f>
        <v>UN</v>
      </c>
      <c r="T170" s="122">
        <f ca="1">OFFSET(CÁLCULO!H$15,ROW($T170)-ROW(T$15),0)</f>
        <v>20</v>
      </c>
      <c r="U170" s="123">
        <f>141.99*0.94</f>
        <v>133.47059999999999</v>
      </c>
      <c r="V170" s="124" t="s">
        <v>697</v>
      </c>
      <c r="W170" s="122">
        <f t="array" aca="1" ref="W170" ca="1">IF($C170="S",ROUND(IF(TIPOORCAMENTO="Proposto",ORÇAMENTO.CustoUnitario*(1+$AH170),ORÇAMENTO.PrecoUnitarioLicitado),15-13*$AF$10),0)</f>
        <v>160.62</v>
      </c>
      <c r="X170" s="125">
        <f t="array" aca="1" ref="X170" ca="1">IF($C170="S",IF(OR(Import.TipoArredondamento&lt;&gt;"TransfereGOV",ACOMPANHAMENTO="BM"),VTOTAL1,SUM(OFFSET(CÁLCULO!$AI$15,ROW($X170)-ROW($X$15),1):OFFSET(CÁLCULO!$BB$15,ROW($X170)-ROW($X$15),-1))),IF($C170=0,0,ROUND(SomaAgrup,15-13*$AF$11)))</f>
        <v>3212.4</v>
      </c>
      <c r="Y170" s="126" t="s">
        <v>751</v>
      </c>
      <c r="Z170" s="696" t="str">
        <f t="shared" ca="1" si="40"/>
        <v>RA</v>
      </c>
      <c r="AA170" s="127">
        <f t="array" aca="1" ref="AA170" ca="1">IF($C170="S",IF($Z170="CP",$X170,IF($Z170="RA",(($X170)*QCI!$AA$3),0)),SomaAgrup)</f>
        <v>0</v>
      </c>
      <c r="AB170" s="128">
        <f t="array" aca="1" ref="AB170" ca="1">IF($C170="S",IF($Z170="OU",ROUND($X170,2),0),SomaAgrup)</f>
        <v>0</v>
      </c>
      <c r="AC170" s="563" t="str">
        <f t="array" aca="1" ref="AC170" ca="1">IF($N170=""," ",
IF(AND($C170&lt;&gt;"S",OR($R170="",$R170="(digite a descrição aqui)")),"DESCRIÇÃO",
IF(AND($C170="S",OR($Q170&lt;&gt;"",$T170&gt;0,$U170&gt;0),$P170=""),"FONTE",
IF(AND($C170="S",$P170&lt;&gt;"",OR($T170&gt;0,$U170&gt;0),$Q170=""),"CÓDIGO",
IF(AND($C170="S",$P170&lt;&gt;"",$Q170&lt;&gt;"",$R170="(Código não identificado nas referências)"),"CÓDIGO N/ID",
IF(AND($C170="S",OR($R170="",$R170="(digite a descrição aqui)"),OR($Q170&lt;&gt;"",$T170&gt;0,$U170&gt;0)),"DESCRIÇÃO",
IF(AND($C170="S",$P170&lt;&gt;"",$Q170&lt;&gt;"",$S170=""),"UNIDADE",
IF(AND($C170="S",$P170&lt;&gt;"",$Q170&lt;&gt;"",$U170=0),"SEM CUSTO",
IF(AND(TIPOORCAMENTO="Licitado",$AL170=0,$AN170&gt;0),"SEM PREÇO",
IF(AND($C170="S",$P170&lt;&gt;"",$Q170&lt;&gt;"",$U170&gt;0,AND($V170&lt;&gt;"BDI 1",$V170&lt;&gt;"BDI 2",$V170&lt;&gt;"BDI 3")),IF(ISNUMBER($V170),"JUSTIFICAR BDI","BDI"),
IF(OR(AND(import.recurso="OGU",TIPOORCAMENTO="Proposto",LEFT($O$8,5)&lt;&gt;"(N/D:",$AG170&lt;&gt;"",ORÇAMENTO.CustoUnitario&gt;$AG170),AND(TIPOORCAMENTO="LICITADO",ORÇAMENTO.PrecoUnitarioLicitado&gt;$AN170)),"ACIMA REF.",
IF(AND($C170="S",$P170&lt;&gt;"",$Q170&lt;&gt;"",$T170=0,$U170&gt;0),"QUANT.",
IF(AND(Import.TipoArredondamento="TransfereGOV",$L170="F",$C170="S",LEN($Q170)&gt;13),"Código &gt;13",
IF(AND(Import.TipoArredondamento="TransfereGOV",$L170="F",$C170&lt;&gt;"S",LEN($R170)&gt;100),"Descrição &gt;100",
IF(AND(Import.TipoArredondamento="TransfereGOV",$L170="F",$C170="S",LEN($R170)&gt;500),"Descrição &gt;500",
IF(AND(Import.TipoArredondamento="TransfereGOV",$L170="F",$C170="S",LEFT(TRIM(UPPER($P170)),6)&lt;&gt;"SINAPI",ISNA(VLOOKUP(TRIM(UPPER($S170)),ListaTgov.Unidades,1,FALSE))),"Unid. Não Disp",
" "))))))))))))))))</f>
        <v xml:space="preserve"> </v>
      </c>
      <c r="AD170" s="696" t="str">
        <f ca="1">IF(C170&lt;=CRONO.NivelExibicao,MAX($AD$15:OFFSET(AD170,-1,0))+IF($C170&lt;&gt;1,1,MAX(1,COUNTIF(QCI!$A$13:$A$24,OFFSET($E170,-1,0)))),"")</f>
        <v/>
      </c>
      <c r="AE170" s="694" t="str">
        <f t="array" aca="1" ref="AE170" ca="1">IF(AND($C170="S",ORÇAMENTO.CodBarra&lt;&gt;""),IF(ORÇAMENTO.Fonte="",ORÇAMENTO.CodBarra,CONCATENATE(ORÇAMENTO.Fonte," ",ORÇAMENTO.CodBarra)))</f>
        <v>SINAPI 89985</v>
      </c>
      <c r="AF170" s="695">
        <f t="array" aca="1" ref="AF170" ca="1">IF(ISERROR(ORÇAMENTO.BancoRef),"(abra o arquivo 'Referência "&amp;Excel_BuiltIn_Database&amp;".xlsm)",IF(OR($C170&lt;&gt;"S",ORÇAMENTO.CodBarra=""),"(Sem Código)",IF(ISERROR(MATCH($AE170,INDIRECT(ORÇAMENTO.BancoRef),0)),"(Código não identificado nas referências)",MATCH($AE170,INDIRECT(ORÇAMENTO.BancoRef),0))))</f>
        <v>15657</v>
      </c>
      <c r="AG170" s="428">
        <f t="array" aca="1" ref="AG170" ca="1">ROUND(IF(DESONERACAO="sim",REFERENCIA.Desonerado,REFERENCIA.NaoDesonerado),2)</f>
        <v>141.99</v>
      </c>
      <c r="AH170" s="429">
        <f t="shared" ca="1" si="41"/>
        <v>0.2034</v>
      </c>
      <c r="AJ170" s="431"/>
      <c r="AL170" s="439"/>
      <c r="AM170" s="336">
        <f t="shared" ca="1" si="0"/>
        <v>3212.4</v>
      </c>
      <c r="AN170" s="469">
        <f t="array" aca="1" ref="AN170" ca="1">ROUND(ORÇAMENTO.CustoUnitario*(1+$AH170),2)</f>
        <v>160.62</v>
      </c>
    </row>
    <row r="171" spans="1:40" s="696" customFormat="1" ht="38.25" x14ac:dyDescent="0.2">
      <c r="A171" s="696" t="str">
        <f t="shared" si="29"/>
        <v>S</v>
      </c>
      <c r="B171" s="696">
        <f t="shared" ca="1" si="30"/>
        <v>2</v>
      </c>
      <c r="C171" s="696" t="str">
        <f t="shared" ca="1" si="31"/>
        <v>S</v>
      </c>
      <c r="D171" s="696">
        <f t="shared" ca="1" si="32"/>
        <v>0</v>
      </c>
      <c r="E171" s="696">
        <f ca="1">IF($C171=1,OFFSET(E171,-1,0)+MAX(1,COUNTIF(QCI!$A$13:$A$24,OFFSET(ORÇAMENTO!E171,-1,0))),OFFSET(E171,-1,0))</f>
        <v>1</v>
      </c>
      <c r="F171" s="696">
        <f t="shared" ca="1" si="33"/>
        <v>27</v>
      </c>
      <c r="G171" s="696">
        <f t="shared" ca="1" si="34"/>
        <v>0</v>
      </c>
      <c r="H171" s="696">
        <f t="shared" ca="1" si="35"/>
        <v>0</v>
      </c>
      <c r="I171" s="696">
        <f t="shared" ca="1" si="36"/>
        <v>2</v>
      </c>
      <c r="J171" s="696">
        <f t="shared" ca="1" si="42"/>
        <v>0</v>
      </c>
      <c r="K171" s="696">
        <f ca="1">IF(OR($C171="S",$C171=0),0,MATCH(OFFSET($D171,0,$C171)+IF($C171&lt;&gt;1,1,COUNTIF(QCI!$A$13:$A$24,ORÇAMENTO!E171)),OFFSET($D171,1,$C171,ROW($C$235)-ROW($C171)),0))</f>
        <v>0</v>
      </c>
      <c r="L171" s="114" t="str">
        <f t="shared" ca="1" si="37"/>
        <v>F</v>
      </c>
      <c r="M171" s="115" t="s">
        <v>705</v>
      </c>
      <c r="N171" s="116" t="str">
        <f t="shared" ca="1" si="38"/>
        <v>Serviço</v>
      </c>
      <c r="O171" s="117" t="str">
        <f t="shared" ca="1" si="39"/>
        <v>1.27.2.</v>
      </c>
      <c r="P171" s="118" t="s">
        <v>750</v>
      </c>
      <c r="Q171" s="119" t="s">
        <v>1152</v>
      </c>
      <c r="R171" s="120" t="str">
        <f t="array" aca="1" ref="R171" ca="1">IF($C171="S",REFERENCIA.Descricao,"(digite a descrição aqui)")</f>
        <v>REGISTRO DE GAVETA BRUTO, LATÃO, ROSCÁVEL, 3/4", COM ACABAMENTO E CANOPLA CROMADOS - FORNECIMENTO E INSTALAÇÃO. AF_08/2021</v>
      </c>
      <c r="S171" s="121" t="str">
        <f t="array" aca="1" ref="S171" ca="1">REFERENCIA.Unidade</f>
        <v>UN</v>
      </c>
      <c r="T171" s="122">
        <f ca="1">OFFSET(CÁLCULO!H$15,ROW($T171)-ROW(T$15),0)</f>
        <v>60</v>
      </c>
      <c r="U171" s="123">
        <f>149.8*0.94</f>
        <v>140.81200000000001</v>
      </c>
      <c r="V171" s="124" t="s">
        <v>697</v>
      </c>
      <c r="W171" s="122">
        <f t="array" aca="1" ref="W171" ca="1">IF($C171="S",ROUND(IF(TIPOORCAMENTO="Proposto",ORÇAMENTO.CustoUnitario*(1+$AH171),ORÇAMENTO.PrecoUnitarioLicitado),15-13*$AF$10),0)</f>
        <v>169.45</v>
      </c>
      <c r="X171" s="125">
        <f t="array" aca="1" ref="X171" ca="1">IF($C171="S",IF(OR(Import.TipoArredondamento&lt;&gt;"TransfereGOV",ACOMPANHAMENTO="BM"),VTOTAL1,SUM(OFFSET(CÁLCULO!$AI$15,ROW($X171)-ROW($X$15),1):OFFSET(CÁLCULO!$BB$15,ROW($X171)-ROW($X$15),-1))),IF($C171=0,0,ROUND(SomaAgrup,15-13*$AF$11)))</f>
        <v>10167</v>
      </c>
      <c r="Y171" s="126" t="s">
        <v>751</v>
      </c>
      <c r="Z171" s="696" t="str">
        <f t="shared" ca="1" si="40"/>
        <v>RA</v>
      </c>
      <c r="AA171" s="127">
        <f t="array" aca="1" ref="AA171" ca="1">IF($C171="S",IF($Z171="CP",$X171,IF($Z171="RA",(($X171)*QCI!$AA$3),0)),SomaAgrup)</f>
        <v>0</v>
      </c>
      <c r="AB171" s="128">
        <f t="array" aca="1" ref="AB171" ca="1">IF($C171="S",IF($Z171="OU",ROUND($X171,2),0),SomaAgrup)</f>
        <v>0</v>
      </c>
      <c r="AC171" s="563" t="str">
        <f t="array" aca="1" ref="AC171" ca="1">IF($N171=""," ",
IF(AND($C171&lt;&gt;"S",OR($R171="",$R171="(digite a descrição aqui)")),"DESCRIÇÃO",
IF(AND($C171="S",OR($Q171&lt;&gt;"",$T171&gt;0,$U171&gt;0),$P171=""),"FONTE",
IF(AND($C171="S",$P171&lt;&gt;"",OR($T171&gt;0,$U171&gt;0),$Q171=""),"CÓDIGO",
IF(AND($C171="S",$P171&lt;&gt;"",$Q171&lt;&gt;"",$R171="(Código não identificado nas referências)"),"CÓDIGO N/ID",
IF(AND($C171="S",OR($R171="",$R171="(digite a descrição aqui)"),OR($Q171&lt;&gt;"",$T171&gt;0,$U171&gt;0)),"DESCRIÇÃO",
IF(AND($C171="S",$P171&lt;&gt;"",$Q171&lt;&gt;"",$S171=""),"UNIDADE",
IF(AND($C171="S",$P171&lt;&gt;"",$Q171&lt;&gt;"",$U171=0),"SEM CUSTO",
IF(AND(TIPOORCAMENTO="Licitado",$AL171=0,$AN171&gt;0),"SEM PREÇO",
IF(AND($C171="S",$P171&lt;&gt;"",$Q171&lt;&gt;"",$U171&gt;0,AND($V171&lt;&gt;"BDI 1",$V171&lt;&gt;"BDI 2",$V171&lt;&gt;"BDI 3")),IF(ISNUMBER($V171),"JUSTIFICAR BDI","BDI"),
IF(OR(AND(import.recurso="OGU",TIPOORCAMENTO="Proposto",LEFT($O$8,5)&lt;&gt;"(N/D:",$AG171&lt;&gt;"",ORÇAMENTO.CustoUnitario&gt;$AG171),AND(TIPOORCAMENTO="LICITADO",ORÇAMENTO.PrecoUnitarioLicitado&gt;$AN171)),"ACIMA REF.",
IF(AND($C171="S",$P171&lt;&gt;"",$Q171&lt;&gt;"",$T171=0,$U171&gt;0),"QUANT.",
IF(AND(Import.TipoArredondamento="TransfereGOV",$L171="F",$C171="S",LEN($Q171)&gt;13),"Código &gt;13",
IF(AND(Import.TipoArredondamento="TransfereGOV",$L171="F",$C171&lt;&gt;"S",LEN($R171)&gt;100),"Descrição &gt;100",
IF(AND(Import.TipoArredondamento="TransfereGOV",$L171="F",$C171="S",LEN($R171)&gt;500),"Descrição &gt;500",
IF(AND(Import.TipoArredondamento="TransfereGOV",$L171="F",$C171="S",LEFT(TRIM(UPPER($P171)),6)&lt;&gt;"SINAPI",ISNA(VLOOKUP(TRIM(UPPER($S171)),ListaTgov.Unidades,1,FALSE))),"Unid. Não Disp",
" "))))))))))))))))</f>
        <v xml:space="preserve"> </v>
      </c>
      <c r="AD171" s="696" t="str">
        <f ca="1">IF(C171&lt;=CRONO.NivelExibicao,MAX($AD$15:OFFSET(AD171,-1,0))+IF($C171&lt;&gt;1,1,MAX(1,COUNTIF(QCI!$A$13:$A$24,OFFSET($E171,-1,0)))),"")</f>
        <v/>
      </c>
      <c r="AE171" s="694" t="str">
        <f t="array" aca="1" ref="AE171" ca="1">IF(AND($C171="S",ORÇAMENTO.CodBarra&lt;&gt;""),IF(ORÇAMENTO.Fonte="",ORÇAMENTO.CodBarra,CONCATENATE(ORÇAMENTO.Fonte," ",ORÇAMENTO.CodBarra)))</f>
        <v>SINAPI 89987</v>
      </c>
      <c r="AF171" s="695">
        <f t="array" aca="1" ref="AF171" ca="1">IF(ISERROR(ORÇAMENTO.BancoRef),"(abra o arquivo 'Referência "&amp;Excel_BuiltIn_Database&amp;".xlsm)",IF(OR($C171&lt;&gt;"S",ORÇAMENTO.CodBarra=""),"(Sem Código)",IF(ISERROR(MATCH($AE171,INDIRECT(ORÇAMENTO.BancoRef),0)),"(Código não identificado nas referências)",MATCH($AE171,INDIRECT(ORÇAMENTO.BancoRef),0))))</f>
        <v>15653</v>
      </c>
      <c r="AG171" s="428">
        <f t="array" aca="1" ref="AG171" ca="1">ROUND(IF(DESONERACAO="sim",REFERENCIA.Desonerado,REFERENCIA.NaoDesonerado),2)</f>
        <v>149.80000000000001</v>
      </c>
      <c r="AH171" s="429">
        <f t="shared" ca="1" si="41"/>
        <v>0.2034</v>
      </c>
      <c r="AJ171" s="431"/>
      <c r="AL171" s="439"/>
      <c r="AM171" s="336">
        <f t="shared" ca="1" si="0"/>
        <v>10167</v>
      </c>
      <c r="AN171" s="469">
        <f t="array" aca="1" ref="AN171" ca="1">ROUND(ORÇAMENTO.CustoUnitario*(1+$AH171),2)</f>
        <v>169.45</v>
      </c>
    </row>
    <row r="172" spans="1:40" s="696" customFormat="1" ht="25.5" x14ac:dyDescent="0.2">
      <c r="A172" s="696" t="str">
        <f t="shared" si="29"/>
        <v>S</v>
      </c>
      <c r="B172" s="696">
        <f t="shared" ca="1" si="30"/>
        <v>2</v>
      </c>
      <c r="C172" s="696" t="str">
        <f t="shared" ca="1" si="31"/>
        <v>S</v>
      </c>
      <c r="D172" s="696">
        <f t="shared" ca="1" si="32"/>
        <v>0</v>
      </c>
      <c r="E172" s="696">
        <f ca="1">IF($C172=1,OFFSET(E172,-1,0)+MAX(1,COUNTIF(QCI!$A$13:$A$24,OFFSET(ORÇAMENTO!E172,-1,0))),OFFSET(E172,-1,0))</f>
        <v>1</v>
      </c>
      <c r="F172" s="696">
        <f t="shared" ca="1" si="33"/>
        <v>27</v>
      </c>
      <c r="G172" s="696">
        <f t="shared" ca="1" si="34"/>
        <v>0</v>
      </c>
      <c r="H172" s="696">
        <f t="shared" ca="1" si="35"/>
        <v>0</v>
      </c>
      <c r="I172" s="696">
        <f t="shared" ca="1" si="36"/>
        <v>3</v>
      </c>
      <c r="J172" s="696">
        <f t="shared" ca="1" si="42"/>
        <v>0</v>
      </c>
      <c r="K172" s="696">
        <f ca="1">IF(OR($C172="S",$C172=0),0,MATCH(OFFSET($D172,0,$C172)+IF($C172&lt;&gt;1,1,COUNTIF(QCI!$A$13:$A$24,ORÇAMENTO!E172)),OFFSET($D172,1,$C172,ROW($C$235)-ROW($C172)),0))</f>
        <v>0</v>
      </c>
      <c r="L172" s="114" t="str">
        <f t="shared" ca="1" si="37"/>
        <v>F</v>
      </c>
      <c r="M172" s="115" t="s">
        <v>705</v>
      </c>
      <c r="N172" s="116" t="str">
        <f t="shared" ca="1" si="38"/>
        <v>Serviço</v>
      </c>
      <c r="O172" s="117" t="str">
        <f t="shared" ca="1" si="39"/>
        <v>1.27.3.</v>
      </c>
      <c r="P172" s="118" t="s">
        <v>750</v>
      </c>
      <c r="Q172" s="119" t="s">
        <v>1153</v>
      </c>
      <c r="R172" s="120" t="str">
        <f t="array" aca="1" ref="R172" ca="1">IF($C172="S",REFERENCIA.Descricao,"(digite a descrição aqui)")</f>
        <v>REGISTRO DE ESFERA, PVC, SOLDÁVEL, COM VOLANTE, DN 32 MM - FORNECIMENTO E INSTALAÇÃO. AF_08/2021</v>
      </c>
      <c r="S172" s="121" t="str">
        <f t="array" aca="1" ref="S172" ca="1">REFERENCIA.Unidade</f>
        <v>UN</v>
      </c>
      <c r="T172" s="122">
        <f ca="1">OFFSET(CÁLCULO!H$15,ROW($T172)-ROW(T$15),0)</f>
        <v>40</v>
      </c>
      <c r="U172" s="123">
        <f>31.62*0.94</f>
        <v>29.722799999999999</v>
      </c>
      <c r="V172" s="124" t="s">
        <v>697</v>
      </c>
      <c r="W172" s="122">
        <f t="array" aca="1" ref="W172" ca="1">IF($C172="S",ROUND(IF(TIPOORCAMENTO="Proposto",ORÇAMENTO.CustoUnitario*(1+$AH172),ORÇAMENTO.PrecoUnitarioLicitado),15-13*$AF$10),0)</f>
        <v>35.770000000000003</v>
      </c>
      <c r="X172" s="125">
        <f t="array" aca="1" ref="X172" ca="1">IF($C172="S",IF(OR(Import.TipoArredondamento&lt;&gt;"TransfereGOV",ACOMPANHAMENTO="BM"),VTOTAL1,SUM(OFFSET(CÁLCULO!$AI$15,ROW($X172)-ROW($X$15),1):OFFSET(CÁLCULO!$BB$15,ROW($X172)-ROW($X$15),-1))),IF($C172=0,0,ROUND(SomaAgrup,15-13*$AF$11)))</f>
        <v>1430.8</v>
      </c>
      <c r="Y172" s="126" t="s">
        <v>751</v>
      </c>
      <c r="Z172" s="696" t="str">
        <f t="shared" ca="1" si="40"/>
        <v>RA</v>
      </c>
      <c r="AA172" s="127">
        <f t="array" aca="1" ref="AA172" ca="1">IF($C172="S",IF($Z172="CP",$X172,IF($Z172="RA",(($X172)*QCI!$AA$3),0)),SomaAgrup)</f>
        <v>0</v>
      </c>
      <c r="AB172" s="128">
        <f t="array" aca="1" ref="AB172" ca="1">IF($C172="S",IF($Z172="OU",ROUND($X172,2),0),SomaAgrup)</f>
        <v>0</v>
      </c>
      <c r="AC172" s="563" t="str">
        <f t="array" aca="1" ref="AC172" ca="1">IF($N172=""," ",
IF(AND($C172&lt;&gt;"S",OR($R172="",$R172="(digite a descrição aqui)")),"DESCRIÇÃO",
IF(AND($C172="S",OR($Q172&lt;&gt;"",$T172&gt;0,$U172&gt;0),$P172=""),"FONTE",
IF(AND($C172="S",$P172&lt;&gt;"",OR($T172&gt;0,$U172&gt;0),$Q172=""),"CÓDIGO",
IF(AND($C172="S",$P172&lt;&gt;"",$Q172&lt;&gt;"",$R172="(Código não identificado nas referências)"),"CÓDIGO N/ID",
IF(AND($C172="S",OR($R172="",$R172="(digite a descrição aqui)"),OR($Q172&lt;&gt;"",$T172&gt;0,$U172&gt;0)),"DESCRIÇÃO",
IF(AND($C172="S",$P172&lt;&gt;"",$Q172&lt;&gt;"",$S172=""),"UNIDADE",
IF(AND($C172="S",$P172&lt;&gt;"",$Q172&lt;&gt;"",$U172=0),"SEM CUSTO",
IF(AND(TIPOORCAMENTO="Licitado",$AL172=0,$AN172&gt;0),"SEM PREÇO",
IF(AND($C172="S",$P172&lt;&gt;"",$Q172&lt;&gt;"",$U172&gt;0,AND($V172&lt;&gt;"BDI 1",$V172&lt;&gt;"BDI 2",$V172&lt;&gt;"BDI 3")),IF(ISNUMBER($V172),"JUSTIFICAR BDI","BDI"),
IF(OR(AND(import.recurso="OGU",TIPOORCAMENTO="Proposto",LEFT($O$8,5)&lt;&gt;"(N/D:",$AG172&lt;&gt;"",ORÇAMENTO.CustoUnitario&gt;$AG172),AND(TIPOORCAMENTO="LICITADO",ORÇAMENTO.PrecoUnitarioLicitado&gt;$AN172)),"ACIMA REF.",
IF(AND($C172="S",$P172&lt;&gt;"",$Q172&lt;&gt;"",$T172=0,$U172&gt;0),"QUANT.",
IF(AND(Import.TipoArredondamento="TransfereGOV",$L172="F",$C172="S",LEN($Q172)&gt;13),"Código &gt;13",
IF(AND(Import.TipoArredondamento="TransfereGOV",$L172="F",$C172&lt;&gt;"S",LEN($R172)&gt;100),"Descrição &gt;100",
IF(AND(Import.TipoArredondamento="TransfereGOV",$L172="F",$C172="S",LEN($R172)&gt;500),"Descrição &gt;500",
IF(AND(Import.TipoArredondamento="TransfereGOV",$L172="F",$C172="S",LEFT(TRIM(UPPER($P172)),6)&lt;&gt;"SINAPI",ISNA(VLOOKUP(TRIM(UPPER($S172)),ListaTgov.Unidades,1,FALSE))),"Unid. Não Disp",
" "))))))))))))))))</f>
        <v xml:space="preserve"> </v>
      </c>
      <c r="AD172" s="696" t="str">
        <f ca="1">IF(C172&lt;=CRONO.NivelExibicao,MAX($AD$15:OFFSET(AD172,-1,0))+IF($C172&lt;&gt;1,1,MAX(1,COUNTIF(QCI!$A$13:$A$24,OFFSET($E172,-1,0)))),"")</f>
        <v/>
      </c>
      <c r="AE172" s="694" t="str">
        <f t="array" aca="1" ref="AE172" ca="1">IF(AND($C172="S",ORÇAMENTO.CodBarra&lt;&gt;""),IF(ORÇAMENTO.Fonte="",ORÇAMENTO.CodBarra,CONCATENATE(ORÇAMENTO.Fonte," ",ORÇAMENTO.CodBarra)))</f>
        <v>SINAPI 94490</v>
      </c>
      <c r="AF172" s="695">
        <f t="array" aca="1" ref="AF172" ca="1">IF(ISERROR(ORÇAMENTO.BancoRef),"(abra o arquivo 'Referência "&amp;Excel_BuiltIn_Database&amp;".xlsm)",IF(OR($C172&lt;&gt;"S",ORÇAMENTO.CodBarra=""),"(Sem Código)",IF(ISERROR(MATCH($AE172,INDIRECT(ORÇAMENTO.BancoRef),0)),"(Código não identificado nas referências)",MATCH($AE172,INDIRECT(ORÇAMENTO.BancoRef),0))))</f>
        <v>15637</v>
      </c>
      <c r="AG172" s="428">
        <f t="array" aca="1" ref="AG172" ca="1">ROUND(IF(DESONERACAO="sim",REFERENCIA.Desonerado,REFERENCIA.NaoDesonerado),2)</f>
        <v>31.62</v>
      </c>
      <c r="AH172" s="429">
        <f t="shared" ca="1" si="41"/>
        <v>0.2034</v>
      </c>
      <c r="AJ172" s="431"/>
      <c r="AL172" s="439"/>
      <c r="AM172" s="336">
        <f t="shared" ca="1" si="0"/>
        <v>1430.8</v>
      </c>
      <c r="AN172" s="469">
        <f t="array" aca="1" ref="AN172" ca="1">ROUND(ORÇAMENTO.CustoUnitario*(1+$AH172),2)</f>
        <v>35.770000000000003</v>
      </c>
    </row>
    <row r="173" spans="1:40" s="696" customFormat="1" ht="25.5" x14ac:dyDescent="0.2">
      <c r="A173" s="696" t="str">
        <f t="shared" si="29"/>
        <v>S</v>
      </c>
      <c r="B173" s="696">
        <f t="shared" ca="1" si="30"/>
        <v>2</v>
      </c>
      <c r="C173" s="696" t="str">
        <f t="shared" ca="1" si="31"/>
        <v>S</v>
      </c>
      <c r="D173" s="696">
        <f t="shared" ca="1" si="32"/>
        <v>0</v>
      </c>
      <c r="E173" s="696">
        <f ca="1">IF($C173=1,OFFSET(E173,-1,0)+MAX(1,COUNTIF(QCI!$A$13:$A$24,OFFSET(ORÇAMENTO!E173,-1,0))),OFFSET(E173,-1,0))</f>
        <v>1</v>
      </c>
      <c r="F173" s="696">
        <f t="shared" ca="1" si="33"/>
        <v>27</v>
      </c>
      <c r="G173" s="696">
        <f t="shared" ca="1" si="34"/>
        <v>0</v>
      </c>
      <c r="H173" s="696">
        <f t="shared" ca="1" si="35"/>
        <v>0</v>
      </c>
      <c r="I173" s="696">
        <f t="shared" ca="1" si="36"/>
        <v>4</v>
      </c>
      <c r="J173" s="696">
        <f t="shared" ca="1" si="42"/>
        <v>0</v>
      </c>
      <c r="K173" s="696">
        <f ca="1">IF(OR($C173="S",$C173=0),0,MATCH(OFFSET($D173,0,$C173)+IF($C173&lt;&gt;1,1,COUNTIF(QCI!$A$13:$A$24,ORÇAMENTO!E173)),OFFSET($D173,1,$C173,ROW($C$235)-ROW($C173)),0))</f>
        <v>0</v>
      </c>
      <c r="L173" s="114" t="str">
        <f t="shared" ca="1" si="37"/>
        <v>F</v>
      </c>
      <c r="M173" s="115" t="s">
        <v>705</v>
      </c>
      <c r="N173" s="116" t="str">
        <f t="shared" ca="1" si="38"/>
        <v>Serviço</v>
      </c>
      <c r="O173" s="117" t="str">
        <f t="shared" ca="1" si="39"/>
        <v>1.27.4.</v>
      </c>
      <c r="P173" s="118" t="s">
        <v>750</v>
      </c>
      <c r="Q173" s="119" t="s">
        <v>1154</v>
      </c>
      <c r="R173" s="120" t="str">
        <f t="array" aca="1" ref="R173" ca="1">IF($C173="S",REFERENCIA.Descricao,"(digite a descrição aqui)")</f>
        <v>ENGATE FLEXÍVEL EM PLÁSTICO BRANCO, 1/2" X 40CM - FORNECIMENTO E INSTALAÇÃO. AF_01/2020</v>
      </c>
      <c r="S173" s="121" t="str">
        <f t="array" aca="1" ref="S173" ca="1">REFERENCIA.Unidade</f>
        <v>UN</v>
      </c>
      <c r="T173" s="122">
        <f ca="1">OFFSET(CÁLCULO!H$15,ROW($T173)-ROW(T$15),0)</f>
        <v>80</v>
      </c>
      <c r="U173" s="123">
        <f>13.58*0.94</f>
        <v>12.7652</v>
      </c>
      <c r="V173" s="124" t="s">
        <v>697</v>
      </c>
      <c r="W173" s="122">
        <f t="array" aca="1" ref="W173" ca="1">IF($C173="S",ROUND(IF(TIPOORCAMENTO="Proposto",ORÇAMENTO.CustoUnitario*(1+$AH173),ORÇAMENTO.PrecoUnitarioLicitado),15-13*$AF$10),0)</f>
        <v>15.37</v>
      </c>
      <c r="X173" s="125">
        <f t="array" aca="1" ref="X173" ca="1">IF($C173="S",IF(OR(Import.TipoArredondamento&lt;&gt;"TransfereGOV",ACOMPANHAMENTO="BM"),VTOTAL1,SUM(OFFSET(CÁLCULO!$AI$15,ROW($X173)-ROW($X$15),1):OFFSET(CÁLCULO!$BB$15,ROW($X173)-ROW($X$15),-1))),IF($C173=0,0,ROUND(SomaAgrup,15-13*$AF$11)))</f>
        <v>1229.5999999999999</v>
      </c>
      <c r="Y173" s="126" t="s">
        <v>751</v>
      </c>
      <c r="Z173" s="696" t="str">
        <f t="shared" ca="1" si="40"/>
        <v>RA</v>
      </c>
      <c r="AA173" s="127">
        <f t="array" aca="1" ref="AA173" ca="1">IF($C173="S",IF($Z173="CP",$X173,IF($Z173="RA",(($X173)*QCI!$AA$3),0)),SomaAgrup)</f>
        <v>0</v>
      </c>
      <c r="AB173" s="128">
        <f t="array" aca="1" ref="AB173" ca="1">IF($C173="S",IF($Z173="OU",ROUND($X173,2),0),SomaAgrup)</f>
        <v>0</v>
      </c>
      <c r="AC173" s="563" t="str">
        <f t="array" aca="1" ref="AC173" ca="1">IF($N173=""," ",
IF(AND($C173&lt;&gt;"S",OR($R173="",$R173="(digite a descrição aqui)")),"DESCRIÇÃO",
IF(AND($C173="S",OR($Q173&lt;&gt;"",$T173&gt;0,$U173&gt;0),$P173=""),"FONTE",
IF(AND($C173="S",$P173&lt;&gt;"",OR($T173&gt;0,$U173&gt;0),$Q173=""),"CÓDIGO",
IF(AND($C173="S",$P173&lt;&gt;"",$Q173&lt;&gt;"",$R173="(Código não identificado nas referências)"),"CÓDIGO N/ID",
IF(AND($C173="S",OR($R173="",$R173="(digite a descrição aqui)"),OR($Q173&lt;&gt;"",$T173&gt;0,$U173&gt;0)),"DESCRIÇÃO",
IF(AND($C173="S",$P173&lt;&gt;"",$Q173&lt;&gt;"",$S173=""),"UNIDADE",
IF(AND($C173="S",$P173&lt;&gt;"",$Q173&lt;&gt;"",$U173=0),"SEM CUSTO",
IF(AND(TIPOORCAMENTO="Licitado",$AL173=0,$AN173&gt;0),"SEM PREÇO",
IF(AND($C173="S",$P173&lt;&gt;"",$Q173&lt;&gt;"",$U173&gt;0,AND($V173&lt;&gt;"BDI 1",$V173&lt;&gt;"BDI 2",$V173&lt;&gt;"BDI 3")),IF(ISNUMBER($V173),"JUSTIFICAR BDI","BDI"),
IF(OR(AND(import.recurso="OGU",TIPOORCAMENTO="Proposto",LEFT($O$8,5)&lt;&gt;"(N/D:",$AG173&lt;&gt;"",ORÇAMENTO.CustoUnitario&gt;$AG173),AND(TIPOORCAMENTO="LICITADO",ORÇAMENTO.PrecoUnitarioLicitado&gt;$AN173)),"ACIMA REF.",
IF(AND($C173="S",$P173&lt;&gt;"",$Q173&lt;&gt;"",$T173=0,$U173&gt;0),"QUANT.",
IF(AND(Import.TipoArredondamento="TransfereGOV",$L173="F",$C173="S",LEN($Q173)&gt;13),"Código &gt;13",
IF(AND(Import.TipoArredondamento="TransfereGOV",$L173="F",$C173&lt;&gt;"S",LEN($R173)&gt;100),"Descrição &gt;100",
IF(AND(Import.TipoArredondamento="TransfereGOV",$L173="F",$C173="S",LEN($R173)&gt;500),"Descrição &gt;500",
IF(AND(Import.TipoArredondamento="TransfereGOV",$L173="F",$C173="S",LEFT(TRIM(UPPER($P173)),6)&lt;&gt;"SINAPI",ISNA(VLOOKUP(TRIM(UPPER($S173)),ListaTgov.Unidades,1,FALSE))),"Unid. Não Disp",
" "))))))))))))))))</f>
        <v xml:space="preserve"> </v>
      </c>
      <c r="AD173" s="696" t="str">
        <f ca="1">IF(C173&lt;=CRONO.NivelExibicao,MAX($AD$15:OFFSET(AD173,-1,0))+IF($C173&lt;&gt;1,1,MAX(1,COUNTIF(QCI!$A$13:$A$24,OFFSET($E173,-1,0)))),"")</f>
        <v/>
      </c>
      <c r="AE173" s="694" t="str">
        <f t="array" aca="1" ref="AE173" ca="1">IF(AND($C173="S",ORÇAMENTO.CodBarra&lt;&gt;""),IF(ORÇAMENTO.Fonte="",ORÇAMENTO.CodBarra,CONCATENATE(ORÇAMENTO.Fonte," ",ORÇAMENTO.CodBarra)))</f>
        <v>SINAPI 86885</v>
      </c>
      <c r="AF173" s="695">
        <f t="array" aca="1" ref="AF173" ca="1">IF(ISERROR(ORÇAMENTO.BancoRef),"(abra o arquivo 'Referência "&amp;Excel_BuiltIn_Database&amp;".xlsm)",IF(OR($C173&lt;&gt;"S",ORÇAMENTO.CodBarra=""),"(Sem Código)",IF(ISERROR(MATCH($AE173,INDIRECT(ORÇAMENTO.BancoRef),0)),"(Código não identificado nas referências)",MATCH($AE173,INDIRECT(ORÇAMENTO.BancoRef),0))))</f>
        <v>13218</v>
      </c>
      <c r="AG173" s="428">
        <f t="array" aca="1" ref="AG173" ca="1">ROUND(IF(DESONERACAO="sim",REFERENCIA.Desonerado,REFERENCIA.NaoDesonerado),2)</f>
        <v>13.58</v>
      </c>
      <c r="AH173" s="429">
        <f t="shared" ca="1" si="41"/>
        <v>0.2034</v>
      </c>
      <c r="AJ173" s="431"/>
      <c r="AL173" s="439"/>
      <c r="AM173" s="336">
        <f t="shared" ca="1" si="0"/>
        <v>1229.5999999999999</v>
      </c>
      <c r="AN173" s="469">
        <f t="array" aca="1" ref="AN173" ca="1">ROUND(ORÇAMENTO.CustoUnitario*(1+$AH173),2)</f>
        <v>15.37</v>
      </c>
    </row>
    <row r="174" spans="1:40" s="696" customFormat="1" x14ac:dyDescent="0.2">
      <c r="A174" s="696">
        <f t="shared" si="29"/>
        <v>2</v>
      </c>
      <c r="B174" s="696">
        <f t="shared" ca="1" si="30"/>
        <v>2</v>
      </c>
      <c r="C174" s="696">
        <f t="shared" ca="1" si="31"/>
        <v>2</v>
      </c>
      <c r="D174" s="696">
        <f t="shared" ca="1" si="32"/>
        <v>7</v>
      </c>
      <c r="E174" s="696">
        <f ca="1">IF($C174=1,OFFSET(E174,-1,0)+MAX(1,COUNTIF(QCI!$A$13:$A$24,OFFSET(ORÇAMENTO!E174,-1,0))),OFFSET(E174,-1,0))</f>
        <v>1</v>
      </c>
      <c r="F174" s="696">
        <f t="shared" ca="1" si="33"/>
        <v>28</v>
      </c>
      <c r="G174" s="696">
        <f t="shared" ca="1" si="34"/>
        <v>0</v>
      </c>
      <c r="H174" s="696">
        <f t="shared" ca="1" si="35"/>
        <v>0</v>
      </c>
      <c r="I174" s="696">
        <f t="shared" ca="1" si="36"/>
        <v>0</v>
      </c>
      <c r="J174" s="696">
        <f t="shared" ca="1" si="42"/>
        <v>61</v>
      </c>
      <c r="K174" s="696">
        <f ca="1">IF(OR($C174="S",$C174=0),0,MATCH(OFFSET($D174,0,$C174)+IF($C174&lt;&gt;1,1,COUNTIF(QCI!$A$13:$A$24,ORÇAMENTO!E174)),OFFSET($D174,1,$C174,ROW($C$235)-ROW($C174)),0))</f>
        <v>7</v>
      </c>
      <c r="L174" s="114" t="str">
        <f t="shared" ca="1" si="37"/>
        <v>F</v>
      </c>
      <c r="M174" s="115" t="s">
        <v>702</v>
      </c>
      <c r="N174" s="116" t="str">
        <f t="shared" ca="1" si="38"/>
        <v>Nível 2</v>
      </c>
      <c r="O174" s="117" t="str">
        <f t="shared" ca="1" si="39"/>
        <v>1.28.</v>
      </c>
      <c r="P174" s="118" t="s">
        <v>750</v>
      </c>
      <c r="Q174" s="119"/>
      <c r="R174" s="120" t="s">
        <v>1155</v>
      </c>
      <c r="S174" s="121" t="s">
        <v>688</v>
      </c>
      <c r="T174" s="122">
        <f ca="1">OFFSET(CÁLCULO!H$15,ROW($T174)-ROW(T$15),0)</f>
        <v>0</v>
      </c>
      <c r="U174" s="123"/>
      <c r="V174" s="124" t="s">
        <v>663</v>
      </c>
      <c r="W174" s="122">
        <f t="array" aca="1" ref="W174" ca="1">IF($C174="S",ROUND(IF(TIPOORCAMENTO="Proposto",ORÇAMENTO.CustoUnitario*(1+$AH174),ORÇAMENTO.PrecoUnitarioLicitado),15-13*$AF$10),0)</f>
        <v>0</v>
      </c>
      <c r="X174" s="125">
        <f t="array" aca="1" ref="X174" ca="1">IF($C174="S",IF(OR(Import.TipoArredondamento&lt;&gt;"TransfereGOV",ACOMPANHAMENTO="BM"),VTOTAL1,SUM(OFFSET(CÁLCULO!$AI$15,ROW($X174)-ROW($X$15),1):OFFSET(CÁLCULO!$BB$15,ROW($X174)-ROW($X$15),-1))),IF($C174=0,0,ROUND(SomaAgrup,15-13*$AF$11)))</f>
        <v>8390.36</v>
      </c>
      <c r="Y174" s="126" t="s">
        <v>751</v>
      </c>
      <c r="Z174" s="696" t="str">
        <f t="shared" ca="1" si="40"/>
        <v/>
      </c>
      <c r="AA174" s="127">
        <f t="array" aca="1" ref="AA174" ca="1">IF($C174="S",IF($Z174="CP",$X174,IF($Z174="RA",(($X174)*QCI!$AA$3),0)),SomaAgrup)</f>
        <v>0</v>
      </c>
      <c r="AB174" s="128">
        <f t="array" aca="1" ref="AB174" ca="1">IF($C174="S",IF($Z174="OU",ROUND($X174,2),0),SomaAgrup)</f>
        <v>0</v>
      </c>
      <c r="AC174" s="563" t="str">
        <f t="array" aca="1" ref="AC174" ca="1">IF($N174=""," ",
IF(AND($C174&lt;&gt;"S",OR($R174="",$R174="(digite a descrição aqui)")),"DESCRIÇÃO",
IF(AND($C174="S",OR($Q174&lt;&gt;"",$T174&gt;0,$U174&gt;0),$P174=""),"FONTE",
IF(AND($C174="S",$P174&lt;&gt;"",OR($T174&gt;0,$U174&gt;0),$Q174=""),"CÓDIGO",
IF(AND($C174="S",$P174&lt;&gt;"",$Q174&lt;&gt;"",$R174="(Código não identificado nas referências)"),"CÓDIGO N/ID",
IF(AND($C174="S",OR($R174="",$R174="(digite a descrição aqui)"),OR($Q174&lt;&gt;"",$T174&gt;0,$U174&gt;0)),"DESCRIÇÃO",
IF(AND($C174="S",$P174&lt;&gt;"",$Q174&lt;&gt;"",$S174=""),"UNIDADE",
IF(AND($C174="S",$P174&lt;&gt;"",$Q174&lt;&gt;"",$U174=0),"SEM CUSTO",
IF(AND(TIPOORCAMENTO="Licitado",$AL174=0,$AN174&gt;0),"SEM PREÇO",
IF(AND($C174="S",$P174&lt;&gt;"",$Q174&lt;&gt;"",$U174&gt;0,AND($V174&lt;&gt;"BDI 1",$V174&lt;&gt;"BDI 2",$V174&lt;&gt;"BDI 3")),IF(ISNUMBER($V174),"JUSTIFICAR BDI","BDI"),
IF(OR(AND(import.recurso="OGU",TIPOORCAMENTO="Proposto",LEFT($O$8,5)&lt;&gt;"(N/D:",$AG174&lt;&gt;"",ORÇAMENTO.CustoUnitario&gt;$AG174),AND(TIPOORCAMENTO="LICITADO",ORÇAMENTO.PrecoUnitarioLicitado&gt;$AN174)),"ACIMA REF.",
IF(AND($C174="S",$P174&lt;&gt;"",$Q174&lt;&gt;"",$T174=0,$U174&gt;0),"QUANT.",
IF(AND(Import.TipoArredondamento="TransfereGOV",$L174="F",$C174="S",LEN($Q174)&gt;13),"Código &gt;13",
IF(AND(Import.TipoArredondamento="TransfereGOV",$L174="F",$C174&lt;&gt;"S",LEN($R174)&gt;100),"Descrição &gt;100",
IF(AND(Import.TipoArredondamento="TransfereGOV",$L174="F",$C174="S",LEN($R174)&gt;500),"Descrição &gt;500",
IF(AND(Import.TipoArredondamento="TransfereGOV",$L174="F",$C174="S",LEFT(TRIM(UPPER($P174)),6)&lt;&gt;"SINAPI",ISNA(VLOOKUP(TRIM(UPPER($S174)),ListaTgov.Unidades,1,FALSE))),"Unid. Não Disp",
" "))))))))))))))))</f>
        <v xml:space="preserve"> </v>
      </c>
      <c r="AD174" s="696">
        <f ca="1">IF(C174&lt;=CRONO.NivelExibicao,MAX($AD$15:OFFSET(AD174,-1,0))+IF($C174&lt;&gt;1,1,MAX(1,COUNTIF(QCI!$A$13:$A$24,OFFSET($E174,-1,0)))),"")</f>
        <v>29</v>
      </c>
      <c r="AE174" s="694" t="b">
        <f t="array" aca="1" ref="AE174" ca="1">IF(AND($C174="S",ORÇAMENTO.CodBarra&lt;&gt;""),IF(ORÇAMENTO.Fonte="",ORÇAMENTO.CodBarra,CONCATENATE(ORÇAMENTO.Fonte," ",ORÇAMENTO.CodBarra)))</f>
        <v>0</v>
      </c>
      <c r="AF174" s="695" t="str">
        <f t="array" aca="1" ref="AF174" ca="1">IF(ISERROR(ORÇAMENTO.BancoRef),"(abra o arquivo 'Referência "&amp;Excel_BuiltIn_Database&amp;".xlsm)",IF(OR($C174&lt;&gt;"S",ORÇAMENTO.CodBarra=""),"(Sem Código)",IF(ISERROR(MATCH($AE174,INDIRECT(ORÇAMENTO.BancoRef),0)),"(Código não identificado nas referências)",MATCH($AE174,INDIRECT(ORÇAMENTO.BancoRef),0))))</f>
        <v>(Sem Código)</v>
      </c>
      <c r="AG174" s="428">
        <f t="array" aca="1" ref="AG174" ca="1">ROUND(IF(DESONERACAO="sim",REFERENCIA.Desonerado,REFERENCIA.NaoDesonerado),2)</f>
        <v>0</v>
      </c>
      <c r="AH174" s="429">
        <f t="shared" ca="1" si="41"/>
        <v>0.29389999999999999</v>
      </c>
      <c r="AJ174" s="431"/>
      <c r="AL174" s="439"/>
      <c r="AM174" s="336">
        <f t="shared" ca="1" si="0"/>
        <v>8390.36</v>
      </c>
      <c r="AN174" s="469">
        <f t="array" aca="1" ref="AN174" ca="1">ROUND(ORÇAMENTO.CustoUnitario*(1+$AH174),2)</f>
        <v>0</v>
      </c>
    </row>
    <row r="175" spans="1:40" s="696" customFormat="1" ht="51" x14ac:dyDescent="0.2">
      <c r="A175" s="696" t="str">
        <f t="shared" si="29"/>
        <v>S</v>
      </c>
      <c r="B175" s="696">
        <f t="shared" ca="1" si="30"/>
        <v>2</v>
      </c>
      <c r="C175" s="696" t="str">
        <f t="shared" ca="1" si="31"/>
        <v>S</v>
      </c>
      <c r="D175" s="696">
        <f t="shared" ca="1" si="32"/>
        <v>0</v>
      </c>
      <c r="E175" s="696">
        <f ca="1">IF($C175=1,OFFSET(E175,-1,0)+MAX(1,COUNTIF(QCI!$A$13:$A$24,OFFSET(ORÇAMENTO!E175,-1,0))),OFFSET(E175,-1,0))</f>
        <v>1</v>
      </c>
      <c r="F175" s="696">
        <f t="shared" ca="1" si="33"/>
        <v>28</v>
      </c>
      <c r="G175" s="696">
        <f t="shared" ca="1" si="34"/>
        <v>0</v>
      </c>
      <c r="H175" s="696">
        <f t="shared" ca="1" si="35"/>
        <v>0</v>
      </c>
      <c r="I175" s="696">
        <f t="shared" ca="1" si="36"/>
        <v>1</v>
      </c>
      <c r="J175" s="696">
        <f t="shared" ca="1" si="42"/>
        <v>0</v>
      </c>
      <c r="K175" s="696">
        <f ca="1">IF(OR($C175="S",$C175=0),0,MATCH(OFFSET($D175,0,$C175)+IF($C175&lt;&gt;1,1,COUNTIF(QCI!$A$13:$A$24,ORÇAMENTO!E175)),OFFSET($D175,1,$C175,ROW($C$235)-ROW($C175)),0))</f>
        <v>0</v>
      </c>
      <c r="L175" s="114" t="str">
        <f t="shared" ca="1" si="37"/>
        <v>F</v>
      </c>
      <c r="M175" s="115" t="s">
        <v>705</v>
      </c>
      <c r="N175" s="116" t="str">
        <f t="shared" ca="1" si="38"/>
        <v>Serviço</v>
      </c>
      <c r="O175" s="117" t="str">
        <f t="shared" ca="1" si="39"/>
        <v>1.28.1.</v>
      </c>
      <c r="P175" s="118" t="s">
        <v>750</v>
      </c>
      <c r="Q175" s="119" t="s">
        <v>1156</v>
      </c>
      <c r="R175" s="120" t="str">
        <f t="array" aca="1" ref="R175" ca="1">IF($C175="S",REFERENCIA.Descricao,"(digite a descrição aqui)")</f>
        <v>KIT CAVALETE PARA MEDIÇÃO DE ÁGUA - ENTRADA INDIVIDUALIZADA, EM PVC 25 MM (3/4"), PARA 1 MEDIDOR - FORNECIMENTO E INSTALAÇÃO (EXCLUSIVE HIDRÔMETRO). AF_03/2024</v>
      </c>
      <c r="S175" s="121" t="str">
        <f t="array" aca="1" ref="S175" ca="1">REFERENCIA.Unidade</f>
        <v>UN</v>
      </c>
      <c r="T175" s="122">
        <f ca="1">OFFSET(CÁLCULO!H$15,ROW($T175)-ROW(T$15),0)</f>
        <v>20</v>
      </c>
      <c r="U175" s="123">
        <f>199.29*0.94</f>
        <v>187.33259999999999</v>
      </c>
      <c r="V175" s="124" t="s">
        <v>697</v>
      </c>
      <c r="W175" s="122">
        <f t="array" aca="1" ref="W175" ca="1">IF($C175="S",ROUND(IF(TIPOORCAMENTO="Proposto",ORÇAMENTO.CustoUnitario*(1+$AH175),ORÇAMENTO.PrecoUnitarioLicitado),15-13*$AF$10),0)</f>
        <v>225.43</v>
      </c>
      <c r="X175" s="125">
        <f t="array" aca="1" ref="X175" ca="1">IF($C175="S",IF(OR(Import.TipoArredondamento&lt;&gt;"TransfereGOV",ACOMPANHAMENTO="BM"),VTOTAL1,SUM(OFFSET(CÁLCULO!$AI$15,ROW($X175)-ROW($X$15),1):OFFSET(CÁLCULO!$BB$15,ROW($X175)-ROW($X$15),-1))),IF($C175=0,0,ROUND(SomaAgrup,15-13*$AF$11)))</f>
        <v>4508.6000000000004</v>
      </c>
      <c r="Y175" s="126" t="s">
        <v>751</v>
      </c>
      <c r="Z175" s="696" t="str">
        <f t="shared" ca="1" si="40"/>
        <v>RA</v>
      </c>
      <c r="AA175" s="127">
        <f t="array" aca="1" ref="AA175" ca="1">IF($C175="S",IF($Z175="CP",$X175,IF($Z175="RA",(($X175)*QCI!$AA$3),0)),SomaAgrup)</f>
        <v>0</v>
      </c>
      <c r="AB175" s="128">
        <f t="array" aca="1" ref="AB175" ca="1">IF($C175="S",IF($Z175="OU",ROUND($X175,2),0),SomaAgrup)</f>
        <v>0</v>
      </c>
      <c r="AC175" s="563" t="str">
        <f t="array" aca="1" ref="AC175" ca="1">IF($N175=""," ",
IF(AND($C175&lt;&gt;"S",OR($R175="",$R175="(digite a descrição aqui)")),"DESCRIÇÃO",
IF(AND($C175="S",OR($Q175&lt;&gt;"",$T175&gt;0,$U175&gt;0),$P175=""),"FONTE",
IF(AND($C175="S",$P175&lt;&gt;"",OR($T175&gt;0,$U175&gt;0),$Q175=""),"CÓDIGO",
IF(AND($C175="S",$P175&lt;&gt;"",$Q175&lt;&gt;"",$R175="(Código não identificado nas referências)"),"CÓDIGO N/ID",
IF(AND($C175="S",OR($R175="",$R175="(digite a descrição aqui)"),OR($Q175&lt;&gt;"",$T175&gt;0,$U175&gt;0)),"DESCRIÇÃO",
IF(AND($C175="S",$P175&lt;&gt;"",$Q175&lt;&gt;"",$S175=""),"UNIDADE",
IF(AND($C175="S",$P175&lt;&gt;"",$Q175&lt;&gt;"",$U175=0),"SEM CUSTO",
IF(AND(TIPOORCAMENTO="Licitado",$AL175=0,$AN175&gt;0),"SEM PREÇO",
IF(AND($C175="S",$P175&lt;&gt;"",$Q175&lt;&gt;"",$U175&gt;0,AND($V175&lt;&gt;"BDI 1",$V175&lt;&gt;"BDI 2",$V175&lt;&gt;"BDI 3")),IF(ISNUMBER($V175),"JUSTIFICAR BDI","BDI"),
IF(OR(AND(import.recurso="OGU",TIPOORCAMENTO="Proposto",LEFT($O$8,5)&lt;&gt;"(N/D:",$AG175&lt;&gt;"",ORÇAMENTO.CustoUnitario&gt;$AG175),AND(TIPOORCAMENTO="LICITADO",ORÇAMENTO.PrecoUnitarioLicitado&gt;$AN175)),"ACIMA REF.",
IF(AND($C175="S",$P175&lt;&gt;"",$Q175&lt;&gt;"",$T175=0,$U175&gt;0),"QUANT.",
IF(AND(Import.TipoArredondamento="TransfereGOV",$L175="F",$C175="S",LEN($Q175)&gt;13),"Código &gt;13",
IF(AND(Import.TipoArredondamento="TransfereGOV",$L175="F",$C175&lt;&gt;"S",LEN($R175)&gt;100),"Descrição &gt;100",
IF(AND(Import.TipoArredondamento="TransfereGOV",$L175="F",$C175="S",LEN($R175)&gt;500),"Descrição &gt;500",
IF(AND(Import.TipoArredondamento="TransfereGOV",$L175="F",$C175="S",LEFT(TRIM(UPPER($P175)),6)&lt;&gt;"SINAPI",ISNA(VLOOKUP(TRIM(UPPER($S175)),ListaTgov.Unidades,1,FALSE))),"Unid. Não Disp",
" "))))))))))))))))</f>
        <v xml:space="preserve"> </v>
      </c>
      <c r="AD175" s="696" t="str">
        <f ca="1">IF(C175&lt;=CRONO.NivelExibicao,MAX($AD$15:OFFSET(AD175,-1,0))+IF($C175&lt;&gt;1,1,MAX(1,COUNTIF(QCI!$A$13:$A$24,OFFSET($E175,-1,0)))),"")</f>
        <v/>
      </c>
      <c r="AE175" s="694" t="str">
        <f t="array" aca="1" ref="AE175" ca="1">IF(AND($C175="S",ORÇAMENTO.CodBarra&lt;&gt;""),IF(ORÇAMENTO.Fonte="",ORÇAMENTO.CodBarra,CONCATENATE(ORÇAMENTO.Fonte," ",ORÇAMENTO.CodBarra)))</f>
        <v>SINAPI 97741</v>
      </c>
      <c r="AF175" s="695">
        <f t="array" aca="1" ref="AF175" ca="1">IF(ISERROR(ORÇAMENTO.BancoRef),"(abra o arquivo 'Referência "&amp;Excel_BuiltIn_Database&amp;".xlsm)",IF(OR($C175&lt;&gt;"S",ORÇAMENTO.CodBarra=""),"(Sem Código)",IF(ISERROR(MATCH($AE175,INDIRECT(ORÇAMENTO.BancoRef),0)),"(Código não identificado nas referências)",MATCH($AE175,INDIRECT(ORÇAMENTO.BancoRef),0))))</f>
        <v>14995</v>
      </c>
      <c r="AG175" s="428">
        <f t="array" aca="1" ref="AG175" ca="1">ROUND(IF(DESONERACAO="sim",REFERENCIA.Desonerado,REFERENCIA.NaoDesonerado),2)</f>
        <v>199.29</v>
      </c>
      <c r="AH175" s="429">
        <f t="shared" ca="1" si="41"/>
        <v>0.2034</v>
      </c>
      <c r="AJ175" s="431"/>
      <c r="AL175" s="439"/>
      <c r="AM175" s="336">
        <f t="shared" ca="1" si="0"/>
        <v>4508.6000000000004</v>
      </c>
      <c r="AN175" s="469">
        <f t="array" aca="1" ref="AN175" ca="1">ROUND(ORÇAMENTO.CustoUnitario*(1+$AH175),2)</f>
        <v>225.43</v>
      </c>
    </row>
    <row r="176" spans="1:40" s="696" customFormat="1" ht="25.5" x14ac:dyDescent="0.2">
      <c r="A176" s="696" t="str">
        <f t="shared" si="29"/>
        <v>S</v>
      </c>
      <c r="B176" s="696">
        <f t="shared" ca="1" si="30"/>
        <v>2</v>
      </c>
      <c r="C176" s="696" t="str">
        <f t="shared" ca="1" si="31"/>
        <v>S</v>
      </c>
      <c r="D176" s="696">
        <f t="shared" ca="1" si="32"/>
        <v>0</v>
      </c>
      <c r="E176" s="696">
        <f ca="1">IF($C176=1,OFFSET(E176,-1,0)+MAX(1,COUNTIF(QCI!$A$13:$A$24,OFFSET(ORÇAMENTO!E176,-1,0))),OFFSET(E176,-1,0))</f>
        <v>1</v>
      </c>
      <c r="F176" s="696">
        <f t="shared" ca="1" si="33"/>
        <v>28</v>
      </c>
      <c r="G176" s="696">
        <f t="shared" ca="1" si="34"/>
        <v>0</v>
      </c>
      <c r="H176" s="696">
        <f t="shared" ca="1" si="35"/>
        <v>0</v>
      </c>
      <c r="I176" s="696">
        <f t="shared" ca="1" si="36"/>
        <v>2</v>
      </c>
      <c r="J176" s="696">
        <f t="shared" ca="1" si="42"/>
        <v>0</v>
      </c>
      <c r="K176" s="696">
        <f ca="1">IF(OR($C176="S",$C176=0),0,MATCH(OFFSET($D176,0,$C176)+IF($C176&lt;&gt;1,1,COUNTIF(QCI!$A$13:$A$24,ORÇAMENTO!E176)),OFFSET($D176,1,$C176,ROW($C$235)-ROW($C176)),0))</f>
        <v>0</v>
      </c>
      <c r="L176" s="114" t="str">
        <f t="shared" ca="1" si="37"/>
        <v>F</v>
      </c>
      <c r="M176" s="115" t="s">
        <v>705</v>
      </c>
      <c r="N176" s="116" t="str">
        <f t="shared" ca="1" si="38"/>
        <v>Serviço</v>
      </c>
      <c r="O176" s="117" t="str">
        <f t="shared" ca="1" si="39"/>
        <v>1.28.2.</v>
      </c>
      <c r="P176" s="118" t="s">
        <v>750</v>
      </c>
      <c r="Q176" s="119" t="s">
        <v>1157</v>
      </c>
      <c r="R176" s="120" t="str">
        <f t="array" aca="1" ref="R176" ca="1">IF($C176="S",REFERENCIA.Descricao,"(digite a descrição aqui)")</f>
        <v>REGISTRO DE GAVETA BRUTO, LATÃO, ROSCÁVEL, 3/4" - FORNECIMENTO E INSTALAÇÃO. AF_08/2021</v>
      </c>
      <c r="S176" s="121" t="str">
        <f t="array" aca="1" ref="S176" ca="1">REFERENCIA.Unidade</f>
        <v>UN</v>
      </c>
      <c r="T176" s="122">
        <f ca="1">OFFSET(CÁLCULO!H$15,ROW($T176)-ROW(T$15),0)</f>
        <v>20</v>
      </c>
      <c r="U176" s="123">
        <f>62.55*0.94</f>
        <v>58.796999999999997</v>
      </c>
      <c r="V176" s="124" t="s">
        <v>697</v>
      </c>
      <c r="W176" s="122">
        <f t="array" aca="1" ref="W176" ca="1">IF($C176="S",ROUND(IF(TIPOORCAMENTO="Proposto",ORÇAMENTO.CustoUnitario*(1+$AH176),ORÇAMENTO.PrecoUnitarioLicitado),15-13*$AF$10),0)</f>
        <v>70.760000000000005</v>
      </c>
      <c r="X176" s="125">
        <f t="array" aca="1" ref="X176" ca="1">IF($C176="S",IF(OR(Import.TipoArredondamento&lt;&gt;"TransfereGOV",ACOMPANHAMENTO="BM"),VTOTAL1,SUM(OFFSET(CÁLCULO!$AI$15,ROW($X176)-ROW($X$15),1):OFFSET(CÁLCULO!$BB$15,ROW($X176)-ROW($X$15),-1))),IF($C176=0,0,ROUND(SomaAgrup,15-13*$AF$11)))</f>
        <v>1415.2</v>
      </c>
      <c r="Y176" s="126" t="s">
        <v>751</v>
      </c>
      <c r="Z176" s="696" t="str">
        <f t="shared" ca="1" si="40"/>
        <v>RA</v>
      </c>
      <c r="AA176" s="127">
        <f t="array" aca="1" ref="AA176" ca="1">IF($C176="S",IF($Z176="CP",$X176,IF($Z176="RA",(($X176)*QCI!$AA$3),0)),SomaAgrup)</f>
        <v>0</v>
      </c>
      <c r="AB176" s="128">
        <f t="array" aca="1" ref="AB176" ca="1">IF($C176="S",IF($Z176="OU",ROUND($X176,2),0),SomaAgrup)</f>
        <v>0</v>
      </c>
      <c r="AC176" s="563" t="str">
        <f t="array" aca="1" ref="AC176" ca="1">IF($N176=""," ",
IF(AND($C176&lt;&gt;"S",OR($R176="",$R176="(digite a descrição aqui)")),"DESCRIÇÃO",
IF(AND($C176="S",OR($Q176&lt;&gt;"",$T176&gt;0,$U176&gt;0),$P176=""),"FONTE",
IF(AND($C176="S",$P176&lt;&gt;"",OR($T176&gt;0,$U176&gt;0),$Q176=""),"CÓDIGO",
IF(AND($C176="S",$P176&lt;&gt;"",$Q176&lt;&gt;"",$R176="(Código não identificado nas referências)"),"CÓDIGO N/ID",
IF(AND($C176="S",OR($R176="",$R176="(digite a descrição aqui)"),OR($Q176&lt;&gt;"",$T176&gt;0,$U176&gt;0)),"DESCRIÇÃO",
IF(AND($C176="S",$P176&lt;&gt;"",$Q176&lt;&gt;"",$S176=""),"UNIDADE",
IF(AND($C176="S",$P176&lt;&gt;"",$Q176&lt;&gt;"",$U176=0),"SEM CUSTO",
IF(AND(TIPOORCAMENTO="Licitado",$AL176=0,$AN176&gt;0),"SEM PREÇO",
IF(AND($C176="S",$P176&lt;&gt;"",$Q176&lt;&gt;"",$U176&gt;0,AND($V176&lt;&gt;"BDI 1",$V176&lt;&gt;"BDI 2",$V176&lt;&gt;"BDI 3")),IF(ISNUMBER($V176),"JUSTIFICAR BDI","BDI"),
IF(OR(AND(import.recurso="OGU",TIPOORCAMENTO="Proposto",LEFT($O$8,5)&lt;&gt;"(N/D:",$AG176&lt;&gt;"",ORÇAMENTO.CustoUnitario&gt;$AG176),AND(TIPOORCAMENTO="LICITADO",ORÇAMENTO.PrecoUnitarioLicitado&gt;$AN176)),"ACIMA REF.",
IF(AND($C176="S",$P176&lt;&gt;"",$Q176&lt;&gt;"",$T176=0,$U176&gt;0),"QUANT.",
IF(AND(Import.TipoArredondamento="TransfereGOV",$L176="F",$C176="S",LEN($Q176)&gt;13),"Código &gt;13",
IF(AND(Import.TipoArredondamento="TransfereGOV",$L176="F",$C176&lt;&gt;"S",LEN($R176)&gt;100),"Descrição &gt;100",
IF(AND(Import.TipoArredondamento="TransfereGOV",$L176="F",$C176="S",LEN($R176)&gt;500),"Descrição &gt;500",
IF(AND(Import.TipoArredondamento="TransfereGOV",$L176="F",$C176="S",LEFT(TRIM(UPPER($P176)),6)&lt;&gt;"SINAPI",ISNA(VLOOKUP(TRIM(UPPER($S176)),ListaTgov.Unidades,1,FALSE))),"Unid. Não Disp",
" "))))))))))))))))</f>
        <v xml:space="preserve"> </v>
      </c>
      <c r="AD176" s="696" t="str">
        <f ca="1">IF(C176&lt;=CRONO.NivelExibicao,MAX($AD$15:OFFSET(AD176,-1,0))+IF($C176&lt;&gt;1,1,MAX(1,COUNTIF(QCI!$A$13:$A$24,OFFSET($E176,-1,0)))),"")</f>
        <v/>
      </c>
      <c r="AE176" s="694" t="str">
        <f t="array" aca="1" ref="AE176" ca="1">IF(AND($C176="S",ORÇAMENTO.CodBarra&lt;&gt;""),IF(ORÇAMENTO.Fonte="",ORÇAMENTO.CodBarra,CONCATENATE(ORÇAMENTO.Fonte," ",ORÇAMENTO.CodBarra)))</f>
        <v>SINAPI 89353</v>
      </c>
      <c r="AF176" s="695">
        <f t="array" aca="1" ref="AF176" ca="1">IF(ISERROR(ORÇAMENTO.BancoRef),"(abra o arquivo 'Referência "&amp;Excel_BuiltIn_Database&amp;".xlsm)",IF(OR($C176&lt;&gt;"S",ORÇAMENTO.CodBarra=""),"(Sem Código)",IF(ISERROR(MATCH($AE176,INDIRECT(ORÇAMENTO.BancoRef),0)),"(Código não identificado nas referências)",MATCH($AE176,INDIRECT(ORÇAMENTO.BancoRef),0))))</f>
        <v>15652</v>
      </c>
      <c r="AG176" s="428">
        <f t="array" aca="1" ref="AG176" ca="1">ROUND(IF(DESONERACAO="sim",REFERENCIA.Desonerado,REFERENCIA.NaoDesonerado),2)</f>
        <v>62.55</v>
      </c>
      <c r="AH176" s="429">
        <f t="shared" ca="1" si="41"/>
        <v>0.2034</v>
      </c>
      <c r="AJ176" s="431"/>
      <c r="AL176" s="439"/>
      <c r="AM176" s="336">
        <f t="shared" ca="1" si="0"/>
        <v>1415.2</v>
      </c>
      <c r="AN176" s="469">
        <f t="array" aca="1" ref="AN176" ca="1">ROUND(ORÇAMENTO.CustoUnitario*(1+$AH176),2)</f>
        <v>70.760000000000005</v>
      </c>
    </row>
    <row r="177" spans="1:40" s="696" customFormat="1" ht="25.5" x14ac:dyDescent="0.2">
      <c r="A177" s="696" t="str">
        <f t="shared" si="29"/>
        <v>S</v>
      </c>
      <c r="B177" s="696">
        <f t="shared" ca="1" si="30"/>
        <v>2</v>
      </c>
      <c r="C177" s="696" t="str">
        <f t="shared" ca="1" si="31"/>
        <v>S</v>
      </c>
      <c r="D177" s="696">
        <f t="shared" ca="1" si="32"/>
        <v>0</v>
      </c>
      <c r="E177" s="696">
        <f ca="1">IF($C177=1,OFFSET(E177,-1,0)+MAX(1,COUNTIF(QCI!$A$13:$A$24,OFFSET(ORÇAMENTO!E177,-1,0))),OFFSET(E177,-1,0))</f>
        <v>1</v>
      </c>
      <c r="F177" s="696">
        <f t="shared" ca="1" si="33"/>
        <v>28</v>
      </c>
      <c r="G177" s="696">
        <f t="shared" ca="1" si="34"/>
        <v>0</v>
      </c>
      <c r="H177" s="696">
        <f t="shared" ca="1" si="35"/>
        <v>0</v>
      </c>
      <c r="I177" s="696">
        <f t="shared" ca="1" si="36"/>
        <v>3</v>
      </c>
      <c r="J177" s="696">
        <f t="shared" ca="1" si="42"/>
        <v>0</v>
      </c>
      <c r="K177" s="696">
        <f ca="1">IF(OR($C177="S",$C177=0),0,MATCH(OFFSET($D177,0,$C177)+IF($C177&lt;&gt;1,1,COUNTIF(QCI!$A$13:$A$24,ORÇAMENTO!E177)),OFFSET($D177,1,$C177,ROW($C$235)-ROW($C177)),0))</f>
        <v>0</v>
      </c>
      <c r="L177" s="114" t="str">
        <f t="shared" ca="1" si="37"/>
        <v>F</v>
      </c>
      <c r="M177" s="115" t="s">
        <v>705</v>
      </c>
      <c r="N177" s="116" t="str">
        <f t="shared" ca="1" si="38"/>
        <v>Serviço</v>
      </c>
      <c r="O177" s="117" t="str">
        <f t="shared" ca="1" si="39"/>
        <v>1.28.3.</v>
      </c>
      <c r="P177" s="118" t="s">
        <v>750</v>
      </c>
      <c r="Q177" s="119" t="s">
        <v>1148</v>
      </c>
      <c r="R177" s="120" t="str">
        <f t="array" aca="1" ref="R177" ca="1">IF($C177="S",REFERENCIA.Descricao,"(digite a descrição aqui)")</f>
        <v>TUBO, PVC, SOLDÁVEL, DE 25MM, INSTALADO EM PRUMADA DE ÁGUA - FORNECIMENTO E INSTALAÇÃO. AF_06/2022</v>
      </c>
      <c r="S177" s="121" t="str">
        <f t="array" aca="1" ref="S177" ca="1">REFERENCIA.Unidade</f>
        <v>M</v>
      </c>
      <c r="T177" s="122">
        <f ca="1">OFFSET(CÁLCULO!H$15,ROW($T177)-ROW(T$15),0)</f>
        <v>135</v>
      </c>
      <c r="U177" s="123">
        <f>5.52*0.94</f>
        <v>5.1887999999999996</v>
      </c>
      <c r="V177" s="124" t="s">
        <v>697</v>
      </c>
      <c r="W177" s="122">
        <f t="array" aca="1" ref="W177" ca="1">IF($C177="S",ROUND(IF(TIPOORCAMENTO="Proposto",ORÇAMENTO.CustoUnitario*(1+$AH177),ORÇAMENTO.PrecoUnitarioLicitado),15-13*$AF$10),0)</f>
        <v>6.25</v>
      </c>
      <c r="X177" s="125">
        <f t="array" aca="1" ref="X177" ca="1">IF($C177="S",IF(OR(Import.TipoArredondamento&lt;&gt;"TransfereGOV",ACOMPANHAMENTO="BM"),VTOTAL1,SUM(OFFSET(CÁLCULO!$AI$15,ROW($X177)-ROW($X$15),1):OFFSET(CÁLCULO!$BB$15,ROW($X177)-ROW($X$15),-1))),IF($C177=0,0,ROUND(SomaAgrup,15-13*$AF$11)))</f>
        <v>843.76</v>
      </c>
      <c r="Y177" s="126" t="s">
        <v>751</v>
      </c>
      <c r="Z177" s="696" t="str">
        <f t="shared" ca="1" si="40"/>
        <v>RA</v>
      </c>
      <c r="AA177" s="127">
        <f t="array" aca="1" ref="AA177" ca="1">IF($C177="S",IF($Z177="CP",$X177,IF($Z177="RA",(($X177)*QCI!$AA$3),0)),SomaAgrup)</f>
        <v>0</v>
      </c>
      <c r="AB177" s="128">
        <f t="array" aca="1" ref="AB177" ca="1">IF($C177="S",IF($Z177="OU",ROUND($X177,2),0),SomaAgrup)</f>
        <v>0</v>
      </c>
      <c r="AC177" s="563" t="str">
        <f t="array" aca="1" ref="AC177" ca="1">IF($N177=""," ",
IF(AND($C177&lt;&gt;"S",OR($R177="",$R177="(digite a descrição aqui)")),"DESCRIÇÃO",
IF(AND($C177="S",OR($Q177&lt;&gt;"",$T177&gt;0,$U177&gt;0),$P177=""),"FONTE",
IF(AND($C177="S",$P177&lt;&gt;"",OR($T177&gt;0,$U177&gt;0),$Q177=""),"CÓDIGO",
IF(AND($C177="S",$P177&lt;&gt;"",$Q177&lt;&gt;"",$R177="(Código não identificado nas referências)"),"CÓDIGO N/ID",
IF(AND($C177="S",OR($R177="",$R177="(digite a descrição aqui)"),OR($Q177&lt;&gt;"",$T177&gt;0,$U177&gt;0)),"DESCRIÇÃO",
IF(AND($C177="S",$P177&lt;&gt;"",$Q177&lt;&gt;"",$S177=""),"UNIDADE",
IF(AND($C177="S",$P177&lt;&gt;"",$Q177&lt;&gt;"",$U177=0),"SEM CUSTO",
IF(AND(TIPOORCAMENTO="Licitado",$AL177=0,$AN177&gt;0),"SEM PREÇO",
IF(AND($C177="S",$P177&lt;&gt;"",$Q177&lt;&gt;"",$U177&gt;0,AND($V177&lt;&gt;"BDI 1",$V177&lt;&gt;"BDI 2",$V177&lt;&gt;"BDI 3")),IF(ISNUMBER($V177),"JUSTIFICAR BDI","BDI"),
IF(OR(AND(import.recurso="OGU",TIPOORCAMENTO="Proposto",LEFT($O$8,5)&lt;&gt;"(N/D:",$AG177&lt;&gt;"",ORÇAMENTO.CustoUnitario&gt;$AG177),AND(TIPOORCAMENTO="LICITADO",ORÇAMENTO.PrecoUnitarioLicitado&gt;$AN177)),"ACIMA REF.",
IF(AND($C177="S",$P177&lt;&gt;"",$Q177&lt;&gt;"",$T177=0,$U177&gt;0),"QUANT.",
IF(AND(Import.TipoArredondamento="TransfereGOV",$L177="F",$C177="S",LEN($Q177)&gt;13),"Código &gt;13",
IF(AND(Import.TipoArredondamento="TransfereGOV",$L177="F",$C177&lt;&gt;"S",LEN($R177)&gt;100),"Descrição &gt;100",
IF(AND(Import.TipoArredondamento="TransfereGOV",$L177="F",$C177="S",LEN($R177)&gt;500),"Descrição &gt;500",
IF(AND(Import.TipoArredondamento="TransfereGOV",$L177="F",$C177="S",LEFT(TRIM(UPPER($P177)),6)&lt;&gt;"SINAPI",ISNA(VLOOKUP(TRIM(UPPER($S177)),ListaTgov.Unidades,1,FALSE))),"Unid. Não Disp",
" "))))))))))))))))</f>
        <v xml:space="preserve"> </v>
      </c>
      <c r="AD177" s="696" t="str">
        <f ca="1">IF(C177&lt;=CRONO.NivelExibicao,MAX($AD$15:OFFSET(AD177,-1,0))+IF($C177&lt;&gt;1,1,MAX(1,COUNTIF(QCI!$A$13:$A$24,OFFSET($E177,-1,0)))),"")</f>
        <v/>
      </c>
      <c r="AE177" s="694" t="str">
        <f t="array" aca="1" ref="AE177" ca="1">IF(AND($C177="S",ORÇAMENTO.CodBarra&lt;&gt;""),IF(ORÇAMENTO.Fonte="",ORÇAMENTO.CodBarra,CONCATENATE(ORÇAMENTO.Fonte," ",ORÇAMENTO.CodBarra)))</f>
        <v>SINAPI 89446</v>
      </c>
      <c r="AF177" s="695">
        <f t="array" aca="1" ref="AF177" ca="1">IF(ISERROR(ORÇAMENTO.BancoRef),"(abra o arquivo 'Referência "&amp;Excel_BuiltIn_Database&amp;".xlsm)",IF(OR($C177&lt;&gt;"S",ORÇAMENTO.CodBarra=""),"(Sem Código)",IF(ISERROR(MATCH($AE177,INDIRECT(ORÇAMENTO.BancoRef),0)),"(Código não identificado nas referências)",MATCH($AE177,INDIRECT(ORÇAMENTO.BancoRef),0))))</f>
        <v>11640</v>
      </c>
      <c r="AG177" s="428">
        <f t="array" aca="1" ref="AG177" ca="1">ROUND(IF(DESONERACAO="sim",REFERENCIA.Desonerado,REFERENCIA.NaoDesonerado),2)</f>
        <v>5.52</v>
      </c>
      <c r="AH177" s="429">
        <f t="shared" ca="1" si="41"/>
        <v>0.2034</v>
      </c>
      <c r="AJ177" s="431"/>
      <c r="AL177" s="439"/>
      <c r="AM177" s="336">
        <f t="shared" ca="1" si="0"/>
        <v>843.76</v>
      </c>
      <c r="AN177" s="469">
        <f t="array" aca="1" ref="AN177" ca="1">ROUND(ORÇAMENTO.CustoUnitario*(1+$AH177),2)</f>
        <v>6.25</v>
      </c>
    </row>
    <row r="178" spans="1:40" s="696" customFormat="1" ht="38.25" x14ac:dyDescent="0.2">
      <c r="A178" s="696" t="str">
        <f t="shared" si="29"/>
        <v>S</v>
      </c>
      <c r="B178" s="696">
        <f t="shared" ca="1" si="30"/>
        <v>2</v>
      </c>
      <c r="C178" s="696" t="str">
        <f t="shared" ca="1" si="31"/>
        <v>S</v>
      </c>
      <c r="D178" s="696">
        <f t="shared" ca="1" si="32"/>
        <v>0</v>
      </c>
      <c r="E178" s="696">
        <f ca="1">IF($C178=1,OFFSET(E178,-1,0)+MAX(1,COUNTIF(QCI!$A$13:$A$24,OFFSET(ORÇAMENTO!E178,-1,0))),OFFSET(E178,-1,0))</f>
        <v>1</v>
      </c>
      <c r="F178" s="696">
        <f t="shared" ca="1" si="33"/>
        <v>28</v>
      </c>
      <c r="G178" s="696">
        <f t="shared" ca="1" si="34"/>
        <v>0</v>
      </c>
      <c r="H178" s="696">
        <f t="shared" ca="1" si="35"/>
        <v>0</v>
      </c>
      <c r="I178" s="696">
        <f t="shared" ca="1" si="36"/>
        <v>4</v>
      </c>
      <c r="J178" s="696">
        <f t="shared" ca="1" si="42"/>
        <v>0</v>
      </c>
      <c r="K178" s="696">
        <f ca="1">IF(OR($C178="S",$C178=0),0,MATCH(OFFSET($D178,0,$C178)+IF($C178&lt;&gt;1,1,COUNTIF(QCI!$A$13:$A$24,ORÇAMENTO!E178)),OFFSET($D178,1,$C178,ROW($C$235)-ROW($C178)),0))</f>
        <v>0</v>
      </c>
      <c r="L178" s="114" t="str">
        <f t="shared" ca="1" si="37"/>
        <v>F</v>
      </c>
      <c r="M178" s="115" t="s">
        <v>705</v>
      </c>
      <c r="N178" s="116" t="str">
        <f t="shared" ca="1" si="38"/>
        <v>Serviço</v>
      </c>
      <c r="O178" s="117" t="str">
        <f t="shared" ca="1" si="39"/>
        <v>1.28.4.</v>
      </c>
      <c r="P178" s="118" t="s">
        <v>750</v>
      </c>
      <c r="Q178" s="119" t="s">
        <v>1158</v>
      </c>
      <c r="R178" s="120" t="str">
        <f t="array" aca="1" ref="R178" ca="1">IF($C178="S",REFERENCIA.Descricao,"(digite a descrição aqui)")</f>
        <v>TUBO, PVC, SOLDÁVEL, DE 25MM, INSTALADO EM RAMAL DE DISTRIBUIÇÃO DE ÁGUA - FORNECIMENTO E INSTALAÇÃO. AF_06/2022</v>
      </c>
      <c r="S178" s="121" t="str">
        <f t="array" aca="1" ref="S178" ca="1">REFERENCIA.Unidade</f>
        <v>M</v>
      </c>
      <c r="T178" s="122">
        <f ca="1">OFFSET(CÁLCULO!H$15,ROW($T178)-ROW(T$15),0)</f>
        <v>60</v>
      </c>
      <c r="U178" s="123">
        <f>13.25*0.94</f>
        <v>12.455</v>
      </c>
      <c r="V178" s="124" t="s">
        <v>697</v>
      </c>
      <c r="W178" s="122">
        <f t="array" aca="1" ref="W178" ca="1">IF($C178="S",ROUND(IF(TIPOORCAMENTO="Proposto",ORÇAMENTO.CustoUnitario*(1+$AH178),ORÇAMENTO.PrecoUnitarioLicitado),15-13*$AF$10),0)</f>
        <v>14.99</v>
      </c>
      <c r="X178" s="125">
        <f t="array" aca="1" ref="X178" ca="1">IF($C178="S",IF(OR(Import.TipoArredondamento&lt;&gt;"TransfereGOV",ACOMPANHAMENTO="BM"),VTOTAL1,SUM(OFFSET(CÁLCULO!$AI$15,ROW($X178)-ROW($X$15),1):OFFSET(CÁLCULO!$BB$15,ROW($X178)-ROW($X$15),-1))),IF($C178=0,0,ROUND(SomaAgrup,15-13*$AF$11)))</f>
        <v>899.4</v>
      </c>
      <c r="Y178" s="126" t="s">
        <v>751</v>
      </c>
      <c r="Z178" s="696" t="str">
        <f t="shared" ca="1" si="40"/>
        <v>RA</v>
      </c>
      <c r="AA178" s="127">
        <f t="array" aca="1" ref="AA178" ca="1">IF($C178="S",IF($Z178="CP",$X178,IF($Z178="RA",(($X178)*QCI!$AA$3),0)),SomaAgrup)</f>
        <v>0</v>
      </c>
      <c r="AB178" s="128">
        <f t="array" aca="1" ref="AB178" ca="1">IF($C178="S",IF($Z178="OU",ROUND($X178,2),0),SomaAgrup)</f>
        <v>0</v>
      </c>
      <c r="AC178" s="563" t="str">
        <f t="array" aca="1" ref="AC178" ca="1">IF($N178=""," ",
IF(AND($C178&lt;&gt;"S",OR($R178="",$R178="(digite a descrição aqui)")),"DESCRIÇÃO",
IF(AND($C178="S",OR($Q178&lt;&gt;"",$T178&gt;0,$U178&gt;0),$P178=""),"FONTE",
IF(AND($C178="S",$P178&lt;&gt;"",OR($T178&gt;0,$U178&gt;0),$Q178=""),"CÓDIGO",
IF(AND($C178="S",$P178&lt;&gt;"",$Q178&lt;&gt;"",$R178="(Código não identificado nas referências)"),"CÓDIGO N/ID",
IF(AND($C178="S",OR($R178="",$R178="(digite a descrição aqui)"),OR($Q178&lt;&gt;"",$T178&gt;0,$U178&gt;0)),"DESCRIÇÃO",
IF(AND($C178="S",$P178&lt;&gt;"",$Q178&lt;&gt;"",$S178=""),"UNIDADE",
IF(AND($C178="S",$P178&lt;&gt;"",$Q178&lt;&gt;"",$U178=0),"SEM CUSTO",
IF(AND(TIPOORCAMENTO="Licitado",$AL178=0,$AN178&gt;0),"SEM PREÇO",
IF(AND($C178="S",$P178&lt;&gt;"",$Q178&lt;&gt;"",$U178&gt;0,AND($V178&lt;&gt;"BDI 1",$V178&lt;&gt;"BDI 2",$V178&lt;&gt;"BDI 3")),IF(ISNUMBER($V178),"JUSTIFICAR BDI","BDI"),
IF(OR(AND(import.recurso="OGU",TIPOORCAMENTO="Proposto",LEFT($O$8,5)&lt;&gt;"(N/D:",$AG178&lt;&gt;"",ORÇAMENTO.CustoUnitario&gt;$AG178),AND(TIPOORCAMENTO="LICITADO",ORÇAMENTO.PrecoUnitarioLicitado&gt;$AN178)),"ACIMA REF.",
IF(AND($C178="S",$P178&lt;&gt;"",$Q178&lt;&gt;"",$T178=0,$U178&gt;0),"QUANT.",
IF(AND(Import.TipoArredondamento="TransfereGOV",$L178="F",$C178="S",LEN($Q178)&gt;13),"Código &gt;13",
IF(AND(Import.TipoArredondamento="TransfereGOV",$L178="F",$C178&lt;&gt;"S",LEN($R178)&gt;100),"Descrição &gt;100",
IF(AND(Import.TipoArredondamento="TransfereGOV",$L178="F",$C178="S",LEN($R178)&gt;500),"Descrição &gt;500",
IF(AND(Import.TipoArredondamento="TransfereGOV",$L178="F",$C178="S",LEFT(TRIM(UPPER($P178)),6)&lt;&gt;"SINAPI",ISNA(VLOOKUP(TRIM(UPPER($S178)),ListaTgov.Unidades,1,FALSE))),"Unid. Não Disp",
" "))))))))))))))))</f>
        <v xml:space="preserve"> </v>
      </c>
      <c r="AD178" s="696" t="str">
        <f ca="1">IF(C178&lt;=CRONO.NivelExibicao,MAX($AD$15:OFFSET(AD178,-1,0))+IF($C178&lt;&gt;1,1,MAX(1,COUNTIF(QCI!$A$13:$A$24,OFFSET($E178,-1,0)))),"")</f>
        <v/>
      </c>
      <c r="AE178" s="694" t="str">
        <f t="array" aca="1" ref="AE178" ca="1">IF(AND($C178="S",ORÇAMENTO.CodBarra&lt;&gt;""),IF(ORÇAMENTO.Fonte="",ORÇAMENTO.CodBarra,CONCATENATE(ORÇAMENTO.Fonte," ",ORÇAMENTO.CodBarra)))</f>
        <v>SINAPI 89402</v>
      </c>
      <c r="AF178" s="695">
        <f t="array" aca="1" ref="AF178" ca="1">IF(ISERROR(ORÇAMENTO.BancoRef),"(abra o arquivo 'Referência "&amp;Excel_BuiltIn_Database&amp;".xlsm)",IF(OR($C178&lt;&gt;"S",ORÇAMENTO.CodBarra=""),"(Sem Código)",IF(ISERROR(MATCH($AE178,INDIRECT(ORÇAMENTO.BancoRef),0)),"(Código não identificado nas referências)",MATCH($AE178,INDIRECT(ORÇAMENTO.BancoRef),0))))</f>
        <v>11641</v>
      </c>
      <c r="AG178" s="428">
        <f t="array" aca="1" ref="AG178" ca="1">ROUND(IF(DESONERACAO="sim",REFERENCIA.Desonerado,REFERENCIA.NaoDesonerado),2)</f>
        <v>13.25</v>
      </c>
      <c r="AH178" s="429">
        <f t="shared" ca="1" si="41"/>
        <v>0.2034</v>
      </c>
      <c r="AJ178" s="431"/>
      <c r="AL178" s="439"/>
      <c r="AM178" s="336">
        <f t="shared" ca="1" si="0"/>
        <v>899.4</v>
      </c>
      <c r="AN178" s="469">
        <f t="array" aca="1" ref="AN178" ca="1">ROUND(ORÇAMENTO.CustoUnitario*(1+$AH178),2)</f>
        <v>14.99</v>
      </c>
    </row>
    <row r="179" spans="1:40" s="696" customFormat="1" ht="38.25" x14ac:dyDescent="0.2">
      <c r="A179" s="696" t="str">
        <f t="shared" si="29"/>
        <v>S</v>
      </c>
      <c r="B179" s="696">
        <f t="shared" ca="1" si="30"/>
        <v>2</v>
      </c>
      <c r="C179" s="696" t="str">
        <f t="shared" ca="1" si="31"/>
        <v>S</v>
      </c>
      <c r="D179" s="696">
        <f t="shared" ca="1" si="32"/>
        <v>0</v>
      </c>
      <c r="E179" s="696">
        <f ca="1">IF($C179=1,OFFSET(E179,-1,0)+MAX(1,COUNTIF(QCI!$A$13:$A$24,OFFSET(ORÇAMENTO!E179,-1,0))),OFFSET(E179,-1,0))</f>
        <v>1</v>
      </c>
      <c r="F179" s="696">
        <f t="shared" ca="1" si="33"/>
        <v>28</v>
      </c>
      <c r="G179" s="696">
        <f t="shared" ca="1" si="34"/>
        <v>0</v>
      </c>
      <c r="H179" s="696">
        <f t="shared" ca="1" si="35"/>
        <v>0</v>
      </c>
      <c r="I179" s="696">
        <f t="shared" ca="1" si="36"/>
        <v>5</v>
      </c>
      <c r="J179" s="696">
        <f t="shared" ca="1" si="42"/>
        <v>0</v>
      </c>
      <c r="K179" s="696">
        <f ca="1">IF(OR($C179="S",$C179=0),0,MATCH(OFFSET($D179,0,$C179)+IF($C179&lt;&gt;1,1,COUNTIF(QCI!$A$13:$A$24,ORÇAMENTO!E179)),OFFSET($D179,1,$C179,ROW($C$235)-ROW($C179)),0))</f>
        <v>0</v>
      </c>
      <c r="L179" s="114" t="str">
        <f t="shared" ca="1" si="37"/>
        <v>F</v>
      </c>
      <c r="M179" s="115" t="s">
        <v>705</v>
      </c>
      <c r="N179" s="116" t="str">
        <f t="shared" ca="1" si="38"/>
        <v>Serviço</v>
      </c>
      <c r="O179" s="117" t="str">
        <f t="shared" ca="1" si="39"/>
        <v>1.28.5.</v>
      </c>
      <c r="P179" s="118" t="s">
        <v>750</v>
      </c>
      <c r="Q179" s="119" t="s">
        <v>1145</v>
      </c>
      <c r="R179" s="120" t="str">
        <f t="array" aca="1" ref="R179" ca="1">IF($C179="S",REFERENCIA.Descricao,"(digite a descrição aqui)")</f>
        <v>JOELHO 90 GRAUS, PVC, SOLDÁVEL, DN 25MM, INSTALADO EM RAMAL DE DISTRIBUIÇÃO DE ÁGUA - FORNECIMENTO E INSTALAÇÃO. AF_06/2022</v>
      </c>
      <c r="S179" s="121" t="str">
        <f t="array" aca="1" ref="S179" ca="1">REFERENCIA.Unidade</f>
        <v>UN</v>
      </c>
      <c r="T179" s="122">
        <f ca="1">OFFSET(CÁLCULO!H$15,ROW($T179)-ROW(T$15),0)</f>
        <v>40</v>
      </c>
      <c r="U179" s="123">
        <f>9.45*0.94</f>
        <v>8.8829999999999991</v>
      </c>
      <c r="V179" s="124" t="s">
        <v>697</v>
      </c>
      <c r="W179" s="122">
        <f t="array" aca="1" ref="W179" ca="1">IF($C179="S",ROUND(IF(TIPOORCAMENTO="Proposto",ORÇAMENTO.CustoUnitario*(1+$AH179),ORÇAMENTO.PrecoUnitarioLicitado),15-13*$AF$10),0)</f>
        <v>10.69</v>
      </c>
      <c r="X179" s="125">
        <f t="array" aca="1" ref="X179" ca="1">IF($C179="S",IF(OR(Import.TipoArredondamento&lt;&gt;"TransfereGOV",ACOMPANHAMENTO="BM"),VTOTAL1,SUM(OFFSET(CÁLCULO!$AI$15,ROW($X179)-ROW($X$15),1):OFFSET(CÁLCULO!$BB$15,ROW($X179)-ROW($X$15),-1))),IF($C179=0,0,ROUND(SomaAgrup,15-13*$AF$11)))</f>
        <v>427.6</v>
      </c>
      <c r="Y179" s="126" t="s">
        <v>751</v>
      </c>
      <c r="Z179" s="696" t="str">
        <f t="shared" ca="1" si="40"/>
        <v>RA</v>
      </c>
      <c r="AA179" s="127">
        <f t="array" aca="1" ref="AA179" ca="1">IF($C179="S",IF($Z179="CP",$X179,IF($Z179="RA",(($X179)*QCI!$AA$3),0)),SomaAgrup)</f>
        <v>0</v>
      </c>
      <c r="AB179" s="128">
        <f t="array" aca="1" ref="AB179" ca="1">IF($C179="S",IF($Z179="OU",ROUND($X179,2),0),SomaAgrup)</f>
        <v>0</v>
      </c>
      <c r="AC179" s="563" t="str">
        <f t="array" aca="1" ref="AC179" ca="1">IF($N179=""," ",
IF(AND($C179&lt;&gt;"S",OR($R179="",$R179="(digite a descrição aqui)")),"DESCRIÇÃO",
IF(AND($C179="S",OR($Q179&lt;&gt;"",$T179&gt;0,$U179&gt;0),$P179=""),"FONTE",
IF(AND($C179="S",$P179&lt;&gt;"",OR($T179&gt;0,$U179&gt;0),$Q179=""),"CÓDIGO",
IF(AND($C179="S",$P179&lt;&gt;"",$Q179&lt;&gt;"",$R179="(Código não identificado nas referências)"),"CÓDIGO N/ID",
IF(AND($C179="S",OR($R179="",$R179="(digite a descrição aqui)"),OR($Q179&lt;&gt;"",$T179&gt;0,$U179&gt;0)),"DESCRIÇÃO",
IF(AND($C179="S",$P179&lt;&gt;"",$Q179&lt;&gt;"",$S179=""),"UNIDADE",
IF(AND($C179="S",$P179&lt;&gt;"",$Q179&lt;&gt;"",$U179=0),"SEM CUSTO",
IF(AND(TIPOORCAMENTO="Licitado",$AL179=0,$AN179&gt;0),"SEM PREÇO",
IF(AND($C179="S",$P179&lt;&gt;"",$Q179&lt;&gt;"",$U179&gt;0,AND($V179&lt;&gt;"BDI 1",$V179&lt;&gt;"BDI 2",$V179&lt;&gt;"BDI 3")),IF(ISNUMBER($V179),"JUSTIFICAR BDI","BDI"),
IF(OR(AND(import.recurso="OGU",TIPOORCAMENTO="Proposto",LEFT($O$8,5)&lt;&gt;"(N/D:",$AG179&lt;&gt;"",ORÇAMENTO.CustoUnitario&gt;$AG179),AND(TIPOORCAMENTO="LICITADO",ORÇAMENTO.PrecoUnitarioLicitado&gt;$AN179)),"ACIMA REF.",
IF(AND($C179="S",$P179&lt;&gt;"",$Q179&lt;&gt;"",$T179=0,$U179&gt;0),"QUANT.",
IF(AND(Import.TipoArredondamento="TransfereGOV",$L179="F",$C179="S",LEN($Q179)&gt;13),"Código &gt;13",
IF(AND(Import.TipoArredondamento="TransfereGOV",$L179="F",$C179&lt;&gt;"S",LEN($R179)&gt;100),"Descrição &gt;100",
IF(AND(Import.TipoArredondamento="TransfereGOV",$L179="F",$C179="S",LEN($R179)&gt;500),"Descrição &gt;500",
IF(AND(Import.TipoArredondamento="TransfereGOV",$L179="F",$C179="S",LEFT(TRIM(UPPER($P179)),6)&lt;&gt;"SINAPI",ISNA(VLOOKUP(TRIM(UPPER($S179)),ListaTgov.Unidades,1,FALSE))),"Unid. Não Disp",
" "))))))))))))))))</f>
        <v xml:space="preserve"> </v>
      </c>
      <c r="AD179" s="696" t="str">
        <f ca="1">IF(C179&lt;=CRONO.NivelExibicao,MAX($AD$15:OFFSET(AD179,-1,0))+IF($C179&lt;&gt;1,1,MAX(1,COUNTIF(QCI!$A$13:$A$24,OFFSET($E179,-1,0)))),"")</f>
        <v/>
      </c>
      <c r="AE179" s="694" t="str">
        <f t="array" aca="1" ref="AE179" ca="1">IF(AND($C179="S",ORÇAMENTO.CodBarra&lt;&gt;""),IF(ORÇAMENTO.Fonte="",ORÇAMENTO.CodBarra,CONCATENATE(ORÇAMENTO.Fonte," ",ORÇAMENTO.CodBarra)))</f>
        <v>SINAPI 89408</v>
      </c>
      <c r="AF179" s="695">
        <f t="array" aca="1" ref="AF179" ca="1">IF(ISERROR(ORÇAMENTO.BancoRef),"(abra o arquivo 'Referência "&amp;Excel_BuiltIn_Database&amp;".xlsm)",IF(OR($C179&lt;&gt;"S",ORÇAMENTO.CodBarra=""),"(Sem Código)",IF(ISERROR(MATCH($AE179,INDIRECT(ORÇAMENTO.BancoRef),0)),"(Código não identificado nas referências)",MATCH($AE179,INDIRECT(ORÇAMENTO.BancoRef),0))))</f>
        <v>11547</v>
      </c>
      <c r="AG179" s="428">
        <f t="array" aca="1" ref="AG179" ca="1">ROUND(IF(DESONERACAO="sim",REFERENCIA.Desonerado,REFERENCIA.NaoDesonerado),2)</f>
        <v>9.4499999999999993</v>
      </c>
      <c r="AH179" s="429">
        <f t="shared" ca="1" si="41"/>
        <v>0.2034</v>
      </c>
      <c r="AJ179" s="431"/>
      <c r="AL179" s="439"/>
      <c r="AM179" s="336">
        <f t="shared" ca="1" si="0"/>
        <v>427.6</v>
      </c>
      <c r="AN179" s="469">
        <f t="array" aca="1" ref="AN179" ca="1">ROUND(ORÇAMENTO.CustoUnitario*(1+$AH179),2)</f>
        <v>10.69</v>
      </c>
    </row>
    <row r="180" spans="1:40" s="696" customFormat="1" ht="38.25" x14ac:dyDescent="0.2">
      <c r="A180" s="696" t="str">
        <f t="shared" si="29"/>
        <v>S</v>
      </c>
      <c r="B180" s="696">
        <f t="shared" ca="1" si="30"/>
        <v>2</v>
      </c>
      <c r="C180" s="696" t="str">
        <f t="shared" ca="1" si="31"/>
        <v>S</v>
      </c>
      <c r="D180" s="696">
        <f t="shared" ca="1" si="32"/>
        <v>0</v>
      </c>
      <c r="E180" s="696">
        <f ca="1">IF($C180=1,OFFSET(E180,-1,0)+MAX(1,COUNTIF(QCI!$A$13:$A$24,OFFSET(ORÇAMENTO!E180,-1,0))),OFFSET(E180,-1,0))</f>
        <v>1</v>
      </c>
      <c r="F180" s="696">
        <f t="shared" ca="1" si="33"/>
        <v>28</v>
      </c>
      <c r="G180" s="696">
        <f t="shared" ca="1" si="34"/>
        <v>0</v>
      </c>
      <c r="H180" s="696">
        <f t="shared" ca="1" si="35"/>
        <v>0</v>
      </c>
      <c r="I180" s="696">
        <f t="shared" ca="1" si="36"/>
        <v>6</v>
      </c>
      <c r="J180" s="696">
        <f t="shared" ca="1" si="42"/>
        <v>0</v>
      </c>
      <c r="K180" s="696">
        <f ca="1">IF(OR($C180="S",$C180=0),0,MATCH(OFFSET($D180,0,$C180)+IF($C180&lt;&gt;1,1,COUNTIF(QCI!$A$13:$A$24,ORÇAMENTO!E180)),OFFSET($D180,1,$C180,ROW($C$235)-ROW($C180)),0))</f>
        <v>0</v>
      </c>
      <c r="L180" s="114" t="str">
        <f t="shared" ca="1" si="37"/>
        <v>F</v>
      </c>
      <c r="M180" s="115" t="s">
        <v>705</v>
      </c>
      <c r="N180" s="116" t="str">
        <f t="shared" ca="1" si="38"/>
        <v>Serviço</v>
      </c>
      <c r="O180" s="117" t="str">
        <f t="shared" ca="1" si="39"/>
        <v>1.28.6.</v>
      </c>
      <c r="P180" s="118" t="s">
        <v>750</v>
      </c>
      <c r="Q180" s="119" t="s">
        <v>1159</v>
      </c>
      <c r="R180" s="120" t="str">
        <f t="array" aca="1" ref="R180" ca="1">IF($C180="S",REFERENCIA.Descricao,"(digite a descrição aqui)")</f>
        <v>TE, PVC, SOLDÁVEL, DN 25MM, INSTALADO EM RAMAL DE DISTRIBUIÇÃO DE ÁGUA - FORNECIMENTO E INSTALAÇÃO. AF_06/2022</v>
      </c>
      <c r="S180" s="121" t="str">
        <f t="array" aca="1" ref="S180" ca="1">REFERENCIA.Unidade</f>
        <v>UN</v>
      </c>
      <c r="T180" s="122">
        <f ca="1">OFFSET(CÁLCULO!H$15,ROW($T180)-ROW(T$15),0)</f>
        <v>20</v>
      </c>
      <c r="U180" s="123">
        <f>13.07*0.94</f>
        <v>12.2858</v>
      </c>
      <c r="V180" s="124" t="s">
        <v>697</v>
      </c>
      <c r="W180" s="122">
        <f t="array" aca="1" ref="W180" ca="1">IF($C180="S",ROUND(IF(TIPOORCAMENTO="Proposto",ORÇAMENTO.CustoUnitario*(1+$AH180),ORÇAMENTO.PrecoUnitarioLicitado),15-13*$AF$10),0)</f>
        <v>14.79</v>
      </c>
      <c r="X180" s="125">
        <f t="array" aca="1" ref="X180" ca="1">IF($C180="S",IF(OR(Import.TipoArredondamento&lt;&gt;"TransfereGOV",ACOMPANHAMENTO="BM"),VTOTAL1,SUM(OFFSET(CÁLCULO!$AI$15,ROW($X180)-ROW($X$15),1):OFFSET(CÁLCULO!$BB$15,ROW($X180)-ROW($X$15),-1))),IF($C180=0,0,ROUND(SomaAgrup,15-13*$AF$11)))</f>
        <v>295.8</v>
      </c>
      <c r="Y180" s="126" t="s">
        <v>751</v>
      </c>
      <c r="Z180" s="696" t="str">
        <f t="shared" ca="1" si="40"/>
        <v>RA</v>
      </c>
      <c r="AA180" s="127">
        <f t="array" aca="1" ref="AA180" ca="1">IF($C180="S",IF($Z180="CP",$X180,IF($Z180="RA",(($X180)*QCI!$AA$3),0)),SomaAgrup)</f>
        <v>0</v>
      </c>
      <c r="AB180" s="128">
        <f t="array" aca="1" ref="AB180" ca="1">IF($C180="S",IF($Z180="OU",ROUND($X180,2),0),SomaAgrup)</f>
        <v>0</v>
      </c>
      <c r="AC180" s="563" t="str">
        <f t="array" aca="1" ref="AC180" ca="1">IF($N180=""," ",
IF(AND($C180&lt;&gt;"S",OR($R180="",$R180="(digite a descrição aqui)")),"DESCRIÇÃO",
IF(AND($C180="S",OR($Q180&lt;&gt;"",$T180&gt;0,$U180&gt;0),$P180=""),"FONTE",
IF(AND($C180="S",$P180&lt;&gt;"",OR($T180&gt;0,$U180&gt;0),$Q180=""),"CÓDIGO",
IF(AND($C180="S",$P180&lt;&gt;"",$Q180&lt;&gt;"",$R180="(Código não identificado nas referências)"),"CÓDIGO N/ID",
IF(AND($C180="S",OR($R180="",$R180="(digite a descrição aqui)"),OR($Q180&lt;&gt;"",$T180&gt;0,$U180&gt;0)),"DESCRIÇÃO",
IF(AND($C180="S",$P180&lt;&gt;"",$Q180&lt;&gt;"",$S180=""),"UNIDADE",
IF(AND($C180="S",$P180&lt;&gt;"",$Q180&lt;&gt;"",$U180=0),"SEM CUSTO",
IF(AND(TIPOORCAMENTO="Licitado",$AL180=0,$AN180&gt;0),"SEM PREÇO",
IF(AND($C180="S",$P180&lt;&gt;"",$Q180&lt;&gt;"",$U180&gt;0,AND($V180&lt;&gt;"BDI 1",$V180&lt;&gt;"BDI 2",$V180&lt;&gt;"BDI 3")),IF(ISNUMBER($V180),"JUSTIFICAR BDI","BDI"),
IF(OR(AND(import.recurso="OGU",TIPOORCAMENTO="Proposto",LEFT($O$8,5)&lt;&gt;"(N/D:",$AG180&lt;&gt;"",ORÇAMENTO.CustoUnitario&gt;$AG180),AND(TIPOORCAMENTO="LICITADO",ORÇAMENTO.PrecoUnitarioLicitado&gt;$AN180)),"ACIMA REF.",
IF(AND($C180="S",$P180&lt;&gt;"",$Q180&lt;&gt;"",$T180=0,$U180&gt;0),"QUANT.",
IF(AND(Import.TipoArredondamento="TransfereGOV",$L180="F",$C180="S",LEN($Q180)&gt;13),"Código &gt;13",
IF(AND(Import.TipoArredondamento="TransfereGOV",$L180="F",$C180&lt;&gt;"S",LEN($R180)&gt;100),"Descrição &gt;100",
IF(AND(Import.TipoArredondamento="TransfereGOV",$L180="F",$C180="S",LEN($R180)&gt;500),"Descrição &gt;500",
IF(AND(Import.TipoArredondamento="TransfereGOV",$L180="F",$C180="S",LEFT(TRIM(UPPER($P180)),6)&lt;&gt;"SINAPI",ISNA(VLOOKUP(TRIM(UPPER($S180)),ListaTgov.Unidades,1,FALSE))),"Unid. Não Disp",
" "))))))))))))))))</f>
        <v xml:space="preserve"> </v>
      </c>
      <c r="AD180" s="696" t="str">
        <f ca="1">IF(C180&lt;=CRONO.NivelExibicao,MAX($AD$15:OFFSET(AD180,-1,0))+IF($C180&lt;&gt;1,1,MAX(1,COUNTIF(QCI!$A$13:$A$24,OFFSET($E180,-1,0)))),"")</f>
        <v/>
      </c>
      <c r="AE180" s="694" t="str">
        <f t="array" aca="1" ref="AE180" ca="1">IF(AND($C180="S",ORÇAMENTO.CodBarra&lt;&gt;""),IF(ORÇAMENTO.Fonte="",ORÇAMENTO.CodBarra,CONCATENATE(ORÇAMENTO.Fonte," ",ORÇAMENTO.CodBarra)))</f>
        <v>SINAPI 89440</v>
      </c>
      <c r="AF180" s="695">
        <f t="array" aca="1" ref="AF180" ca="1">IF(ISERROR(ORÇAMENTO.BancoRef),"(abra o arquivo 'Referência "&amp;Excel_BuiltIn_Database&amp;".xlsm)",IF(OR($C180&lt;&gt;"S",ORÇAMENTO.CodBarra=""),"(Sem Código)",IF(ISERROR(MATCH($AE180,INDIRECT(ORÇAMENTO.BancoRef),0)),"(Código não identificado nas referências)",MATCH($AE180,INDIRECT(ORÇAMENTO.BancoRef),0))))</f>
        <v>11626</v>
      </c>
      <c r="AG180" s="428">
        <f t="array" aca="1" ref="AG180" ca="1">ROUND(IF(DESONERACAO="sim",REFERENCIA.Desonerado,REFERENCIA.NaoDesonerado),2)</f>
        <v>13.07</v>
      </c>
      <c r="AH180" s="429">
        <f t="shared" ca="1" si="41"/>
        <v>0.2034</v>
      </c>
      <c r="AJ180" s="431"/>
      <c r="AL180" s="439"/>
      <c r="AM180" s="336">
        <f t="shared" ca="1" si="0"/>
        <v>295.8</v>
      </c>
      <c r="AN180" s="469">
        <f t="array" aca="1" ref="AN180" ca="1">ROUND(ORÇAMENTO.CustoUnitario*(1+$AH180),2)</f>
        <v>14.79</v>
      </c>
    </row>
    <row r="181" spans="1:40" s="696" customFormat="1" x14ac:dyDescent="0.2">
      <c r="A181" s="696">
        <f t="shared" si="29"/>
        <v>2</v>
      </c>
      <c r="B181" s="696">
        <f t="shared" ca="1" si="30"/>
        <v>2</v>
      </c>
      <c r="C181" s="696">
        <f t="shared" ca="1" si="31"/>
        <v>2</v>
      </c>
      <c r="D181" s="696">
        <f t="shared" ca="1" si="32"/>
        <v>15</v>
      </c>
      <c r="E181" s="696">
        <f ca="1">IF($C181=1,OFFSET(E181,-1,0)+MAX(1,COUNTIF(QCI!$A$13:$A$24,OFFSET(ORÇAMENTO!E181,-1,0))),OFFSET(E181,-1,0))</f>
        <v>1</v>
      </c>
      <c r="F181" s="696">
        <f t="shared" ca="1" si="33"/>
        <v>29</v>
      </c>
      <c r="G181" s="696">
        <f t="shared" ca="1" si="34"/>
        <v>0</v>
      </c>
      <c r="H181" s="696">
        <f t="shared" ca="1" si="35"/>
        <v>0</v>
      </c>
      <c r="I181" s="696">
        <f t="shared" ca="1" si="36"/>
        <v>0</v>
      </c>
      <c r="J181" s="696">
        <f t="shared" ca="1" si="42"/>
        <v>54</v>
      </c>
      <c r="K181" s="696">
        <f ca="1">IF(OR($C181="S",$C181=0),0,MATCH(OFFSET($D181,0,$C181)+IF($C181&lt;&gt;1,1,COUNTIF(QCI!$A$13:$A$24,ORÇAMENTO!E181)),OFFSET($D181,1,$C181,ROW($C$235)-ROW($C181)),0))</f>
        <v>15</v>
      </c>
      <c r="L181" s="114" t="str">
        <f t="shared" ca="1" si="37"/>
        <v>F</v>
      </c>
      <c r="M181" s="115" t="s">
        <v>702</v>
      </c>
      <c r="N181" s="116" t="str">
        <f t="shared" ca="1" si="38"/>
        <v>Nível 2</v>
      </c>
      <c r="O181" s="117" t="str">
        <f t="shared" ca="1" si="39"/>
        <v>1.29.</v>
      </c>
      <c r="P181" s="118" t="s">
        <v>750</v>
      </c>
      <c r="Q181" s="119"/>
      <c r="R181" s="120" t="s">
        <v>1160</v>
      </c>
      <c r="S181" s="121" t="s">
        <v>688</v>
      </c>
      <c r="T181" s="122">
        <f ca="1">OFFSET(CÁLCULO!H$15,ROW($T181)-ROW(T$15),0)</f>
        <v>0</v>
      </c>
      <c r="U181" s="123"/>
      <c r="V181" s="124" t="s">
        <v>663</v>
      </c>
      <c r="W181" s="122">
        <f t="array" aca="1" ref="W181" ca="1">IF($C181="S",ROUND(IF(TIPOORCAMENTO="Proposto",ORÇAMENTO.CustoUnitario*(1+$AH181),ORÇAMENTO.PrecoUnitarioLicitado),15-13*$AF$10),0)</f>
        <v>0</v>
      </c>
      <c r="X181" s="125">
        <f t="array" aca="1" ref="X181" ca="1">IF($C181="S",IF(OR(Import.TipoArredondamento&lt;&gt;"TransfereGOV",ACOMPANHAMENTO="BM"),VTOTAL1,SUM(OFFSET(CÁLCULO!$AI$15,ROW($X181)-ROW($X$15),1):OFFSET(CÁLCULO!$BB$15,ROW($X181)-ROW($X$15),-1))),IF($C181=0,0,ROUND(SomaAgrup,15-13*$AF$11)))</f>
        <v>20932.48</v>
      </c>
      <c r="Y181" s="126" t="s">
        <v>751</v>
      </c>
      <c r="Z181" s="696" t="str">
        <f t="shared" ca="1" si="40"/>
        <v/>
      </c>
      <c r="AA181" s="127">
        <f t="array" aca="1" ref="AA181" ca="1">IF($C181="S",IF($Z181="CP",$X181,IF($Z181="RA",(($X181)*QCI!$AA$3),0)),SomaAgrup)</f>
        <v>0</v>
      </c>
      <c r="AB181" s="128">
        <f t="array" aca="1" ref="AB181" ca="1">IF($C181="S",IF($Z181="OU",ROUND($X181,2),0),SomaAgrup)</f>
        <v>0</v>
      </c>
      <c r="AC181" s="563" t="str">
        <f t="array" aca="1" ref="AC181" ca="1">IF($N181=""," ",
IF(AND($C181&lt;&gt;"S",OR($R181="",$R181="(digite a descrição aqui)")),"DESCRIÇÃO",
IF(AND($C181="S",OR($Q181&lt;&gt;"",$T181&gt;0,$U181&gt;0),$P181=""),"FONTE",
IF(AND($C181="S",$P181&lt;&gt;"",OR($T181&gt;0,$U181&gt;0),$Q181=""),"CÓDIGO",
IF(AND($C181="S",$P181&lt;&gt;"",$Q181&lt;&gt;"",$R181="(Código não identificado nas referências)"),"CÓDIGO N/ID",
IF(AND($C181="S",OR($R181="",$R181="(digite a descrição aqui)"),OR($Q181&lt;&gt;"",$T181&gt;0,$U181&gt;0)),"DESCRIÇÃO",
IF(AND($C181="S",$P181&lt;&gt;"",$Q181&lt;&gt;"",$S181=""),"UNIDADE",
IF(AND($C181="S",$P181&lt;&gt;"",$Q181&lt;&gt;"",$U181=0),"SEM CUSTO",
IF(AND(TIPOORCAMENTO="Licitado",$AL181=0,$AN181&gt;0),"SEM PREÇO",
IF(AND($C181="S",$P181&lt;&gt;"",$Q181&lt;&gt;"",$U181&gt;0,AND($V181&lt;&gt;"BDI 1",$V181&lt;&gt;"BDI 2",$V181&lt;&gt;"BDI 3")),IF(ISNUMBER($V181),"JUSTIFICAR BDI","BDI"),
IF(OR(AND(import.recurso="OGU",TIPOORCAMENTO="Proposto",LEFT($O$8,5)&lt;&gt;"(N/D:",$AG181&lt;&gt;"",ORÇAMENTO.CustoUnitario&gt;$AG181),AND(TIPOORCAMENTO="LICITADO",ORÇAMENTO.PrecoUnitarioLicitado&gt;$AN181)),"ACIMA REF.",
IF(AND($C181="S",$P181&lt;&gt;"",$Q181&lt;&gt;"",$T181=0,$U181&gt;0),"QUANT.",
IF(AND(Import.TipoArredondamento="TransfereGOV",$L181="F",$C181="S",LEN($Q181)&gt;13),"Código &gt;13",
IF(AND(Import.TipoArredondamento="TransfereGOV",$L181="F",$C181&lt;&gt;"S",LEN($R181)&gt;100),"Descrição &gt;100",
IF(AND(Import.TipoArredondamento="TransfereGOV",$L181="F",$C181="S",LEN($R181)&gt;500),"Descrição &gt;500",
IF(AND(Import.TipoArredondamento="TransfereGOV",$L181="F",$C181="S",LEFT(TRIM(UPPER($P181)),6)&lt;&gt;"SINAPI",ISNA(VLOOKUP(TRIM(UPPER($S181)),ListaTgov.Unidades,1,FALSE))),"Unid. Não Disp",
" "))))))))))))))))</f>
        <v xml:space="preserve"> </v>
      </c>
      <c r="AD181" s="696">
        <f ca="1">IF(C181&lt;=CRONO.NivelExibicao,MAX($AD$15:OFFSET(AD181,-1,0))+IF($C181&lt;&gt;1,1,MAX(1,COUNTIF(QCI!$A$13:$A$24,OFFSET($E181,-1,0)))),"")</f>
        <v>30</v>
      </c>
      <c r="AE181" s="694" t="b">
        <f t="array" aca="1" ref="AE181" ca="1">IF(AND($C181="S",ORÇAMENTO.CodBarra&lt;&gt;""),IF(ORÇAMENTO.Fonte="",ORÇAMENTO.CodBarra,CONCATENATE(ORÇAMENTO.Fonte," ",ORÇAMENTO.CodBarra)))</f>
        <v>0</v>
      </c>
      <c r="AF181" s="695" t="str">
        <f t="array" aca="1" ref="AF181" ca="1">IF(ISERROR(ORÇAMENTO.BancoRef),"(abra o arquivo 'Referência "&amp;Excel_BuiltIn_Database&amp;".xlsm)",IF(OR($C181&lt;&gt;"S",ORÇAMENTO.CodBarra=""),"(Sem Código)",IF(ISERROR(MATCH($AE181,INDIRECT(ORÇAMENTO.BancoRef),0)),"(Código não identificado nas referências)",MATCH($AE181,INDIRECT(ORÇAMENTO.BancoRef),0))))</f>
        <v>(Sem Código)</v>
      </c>
      <c r="AG181" s="428">
        <f t="array" aca="1" ref="AG181" ca="1">ROUND(IF(DESONERACAO="sim",REFERENCIA.Desonerado,REFERENCIA.NaoDesonerado),2)</f>
        <v>0</v>
      </c>
      <c r="AH181" s="429">
        <f t="shared" ca="1" si="41"/>
        <v>0.29389999999999999</v>
      </c>
      <c r="AJ181" s="431"/>
      <c r="AL181" s="439"/>
      <c r="AM181" s="336">
        <f t="shared" ca="1" si="0"/>
        <v>20932.48</v>
      </c>
      <c r="AN181" s="469">
        <f t="array" aca="1" ref="AN181" ca="1">ROUND(ORÇAMENTO.CustoUnitario*(1+$AH181),2)</f>
        <v>0</v>
      </c>
    </row>
    <row r="182" spans="1:40" s="696" customFormat="1" ht="25.5" x14ac:dyDescent="0.2">
      <c r="A182" s="696" t="str">
        <f t="shared" si="29"/>
        <v>S</v>
      </c>
      <c r="B182" s="696">
        <f t="shared" ca="1" si="30"/>
        <v>2</v>
      </c>
      <c r="C182" s="696" t="str">
        <f t="shared" ca="1" si="31"/>
        <v>S</v>
      </c>
      <c r="D182" s="696">
        <f t="shared" ca="1" si="32"/>
        <v>0</v>
      </c>
      <c r="E182" s="696">
        <f ca="1">IF($C182=1,OFFSET(E182,-1,0)+MAX(1,COUNTIF(QCI!$A$13:$A$24,OFFSET(ORÇAMENTO!E182,-1,0))),OFFSET(E182,-1,0))</f>
        <v>1</v>
      </c>
      <c r="F182" s="696">
        <f t="shared" ca="1" si="33"/>
        <v>29</v>
      </c>
      <c r="G182" s="696">
        <f t="shared" ca="1" si="34"/>
        <v>0</v>
      </c>
      <c r="H182" s="696">
        <f t="shared" ca="1" si="35"/>
        <v>0</v>
      </c>
      <c r="I182" s="696">
        <f t="shared" ca="1" si="36"/>
        <v>1</v>
      </c>
      <c r="J182" s="696">
        <f t="shared" ca="1" si="42"/>
        <v>0</v>
      </c>
      <c r="K182" s="696">
        <f ca="1">IF(OR($C182="S",$C182=0),0,MATCH(OFFSET($D182,0,$C182)+IF($C182&lt;&gt;1,1,COUNTIF(QCI!$A$13:$A$24,ORÇAMENTO!E182)),OFFSET($D182,1,$C182,ROW($C$235)-ROW($C182)),0))</f>
        <v>0</v>
      </c>
      <c r="L182" s="114" t="str">
        <f t="shared" ca="1" si="37"/>
        <v>F</v>
      </c>
      <c r="M182" s="115" t="s">
        <v>705</v>
      </c>
      <c r="N182" s="116" t="str">
        <f t="shared" ca="1" si="38"/>
        <v>Serviço</v>
      </c>
      <c r="O182" s="117" t="str">
        <f t="shared" ca="1" si="39"/>
        <v>1.29.1.</v>
      </c>
      <c r="P182" s="118" t="s">
        <v>750</v>
      </c>
      <c r="Q182" s="119" t="s">
        <v>1161</v>
      </c>
      <c r="R182" s="120" t="str">
        <f t="array" aca="1" ref="R182" ca="1">IF($C182="S",REFERENCIA.Descricao,"(digite a descrição aqui)")</f>
        <v>CAIXA D´ÁGUA EM POLIETILENO, 500 LITROS - FORNECIMENTO E INSTALAÇÃO. AF_06/2021</v>
      </c>
      <c r="S182" s="121" t="str">
        <f t="array" aca="1" ref="S182" ca="1">REFERENCIA.Unidade</f>
        <v>UN</v>
      </c>
      <c r="T182" s="122">
        <f ca="1">OFFSET(CÁLCULO!H$15,ROW($T182)-ROW(T$15),0)</f>
        <v>20</v>
      </c>
      <c r="U182" s="123">
        <f>302.7*0.94</f>
        <v>284.53799999999995</v>
      </c>
      <c r="V182" s="124" t="s">
        <v>697</v>
      </c>
      <c r="W182" s="122">
        <f t="array" aca="1" ref="W182" ca="1">IF($C182="S",ROUND(IF(TIPOORCAMENTO="Proposto",ORÇAMENTO.CustoUnitario*(1+$AH182),ORÇAMENTO.PrecoUnitarioLicitado),15-13*$AF$10),0)</f>
        <v>342.42</v>
      </c>
      <c r="X182" s="125">
        <f t="array" aca="1" ref="X182" ca="1">IF($C182="S",IF(OR(Import.TipoArredondamento&lt;&gt;"TransfereGOV",ACOMPANHAMENTO="BM"),VTOTAL1,SUM(OFFSET(CÁLCULO!$AI$15,ROW($X182)-ROW($X$15),1):OFFSET(CÁLCULO!$BB$15,ROW($X182)-ROW($X$15),-1))),IF($C182=0,0,ROUND(SomaAgrup,15-13*$AF$11)))</f>
        <v>6848.4</v>
      </c>
      <c r="Y182" s="126" t="s">
        <v>751</v>
      </c>
      <c r="Z182" s="696" t="str">
        <f t="shared" ca="1" si="40"/>
        <v>RA</v>
      </c>
      <c r="AA182" s="127">
        <f t="array" aca="1" ref="AA182" ca="1">IF($C182="S",IF($Z182="CP",$X182,IF($Z182="RA",(($X182)*QCI!$AA$3),0)),SomaAgrup)</f>
        <v>0</v>
      </c>
      <c r="AB182" s="128">
        <f t="array" aca="1" ref="AB182" ca="1">IF($C182="S",IF($Z182="OU",ROUND($X182,2),0),SomaAgrup)</f>
        <v>0</v>
      </c>
      <c r="AC182" s="563" t="str">
        <f t="array" aca="1" ref="AC182" ca="1">IF($N182=""," ",
IF(AND($C182&lt;&gt;"S",OR($R182="",$R182="(digite a descrição aqui)")),"DESCRIÇÃO",
IF(AND($C182="S",OR($Q182&lt;&gt;"",$T182&gt;0,$U182&gt;0),$P182=""),"FONTE",
IF(AND($C182="S",$P182&lt;&gt;"",OR($T182&gt;0,$U182&gt;0),$Q182=""),"CÓDIGO",
IF(AND($C182="S",$P182&lt;&gt;"",$Q182&lt;&gt;"",$R182="(Código não identificado nas referências)"),"CÓDIGO N/ID",
IF(AND($C182="S",OR($R182="",$R182="(digite a descrição aqui)"),OR($Q182&lt;&gt;"",$T182&gt;0,$U182&gt;0)),"DESCRIÇÃO",
IF(AND($C182="S",$P182&lt;&gt;"",$Q182&lt;&gt;"",$S182=""),"UNIDADE",
IF(AND($C182="S",$P182&lt;&gt;"",$Q182&lt;&gt;"",$U182=0),"SEM CUSTO",
IF(AND(TIPOORCAMENTO="Licitado",$AL182=0,$AN182&gt;0),"SEM PREÇO",
IF(AND($C182="S",$P182&lt;&gt;"",$Q182&lt;&gt;"",$U182&gt;0,AND($V182&lt;&gt;"BDI 1",$V182&lt;&gt;"BDI 2",$V182&lt;&gt;"BDI 3")),IF(ISNUMBER($V182),"JUSTIFICAR BDI","BDI"),
IF(OR(AND(import.recurso="OGU",TIPOORCAMENTO="Proposto",LEFT($O$8,5)&lt;&gt;"(N/D:",$AG182&lt;&gt;"",ORÇAMENTO.CustoUnitario&gt;$AG182),AND(TIPOORCAMENTO="LICITADO",ORÇAMENTO.PrecoUnitarioLicitado&gt;$AN182)),"ACIMA REF.",
IF(AND($C182="S",$P182&lt;&gt;"",$Q182&lt;&gt;"",$T182=0,$U182&gt;0),"QUANT.",
IF(AND(Import.TipoArredondamento="TransfereGOV",$L182="F",$C182="S",LEN($Q182)&gt;13),"Código &gt;13",
IF(AND(Import.TipoArredondamento="TransfereGOV",$L182="F",$C182&lt;&gt;"S",LEN($R182)&gt;100),"Descrição &gt;100",
IF(AND(Import.TipoArredondamento="TransfereGOV",$L182="F",$C182="S",LEN($R182)&gt;500),"Descrição &gt;500",
IF(AND(Import.TipoArredondamento="TransfereGOV",$L182="F",$C182="S",LEFT(TRIM(UPPER($P182)),6)&lt;&gt;"SINAPI",ISNA(VLOOKUP(TRIM(UPPER($S182)),ListaTgov.Unidades,1,FALSE))),"Unid. Não Disp",
" "))))))))))))))))</f>
        <v xml:space="preserve"> </v>
      </c>
      <c r="AD182" s="696" t="str">
        <f ca="1">IF(C182&lt;=CRONO.NivelExibicao,MAX($AD$15:OFFSET(AD182,-1,0))+IF($C182&lt;&gt;1,1,MAX(1,COUNTIF(QCI!$A$13:$A$24,OFFSET($E182,-1,0)))),"")</f>
        <v/>
      </c>
      <c r="AE182" s="694" t="str">
        <f t="array" aca="1" ref="AE182" ca="1">IF(AND($C182="S",ORÇAMENTO.CodBarra&lt;&gt;""),IF(ORÇAMENTO.Fonte="",ORÇAMENTO.CodBarra,CONCATENATE(ORÇAMENTO.Fonte," ",ORÇAMENTO.CodBarra)))</f>
        <v>SINAPI 102605</v>
      </c>
      <c r="AF182" s="695">
        <f t="array" aca="1" ref="AF182" ca="1">IF(ISERROR(ORÇAMENTO.BancoRef),"(abra o arquivo 'Referência "&amp;Excel_BuiltIn_Database&amp;".xlsm)",IF(OR($C182&lt;&gt;"S",ORÇAMENTO.CodBarra=""),"(Sem Código)",IF(ISERROR(MATCH($AE182,INDIRECT(ORÇAMENTO.BancoRef),0)),"(Código não identificado nas referências)",MATCH($AE182,INDIRECT(ORÇAMENTO.BancoRef),0))))</f>
        <v>7164</v>
      </c>
      <c r="AG182" s="428">
        <f t="array" aca="1" ref="AG182" ca="1">ROUND(IF(DESONERACAO="sim",REFERENCIA.Desonerado,REFERENCIA.NaoDesonerado),2)</f>
        <v>302.7</v>
      </c>
      <c r="AH182" s="429">
        <f t="shared" ca="1" si="41"/>
        <v>0.2034</v>
      </c>
      <c r="AJ182" s="431"/>
      <c r="AL182" s="439"/>
      <c r="AM182" s="336">
        <f t="shared" ca="1" si="0"/>
        <v>6848.4</v>
      </c>
      <c r="AN182" s="469">
        <f t="array" aca="1" ref="AN182" ca="1">ROUND(ORÇAMENTO.CustoUnitario*(1+$AH182),2)</f>
        <v>342.42</v>
      </c>
    </row>
    <row r="183" spans="1:40" s="696" customFormat="1" ht="25.5" x14ac:dyDescent="0.2">
      <c r="A183" s="696" t="str">
        <f t="shared" si="29"/>
        <v>S</v>
      </c>
      <c r="B183" s="696">
        <f t="shared" ca="1" si="30"/>
        <v>2</v>
      </c>
      <c r="C183" s="696" t="str">
        <f t="shared" ca="1" si="31"/>
        <v>S</v>
      </c>
      <c r="D183" s="696">
        <f t="shared" ca="1" si="32"/>
        <v>0</v>
      </c>
      <c r="E183" s="696">
        <f ca="1">IF($C183=1,OFFSET(E183,-1,0)+MAX(1,COUNTIF(QCI!$A$13:$A$24,OFFSET(ORÇAMENTO!E183,-1,0))),OFFSET(E183,-1,0))</f>
        <v>1</v>
      </c>
      <c r="F183" s="696">
        <f t="shared" ca="1" si="33"/>
        <v>29</v>
      </c>
      <c r="G183" s="696">
        <f t="shared" ca="1" si="34"/>
        <v>0</v>
      </c>
      <c r="H183" s="696">
        <f t="shared" ca="1" si="35"/>
        <v>0</v>
      </c>
      <c r="I183" s="696">
        <f t="shared" ca="1" si="36"/>
        <v>2</v>
      </c>
      <c r="J183" s="696">
        <f t="shared" ca="1" si="42"/>
        <v>0</v>
      </c>
      <c r="K183" s="696">
        <f ca="1">IF(OR($C183="S",$C183=0),0,MATCH(OFFSET($D183,0,$C183)+IF($C183&lt;&gt;1,1,COUNTIF(QCI!$A$13:$A$24,ORÇAMENTO!E183)),OFFSET($D183,1,$C183,ROW($C$235)-ROW($C183)),0))</f>
        <v>0</v>
      </c>
      <c r="L183" s="114" t="str">
        <f t="shared" ca="1" si="37"/>
        <v>F</v>
      </c>
      <c r="M183" s="115" t="s">
        <v>705</v>
      </c>
      <c r="N183" s="116" t="str">
        <f t="shared" ca="1" si="38"/>
        <v>Serviço</v>
      </c>
      <c r="O183" s="117" t="str">
        <f t="shared" ca="1" si="39"/>
        <v>1.29.2.</v>
      </c>
      <c r="P183" s="118" t="s">
        <v>750</v>
      </c>
      <c r="Q183" s="119" t="s">
        <v>1162</v>
      </c>
      <c r="R183" s="120" t="str">
        <f t="array" aca="1" ref="R183" ca="1">IF($C183="S",REFERENCIA.Descricao,"(digite a descrição aqui)")</f>
        <v>FURO EM CAIXA D'ÁGUA COM ESPESSURA DE 2 ATÉ 5 MM E DIÂMETRO DE 25 MM. AF_06/2021</v>
      </c>
      <c r="S183" s="121" t="str">
        <f t="array" aca="1" ref="S183" ca="1">REFERENCIA.Unidade</f>
        <v>UN</v>
      </c>
      <c r="T183" s="122">
        <f ca="1">OFFSET(CÁLCULO!H$15,ROW($T183)-ROW(T$15),0)</f>
        <v>20</v>
      </c>
      <c r="U183" s="123">
        <f>4.7*0.94</f>
        <v>4.4180000000000001</v>
      </c>
      <c r="V183" s="124" t="s">
        <v>697</v>
      </c>
      <c r="W183" s="122">
        <f t="array" aca="1" ref="W183" ca="1">IF($C183="S",ROUND(IF(TIPOORCAMENTO="Proposto",ORÇAMENTO.CustoUnitario*(1+$AH183),ORÇAMENTO.PrecoUnitarioLicitado),15-13*$AF$10),0)</f>
        <v>5.32</v>
      </c>
      <c r="X183" s="125">
        <f t="array" aca="1" ref="X183" ca="1">IF($C183="S",IF(OR(Import.TipoArredondamento&lt;&gt;"TransfereGOV",ACOMPANHAMENTO="BM"),VTOTAL1,SUM(OFFSET(CÁLCULO!$AI$15,ROW($X183)-ROW($X$15),1):OFFSET(CÁLCULO!$BB$15,ROW($X183)-ROW($X$15),-1))),IF($C183=0,0,ROUND(SomaAgrup,15-13*$AF$11)))</f>
        <v>106.4</v>
      </c>
      <c r="Y183" s="126" t="s">
        <v>751</v>
      </c>
      <c r="Z183" s="696" t="str">
        <f t="shared" ca="1" si="40"/>
        <v>RA</v>
      </c>
      <c r="AA183" s="127">
        <f t="array" aca="1" ref="AA183" ca="1">IF($C183="S",IF($Z183="CP",$X183,IF($Z183="RA",(($X183)*QCI!$AA$3),0)),SomaAgrup)</f>
        <v>0</v>
      </c>
      <c r="AB183" s="128">
        <f t="array" aca="1" ref="AB183" ca="1">IF($C183="S",IF($Z183="OU",ROUND($X183,2),0),SomaAgrup)</f>
        <v>0</v>
      </c>
      <c r="AC183" s="563" t="str">
        <f t="array" aca="1" ref="AC183" ca="1">IF($N183=""," ",
IF(AND($C183&lt;&gt;"S",OR($R183="",$R183="(digite a descrição aqui)")),"DESCRIÇÃO",
IF(AND($C183="S",OR($Q183&lt;&gt;"",$T183&gt;0,$U183&gt;0),$P183=""),"FONTE",
IF(AND($C183="S",$P183&lt;&gt;"",OR($T183&gt;0,$U183&gt;0),$Q183=""),"CÓDIGO",
IF(AND($C183="S",$P183&lt;&gt;"",$Q183&lt;&gt;"",$R183="(Código não identificado nas referências)"),"CÓDIGO N/ID",
IF(AND($C183="S",OR($R183="",$R183="(digite a descrição aqui)"),OR($Q183&lt;&gt;"",$T183&gt;0,$U183&gt;0)),"DESCRIÇÃO",
IF(AND($C183="S",$P183&lt;&gt;"",$Q183&lt;&gt;"",$S183=""),"UNIDADE",
IF(AND($C183="S",$P183&lt;&gt;"",$Q183&lt;&gt;"",$U183=0),"SEM CUSTO",
IF(AND(TIPOORCAMENTO="Licitado",$AL183=0,$AN183&gt;0),"SEM PREÇO",
IF(AND($C183="S",$P183&lt;&gt;"",$Q183&lt;&gt;"",$U183&gt;0,AND($V183&lt;&gt;"BDI 1",$V183&lt;&gt;"BDI 2",$V183&lt;&gt;"BDI 3")),IF(ISNUMBER($V183),"JUSTIFICAR BDI","BDI"),
IF(OR(AND(import.recurso="OGU",TIPOORCAMENTO="Proposto",LEFT($O$8,5)&lt;&gt;"(N/D:",$AG183&lt;&gt;"",ORÇAMENTO.CustoUnitario&gt;$AG183),AND(TIPOORCAMENTO="LICITADO",ORÇAMENTO.PrecoUnitarioLicitado&gt;$AN183)),"ACIMA REF.",
IF(AND($C183="S",$P183&lt;&gt;"",$Q183&lt;&gt;"",$T183=0,$U183&gt;0),"QUANT.",
IF(AND(Import.TipoArredondamento="TransfereGOV",$L183="F",$C183="S",LEN($Q183)&gt;13),"Código &gt;13",
IF(AND(Import.TipoArredondamento="TransfereGOV",$L183="F",$C183&lt;&gt;"S",LEN($R183)&gt;100),"Descrição &gt;100",
IF(AND(Import.TipoArredondamento="TransfereGOV",$L183="F",$C183="S",LEN($R183)&gt;500),"Descrição &gt;500",
IF(AND(Import.TipoArredondamento="TransfereGOV",$L183="F",$C183="S",LEFT(TRIM(UPPER($P183)),6)&lt;&gt;"SINAPI",ISNA(VLOOKUP(TRIM(UPPER($S183)),ListaTgov.Unidades,1,FALSE))),"Unid. Não Disp",
" "))))))))))))))))</f>
        <v xml:space="preserve"> </v>
      </c>
      <c r="AD183" s="696" t="str">
        <f ca="1">IF(C183&lt;=CRONO.NivelExibicao,MAX($AD$15:OFFSET(AD183,-1,0))+IF($C183&lt;&gt;1,1,MAX(1,COUNTIF(QCI!$A$13:$A$24,OFFSET($E183,-1,0)))),"")</f>
        <v/>
      </c>
      <c r="AE183" s="694" t="str">
        <f t="array" aca="1" ref="AE183" ca="1">IF(AND($C183="S",ORÇAMENTO.CodBarra&lt;&gt;""),IF(ORÇAMENTO.Fonte="",ORÇAMENTO.CodBarra,CONCATENATE(ORÇAMENTO.Fonte," ",ORÇAMENTO.CodBarra)))</f>
        <v>SINAPI 102591</v>
      </c>
      <c r="AF183" s="695">
        <f t="array" aca="1" ref="AF183" ca="1">IF(ISERROR(ORÇAMENTO.BancoRef),"(abra o arquivo 'Referência "&amp;Excel_BuiltIn_Database&amp;".xlsm)",IF(OR($C183&lt;&gt;"S",ORÇAMENTO.CodBarra=""),"(Sem Código)",IF(ISERROR(MATCH($AE183,INDIRECT(ORÇAMENTO.BancoRef),0)),"(Código não identificado nas referências)",MATCH($AE183,INDIRECT(ORÇAMENTO.BancoRef),0))))</f>
        <v>7180</v>
      </c>
      <c r="AG183" s="428">
        <f t="array" aca="1" ref="AG183" ca="1">ROUND(IF(DESONERACAO="sim",REFERENCIA.Desonerado,REFERENCIA.NaoDesonerado),2)</f>
        <v>4.7</v>
      </c>
      <c r="AH183" s="429">
        <f t="shared" ca="1" si="41"/>
        <v>0.2034</v>
      </c>
      <c r="AJ183" s="431"/>
      <c r="AL183" s="439"/>
      <c r="AM183" s="336">
        <f t="shared" ca="1" si="0"/>
        <v>106.4</v>
      </c>
      <c r="AN183" s="469">
        <f t="array" aca="1" ref="AN183" ca="1">ROUND(ORÇAMENTO.CustoUnitario*(1+$AH183),2)</f>
        <v>5.32</v>
      </c>
    </row>
    <row r="184" spans="1:40" s="696" customFormat="1" ht="25.5" x14ac:dyDescent="0.2">
      <c r="A184" s="696" t="str">
        <f t="shared" si="29"/>
        <v>S</v>
      </c>
      <c r="B184" s="696">
        <f t="shared" ca="1" si="30"/>
        <v>2</v>
      </c>
      <c r="C184" s="696" t="str">
        <f t="shared" ca="1" si="31"/>
        <v>S</v>
      </c>
      <c r="D184" s="696">
        <f t="shared" ca="1" si="32"/>
        <v>0</v>
      </c>
      <c r="E184" s="696">
        <f ca="1">IF($C184=1,OFFSET(E184,-1,0)+MAX(1,COUNTIF(QCI!$A$13:$A$24,OFFSET(ORÇAMENTO!E184,-1,0))),OFFSET(E184,-1,0))</f>
        <v>1</v>
      </c>
      <c r="F184" s="696">
        <f t="shared" ca="1" si="33"/>
        <v>29</v>
      </c>
      <c r="G184" s="696">
        <f t="shared" ca="1" si="34"/>
        <v>0</v>
      </c>
      <c r="H184" s="696">
        <f t="shared" ca="1" si="35"/>
        <v>0</v>
      </c>
      <c r="I184" s="696">
        <f t="shared" ca="1" si="36"/>
        <v>3</v>
      </c>
      <c r="J184" s="696">
        <f t="shared" ca="1" si="42"/>
        <v>0</v>
      </c>
      <c r="K184" s="696">
        <f ca="1">IF(OR($C184="S",$C184=0),0,MATCH(OFFSET($D184,0,$C184)+IF($C184&lt;&gt;1,1,COUNTIF(QCI!$A$13:$A$24,ORÇAMENTO!E184)),OFFSET($D184,1,$C184,ROW($C$235)-ROW($C184)),0))</f>
        <v>0</v>
      </c>
      <c r="L184" s="114" t="str">
        <f t="shared" ca="1" si="37"/>
        <v>F</v>
      </c>
      <c r="M184" s="115" t="s">
        <v>705</v>
      </c>
      <c r="N184" s="116" t="str">
        <f t="shared" ca="1" si="38"/>
        <v>Serviço</v>
      </c>
      <c r="O184" s="117" t="str">
        <f t="shared" ca="1" si="39"/>
        <v>1.29.3.</v>
      </c>
      <c r="P184" s="118" t="s">
        <v>750</v>
      </c>
      <c r="Q184" s="119" t="s">
        <v>1163</v>
      </c>
      <c r="R184" s="120" t="str">
        <f t="array" aca="1" ref="R184" ca="1">IF($C184="S",REFERENCIA.Descricao,"(digite a descrição aqui)")</f>
        <v>FURO EM CAIXA D'ÁGUA COM ESPESSURA DE 2 ATÉ 5 MM E DIÂMETRO DE 32 MM. AF_06/2021</v>
      </c>
      <c r="S184" s="121" t="str">
        <f t="array" aca="1" ref="S184" ca="1">REFERENCIA.Unidade</f>
        <v>UN</v>
      </c>
      <c r="T184" s="122">
        <f ca="1">OFFSET(CÁLCULO!H$15,ROW($T184)-ROW(T$15),0)</f>
        <v>40</v>
      </c>
      <c r="U184" s="123">
        <f>5.3*0.94</f>
        <v>4.9819999999999993</v>
      </c>
      <c r="V184" s="124" t="s">
        <v>697</v>
      </c>
      <c r="W184" s="122">
        <f t="array" aca="1" ref="W184" ca="1">IF($C184="S",ROUND(IF(TIPOORCAMENTO="Proposto",ORÇAMENTO.CustoUnitario*(1+$AH184),ORÇAMENTO.PrecoUnitarioLicitado),15-13*$AF$10),0)</f>
        <v>5.99</v>
      </c>
      <c r="X184" s="125">
        <f t="array" aca="1" ref="X184" ca="1">IF($C184="S",IF(OR(Import.TipoArredondamento&lt;&gt;"TransfereGOV",ACOMPANHAMENTO="BM"),VTOTAL1,SUM(OFFSET(CÁLCULO!$AI$15,ROW($X184)-ROW($X$15),1):OFFSET(CÁLCULO!$BB$15,ROW($X184)-ROW($X$15),-1))),IF($C184=0,0,ROUND(SomaAgrup,15-13*$AF$11)))</f>
        <v>239.6</v>
      </c>
      <c r="Y184" s="126" t="s">
        <v>751</v>
      </c>
      <c r="Z184" s="696" t="str">
        <f t="shared" ca="1" si="40"/>
        <v>RA</v>
      </c>
      <c r="AA184" s="127">
        <f t="array" aca="1" ref="AA184" ca="1">IF($C184="S",IF($Z184="CP",$X184,IF($Z184="RA",(($X184)*QCI!$AA$3),0)),SomaAgrup)</f>
        <v>0</v>
      </c>
      <c r="AB184" s="128">
        <f t="array" aca="1" ref="AB184" ca="1">IF($C184="S",IF($Z184="OU",ROUND($X184,2),0),SomaAgrup)</f>
        <v>0</v>
      </c>
      <c r="AC184" s="563" t="str">
        <f t="array" aca="1" ref="AC184" ca="1">IF($N184=""," ",
IF(AND($C184&lt;&gt;"S",OR($R184="",$R184="(digite a descrição aqui)")),"DESCRIÇÃO",
IF(AND($C184="S",OR($Q184&lt;&gt;"",$T184&gt;0,$U184&gt;0),$P184=""),"FONTE",
IF(AND($C184="S",$P184&lt;&gt;"",OR($T184&gt;0,$U184&gt;0),$Q184=""),"CÓDIGO",
IF(AND($C184="S",$P184&lt;&gt;"",$Q184&lt;&gt;"",$R184="(Código não identificado nas referências)"),"CÓDIGO N/ID",
IF(AND($C184="S",OR($R184="",$R184="(digite a descrição aqui)"),OR($Q184&lt;&gt;"",$T184&gt;0,$U184&gt;0)),"DESCRIÇÃO",
IF(AND($C184="S",$P184&lt;&gt;"",$Q184&lt;&gt;"",$S184=""),"UNIDADE",
IF(AND($C184="S",$P184&lt;&gt;"",$Q184&lt;&gt;"",$U184=0),"SEM CUSTO",
IF(AND(TIPOORCAMENTO="Licitado",$AL184=0,$AN184&gt;0),"SEM PREÇO",
IF(AND($C184="S",$P184&lt;&gt;"",$Q184&lt;&gt;"",$U184&gt;0,AND($V184&lt;&gt;"BDI 1",$V184&lt;&gt;"BDI 2",$V184&lt;&gt;"BDI 3")),IF(ISNUMBER($V184),"JUSTIFICAR BDI","BDI"),
IF(OR(AND(import.recurso="OGU",TIPOORCAMENTO="Proposto",LEFT($O$8,5)&lt;&gt;"(N/D:",$AG184&lt;&gt;"",ORÇAMENTO.CustoUnitario&gt;$AG184),AND(TIPOORCAMENTO="LICITADO",ORÇAMENTO.PrecoUnitarioLicitado&gt;$AN184)),"ACIMA REF.",
IF(AND($C184="S",$P184&lt;&gt;"",$Q184&lt;&gt;"",$T184=0,$U184&gt;0),"QUANT.",
IF(AND(Import.TipoArredondamento="TransfereGOV",$L184="F",$C184="S",LEN($Q184)&gt;13),"Código &gt;13",
IF(AND(Import.TipoArredondamento="TransfereGOV",$L184="F",$C184&lt;&gt;"S",LEN($R184)&gt;100),"Descrição &gt;100",
IF(AND(Import.TipoArredondamento="TransfereGOV",$L184="F",$C184="S",LEN($R184)&gt;500),"Descrição &gt;500",
IF(AND(Import.TipoArredondamento="TransfereGOV",$L184="F",$C184="S",LEFT(TRIM(UPPER($P184)),6)&lt;&gt;"SINAPI",ISNA(VLOOKUP(TRIM(UPPER($S184)),ListaTgov.Unidades,1,FALSE))),"Unid. Não Disp",
" "))))))))))))))))</f>
        <v xml:space="preserve"> </v>
      </c>
      <c r="AD184" s="696" t="str">
        <f ca="1">IF(C184&lt;=CRONO.NivelExibicao,MAX($AD$15:OFFSET(AD184,-1,0))+IF($C184&lt;&gt;1,1,MAX(1,COUNTIF(QCI!$A$13:$A$24,OFFSET($E184,-1,0)))),"")</f>
        <v/>
      </c>
      <c r="AE184" s="694" t="str">
        <f t="array" aca="1" ref="AE184" ca="1">IF(AND($C184="S",ORÇAMENTO.CodBarra&lt;&gt;""),IF(ORÇAMENTO.Fonte="",ORÇAMENTO.CodBarra,CONCATENATE(ORÇAMENTO.Fonte," ",ORÇAMENTO.CodBarra)))</f>
        <v>SINAPI 102593</v>
      </c>
      <c r="AF184" s="695">
        <f t="array" aca="1" ref="AF184" ca="1">IF(ISERROR(ORÇAMENTO.BancoRef),"(abra o arquivo 'Referência "&amp;Excel_BuiltIn_Database&amp;".xlsm)",IF(OR($C184&lt;&gt;"S",ORÇAMENTO.CodBarra=""),"(Sem Código)",IF(ISERROR(MATCH($AE184,INDIRECT(ORÇAMENTO.BancoRef),0)),"(Código não identificado nas referências)",MATCH($AE184,INDIRECT(ORÇAMENTO.BancoRef),0))))</f>
        <v>7181</v>
      </c>
      <c r="AG184" s="428">
        <f t="array" aca="1" ref="AG184" ca="1">ROUND(IF(DESONERACAO="sim",REFERENCIA.Desonerado,REFERENCIA.NaoDesonerado),2)</f>
        <v>5.3</v>
      </c>
      <c r="AH184" s="429">
        <f t="shared" ca="1" si="41"/>
        <v>0.2034</v>
      </c>
      <c r="AJ184" s="431"/>
      <c r="AL184" s="439"/>
      <c r="AM184" s="336">
        <f t="shared" ca="1" si="0"/>
        <v>239.6</v>
      </c>
      <c r="AN184" s="469">
        <f t="array" aca="1" ref="AN184" ca="1">ROUND(ORÇAMENTO.CustoUnitario*(1+$AH184),2)</f>
        <v>5.99</v>
      </c>
    </row>
    <row r="185" spans="1:40" s="696" customFormat="1" ht="38.25" x14ac:dyDescent="0.2">
      <c r="A185" s="696" t="str">
        <f t="shared" si="29"/>
        <v>S</v>
      </c>
      <c r="B185" s="696">
        <f t="shared" ca="1" si="30"/>
        <v>2</v>
      </c>
      <c r="C185" s="696" t="str">
        <f t="shared" ca="1" si="31"/>
        <v>S</v>
      </c>
      <c r="D185" s="696">
        <f t="shared" ca="1" si="32"/>
        <v>0</v>
      </c>
      <c r="E185" s="696">
        <f ca="1">IF($C185=1,OFFSET(E185,-1,0)+MAX(1,COUNTIF(QCI!$A$13:$A$24,OFFSET(ORÇAMENTO!E185,-1,0))),OFFSET(E185,-1,0))</f>
        <v>1</v>
      </c>
      <c r="F185" s="696">
        <f t="shared" ca="1" si="33"/>
        <v>29</v>
      </c>
      <c r="G185" s="696">
        <f t="shared" ca="1" si="34"/>
        <v>0</v>
      </c>
      <c r="H185" s="696">
        <f t="shared" ca="1" si="35"/>
        <v>0</v>
      </c>
      <c r="I185" s="696">
        <f t="shared" ca="1" si="36"/>
        <v>4</v>
      </c>
      <c r="J185" s="696">
        <f t="shared" ca="1" si="42"/>
        <v>0</v>
      </c>
      <c r="K185" s="696">
        <f ca="1">IF(OR($C185="S",$C185=0),0,MATCH(OFFSET($D185,0,$C185)+IF($C185&lt;&gt;1,1,COUNTIF(QCI!$A$13:$A$24,ORÇAMENTO!E185)),OFFSET($D185,1,$C185,ROW($C$235)-ROW($C185)),0))</f>
        <v>0</v>
      </c>
      <c r="L185" s="114" t="str">
        <f t="shared" ca="1" si="37"/>
        <v>F</v>
      </c>
      <c r="M185" s="115" t="s">
        <v>705</v>
      </c>
      <c r="N185" s="116" t="str">
        <f t="shared" ca="1" si="38"/>
        <v>Serviço</v>
      </c>
      <c r="O185" s="117" t="str">
        <f t="shared" ca="1" si="39"/>
        <v>1.29.4.</v>
      </c>
      <c r="P185" s="118" t="s">
        <v>750</v>
      </c>
      <c r="Q185" s="119" t="s">
        <v>1164</v>
      </c>
      <c r="R185" s="120" t="str">
        <f t="array" aca="1" ref="R185" ca="1">IF($C185="S",REFERENCIA.Descricao,"(digite a descrição aqui)")</f>
        <v>ADAPTADOR COM FLANGE E ANEL DE VEDAÇÃO, PVC, SOLDÁVEL, DN 25 MM X 3/4", INSTALADO EM RESERVAÇÃO PREDIAL DE ÁGUA - FORNECIMENTO E INSTALAÇÃO. AF_04/2024</v>
      </c>
      <c r="S185" s="121" t="str">
        <f t="array" aca="1" ref="S185" ca="1">REFERENCIA.Unidade</f>
        <v>UN</v>
      </c>
      <c r="T185" s="122">
        <f ca="1">OFFSET(CÁLCULO!H$15,ROW($T185)-ROW(T$15),0)</f>
        <v>20</v>
      </c>
      <c r="U185" s="123">
        <f>20.53*0.94</f>
        <v>19.298200000000001</v>
      </c>
      <c r="V185" s="124" t="s">
        <v>697</v>
      </c>
      <c r="W185" s="122">
        <f t="array" aca="1" ref="W185" ca="1">IF($C185="S",ROUND(IF(TIPOORCAMENTO="Proposto",ORÇAMENTO.CustoUnitario*(1+$AH185),ORÇAMENTO.PrecoUnitarioLicitado),15-13*$AF$10),0)</f>
        <v>23.23</v>
      </c>
      <c r="X185" s="125">
        <f t="array" aca="1" ref="X185" ca="1">IF($C185="S",IF(OR(Import.TipoArredondamento&lt;&gt;"TransfereGOV",ACOMPANHAMENTO="BM"),VTOTAL1,SUM(OFFSET(CÁLCULO!$AI$15,ROW($X185)-ROW($X$15),1):OFFSET(CÁLCULO!$BB$15,ROW($X185)-ROW($X$15),-1))),IF($C185=0,0,ROUND(SomaAgrup,15-13*$AF$11)))</f>
        <v>464.6</v>
      </c>
      <c r="Y185" s="126" t="s">
        <v>751</v>
      </c>
      <c r="Z185" s="696" t="str">
        <f t="shared" ca="1" si="40"/>
        <v>RA</v>
      </c>
      <c r="AA185" s="127">
        <f t="array" aca="1" ref="AA185" ca="1">IF($C185="S",IF($Z185="CP",$X185,IF($Z185="RA",(($X185)*QCI!$AA$3),0)),SomaAgrup)</f>
        <v>0</v>
      </c>
      <c r="AB185" s="128">
        <f t="array" aca="1" ref="AB185" ca="1">IF($C185="S",IF($Z185="OU",ROUND($X185,2),0),SomaAgrup)</f>
        <v>0</v>
      </c>
      <c r="AC185" s="563" t="str">
        <f t="array" aca="1" ref="AC185" ca="1">IF($N185=""," ",
IF(AND($C185&lt;&gt;"S",OR($R185="",$R185="(digite a descrição aqui)")),"DESCRIÇÃO",
IF(AND($C185="S",OR($Q185&lt;&gt;"",$T185&gt;0,$U185&gt;0),$P185=""),"FONTE",
IF(AND($C185="S",$P185&lt;&gt;"",OR($T185&gt;0,$U185&gt;0),$Q185=""),"CÓDIGO",
IF(AND($C185="S",$P185&lt;&gt;"",$Q185&lt;&gt;"",$R185="(Código não identificado nas referências)"),"CÓDIGO N/ID",
IF(AND($C185="S",OR($R185="",$R185="(digite a descrição aqui)"),OR($Q185&lt;&gt;"",$T185&gt;0,$U185&gt;0)),"DESCRIÇÃO",
IF(AND($C185="S",$P185&lt;&gt;"",$Q185&lt;&gt;"",$S185=""),"UNIDADE",
IF(AND($C185="S",$P185&lt;&gt;"",$Q185&lt;&gt;"",$U185=0),"SEM CUSTO",
IF(AND(TIPOORCAMENTO="Licitado",$AL185=0,$AN185&gt;0),"SEM PREÇO",
IF(AND($C185="S",$P185&lt;&gt;"",$Q185&lt;&gt;"",$U185&gt;0,AND($V185&lt;&gt;"BDI 1",$V185&lt;&gt;"BDI 2",$V185&lt;&gt;"BDI 3")),IF(ISNUMBER($V185),"JUSTIFICAR BDI","BDI"),
IF(OR(AND(import.recurso="OGU",TIPOORCAMENTO="Proposto",LEFT($O$8,5)&lt;&gt;"(N/D:",$AG185&lt;&gt;"",ORÇAMENTO.CustoUnitario&gt;$AG185),AND(TIPOORCAMENTO="LICITADO",ORÇAMENTO.PrecoUnitarioLicitado&gt;$AN185)),"ACIMA REF.",
IF(AND($C185="S",$P185&lt;&gt;"",$Q185&lt;&gt;"",$T185=0,$U185&gt;0),"QUANT.",
IF(AND(Import.TipoArredondamento="TransfereGOV",$L185="F",$C185="S",LEN($Q185)&gt;13),"Código &gt;13",
IF(AND(Import.TipoArredondamento="TransfereGOV",$L185="F",$C185&lt;&gt;"S",LEN($R185)&gt;100),"Descrição &gt;100",
IF(AND(Import.TipoArredondamento="TransfereGOV",$L185="F",$C185="S",LEN($R185)&gt;500),"Descrição &gt;500",
IF(AND(Import.TipoArredondamento="TransfereGOV",$L185="F",$C185="S",LEFT(TRIM(UPPER($P185)),6)&lt;&gt;"SINAPI",ISNA(VLOOKUP(TRIM(UPPER($S185)),ListaTgov.Unidades,1,FALSE))),"Unid. Não Disp",
" "))))))))))))))))</f>
        <v xml:space="preserve"> </v>
      </c>
      <c r="AD185" s="696" t="str">
        <f ca="1">IF(C185&lt;=CRONO.NivelExibicao,MAX($AD$15:OFFSET(AD185,-1,0))+IF($C185&lt;&gt;1,1,MAX(1,COUNTIF(QCI!$A$13:$A$24,OFFSET($E185,-1,0)))),"")</f>
        <v/>
      </c>
      <c r="AE185" s="694" t="str">
        <f t="array" aca="1" ref="AE185" ca="1">IF(AND($C185="S",ORÇAMENTO.CodBarra&lt;&gt;""),IF(ORÇAMENTO.Fonte="",ORÇAMENTO.CodBarra,CONCATENATE(ORÇAMENTO.Fonte," ",ORÇAMENTO.CodBarra)))</f>
        <v>SINAPI 94703</v>
      </c>
      <c r="AF185" s="695">
        <f t="array" aca="1" ref="AF185" ca="1">IF(ISERROR(ORÇAMENTO.BancoRef),"(abra o arquivo 'Referência "&amp;Excel_BuiltIn_Database&amp;".xlsm)",IF(OR($C185&lt;&gt;"S",ORÇAMENTO.CodBarra=""),"(Sem Código)",IF(ISERROR(MATCH($AE185,INDIRECT(ORÇAMENTO.BancoRef),0)),"(Código não identificado nas referências)",MATCH($AE185,INDIRECT(ORÇAMENTO.BancoRef),0))))</f>
        <v>10819</v>
      </c>
      <c r="AG185" s="428">
        <f t="array" aca="1" ref="AG185" ca="1">ROUND(IF(DESONERACAO="sim",REFERENCIA.Desonerado,REFERENCIA.NaoDesonerado),2)</f>
        <v>20.53</v>
      </c>
      <c r="AH185" s="429">
        <f t="shared" ca="1" si="41"/>
        <v>0.2034</v>
      </c>
      <c r="AJ185" s="431"/>
      <c r="AL185" s="439"/>
      <c r="AM185" s="336">
        <f t="shared" ca="1" si="0"/>
        <v>464.6</v>
      </c>
      <c r="AN185" s="469">
        <f t="array" aca="1" ref="AN185" ca="1">ROUND(ORÇAMENTO.CustoUnitario*(1+$AH185),2)</f>
        <v>23.23</v>
      </c>
    </row>
    <row r="186" spans="1:40" s="696" customFormat="1" ht="38.25" x14ac:dyDescent="0.2">
      <c r="A186" s="696" t="str">
        <f t="shared" si="29"/>
        <v>S</v>
      </c>
      <c r="B186" s="696">
        <f t="shared" ca="1" si="30"/>
        <v>2</v>
      </c>
      <c r="C186" s="696" t="str">
        <f t="shared" ca="1" si="31"/>
        <v>S</v>
      </c>
      <c r="D186" s="696">
        <f t="shared" ca="1" si="32"/>
        <v>0</v>
      </c>
      <c r="E186" s="696">
        <f ca="1">IF($C186=1,OFFSET(E186,-1,0)+MAX(1,COUNTIF(QCI!$A$13:$A$24,OFFSET(ORÇAMENTO!E186,-1,0))),OFFSET(E186,-1,0))</f>
        <v>1</v>
      </c>
      <c r="F186" s="696">
        <f t="shared" ca="1" si="33"/>
        <v>29</v>
      </c>
      <c r="G186" s="696">
        <f t="shared" ca="1" si="34"/>
        <v>0</v>
      </c>
      <c r="H186" s="696">
        <f t="shared" ca="1" si="35"/>
        <v>0</v>
      </c>
      <c r="I186" s="696">
        <f t="shared" ca="1" si="36"/>
        <v>5</v>
      </c>
      <c r="J186" s="696">
        <f t="shared" ca="1" si="42"/>
        <v>0</v>
      </c>
      <c r="K186" s="696">
        <f ca="1">IF(OR($C186="S",$C186=0),0,MATCH(OFFSET($D186,0,$C186)+IF($C186&lt;&gt;1,1,COUNTIF(QCI!$A$13:$A$24,ORÇAMENTO!E186)),OFFSET($D186,1,$C186,ROW($C$235)-ROW($C186)),0))</f>
        <v>0</v>
      </c>
      <c r="L186" s="114" t="str">
        <f t="shared" ca="1" si="37"/>
        <v>F</v>
      </c>
      <c r="M186" s="115" t="s">
        <v>705</v>
      </c>
      <c r="N186" s="116" t="str">
        <f t="shared" ca="1" si="38"/>
        <v>Serviço</v>
      </c>
      <c r="O186" s="117" t="str">
        <f t="shared" ca="1" si="39"/>
        <v>1.29.5.</v>
      </c>
      <c r="P186" s="118" t="s">
        <v>750</v>
      </c>
      <c r="Q186" s="119" t="s">
        <v>1165</v>
      </c>
      <c r="R186" s="120" t="str">
        <f t="array" aca="1" ref="R186" ca="1">IF($C186="S",REFERENCIA.Descricao,"(digite a descrição aqui)")</f>
        <v>ADAPTADOR COM FLANGE E ANEL DE VEDAÇÃO, PVC, SOLDÁVEL, DN 32 MM X 1", INSTALADO EM RESERVAÇÃO PREDIAL DE ÁGUA - FORNECIMENTO E INSTALAÇÃO. AF_04/2024</v>
      </c>
      <c r="S186" s="121" t="str">
        <f t="array" aca="1" ref="S186" ca="1">REFERENCIA.Unidade</f>
        <v>UN</v>
      </c>
      <c r="T186" s="122">
        <f ca="1">OFFSET(CÁLCULO!H$15,ROW($T186)-ROW(T$15),0)</f>
        <v>40</v>
      </c>
      <c r="U186" s="123">
        <f>27.31*0.94</f>
        <v>25.671399999999998</v>
      </c>
      <c r="V186" s="124" t="s">
        <v>697</v>
      </c>
      <c r="W186" s="122">
        <f t="array" aca="1" ref="W186" ca="1">IF($C186="S",ROUND(IF(TIPOORCAMENTO="Proposto",ORÇAMENTO.CustoUnitario*(1+$AH186),ORÇAMENTO.PrecoUnitarioLicitado),15-13*$AF$10),0)</f>
        <v>30.89</v>
      </c>
      <c r="X186" s="125">
        <f t="array" aca="1" ref="X186" ca="1">IF($C186="S",IF(OR(Import.TipoArredondamento&lt;&gt;"TransfereGOV",ACOMPANHAMENTO="BM"),VTOTAL1,SUM(OFFSET(CÁLCULO!$AI$15,ROW($X186)-ROW($X$15),1):OFFSET(CÁLCULO!$BB$15,ROW($X186)-ROW($X$15),-1))),IF($C186=0,0,ROUND(SomaAgrup,15-13*$AF$11)))</f>
        <v>1235.5999999999999</v>
      </c>
      <c r="Y186" s="126" t="s">
        <v>751</v>
      </c>
      <c r="Z186" s="696" t="str">
        <f t="shared" ca="1" si="40"/>
        <v>RA</v>
      </c>
      <c r="AA186" s="127">
        <f t="array" aca="1" ref="AA186" ca="1">IF($C186="S",IF($Z186="CP",$X186,IF($Z186="RA",(($X186)*QCI!$AA$3),0)),SomaAgrup)</f>
        <v>0</v>
      </c>
      <c r="AB186" s="128">
        <f t="array" aca="1" ref="AB186" ca="1">IF($C186="S",IF($Z186="OU",ROUND($X186,2),0),SomaAgrup)</f>
        <v>0</v>
      </c>
      <c r="AC186" s="563" t="str">
        <f t="array" aca="1" ref="AC186" ca="1">IF($N186=""," ",
IF(AND($C186&lt;&gt;"S",OR($R186="",$R186="(digite a descrição aqui)")),"DESCRIÇÃO",
IF(AND($C186="S",OR($Q186&lt;&gt;"",$T186&gt;0,$U186&gt;0),$P186=""),"FONTE",
IF(AND($C186="S",$P186&lt;&gt;"",OR($T186&gt;0,$U186&gt;0),$Q186=""),"CÓDIGO",
IF(AND($C186="S",$P186&lt;&gt;"",$Q186&lt;&gt;"",$R186="(Código não identificado nas referências)"),"CÓDIGO N/ID",
IF(AND($C186="S",OR($R186="",$R186="(digite a descrição aqui)"),OR($Q186&lt;&gt;"",$T186&gt;0,$U186&gt;0)),"DESCRIÇÃO",
IF(AND($C186="S",$P186&lt;&gt;"",$Q186&lt;&gt;"",$S186=""),"UNIDADE",
IF(AND($C186="S",$P186&lt;&gt;"",$Q186&lt;&gt;"",$U186=0),"SEM CUSTO",
IF(AND(TIPOORCAMENTO="Licitado",$AL186=0,$AN186&gt;0),"SEM PREÇO",
IF(AND($C186="S",$P186&lt;&gt;"",$Q186&lt;&gt;"",$U186&gt;0,AND($V186&lt;&gt;"BDI 1",$V186&lt;&gt;"BDI 2",$V186&lt;&gt;"BDI 3")),IF(ISNUMBER($V186),"JUSTIFICAR BDI","BDI"),
IF(OR(AND(import.recurso="OGU",TIPOORCAMENTO="Proposto",LEFT($O$8,5)&lt;&gt;"(N/D:",$AG186&lt;&gt;"",ORÇAMENTO.CustoUnitario&gt;$AG186),AND(TIPOORCAMENTO="LICITADO",ORÇAMENTO.PrecoUnitarioLicitado&gt;$AN186)),"ACIMA REF.",
IF(AND($C186="S",$P186&lt;&gt;"",$Q186&lt;&gt;"",$T186=0,$U186&gt;0),"QUANT.",
IF(AND(Import.TipoArredondamento="TransfereGOV",$L186="F",$C186="S",LEN($Q186)&gt;13),"Código &gt;13",
IF(AND(Import.TipoArredondamento="TransfereGOV",$L186="F",$C186&lt;&gt;"S",LEN($R186)&gt;100),"Descrição &gt;100",
IF(AND(Import.TipoArredondamento="TransfereGOV",$L186="F",$C186="S",LEN($R186)&gt;500),"Descrição &gt;500",
IF(AND(Import.TipoArredondamento="TransfereGOV",$L186="F",$C186="S",LEFT(TRIM(UPPER($P186)),6)&lt;&gt;"SINAPI",ISNA(VLOOKUP(TRIM(UPPER($S186)),ListaTgov.Unidades,1,FALSE))),"Unid. Não Disp",
" "))))))))))))))))</f>
        <v xml:space="preserve"> </v>
      </c>
      <c r="AD186" s="696" t="str">
        <f ca="1">IF(C186&lt;=CRONO.NivelExibicao,MAX($AD$15:OFFSET(AD186,-1,0))+IF($C186&lt;&gt;1,1,MAX(1,COUNTIF(QCI!$A$13:$A$24,OFFSET($E186,-1,0)))),"")</f>
        <v/>
      </c>
      <c r="AE186" s="694" t="str">
        <f t="array" aca="1" ref="AE186" ca="1">IF(AND($C186="S",ORÇAMENTO.CodBarra&lt;&gt;""),IF(ORÇAMENTO.Fonte="",ORÇAMENTO.CodBarra,CONCATENATE(ORÇAMENTO.Fonte," ",ORÇAMENTO.CodBarra)))</f>
        <v>SINAPI 94704</v>
      </c>
      <c r="AF186" s="695">
        <f t="array" aca="1" ref="AF186" ca="1">IF(ISERROR(ORÇAMENTO.BancoRef),"(abra o arquivo 'Referência "&amp;Excel_BuiltIn_Database&amp;".xlsm)",IF(OR($C186&lt;&gt;"S",ORÇAMENTO.CodBarra=""),"(Sem Código)",IF(ISERROR(MATCH($AE186,INDIRECT(ORÇAMENTO.BancoRef),0)),"(Código não identificado nas referências)",MATCH($AE186,INDIRECT(ORÇAMENTO.BancoRef),0))))</f>
        <v>10820</v>
      </c>
      <c r="AG186" s="428">
        <f t="array" aca="1" ref="AG186" ca="1">ROUND(IF(DESONERACAO="sim",REFERENCIA.Desonerado,REFERENCIA.NaoDesonerado),2)</f>
        <v>27.31</v>
      </c>
      <c r="AH186" s="429">
        <f t="shared" ca="1" si="41"/>
        <v>0.2034</v>
      </c>
      <c r="AJ186" s="431"/>
      <c r="AL186" s="439"/>
      <c r="AM186" s="336">
        <f t="shared" ca="1" si="0"/>
        <v>1235.5999999999999</v>
      </c>
      <c r="AN186" s="469">
        <f t="array" aca="1" ref="AN186" ca="1">ROUND(ORÇAMENTO.CustoUnitario*(1+$AH186),2)</f>
        <v>30.89</v>
      </c>
    </row>
    <row r="187" spans="1:40" s="696" customFormat="1" ht="25.5" x14ac:dyDescent="0.2">
      <c r="A187" s="696" t="str">
        <f t="shared" si="29"/>
        <v>S</v>
      </c>
      <c r="B187" s="696">
        <f t="shared" ca="1" si="30"/>
        <v>2</v>
      </c>
      <c r="C187" s="696" t="str">
        <f t="shared" ca="1" si="31"/>
        <v>S</v>
      </c>
      <c r="D187" s="696">
        <f t="shared" ca="1" si="32"/>
        <v>0</v>
      </c>
      <c r="E187" s="696">
        <f ca="1">IF($C187=1,OFFSET(E187,-1,0)+MAX(1,COUNTIF(QCI!$A$13:$A$24,OFFSET(ORÇAMENTO!E187,-1,0))),OFFSET(E187,-1,0))</f>
        <v>1</v>
      </c>
      <c r="F187" s="696">
        <f t="shared" ca="1" si="33"/>
        <v>29</v>
      </c>
      <c r="G187" s="696">
        <f t="shared" ca="1" si="34"/>
        <v>0</v>
      </c>
      <c r="H187" s="696">
        <f t="shared" ca="1" si="35"/>
        <v>0</v>
      </c>
      <c r="I187" s="696">
        <f t="shared" ca="1" si="36"/>
        <v>6</v>
      </c>
      <c r="J187" s="696">
        <f t="shared" ca="1" si="42"/>
        <v>0</v>
      </c>
      <c r="K187" s="696">
        <f ca="1">IF(OR($C187="S",$C187=0),0,MATCH(OFFSET($D187,0,$C187)+IF($C187&lt;&gt;1,1,COUNTIF(QCI!$A$13:$A$24,ORÇAMENTO!E187)),OFFSET($D187,1,$C187,ROW($C$235)-ROW($C187)),0))</f>
        <v>0</v>
      </c>
      <c r="L187" s="114" t="str">
        <f t="shared" ca="1" si="37"/>
        <v>F</v>
      </c>
      <c r="M187" s="115" t="s">
        <v>705</v>
      </c>
      <c r="N187" s="116" t="str">
        <f t="shared" ca="1" si="38"/>
        <v>Serviço</v>
      </c>
      <c r="O187" s="117" t="str">
        <f t="shared" ca="1" si="39"/>
        <v>1.29.6.</v>
      </c>
      <c r="P187" s="118" t="s">
        <v>750</v>
      </c>
      <c r="Q187" s="119" t="s">
        <v>1166</v>
      </c>
      <c r="R187" s="120" t="str">
        <f t="array" aca="1" ref="R187" ca="1">IF($C187="S",REFERENCIA.Descricao,"(digite a descrição aqui)")</f>
        <v>TORNEIRA DE BOIA PARA CAIXA D'ÁGUA, ROSCÁVEL, 3/4" - FORNECIMENTO E INSTALAÇÃO. AF_08/2021</v>
      </c>
      <c r="S187" s="121" t="str">
        <f t="array" aca="1" ref="S187" ca="1">REFERENCIA.Unidade</f>
        <v>UN</v>
      </c>
      <c r="T187" s="122">
        <f ca="1">OFFSET(CÁLCULO!H$15,ROW($T187)-ROW(T$15),0)</f>
        <v>20</v>
      </c>
      <c r="U187" s="123">
        <f>37.24*0.94</f>
        <v>35.005600000000001</v>
      </c>
      <c r="V187" s="124" t="s">
        <v>697</v>
      </c>
      <c r="W187" s="122">
        <f t="array" aca="1" ref="W187" ca="1">IF($C187="S",ROUND(IF(TIPOORCAMENTO="Proposto",ORÇAMENTO.CustoUnitario*(1+$AH187),ORÇAMENTO.PrecoUnitarioLicitado),15-13*$AF$10),0)</f>
        <v>42.13</v>
      </c>
      <c r="X187" s="125">
        <f t="array" aca="1" ref="X187" ca="1">IF($C187="S",IF(OR(Import.TipoArredondamento&lt;&gt;"TransfereGOV",ACOMPANHAMENTO="BM"),VTOTAL1,SUM(OFFSET(CÁLCULO!$AI$15,ROW($X187)-ROW($X$15),1):OFFSET(CÁLCULO!$BB$15,ROW($X187)-ROW($X$15),-1))),IF($C187=0,0,ROUND(SomaAgrup,15-13*$AF$11)))</f>
        <v>842.6</v>
      </c>
      <c r="Y187" s="126" t="s">
        <v>751</v>
      </c>
      <c r="Z187" s="696" t="str">
        <f t="shared" ca="1" si="40"/>
        <v>RA</v>
      </c>
      <c r="AA187" s="127">
        <f t="array" aca="1" ref="AA187" ca="1">IF($C187="S",IF($Z187="CP",$X187,IF($Z187="RA",(($X187)*QCI!$AA$3),0)),SomaAgrup)</f>
        <v>0</v>
      </c>
      <c r="AB187" s="128">
        <f t="array" aca="1" ref="AB187" ca="1">IF($C187="S",IF($Z187="OU",ROUND($X187,2),0),SomaAgrup)</f>
        <v>0</v>
      </c>
      <c r="AC187" s="563" t="str">
        <f t="array" aca="1" ref="AC187" ca="1">IF($N187=""," ",
IF(AND($C187&lt;&gt;"S",OR($R187="",$R187="(digite a descrição aqui)")),"DESCRIÇÃO",
IF(AND($C187="S",OR($Q187&lt;&gt;"",$T187&gt;0,$U187&gt;0),$P187=""),"FONTE",
IF(AND($C187="S",$P187&lt;&gt;"",OR($T187&gt;0,$U187&gt;0),$Q187=""),"CÓDIGO",
IF(AND($C187="S",$P187&lt;&gt;"",$Q187&lt;&gt;"",$R187="(Código não identificado nas referências)"),"CÓDIGO N/ID",
IF(AND($C187="S",OR($R187="",$R187="(digite a descrição aqui)"),OR($Q187&lt;&gt;"",$T187&gt;0,$U187&gt;0)),"DESCRIÇÃO",
IF(AND($C187="S",$P187&lt;&gt;"",$Q187&lt;&gt;"",$S187=""),"UNIDADE",
IF(AND($C187="S",$P187&lt;&gt;"",$Q187&lt;&gt;"",$U187=0),"SEM CUSTO",
IF(AND(TIPOORCAMENTO="Licitado",$AL187=0,$AN187&gt;0),"SEM PREÇO",
IF(AND($C187="S",$P187&lt;&gt;"",$Q187&lt;&gt;"",$U187&gt;0,AND($V187&lt;&gt;"BDI 1",$V187&lt;&gt;"BDI 2",$V187&lt;&gt;"BDI 3")),IF(ISNUMBER($V187),"JUSTIFICAR BDI","BDI"),
IF(OR(AND(import.recurso="OGU",TIPOORCAMENTO="Proposto",LEFT($O$8,5)&lt;&gt;"(N/D:",$AG187&lt;&gt;"",ORÇAMENTO.CustoUnitario&gt;$AG187),AND(TIPOORCAMENTO="LICITADO",ORÇAMENTO.PrecoUnitarioLicitado&gt;$AN187)),"ACIMA REF.",
IF(AND($C187="S",$P187&lt;&gt;"",$Q187&lt;&gt;"",$T187=0,$U187&gt;0),"QUANT.",
IF(AND(Import.TipoArredondamento="TransfereGOV",$L187="F",$C187="S",LEN($Q187)&gt;13),"Código &gt;13",
IF(AND(Import.TipoArredondamento="TransfereGOV",$L187="F",$C187&lt;&gt;"S",LEN($R187)&gt;100),"Descrição &gt;100",
IF(AND(Import.TipoArredondamento="TransfereGOV",$L187="F",$C187="S",LEN($R187)&gt;500),"Descrição &gt;500",
IF(AND(Import.TipoArredondamento="TransfereGOV",$L187="F",$C187="S",LEFT(TRIM(UPPER($P187)),6)&lt;&gt;"SINAPI",ISNA(VLOOKUP(TRIM(UPPER($S187)),ListaTgov.Unidades,1,FALSE))),"Unid. Não Disp",
" "))))))))))))))))</f>
        <v xml:space="preserve"> </v>
      </c>
      <c r="AD187" s="696" t="str">
        <f ca="1">IF(C187&lt;=CRONO.NivelExibicao,MAX($AD$15:OFFSET(AD187,-1,0))+IF($C187&lt;&gt;1,1,MAX(1,COUNTIF(QCI!$A$13:$A$24,OFFSET($E187,-1,0)))),"")</f>
        <v/>
      </c>
      <c r="AE187" s="694" t="str">
        <f t="array" aca="1" ref="AE187" ca="1">IF(AND($C187="S",ORÇAMENTO.CodBarra&lt;&gt;""),IF(ORÇAMENTO.Fonte="",ORÇAMENTO.CodBarra,CONCATENATE(ORÇAMENTO.Fonte," ",ORÇAMENTO.CodBarra)))</f>
        <v>SINAPI 94796</v>
      </c>
      <c r="AF187" s="695">
        <f t="array" aca="1" ref="AF187" ca="1">IF(ISERROR(ORÇAMENTO.BancoRef),"(abra o arquivo 'Referência "&amp;Excel_BuiltIn_Database&amp;".xlsm)",IF(OR($C187&lt;&gt;"S",ORÇAMENTO.CodBarra=""),"(Sem Código)",IF(ISERROR(MATCH($AE187,INDIRECT(ORÇAMENTO.BancoRef),0)),"(Código não identificado nas referências)",MATCH($AE187,INDIRECT(ORÇAMENTO.BancoRef),0))))</f>
        <v>15673</v>
      </c>
      <c r="AG187" s="428">
        <f t="array" aca="1" ref="AG187" ca="1">ROUND(IF(DESONERACAO="sim",REFERENCIA.Desonerado,REFERENCIA.NaoDesonerado),2)</f>
        <v>37.24</v>
      </c>
      <c r="AH187" s="429">
        <f t="shared" ca="1" si="41"/>
        <v>0.2034</v>
      </c>
      <c r="AJ187" s="431"/>
      <c r="AL187" s="439"/>
      <c r="AM187" s="336">
        <f t="shared" ca="1" si="0"/>
        <v>842.6</v>
      </c>
      <c r="AN187" s="469">
        <f t="array" aca="1" ref="AN187" ca="1">ROUND(ORÇAMENTO.CustoUnitario*(1+$AH187),2)</f>
        <v>42.13</v>
      </c>
    </row>
    <row r="188" spans="1:40" s="696" customFormat="1" ht="38.25" x14ac:dyDescent="0.2">
      <c r="A188" s="696" t="str">
        <f t="shared" si="29"/>
        <v>S</v>
      </c>
      <c r="B188" s="696">
        <f t="shared" ca="1" si="30"/>
        <v>2</v>
      </c>
      <c r="C188" s="696" t="str">
        <f t="shared" ca="1" si="31"/>
        <v>S</v>
      </c>
      <c r="D188" s="696">
        <f t="shared" ca="1" si="32"/>
        <v>0</v>
      </c>
      <c r="E188" s="696">
        <f ca="1">IF($C188=1,OFFSET(E188,-1,0)+MAX(1,COUNTIF(QCI!$A$13:$A$24,OFFSET(ORÇAMENTO!E188,-1,0))),OFFSET(E188,-1,0))</f>
        <v>1</v>
      </c>
      <c r="F188" s="696">
        <f t="shared" ca="1" si="33"/>
        <v>29</v>
      </c>
      <c r="G188" s="696">
        <f t="shared" ca="1" si="34"/>
        <v>0</v>
      </c>
      <c r="H188" s="696">
        <f t="shared" ca="1" si="35"/>
        <v>0</v>
      </c>
      <c r="I188" s="696">
        <f t="shared" ca="1" si="36"/>
        <v>7</v>
      </c>
      <c r="J188" s="696">
        <f t="shared" ca="1" si="42"/>
        <v>0</v>
      </c>
      <c r="K188" s="696">
        <f ca="1">IF(OR($C188="S",$C188=0),0,MATCH(OFFSET($D188,0,$C188)+IF($C188&lt;&gt;1,1,COUNTIF(QCI!$A$13:$A$24,ORÇAMENTO!E188)),OFFSET($D188,1,$C188,ROW($C$235)-ROW($C188)),0))</f>
        <v>0</v>
      </c>
      <c r="L188" s="114" t="str">
        <f t="shared" ca="1" si="37"/>
        <v>F</v>
      </c>
      <c r="M188" s="115" t="s">
        <v>705</v>
      </c>
      <c r="N188" s="116" t="str">
        <f t="shared" ca="1" si="38"/>
        <v>Serviço</v>
      </c>
      <c r="O188" s="117" t="str">
        <f t="shared" ca="1" si="39"/>
        <v>1.29.7.</v>
      </c>
      <c r="P188" s="118" t="s">
        <v>750</v>
      </c>
      <c r="Q188" s="119" t="s">
        <v>1145</v>
      </c>
      <c r="R188" s="120" t="str">
        <f t="array" aca="1" ref="R188" ca="1">IF($C188="S",REFERENCIA.Descricao,"(digite a descrição aqui)")</f>
        <v>JOELHO 90 GRAUS, PVC, SOLDÁVEL, DN 25MM, INSTALADO EM RAMAL DE DISTRIBUIÇÃO DE ÁGUA - FORNECIMENTO E INSTALAÇÃO. AF_06/2022</v>
      </c>
      <c r="S188" s="121" t="str">
        <f t="array" aca="1" ref="S188" ca="1">REFERENCIA.Unidade</f>
        <v>UN</v>
      </c>
      <c r="T188" s="122">
        <f ca="1">OFFSET(CÁLCULO!H$15,ROW($T188)-ROW(T$15),0)</f>
        <v>160</v>
      </c>
      <c r="U188" s="123">
        <f>9.45*0.94</f>
        <v>8.8829999999999991</v>
      </c>
      <c r="V188" s="124" t="s">
        <v>697</v>
      </c>
      <c r="W188" s="122">
        <f t="array" aca="1" ref="W188" ca="1">IF($C188="S",ROUND(IF(TIPOORCAMENTO="Proposto",ORÇAMENTO.CustoUnitario*(1+$AH188),ORÇAMENTO.PrecoUnitarioLicitado),15-13*$AF$10),0)</f>
        <v>10.69</v>
      </c>
      <c r="X188" s="125">
        <f t="array" aca="1" ref="X188" ca="1">IF($C188="S",IF(OR(Import.TipoArredondamento&lt;&gt;"TransfereGOV",ACOMPANHAMENTO="BM"),VTOTAL1,SUM(OFFSET(CÁLCULO!$AI$15,ROW($X188)-ROW($X$15),1):OFFSET(CÁLCULO!$BB$15,ROW($X188)-ROW($X$15),-1))),IF($C188=0,0,ROUND(SomaAgrup,15-13*$AF$11)))</f>
        <v>1710.4</v>
      </c>
      <c r="Y188" s="126" t="s">
        <v>751</v>
      </c>
      <c r="Z188" s="696" t="str">
        <f t="shared" ca="1" si="40"/>
        <v>RA</v>
      </c>
      <c r="AA188" s="127">
        <f t="array" aca="1" ref="AA188" ca="1">IF($C188="S",IF($Z188="CP",$X188,IF($Z188="RA",(($X188)*QCI!$AA$3),0)),SomaAgrup)</f>
        <v>0</v>
      </c>
      <c r="AB188" s="128">
        <f t="array" aca="1" ref="AB188" ca="1">IF($C188="S",IF($Z188="OU",ROUND($X188,2),0),SomaAgrup)</f>
        <v>0</v>
      </c>
      <c r="AC188" s="563" t="str">
        <f t="array" aca="1" ref="AC188" ca="1">IF($N188=""," ",
IF(AND($C188&lt;&gt;"S",OR($R188="",$R188="(digite a descrição aqui)")),"DESCRIÇÃO",
IF(AND($C188="S",OR($Q188&lt;&gt;"",$T188&gt;0,$U188&gt;0),$P188=""),"FONTE",
IF(AND($C188="S",$P188&lt;&gt;"",OR($T188&gt;0,$U188&gt;0),$Q188=""),"CÓDIGO",
IF(AND($C188="S",$P188&lt;&gt;"",$Q188&lt;&gt;"",$R188="(Código não identificado nas referências)"),"CÓDIGO N/ID",
IF(AND($C188="S",OR($R188="",$R188="(digite a descrição aqui)"),OR($Q188&lt;&gt;"",$T188&gt;0,$U188&gt;0)),"DESCRIÇÃO",
IF(AND($C188="S",$P188&lt;&gt;"",$Q188&lt;&gt;"",$S188=""),"UNIDADE",
IF(AND($C188="S",$P188&lt;&gt;"",$Q188&lt;&gt;"",$U188=0),"SEM CUSTO",
IF(AND(TIPOORCAMENTO="Licitado",$AL188=0,$AN188&gt;0),"SEM PREÇO",
IF(AND($C188="S",$P188&lt;&gt;"",$Q188&lt;&gt;"",$U188&gt;0,AND($V188&lt;&gt;"BDI 1",$V188&lt;&gt;"BDI 2",$V188&lt;&gt;"BDI 3")),IF(ISNUMBER($V188),"JUSTIFICAR BDI","BDI"),
IF(OR(AND(import.recurso="OGU",TIPOORCAMENTO="Proposto",LEFT($O$8,5)&lt;&gt;"(N/D:",$AG188&lt;&gt;"",ORÇAMENTO.CustoUnitario&gt;$AG188),AND(TIPOORCAMENTO="LICITADO",ORÇAMENTO.PrecoUnitarioLicitado&gt;$AN188)),"ACIMA REF.",
IF(AND($C188="S",$P188&lt;&gt;"",$Q188&lt;&gt;"",$T188=0,$U188&gt;0),"QUANT.",
IF(AND(Import.TipoArredondamento="TransfereGOV",$L188="F",$C188="S",LEN($Q188)&gt;13),"Código &gt;13",
IF(AND(Import.TipoArredondamento="TransfereGOV",$L188="F",$C188&lt;&gt;"S",LEN($R188)&gt;100),"Descrição &gt;100",
IF(AND(Import.TipoArredondamento="TransfereGOV",$L188="F",$C188="S",LEN($R188)&gt;500),"Descrição &gt;500",
IF(AND(Import.TipoArredondamento="TransfereGOV",$L188="F",$C188="S",LEFT(TRIM(UPPER($P188)),6)&lt;&gt;"SINAPI",ISNA(VLOOKUP(TRIM(UPPER($S188)),ListaTgov.Unidades,1,FALSE))),"Unid. Não Disp",
" "))))))))))))))))</f>
        <v xml:space="preserve"> </v>
      </c>
      <c r="AD188" s="696" t="str">
        <f ca="1">IF(C188&lt;=CRONO.NivelExibicao,MAX($AD$15:OFFSET(AD188,-1,0))+IF($C188&lt;&gt;1,1,MAX(1,COUNTIF(QCI!$A$13:$A$24,OFFSET($E188,-1,0)))),"")</f>
        <v/>
      </c>
      <c r="AE188" s="694" t="str">
        <f t="array" aca="1" ref="AE188" ca="1">IF(AND($C188="S",ORÇAMENTO.CodBarra&lt;&gt;""),IF(ORÇAMENTO.Fonte="",ORÇAMENTO.CodBarra,CONCATENATE(ORÇAMENTO.Fonte," ",ORÇAMENTO.CodBarra)))</f>
        <v>SINAPI 89408</v>
      </c>
      <c r="AF188" s="695">
        <f t="array" aca="1" ref="AF188" ca="1">IF(ISERROR(ORÇAMENTO.BancoRef),"(abra o arquivo 'Referência "&amp;Excel_BuiltIn_Database&amp;".xlsm)",IF(OR($C188&lt;&gt;"S",ORÇAMENTO.CodBarra=""),"(Sem Código)",IF(ISERROR(MATCH($AE188,INDIRECT(ORÇAMENTO.BancoRef),0)),"(Código não identificado nas referências)",MATCH($AE188,INDIRECT(ORÇAMENTO.BancoRef),0))))</f>
        <v>11547</v>
      </c>
      <c r="AG188" s="428">
        <f t="array" aca="1" ref="AG188" ca="1">ROUND(IF(DESONERACAO="sim",REFERENCIA.Desonerado,REFERENCIA.NaoDesonerado),2)</f>
        <v>9.4499999999999993</v>
      </c>
      <c r="AH188" s="429">
        <f t="shared" ca="1" si="41"/>
        <v>0.2034</v>
      </c>
      <c r="AJ188" s="431"/>
      <c r="AL188" s="439"/>
      <c r="AM188" s="336">
        <f t="shared" ca="1" si="0"/>
        <v>1710.4</v>
      </c>
      <c r="AN188" s="469">
        <f t="array" aca="1" ref="AN188" ca="1">ROUND(ORÇAMENTO.CustoUnitario*(1+$AH188),2)</f>
        <v>10.69</v>
      </c>
    </row>
    <row r="189" spans="1:40" s="696" customFormat="1" ht="38.25" x14ac:dyDescent="0.2">
      <c r="A189" s="696" t="str">
        <f t="shared" si="29"/>
        <v>S</v>
      </c>
      <c r="B189" s="696">
        <f t="shared" ca="1" si="30"/>
        <v>2</v>
      </c>
      <c r="C189" s="696" t="str">
        <f t="shared" ca="1" si="31"/>
        <v>S</v>
      </c>
      <c r="D189" s="696">
        <f t="shared" ca="1" si="32"/>
        <v>0</v>
      </c>
      <c r="E189" s="696">
        <f ca="1">IF($C189=1,OFFSET(E189,-1,0)+MAX(1,COUNTIF(QCI!$A$13:$A$24,OFFSET(ORÇAMENTO!E189,-1,0))),OFFSET(E189,-1,0))</f>
        <v>1</v>
      </c>
      <c r="F189" s="696">
        <f t="shared" ca="1" si="33"/>
        <v>29</v>
      </c>
      <c r="G189" s="696">
        <f t="shared" ca="1" si="34"/>
        <v>0</v>
      </c>
      <c r="H189" s="696">
        <f t="shared" ca="1" si="35"/>
        <v>0</v>
      </c>
      <c r="I189" s="696">
        <f t="shared" ca="1" si="36"/>
        <v>8</v>
      </c>
      <c r="J189" s="696">
        <f t="shared" ca="1" si="42"/>
        <v>0</v>
      </c>
      <c r="K189" s="696">
        <f ca="1">IF(OR($C189="S",$C189=0),0,MATCH(OFFSET($D189,0,$C189)+IF($C189&lt;&gt;1,1,COUNTIF(QCI!$A$13:$A$24,ORÇAMENTO!E189)),OFFSET($D189,1,$C189,ROW($C$235)-ROW($C189)),0))</f>
        <v>0</v>
      </c>
      <c r="L189" s="114" t="str">
        <f t="shared" ca="1" si="37"/>
        <v>F</v>
      </c>
      <c r="M189" s="115" t="s">
        <v>705</v>
      </c>
      <c r="N189" s="116" t="str">
        <f t="shared" ca="1" si="38"/>
        <v>Serviço</v>
      </c>
      <c r="O189" s="117" t="str">
        <f t="shared" ca="1" si="39"/>
        <v>1.29.8.</v>
      </c>
      <c r="P189" s="118" t="s">
        <v>750</v>
      </c>
      <c r="Q189" s="119" t="s">
        <v>1167</v>
      </c>
      <c r="R189" s="120" t="str">
        <f t="array" aca="1" ref="R189" ca="1">IF($C189="S",REFERENCIA.Descricao,"(digite a descrição aqui)")</f>
        <v>JOELHO 90 GRAUS, PVC, SOLDÁVEL, DN 32MM, INSTALADO EM RAMAL DE DISTRIBUIÇÃO DE ÁGUA - FORNECIMENTO E INSTALAÇÃO. AF_06/2022</v>
      </c>
      <c r="S189" s="121" t="str">
        <f t="array" aca="1" ref="S189" ca="1">REFERENCIA.Unidade</f>
        <v>UN</v>
      </c>
      <c r="T189" s="122">
        <f ca="1">OFFSET(CÁLCULO!H$15,ROW($T189)-ROW(T$15),0)</f>
        <v>80</v>
      </c>
      <c r="U189" s="123">
        <f>13.07*0.94</f>
        <v>12.2858</v>
      </c>
      <c r="V189" s="124" t="s">
        <v>697</v>
      </c>
      <c r="W189" s="122">
        <f t="array" aca="1" ref="W189" ca="1">IF($C189="S",ROUND(IF(TIPOORCAMENTO="Proposto",ORÇAMENTO.CustoUnitario*(1+$AH189),ORÇAMENTO.PrecoUnitarioLicitado),15-13*$AF$10),0)</f>
        <v>14.79</v>
      </c>
      <c r="X189" s="125">
        <f t="array" aca="1" ref="X189" ca="1">IF($C189="S",IF(OR(Import.TipoArredondamento&lt;&gt;"TransfereGOV",ACOMPANHAMENTO="BM"),VTOTAL1,SUM(OFFSET(CÁLCULO!$AI$15,ROW($X189)-ROW($X$15),1):OFFSET(CÁLCULO!$BB$15,ROW($X189)-ROW($X$15),-1))),IF($C189=0,0,ROUND(SomaAgrup,15-13*$AF$11)))</f>
        <v>1183.2</v>
      </c>
      <c r="Y189" s="126" t="s">
        <v>751</v>
      </c>
      <c r="Z189" s="696" t="str">
        <f t="shared" ca="1" si="40"/>
        <v>RA</v>
      </c>
      <c r="AA189" s="127">
        <f t="array" aca="1" ref="AA189" ca="1">IF($C189="S",IF($Z189="CP",$X189,IF($Z189="RA",(($X189)*QCI!$AA$3),0)),SomaAgrup)</f>
        <v>0</v>
      </c>
      <c r="AB189" s="128">
        <f t="array" aca="1" ref="AB189" ca="1">IF($C189="S",IF($Z189="OU",ROUND($X189,2),0),SomaAgrup)</f>
        <v>0</v>
      </c>
      <c r="AC189" s="563" t="str">
        <f t="array" aca="1" ref="AC189" ca="1">IF($N189=""," ",
IF(AND($C189&lt;&gt;"S",OR($R189="",$R189="(digite a descrição aqui)")),"DESCRIÇÃO",
IF(AND($C189="S",OR($Q189&lt;&gt;"",$T189&gt;0,$U189&gt;0),$P189=""),"FONTE",
IF(AND($C189="S",$P189&lt;&gt;"",OR($T189&gt;0,$U189&gt;0),$Q189=""),"CÓDIGO",
IF(AND($C189="S",$P189&lt;&gt;"",$Q189&lt;&gt;"",$R189="(Código não identificado nas referências)"),"CÓDIGO N/ID",
IF(AND($C189="S",OR($R189="",$R189="(digite a descrição aqui)"),OR($Q189&lt;&gt;"",$T189&gt;0,$U189&gt;0)),"DESCRIÇÃO",
IF(AND($C189="S",$P189&lt;&gt;"",$Q189&lt;&gt;"",$S189=""),"UNIDADE",
IF(AND($C189="S",$P189&lt;&gt;"",$Q189&lt;&gt;"",$U189=0),"SEM CUSTO",
IF(AND(TIPOORCAMENTO="Licitado",$AL189=0,$AN189&gt;0),"SEM PREÇO",
IF(AND($C189="S",$P189&lt;&gt;"",$Q189&lt;&gt;"",$U189&gt;0,AND($V189&lt;&gt;"BDI 1",$V189&lt;&gt;"BDI 2",$V189&lt;&gt;"BDI 3")),IF(ISNUMBER($V189),"JUSTIFICAR BDI","BDI"),
IF(OR(AND(import.recurso="OGU",TIPOORCAMENTO="Proposto",LEFT($O$8,5)&lt;&gt;"(N/D:",$AG189&lt;&gt;"",ORÇAMENTO.CustoUnitario&gt;$AG189),AND(TIPOORCAMENTO="LICITADO",ORÇAMENTO.PrecoUnitarioLicitado&gt;$AN189)),"ACIMA REF.",
IF(AND($C189="S",$P189&lt;&gt;"",$Q189&lt;&gt;"",$T189=0,$U189&gt;0),"QUANT.",
IF(AND(Import.TipoArredondamento="TransfereGOV",$L189="F",$C189="S",LEN($Q189)&gt;13),"Código &gt;13",
IF(AND(Import.TipoArredondamento="TransfereGOV",$L189="F",$C189&lt;&gt;"S",LEN($R189)&gt;100),"Descrição &gt;100",
IF(AND(Import.TipoArredondamento="TransfereGOV",$L189="F",$C189="S",LEN($R189)&gt;500),"Descrição &gt;500",
IF(AND(Import.TipoArredondamento="TransfereGOV",$L189="F",$C189="S",LEFT(TRIM(UPPER($P189)),6)&lt;&gt;"SINAPI",ISNA(VLOOKUP(TRIM(UPPER($S189)),ListaTgov.Unidades,1,FALSE))),"Unid. Não Disp",
" "))))))))))))))))</f>
        <v xml:space="preserve"> </v>
      </c>
      <c r="AD189" s="696" t="str">
        <f ca="1">IF(C189&lt;=CRONO.NivelExibicao,MAX($AD$15:OFFSET(AD189,-1,0))+IF($C189&lt;&gt;1,1,MAX(1,COUNTIF(QCI!$A$13:$A$24,OFFSET($E189,-1,0)))),"")</f>
        <v/>
      </c>
      <c r="AE189" s="694" t="str">
        <f t="array" aca="1" ref="AE189" ca="1">IF(AND($C189="S",ORÇAMENTO.CodBarra&lt;&gt;""),IF(ORÇAMENTO.Fonte="",ORÇAMENTO.CodBarra,CONCATENATE(ORÇAMENTO.Fonte," ",ORÇAMENTO.CodBarra)))</f>
        <v>SINAPI 89413</v>
      </c>
      <c r="AF189" s="695">
        <f t="array" aca="1" ref="AF189" ca="1">IF(ISERROR(ORÇAMENTO.BancoRef),"(abra o arquivo 'Referência "&amp;Excel_BuiltIn_Database&amp;".xlsm)",IF(OR($C189&lt;&gt;"S",ORÇAMENTO.CodBarra=""),"(Sem Código)",IF(ISERROR(MATCH($AE189,INDIRECT(ORÇAMENTO.BancoRef),0)),"(Código não identificado nas referências)",MATCH($AE189,INDIRECT(ORÇAMENTO.BancoRef),0))))</f>
        <v>11551</v>
      </c>
      <c r="AG189" s="428">
        <f t="array" aca="1" ref="AG189" ca="1">ROUND(IF(DESONERACAO="sim",REFERENCIA.Desonerado,REFERENCIA.NaoDesonerado),2)</f>
        <v>13.07</v>
      </c>
      <c r="AH189" s="429">
        <f t="shared" ca="1" si="41"/>
        <v>0.2034</v>
      </c>
      <c r="AJ189" s="431"/>
      <c r="AL189" s="439"/>
      <c r="AM189" s="336">
        <f t="shared" ca="1" si="0"/>
        <v>1183.2</v>
      </c>
      <c r="AN189" s="469">
        <f t="array" aca="1" ref="AN189" ca="1">ROUND(ORÇAMENTO.CustoUnitario*(1+$AH189),2)</f>
        <v>14.79</v>
      </c>
    </row>
    <row r="190" spans="1:40" s="696" customFormat="1" ht="38.25" x14ac:dyDescent="0.2">
      <c r="A190" s="696" t="str">
        <f t="shared" si="29"/>
        <v>S</v>
      </c>
      <c r="B190" s="696">
        <f t="shared" ca="1" si="30"/>
        <v>2</v>
      </c>
      <c r="C190" s="696" t="str">
        <f t="shared" ca="1" si="31"/>
        <v>S</v>
      </c>
      <c r="D190" s="696">
        <f t="shared" ca="1" si="32"/>
        <v>0</v>
      </c>
      <c r="E190" s="696">
        <f ca="1">IF($C190=1,OFFSET(E190,-1,0)+MAX(1,COUNTIF(QCI!$A$13:$A$24,OFFSET(ORÇAMENTO!E190,-1,0))),OFFSET(E190,-1,0))</f>
        <v>1</v>
      </c>
      <c r="F190" s="696">
        <f t="shared" ca="1" si="33"/>
        <v>29</v>
      </c>
      <c r="G190" s="696">
        <f t="shared" ca="1" si="34"/>
        <v>0</v>
      </c>
      <c r="H190" s="696">
        <f t="shared" ca="1" si="35"/>
        <v>0</v>
      </c>
      <c r="I190" s="696">
        <f t="shared" ca="1" si="36"/>
        <v>9</v>
      </c>
      <c r="J190" s="696">
        <f t="shared" ca="1" si="42"/>
        <v>0</v>
      </c>
      <c r="K190" s="696">
        <f ca="1">IF(OR($C190="S",$C190=0),0,MATCH(OFFSET($D190,0,$C190)+IF($C190&lt;&gt;1,1,COUNTIF(QCI!$A$13:$A$24,ORÇAMENTO!E190)),OFFSET($D190,1,$C190,ROW($C$235)-ROW($C190)),0))</f>
        <v>0</v>
      </c>
      <c r="L190" s="114" t="str">
        <f t="shared" ca="1" si="37"/>
        <v>F</v>
      </c>
      <c r="M190" s="115" t="s">
        <v>705</v>
      </c>
      <c r="N190" s="116" t="str">
        <f t="shared" ca="1" si="38"/>
        <v>Serviço</v>
      </c>
      <c r="O190" s="117" t="str">
        <f t="shared" ca="1" si="39"/>
        <v>1.29.9.</v>
      </c>
      <c r="P190" s="118" t="s">
        <v>750</v>
      </c>
      <c r="Q190" s="119" t="s">
        <v>1168</v>
      </c>
      <c r="R190" s="120" t="str">
        <f t="array" aca="1" ref="R190" ca="1">IF($C190="S",REFERENCIA.Descricao,"(digite a descrição aqui)")</f>
        <v>JOELHO 45 GRAUS, PVC, SOLDÁVEL, DN 32MM, INSTALADO EM RAMAL DE DISTRIBUIÇÃO DE ÁGUA - FORNECIMENTO E INSTALAÇÃO. AF_06/2022</v>
      </c>
      <c r="S190" s="121" t="str">
        <f t="array" aca="1" ref="S190" ca="1">REFERENCIA.Unidade</f>
        <v>UN</v>
      </c>
      <c r="T190" s="122">
        <f ca="1">OFFSET(CÁLCULO!H$15,ROW($T190)-ROW(T$15),0)</f>
        <v>20</v>
      </c>
      <c r="U190" s="123">
        <f>6*0.94</f>
        <v>5.64</v>
      </c>
      <c r="V190" s="124" t="s">
        <v>697</v>
      </c>
      <c r="W190" s="122">
        <f t="array" aca="1" ref="W190" ca="1">IF($C190="S",ROUND(IF(TIPOORCAMENTO="Proposto",ORÇAMENTO.CustoUnitario*(1+$AH190),ORÇAMENTO.PrecoUnitarioLicitado),15-13*$AF$10),0)</f>
        <v>6.79</v>
      </c>
      <c r="X190" s="125">
        <f t="array" aca="1" ref="X190" ca="1">IF($C190="S",IF(OR(Import.TipoArredondamento&lt;&gt;"TransfereGOV",ACOMPANHAMENTO="BM"),VTOTAL1,SUM(OFFSET(CÁLCULO!$AI$15,ROW($X190)-ROW($X$15),1):OFFSET(CÁLCULO!$BB$15,ROW($X190)-ROW($X$15),-1))),IF($C190=0,0,ROUND(SomaAgrup,15-13*$AF$11)))</f>
        <v>135.80000000000001</v>
      </c>
      <c r="Y190" s="126" t="s">
        <v>751</v>
      </c>
      <c r="Z190" s="696" t="str">
        <f t="shared" ca="1" si="40"/>
        <v>RA</v>
      </c>
      <c r="AA190" s="127">
        <f t="array" aca="1" ref="AA190" ca="1">IF($C190="S",IF($Z190="CP",$X190,IF($Z190="RA",(($X190)*QCI!$AA$3),0)),SomaAgrup)</f>
        <v>0</v>
      </c>
      <c r="AB190" s="128">
        <f t="array" aca="1" ref="AB190" ca="1">IF($C190="S",IF($Z190="OU",ROUND($X190,2),0),SomaAgrup)</f>
        <v>0</v>
      </c>
      <c r="AC190" s="563" t="str">
        <f t="array" aca="1" ref="AC190" ca="1">IF($N190=""," ",
IF(AND($C190&lt;&gt;"S",OR($R190="",$R190="(digite a descrição aqui)")),"DESCRIÇÃO",
IF(AND($C190="S",OR($Q190&lt;&gt;"",$T190&gt;0,$U190&gt;0),$P190=""),"FONTE",
IF(AND($C190="S",$P190&lt;&gt;"",OR($T190&gt;0,$U190&gt;0),$Q190=""),"CÓDIGO",
IF(AND($C190="S",$P190&lt;&gt;"",$Q190&lt;&gt;"",$R190="(Código não identificado nas referências)"),"CÓDIGO N/ID",
IF(AND($C190="S",OR($R190="",$R190="(digite a descrição aqui)"),OR($Q190&lt;&gt;"",$T190&gt;0,$U190&gt;0)),"DESCRIÇÃO",
IF(AND($C190="S",$P190&lt;&gt;"",$Q190&lt;&gt;"",$S190=""),"UNIDADE",
IF(AND($C190="S",$P190&lt;&gt;"",$Q190&lt;&gt;"",$U190=0),"SEM CUSTO",
IF(AND(TIPOORCAMENTO="Licitado",$AL190=0,$AN190&gt;0),"SEM PREÇO",
IF(AND($C190="S",$P190&lt;&gt;"",$Q190&lt;&gt;"",$U190&gt;0,AND($V190&lt;&gt;"BDI 1",$V190&lt;&gt;"BDI 2",$V190&lt;&gt;"BDI 3")),IF(ISNUMBER($V190),"JUSTIFICAR BDI","BDI"),
IF(OR(AND(import.recurso="OGU",TIPOORCAMENTO="Proposto",LEFT($O$8,5)&lt;&gt;"(N/D:",$AG190&lt;&gt;"",ORÇAMENTO.CustoUnitario&gt;$AG190),AND(TIPOORCAMENTO="LICITADO",ORÇAMENTO.PrecoUnitarioLicitado&gt;$AN190)),"ACIMA REF.",
IF(AND($C190="S",$P190&lt;&gt;"",$Q190&lt;&gt;"",$T190=0,$U190&gt;0),"QUANT.",
IF(AND(Import.TipoArredondamento="TransfereGOV",$L190="F",$C190="S",LEN($Q190)&gt;13),"Código &gt;13",
IF(AND(Import.TipoArredondamento="TransfereGOV",$L190="F",$C190&lt;&gt;"S",LEN($R190)&gt;100),"Descrição &gt;100",
IF(AND(Import.TipoArredondamento="TransfereGOV",$L190="F",$C190="S",LEN($R190)&gt;500),"Descrição &gt;500",
IF(AND(Import.TipoArredondamento="TransfereGOV",$L190="F",$C190="S",LEFT(TRIM(UPPER($P190)),6)&lt;&gt;"SINAPI",ISNA(VLOOKUP(TRIM(UPPER($S190)),ListaTgov.Unidades,1,FALSE))),"Unid. Não Disp",
" "))))))))))))))))</f>
        <v xml:space="preserve"> </v>
      </c>
      <c r="AD190" s="696" t="str">
        <f ca="1">IF(C190&lt;=CRONO.NivelExibicao,MAX($AD$15:OFFSET(AD190,-1,0))+IF($C190&lt;&gt;1,1,MAX(1,COUNTIF(QCI!$A$13:$A$24,OFFSET($E190,-1,0)))),"")</f>
        <v/>
      </c>
      <c r="AE190" s="694" t="str">
        <f t="array" aca="1" ref="AE190" ca="1">IF(AND($C190="S",ORÇAMENTO.CodBarra&lt;&gt;""),IF(ORÇAMENTO.Fonte="",ORÇAMENTO.CodBarra,CONCATENATE(ORÇAMENTO.Fonte," ",ORÇAMENTO.CodBarra)))</f>
        <v>SINAPI 89414</v>
      </c>
      <c r="AF190" s="695">
        <f t="array" aca="1" ref="AF190" ca="1">IF(ISERROR(ORÇAMENTO.BancoRef),"(abra o arquivo 'Referência "&amp;Excel_BuiltIn_Database&amp;".xlsm)",IF(OR($C190&lt;&gt;"S",ORÇAMENTO.CodBarra=""),"(Sem Código)",IF(ISERROR(MATCH($AE190,INDIRECT(ORÇAMENTO.BancoRef),0)),"(Código não identificado nas referências)",MATCH($AE190,INDIRECT(ORÇAMENTO.BancoRef),0))))</f>
        <v>11533</v>
      </c>
      <c r="AG190" s="428">
        <f t="array" aca="1" ref="AG190" ca="1">ROUND(IF(DESONERACAO="sim",REFERENCIA.Desonerado,REFERENCIA.NaoDesonerado),2)</f>
        <v>14.83</v>
      </c>
      <c r="AH190" s="429">
        <f t="shared" ca="1" si="41"/>
        <v>0.2034</v>
      </c>
      <c r="AJ190" s="431"/>
      <c r="AL190" s="439"/>
      <c r="AM190" s="336">
        <f t="shared" ca="1" si="0"/>
        <v>135.80000000000001</v>
      </c>
      <c r="AN190" s="469">
        <f t="array" aca="1" ref="AN190" ca="1">ROUND(ORÇAMENTO.CustoUnitario*(1+$AH190),2)</f>
        <v>6.79</v>
      </c>
    </row>
    <row r="191" spans="1:40" s="696" customFormat="1" ht="38.25" x14ac:dyDescent="0.2">
      <c r="A191" s="696" t="str">
        <f t="shared" si="29"/>
        <v>S</v>
      </c>
      <c r="B191" s="696">
        <f t="shared" ca="1" si="30"/>
        <v>2</v>
      </c>
      <c r="C191" s="696" t="str">
        <f t="shared" ca="1" si="31"/>
        <v>S</v>
      </c>
      <c r="D191" s="696">
        <f t="shared" ca="1" si="32"/>
        <v>0</v>
      </c>
      <c r="E191" s="696">
        <f ca="1">IF($C191=1,OFFSET(E191,-1,0)+MAX(1,COUNTIF(QCI!$A$13:$A$24,OFFSET(ORÇAMENTO!E191,-1,0))),OFFSET(E191,-1,0))</f>
        <v>1</v>
      </c>
      <c r="F191" s="696">
        <f t="shared" ca="1" si="33"/>
        <v>29</v>
      </c>
      <c r="G191" s="696">
        <f t="shared" ca="1" si="34"/>
        <v>0</v>
      </c>
      <c r="H191" s="696">
        <f t="shared" ca="1" si="35"/>
        <v>0</v>
      </c>
      <c r="I191" s="696">
        <f t="shared" ca="1" si="36"/>
        <v>10</v>
      </c>
      <c r="J191" s="696">
        <f t="shared" ca="1" si="42"/>
        <v>0</v>
      </c>
      <c r="K191" s="696">
        <f ca="1">IF(OR($C191="S",$C191=0),0,MATCH(OFFSET($D191,0,$C191)+IF($C191&lt;&gt;1,1,COUNTIF(QCI!$A$13:$A$24,ORÇAMENTO!E191)),OFFSET($D191,1,$C191,ROW($C$235)-ROW($C191)),0))</f>
        <v>0</v>
      </c>
      <c r="L191" s="114" t="str">
        <f t="shared" ca="1" si="37"/>
        <v>F</v>
      </c>
      <c r="M191" s="115" t="s">
        <v>705</v>
      </c>
      <c r="N191" s="116" t="str">
        <f t="shared" ca="1" si="38"/>
        <v>Serviço</v>
      </c>
      <c r="O191" s="117" t="str">
        <f t="shared" ca="1" si="39"/>
        <v>1.29.10.</v>
      </c>
      <c r="P191" s="118" t="s">
        <v>750</v>
      </c>
      <c r="Q191" s="119" t="s">
        <v>1169</v>
      </c>
      <c r="R191" s="120" t="str">
        <f t="array" aca="1" ref="R191" ca="1">IF($C191="S",REFERENCIA.Descricao,"(digite a descrição aqui)")</f>
        <v>BUCHA DE REDUÇÃO, CURTA, PVC, SOLDÁVEL, DN 32 X 25 MM, INSTALADO EM RAMAL DE DISTRIBUIÇÃO DE ÁGUA - FORNECIMENTO E INSTALAÇÃO. AF_06/2022</v>
      </c>
      <c r="S191" s="121" t="str">
        <f t="array" aca="1" ref="S191" ca="1">REFERENCIA.Unidade</f>
        <v>UN</v>
      </c>
      <c r="T191" s="122">
        <f ca="1">OFFSET(CÁLCULO!H$15,ROW($T191)-ROW(T$15),0)</f>
        <v>40</v>
      </c>
      <c r="U191" s="123">
        <f>7.9*0.94</f>
        <v>7.4260000000000002</v>
      </c>
      <c r="V191" s="124" t="s">
        <v>697</v>
      </c>
      <c r="W191" s="122">
        <f t="array" aca="1" ref="W191" ca="1">IF($C191="S",ROUND(IF(TIPOORCAMENTO="Proposto",ORÇAMENTO.CustoUnitario*(1+$AH191),ORÇAMENTO.PrecoUnitarioLicitado),15-13*$AF$10),0)</f>
        <v>8.94</v>
      </c>
      <c r="X191" s="125">
        <f t="array" aca="1" ref="X191" ca="1">IF($C191="S",IF(OR(Import.TipoArredondamento&lt;&gt;"TransfereGOV",ACOMPANHAMENTO="BM"),VTOTAL1,SUM(OFFSET(CÁLCULO!$AI$15,ROW($X191)-ROW($X$15),1):OFFSET(CÁLCULO!$BB$15,ROW($X191)-ROW($X$15),-1))),IF($C191=0,0,ROUND(SomaAgrup,15-13*$AF$11)))</f>
        <v>357.6</v>
      </c>
      <c r="Y191" s="126" t="s">
        <v>751</v>
      </c>
      <c r="Z191" s="696" t="str">
        <f t="shared" ca="1" si="40"/>
        <v>RA</v>
      </c>
      <c r="AA191" s="127">
        <f t="array" aca="1" ref="AA191" ca="1">IF($C191="S",IF($Z191="CP",$X191,IF($Z191="RA",(($X191)*QCI!$AA$3),0)),SomaAgrup)</f>
        <v>0</v>
      </c>
      <c r="AB191" s="128">
        <f t="array" aca="1" ref="AB191" ca="1">IF($C191="S",IF($Z191="OU",ROUND($X191,2),0),SomaAgrup)</f>
        <v>0</v>
      </c>
      <c r="AC191" s="563" t="str">
        <f t="array" aca="1" ref="AC191" ca="1">IF($N191=""," ",
IF(AND($C191&lt;&gt;"S",OR($R191="",$R191="(digite a descrição aqui)")),"DESCRIÇÃO",
IF(AND($C191="S",OR($Q191&lt;&gt;"",$T191&gt;0,$U191&gt;0),$P191=""),"FONTE",
IF(AND($C191="S",$P191&lt;&gt;"",OR($T191&gt;0,$U191&gt;0),$Q191=""),"CÓDIGO",
IF(AND($C191="S",$P191&lt;&gt;"",$Q191&lt;&gt;"",$R191="(Código não identificado nas referências)"),"CÓDIGO N/ID",
IF(AND($C191="S",OR($R191="",$R191="(digite a descrição aqui)"),OR($Q191&lt;&gt;"",$T191&gt;0,$U191&gt;0)),"DESCRIÇÃO",
IF(AND($C191="S",$P191&lt;&gt;"",$Q191&lt;&gt;"",$S191=""),"UNIDADE",
IF(AND($C191="S",$P191&lt;&gt;"",$Q191&lt;&gt;"",$U191=0),"SEM CUSTO",
IF(AND(TIPOORCAMENTO="Licitado",$AL191=0,$AN191&gt;0),"SEM PREÇO",
IF(AND($C191="S",$P191&lt;&gt;"",$Q191&lt;&gt;"",$U191&gt;0,AND($V191&lt;&gt;"BDI 1",$V191&lt;&gt;"BDI 2",$V191&lt;&gt;"BDI 3")),IF(ISNUMBER($V191),"JUSTIFICAR BDI","BDI"),
IF(OR(AND(import.recurso="OGU",TIPOORCAMENTO="Proposto",LEFT($O$8,5)&lt;&gt;"(N/D:",$AG191&lt;&gt;"",ORÇAMENTO.CustoUnitario&gt;$AG191),AND(TIPOORCAMENTO="LICITADO",ORÇAMENTO.PrecoUnitarioLicitado&gt;$AN191)),"ACIMA REF.",
IF(AND($C191="S",$P191&lt;&gt;"",$Q191&lt;&gt;"",$T191=0,$U191&gt;0),"QUANT.",
IF(AND(Import.TipoArredondamento="TransfereGOV",$L191="F",$C191="S",LEN($Q191)&gt;13),"Código &gt;13",
IF(AND(Import.TipoArredondamento="TransfereGOV",$L191="F",$C191&lt;&gt;"S",LEN($R191)&gt;100),"Descrição &gt;100",
IF(AND(Import.TipoArredondamento="TransfereGOV",$L191="F",$C191="S",LEN($R191)&gt;500),"Descrição &gt;500",
IF(AND(Import.TipoArredondamento="TransfereGOV",$L191="F",$C191="S",LEFT(TRIM(UPPER($P191)),6)&lt;&gt;"SINAPI",ISNA(VLOOKUP(TRIM(UPPER($S191)),ListaTgov.Unidades,1,FALSE))),"Unid. Não Disp",
" "))))))))))))))))</f>
        <v xml:space="preserve"> </v>
      </c>
      <c r="AD191" s="696" t="str">
        <f ca="1">IF(C191&lt;=CRONO.NivelExibicao,MAX($AD$15:OFFSET(AD191,-1,0))+IF($C191&lt;&gt;1,1,MAX(1,COUNTIF(QCI!$A$13:$A$24,OFFSET($E191,-1,0)))),"")</f>
        <v/>
      </c>
      <c r="AE191" s="694" t="str">
        <f t="array" aca="1" ref="AE191" ca="1">IF(AND($C191="S",ORÇAMENTO.CodBarra&lt;&gt;""),IF(ORÇAMENTO.Fonte="",ORÇAMENTO.CodBarra,CONCATENATE(ORÇAMENTO.Fonte," ",ORÇAMENTO.CodBarra)))</f>
        <v>SINAPI 103953</v>
      </c>
      <c r="AF191" s="695">
        <f t="array" aca="1" ref="AF191" ca="1">IF(ISERROR(ORÇAMENTO.BancoRef),"(abra o arquivo 'Referência "&amp;Excel_BuiltIn_Database&amp;".xlsm)",IF(OR($C191&lt;&gt;"S",ORÇAMENTO.CodBarra=""),"(Sem Código)",IF(ISERROR(MATCH($AE191,INDIRECT(ORÇAMENTO.BancoRef),0)),"(Código não identificado nas referências)",MATCH($AE191,INDIRECT(ORÇAMENTO.BancoRef),0))))</f>
        <v>11470</v>
      </c>
      <c r="AG191" s="428">
        <f t="array" aca="1" ref="AG191" ca="1">ROUND(IF(DESONERACAO="sim",REFERENCIA.Desonerado,REFERENCIA.NaoDesonerado),2)</f>
        <v>7.9</v>
      </c>
      <c r="AH191" s="429">
        <f t="shared" ca="1" si="41"/>
        <v>0.2034</v>
      </c>
      <c r="AJ191" s="431"/>
      <c r="AL191" s="439"/>
      <c r="AM191" s="336">
        <f t="shared" ca="1" si="0"/>
        <v>357.6</v>
      </c>
      <c r="AN191" s="469">
        <f t="array" aca="1" ref="AN191" ca="1">ROUND(ORÇAMENTO.CustoUnitario*(1+$AH191),2)</f>
        <v>8.94</v>
      </c>
    </row>
    <row r="192" spans="1:40" s="696" customFormat="1" ht="38.25" x14ac:dyDescent="0.2">
      <c r="A192" s="696" t="str">
        <f t="shared" si="29"/>
        <v>S</v>
      </c>
      <c r="B192" s="696">
        <f t="shared" ca="1" si="30"/>
        <v>2</v>
      </c>
      <c r="C192" s="696" t="str">
        <f t="shared" ca="1" si="31"/>
        <v>S</v>
      </c>
      <c r="D192" s="696">
        <f t="shared" ca="1" si="32"/>
        <v>0</v>
      </c>
      <c r="E192" s="696">
        <f ca="1">IF($C192=1,OFFSET(E192,-1,0)+MAX(1,COUNTIF(QCI!$A$13:$A$24,OFFSET(ORÇAMENTO!E192,-1,0))),OFFSET(E192,-1,0))</f>
        <v>1</v>
      </c>
      <c r="F192" s="696">
        <f t="shared" ca="1" si="33"/>
        <v>29</v>
      </c>
      <c r="G192" s="696">
        <f t="shared" ca="1" si="34"/>
        <v>0</v>
      </c>
      <c r="H192" s="696">
        <f t="shared" ca="1" si="35"/>
        <v>0</v>
      </c>
      <c r="I192" s="696">
        <f t="shared" ca="1" si="36"/>
        <v>11</v>
      </c>
      <c r="J192" s="696">
        <f t="shared" ca="1" si="42"/>
        <v>0</v>
      </c>
      <c r="K192" s="696">
        <f ca="1">IF(OR($C192="S",$C192=0),0,MATCH(OFFSET($D192,0,$C192)+IF($C192&lt;&gt;1,1,COUNTIF(QCI!$A$13:$A$24,ORÇAMENTO!E192)),OFFSET($D192,1,$C192,ROW($C$235)-ROW($C192)),0))</f>
        <v>0</v>
      </c>
      <c r="L192" s="114" t="str">
        <f t="shared" ca="1" si="37"/>
        <v>F</v>
      </c>
      <c r="M192" s="115" t="s">
        <v>705</v>
      </c>
      <c r="N192" s="116" t="str">
        <f t="shared" ca="1" si="38"/>
        <v>Serviço</v>
      </c>
      <c r="O192" s="117" t="str">
        <f t="shared" ca="1" si="39"/>
        <v>1.29.11.</v>
      </c>
      <c r="P192" s="118" t="s">
        <v>750</v>
      </c>
      <c r="Q192" s="119" t="s">
        <v>1170</v>
      </c>
      <c r="R192" s="120" t="str">
        <f t="array" aca="1" ref="R192" ca="1">IF($C192="S",REFERENCIA.Descricao,"(digite a descrição aqui)")</f>
        <v>TE, PVC, SOLDÁVEL, DN 32MM, INSTALADO EM RAMAL DE DISTRIBUIÇÃO DE ÁGUA - FORNECIMENTO E INSTALAÇÃO. AF_06/2022</v>
      </c>
      <c r="S192" s="121" t="str">
        <f t="array" aca="1" ref="S192" ca="1">REFERENCIA.Unidade</f>
        <v>UN</v>
      </c>
      <c r="T192" s="122">
        <f ca="1">OFFSET(CÁLCULO!H$15,ROW($T192)-ROW(T$15),0)</f>
        <v>60</v>
      </c>
      <c r="U192" s="123">
        <f>18.26*0.94</f>
        <v>17.164400000000001</v>
      </c>
      <c r="V192" s="124" t="s">
        <v>697</v>
      </c>
      <c r="W192" s="122">
        <f t="array" aca="1" ref="W192" ca="1">IF($C192="S",ROUND(IF(TIPOORCAMENTO="Proposto",ORÇAMENTO.CustoUnitario*(1+$AH192),ORÇAMENTO.PrecoUnitarioLicitado),15-13*$AF$10),0)</f>
        <v>20.65</v>
      </c>
      <c r="X192" s="125">
        <f t="array" aca="1" ref="X192" ca="1">IF($C192="S",IF(OR(Import.TipoArredondamento&lt;&gt;"TransfereGOV",ACOMPANHAMENTO="BM"),VTOTAL1,SUM(OFFSET(CÁLCULO!$AI$15,ROW($X192)-ROW($X$15),1):OFFSET(CÁLCULO!$BB$15,ROW($X192)-ROW($X$15),-1))),IF($C192=0,0,ROUND(SomaAgrup,15-13*$AF$11)))</f>
        <v>1239</v>
      </c>
      <c r="Y192" s="126" t="s">
        <v>751</v>
      </c>
      <c r="Z192" s="696" t="str">
        <f t="shared" ca="1" si="40"/>
        <v>RA</v>
      </c>
      <c r="AA192" s="127">
        <f t="array" aca="1" ref="AA192" ca="1">IF($C192="S",IF($Z192="CP",$X192,IF($Z192="RA",(($X192)*QCI!$AA$3),0)),SomaAgrup)</f>
        <v>0</v>
      </c>
      <c r="AB192" s="128">
        <f t="array" aca="1" ref="AB192" ca="1">IF($C192="S",IF($Z192="OU",ROUND($X192,2),0),SomaAgrup)</f>
        <v>0</v>
      </c>
      <c r="AC192" s="563" t="str">
        <f t="array" aca="1" ref="AC192" ca="1">IF($N192=""," ",
IF(AND($C192&lt;&gt;"S",OR($R192="",$R192="(digite a descrição aqui)")),"DESCRIÇÃO",
IF(AND($C192="S",OR($Q192&lt;&gt;"",$T192&gt;0,$U192&gt;0),$P192=""),"FONTE",
IF(AND($C192="S",$P192&lt;&gt;"",OR($T192&gt;0,$U192&gt;0),$Q192=""),"CÓDIGO",
IF(AND($C192="S",$P192&lt;&gt;"",$Q192&lt;&gt;"",$R192="(Código não identificado nas referências)"),"CÓDIGO N/ID",
IF(AND($C192="S",OR($R192="",$R192="(digite a descrição aqui)"),OR($Q192&lt;&gt;"",$T192&gt;0,$U192&gt;0)),"DESCRIÇÃO",
IF(AND($C192="S",$P192&lt;&gt;"",$Q192&lt;&gt;"",$S192=""),"UNIDADE",
IF(AND($C192="S",$P192&lt;&gt;"",$Q192&lt;&gt;"",$U192=0),"SEM CUSTO",
IF(AND(TIPOORCAMENTO="Licitado",$AL192=0,$AN192&gt;0),"SEM PREÇO",
IF(AND($C192="S",$P192&lt;&gt;"",$Q192&lt;&gt;"",$U192&gt;0,AND($V192&lt;&gt;"BDI 1",$V192&lt;&gt;"BDI 2",$V192&lt;&gt;"BDI 3")),IF(ISNUMBER($V192),"JUSTIFICAR BDI","BDI"),
IF(OR(AND(import.recurso="OGU",TIPOORCAMENTO="Proposto",LEFT($O$8,5)&lt;&gt;"(N/D:",$AG192&lt;&gt;"",ORÇAMENTO.CustoUnitario&gt;$AG192),AND(TIPOORCAMENTO="LICITADO",ORÇAMENTO.PrecoUnitarioLicitado&gt;$AN192)),"ACIMA REF.",
IF(AND($C192="S",$P192&lt;&gt;"",$Q192&lt;&gt;"",$T192=0,$U192&gt;0),"QUANT.",
IF(AND(Import.TipoArredondamento="TransfereGOV",$L192="F",$C192="S",LEN($Q192)&gt;13),"Código &gt;13",
IF(AND(Import.TipoArredondamento="TransfereGOV",$L192="F",$C192&lt;&gt;"S",LEN($R192)&gt;100),"Descrição &gt;100",
IF(AND(Import.TipoArredondamento="TransfereGOV",$L192="F",$C192="S",LEN($R192)&gt;500),"Descrição &gt;500",
IF(AND(Import.TipoArredondamento="TransfereGOV",$L192="F",$C192="S",LEFT(TRIM(UPPER($P192)),6)&lt;&gt;"SINAPI",ISNA(VLOOKUP(TRIM(UPPER($S192)),ListaTgov.Unidades,1,FALSE))),"Unid. Não Disp",
" "))))))))))))))))</f>
        <v xml:space="preserve"> </v>
      </c>
      <c r="AD192" s="696" t="str">
        <f ca="1">IF(C192&lt;=CRONO.NivelExibicao,MAX($AD$15:OFFSET(AD192,-1,0))+IF($C192&lt;&gt;1,1,MAX(1,COUNTIF(QCI!$A$13:$A$24,OFFSET($E192,-1,0)))),"")</f>
        <v/>
      </c>
      <c r="AE192" s="694" t="str">
        <f t="array" aca="1" ref="AE192" ca="1">IF(AND($C192="S",ORÇAMENTO.CodBarra&lt;&gt;""),IF(ORÇAMENTO.Fonte="",ORÇAMENTO.CodBarra,CONCATENATE(ORÇAMENTO.Fonte," ",ORÇAMENTO.CodBarra)))</f>
        <v>SINAPI 89443</v>
      </c>
      <c r="AF192" s="695">
        <f t="array" aca="1" ref="AF192" ca="1">IF(ISERROR(ORÇAMENTO.BancoRef),"(abra o arquivo 'Referência "&amp;Excel_BuiltIn_Database&amp;".xlsm)",IF(OR($C192&lt;&gt;"S",ORÇAMENTO.CodBarra=""),"(Sem Código)",IF(ISERROR(MATCH($AE192,INDIRECT(ORÇAMENTO.BancoRef),0)),"(Código não identificado nas referências)",MATCH($AE192,INDIRECT(ORÇAMENTO.BancoRef),0))))</f>
        <v>11629</v>
      </c>
      <c r="AG192" s="428">
        <f t="array" aca="1" ref="AG192" ca="1">ROUND(IF(DESONERACAO="sim",REFERENCIA.Desonerado,REFERENCIA.NaoDesonerado),2)</f>
        <v>18.260000000000002</v>
      </c>
      <c r="AH192" s="429">
        <f t="shared" ca="1" si="41"/>
        <v>0.2034</v>
      </c>
      <c r="AJ192" s="431"/>
      <c r="AL192" s="439"/>
      <c r="AM192" s="336">
        <f t="shared" ca="1" si="0"/>
        <v>1239</v>
      </c>
      <c r="AN192" s="469">
        <f t="array" aca="1" ref="AN192" ca="1">ROUND(ORÇAMENTO.CustoUnitario*(1+$AH192),2)</f>
        <v>20.65</v>
      </c>
    </row>
    <row r="193" spans="1:40" s="696" customFormat="1" ht="38.25" x14ac:dyDescent="0.2">
      <c r="A193" s="696" t="str">
        <f t="shared" si="29"/>
        <v>S</v>
      </c>
      <c r="B193" s="696">
        <f t="shared" ca="1" si="30"/>
        <v>2</v>
      </c>
      <c r="C193" s="696" t="str">
        <f t="shared" ca="1" si="31"/>
        <v>S</v>
      </c>
      <c r="D193" s="696">
        <f t="shared" ca="1" si="32"/>
        <v>0</v>
      </c>
      <c r="E193" s="696">
        <f ca="1">IF($C193=1,OFFSET(E193,-1,0)+MAX(1,COUNTIF(QCI!$A$13:$A$24,OFFSET(ORÇAMENTO!E193,-1,0))),OFFSET(E193,-1,0))</f>
        <v>1</v>
      </c>
      <c r="F193" s="696">
        <f t="shared" ca="1" si="33"/>
        <v>29</v>
      </c>
      <c r="G193" s="696">
        <f t="shared" ca="1" si="34"/>
        <v>0</v>
      </c>
      <c r="H193" s="696">
        <f t="shared" ca="1" si="35"/>
        <v>0</v>
      </c>
      <c r="I193" s="696">
        <f t="shared" ca="1" si="36"/>
        <v>12</v>
      </c>
      <c r="J193" s="696">
        <f t="shared" ca="1" si="42"/>
        <v>0</v>
      </c>
      <c r="K193" s="696">
        <f ca="1">IF(OR($C193="S",$C193=0),0,MATCH(OFFSET($D193,0,$C193)+IF($C193&lt;&gt;1,1,COUNTIF(QCI!$A$13:$A$24,ORÇAMENTO!E193)),OFFSET($D193,1,$C193,ROW($C$235)-ROW($C193)),0))</f>
        <v>0</v>
      </c>
      <c r="L193" s="114" t="str">
        <f t="shared" ca="1" si="37"/>
        <v>F</v>
      </c>
      <c r="M193" s="115" t="s">
        <v>705</v>
      </c>
      <c r="N193" s="116" t="str">
        <f t="shared" ca="1" si="38"/>
        <v>Serviço</v>
      </c>
      <c r="O193" s="117" t="str">
        <f t="shared" ca="1" si="39"/>
        <v>1.29.12.</v>
      </c>
      <c r="P193" s="118" t="s">
        <v>750</v>
      </c>
      <c r="Q193" s="119" t="s">
        <v>1171</v>
      </c>
      <c r="R193" s="120" t="str">
        <f t="array" aca="1" ref="R193" ca="1">IF($C193="S",REFERENCIA.Descricao,"(digite a descrição aqui)")</f>
        <v>TÊ DE REDUÇÃO, PVC, SOLDÁVEL, DN 32MM X 25MM, INSTALADO EM RAMAL DE DISTRIBUIÇÃO DE ÁGUA - FORNECIMENTO E INSTALAÇÃO. AF_06/2022</v>
      </c>
      <c r="S193" s="121" t="str">
        <f t="array" aca="1" ref="S193" ca="1">REFERENCIA.Unidade</f>
        <v>UN</v>
      </c>
      <c r="T193" s="122">
        <f ca="1">OFFSET(CÁLCULO!H$15,ROW($T193)-ROW(T$15),0)</f>
        <v>20</v>
      </c>
      <c r="U193" s="123">
        <f>19.98*0.94</f>
        <v>18.781199999999998</v>
      </c>
      <c r="V193" s="124" t="s">
        <v>697</v>
      </c>
      <c r="W193" s="122">
        <f t="array" aca="1" ref="W193" ca="1">IF($C193="S",ROUND(IF(TIPOORCAMENTO="Proposto",ORÇAMENTO.CustoUnitario*(1+$AH193),ORÇAMENTO.PrecoUnitarioLicitado),15-13*$AF$10),0)</f>
        <v>22.6</v>
      </c>
      <c r="X193" s="125">
        <f t="array" aca="1" ref="X193" ca="1">IF($C193="S",IF(OR(Import.TipoArredondamento&lt;&gt;"TransfereGOV",ACOMPANHAMENTO="BM"),VTOTAL1,SUM(OFFSET(CÁLCULO!$AI$15,ROW($X193)-ROW($X$15),1):OFFSET(CÁLCULO!$BB$15,ROW($X193)-ROW($X$15),-1))),IF($C193=0,0,ROUND(SomaAgrup,15-13*$AF$11)))</f>
        <v>452</v>
      </c>
      <c r="Y193" s="126" t="s">
        <v>751</v>
      </c>
      <c r="Z193" s="696" t="str">
        <f t="shared" ca="1" si="40"/>
        <v>RA</v>
      </c>
      <c r="AA193" s="127">
        <f t="array" aca="1" ref="AA193" ca="1">IF($C193="S",IF($Z193="CP",$X193,IF($Z193="RA",(($X193)*QCI!$AA$3),0)),SomaAgrup)</f>
        <v>0</v>
      </c>
      <c r="AB193" s="128">
        <f t="array" aca="1" ref="AB193" ca="1">IF($C193="S",IF($Z193="OU",ROUND($X193,2),0),SomaAgrup)</f>
        <v>0</v>
      </c>
      <c r="AC193" s="563" t="str">
        <f t="array" aca="1" ref="AC193" ca="1">IF($N193=""," ",
IF(AND($C193&lt;&gt;"S",OR($R193="",$R193="(digite a descrição aqui)")),"DESCRIÇÃO",
IF(AND($C193="S",OR($Q193&lt;&gt;"",$T193&gt;0,$U193&gt;0),$P193=""),"FONTE",
IF(AND($C193="S",$P193&lt;&gt;"",OR($T193&gt;0,$U193&gt;0),$Q193=""),"CÓDIGO",
IF(AND($C193="S",$P193&lt;&gt;"",$Q193&lt;&gt;"",$R193="(Código não identificado nas referências)"),"CÓDIGO N/ID",
IF(AND($C193="S",OR($R193="",$R193="(digite a descrição aqui)"),OR($Q193&lt;&gt;"",$T193&gt;0,$U193&gt;0)),"DESCRIÇÃO",
IF(AND($C193="S",$P193&lt;&gt;"",$Q193&lt;&gt;"",$S193=""),"UNIDADE",
IF(AND($C193="S",$P193&lt;&gt;"",$Q193&lt;&gt;"",$U193=0),"SEM CUSTO",
IF(AND(TIPOORCAMENTO="Licitado",$AL193=0,$AN193&gt;0),"SEM PREÇO",
IF(AND($C193="S",$P193&lt;&gt;"",$Q193&lt;&gt;"",$U193&gt;0,AND($V193&lt;&gt;"BDI 1",$V193&lt;&gt;"BDI 2",$V193&lt;&gt;"BDI 3")),IF(ISNUMBER($V193),"JUSTIFICAR BDI","BDI"),
IF(OR(AND(import.recurso="OGU",TIPOORCAMENTO="Proposto",LEFT($O$8,5)&lt;&gt;"(N/D:",$AG193&lt;&gt;"",ORÇAMENTO.CustoUnitario&gt;$AG193),AND(TIPOORCAMENTO="LICITADO",ORÇAMENTO.PrecoUnitarioLicitado&gt;$AN193)),"ACIMA REF.",
IF(AND($C193="S",$P193&lt;&gt;"",$Q193&lt;&gt;"",$T193=0,$U193&gt;0),"QUANT.",
IF(AND(Import.TipoArredondamento="TransfereGOV",$L193="F",$C193="S",LEN($Q193)&gt;13),"Código &gt;13",
IF(AND(Import.TipoArredondamento="TransfereGOV",$L193="F",$C193&lt;&gt;"S",LEN($R193)&gt;100),"Descrição &gt;100",
IF(AND(Import.TipoArredondamento="TransfereGOV",$L193="F",$C193="S",LEN($R193)&gt;500),"Descrição &gt;500",
IF(AND(Import.TipoArredondamento="TransfereGOV",$L193="F",$C193="S",LEFT(TRIM(UPPER($P193)),6)&lt;&gt;"SINAPI",ISNA(VLOOKUP(TRIM(UPPER($S193)),ListaTgov.Unidades,1,FALSE))),"Unid. Não Disp",
" "))))))))))))))))</f>
        <v xml:space="preserve"> </v>
      </c>
      <c r="AD193" s="696" t="str">
        <f ca="1">IF(C193&lt;=CRONO.NivelExibicao,MAX($AD$15:OFFSET(AD193,-1,0))+IF($C193&lt;&gt;1,1,MAX(1,COUNTIF(QCI!$A$13:$A$24,OFFSET($E193,-1,0)))),"")</f>
        <v/>
      </c>
      <c r="AE193" s="694" t="str">
        <f t="array" aca="1" ref="AE193" ca="1">IF(AND($C193="S",ORÇAMENTO.CodBarra&lt;&gt;""),IF(ORÇAMENTO.Fonte="",ORÇAMENTO.CodBarra,CONCATENATE(ORÇAMENTO.Fonte," ",ORÇAMENTO.CodBarra)))</f>
        <v>SINAPI 89445</v>
      </c>
      <c r="AF193" s="695">
        <f t="array" aca="1" ref="AF193" ca="1">IF(ISERROR(ORÇAMENTO.BancoRef),"(abra o arquivo 'Referência "&amp;Excel_BuiltIn_Database&amp;".xlsm)",IF(OR($C193&lt;&gt;"S",ORÇAMENTO.CodBarra=""),"(Sem Código)",IF(ISERROR(MATCH($AE193,INDIRECT(ORÇAMENTO.BancoRef),0)),"(Código não identificado nas referências)",MATCH($AE193,INDIRECT(ORÇAMENTO.BancoRef),0))))</f>
        <v>11661</v>
      </c>
      <c r="AG193" s="428">
        <f t="array" aca="1" ref="AG193" ca="1">ROUND(IF(DESONERACAO="sim",REFERENCIA.Desonerado,REFERENCIA.NaoDesonerado),2)</f>
        <v>19.98</v>
      </c>
      <c r="AH193" s="429">
        <f t="shared" ca="1" si="41"/>
        <v>0.2034</v>
      </c>
      <c r="AJ193" s="431"/>
      <c r="AL193" s="439"/>
      <c r="AM193" s="336">
        <f t="shared" ca="1" si="0"/>
        <v>452</v>
      </c>
      <c r="AN193" s="469">
        <f t="array" aca="1" ref="AN193" ca="1">ROUND(ORÇAMENTO.CustoUnitario*(1+$AH193),2)</f>
        <v>22.6</v>
      </c>
    </row>
    <row r="194" spans="1:40" s="696" customFormat="1" ht="38.25" x14ac:dyDescent="0.2">
      <c r="A194" s="696" t="str">
        <f t="shared" si="29"/>
        <v>S</v>
      </c>
      <c r="B194" s="696">
        <f t="shared" ca="1" si="30"/>
        <v>2</v>
      </c>
      <c r="C194" s="696" t="str">
        <f t="shared" ca="1" si="31"/>
        <v>S</v>
      </c>
      <c r="D194" s="696">
        <f t="shared" ca="1" si="32"/>
        <v>0</v>
      </c>
      <c r="E194" s="696">
        <f ca="1">IF($C194=1,OFFSET(E194,-1,0)+MAX(1,COUNTIF(QCI!$A$13:$A$24,OFFSET(ORÇAMENTO!E194,-1,0))),OFFSET(E194,-1,0))</f>
        <v>1</v>
      </c>
      <c r="F194" s="696">
        <f t="shared" ca="1" si="33"/>
        <v>29</v>
      </c>
      <c r="G194" s="696">
        <f t="shared" ca="1" si="34"/>
        <v>0</v>
      </c>
      <c r="H194" s="696">
        <f t="shared" ca="1" si="35"/>
        <v>0</v>
      </c>
      <c r="I194" s="696">
        <f t="shared" ca="1" si="36"/>
        <v>13</v>
      </c>
      <c r="J194" s="696">
        <f t="shared" ca="1" si="42"/>
        <v>0</v>
      </c>
      <c r="K194" s="696">
        <f ca="1">IF(OR($C194="S",$C194=0),0,MATCH(OFFSET($D194,0,$C194)+IF($C194&lt;&gt;1,1,COUNTIF(QCI!$A$13:$A$24,ORÇAMENTO!E194)),OFFSET($D194,1,$C194,ROW($C$235)-ROW($C194)),0))</f>
        <v>0</v>
      </c>
      <c r="L194" s="114" t="str">
        <f t="shared" ca="1" si="37"/>
        <v>F</v>
      </c>
      <c r="M194" s="115" t="s">
        <v>705</v>
      </c>
      <c r="N194" s="116" t="str">
        <f t="shared" ca="1" si="38"/>
        <v>Serviço</v>
      </c>
      <c r="O194" s="117" t="str">
        <f t="shared" ca="1" si="39"/>
        <v>1.29.13.</v>
      </c>
      <c r="P194" s="118" t="s">
        <v>750</v>
      </c>
      <c r="Q194" s="119" t="s">
        <v>1158</v>
      </c>
      <c r="R194" s="120" t="str">
        <f t="array" aca="1" ref="R194" ca="1">IF($C194="S",REFERENCIA.Descricao,"(digite a descrição aqui)")</f>
        <v>TUBO, PVC, SOLDÁVEL, DE 25MM, INSTALADO EM RAMAL DE DISTRIBUIÇÃO DE ÁGUA - FORNECIMENTO E INSTALAÇÃO. AF_06/2022</v>
      </c>
      <c r="S194" s="121" t="str">
        <f t="array" aca="1" ref="S194" ca="1">REFERENCIA.Unidade</f>
        <v>M</v>
      </c>
      <c r="T194" s="122">
        <f ca="1">OFFSET(CÁLCULO!H$15,ROW($T194)-ROW(T$15),0)</f>
        <v>88</v>
      </c>
      <c r="U194" s="123">
        <f>13.25*0.94</f>
        <v>12.455</v>
      </c>
      <c r="V194" s="124" t="s">
        <v>697</v>
      </c>
      <c r="W194" s="122">
        <f t="array" aca="1" ref="W194" ca="1">IF($C194="S",ROUND(IF(TIPOORCAMENTO="Proposto",ORÇAMENTO.CustoUnitario*(1+$AH194),ORÇAMENTO.PrecoUnitarioLicitado),15-13*$AF$10),0)</f>
        <v>14.99</v>
      </c>
      <c r="X194" s="125">
        <f t="array" aca="1" ref="X194" ca="1">IF($C194="S",IF(OR(Import.TipoArredondamento&lt;&gt;"TransfereGOV",ACOMPANHAMENTO="BM"),VTOTAL1,SUM(OFFSET(CÁLCULO!$AI$15,ROW($X194)-ROW($X$15),1):OFFSET(CÁLCULO!$BB$15,ROW($X194)-ROW($X$15),-1))),IF($C194=0,0,ROUND(SomaAgrup,15-13*$AF$11)))</f>
        <v>1319.12</v>
      </c>
      <c r="Y194" s="126" t="s">
        <v>751</v>
      </c>
      <c r="Z194" s="696" t="str">
        <f t="shared" ca="1" si="40"/>
        <v>RA</v>
      </c>
      <c r="AA194" s="127">
        <f t="array" aca="1" ref="AA194" ca="1">IF($C194="S",IF($Z194="CP",$X194,IF($Z194="RA",(($X194)*QCI!$AA$3),0)),SomaAgrup)</f>
        <v>0</v>
      </c>
      <c r="AB194" s="128">
        <f t="array" aca="1" ref="AB194" ca="1">IF($C194="S",IF($Z194="OU",ROUND($X194,2),0),SomaAgrup)</f>
        <v>0</v>
      </c>
      <c r="AC194" s="563" t="str">
        <f t="array" aca="1" ref="AC194" ca="1">IF($N194=""," ",
IF(AND($C194&lt;&gt;"S",OR($R194="",$R194="(digite a descrição aqui)")),"DESCRIÇÃO",
IF(AND($C194="S",OR($Q194&lt;&gt;"",$T194&gt;0,$U194&gt;0),$P194=""),"FONTE",
IF(AND($C194="S",$P194&lt;&gt;"",OR($T194&gt;0,$U194&gt;0),$Q194=""),"CÓDIGO",
IF(AND($C194="S",$P194&lt;&gt;"",$Q194&lt;&gt;"",$R194="(Código não identificado nas referências)"),"CÓDIGO N/ID",
IF(AND($C194="S",OR($R194="",$R194="(digite a descrição aqui)"),OR($Q194&lt;&gt;"",$T194&gt;0,$U194&gt;0)),"DESCRIÇÃO",
IF(AND($C194="S",$P194&lt;&gt;"",$Q194&lt;&gt;"",$S194=""),"UNIDADE",
IF(AND($C194="S",$P194&lt;&gt;"",$Q194&lt;&gt;"",$U194=0),"SEM CUSTO",
IF(AND(TIPOORCAMENTO="Licitado",$AL194=0,$AN194&gt;0),"SEM PREÇO",
IF(AND($C194="S",$P194&lt;&gt;"",$Q194&lt;&gt;"",$U194&gt;0,AND($V194&lt;&gt;"BDI 1",$V194&lt;&gt;"BDI 2",$V194&lt;&gt;"BDI 3")),IF(ISNUMBER($V194),"JUSTIFICAR BDI","BDI"),
IF(OR(AND(import.recurso="OGU",TIPOORCAMENTO="Proposto",LEFT($O$8,5)&lt;&gt;"(N/D:",$AG194&lt;&gt;"",ORÇAMENTO.CustoUnitario&gt;$AG194),AND(TIPOORCAMENTO="LICITADO",ORÇAMENTO.PrecoUnitarioLicitado&gt;$AN194)),"ACIMA REF.",
IF(AND($C194="S",$P194&lt;&gt;"",$Q194&lt;&gt;"",$T194=0,$U194&gt;0),"QUANT.",
IF(AND(Import.TipoArredondamento="TransfereGOV",$L194="F",$C194="S",LEN($Q194)&gt;13),"Código &gt;13",
IF(AND(Import.TipoArredondamento="TransfereGOV",$L194="F",$C194&lt;&gt;"S",LEN($R194)&gt;100),"Descrição &gt;100",
IF(AND(Import.TipoArredondamento="TransfereGOV",$L194="F",$C194="S",LEN($R194)&gt;500),"Descrição &gt;500",
IF(AND(Import.TipoArredondamento="TransfereGOV",$L194="F",$C194="S",LEFT(TRIM(UPPER($P194)),6)&lt;&gt;"SINAPI",ISNA(VLOOKUP(TRIM(UPPER($S194)),ListaTgov.Unidades,1,FALSE))),"Unid. Não Disp",
" "))))))))))))))))</f>
        <v xml:space="preserve"> </v>
      </c>
      <c r="AD194" s="696" t="str">
        <f ca="1">IF(C194&lt;=CRONO.NivelExibicao,MAX($AD$15:OFFSET(AD194,-1,0))+IF($C194&lt;&gt;1,1,MAX(1,COUNTIF(QCI!$A$13:$A$24,OFFSET($E194,-1,0)))),"")</f>
        <v/>
      </c>
      <c r="AE194" s="694" t="str">
        <f t="array" aca="1" ref="AE194" ca="1">IF(AND($C194="S",ORÇAMENTO.CodBarra&lt;&gt;""),IF(ORÇAMENTO.Fonte="",ORÇAMENTO.CodBarra,CONCATENATE(ORÇAMENTO.Fonte," ",ORÇAMENTO.CodBarra)))</f>
        <v>SINAPI 89402</v>
      </c>
      <c r="AF194" s="695">
        <f t="array" aca="1" ref="AF194" ca="1">IF(ISERROR(ORÇAMENTO.BancoRef),"(abra o arquivo 'Referência "&amp;Excel_BuiltIn_Database&amp;".xlsm)",IF(OR($C194&lt;&gt;"S",ORÇAMENTO.CodBarra=""),"(Sem Código)",IF(ISERROR(MATCH($AE194,INDIRECT(ORÇAMENTO.BancoRef),0)),"(Código não identificado nas referências)",MATCH($AE194,INDIRECT(ORÇAMENTO.BancoRef),0))))</f>
        <v>11641</v>
      </c>
      <c r="AG194" s="428">
        <f t="array" aca="1" ref="AG194" ca="1">ROUND(IF(DESONERACAO="sim",REFERENCIA.Desonerado,REFERENCIA.NaoDesonerado),2)</f>
        <v>13.25</v>
      </c>
      <c r="AH194" s="429">
        <f t="shared" ca="1" si="41"/>
        <v>0.2034</v>
      </c>
      <c r="AJ194" s="431"/>
      <c r="AL194" s="439"/>
      <c r="AM194" s="336">
        <f t="shared" ca="1" si="0"/>
        <v>1319.12</v>
      </c>
      <c r="AN194" s="469">
        <f t="array" aca="1" ref="AN194" ca="1">ROUND(ORÇAMENTO.CustoUnitario*(1+$AH194),2)</f>
        <v>14.99</v>
      </c>
    </row>
    <row r="195" spans="1:40" s="696" customFormat="1" ht="38.25" x14ac:dyDescent="0.2">
      <c r="A195" s="696" t="str">
        <f t="shared" si="29"/>
        <v>S</v>
      </c>
      <c r="B195" s="696">
        <f t="shared" ca="1" si="30"/>
        <v>2</v>
      </c>
      <c r="C195" s="696" t="str">
        <f t="shared" ca="1" si="31"/>
        <v>S</v>
      </c>
      <c r="D195" s="696">
        <f t="shared" ca="1" si="32"/>
        <v>0</v>
      </c>
      <c r="E195" s="696">
        <f ca="1">IF($C195=1,OFFSET(E195,-1,0)+MAX(1,COUNTIF(QCI!$A$13:$A$24,OFFSET(ORÇAMENTO!E195,-1,0))),OFFSET(E195,-1,0))</f>
        <v>1</v>
      </c>
      <c r="F195" s="696">
        <f t="shared" ca="1" si="33"/>
        <v>29</v>
      </c>
      <c r="G195" s="696">
        <f t="shared" ca="1" si="34"/>
        <v>0</v>
      </c>
      <c r="H195" s="696">
        <f t="shared" ca="1" si="35"/>
        <v>0</v>
      </c>
      <c r="I195" s="696">
        <f t="shared" ca="1" si="36"/>
        <v>14</v>
      </c>
      <c r="J195" s="696">
        <f t="shared" ca="1" si="42"/>
        <v>0</v>
      </c>
      <c r="K195" s="696">
        <f ca="1">IF(OR($C195="S",$C195=0),0,MATCH(OFFSET($D195,0,$C195)+IF($C195&lt;&gt;1,1,COUNTIF(QCI!$A$13:$A$24,ORÇAMENTO!E195)),OFFSET($D195,1,$C195,ROW($C$235)-ROW($C195)),0))</f>
        <v>0</v>
      </c>
      <c r="L195" s="114" t="str">
        <f t="shared" ca="1" si="37"/>
        <v>F</v>
      </c>
      <c r="M195" s="115" t="s">
        <v>705</v>
      </c>
      <c r="N195" s="116" t="str">
        <f t="shared" ca="1" si="38"/>
        <v>Serviço</v>
      </c>
      <c r="O195" s="117" t="str">
        <f t="shared" ca="1" si="39"/>
        <v>1.29.14.</v>
      </c>
      <c r="P195" s="118" t="s">
        <v>750</v>
      </c>
      <c r="Q195" s="119" t="s">
        <v>1172</v>
      </c>
      <c r="R195" s="120" t="str">
        <f t="array" aca="1" ref="R195" ca="1">IF($C195="S",REFERENCIA.Descricao,"(digite a descrição aqui)")</f>
        <v>TUBO, PVC, SOLDÁVEL, DE 32MM, INSTALADO EM RAMAL DE DISTRIBUIÇÃO DE ÁGUA - FORNECIMENTO E INSTALAÇÃO. AF_06/2022</v>
      </c>
      <c r="S195" s="121" t="str">
        <f t="array" aca="1" ref="S195" ca="1">REFERENCIA.Unidade</f>
        <v>M</v>
      </c>
      <c r="T195" s="122">
        <f ca="1">OFFSET(CÁLCULO!H$15,ROW($T195)-ROW(T$15),0)</f>
        <v>211</v>
      </c>
      <c r="U195" s="123">
        <f>20.11*0.94</f>
        <v>18.903399999999998</v>
      </c>
      <c r="V195" s="124" t="s">
        <v>697</v>
      </c>
      <c r="W195" s="122">
        <f t="array" aca="1" ref="W195" ca="1">IF($C195="S",ROUND(IF(TIPOORCAMENTO="Proposto",ORÇAMENTO.CustoUnitario*(1+$AH195),ORÇAMENTO.PrecoUnitarioLicitado),15-13*$AF$10),0)</f>
        <v>22.74</v>
      </c>
      <c r="X195" s="125">
        <f t="array" aca="1" ref="X195" ca="1">IF($C195="S",IF(OR(Import.TipoArredondamento&lt;&gt;"TransfereGOV",ACOMPANHAMENTO="BM"),VTOTAL1,SUM(OFFSET(CÁLCULO!$AI$15,ROW($X195)-ROW($X$15),1):OFFSET(CÁLCULO!$BB$15,ROW($X195)-ROW($X$15),-1))),IF($C195=0,0,ROUND(SomaAgrup,15-13*$AF$11)))</f>
        <v>4798.16</v>
      </c>
      <c r="Y195" s="126" t="s">
        <v>751</v>
      </c>
      <c r="Z195" s="696" t="str">
        <f t="shared" ca="1" si="40"/>
        <v>RA</v>
      </c>
      <c r="AA195" s="127">
        <f t="array" aca="1" ref="AA195" ca="1">IF($C195="S",IF($Z195="CP",$X195,IF($Z195="RA",(($X195)*QCI!$AA$3),0)),SomaAgrup)</f>
        <v>0</v>
      </c>
      <c r="AB195" s="128">
        <f t="array" aca="1" ref="AB195" ca="1">IF($C195="S",IF($Z195="OU",ROUND($X195,2),0),SomaAgrup)</f>
        <v>0</v>
      </c>
      <c r="AC195" s="563" t="str">
        <f t="array" aca="1" ref="AC195" ca="1">IF($N195=""," ",
IF(AND($C195&lt;&gt;"S",OR($R195="",$R195="(digite a descrição aqui)")),"DESCRIÇÃO",
IF(AND($C195="S",OR($Q195&lt;&gt;"",$T195&gt;0,$U195&gt;0),$P195=""),"FONTE",
IF(AND($C195="S",$P195&lt;&gt;"",OR($T195&gt;0,$U195&gt;0),$Q195=""),"CÓDIGO",
IF(AND($C195="S",$P195&lt;&gt;"",$Q195&lt;&gt;"",$R195="(Código não identificado nas referências)"),"CÓDIGO N/ID",
IF(AND($C195="S",OR($R195="",$R195="(digite a descrição aqui)"),OR($Q195&lt;&gt;"",$T195&gt;0,$U195&gt;0)),"DESCRIÇÃO",
IF(AND($C195="S",$P195&lt;&gt;"",$Q195&lt;&gt;"",$S195=""),"UNIDADE",
IF(AND($C195="S",$P195&lt;&gt;"",$Q195&lt;&gt;"",$U195=0),"SEM CUSTO",
IF(AND(TIPOORCAMENTO="Licitado",$AL195=0,$AN195&gt;0),"SEM PREÇO",
IF(AND($C195="S",$P195&lt;&gt;"",$Q195&lt;&gt;"",$U195&gt;0,AND($V195&lt;&gt;"BDI 1",$V195&lt;&gt;"BDI 2",$V195&lt;&gt;"BDI 3")),IF(ISNUMBER($V195),"JUSTIFICAR BDI","BDI"),
IF(OR(AND(import.recurso="OGU",TIPOORCAMENTO="Proposto",LEFT($O$8,5)&lt;&gt;"(N/D:",$AG195&lt;&gt;"",ORÇAMENTO.CustoUnitario&gt;$AG195),AND(TIPOORCAMENTO="LICITADO",ORÇAMENTO.PrecoUnitarioLicitado&gt;$AN195)),"ACIMA REF.",
IF(AND($C195="S",$P195&lt;&gt;"",$Q195&lt;&gt;"",$T195=0,$U195&gt;0),"QUANT.",
IF(AND(Import.TipoArredondamento="TransfereGOV",$L195="F",$C195="S",LEN($Q195)&gt;13),"Código &gt;13",
IF(AND(Import.TipoArredondamento="TransfereGOV",$L195="F",$C195&lt;&gt;"S",LEN($R195)&gt;100),"Descrição &gt;100",
IF(AND(Import.TipoArredondamento="TransfereGOV",$L195="F",$C195="S",LEN($R195)&gt;500),"Descrição &gt;500",
IF(AND(Import.TipoArredondamento="TransfereGOV",$L195="F",$C195="S",LEFT(TRIM(UPPER($P195)),6)&lt;&gt;"SINAPI",ISNA(VLOOKUP(TRIM(UPPER($S195)),ListaTgov.Unidades,1,FALSE))),"Unid. Não Disp",
" "))))))))))))))))</f>
        <v xml:space="preserve"> </v>
      </c>
      <c r="AD195" s="696" t="str">
        <f ca="1">IF(C195&lt;=CRONO.NivelExibicao,MAX($AD$15:OFFSET(AD195,-1,0))+IF($C195&lt;&gt;1,1,MAX(1,COUNTIF(QCI!$A$13:$A$24,OFFSET($E195,-1,0)))),"")</f>
        <v/>
      </c>
      <c r="AE195" s="694" t="str">
        <f t="array" aca="1" ref="AE195" ca="1">IF(AND($C195="S",ORÇAMENTO.CodBarra&lt;&gt;""),IF(ORÇAMENTO.Fonte="",ORÇAMENTO.CodBarra,CONCATENATE(ORÇAMENTO.Fonte," ",ORÇAMENTO.CodBarra)))</f>
        <v>SINAPI 89403</v>
      </c>
      <c r="AF195" s="695">
        <f t="array" aca="1" ref="AF195" ca="1">IF(ISERROR(ORÇAMENTO.BancoRef),"(abra o arquivo 'Referência "&amp;Excel_BuiltIn_Database&amp;".xlsm)",IF(OR($C195&lt;&gt;"S",ORÇAMENTO.CodBarra=""),"(Sem Código)",IF(ISERROR(MATCH($AE195,INDIRECT(ORÇAMENTO.BancoRef),0)),"(Código não identificado nas referências)",MATCH($AE195,INDIRECT(ORÇAMENTO.BancoRef),0))))</f>
        <v>11644</v>
      </c>
      <c r="AG195" s="428">
        <f t="array" aca="1" ref="AG195" ca="1">ROUND(IF(DESONERACAO="sim",REFERENCIA.Desonerado,REFERENCIA.NaoDesonerado),2)</f>
        <v>20.11</v>
      </c>
      <c r="AH195" s="429">
        <f t="shared" ca="1" si="41"/>
        <v>0.2034</v>
      </c>
      <c r="AJ195" s="431"/>
      <c r="AL195" s="439"/>
      <c r="AM195" s="336">
        <f t="shared" ca="1" si="0"/>
        <v>4798.16</v>
      </c>
      <c r="AN195" s="469">
        <f t="array" aca="1" ref="AN195" ca="1">ROUND(ORÇAMENTO.CustoUnitario*(1+$AH195),2)</f>
        <v>22.74</v>
      </c>
    </row>
    <row r="196" spans="1:40" s="696" customFormat="1" x14ac:dyDescent="0.2">
      <c r="A196" s="696">
        <f t="shared" ref="A196:A234" si="43">CHOOSE(1+LOG(1+2*(ORÇAMENTO.Nivel="Meta")+4*(ORÇAMENTO.Nivel="Nível 2")+8*(ORÇAMENTO.Nivel="Nível 3")+16*(ORÇAMENTO.Nivel="Nível 4")+32*(ORÇAMENTO.Nivel="Serviço"),2),0,1,2,3,4,"S")</f>
        <v>2</v>
      </c>
      <c r="B196" s="696">
        <f t="shared" ref="B196:B234" ca="1" si="44">IF(OR(C196="s",C196=0),OFFSET(B196,-1,0),C196)</f>
        <v>2</v>
      </c>
      <c r="C196" s="696">
        <f t="shared" ref="C196:C234" ca="1" si="45">IF(OFFSET(C196,-1,0)="L",1,IF(OFFSET(C196,-1,0)=1,2,IF(OR(A196="s",A196=0),"S",IF(AND(OFFSET(C196,-1,0)=2,A196=4),3,IF(AND(OR(OFFSET(C196,-1,0)="s",OFFSET(C196,-1,0)=0),A196&lt;&gt;"s",A196&gt;OFFSET(B196,-1,0)),OFFSET(B196,-1,0),A196)))))</f>
        <v>2</v>
      </c>
      <c r="D196" s="696">
        <f t="shared" ref="D196:D234" ca="1" si="46">IF(OR(C196="S",C196=0),0,IF(ISERROR(K196),J196,SMALL(J196:K196,1)))</f>
        <v>13</v>
      </c>
      <c r="E196" s="696">
        <f ca="1">IF($C196=1,OFFSET(E196,-1,0)+MAX(1,COUNTIF(QCI!$A$13:$A$24,OFFSET(ORÇAMENTO!E196,-1,0))),OFFSET(E196,-1,0))</f>
        <v>1</v>
      </c>
      <c r="F196" s="696">
        <f t="shared" ref="F196:F234" ca="1" si="47">IF($C196=1,0,IF($C196=2,OFFSET(F196,-1,0)+1,OFFSET(F196,-1,0)))</f>
        <v>30</v>
      </c>
      <c r="G196" s="696">
        <f t="shared" ref="G196:G234" ca="1" si="48">IF(AND($C196&lt;=2,$C196&lt;&gt;0),0,IF($C196=3,OFFSET(G196,-1,0)+1,OFFSET(G196,-1,0)))</f>
        <v>0</v>
      </c>
      <c r="H196" s="696">
        <f t="shared" ref="H196:H234" ca="1" si="49">IF(AND($C196&lt;=3,$C196&lt;&gt;0),0,IF($C196=4,OFFSET(H196,-1,0)+1,OFFSET(H196,-1,0)))</f>
        <v>0</v>
      </c>
      <c r="I196" s="696">
        <f t="shared" ref="I196:I234" ca="1" si="50">IF(AND($C196&lt;=4,$C196&lt;&gt;0),0,IF(AND($C196="S",$X196&gt;0),OFFSET(I196,-1,0)+1,OFFSET(I196,-1,0)))</f>
        <v>0</v>
      </c>
      <c r="J196" s="696">
        <f t="shared" ca="1" si="42"/>
        <v>39</v>
      </c>
      <c r="K196" s="696">
        <f ca="1">IF(OR($C196="S",$C196=0),0,MATCH(OFFSET($D196,0,$C196)+IF($C196&lt;&gt;1,1,COUNTIF(QCI!$A$13:$A$24,ORÇAMENTO!E196)),OFFSET($D196,1,$C196,ROW($C$235)-ROW($C196)),0))</f>
        <v>13</v>
      </c>
      <c r="L196" s="114" t="str">
        <f t="shared" ref="L196:L234" ca="1" si="51">IF(OR($X196&gt;0,$C196=1,$C196=2,$C196=3,$C196=4),"F","")</f>
        <v>F</v>
      </c>
      <c r="M196" s="115" t="s">
        <v>702</v>
      </c>
      <c r="N196" s="116" t="str">
        <f t="shared" ref="N196:N234" ca="1" si="52">CHOOSE(1+LOG(1+2*(C196=1)+4*(C196=2)+8*(C196=3)+16*(C196=4)+32*(C196="S"),2),"","Meta","Nível 2","Nível 3","Nível 4","Serviço")</f>
        <v>Nível 2</v>
      </c>
      <c r="O196" s="117" t="str">
        <f t="shared" ref="O196:O234" ca="1" si="53">IF(OR($C196=0,$L196=""),"-",CONCATENATE(E196&amp;".",IF(AND($A$5&gt;=2,$C196&gt;=2),F196&amp;".",""),IF(AND($A$5&gt;=3,$C196&gt;=3),G196&amp;".",""),IF(AND($A$5&gt;=4,$C196&gt;=4),H196&amp;".",""),IF($C196="S",I196&amp;".","")))</f>
        <v>1.30.</v>
      </c>
      <c r="P196" s="118" t="s">
        <v>750</v>
      </c>
      <c r="Q196" s="119"/>
      <c r="R196" s="120" t="s">
        <v>1173</v>
      </c>
      <c r="S196" s="121" t="s">
        <v>688</v>
      </c>
      <c r="T196" s="122">
        <f ca="1">OFFSET(CÁLCULO!H$15,ROW($T196)-ROW(T$15),0)</f>
        <v>0</v>
      </c>
      <c r="U196" s="123"/>
      <c r="V196" s="124" t="s">
        <v>663</v>
      </c>
      <c r="W196" s="122">
        <f t="array" aca="1" ref="W196" ca="1">IF($C196="S",ROUND(IF(TIPOORCAMENTO="Proposto",ORÇAMENTO.CustoUnitario*(1+$AH196),ORÇAMENTO.PrecoUnitarioLicitado),15-13*$AF$10),0)</f>
        <v>0</v>
      </c>
      <c r="X196" s="125">
        <f t="array" aca="1" ref="X196" ca="1">IF($C196="S",IF(OR(Import.TipoArredondamento&lt;&gt;"TransfereGOV",ACOMPANHAMENTO="BM"),VTOTAL1,SUM(OFFSET(CÁLCULO!$AI$15,ROW($X196)-ROW($X$15),1):OFFSET(CÁLCULO!$BB$15,ROW($X196)-ROW($X$15),-1))),IF($C196=0,0,ROUND(SomaAgrup,15-13*$AF$11)))</f>
        <v>50181.24</v>
      </c>
      <c r="Y196" s="126" t="s">
        <v>751</v>
      </c>
      <c r="Z196" s="696" t="str">
        <f t="shared" ref="Z196:Z234" ca="1" si="54">IF(AND($C196="S",$X196&gt;0),IF(ISBLANK($Y196),"RA",LEFT($Y196,2)),"")</f>
        <v/>
      </c>
      <c r="AA196" s="127">
        <f t="array" aca="1" ref="AA196" ca="1">IF($C196="S",IF($Z196="CP",$X196,IF($Z196="RA",(($X196)*QCI!$AA$3),0)),SomaAgrup)</f>
        <v>0</v>
      </c>
      <c r="AB196" s="128">
        <f t="array" aca="1" ref="AB196" ca="1">IF($C196="S",IF($Z196="OU",ROUND($X196,2),0),SomaAgrup)</f>
        <v>0</v>
      </c>
      <c r="AC196" s="563" t="str">
        <f t="array" aca="1" ref="AC196" ca="1">IF($N196=""," ",
IF(AND($C196&lt;&gt;"S",OR($R196="",$R196="(digite a descrição aqui)")),"DESCRIÇÃO",
IF(AND($C196="S",OR($Q196&lt;&gt;"",$T196&gt;0,$U196&gt;0),$P196=""),"FONTE",
IF(AND($C196="S",$P196&lt;&gt;"",OR($T196&gt;0,$U196&gt;0),$Q196=""),"CÓDIGO",
IF(AND($C196="S",$P196&lt;&gt;"",$Q196&lt;&gt;"",$R196="(Código não identificado nas referências)"),"CÓDIGO N/ID",
IF(AND($C196="S",OR($R196="",$R196="(digite a descrição aqui)"),OR($Q196&lt;&gt;"",$T196&gt;0,$U196&gt;0)),"DESCRIÇÃO",
IF(AND($C196="S",$P196&lt;&gt;"",$Q196&lt;&gt;"",$S196=""),"UNIDADE",
IF(AND($C196="S",$P196&lt;&gt;"",$Q196&lt;&gt;"",$U196=0),"SEM CUSTO",
IF(AND(TIPOORCAMENTO="Licitado",$AL196=0,$AN196&gt;0),"SEM PREÇO",
IF(AND($C196="S",$P196&lt;&gt;"",$Q196&lt;&gt;"",$U196&gt;0,AND($V196&lt;&gt;"BDI 1",$V196&lt;&gt;"BDI 2",$V196&lt;&gt;"BDI 3")),IF(ISNUMBER($V196),"JUSTIFICAR BDI","BDI"),
IF(OR(AND(import.recurso="OGU",TIPOORCAMENTO="Proposto",LEFT($O$8,5)&lt;&gt;"(N/D:",$AG196&lt;&gt;"",ORÇAMENTO.CustoUnitario&gt;$AG196),AND(TIPOORCAMENTO="LICITADO",ORÇAMENTO.PrecoUnitarioLicitado&gt;$AN196)),"ACIMA REF.",
IF(AND($C196="S",$P196&lt;&gt;"",$Q196&lt;&gt;"",$T196=0,$U196&gt;0),"QUANT.",
IF(AND(Import.TipoArredondamento="TransfereGOV",$L196="F",$C196="S",LEN($Q196)&gt;13),"Código &gt;13",
IF(AND(Import.TipoArredondamento="TransfereGOV",$L196="F",$C196&lt;&gt;"S",LEN($R196)&gt;100),"Descrição &gt;100",
IF(AND(Import.TipoArredondamento="TransfereGOV",$L196="F",$C196="S",LEN($R196)&gt;500),"Descrição &gt;500",
IF(AND(Import.TipoArredondamento="TransfereGOV",$L196="F",$C196="S",LEFT(TRIM(UPPER($P196)),6)&lt;&gt;"SINAPI",ISNA(VLOOKUP(TRIM(UPPER($S196)),ListaTgov.Unidades,1,FALSE))),"Unid. Não Disp",
" "))))))))))))))))</f>
        <v xml:space="preserve"> </v>
      </c>
      <c r="AD196" s="696">
        <f ca="1">IF(C196&lt;=CRONO.NivelExibicao,MAX($AD$15:OFFSET(AD196,-1,0))+IF($C196&lt;&gt;1,1,MAX(1,COUNTIF(QCI!$A$13:$A$24,OFFSET($E196,-1,0)))),"")</f>
        <v>31</v>
      </c>
      <c r="AE196" s="694" t="b">
        <f t="array" aca="1" ref="AE196" ca="1">IF(AND($C196="S",ORÇAMENTO.CodBarra&lt;&gt;""),IF(ORÇAMENTO.Fonte="",ORÇAMENTO.CodBarra,CONCATENATE(ORÇAMENTO.Fonte," ",ORÇAMENTO.CodBarra)))</f>
        <v>0</v>
      </c>
      <c r="AF196" s="695" t="str">
        <f t="array" aca="1" ref="AF196" ca="1">IF(ISERROR(ORÇAMENTO.BancoRef),"(abra o arquivo 'Referência "&amp;Excel_BuiltIn_Database&amp;".xlsm)",IF(OR($C196&lt;&gt;"S",ORÇAMENTO.CodBarra=""),"(Sem Código)",IF(ISERROR(MATCH($AE196,INDIRECT(ORÇAMENTO.BancoRef),0)),"(Código não identificado nas referências)",MATCH($AE196,INDIRECT(ORÇAMENTO.BancoRef),0))))</f>
        <v>(Sem Código)</v>
      </c>
      <c r="AG196" s="428">
        <f t="array" aca="1" ref="AG196" ca="1">ROUND(IF(DESONERACAO="sim",REFERENCIA.Desonerado,REFERENCIA.NaoDesonerado),2)</f>
        <v>0</v>
      </c>
      <c r="AH196" s="429">
        <f t="shared" ref="AH196:AH234" ca="1" si="55">ROUND(IF(ISNUMBER(ORÇAMENTO.OpcaoBDI),ORÇAMENTO.OpcaoBDI,IF(LEFT(ORÇAMENTO.OpcaoBDI,3)="BDI",HLOOKUP(ORÇAMENTO.OpcaoBDI,$F$4:$H$5,2,FALSE),0)),15-11*$AF$9)</f>
        <v>0.29389999999999999</v>
      </c>
      <c r="AJ196" s="431"/>
      <c r="AL196" s="439"/>
      <c r="AM196" s="336">
        <f t="shared" ca="1" si="0"/>
        <v>50181.24</v>
      </c>
      <c r="AN196" s="469">
        <f t="array" aca="1" ref="AN196" ca="1">ROUND(ORÇAMENTO.CustoUnitario*(1+$AH196),2)</f>
        <v>0</v>
      </c>
    </row>
    <row r="197" spans="1:40" s="696" customFormat="1" ht="38.25" x14ac:dyDescent="0.2">
      <c r="A197" s="696" t="str">
        <f t="shared" si="43"/>
        <v>S</v>
      </c>
      <c r="B197" s="696">
        <f t="shared" ca="1" si="44"/>
        <v>2</v>
      </c>
      <c r="C197" s="696" t="str">
        <f t="shared" ca="1" si="45"/>
        <v>S</v>
      </c>
      <c r="D197" s="696">
        <f t="shared" ca="1" si="46"/>
        <v>0</v>
      </c>
      <c r="E197" s="696">
        <f ca="1">IF($C197=1,OFFSET(E197,-1,0)+MAX(1,COUNTIF(QCI!$A$13:$A$24,OFFSET(ORÇAMENTO!E197,-1,0))),OFFSET(E197,-1,0))</f>
        <v>1</v>
      </c>
      <c r="F197" s="696">
        <f t="shared" ca="1" si="47"/>
        <v>30</v>
      </c>
      <c r="G197" s="696">
        <f t="shared" ca="1" si="48"/>
        <v>0</v>
      </c>
      <c r="H197" s="696">
        <f t="shared" ca="1" si="49"/>
        <v>0</v>
      </c>
      <c r="I197" s="696">
        <f t="shared" ca="1" si="50"/>
        <v>1</v>
      </c>
      <c r="J197" s="696">
        <f t="shared" ca="1" si="42"/>
        <v>0</v>
      </c>
      <c r="K197" s="696">
        <f ca="1">IF(OR($C197="S",$C197=0),0,MATCH(OFFSET($D197,0,$C197)+IF($C197&lt;&gt;1,1,COUNTIF(QCI!$A$13:$A$24,ORÇAMENTO!E197)),OFFSET($D197,1,$C197,ROW($C$235)-ROW($C197)),0))</f>
        <v>0</v>
      </c>
      <c r="L197" s="114" t="str">
        <f t="shared" ca="1" si="51"/>
        <v>F</v>
      </c>
      <c r="M197" s="115" t="s">
        <v>705</v>
      </c>
      <c r="N197" s="116" t="str">
        <f t="shared" ca="1" si="52"/>
        <v>Serviço</v>
      </c>
      <c r="O197" s="117" t="str">
        <f t="shared" ca="1" si="53"/>
        <v>1.30.1.</v>
      </c>
      <c r="P197" s="118" t="s">
        <v>750</v>
      </c>
      <c r="Q197" s="119" t="s">
        <v>1174</v>
      </c>
      <c r="R197" s="120" t="str">
        <f t="array" aca="1" ref="R197" ca="1">IF($C197="S",REFERENCIA.Descricao,"(digite a descrição aqui)")</f>
        <v>JOELHO 45 GRAUS, PVC, SERIE NORMAL, ESGOTO PREDIAL, DN 40 MM, JUNTA SOLDÁVEL, FORNECIDO E INSTALADO EM RAMAL DE DESCARGA OU RAMAL DE ESGOTO SANITÁRIO. AF_08/2022</v>
      </c>
      <c r="S197" s="121" t="str">
        <f t="array" aca="1" ref="S197" ca="1">REFERENCIA.Unidade</f>
        <v>UN</v>
      </c>
      <c r="T197" s="122">
        <f ca="1">OFFSET(CÁLCULO!H$15,ROW($T197)-ROW(T$15),0)</f>
        <v>60</v>
      </c>
      <c r="U197" s="123">
        <f>11.41*0.94</f>
        <v>10.725399999999999</v>
      </c>
      <c r="V197" s="124" t="s">
        <v>697</v>
      </c>
      <c r="W197" s="122">
        <f t="array" aca="1" ref="W197" ca="1">IF($C197="S",ROUND(IF(TIPOORCAMENTO="Proposto",ORÇAMENTO.CustoUnitario*(1+$AH197),ORÇAMENTO.PrecoUnitarioLicitado),15-13*$AF$10),0)</f>
        <v>12.91</v>
      </c>
      <c r="X197" s="125">
        <f t="array" aca="1" ref="X197" ca="1">IF($C197="S",IF(OR(Import.TipoArredondamento&lt;&gt;"TransfereGOV",ACOMPANHAMENTO="BM"),VTOTAL1,SUM(OFFSET(CÁLCULO!$AI$15,ROW($X197)-ROW($X$15),1):OFFSET(CÁLCULO!$BB$15,ROW($X197)-ROW($X$15),-1))),IF($C197=0,0,ROUND(SomaAgrup,15-13*$AF$11)))</f>
        <v>774.6</v>
      </c>
      <c r="Y197" s="126" t="s">
        <v>751</v>
      </c>
      <c r="Z197" s="696" t="str">
        <f t="shared" ca="1" si="54"/>
        <v>RA</v>
      </c>
      <c r="AA197" s="127">
        <f t="array" aca="1" ref="AA197" ca="1">IF($C197="S",IF($Z197="CP",$X197,IF($Z197="RA",(($X197)*QCI!$AA$3),0)),SomaAgrup)</f>
        <v>0</v>
      </c>
      <c r="AB197" s="128">
        <f t="array" aca="1" ref="AB197" ca="1">IF($C197="S",IF($Z197="OU",ROUND($X197,2),0),SomaAgrup)</f>
        <v>0</v>
      </c>
      <c r="AC197" s="563" t="str">
        <f t="array" aca="1" ref="AC197" ca="1">IF($N197=""," ",
IF(AND($C197&lt;&gt;"S",OR($R197="",$R197="(digite a descrição aqui)")),"DESCRIÇÃO",
IF(AND($C197="S",OR($Q197&lt;&gt;"",$T197&gt;0,$U197&gt;0),$P197=""),"FONTE",
IF(AND($C197="S",$P197&lt;&gt;"",OR($T197&gt;0,$U197&gt;0),$Q197=""),"CÓDIGO",
IF(AND($C197="S",$P197&lt;&gt;"",$Q197&lt;&gt;"",$R197="(Código não identificado nas referências)"),"CÓDIGO N/ID",
IF(AND($C197="S",OR($R197="",$R197="(digite a descrição aqui)"),OR($Q197&lt;&gt;"",$T197&gt;0,$U197&gt;0)),"DESCRIÇÃO",
IF(AND($C197="S",$P197&lt;&gt;"",$Q197&lt;&gt;"",$S197=""),"UNIDADE",
IF(AND($C197="S",$P197&lt;&gt;"",$Q197&lt;&gt;"",$U197=0),"SEM CUSTO",
IF(AND(TIPOORCAMENTO="Licitado",$AL197=0,$AN197&gt;0),"SEM PREÇO",
IF(AND($C197="S",$P197&lt;&gt;"",$Q197&lt;&gt;"",$U197&gt;0,AND($V197&lt;&gt;"BDI 1",$V197&lt;&gt;"BDI 2",$V197&lt;&gt;"BDI 3")),IF(ISNUMBER($V197),"JUSTIFICAR BDI","BDI"),
IF(OR(AND(import.recurso="OGU",TIPOORCAMENTO="Proposto",LEFT($O$8,5)&lt;&gt;"(N/D:",$AG197&lt;&gt;"",ORÇAMENTO.CustoUnitario&gt;$AG197),AND(TIPOORCAMENTO="LICITADO",ORÇAMENTO.PrecoUnitarioLicitado&gt;$AN197)),"ACIMA REF.",
IF(AND($C197="S",$P197&lt;&gt;"",$Q197&lt;&gt;"",$T197=0,$U197&gt;0),"QUANT.",
IF(AND(Import.TipoArredondamento="TransfereGOV",$L197="F",$C197="S",LEN($Q197)&gt;13),"Código &gt;13",
IF(AND(Import.TipoArredondamento="TransfereGOV",$L197="F",$C197&lt;&gt;"S",LEN($R197)&gt;100),"Descrição &gt;100",
IF(AND(Import.TipoArredondamento="TransfereGOV",$L197="F",$C197="S",LEN($R197)&gt;500),"Descrição &gt;500",
IF(AND(Import.TipoArredondamento="TransfereGOV",$L197="F",$C197="S",LEFT(TRIM(UPPER($P197)),6)&lt;&gt;"SINAPI",ISNA(VLOOKUP(TRIM(UPPER($S197)),ListaTgov.Unidades,1,FALSE))),"Unid. Não Disp",
" "))))))))))))))))</f>
        <v xml:space="preserve"> </v>
      </c>
      <c r="AD197" s="696" t="str">
        <f ca="1">IF(C197&lt;=CRONO.NivelExibicao,MAX($AD$15:OFFSET(AD197,-1,0))+IF($C197&lt;&gt;1,1,MAX(1,COUNTIF(QCI!$A$13:$A$24,OFFSET($E197,-1,0)))),"")</f>
        <v/>
      </c>
      <c r="AE197" s="694" t="str">
        <f t="array" aca="1" ref="AE197" ca="1">IF(AND($C197="S",ORÇAMENTO.CodBarra&lt;&gt;""),IF(ORÇAMENTO.Fonte="",ORÇAMENTO.CodBarra,CONCATENATE(ORÇAMENTO.Fonte," ",ORÇAMENTO.CodBarra)))</f>
        <v>SINAPI 89726</v>
      </c>
      <c r="AF197" s="695">
        <f t="array" aca="1" ref="AF197" ca="1">IF(ISERROR(ORÇAMENTO.BancoRef),"(abra o arquivo 'Referência "&amp;Excel_BuiltIn_Database&amp;".xlsm)",IF(OR($C197&lt;&gt;"S",ORÇAMENTO.CodBarra=""),"(Sem Código)",IF(ISERROR(MATCH($AE197,INDIRECT(ORÇAMENTO.BancoRef),0)),"(Código não identificado nas referências)",MATCH($AE197,INDIRECT(ORÇAMENTO.BancoRef),0))))</f>
        <v>11382</v>
      </c>
      <c r="AG197" s="428">
        <f t="array" aca="1" ref="AG197" ca="1">ROUND(IF(DESONERACAO="sim",REFERENCIA.Desonerado,REFERENCIA.NaoDesonerado),2)</f>
        <v>11.41</v>
      </c>
      <c r="AH197" s="429">
        <f t="shared" ca="1" si="55"/>
        <v>0.2034</v>
      </c>
      <c r="AJ197" s="431"/>
      <c r="AL197" s="439"/>
      <c r="AM197" s="336">
        <f t="shared" ca="1" si="0"/>
        <v>774.6</v>
      </c>
      <c r="AN197" s="469">
        <f t="array" aca="1" ref="AN197" ca="1">ROUND(ORÇAMENTO.CustoUnitario*(1+$AH197),2)</f>
        <v>12.91</v>
      </c>
    </row>
    <row r="198" spans="1:40" s="696" customFormat="1" ht="38.25" x14ac:dyDescent="0.2">
      <c r="A198" s="696" t="str">
        <f t="shared" si="43"/>
        <v>S</v>
      </c>
      <c r="B198" s="696">
        <f t="shared" ca="1" si="44"/>
        <v>2</v>
      </c>
      <c r="C198" s="696" t="str">
        <f t="shared" ca="1" si="45"/>
        <v>S</v>
      </c>
      <c r="D198" s="696">
        <f t="shared" ca="1" si="46"/>
        <v>0</v>
      </c>
      <c r="E198" s="696">
        <f ca="1">IF($C198=1,OFFSET(E198,-1,0)+MAX(1,COUNTIF(QCI!$A$13:$A$24,OFFSET(ORÇAMENTO!E198,-1,0))),OFFSET(E198,-1,0))</f>
        <v>1</v>
      </c>
      <c r="F198" s="696">
        <f t="shared" ca="1" si="47"/>
        <v>30</v>
      </c>
      <c r="G198" s="696">
        <f t="shared" ca="1" si="48"/>
        <v>0</v>
      </c>
      <c r="H198" s="696">
        <f t="shared" ca="1" si="49"/>
        <v>0</v>
      </c>
      <c r="I198" s="696">
        <f t="shared" ca="1" si="50"/>
        <v>2</v>
      </c>
      <c r="J198" s="696">
        <f t="shared" ca="1" si="42"/>
        <v>0</v>
      </c>
      <c r="K198" s="696">
        <f ca="1">IF(OR($C198="S",$C198=0),0,MATCH(OFFSET($D198,0,$C198)+IF($C198&lt;&gt;1,1,COUNTIF(QCI!$A$13:$A$24,ORÇAMENTO!E198)),OFFSET($D198,1,$C198,ROW($C$235)-ROW($C198)),0))</f>
        <v>0</v>
      </c>
      <c r="L198" s="114" t="str">
        <f t="shared" ca="1" si="51"/>
        <v>F</v>
      </c>
      <c r="M198" s="115" t="s">
        <v>705</v>
      </c>
      <c r="N198" s="116" t="str">
        <f t="shared" ca="1" si="52"/>
        <v>Serviço</v>
      </c>
      <c r="O198" s="117" t="str">
        <f t="shared" ca="1" si="53"/>
        <v>1.30.2.</v>
      </c>
      <c r="P198" s="118" t="s">
        <v>750</v>
      </c>
      <c r="Q198" s="119" t="s">
        <v>1175</v>
      </c>
      <c r="R198" s="120" t="str">
        <f t="array" aca="1" ref="R198" ca="1">IF($C198="S",REFERENCIA.Descricao,"(digite a descrição aqui)")</f>
        <v>JOELHO 45 GRAUS, PVC, SERIE NORMAL, ESGOTO PREDIAL, DN 50 MM, JUNTA ELÁSTICA, FORNECIDO E INSTALADO EM RAMAL DE DESCARGA OU RAMAL DE ESGOTO SANITÁRIO. AF_08/2022</v>
      </c>
      <c r="S198" s="121" t="str">
        <f t="array" aca="1" ref="S198" ca="1">REFERENCIA.Unidade</f>
        <v>UN</v>
      </c>
      <c r="T198" s="122">
        <f ca="1">OFFSET(CÁLCULO!H$15,ROW($T198)-ROW(T$15),0)</f>
        <v>40</v>
      </c>
      <c r="U198" s="123">
        <f>16.45*0.94</f>
        <v>15.462999999999999</v>
      </c>
      <c r="V198" s="124" t="s">
        <v>697</v>
      </c>
      <c r="W198" s="122">
        <f t="array" aca="1" ref="W198" ca="1">IF($C198="S",ROUND(IF(TIPOORCAMENTO="Proposto",ORÇAMENTO.CustoUnitario*(1+$AH198),ORÇAMENTO.PrecoUnitarioLicitado),15-13*$AF$10),0)</f>
        <v>18.600000000000001</v>
      </c>
      <c r="X198" s="125">
        <f t="array" aca="1" ref="X198" ca="1">IF($C198="S",IF(OR(Import.TipoArredondamento&lt;&gt;"TransfereGOV",ACOMPANHAMENTO="BM"),VTOTAL1,SUM(OFFSET(CÁLCULO!$AI$15,ROW($X198)-ROW($X$15),1):OFFSET(CÁLCULO!$BB$15,ROW($X198)-ROW($X$15),-1))),IF($C198=0,0,ROUND(SomaAgrup,15-13*$AF$11)))</f>
        <v>744</v>
      </c>
      <c r="Y198" s="126" t="s">
        <v>751</v>
      </c>
      <c r="Z198" s="696" t="str">
        <f t="shared" ca="1" si="54"/>
        <v>RA</v>
      </c>
      <c r="AA198" s="127">
        <f t="array" aca="1" ref="AA198" ca="1">IF($C198="S",IF($Z198="CP",$X198,IF($Z198="RA",(($X198)*QCI!$AA$3),0)),SomaAgrup)</f>
        <v>0</v>
      </c>
      <c r="AB198" s="128">
        <f t="array" aca="1" ref="AB198" ca="1">IF($C198="S",IF($Z198="OU",ROUND($X198,2),0),SomaAgrup)</f>
        <v>0</v>
      </c>
      <c r="AC198" s="563" t="str">
        <f t="array" aca="1" ref="AC198" ca="1">IF($N198=""," ",
IF(AND($C198&lt;&gt;"S",OR($R198="",$R198="(digite a descrição aqui)")),"DESCRIÇÃO",
IF(AND($C198="S",OR($Q198&lt;&gt;"",$T198&gt;0,$U198&gt;0),$P198=""),"FONTE",
IF(AND($C198="S",$P198&lt;&gt;"",OR($T198&gt;0,$U198&gt;0),$Q198=""),"CÓDIGO",
IF(AND($C198="S",$P198&lt;&gt;"",$Q198&lt;&gt;"",$R198="(Código não identificado nas referências)"),"CÓDIGO N/ID",
IF(AND($C198="S",OR($R198="",$R198="(digite a descrição aqui)"),OR($Q198&lt;&gt;"",$T198&gt;0,$U198&gt;0)),"DESCRIÇÃO",
IF(AND($C198="S",$P198&lt;&gt;"",$Q198&lt;&gt;"",$S198=""),"UNIDADE",
IF(AND($C198="S",$P198&lt;&gt;"",$Q198&lt;&gt;"",$U198=0),"SEM CUSTO",
IF(AND(TIPOORCAMENTO="Licitado",$AL198=0,$AN198&gt;0),"SEM PREÇO",
IF(AND($C198="S",$P198&lt;&gt;"",$Q198&lt;&gt;"",$U198&gt;0,AND($V198&lt;&gt;"BDI 1",$V198&lt;&gt;"BDI 2",$V198&lt;&gt;"BDI 3")),IF(ISNUMBER($V198),"JUSTIFICAR BDI","BDI"),
IF(OR(AND(import.recurso="OGU",TIPOORCAMENTO="Proposto",LEFT($O$8,5)&lt;&gt;"(N/D:",$AG198&lt;&gt;"",ORÇAMENTO.CustoUnitario&gt;$AG198),AND(TIPOORCAMENTO="LICITADO",ORÇAMENTO.PrecoUnitarioLicitado&gt;$AN198)),"ACIMA REF.",
IF(AND($C198="S",$P198&lt;&gt;"",$Q198&lt;&gt;"",$T198=0,$U198&gt;0),"QUANT.",
IF(AND(Import.TipoArredondamento="TransfereGOV",$L198="F",$C198="S",LEN($Q198)&gt;13),"Código &gt;13",
IF(AND(Import.TipoArredondamento="TransfereGOV",$L198="F",$C198&lt;&gt;"S",LEN($R198)&gt;100),"Descrição &gt;100",
IF(AND(Import.TipoArredondamento="TransfereGOV",$L198="F",$C198="S",LEN($R198)&gt;500),"Descrição &gt;500",
IF(AND(Import.TipoArredondamento="TransfereGOV",$L198="F",$C198="S",LEFT(TRIM(UPPER($P198)),6)&lt;&gt;"SINAPI",ISNA(VLOOKUP(TRIM(UPPER($S198)),ListaTgov.Unidades,1,FALSE))),"Unid. Não Disp",
" "))))))))))))))))</f>
        <v xml:space="preserve"> </v>
      </c>
      <c r="AD198" s="696" t="str">
        <f ca="1">IF(C198&lt;=CRONO.NivelExibicao,MAX($AD$15:OFFSET(AD198,-1,0))+IF($C198&lt;&gt;1,1,MAX(1,COUNTIF(QCI!$A$13:$A$24,OFFSET($E198,-1,0)))),"")</f>
        <v/>
      </c>
      <c r="AE198" s="694" t="str">
        <f t="array" aca="1" ref="AE198" ca="1">IF(AND($C198="S",ORÇAMENTO.CodBarra&lt;&gt;""),IF(ORÇAMENTO.Fonte="",ORÇAMENTO.CodBarra,CONCATENATE(ORÇAMENTO.Fonte," ",ORÇAMENTO.CodBarra)))</f>
        <v>SINAPI 89732</v>
      </c>
      <c r="AF198" s="695">
        <f t="array" aca="1" ref="AF198" ca="1">IF(ISERROR(ORÇAMENTO.BancoRef),"(abra o arquivo 'Referência "&amp;Excel_BuiltIn_Database&amp;".xlsm)",IF(OR($C198&lt;&gt;"S",ORÇAMENTO.CodBarra=""),"(Sem Código)",IF(ISERROR(MATCH($AE198,INDIRECT(ORÇAMENTO.BancoRef),0)),"(Código não identificado nas referências)",MATCH($AE198,INDIRECT(ORÇAMENTO.BancoRef),0))))</f>
        <v>11384</v>
      </c>
      <c r="AG198" s="428">
        <f t="array" aca="1" ref="AG198" ca="1">ROUND(IF(DESONERACAO="sim",REFERENCIA.Desonerado,REFERENCIA.NaoDesonerado),2)</f>
        <v>16.45</v>
      </c>
      <c r="AH198" s="429">
        <f t="shared" ca="1" si="55"/>
        <v>0.2034</v>
      </c>
      <c r="AJ198" s="431"/>
      <c r="AL198" s="439"/>
      <c r="AM198" s="336">
        <f t="shared" ca="1" si="0"/>
        <v>744</v>
      </c>
      <c r="AN198" s="469">
        <f t="array" aca="1" ref="AN198" ca="1">ROUND(ORÇAMENTO.CustoUnitario*(1+$AH198),2)</f>
        <v>18.600000000000001</v>
      </c>
    </row>
    <row r="199" spans="1:40" s="696" customFormat="1" ht="38.25" x14ac:dyDescent="0.2">
      <c r="A199" s="696" t="str">
        <f t="shared" si="43"/>
        <v>S</v>
      </c>
      <c r="B199" s="696">
        <f t="shared" ca="1" si="44"/>
        <v>2</v>
      </c>
      <c r="C199" s="696" t="str">
        <f t="shared" ca="1" si="45"/>
        <v>S</v>
      </c>
      <c r="D199" s="696">
        <f t="shared" ca="1" si="46"/>
        <v>0</v>
      </c>
      <c r="E199" s="696">
        <f ca="1">IF($C199=1,OFFSET(E199,-1,0)+MAX(1,COUNTIF(QCI!$A$13:$A$24,OFFSET(ORÇAMENTO!E199,-1,0))),OFFSET(E199,-1,0))</f>
        <v>1</v>
      </c>
      <c r="F199" s="696">
        <f t="shared" ca="1" si="47"/>
        <v>30</v>
      </c>
      <c r="G199" s="696">
        <f t="shared" ca="1" si="48"/>
        <v>0</v>
      </c>
      <c r="H199" s="696">
        <f t="shared" ca="1" si="49"/>
        <v>0</v>
      </c>
      <c r="I199" s="696">
        <f t="shared" ca="1" si="50"/>
        <v>3</v>
      </c>
      <c r="J199" s="696">
        <f t="shared" ca="1" si="42"/>
        <v>0</v>
      </c>
      <c r="K199" s="696">
        <f ca="1">IF(OR($C199="S",$C199=0),0,MATCH(OFFSET($D199,0,$C199)+IF($C199&lt;&gt;1,1,COUNTIF(QCI!$A$13:$A$24,ORÇAMENTO!E199)),OFFSET($D199,1,$C199,ROW($C$235)-ROW($C199)),0))</f>
        <v>0</v>
      </c>
      <c r="L199" s="114" t="str">
        <f t="shared" ca="1" si="51"/>
        <v>F</v>
      </c>
      <c r="M199" s="115" t="s">
        <v>705</v>
      </c>
      <c r="N199" s="116" t="str">
        <f t="shared" ca="1" si="52"/>
        <v>Serviço</v>
      </c>
      <c r="O199" s="117" t="str">
        <f t="shared" ca="1" si="53"/>
        <v>1.30.3.</v>
      </c>
      <c r="P199" s="118" t="s">
        <v>750</v>
      </c>
      <c r="Q199" s="119" t="s">
        <v>1176</v>
      </c>
      <c r="R199" s="120" t="str">
        <f t="array" aca="1" ref="R199" ca="1">IF($C199="S",REFERENCIA.Descricao,"(digite a descrição aqui)")</f>
        <v>JOELHO 90 GRAUS, PVC, SERIE NORMAL, ESGOTO PREDIAL, DN 40 MM, JUNTA SOLDÁVEL, FORNECIDO E INSTALADO EM RAMAL DE DESCARGA OU RAMAL DE ESGOTO SANITÁRIO. AF_08/2022</v>
      </c>
      <c r="S199" s="121" t="str">
        <f t="array" aca="1" ref="S199" ca="1">REFERENCIA.Unidade</f>
        <v>UN</v>
      </c>
      <c r="T199" s="122">
        <f ca="1">OFFSET(CÁLCULO!H$15,ROW($T199)-ROW(T$15),0)</f>
        <v>40</v>
      </c>
      <c r="U199" s="123">
        <f>11.17*0.94</f>
        <v>10.499799999999999</v>
      </c>
      <c r="V199" s="124" t="s">
        <v>697</v>
      </c>
      <c r="W199" s="122">
        <f t="array" aca="1" ref="W199" ca="1">IF($C199="S",ROUND(IF(TIPOORCAMENTO="Proposto",ORÇAMENTO.CustoUnitario*(1+$AH199),ORÇAMENTO.PrecoUnitarioLicitado),15-13*$AF$10),0)</f>
        <v>12.64</v>
      </c>
      <c r="X199" s="125">
        <f t="array" aca="1" ref="X199" ca="1">IF($C199="S",IF(OR(Import.TipoArredondamento&lt;&gt;"TransfereGOV",ACOMPANHAMENTO="BM"),VTOTAL1,SUM(OFFSET(CÁLCULO!$AI$15,ROW($X199)-ROW($X$15),1):OFFSET(CÁLCULO!$BB$15,ROW($X199)-ROW($X$15),-1))),IF($C199=0,0,ROUND(SomaAgrup,15-13*$AF$11)))</f>
        <v>505.6</v>
      </c>
      <c r="Y199" s="126" t="s">
        <v>751</v>
      </c>
      <c r="Z199" s="696" t="str">
        <f t="shared" ca="1" si="54"/>
        <v>RA</v>
      </c>
      <c r="AA199" s="127">
        <f t="array" aca="1" ref="AA199" ca="1">IF($C199="S",IF($Z199="CP",$X199,IF($Z199="RA",(($X199)*QCI!$AA$3),0)),SomaAgrup)</f>
        <v>0</v>
      </c>
      <c r="AB199" s="128">
        <f t="array" aca="1" ref="AB199" ca="1">IF($C199="S",IF($Z199="OU",ROUND($X199,2),0),SomaAgrup)</f>
        <v>0</v>
      </c>
      <c r="AC199" s="563" t="str">
        <f t="array" aca="1" ref="AC199" ca="1">IF($N199=""," ",
IF(AND($C199&lt;&gt;"S",OR($R199="",$R199="(digite a descrição aqui)")),"DESCRIÇÃO",
IF(AND($C199="S",OR($Q199&lt;&gt;"",$T199&gt;0,$U199&gt;0),$P199=""),"FONTE",
IF(AND($C199="S",$P199&lt;&gt;"",OR($T199&gt;0,$U199&gt;0),$Q199=""),"CÓDIGO",
IF(AND($C199="S",$P199&lt;&gt;"",$Q199&lt;&gt;"",$R199="(Código não identificado nas referências)"),"CÓDIGO N/ID",
IF(AND($C199="S",OR($R199="",$R199="(digite a descrição aqui)"),OR($Q199&lt;&gt;"",$T199&gt;0,$U199&gt;0)),"DESCRIÇÃO",
IF(AND($C199="S",$P199&lt;&gt;"",$Q199&lt;&gt;"",$S199=""),"UNIDADE",
IF(AND($C199="S",$P199&lt;&gt;"",$Q199&lt;&gt;"",$U199=0),"SEM CUSTO",
IF(AND(TIPOORCAMENTO="Licitado",$AL199=0,$AN199&gt;0),"SEM PREÇO",
IF(AND($C199="S",$P199&lt;&gt;"",$Q199&lt;&gt;"",$U199&gt;0,AND($V199&lt;&gt;"BDI 1",$V199&lt;&gt;"BDI 2",$V199&lt;&gt;"BDI 3")),IF(ISNUMBER($V199),"JUSTIFICAR BDI","BDI"),
IF(OR(AND(import.recurso="OGU",TIPOORCAMENTO="Proposto",LEFT($O$8,5)&lt;&gt;"(N/D:",$AG199&lt;&gt;"",ORÇAMENTO.CustoUnitario&gt;$AG199),AND(TIPOORCAMENTO="LICITADO",ORÇAMENTO.PrecoUnitarioLicitado&gt;$AN199)),"ACIMA REF.",
IF(AND($C199="S",$P199&lt;&gt;"",$Q199&lt;&gt;"",$T199=0,$U199&gt;0),"QUANT.",
IF(AND(Import.TipoArredondamento="TransfereGOV",$L199="F",$C199="S",LEN($Q199)&gt;13),"Código &gt;13",
IF(AND(Import.TipoArredondamento="TransfereGOV",$L199="F",$C199&lt;&gt;"S",LEN($R199)&gt;100),"Descrição &gt;100",
IF(AND(Import.TipoArredondamento="TransfereGOV",$L199="F",$C199="S",LEN($R199)&gt;500),"Descrição &gt;500",
IF(AND(Import.TipoArredondamento="TransfereGOV",$L199="F",$C199="S",LEFT(TRIM(UPPER($P199)),6)&lt;&gt;"SINAPI",ISNA(VLOOKUP(TRIM(UPPER($S199)),ListaTgov.Unidades,1,FALSE))),"Unid. Não Disp",
" "))))))))))))))))</f>
        <v xml:space="preserve"> </v>
      </c>
      <c r="AD199" s="696" t="str">
        <f ca="1">IF(C199&lt;=CRONO.NivelExibicao,MAX($AD$15:OFFSET(AD199,-1,0))+IF($C199&lt;&gt;1,1,MAX(1,COUNTIF(QCI!$A$13:$A$24,OFFSET($E199,-1,0)))),"")</f>
        <v/>
      </c>
      <c r="AE199" s="694" t="str">
        <f t="array" aca="1" ref="AE199" ca="1">IF(AND($C199="S",ORÇAMENTO.CodBarra&lt;&gt;""),IF(ORÇAMENTO.Fonte="",ORÇAMENTO.CodBarra,CONCATENATE(ORÇAMENTO.Fonte," ",ORÇAMENTO.CodBarra)))</f>
        <v>SINAPI 89724</v>
      </c>
      <c r="AF199" s="695">
        <f t="array" aca="1" ref="AF199" ca="1">IF(ISERROR(ORÇAMENTO.BancoRef),"(abra o arquivo 'Referência "&amp;Excel_BuiltIn_Database&amp;".xlsm)",IF(OR($C199&lt;&gt;"S",ORÇAMENTO.CodBarra=""),"(Sem Código)",IF(ISERROR(MATCH($AE199,INDIRECT(ORÇAMENTO.BancoRef),0)),"(Código não identificado nas referências)",MATCH($AE199,INDIRECT(ORÇAMENTO.BancoRef),0))))</f>
        <v>11391</v>
      </c>
      <c r="AG199" s="428">
        <f t="array" aca="1" ref="AG199" ca="1">ROUND(IF(DESONERACAO="sim",REFERENCIA.Desonerado,REFERENCIA.NaoDesonerado),2)</f>
        <v>11.17</v>
      </c>
      <c r="AH199" s="429">
        <f t="shared" ca="1" si="55"/>
        <v>0.2034</v>
      </c>
      <c r="AJ199" s="431"/>
      <c r="AL199" s="439"/>
      <c r="AM199" s="336">
        <f t="shared" ca="1" si="0"/>
        <v>505.6</v>
      </c>
      <c r="AN199" s="469">
        <f t="array" aca="1" ref="AN199" ca="1">ROUND(ORÇAMENTO.CustoUnitario*(1+$AH199),2)</f>
        <v>12.64</v>
      </c>
    </row>
    <row r="200" spans="1:40" s="696" customFormat="1" ht="38.25" x14ac:dyDescent="0.2">
      <c r="A200" s="696" t="str">
        <f t="shared" si="43"/>
        <v>S</v>
      </c>
      <c r="B200" s="696">
        <f t="shared" ca="1" si="44"/>
        <v>2</v>
      </c>
      <c r="C200" s="696" t="str">
        <f t="shared" ca="1" si="45"/>
        <v>S</v>
      </c>
      <c r="D200" s="696">
        <f t="shared" ca="1" si="46"/>
        <v>0</v>
      </c>
      <c r="E200" s="696">
        <f ca="1">IF($C200=1,OFFSET(E200,-1,0)+MAX(1,COUNTIF(QCI!$A$13:$A$24,OFFSET(ORÇAMENTO!E200,-1,0))),OFFSET(E200,-1,0))</f>
        <v>1</v>
      </c>
      <c r="F200" s="696">
        <f t="shared" ca="1" si="47"/>
        <v>30</v>
      </c>
      <c r="G200" s="696">
        <f t="shared" ca="1" si="48"/>
        <v>0</v>
      </c>
      <c r="H200" s="696">
        <f t="shared" ca="1" si="49"/>
        <v>0</v>
      </c>
      <c r="I200" s="696">
        <f t="shared" ca="1" si="50"/>
        <v>4</v>
      </c>
      <c r="J200" s="696">
        <f t="shared" ca="1" si="42"/>
        <v>0</v>
      </c>
      <c r="K200" s="696">
        <f ca="1">IF(OR($C200="S",$C200=0),0,MATCH(OFFSET($D200,0,$C200)+IF($C200&lt;&gt;1,1,COUNTIF(QCI!$A$13:$A$24,ORÇAMENTO!E200)),OFFSET($D200,1,$C200,ROW($C$235)-ROW($C200)),0))</f>
        <v>0</v>
      </c>
      <c r="L200" s="114" t="str">
        <f t="shared" ca="1" si="51"/>
        <v>F</v>
      </c>
      <c r="M200" s="115" t="s">
        <v>705</v>
      </c>
      <c r="N200" s="116" t="str">
        <f t="shared" ca="1" si="52"/>
        <v>Serviço</v>
      </c>
      <c r="O200" s="117" t="str">
        <f t="shared" ca="1" si="53"/>
        <v>1.30.4.</v>
      </c>
      <c r="P200" s="118" t="s">
        <v>750</v>
      </c>
      <c r="Q200" s="119" t="s">
        <v>1177</v>
      </c>
      <c r="R200" s="120" t="str">
        <f t="array" aca="1" ref="R200" ca="1">IF($C200="S",REFERENCIA.Descricao,"(digite a descrição aqui)")</f>
        <v>JOELHO 90 GRAUS, PVC, SERIE NORMAL, ESGOTO PREDIAL, DN 50 MM, JUNTA ELÁSTICA, FORNECIDO E INSTALADO EM RAMAL DE DESCARGA OU RAMAL DE ESGOTO SANITÁRIO. AF_08/2022</v>
      </c>
      <c r="S200" s="121" t="str">
        <f t="array" aca="1" ref="S200" ca="1">REFERENCIA.Unidade</f>
        <v>UN</v>
      </c>
      <c r="T200" s="122">
        <f ca="1">OFFSET(CÁLCULO!H$15,ROW($T200)-ROW(T$15),0)</f>
        <v>180</v>
      </c>
      <c r="U200" s="123">
        <f>15.68*0.94</f>
        <v>14.739199999999999</v>
      </c>
      <c r="V200" s="124" t="s">
        <v>697</v>
      </c>
      <c r="W200" s="122">
        <f t="array" aca="1" ref="W200" ca="1">IF($C200="S",ROUND(IF(TIPOORCAMENTO="Proposto",ORÇAMENTO.CustoUnitario*(1+$AH200),ORÇAMENTO.PrecoUnitarioLicitado),15-13*$AF$10),0)</f>
        <v>17.739999999999998</v>
      </c>
      <c r="X200" s="125">
        <f t="array" aca="1" ref="X200" ca="1">IF($C200="S",IF(OR(Import.TipoArredondamento&lt;&gt;"TransfereGOV",ACOMPANHAMENTO="BM"),VTOTAL1,SUM(OFFSET(CÁLCULO!$AI$15,ROW($X200)-ROW($X$15),1):OFFSET(CÁLCULO!$BB$15,ROW($X200)-ROW($X$15),-1))),IF($C200=0,0,ROUND(SomaAgrup,15-13*$AF$11)))</f>
        <v>3193.2</v>
      </c>
      <c r="Y200" s="126" t="s">
        <v>751</v>
      </c>
      <c r="Z200" s="696" t="str">
        <f t="shared" ca="1" si="54"/>
        <v>RA</v>
      </c>
      <c r="AA200" s="127">
        <f t="array" aca="1" ref="AA200" ca="1">IF($C200="S",IF($Z200="CP",$X200,IF($Z200="RA",(($X200)*QCI!$AA$3),0)),SomaAgrup)</f>
        <v>0</v>
      </c>
      <c r="AB200" s="128">
        <f t="array" aca="1" ref="AB200" ca="1">IF($C200="S",IF($Z200="OU",ROUND($X200,2),0),SomaAgrup)</f>
        <v>0</v>
      </c>
      <c r="AC200" s="563" t="str">
        <f t="array" aca="1" ref="AC200" ca="1">IF($N200=""," ",
IF(AND($C200&lt;&gt;"S",OR($R200="",$R200="(digite a descrição aqui)")),"DESCRIÇÃO",
IF(AND($C200="S",OR($Q200&lt;&gt;"",$T200&gt;0,$U200&gt;0),$P200=""),"FONTE",
IF(AND($C200="S",$P200&lt;&gt;"",OR($T200&gt;0,$U200&gt;0),$Q200=""),"CÓDIGO",
IF(AND($C200="S",$P200&lt;&gt;"",$Q200&lt;&gt;"",$R200="(Código não identificado nas referências)"),"CÓDIGO N/ID",
IF(AND($C200="S",OR($R200="",$R200="(digite a descrição aqui)"),OR($Q200&lt;&gt;"",$T200&gt;0,$U200&gt;0)),"DESCRIÇÃO",
IF(AND($C200="S",$P200&lt;&gt;"",$Q200&lt;&gt;"",$S200=""),"UNIDADE",
IF(AND($C200="S",$P200&lt;&gt;"",$Q200&lt;&gt;"",$U200=0),"SEM CUSTO",
IF(AND(TIPOORCAMENTO="Licitado",$AL200=0,$AN200&gt;0),"SEM PREÇO",
IF(AND($C200="S",$P200&lt;&gt;"",$Q200&lt;&gt;"",$U200&gt;0,AND($V200&lt;&gt;"BDI 1",$V200&lt;&gt;"BDI 2",$V200&lt;&gt;"BDI 3")),IF(ISNUMBER($V200),"JUSTIFICAR BDI","BDI"),
IF(OR(AND(import.recurso="OGU",TIPOORCAMENTO="Proposto",LEFT($O$8,5)&lt;&gt;"(N/D:",$AG200&lt;&gt;"",ORÇAMENTO.CustoUnitario&gt;$AG200),AND(TIPOORCAMENTO="LICITADO",ORÇAMENTO.PrecoUnitarioLicitado&gt;$AN200)),"ACIMA REF.",
IF(AND($C200="S",$P200&lt;&gt;"",$Q200&lt;&gt;"",$T200=0,$U200&gt;0),"QUANT.",
IF(AND(Import.TipoArredondamento="TransfereGOV",$L200="F",$C200="S",LEN($Q200)&gt;13),"Código &gt;13",
IF(AND(Import.TipoArredondamento="TransfereGOV",$L200="F",$C200&lt;&gt;"S",LEN($R200)&gt;100),"Descrição &gt;100",
IF(AND(Import.TipoArredondamento="TransfereGOV",$L200="F",$C200="S",LEN($R200)&gt;500),"Descrição &gt;500",
IF(AND(Import.TipoArredondamento="TransfereGOV",$L200="F",$C200="S",LEFT(TRIM(UPPER($P200)),6)&lt;&gt;"SINAPI",ISNA(VLOOKUP(TRIM(UPPER($S200)),ListaTgov.Unidades,1,FALSE))),"Unid. Não Disp",
" "))))))))))))))))</f>
        <v xml:space="preserve"> </v>
      </c>
      <c r="AD200" s="696" t="str">
        <f ca="1">IF(C200&lt;=CRONO.NivelExibicao,MAX($AD$15:OFFSET(AD200,-1,0))+IF($C200&lt;&gt;1,1,MAX(1,COUNTIF(QCI!$A$13:$A$24,OFFSET($E200,-1,0)))),"")</f>
        <v/>
      </c>
      <c r="AE200" s="694" t="str">
        <f t="array" aca="1" ref="AE200" ca="1">IF(AND($C200="S",ORÇAMENTO.CodBarra&lt;&gt;""),IF(ORÇAMENTO.Fonte="",ORÇAMENTO.CodBarra,CONCATENATE(ORÇAMENTO.Fonte," ",ORÇAMENTO.CodBarra)))</f>
        <v>SINAPI 89731</v>
      </c>
      <c r="AF200" s="695">
        <f t="array" aca="1" ref="AF200" ca="1">IF(ISERROR(ORÇAMENTO.BancoRef),"(abra o arquivo 'Referência "&amp;Excel_BuiltIn_Database&amp;".xlsm)",IF(OR($C200&lt;&gt;"S",ORÇAMENTO.CodBarra=""),"(Sem Código)",IF(ISERROR(MATCH($AE200,INDIRECT(ORÇAMENTO.BancoRef),0)),"(Código não identificado nas referências)",MATCH($AE200,INDIRECT(ORÇAMENTO.BancoRef),0))))</f>
        <v>11393</v>
      </c>
      <c r="AG200" s="428">
        <f t="array" aca="1" ref="AG200" ca="1">ROUND(IF(DESONERACAO="sim",REFERENCIA.Desonerado,REFERENCIA.NaoDesonerado),2)</f>
        <v>15.68</v>
      </c>
      <c r="AH200" s="429">
        <f t="shared" ca="1" si="55"/>
        <v>0.2034</v>
      </c>
      <c r="AJ200" s="431"/>
      <c r="AL200" s="439"/>
      <c r="AM200" s="336">
        <f t="shared" ca="1" si="0"/>
        <v>3193.2</v>
      </c>
      <c r="AN200" s="469">
        <f t="array" aca="1" ref="AN200" ca="1">ROUND(ORÇAMENTO.CustoUnitario*(1+$AH200),2)</f>
        <v>17.739999999999998</v>
      </c>
    </row>
    <row r="201" spans="1:40" s="696" customFormat="1" ht="38.25" x14ac:dyDescent="0.2">
      <c r="A201" s="696" t="str">
        <f t="shared" si="43"/>
        <v>S</v>
      </c>
      <c r="B201" s="696">
        <f t="shared" ca="1" si="44"/>
        <v>2</v>
      </c>
      <c r="C201" s="696" t="str">
        <f t="shared" ca="1" si="45"/>
        <v>S</v>
      </c>
      <c r="D201" s="696">
        <f t="shared" ca="1" si="46"/>
        <v>0</v>
      </c>
      <c r="E201" s="696">
        <f ca="1">IF($C201=1,OFFSET(E201,-1,0)+MAX(1,COUNTIF(QCI!$A$13:$A$24,OFFSET(ORÇAMENTO!E201,-1,0))),OFFSET(E201,-1,0))</f>
        <v>1</v>
      </c>
      <c r="F201" s="696">
        <f t="shared" ca="1" si="47"/>
        <v>30</v>
      </c>
      <c r="G201" s="696">
        <f t="shared" ca="1" si="48"/>
        <v>0</v>
      </c>
      <c r="H201" s="696">
        <f t="shared" ca="1" si="49"/>
        <v>0</v>
      </c>
      <c r="I201" s="696">
        <f t="shared" ca="1" si="50"/>
        <v>5</v>
      </c>
      <c r="J201" s="696">
        <f t="shared" ca="1" si="42"/>
        <v>0</v>
      </c>
      <c r="K201" s="696">
        <f ca="1">IF(OR($C201="S",$C201=0),0,MATCH(OFFSET($D201,0,$C201)+IF($C201&lt;&gt;1,1,COUNTIF(QCI!$A$13:$A$24,ORÇAMENTO!E201)),OFFSET($D201,1,$C201,ROW($C$235)-ROW($C201)),0))</f>
        <v>0</v>
      </c>
      <c r="L201" s="114" t="str">
        <f t="shared" ca="1" si="51"/>
        <v>F</v>
      </c>
      <c r="M201" s="115" t="s">
        <v>705</v>
      </c>
      <c r="N201" s="116" t="str">
        <f t="shared" ca="1" si="52"/>
        <v>Serviço</v>
      </c>
      <c r="O201" s="117" t="str">
        <f t="shared" ca="1" si="53"/>
        <v>1.30.5.</v>
      </c>
      <c r="P201" s="118" t="s">
        <v>750</v>
      </c>
      <c r="Q201" s="119" t="s">
        <v>1178</v>
      </c>
      <c r="R201" s="120" t="str">
        <f t="array" aca="1" ref="R201" ca="1">IF($C201="S",REFERENCIA.Descricao,"(digite a descrição aqui)")</f>
        <v>JOELHO 90 GRAUS, PVC, SERIE NORMAL, ESGOTO PREDIAL, DN 100 MM, JUNTA ELÁSTICA, FORNECIDO E INSTALADO EM RAMAL DE DESCARGA OU RAMAL DE ESGOTO SANITÁRIO. AF_08/2022</v>
      </c>
      <c r="S201" s="121" t="str">
        <f t="array" aca="1" ref="S201" ca="1">REFERENCIA.Unidade</f>
        <v>UN</v>
      </c>
      <c r="T201" s="122">
        <f ca="1">OFFSET(CÁLCULO!H$15,ROW($T201)-ROW(T$15),0)</f>
        <v>20</v>
      </c>
      <c r="U201" s="123">
        <f>28.79*0.94</f>
        <v>27.062599999999996</v>
      </c>
      <c r="V201" s="124" t="s">
        <v>697</v>
      </c>
      <c r="W201" s="122">
        <f t="array" aca="1" ref="W201" ca="1">IF($C201="S",ROUND(IF(TIPOORCAMENTO="Proposto",ORÇAMENTO.CustoUnitario*(1+$AH201),ORÇAMENTO.PrecoUnitarioLicitado),15-13*$AF$10),0)</f>
        <v>32.56</v>
      </c>
      <c r="X201" s="125">
        <f t="array" aca="1" ref="X201" ca="1">IF($C201="S",IF(OR(Import.TipoArredondamento&lt;&gt;"TransfereGOV",ACOMPANHAMENTO="BM"),VTOTAL1,SUM(OFFSET(CÁLCULO!$AI$15,ROW($X201)-ROW($X$15),1):OFFSET(CÁLCULO!$BB$15,ROW($X201)-ROW($X$15),-1))),IF($C201=0,0,ROUND(SomaAgrup,15-13*$AF$11)))</f>
        <v>651.20000000000005</v>
      </c>
      <c r="Y201" s="126" t="s">
        <v>751</v>
      </c>
      <c r="Z201" s="696" t="str">
        <f t="shared" ca="1" si="54"/>
        <v>RA</v>
      </c>
      <c r="AA201" s="127">
        <f t="array" aca="1" ref="AA201" ca="1">IF($C201="S",IF($Z201="CP",$X201,IF($Z201="RA",(($X201)*QCI!$AA$3),0)),SomaAgrup)</f>
        <v>0</v>
      </c>
      <c r="AB201" s="128">
        <f t="array" aca="1" ref="AB201" ca="1">IF($C201="S",IF($Z201="OU",ROUND($X201,2),0),SomaAgrup)</f>
        <v>0</v>
      </c>
      <c r="AC201" s="563" t="str">
        <f t="array" aca="1" ref="AC201" ca="1">IF($N201=""," ",
IF(AND($C201&lt;&gt;"S",OR($R201="",$R201="(digite a descrição aqui)")),"DESCRIÇÃO",
IF(AND($C201="S",OR($Q201&lt;&gt;"",$T201&gt;0,$U201&gt;0),$P201=""),"FONTE",
IF(AND($C201="S",$P201&lt;&gt;"",OR($T201&gt;0,$U201&gt;0),$Q201=""),"CÓDIGO",
IF(AND($C201="S",$P201&lt;&gt;"",$Q201&lt;&gt;"",$R201="(Código não identificado nas referências)"),"CÓDIGO N/ID",
IF(AND($C201="S",OR($R201="",$R201="(digite a descrição aqui)"),OR($Q201&lt;&gt;"",$T201&gt;0,$U201&gt;0)),"DESCRIÇÃO",
IF(AND($C201="S",$P201&lt;&gt;"",$Q201&lt;&gt;"",$S201=""),"UNIDADE",
IF(AND($C201="S",$P201&lt;&gt;"",$Q201&lt;&gt;"",$U201=0),"SEM CUSTO",
IF(AND(TIPOORCAMENTO="Licitado",$AL201=0,$AN201&gt;0),"SEM PREÇO",
IF(AND($C201="S",$P201&lt;&gt;"",$Q201&lt;&gt;"",$U201&gt;0,AND($V201&lt;&gt;"BDI 1",$V201&lt;&gt;"BDI 2",$V201&lt;&gt;"BDI 3")),IF(ISNUMBER($V201),"JUSTIFICAR BDI","BDI"),
IF(OR(AND(import.recurso="OGU",TIPOORCAMENTO="Proposto",LEFT($O$8,5)&lt;&gt;"(N/D:",$AG201&lt;&gt;"",ORÇAMENTO.CustoUnitario&gt;$AG201),AND(TIPOORCAMENTO="LICITADO",ORÇAMENTO.PrecoUnitarioLicitado&gt;$AN201)),"ACIMA REF.",
IF(AND($C201="S",$P201&lt;&gt;"",$Q201&lt;&gt;"",$T201=0,$U201&gt;0),"QUANT.",
IF(AND(Import.TipoArredondamento="TransfereGOV",$L201="F",$C201="S",LEN($Q201)&gt;13),"Código &gt;13",
IF(AND(Import.TipoArredondamento="TransfereGOV",$L201="F",$C201&lt;&gt;"S",LEN($R201)&gt;100),"Descrição &gt;100",
IF(AND(Import.TipoArredondamento="TransfereGOV",$L201="F",$C201="S",LEN($R201)&gt;500),"Descrição &gt;500",
IF(AND(Import.TipoArredondamento="TransfereGOV",$L201="F",$C201="S",LEFT(TRIM(UPPER($P201)),6)&lt;&gt;"SINAPI",ISNA(VLOOKUP(TRIM(UPPER($S201)),ListaTgov.Unidades,1,FALSE))),"Unid. Não Disp",
" "))))))))))))))))</f>
        <v xml:space="preserve"> </v>
      </c>
      <c r="AD201" s="696" t="str">
        <f ca="1">IF(C201&lt;=CRONO.NivelExibicao,MAX($AD$15:OFFSET(AD201,-1,0))+IF($C201&lt;&gt;1,1,MAX(1,COUNTIF(QCI!$A$13:$A$24,OFFSET($E201,-1,0)))),"")</f>
        <v/>
      </c>
      <c r="AE201" s="694" t="str">
        <f t="array" aca="1" ref="AE201" ca="1">IF(AND($C201="S",ORÇAMENTO.CodBarra&lt;&gt;""),IF(ORÇAMENTO.Fonte="",ORÇAMENTO.CodBarra,CONCATENATE(ORÇAMENTO.Fonte," ",ORÇAMENTO.CodBarra)))</f>
        <v>SINAPI 89744</v>
      </c>
      <c r="AF201" s="695">
        <f t="array" aca="1" ref="AF201" ca="1">IF(ISERROR(ORÇAMENTO.BancoRef),"(abra o arquivo 'Referência "&amp;Excel_BuiltIn_Database&amp;".xlsm)",IF(OR($C201&lt;&gt;"S",ORÇAMENTO.CodBarra=""),"(Sem Código)",IF(ISERROR(MATCH($AE201,INDIRECT(ORÇAMENTO.BancoRef),0)),"(Código não identificado nas referências)",MATCH($AE201,INDIRECT(ORÇAMENTO.BancoRef),0))))</f>
        <v>11388</v>
      </c>
      <c r="AG201" s="428">
        <f t="array" aca="1" ref="AG201" ca="1">ROUND(IF(DESONERACAO="sim",REFERENCIA.Desonerado,REFERENCIA.NaoDesonerado),2)</f>
        <v>28.79</v>
      </c>
      <c r="AH201" s="429">
        <f t="shared" ca="1" si="55"/>
        <v>0.2034</v>
      </c>
      <c r="AJ201" s="431"/>
      <c r="AL201" s="439"/>
      <c r="AM201" s="336">
        <f t="shared" ca="1" si="0"/>
        <v>651.20000000000005</v>
      </c>
      <c r="AN201" s="469">
        <f t="array" aca="1" ref="AN201" ca="1">ROUND(ORÇAMENTO.CustoUnitario*(1+$AH201),2)</f>
        <v>32.56</v>
      </c>
    </row>
    <row r="202" spans="1:40" s="696" customFormat="1" ht="38.25" x14ac:dyDescent="0.2">
      <c r="A202" s="696" t="str">
        <f t="shared" si="43"/>
        <v>S</v>
      </c>
      <c r="B202" s="696">
        <f t="shared" ca="1" si="44"/>
        <v>2</v>
      </c>
      <c r="C202" s="696" t="str">
        <f t="shared" ca="1" si="45"/>
        <v>S</v>
      </c>
      <c r="D202" s="696">
        <f t="shared" ca="1" si="46"/>
        <v>0</v>
      </c>
      <c r="E202" s="696">
        <f ca="1">IF($C202=1,OFFSET(E202,-1,0)+MAX(1,COUNTIF(QCI!$A$13:$A$24,OFFSET(ORÇAMENTO!E202,-1,0))),OFFSET(E202,-1,0))</f>
        <v>1</v>
      </c>
      <c r="F202" s="696">
        <f t="shared" ca="1" si="47"/>
        <v>30</v>
      </c>
      <c r="G202" s="696">
        <f t="shared" ca="1" si="48"/>
        <v>0</v>
      </c>
      <c r="H202" s="696">
        <f t="shared" ca="1" si="49"/>
        <v>0</v>
      </c>
      <c r="I202" s="696">
        <f t="shared" ca="1" si="50"/>
        <v>6</v>
      </c>
      <c r="J202" s="696">
        <f t="shared" ca="1" si="42"/>
        <v>0</v>
      </c>
      <c r="K202" s="696">
        <f ca="1">IF(OR($C202="S",$C202=0),0,MATCH(OFFSET($D202,0,$C202)+IF($C202&lt;&gt;1,1,COUNTIF(QCI!$A$13:$A$24,ORÇAMENTO!E202)),OFFSET($D202,1,$C202,ROW($C$235)-ROW($C202)),0))</f>
        <v>0</v>
      </c>
      <c r="L202" s="114" t="str">
        <f t="shared" ca="1" si="51"/>
        <v>F</v>
      </c>
      <c r="M202" s="115" t="s">
        <v>705</v>
      </c>
      <c r="N202" s="116" t="str">
        <f t="shared" ca="1" si="52"/>
        <v>Serviço</v>
      </c>
      <c r="O202" s="117" t="str">
        <f t="shared" ca="1" si="53"/>
        <v>1.30.6.</v>
      </c>
      <c r="P202" s="118" t="s">
        <v>750</v>
      </c>
      <c r="Q202" s="119" t="s">
        <v>1179</v>
      </c>
      <c r="R202" s="120" t="str">
        <f t="array" aca="1" ref="R202" ca="1">IF($C202="S",REFERENCIA.Descricao,"(digite a descrição aqui)")</f>
        <v>TE, PVC, SERIE NORMAL, ESGOTO PREDIAL, DN 50 X 50 MM, JUNTA ELÁSTICA, FORNECIDO E INSTALADO EM RAMAL DE DESCARGA OU RAMAL DE ESGOTO SANITÁRIO. AF_08/2022</v>
      </c>
      <c r="S202" s="121" t="str">
        <f t="array" aca="1" ref="S202" ca="1">REFERENCIA.Unidade</f>
        <v>UN</v>
      </c>
      <c r="T202" s="122">
        <f ca="1">OFFSET(CÁLCULO!H$15,ROW($T202)-ROW(T$15),0)</f>
        <v>20</v>
      </c>
      <c r="U202" s="123">
        <f>25.34*0.94</f>
        <v>23.819599999999998</v>
      </c>
      <c r="V202" s="124" t="s">
        <v>697</v>
      </c>
      <c r="W202" s="122">
        <f t="array" aca="1" ref="W202" ca="1">IF($C202="S",ROUND(IF(TIPOORCAMENTO="Proposto",ORÇAMENTO.CustoUnitario*(1+$AH202),ORÇAMENTO.PrecoUnitarioLicitado),15-13*$AF$10),0)</f>
        <v>28.66</v>
      </c>
      <c r="X202" s="125">
        <f t="array" aca="1" ref="X202" ca="1">IF($C202="S",IF(OR(Import.TipoArredondamento&lt;&gt;"TransfereGOV",ACOMPANHAMENTO="BM"),VTOTAL1,SUM(OFFSET(CÁLCULO!$AI$15,ROW($X202)-ROW($X$15),1):OFFSET(CÁLCULO!$BB$15,ROW($X202)-ROW($X$15),-1))),IF($C202=0,0,ROUND(SomaAgrup,15-13*$AF$11)))</f>
        <v>573.20000000000005</v>
      </c>
      <c r="Y202" s="126" t="s">
        <v>751</v>
      </c>
      <c r="Z202" s="696" t="str">
        <f t="shared" ca="1" si="54"/>
        <v>RA</v>
      </c>
      <c r="AA202" s="127">
        <f t="array" aca="1" ref="AA202" ca="1">IF($C202="S",IF($Z202="CP",$X202,IF($Z202="RA",(($X202)*QCI!$AA$3),0)),SomaAgrup)</f>
        <v>0</v>
      </c>
      <c r="AB202" s="128">
        <f t="array" aca="1" ref="AB202" ca="1">IF($C202="S",IF($Z202="OU",ROUND($X202,2),0),SomaAgrup)</f>
        <v>0</v>
      </c>
      <c r="AC202" s="563" t="str">
        <f t="array" aca="1" ref="AC202" ca="1">IF($N202=""," ",
IF(AND($C202&lt;&gt;"S",OR($R202="",$R202="(digite a descrição aqui)")),"DESCRIÇÃO",
IF(AND($C202="S",OR($Q202&lt;&gt;"",$T202&gt;0,$U202&gt;0),$P202=""),"FONTE",
IF(AND($C202="S",$P202&lt;&gt;"",OR($T202&gt;0,$U202&gt;0),$Q202=""),"CÓDIGO",
IF(AND($C202="S",$P202&lt;&gt;"",$Q202&lt;&gt;"",$R202="(Código não identificado nas referências)"),"CÓDIGO N/ID",
IF(AND($C202="S",OR($R202="",$R202="(digite a descrição aqui)"),OR($Q202&lt;&gt;"",$T202&gt;0,$U202&gt;0)),"DESCRIÇÃO",
IF(AND($C202="S",$P202&lt;&gt;"",$Q202&lt;&gt;"",$S202=""),"UNIDADE",
IF(AND($C202="S",$P202&lt;&gt;"",$Q202&lt;&gt;"",$U202=0),"SEM CUSTO",
IF(AND(TIPOORCAMENTO="Licitado",$AL202=0,$AN202&gt;0),"SEM PREÇO",
IF(AND($C202="S",$P202&lt;&gt;"",$Q202&lt;&gt;"",$U202&gt;0,AND($V202&lt;&gt;"BDI 1",$V202&lt;&gt;"BDI 2",$V202&lt;&gt;"BDI 3")),IF(ISNUMBER($V202),"JUSTIFICAR BDI","BDI"),
IF(OR(AND(import.recurso="OGU",TIPOORCAMENTO="Proposto",LEFT($O$8,5)&lt;&gt;"(N/D:",$AG202&lt;&gt;"",ORÇAMENTO.CustoUnitario&gt;$AG202),AND(TIPOORCAMENTO="LICITADO",ORÇAMENTO.PrecoUnitarioLicitado&gt;$AN202)),"ACIMA REF.",
IF(AND($C202="S",$P202&lt;&gt;"",$Q202&lt;&gt;"",$T202=0,$U202&gt;0),"QUANT.",
IF(AND(Import.TipoArredondamento="TransfereGOV",$L202="F",$C202="S",LEN($Q202)&gt;13),"Código &gt;13",
IF(AND(Import.TipoArredondamento="TransfereGOV",$L202="F",$C202&lt;&gt;"S",LEN($R202)&gt;100),"Descrição &gt;100",
IF(AND(Import.TipoArredondamento="TransfereGOV",$L202="F",$C202="S",LEN($R202)&gt;500),"Descrição &gt;500",
IF(AND(Import.TipoArredondamento="TransfereGOV",$L202="F",$C202="S",LEFT(TRIM(UPPER($P202)),6)&lt;&gt;"SINAPI",ISNA(VLOOKUP(TRIM(UPPER($S202)),ListaTgov.Unidades,1,FALSE))),"Unid. Não Disp",
" "))))))))))))))))</f>
        <v xml:space="preserve"> </v>
      </c>
      <c r="AD202" s="696" t="str">
        <f ca="1">IF(C202&lt;=CRONO.NivelExibicao,MAX($AD$15:OFFSET(AD202,-1,0))+IF($C202&lt;&gt;1,1,MAX(1,COUNTIF(QCI!$A$13:$A$24,OFFSET($E202,-1,0)))),"")</f>
        <v/>
      </c>
      <c r="AE202" s="694" t="str">
        <f t="array" aca="1" ref="AE202" ca="1">IF(AND($C202="S",ORÇAMENTO.CodBarra&lt;&gt;""),IF(ORÇAMENTO.Fonte="",ORÇAMENTO.CodBarra,CONCATENATE(ORÇAMENTO.Fonte," ",ORÇAMENTO.CodBarra)))</f>
        <v>SINAPI 89784</v>
      </c>
      <c r="AF202" s="695">
        <f t="array" aca="1" ref="AF202" ca="1">IF(ISERROR(ORÇAMENTO.BancoRef),"(abra o arquivo 'Referência "&amp;Excel_BuiltIn_Database&amp;".xlsm)",IF(OR($C202&lt;&gt;"S",ORÇAMENTO.CodBarra=""),"(Sem Código)",IF(ISERROR(MATCH($AE202,INDIRECT(ORÇAMENTO.BancoRef),0)),"(Código não identificado nas referências)",MATCH($AE202,INDIRECT(ORÇAMENTO.BancoRef),0))))</f>
        <v>11431</v>
      </c>
      <c r="AG202" s="428">
        <f t="array" aca="1" ref="AG202" ca="1">ROUND(IF(DESONERACAO="sim",REFERENCIA.Desonerado,REFERENCIA.NaoDesonerado),2)</f>
        <v>25.34</v>
      </c>
      <c r="AH202" s="429">
        <f t="shared" ca="1" si="55"/>
        <v>0.2034</v>
      </c>
      <c r="AJ202" s="431"/>
      <c r="AL202" s="439"/>
      <c r="AM202" s="336">
        <f t="shared" ca="1" si="0"/>
        <v>573.20000000000005</v>
      </c>
      <c r="AN202" s="469">
        <f t="array" aca="1" ref="AN202" ca="1">ROUND(ORÇAMENTO.CustoUnitario*(1+$AH202),2)</f>
        <v>28.66</v>
      </c>
    </row>
    <row r="203" spans="1:40" s="696" customFormat="1" ht="51" x14ac:dyDescent="0.2">
      <c r="A203" s="696" t="str">
        <f t="shared" si="43"/>
        <v>S</v>
      </c>
      <c r="B203" s="696">
        <f t="shared" ca="1" si="44"/>
        <v>2</v>
      </c>
      <c r="C203" s="696" t="str">
        <f t="shared" ca="1" si="45"/>
        <v>S</v>
      </c>
      <c r="D203" s="696">
        <f t="shared" ca="1" si="46"/>
        <v>0</v>
      </c>
      <c r="E203" s="696">
        <f ca="1">IF($C203=1,OFFSET(E203,-1,0)+MAX(1,COUNTIF(QCI!$A$13:$A$24,OFFSET(ORÇAMENTO!E203,-1,0))),OFFSET(E203,-1,0))</f>
        <v>1</v>
      </c>
      <c r="F203" s="696">
        <f t="shared" ca="1" si="47"/>
        <v>30</v>
      </c>
      <c r="G203" s="696">
        <f t="shared" ca="1" si="48"/>
        <v>0</v>
      </c>
      <c r="H203" s="696">
        <f t="shared" ca="1" si="49"/>
        <v>0</v>
      </c>
      <c r="I203" s="696">
        <f t="shared" ca="1" si="50"/>
        <v>7</v>
      </c>
      <c r="J203" s="696">
        <f t="shared" ca="1" si="42"/>
        <v>0</v>
      </c>
      <c r="K203" s="696">
        <f ca="1">IF(OR($C203="S",$C203=0),0,MATCH(OFFSET($D203,0,$C203)+IF($C203&lt;&gt;1,1,COUNTIF(QCI!$A$13:$A$24,ORÇAMENTO!E203)),OFFSET($D203,1,$C203,ROW($C$235)-ROW($C203)),0))</f>
        <v>0</v>
      </c>
      <c r="L203" s="114" t="str">
        <f t="shared" ca="1" si="51"/>
        <v>F</v>
      </c>
      <c r="M203" s="115" t="s">
        <v>705</v>
      </c>
      <c r="N203" s="116" t="str">
        <f t="shared" ca="1" si="52"/>
        <v>Serviço</v>
      </c>
      <c r="O203" s="117" t="str">
        <f t="shared" ca="1" si="53"/>
        <v>1.30.7.</v>
      </c>
      <c r="P203" s="118" t="s">
        <v>750</v>
      </c>
      <c r="Q203" s="119" t="s">
        <v>1180</v>
      </c>
      <c r="R203" s="120" t="str">
        <f t="array" aca="1" ref="R203" ca="1">IF($C203="S",REFERENCIA.Descricao,"(digite a descrição aqui)")</f>
        <v>JUNÇÃO DE REDUÇÃO INVERTIDA, PVC, SÉRIE NORMAL, ESGOTO PREDIAL, DN 100 X 50 MM, JUNTA ELÁSTICA, FORNECIDO E INSTALADO EM RAMAL DE DESCARGA OU RAMAL DE ESGOTO SANITÁRIO. AF_08/2022</v>
      </c>
      <c r="S203" s="121" t="str">
        <f t="array" aca="1" ref="S203" ca="1">REFERENCIA.Unidade</f>
        <v>UN</v>
      </c>
      <c r="T203" s="122">
        <f ca="1">OFFSET(CÁLCULO!H$15,ROW($T203)-ROW(T$15),0)</f>
        <v>20</v>
      </c>
      <c r="U203" s="123">
        <f>44.74*0.94</f>
        <v>42.055599999999998</v>
      </c>
      <c r="V203" s="124" t="s">
        <v>697</v>
      </c>
      <c r="W203" s="122">
        <f t="array" aca="1" ref="W203" ca="1">IF($C203="S",ROUND(IF(TIPOORCAMENTO="Proposto",ORÇAMENTO.CustoUnitario*(1+$AH203),ORÇAMENTO.PrecoUnitarioLicitado),15-13*$AF$10),0)</f>
        <v>50.62</v>
      </c>
      <c r="X203" s="125">
        <f t="array" aca="1" ref="X203" ca="1">IF($C203="S",IF(OR(Import.TipoArredondamento&lt;&gt;"TransfereGOV",ACOMPANHAMENTO="BM"),VTOTAL1,SUM(OFFSET(CÁLCULO!$AI$15,ROW($X203)-ROW($X$15),1):OFFSET(CÁLCULO!$BB$15,ROW($X203)-ROW($X$15),-1))),IF($C203=0,0,ROUND(SomaAgrup,15-13*$AF$11)))</f>
        <v>1012.4</v>
      </c>
      <c r="Y203" s="126" t="s">
        <v>751</v>
      </c>
      <c r="Z203" s="696" t="str">
        <f t="shared" ca="1" si="54"/>
        <v>RA</v>
      </c>
      <c r="AA203" s="127">
        <f t="array" aca="1" ref="AA203" ca="1">IF($C203="S",IF($Z203="CP",$X203,IF($Z203="RA",(($X203)*QCI!$AA$3),0)),SomaAgrup)</f>
        <v>0</v>
      </c>
      <c r="AB203" s="128">
        <f t="array" aca="1" ref="AB203" ca="1">IF($C203="S",IF($Z203="OU",ROUND($X203,2),0),SomaAgrup)</f>
        <v>0</v>
      </c>
      <c r="AC203" s="563" t="str">
        <f t="array" aca="1" ref="AC203" ca="1">IF($N203=""," ",
IF(AND($C203&lt;&gt;"S",OR($R203="",$R203="(digite a descrição aqui)")),"DESCRIÇÃO",
IF(AND($C203="S",OR($Q203&lt;&gt;"",$T203&gt;0,$U203&gt;0),$P203=""),"FONTE",
IF(AND($C203="S",$P203&lt;&gt;"",OR($T203&gt;0,$U203&gt;0),$Q203=""),"CÓDIGO",
IF(AND($C203="S",$P203&lt;&gt;"",$Q203&lt;&gt;"",$R203="(Código não identificado nas referências)"),"CÓDIGO N/ID",
IF(AND($C203="S",OR($R203="",$R203="(digite a descrição aqui)"),OR($Q203&lt;&gt;"",$T203&gt;0,$U203&gt;0)),"DESCRIÇÃO",
IF(AND($C203="S",$P203&lt;&gt;"",$Q203&lt;&gt;"",$S203=""),"UNIDADE",
IF(AND($C203="S",$P203&lt;&gt;"",$Q203&lt;&gt;"",$U203=0),"SEM CUSTO",
IF(AND(TIPOORCAMENTO="Licitado",$AL203=0,$AN203&gt;0),"SEM PREÇO",
IF(AND($C203="S",$P203&lt;&gt;"",$Q203&lt;&gt;"",$U203&gt;0,AND($V203&lt;&gt;"BDI 1",$V203&lt;&gt;"BDI 2",$V203&lt;&gt;"BDI 3")),IF(ISNUMBER($V203),"JUSTIFICAR BDI","BDI"),
IF(OR(AND(import.recurso="OGU",TIPOORCAMENTO="Proposto",LEFT($O$8,5)&lt;&gt;"(N/D:",$AG203&lt;&gt;"",ORÇAMENTO.CustoUnitario&gt;$AG203),AND(TIPOORCAMENTO="LICITADO",ORÇAMENTO.PrecoUnitarioLicitado&gt;$AN203)),"ACIMA REF.",
IF(AND($C203="S",$P203&lt;&gt;"",$Q203&lt;&gt;"",$T203=0,$U203&gt;0),"QUANT.",
IF(AND(Import.TipoArredondamento="TransfereGOV",$L203="F",$C203="S",LEN($Q203)&gt;13),"Código &gt;13",
IF(AND(Import.TipoArredondamento="TransfereGOV",$L203="F",$C203&lt;&gt;"S",LEN($R203)&gt;100),"Descrição &gt;100",
IF(AND(Import.TipoArredondamento="TransfereGOV",$L203="F",$C203="S",LEN($R203)&gt;500),"Descrição &gt;500",
IF(AND(Import.TipoArredondamento="TransfereGOV",$L203="F",$C203="S",LEFT(TRIM(UPPER($P203)),6)&lt;&gt;"SINAPI",ISNA(VLOOKUP(TRIM(UPPER($S203)),ListaTgov.Unidades,1,FALSE))),"Unid. Não Disp",
" "))))))))))))))))</f>
        <v xml:space="preserve"> </v>
      </c>
      <c r="AD203" s="696" t="str">
        <f ca="1">IF(C203&lt;=CRONO.NivelExibicao,MAX($AD$15:OFFSET(AD203,-1,0))+IF($C203&lt;&gt;1,1,MAX(1,COUNTIF(QCI!$A$13:$A$24,OFFSET($E203,-1,0)))),"")</f>
        <v/>
      </c>
      <c r="AE203" s="694" t="str">
        <f t="array" aca="1" ref="AE203" ca="1">IF(AND($C203="S",ORÇAMENTO.CodBarra&lt;&gt;""),IF(ORÇAMENTO.Fonte="",ORÇAMENTO.CodBarra,CONCATENATE(ORÇAMENTO.Fonte," ",ORÇAMENTO.CodBarra)))</f>
        <v>SINAPI 104345</v>
      </c>
      <c r="AF203" s="695">
        <f t="array" aca="1" ref="AF203" ca="1">IF(ISERROR(ORÇAMENTO.BancoRef),"(abra o arquivo 'Referência "&amp;Excel_BuiltIn_Database&amp;".xlsm)",IF(OR($C203&lt;&gt;"S",ORÇAMENTO.CodBarra=""),"(Sem Código)",IF(ISERROR(MATCH($AE203,INDIRECT(ORÇAMENTO.BancoRef),0)),"(Código não identificado nas referências)",MATCH($AE203,INDIRECT(ORÇAMENTO.BancoRef),0))))</f>
        <v>11399</v>
      </c>
      <c r="AG203" s="428">
        <f t="array" aca="1" ref="AG203" ca="1">ROUND(IF(DESONERACAO="sim",REFERENCIA.Desonerado,REFERENCIA.NaoDesonerado),2)</f>
        <v>44.74</v>
      </c>
      <c r="AH203" s="429">
        <f t="shared" ca="1" si="55"/>
        <v>0.2034</v>
      </c>
      <c r="AJ203" s="431"/>
      <c r="AL203" s="439"/>
      <c r="AM203" s="336">
        <f t="shared" ca="1" si="0"/>
        <v>1012.4</v>
      </c>
      <c r="AN203" s="469">
        <f t="array" aca="1" ref="AN203" ca="1">ROUND(ORÇAMENTO.CustoUnitario*(1+$AH203),2)</f>
        <v>50.62</v>
      </c>
    </row>
    <row r="204" spans="1:40" s="696" customFormat="1" ht="38.25" x14ac:dyDescent="0.2">
      <c r="A204" s="696" t="str">
        <f t="shared" si="43"/>
        <v>S</v>
      </c>
      <c r="B204" s="696">
        <f t="shared" ca="1" si="44"/>
        <v>2</v>
      </c>
      <c r="C204" s="696" t="str">
        <f t="shared" ca="1" si="45"/>
        <v>S</v>
      </c>
      <c r="D204" s="696">
        <f t="shared" ca="1" si="46"/>
        <v>0</v>
      </c>
      <c r="E204" s="696">
        <f ca="1">IF($C204=1,OFFSET(E204,-1,0)+MAX(1,COUNTIF(QCI!$A$13:$A$24,OFFSET(ORÇAMENTO!E204,-1,0))),OFFSET(E204,-1,0))</f>
        <v>1</v>
      </c>
      <c r="F204" s="696">
        <f t="shared" ca="1" si="47"/>
        <v>30</v>
      </c>
      <c r="G204" s="696">
        <f t="shared" ca="1" si="48"/>
        <v>0</v>
      </c>
      <c r="H204" s="696">
        <f t="shared" ca="1" si="49"/>
        <v>0</v>
      </c>
      <c r="I204" s="696">
        <f t="shared" ca="1" si="50"/>
        <v>8</v>
      </c>
      <c r="J204" s="696">
        <f t="shared" ca="1" si="42"/>
        <v>0</v>
      </c>
      <c r="K204" s="696">
        <f ca="1">IF(OR($C204="S",$C204=0),0,MATCH(OFFSET($D204,0,$C204)+IF($C204&lt;&gt;1,1,COUNTIF(QCI!$A$13:$A$24,ORÇAMENTO!E204)),OFFSET($D204,1,$C204,ROW($C$235)-ROW($C204)),0))</f>
        <v>0</v>
      </c>
      <c r="L204" s="114" t="str">
        <f t="shared" ca="1" si="51"/>
        <v>F</v>
      </c>
      <c r="M204" s="115" t="s">
        <v>705</v>
      </c>
      <c r="N204" s="116" t="str">
        <f t="shared" ca="1" si="52"/>
        <v>Serviço</v>
      </c>
      <c r="O204" s="117" t="str">
        <f t="shared" ca="1" si="53"/>
        <v>1.30.8.</v>
      </c>
      <c r="P204" s="118" t="s">
        <v>750</v>
      </c>
      <c r="Q204" s="119" t="s">
        <v>1181</v>
      </c>
      <c r="R204" s="120" t="str">
        <f t="array" aca="1" ref="R204" ca="1">IF($C204="S",REFERENCIA.Descricao,"(digite a descrição aqui)")</f>
        <v>TERMINAL DE VENTILAÇÃO, PVC, SÉRIE NORMAL, ESGOTO PREDIAL, DN 50 MM, JUNTA SOLDÁVEL, FORNECIDO E INSTALADO EM PRUMADA DE ESGOTO SANITÁRIO OU VENTILAÇÃO. AF_08/2022</v>
      </c>
      <c r="S204" s="121" t="str">
        <f t="array" aca="1" ref="S204" ca="1">REFERENCIA.Unidade</f>
        <v>UN</v>
      </c>
      <c r="T204" s="122">
        <f ca="1">OFFSET(CÁLCULO!H$15,ROW($T204)-ROW(T$15),0)</f>
        <v>20</v>
      </c>
      <c r="U204" s="123">
        <f>11.65*0.94</f>
        <v>10.951000000000001</v>
      </c>
      <c r="V204" s="124" t="s">
        <v>697</v>
      </c>
      <c r="W204" s="122">
        <f t="array" aca="1" ref="W204" ca="1">IF($C204="S",ROUND(IF(TIPOORCAMENTO="Proposto",ORÇAMENTO.CustoUnitario*(1+$AH204),ORÇAMENTO.PrecoUnitarioLicitado),15-13*$AF$10),0)</f>
        <v>13.18</v>
      </c>
      <c r="X204" s="125">
        <f t="array" aca="1" ref="X204" ca="1">IF($C204="S",IF(OR(Import.TipoArredondamento&lt;&gt;"TransfereGOV",ACOMPANHAMENTO="BM"),VTOTAL1,SUM(OFFSET(CÁLCULO!$AI$15,ROW($X204)-ROW($X$15),1):OFFSET(CÁLCULO!$BB$15,ROW($X204)-ROW($X$15),-1))),IF($C204=0,0,ROUND(SomaAgrup,15-13*$AF$11)))</f>
        <v>263.60000000000002</v>
      </c>
      <c r="Y204" s="126" t="s">
        <v>751</v>
      </c>
      <c r="Z204" s="696" t="str">
        <f t="shared" ca="1" si="54"/>
        <v>RA</v>
      </c>
      <c r="AA204" s="127">
        <f t="array" aca="1" ref="AA204" ca="1">IF($C204="S",IF($Z204="CP",$X204,IF($Z204="RA",(($X204)*QCI!$AA$3),0)),SomaAgrup)</f>
        <v>0</v>
      </c>
      <c r="AB204" s="128">
        <f t="array" aca="1" ref="AB204" ca="1">IF($C204="S",IF($Z204="OU",ROUND($X204,2),0),SomaAgrup)</f>
        <v>0</v>
      </c>
      <c r="AC204" s="563" t="str">
        <f t="array" aca="1" ref="AC204" ca="1">IF($N204=""," ",
IF(AND($C204&lt;&gt;"S",OR($R204="",$R204="(digite a descrição aqui)")),"DESCRIÇÃO",
IF(AND($C204="S",OR($Q204&lt;&gt;"",$T204&gt;0,$U204&gt;0),$P204=""),"FONTE",
IF(AND($C204="S",$P204&lt;&gt;"",OR($T204&gt;0,$U204&gt;0),$Q204=""),"CÓDIGO",
IF(AND($C204="S",$P204&lt;&gt;"",$Q204&lt;&gt;"",$R204="(Código não identificado nas referências)"),"CÓDIGO N/ID",
IF(AND($C204="S",OR($R204="",$R204="(digite a descrição aqui)"),OR($Q204&lt;&gt;"",$T204&gt;0,$U204&gt;0)),"DESCRIÇÃO",
IF(AND($C204="S",$P204&lt;&gt;"",$Q204&lt;&gt;"",$S204=""),"UNIDADE",
IF(AND($C204="S",$P204&lt;&gt;"",$Q204&lt;&gt;"",$U204=0),"SEM CUSTO",
IF(AND(TIPOORCAMENTO="Licitado",$AL204=0,$AN204&gt;0),"SEM PREÇO",
IF(AND($C204="S",$P204&lt;&gt;"",$Q204&lt;&gt;"",$U204&gt;0,AND($V204&lt;&gt;"BDI 1",$V204&lt;&gt;"BDI 2",$V204&lt;&gt;"BDI 3")),IF(ISNUMBER($V204),"JUSTIFICAR BDI","BDI"),
IF(OR(AND(import.recurso="OGU",TIPOORCAMENTO="Proposto",LEFT($O$8,5)&lt;&gt;"(N/D:",$AG204&lt;&gt;"",ORÇAMENTO.CustoUnitario&gt;$AG204),AND(TIPOORCAMENTO="LICITADO",ORÇAMENTO.PrecoUnitarioLicitado&gt;$AN204)),"ACIMA REF.",
IF(AND($C204="S",$P204&lt;&gt;"",$Q204&lt;&gt;"",$T204=0,$U204&gt;0),"QUANT.",
IF(AND(Import.TipoArredondamento="TransfereGOV",$L204="F",$C204="S",LEN($Q204)&gt;13),"Código &gt;13",
IF(AND(Import.TipoArredondamento="TransfereGOV",$L204="F",$C204&lt;&gt;"S",LEN($R204)&gt;100),"Descrição &gt;100",
IF(AND(Import.TipoArredondamento="TransfereGOV",$L204="F",$C204="S",LEN($R204)&gt;500),"Descrição &gt;500",
IF(AND(Import.TipoArredondamento="TransfereGOV",$L204="F",$C204="S",LEFT(TRIM(UPPER($P204)),6)&lt;&gt;"SINAPI",ISNA(VLOOKUP(TRIM(UPPER($S204)),ListaTgov.Unidades,1,FALSE))),"Unid. Não Disp",
" "))))))))))))))))</f>
        <v xml:space="preserve"> </v>
      </c>
      <c r="AD204" s="696" t="str">
        <f ca="1">IF(C204&lt;=CRONO.NivelExibicao,MAX($AD$15:OFFSET(AD204,-1,0))+IF($C204&lt;&gt;1,1,MAX(1,COUNTIF(QCI!$A$13:$A$24,OFFSET($E204,-1,0)))),"")</f>
        <v/>
      </c>
      <c r="AE204" s="694" t="str">
        <f t="array" aca="1" ref="AE204" ca="1">IF(AND($C204="S",ORÇAMENTO.CodBarra&lt;&gt;""),IF(ORÇAMENTO.Fonte="",ORÇAMENTO.CodBarra,CONCATENATE(ORÇAMENTO.Fonte," ",ORÇAMENTO.CodBarra)))</f>
        <v>SINAPI 104348</v>
      </c>
      <c r="AF204" s="695">
        <f t="array" aca="1" ref="AF204" ca="1">IF(ISERROR(ORÇAMENTO.BancoRef),"(abra o arquivo 'Referência "&amp;Excel_BuiltIn_Database&amp;".xlsm)",IF(OR($C204&lt;&gt;"S",ORÇAMENTO.CodBarra=""),"(Sem Código)",IF(ISERROR(MATCH($AE204,INDIRECT(ORÇAMENTO.BancoRef),0)),"(Código não identificado nas referências)",MATCH($AE204,INDIRECT(ORÇAMENTO.BancoRef),0))))</f>
        <v>11439</v>
      </c>
      <c r="AG204" s="428">
        <f t="array" aca="1" ref="AG204" ca="1">ROUND(IF(DESONERACAO="sim",REFERENCIA.Desonerado,REFERENCIA.NaoDesonerado),2)</f>
        <v>11.65</v>
      </c>
      <c r="AH204" s="429">
        <f t="shared" ca="1" si="55"/>
        <v>0.2034</v>
      </c>
      <c r="AJ204" s="431"/>
      <c r="AL204" s="439"/>
      <c r="AM204" s="336">
        <f t="shared" ca="1" si="0"/>
        <v>263.60000000000002</v>
      </c>
      <c r="AN204" s="469">
        <f t="array" aca="1" ref="AN204" ca="1">ROUND(ORÇAMENTO.CustoUnitario*(1+$AH204),2)</f>
        <v>13.18</v>
      </c>
    </row>
    <row r="205" spans="1:40" s="696" customFormat="1" ht="38.25" x14ac:dyDescent="0.2">
      <c r="A205" s="696" t="str">
        <f t="shared" si="43"/>
        <v>S</v>
      </c>
      <c r="B205" s="696">
        <f t="shared" ca="1" si="44"/>
        <v>2</v>
      </c>
      <c r="C205" s="696" t="str">
        <f t="shared" ca="1" si="45"/>
        <v>S</v>
      </c>
      <c r="D205" s="696">
        <f t="shared" ca="1" si="46"/>
        <v>0</v>
      </c>
      <c r="E205" s="696">
        <f ca="1">IF($C205=1,OFFSET(E205,-1,0)+MAX(1,COUNTIF(QCI!$A$13:$A$24,OFFSET(ORÇAMENTO!E205,-1,0))),OFFSET(E205,-1,0))</f>
        <v>1</v>
      </c>
      <c r="F205" s="696">
        <f t="shared" ca="1" si="47"/>
        <v>30</v>
      </c>
      <c r="G205" s="696">
        <f t="shared" ca="1" si="48"/>
        <v>0</v>
      </c>
      <c r="H205" s="696">
        <f t="shared" ca="1" si="49"/>
        <v>0</v>
      </c>
      <c r="I205" s="696">
        <f t="shared" ca="1" si="50"/>
        <v>9</v>
      </c>
      <c r="J205" s="696">
        <f t="shared" ca="1" si="42"/>
        <v>0</v>
      </c>
      <c r="K205" s="696">
        <f ca="1">IF(OR($C205="S",$C205=0),0,MATCH(OFFSET($D205,0,$C205)+IF($C205&lt;&gt;1,1,COUNTIF(QCI!$A$13:$A$24,ORÇAMENTO!E205)),OFFSET($D205,1,$C205,ROW($C$235)-ROW($C205)),0))</f>
        <v>0</v>
      </c>
      <c r="L205" s="114" t="str">
        <f t="shared" ca="1" si="51"/>
        <v>F</v>
      </c>
      <c r="M205" s="115" t="s">
        <v>705</v>
      </c>
      <c r="N205" s="116" t="str">
        <f t="shared" ca="1" si="52"/>
        <v>Serviço</v>
      </c>
      <c r="O205" s="117" t="str">
        <f t="shared" ca="1" si="53"/>
        <v>1.30.9.</v>
      </c>
      <c r="P205" s="118" t="s">
        <v>750</v>
      </c>
      <c r="Q205" s="119" t="s">
        <v>1182</v>
      </c>
      <c r="R205" s="120" t="str">
        <f t="array" aca="1" ref="R205" ca="1">IF($C205="S",REFERENCIA.Descricao,"(digite a descrição aqui)")</f>
        <v>TUBO PVC, SERIE NORMAL, ESGOTO PREDIAL, DN 40 MM, FORNECIDO E INSTALADO EM RAMAL DE DESCARGA OU RAMAL DE ESGOTO SANITÁRIO. AF_08/2022</v>
      </c>
      <c r="S205" s="121" t="str">
        <f t="array" aca="1" ref="S205" ca="1">REFERENCIA.Unidade</f>
        <v>M</v>
      </c>
      <c r="T205" s="122">
        <f ca="1">OFFSET(CÁLCULO!H$15,ROW($T205)-ROW(T$15),0)</f>
        <v>67</v>
      </c>
      <c r="U205" s="123">
        <f>23.35*0.94</f>
        <v>21.949000000000002</v>
      </c>
      <c r="V205" s="124" t="s">
        <v>697</v>
      </c>
      <c r="W205" s="122">
        <f t="array" aca="1" ref="W205" ca="1">IF($C205="S",ROUND(IF(TIPOORCAMENTO="Proposto",ORÇAMENTO.CustoUnitario*(1+$AH205),ORÇAMENTO.PrecoUnitarioLicitado),15-13*$AF$10),0)</f>
        <v>26.41</v>
      </c>
      <c r="X205" s="125">
        <f t="array" aca="1" ref="X205" ca="1">IF($C205="S",IF(OR(Import.TipoArredondamento&lt;&gt;"TransfereGOV",ACOMPANHAMENTO="BM"),VTOTAL1,SUM(OFFSET(CÁLCULO!$AI$15,ROW($X205)-ROW($X$15),1):OFFSET(CÁLCULO!$BB$15,ROW($X205)-ROW($X$15),-1))),IF($C205=0,0,ROUND(SomaAgrup,15-13*$AF$11)))</f>
        <v>1769.48</v>
      </c>
      <c r="Y205" s="126" t="s">
        <v>751</v>
      </c>
      <c r="Z205" s="696" t="str">
        <f t="shared" ca="1" si="54"/>
        <v>RA</v>
      </c>
      <c r="AA205" s="127">
        <f t="array" aca="1" ref="AA205" ca="1">IF($C205="S",IF($Z205="CP",$X205,IF($Z205="RA",(($X205)*QCI!$AA$3),0)),SomaAgrup)</f>
        <v>0</v>
      </c>
      <c r="AB205" s="128">
        <f t="array" aca="1" ref="AB205" ca="1">IF($C205="S",IF($Z205="OU",ROUND($X205,2),0),SomaAgrup)</f>
        <v>0</v>
      </c>
      <c r="AC205" s="563" t="str">
        <f t="array" aca="1" ref="AC205" ca="1">IF($N205=""," ",
IF(AND($C205&lt;&gt;"S",OR($R205="",$R205="(digite a descrição aqui)")),"DESCRIÇÃO",
IF(AND($C205="S",OR($Q205&lt;&gt;"",$T205&gt;0,$U205&gt;0),$P205=""),"FONTE",
IF(AND($C205="S",$P205&lt;&gt;"",OR($T205&gt;0,$U205&gt;0),$Q205=""),"CÓDIGO",
IF(AND($C205="S",$P205&lt;&gt;"",$Q205&lt;&gt;"",$R205="(Código não identificado nas referências)"),"CÓDIGO N/ID",
IF(AND($C205="S",OR($R205="",$R205="(digite a descrição aqui)"),OR($Q205&lt;&gt;"",$T205&gt;0,$U205&gt;0)),"DESCRIÇÃO",
IF(AND($C205="S",$P205&lt;&gt;"",$Q205&lt;&gt;"",$S205=""),"UNIDADE",
IF(AND($C205="S",$P205&lt;&gt;"",$Q205&lt;&gt;"",$U205=0),"SEM CUSTO",
IF(AND(TIPOORCAMENTO="Licitado",$AL205=0,$AN205&gt;0),"SEM PREÇO",
IF(AND($C205="S",$P205&lt;&gt;"",$Q205&lt;&gt;"",$U205&gt;0,AND($V205&lt;&gt;"BDI 1",$V205&lt;&gt;"BDI 2",$V205&lt;&gt;"BDI 3")),IF(ISNUMBER($V205),"JUSTIFICAR BDI","BDI"),
IF(OR(AND(import.recurso="OGU",TIPOORCAMENTO="Proposto",LEFT($O$8,5)&lt;&gt;"(N/D:",$AG205&lt;&gt;"",ORÇAMENTO.CustoUnitario&gt;$AG205),AND(TIPOORCAMENTO="LICITADO",ORÇAMENTO.PrecoUnitarioLicitado&gt;$AN205)),"ACIMA REF.",
IF(AND($C205="S",$P205&lt;&gt;"",$Q205&lt;&gt;"",$T205=0,$U205&gt;0),"QUANT.",
IF(AND(Import.TipoArredondamento="TransfereGOV",$L205="F",$C205="S",LEN($Q205)&gt;13),"Código &gt;13",
IF(AND(Import.TipoArredondamento="TransfereGOV",$L205="F",$C205&lt;&gt;"S",LEN($R205)&gt;100),"Descrição &gt;100",
IF(AND(Import.TipoArredondamento="TransfereGOV",$L205="F",$C205="S",LEN($R205)&gt;500),"Descrição &gt;500",
IF(AND(Import.TipoArredondamento="TransfereGOV",$L205="F",$C205="S",LEFT(TRIM(UPPER($P205)),6)&lt;&gt;"SINAPI",ISNA(VLOOKUP(TRIM(UPPER($S205)),ListaTgov.Unidades,1,FALSE))),"Unid. Não Disp",
" "))))))))))))))))</f>
        <v xml:space="preserve"> </v>
      </c>
      <c r="AD205" s="696" t="str">
        <f ca="1">IF(C205&lt;=CRONO.NivelExibicao,MAX($AD$15:OFFSET(AD205,-1,0))+IF($C205&lt;&gt;1,1,MAX(1,COUNTIF(QCI!$A$13:$A$24,OFFSET($E205,-1,0)))),"")</f>
        <v/>
      </c>
      <c r="AE205" s="694" t="str">
        <f t="array" aca="1" ref="AE205" ca="1">IF(AND($C205="S",ORÇAMENTO.CodBarra&lt;&gt;""),IF(ORÇAMENTO.Fonte="",ORÇAMENTO.CodBarra,CONCATENATE(ORÇAMENTO.Fonte," ",ORÇAMENTO.CodBarra)))</f>
        <v>SINAPI 89711</v>
      </c>
      <c r="AF205" s="695">
        <f t="array" aca="1" ref="AF205" ca="1">IF(ISERROR(ORÇAMENTO.BancoRef),"(abra o arquivo 'Referência "&amp;Excel_BuiltIn_Database&amp;".xlsm)",IF(OR($C205&lt;&gt;"S",ORÇAMENTO.CodBarra=""),"(Sem Código)",IF(ISERROR(MATCH($AE205,INDIRECT(ORÇAMENTO.BancoRef),0)),"(Código não identificado nas referências)",MATCH($AE205,INDIRECT(ORÇAMENTO.BancoRef),0))))</f>
        <v>11445</v>
      </c>
      <c r="AG205" s="428">
        <f t="array" aca="1" ref="AG205" ca="1">ROUND(IF(DESONERACAO="sim",REFERENCIA.Desonerado,REFERENCIA.NaoDesonerado),2)</f>
        <v>23.35</v>
      </c>
      <c r="AH205" s="429">
        <f t="shared" ca="1" si="55"/>
        <v>0.2034</v>
      </c>
      <c r="AJ205" s="431"/>
      <c r="AL205" s="439"/>
      <c r="AM205" s="336">
        <f t="shared" ca="1" si="0"/>
        <v>1769.48</v>
      </c>
      <c r="AN205" s="469">
        <f t="array" aca="1" ref="AN205" ca="1">ROUND(ORÇAMENTO.CustoUnitario*(1+$AH205),2)</f>
        <v>26.41</v>
      </c>
    </row>
    <row r="206" spans="1:40" s="696" customFormat="1" ht="38.25" x14ac:dyDescent="0.2">
      <c r="A206" s="696" t="str">
        <f t="shared" si="43"/>
        <v>S</v>
      </c>
      <c r="B206" s="696">
        <f t="shared" ca="1" si="44"/>
        <v>2</v>
      </c>
      <c r="C206" s="696" t="str">
        <f t="shared" ca="1" si="45"/>
        <v>S</v>
      </c>
      <c r="D206" s="696">
        <f t="shared" ca="1" si="46"/>
        <v>0</v>
      </c>
      <c r="E206" s="696">
        <f ca="1">IF($C206=1,OFFSET(E206,-1,0)+MAX(1,COUNTIF(QCI!$A$13:$A$24,OFFSET(ORÇAMENTO!E206,-1,0))),OFFSET(E206,-1,0))</f>
        <v>1</v>
      </c>
      <c r="F206" s="696">
        <f t="shared" ca="1" si="47"/>
        <v>30</v>
      </c>
      <c r="G206" s="696">
        <f t="shared" ca="1" si="48"/>
        <v>0</v>
      </c>
      <c r="H206" s="696">
        <f t="shared" ca="1" si="49"/>
        <v>0</v>
      </c>
      <c r="I206" s="696">
        <f t="shared" ca="1" si="50"/>
        <v>10</v>
      </c>
      <c r="J206" s="696">
        <f t="shared" ca="1" si="42"/>
        <v>0</v>
      </c>
      <c r="K206" s="696">
        <f ca="1">IF(OR($C206="S",$C206=0),0,MATCH(OFFSET($D206,0,$C206)+IF($C206&lt;&gt;1,1,COUNTIF(QCI!$A$13:$A$24,ORÇAMENTO!E206)),OFFSET($D206,1,$C206,ROW($C$235)-ROW($C206)),0))</f>
        <v>0</v>
      </c>
      <c r="L206" s="114" t="str">
        <f t="shared" ca="1" si="51"/>
        <v>F</v>
      </c>
      <c r="M206" s="115" t="s">
        <v>705</v>
      </c>
      <c r="N206" s="116" t="str">
        <f t="shared" ca="1" si="52"/>
        <v>Serviço</v>
      </c>
      <c r="O206" s="117" t="str">
        <f t="shared" ca="1" si="53"/>
        <v>1.30.10.</v>
      </c>
      <c r="P206" s="118" t="s">
        <v>750</v>
      </c>
      <c r="Q206" s="119" t="s">
        <v>1183</v>
      </c>
      <c r="R206" s="120" t="str">
        <f t="array" aca="1" ref="R206" ca="1">IF($C206="S",REFERENCIA.Descricao,"(digite a descrição aqui)")</f>
        <v>TUBO PVC, SERIE NORMAL, ESGOTO PREDIAL, DN 50 MM, FORNECIDO E INSTALADO EM RAMAL DE DESCARGA OU RAMAL DE ESGOTO SANITÁRIO. AF_08/2022</v>
      </c>
      <c r="S206" s="121" t="str">
        <f t="array" aca="1" ref="S206" ca="1">REFERENCIA.Unidade</f>
        <v>M</v>
      </c>
      <c r="T206" s="122">
        <f ca="1">OFFSET(CÁLCULO!H$15,ROW($T206)-ROW(T$15),0)</f>
        <v>204.2</v>
      </c>
      <c r="U206" s="123">
        <f>29.41*0.94</f>
        <v>27.645399999999999</v>
      </c>
      <c r="V206" s="124" t="s">
        <v>697</v>
      </c>
      <c r="W206" s="122">
        <f t="array" aca="1" ref="W206" ca="1">IF($C206="S",ROUND(IF(TIPOORCAMENTO="Proposto",ORÇAMENTO.CustoUnitario*(1+$AH206),ORÇAMENTO.PrecoUnitarioLicitado),15-13*$AF$10),0)</f>
        <v>33.270000000000003</v>
      </c>
      <c r="X206" s="125">
        <f t="array" aca="1" ref="X206" ca="1">IF($C206="S",IF(OR(Import.TipoArredondamento&lt;&gt;"TransfereGOV",ACOMPANHAMENTO="BM"),VTOTAL1,SUM(OFFSET(CÁLCULO!$AI$15,ROW($X206)-ROW($X$15),1):OFFSET(CÁLCULO!$BB$15,ROW($X206)-ROW($X$15),-1))),IF($C206=0,0,ROUND(SomaAgrup,15-13*$AF$11)))</f>
        <v>6793.72</v>
      </c>
      <c r="Y206" s="126" t="s">
        <v>751</v>
      </c>
      <c r="Z206" s="696" t="str">
        <f t="shared" ca="1" si="54"/>
        <v>RA</v>
      </c>
      <c r="AA206" s="127">
        <f t="array" aca="1" ref="AA206" ca="1">IF($C206="S",IF($Z206="CP",$X206,IF($Z206="RA",(($X206)*QCI!$AA$3),0)),SomaAgrup)</f>
        <v>0</v>
      </c>
      <c r="AB206" s="128">
        <f t="array" aca="1" ref="AB206" ca="1">IF($C206="S",IF($Z206="OU",ROUND($X206,2),0),SomaAgrup)</f>
        <v>0</v>
      </c>
      <c r="AC206" s="563" t="str">
        <f t="array" aca="1" ref="AC206" ca="1">IF($N206=""," ",
IF(AND($C206&lt;&gt;"S",OR($R206="",$R206="(digite a descrição aqui)")),"DESCRIÇÃO",
IF(AND($C206="S",OR($Q206&lt;&gt;"",$T206&gt;0,$U206&gt;0),$P206=""),"FONTE",
IF(AND($C206="S",$P206&lt;&gt;"",OR($T206&gt;0,$U206&gt;0),$Q206=""),"CÓDIGO",
IF(AND($C206="S",$P206&lt;&gt;"",$Q206&lt;&gt;"",$R206="(Código não identificado nas referências)"),"CÓDIGO N/ID",
IF(AND($C206="S",OR($R206="",$R206="(digite a descrição aqui)"),OR($Q206&lt;&gt;"",$T206&gt;0,$U206&gt;0)),"DESCRIÇÃO",
IF(AND($C206="S",$P206&lt;&gt;"",$Q206&lt;&gt;"",$S206=""),"UNIDADE",
IF(AND($C206="S",$P206&lt;&gt;"",$Q206&lt;&gt;"",$U206=0),"SEM CUSTO",
IF(AND(TIPOORCAMENTO="Licitado",$AL206=0,$AN206&gt;0),"SEM PREÇO",
IF(AND($C206="S",$P206&lt;&gt;"",$Q206&lt;&gt;"",$U206&gt;0,AND($V206&lt;&gt;"BDI 1",$V206&lt;&gt;"BDI 2",$V206&lt;&gt;"BDI 3")),IF(ISNUMBER($V206),"JUSTIFICAR BDI","BDI"),
IF(OR(AND(import.recurso="OGU",TIPOORCAMENTO="Proposto",LEFT($O$8,5)&lt;&gt;"(N/D:",$AG206&lt;&gt;"",ORÇAMENTO.CustoUnitario&gt;$AG206),AND(TIPOORCAMENTO="LICITADO",ORÇAMENTO.PrecoUnitarioLicitado&gt;$AN206)),"ACIMA REF.",
IF(AND($C206="S",$P206&lt;&gt;"",$Q206&lt;&gt;"",$T206=0,$U206&gt;0),"QUANT.",
IF(AND(Import.TipoArredondamento="TransfereGOV",$L206="F",$C206="S",LEN($Q206)&gt;13),"Código &gt;13",
IF(AND(Import.TipoArredondamento="TransfereGOV",$L206="F",$C206&lt;&gt;"S",LEN($R206)&gt;100),"Descrição &gt;100",
IF(AND(Import.TipoArredondamento="TransfereGOV",$L206="F",$C206="S",LEN($R206)&gt;500),"Descrição &gt;500",
IF(AND(Import.TipoArredondamento="TransfereGOV",$L206="F",$C206="S",LEFT(TRIM(UPPER($P206)),6)&lt;&gt;"SINAPI",ISNA(VLOOKUP(TRIM(UPPER($S206)),ListaTgov.Unidades,1,FALSE))),"Unid. Não Disp",
" "))))))))))))))))</f>
        <v xml:space="preserve"> </v>
      </c>
      <c r="AD206" s="696" t="str">
        <f ca="1">IF(C206&lt;=CRONO.NivelExibicao,MAX($AD$15:OFFSET(AD206,-1,0))+IF($C206&lt;&gt;1,1,MAX(1,COUNTIF(QCI!$A$13:$A$24,OFFSET($E206,-1,0)))),"")</f>
        <v/>
      </c>
      <c r="AE206" s="694" t="str">
        <f t="array" aca="1" ref="AE206" ca="1">IF(AND($C206="S",ORÇAMENTO.CodBarra&lt;&gt;""),IF(ORÇAMENTO.Fonte="",ORÇAMENTO.CodBarra,CONCATENATE(ORÇAMENTO.Fonte," ",ORÇAMENTO.CodBarra)))</f>
        <v>SINAPI 89712</v>
      </c>
      <c r="AF206" s="695">
        <f t="array" aca="1" ref="AF206" ca="1">IF(ISERROR(ORÇAMENTO.BancoRef),"(abra o arquivo 'Referência "&amp;Excel_BuiltIn_Database&amp;".xlsm)",IF(OR($C206&lt;&gt;"S",ORÇAMENTO.CodBarra=""),"(Sem Código)",IF(ISERROR(MATCH($AE206,INDIRECT(ORÇAMENTO.BancoRef),0)),"(Código não identificado nas referências)",MATCH($AE206,INDIRECT(ORÇAMENTO.BancoRef),0))))</f>
        <v>11447</v>
      </c>
      <c r="AG206" s="428">
        <f t="array" aca="1" ref="AG206" ca="1">ROUND(IF(DESONERACAO="sim",REFERENCIA.Desonerado,REFERENCIA.NaoDesonerado),2)</f>
        <v>29.41</v>
      </c>
      <c r="AH206" s="429">
        <f t="shared" ca="1" si="55"/>
        <v>0.2034</v>
      </c>
      <c r="AJ206" s="431"/>
      <c r="AL206" s="439"/>
      <c r="AM206" s="336">
        <f t="shared" ca="1" si="0"/>
        <v>6793.72</v>
      </c>
      <c r="AN206" s="469">
        <f t="array" aca="1" ref="AN206" ca="1">ROUND(ORÇAMENTO.CustoUnitario*(1+$AH206),2)</f>
        <v>33.270000000000003</v>
      </c>
    </row>
    <row r="207" spans="1:40" s="696" customFormat="1" ht="38.25" x14ac:dyDescent="0.2">
      <c r="A207" s="696" t="str">
        <f t="shared" si="43"/>
        <v>S</v>
      </c>
      <c r="B207" s="696">
        <f t="shared" ca="1" si="44"/>
        <v>2</v>
      </c>
      <c r="C207" s="696" t="str">
        <f t="shared" ca="1" si="45"/>
        <v>S</v>
      </c>
      <c r="D207" s="696">
        <f t="shared" ca="1" si="46"/>
        <v>0</v>
      </c>
      <c r="E207" s="696">
        <f ca="1">IF($C207=1,OFFSET(E207,-1,0)+MAX(1,COUNTIF(QCI!$A$13:$A$24,OFFSET(ORÇAMENTO!E207,-1,0))),OFFSET(E207,-1,0))</f>
        <v>1</v>
      </c>
      <c r="F207" s="696">
        <f t="shared" ca="1" si="47"/>
        <v>30</v>
      </c>
      <c r="G207" s="696">
        <f t="shared" ca="1" si="48"/>
        <v>0</v>
      </c>
      <c r="H207" s="696">
        <f t="shared" ca="1" si="49"/>
        <v>0</v>
      </c>
      <c r="I207" s="696">
        <f t="shared" ca="1" si="50"/>
        <v>11</v>
      </c>
      <c r="J207" s="696">
        <f t="shared" ca="1" si="42"/>
        <v>0</v>
      </c>
      <c r="K207" s="696">
        <f ca="1">IF(OR($C207="S",$C207=0),0,MATCH(OFFSET($D207,0,$C207)+IF($C207&lt;&gt;1,1,COUNTIF(QCI!$A$13:$A$24,ORÇAMENTO!E207)),OFFSET($D207,1,$C207,ROW($C$235)-ROW($C207)),0))</f>
        <v>0</v>
      </c>
      <c r="L207" s="114" t="str">
        <f t="shared" ca="1" si="51"/>
        <v>F</v>
      </c>
      <c r="M207" s="115" t="s">
        <v>705</v>
      </c>
      <c r="N207" s="116" t="str">
        <f t="shared" ca="1" si="52"/>
        <v>Serviço</v>
      </c>
      <c r="O207" s="117" t="str">
        <f t="shared" ca="1" si="53"/>
        <v>1.30.11.</v>
      </c>
      <c r="P207" s="118" t="s">
        <v>750</v>
      </c>
      <c r="Q207" s="119" t="s">
        <v>1184</v>
      </c>
      <c r="R207" s="120" t="str">
        <f t="array" aca="1" ref="R207" ca="1">IF($C207="S",REFERENCIA.Descricao,"(digite a descrição aqui)")</f>
        <v>TUBO PVC, SERIE NORMAL, ESGOTO PREDIAL, DN 50 MM, FORNECIDO E INSTALADO EM PRUMADA DE ESGOTO SANITÁRIO OU VENTILAÇÃO. AF_08/2022</v>
      </c>
      <c r="S207" s="121" t="str">
        <f t="array" aca="1" ref="S207" ca="1">REFERENCIA.Unidade</f>
        <v>M</v>
      </c>
      <c r="T207" s="122">
        <f ca="1">OFFSET(CÁLCULO!H$15,ROW($T207)-ROW(T$15),0)</f>
        <v>160</v>
      </c>
      <c r="U207" s="123">
        <f>14.22*0.94</f>
        <v>13.3668</v>
      </c>
      <c r="V207" s="124" t="s">
        <v>697</v>
      </c>
      <c r="W207" s="122">
        <f t="array" aca="1" ref="W207" ca="1">IF($C207="S",ROUND(IF(TIPOORCAMENTO="Proposto",ORÇAMENTO.CustoUnitario*(1+$AH207),ORÇAMENTO.PrecoUnitarioLicitado),15-13*$AF$10),0)</f>
        <v>16.09</v>
      </c>
      <c r="X207" s="125">
        <f t="array" aca="1" ref="X207" ca="1">IF($C207="S",IF(OR(Import.TipoArredondamento&lt;&gt;"TransfereGOV",ACOMPANHAMENTO="BM"),VTOTAL1,SUM(OFFSET(CÁLCULO!$AI$15,ROW($X207)-ROW($X$15),1):OFFSET(CÁLCULO!$BB$15,ROW($X207)-ROW($X$15),-1))),IF($C207=0,0,ROUND(SomaAgrup,15-13*$AF$11)))</f>
        <v>2574.4</v>
      </c>
      <c r="Y207" s="126" t="s">
        <v>751</v>
      </c>
      <c r="Z207" s="696" t="str">
        <f t="shared" ca="1" si="54"/>
        <v>RA</v>
      </c>
      <c r="AA207" s="127">
        <f t="array" aca="1" ref="AA207" ca="1">IF($C207="S",IF($Z207="CP",$X207,IF($Z207="RA",(($X207)*QCI!$AA$3),0)),SomaAgrup)</f>
        <v>0</v>
      </c>
      <c r="AB207" s="128">
        <f t="array" aca="1" ref="AB207" ca="1">IF($C207="S",IF($Z207="OU",ROUND($X207,2),0),SomaAgrup)</f>
        <v>0</v>
      </c>
      <c r="AC207" s="563" t="str">
        <f t="array" aca="1" ref="AC207" ca="1">IF($N207=""," ",
IF(AND($C207&lt;&gt;"S",OR($R207="",$R207="(digite a descrição aqui)")),"DESCRIÇÃO",
IF(AND($C207="S",OR($Q207&lt;&gt;"",$T207&gt;0,$U207&gt;0),$P207=""),"FONTE",
IF(AND($C207="S",$P207&lt;&gt;"",OR($T207&gt;0,$U207&gt;0),$Q207=""),"CÓDIGO",
IF(AND($C207="S",$P207&lt;&gt;"",$Q207&lt;&gt;"",$R207="(Código não identificado nas referências)"),"CÓDIGO N/ID",
IF(AND($C207="S",OR($R207="",$R207="(digite a descrição aqui)"),OR($Q207&lt;&gt;"",$T207&gt;0,$U207&gt;0)),"DESCRIÇÃO",
IF(AND($C207="S",$P207&lt;&gt;"",$Q207&lt;&gt;"",$S207=""),"UNIDADE",
IF(AND($C207="S",$P207&lt;&gt;"",$Q207&lt;&gt;"",$U207=0),"SEM CUSTO",
IF(AND(TIPOORCAMENTO="Licitado",$AL207=0,$AN207&gt;0),"SEM PREÇO",
IF(AND($C207="S",$P207&lt;&gt;"",$Q207&lt;&gt;"",$U207&gt;0,AND($V207&lt;&gt;"BDI 1",$V207&lt;&gt;"BDI 2",$V207&lt;&gt;"BDI 3")),IF(ISNUMBER($V207),"JUSTIFICAR BDI","BDI"),
IF(OR(AND(import.recurso="OGU",TIPOORCAMENTO="Proposto",LEFT($O$8,5)&lt;&gt;"(N/D:",$AG207&lt;&gt;"",ORÇAMENTO.CustoUnitario&gt;$AG207),AND(TIPOORCAMENTO="LICITADO",ORÇAMENTO.PrecoUnitarioLicitado&gt;$AN207)),"ACIMA REF.",
IF(AND($C207="S",$P207&lt;&gt;"",$Q207&lt;&gt;"",$T207=0,$U207&gt;0),"QUANT.",
IF(AND(Import.TipoArredondamento="TransfereGOV",$L207="F",$C207="S",LEN($Q207)&gt;13),"Código &gt;13",
IF(AND(Import.TipoArredondamento="TransfereGOV",$L207="F",$C207&lt;&gt;"S",LEN($R207)&gt;100),"Descrição &gt;100",
IF(AND(Import.TipoArredondamento="TransfereGOV",$L207="F",$C207="S",LEN($R207)&gt;500),"Descrição &gt;500",
IF(AND(Import.TipoArredondamento="TransfereGOV",$L207="F",$C207="S",LEFT(TRIM(UPPER($P207)),6)&lt;&gt;"SINAPI",ISNA(VLOOKUP(TRIM(UPPER($S207)),ListaTgov.Unidades,1,FALSE))),"Unid. Não Disp",
" "))))))))))))))))</f>
        <v xml:space="preserve"> </v>
      </c>
      <c r="AD207" s="696" t="str">
        <f ca="1">IF(C207&lt;=CRONO.NivelExibicao,MAX($AD$15:OFFSET(AD207,-1,0))+IF($C207&lt;&gt;1,1,MAX(1,COUNTIF(QCI!$A$13:$A$24,OFFSET($E207,-1,0)))),"")</f>
        <v/>
      </c>
      <c r="AE207" s="694" t="str">
        <f t="array" aca="1" ref="AE207" ca="1">IF(AND($C207="S",ORÇAMENTO.CodBarra&lt;&gt;""),IF(ORÇAMENTO.Fonte="",ORÇAMENTO.CodBarra,CONCATENATE(ORÇAMENTO.Fonte," ",ORÇAMENTO.CodBarra)))</f>
        <v>SINAPI 89798</v>
      </c>
      <c r="AF207" s="695">
        <f t="array" aca="1" ref="AF207" ca="1">IF(ISERROR(ORÇAMENTO.BancoRef),"(abra o arquivo 'Referência "&amp;Excel_BuiltIn_Database&amp;".xlsm)",IF(OR($C207&lt;&gt;"S",ORÇAMENTO.CodBarra=""),"(Sem Código)",IF(ISERROR(MATCH($AE207,INDIRECT(ORÇAMENTO.BancoRef),0)),"(Código não identificado nas referências)",MATCH($AE207,INDIRECT(ORÇAMENTO.BancoRef),0))))</f>
        <v>11446</v>
      </c>
      <c r="AG207" s="428">
        <f t="array" aca="1" ref="AG207" ca="1">ROUND(IF(DESONERACAO="sim",REFERENCIA.Desonerado,REFERENCIA.NaoDesonerado),2)</f>
        <v>14.22</v>
      </c>
      <c r="AH207" s="429">
        <f t="shared" ca="1" si="55"/>
        <v>0.2034</v>
      </c>
      <c r="AJ207" s="431"/>
      <c r="AL207" s="439"/>
      <c r="AM207" s="336">
        <f t="shared" ca="1" si="0"/>
        <v>2574.4</v>
      </c>
      <c r="AN207" s="469">
        <f t="array" aca="1" ref="AN207" ca="1">ROUND(ORÇAMENTO.CustoUnitario*(1+$AH207),2)</f>
        <v>16.09</v>
      </c>
    </row>
    <row r="208" spans="1:40" s="696" customFormat="1" ht="38.25" x14ac:dyDescent="0.2">
      <c r="A208" s="696" t="str">
        <f t="shared" si="43"/>
        <v>S</v>
      </c>
      <c r="B208" s="696">
        <f t="shared" ca="1" si="44"/>
        <v>2</v>
      </c>
      <c r="C208" s="696" t="str">
        <f t="shared" ca="1" si="45"/>
        <v>S</v>
      </c>
      <c r="D208" s="696">
        <f t="shared" ca="1" si="46"/>
        <v>0</v>
      </c>
      <c r="E208" s="696">
        <f ca="1">IF($C208=1,OFFSET(E208,-1,0)+MAX(1,COUNTIF(QCI!$A$13:$A$24,OFFSET(ORÇAMENTO!E208,-1,0))),OFFSET(E208,-1,0))</f>
        <v>1</v>
      </c>
      <c r="F208" s="696">
        <f t="shared" ca="1" si="47"/>
        <v>30</v>
      </c>
      <c r="G208" s="696">
        <f t="shared" ca="1" si="48"/>
        <v>0</v>
      </c>
      <c r="H208" s="696">
        <f t="shared" ca="1" si="49"/>
        <v>0</v>
      </c>
      <c r="I208" s="696">
        <f t="shared" ca="1" si="50"/>
        <v>12</v>
      </c>
      <c r="J208" s="696">
        <f t="shared" ref="J208:J234" ca="1" si="56">IF(OR($C208="S",$C208=0),0,MATCH(0,OFFSET($D208,1,$C208,ROW($C$235)-ROW($C208)),0))</f>
        <v>0</v>
      </c>
      <c r="K208" s="696">
        <f ca="1">IF(OR($C208="S",$C208=0),0,MATCH(OFFSET($D208,0,$C208)+IF($C208&lt;&gt;1,1,COUNTIF(QCI!$A$13:$A$24,ORÇAMENTO!E208)),OFFSET($D208,1,$C208,ROW($C$235)-ROW($C208)),0))</f>
        <v>0</v>
      </c>
      <c r="L208" s="114" t="str">
        <f t="shared" ca="1" si="51"/>
        <v>F</v>
      </c>
      <c r="M208" s="115" t="s">
        <v>705</v>
      </c>
      <c r="N208" s="116" t="str">
        <f t="shared" ca="1" si="52"/>
        <v>Serviço</v>
      </c>
      <c r="O208" s="117" t="str">
        <f t="shared" ca="1" si="53"/>
        <v>1.30.12.</v>
      </c>
      <c r="P208" s="118" t="s">
        <v>750</v>
      </c>
      <c r="Q208" s="119" t="s">
        <v>1185</v>
      </c>
      <c r="R208" s="120" t="str">
        <f t="array" aca="1" ref="R208" ca="1">IF($C208="S",REFERENCIA.Descricao,"(digite a descrição aqui)")</f>
        <v>TUBO PVC, SERIE NORMAL, ESGOTO PREDIAL, DN 100 MM, FORNECIDO E INSTALADO EM RAMAL DE DESCARGA OU RAMAL DE ESGOTO SANITÁRIO. AF_08/2022</v>
      </c>
      <c r="S208" s="121" t="str">
        <f t="array" aca="1" ref="S208" ca="1">REFERENCIA.Unidade</f>
        <v>M</v>
      </c>
      <c r="T208" s="122">
        <f ca="1">OFFSET(CÁLCULO!H$15,ROW($T208)-ROW(T$15),0)</f>
        <v>676</v>
      </c>
      <c r="U208" s="123">
        <f>40.97*0.94</f>
        <v>38.511799999999994</v>
      </c>
      <c r="V208" s="124" t="s">
        <v>697</v>
      </c>
      <c r="W208" s="122">
        <f t="array" aca="1" ref="W208" ca="1">IF($C208="S",ROUND(IF(TIPOORCAMENTO="Proposto",ORÇAMENTO.CustoUnitario*(1+$AH208),ORÇAMENTO.PrecoUnitarioLicitado),15-13*$AF$10),0)</f>
        <v>46.34</v>
      </c>
      <c r="X208" s="125">
        <f t="array" aca="1" ref="X208" ca="1">IF($C208="S",IF(OR(Import.TipoArredondamento&lt;&gt;"TransfereGOV",ACOMPANHAMENTO="BM"),VTOTAL1,SUM(OFFSET(CÁLCULO!$AI$15,ROW($X208)-ROW($X$15),1):OFFSET(CÁLCULO!$BB$15,ROW($X208)-ROW($X$15),-1))),IF($C208=0,0,ROUND(SomaAgrup,15-13*$AF$11)))</f>
        <v>31325.84</v>
      </c>
      <c r="Y208" s="126" t="s">
        <v>751</v>
      </c>
      <c r="Z208" s="696" t="str">
        <f t="shared" ca="1" si="54"/>
        <v>RA</v>
      </c>
      <c r="AA208" s="127">
        <f t="array" aca="1" ref="AA208" ca="1">IF($C208="S",IF($Z208="CP",$X208,IF($Z208="RA",(($X208)*QCI!$AA$3),0)),SomaAgrup)</f>
        <v>0</v>
      </c>
      <c r="AB208" s="128">
        <f t="array" aca="1" ref="AB208" ca="1">IF($C208="S",IF($Z208="OU",ROUND($X208,2),0),SomaAgrup)</f>
        <v>0</v>
      </c>
      <c r="AC208" s="563" t="str">
        <f t="array" aca="1" ref="AC208" ca="1">IF($N208=""," ",
IF(AND($C208&lt;&gt;"S",OR($R208="",$R208="(digite a descrição aqui)")),"DESCRIÇÃO",
IF(AND($C208="S",OR($Q208&lt;&gt;"",$T208&gt;0,$U208&gt;0),$P208=""),"FONTE",
IF(AND($C208="S",$P208&lt;&gt;"",OR($T208&gt;0,$U208&gt;0),$Q208=""),"CÓDIGO",
IF(AND($C208="S",$P208&lt;&gt;"",$Q208&lt;&gt;"",$R208="(Código não identificado nas referências)"),"CÓDIGO N/ID",
IF(AND($C208="S",OR($R208="",$R208="(digite a descrição aqui)"),OR($Q208&lt;&gt;"",$T208&gt;0,$U208&gt;0)),"DESCRIÇÃO",
IF(AND($C208="S",$P208&lt;&gt;"",$Q208&lt;&gt;"",$S208=""),"UNIDADE",
IF(AND($C208="S",$P208&lt;&gt;"",$Q208&lt;&gt;"",$U208=0),"SEM CUSTO",
IF(AND(TIPOORCAMENTO="Licitado",$AL208=0,$AN208&gt;0),"SEM PREÇO",
IF(AND($C208="S",$P208&lt;&gt;"",$Q208&lt;&gt;"",$U208&gt;0,AND($V208&lt;&gt;"BDI 1",$V208&lt;&gt;"BDI 2",$V208&lt;&gt;"BDI 3")),IF(ISNUMBER($V208),"JUSTIFICAR BDI","BDI"),
IF(OR(AND(import.recurso="OGU",TIPOORCAMENTO="Proposto",LEFT($O$8,5)&lt;&gt;"(N/D:",$AG208&lt;&gt;"",ORÇAMENTO.CustoUnitario&gt;$AG208),AND(TIPOORCAMENTO="LICITADO",ORÇAMENTO.PrecoUnitarioLicitado&gt;$AN208)),"ACIMA REF.",
IF(AND($C208="S",$P208&lt;&gt;"",$Q208&lt;&gt;"",$T208=0,$U208&gt;0),"QUANT.",
IF(AND(Import.TipoArredondamento="TransfereGOV",$L208="F",$C208="S",LEN($Q208)&gt;13),"Código &gt;13",
IF(AND(Import.TipoArredondamento="TransfereGOV",$L208="F",$C208&lt;&gt;"S",LEN($R208)&gt;100),"Descrição &gt;100",
IF(AND(Import.TipoArredondamento="TransfereGOV",$L208="F",$C208="S",LEN($R208)&gt;500),"Descrição &gt;500",
IF(AND(Import.TipoArredondamento="TransfereGOV",$L208="F",$C208="S",LEFT(TRIM(UPPER($P208)),6)&lt;&gt;"SINAPI",ISNA(VLOOKUP(TRIM(UPPER($S208)),ListaTgov.Unidades,1,FALSE))),"Unid. Não Disp",
" "))))))))))))))))</f>
        <v xml:space="preserve"> </v>
      </c>
      <c r="AD208" s="696" t="str">
        <f ca="1">IF(C208&lt;=CRONO.NivelExibicao,MAX($AD$15:OFFSET(AD208,-1,0))+IF($C208&lt;&gt;1,1,MAX(1,COUNTIF(QCI!$A$13:$A$24,OFFSET($E208,-1,0)))),"")</f>
        <v/>
      </c>
      <c r="AE208" s="694" t="str">
        <f t="array" aca="1" ref="AE208" ca="1">IF(AND($C208="S",ORÇAMENTO.CodBarra&lt;&gt;""),IF(ORÇAMENTO.Fonte="",ORÇAMENTO.CodBarra,CONCATENATE(ORÇAMENTO.Fonte," ",ORÇAMENTO.CodBarra)))</f>
        <v>SINAPI 89714</v>
      </c>
      <c r="AF208" s="695">
        <f t="array" aca="1" ref="AF208" ca="1">IF(ISERROR(ORÇAMENTO.BancoRef),"(abra o arquivo 'Referência "&amp;Excel_BuiltIn_Database&amp;".xlsm)",IF(OR($C208&lt;&gt;"S",ORÇAMENTO.CodBarra=""),"(Sem Código)",IF(ISERROR(MATCH($AE208,INDIRECT(ORÇAMENTO.BancoRef),0)),"(Código não identificado nas referências)",MATCH($AE208,INDIRECT(ORÇAMENTO.BancoRef),0))))</f>
        <v>11442</v>
      </c>
      <c r="AG208" s="428">
        <f t="array" aca="1" ref="AG208" ca="1">ROUND(IF(DESONERACAO="sim",REFERENCIA.Desonerado,REFERENCIA.NaoDesonerado),2)</f>
        <v>40.97</v>
      </c>
      <c r="AH208" s="429">
        <f t="shared" ca="1" si="55"/>
        <v>0.2034</v>
      </c>
      <c r="AJ208" s="431"/>
      <c r="AL208" s="439"/>
      <c r="AM208" s="336">
        <f t="shared" ca="1" si="0"/>
        <v>31325.84</v>
      </c>
      <c r="AN208" s="469">
        <f t="array" aca="1" ref="AN208" ca="1">ROUND(ORÇAMENTO.CustoUnitario*(1+$AH208),2)</f>
        <v>46.34</v>
      </c>
    </row>
    <row r="209" spans="1:40" s="696" customFormat="1" x14ac:dyDescent="0.2">
      <c r="A209" s="696">
        <f t="shared" si="43"/>
        <v>2</v>
      </c>
      <c r="B209" s="696">
        <f t="shared" ca="1" si="44"/>
        <v>2</v>
      </c>
      <c r="C209" s="696">
        <f t="shared" ca="1" si="45"/>
        <v>2</v>
      </c>
      <c r="D209" s="696">
        <f t="shared" ca="1" si="46"/>
        <v>6</v>
      </c>
      <c r="E209" s="696">
        <f ca="1">IF($C209=1,OFFSET(E209,-1,0)+MAX(1,COUNTIF(QCI!$A$13:$A$24,OFFSET(ORÇAMENTO!E209,-1,0))),OFFSET(E209,-1,0))</f>
        <v>1</v>
      </c>
      <c r="F209" s="696">
        <f t="shared" ca="1" si="47"/>
        <v>31</v>
      </c>
      <c r="G209" s="696">
        <f t="shared" ca="1" si="48"/>
        <v>0</v>
      </c>
      <c r="H209" s="696">
        <f t="shared" ca="1" si="49"/>
        <v>0</v>
      </c>
      <c r="I209" s="696">
        <f t="shared" ca="1" si="50"/>
        <v>0</v>
      </c>
      <c r="J209" s="696">
        <f t="shared" ca="1" si="56"/>
        <v>26</v>
      </c>
      <c r="K209" s="696">
        <f ca="1">IF(OR($C209="S",$C209=0),0,MATCH(OFFSET($D209,0,$C209)+IF($C209&lt;&gt;1,1,COUNTIF(QCI!$A$13:$A$24,ORÇAMENTO!E209)),OFFSET($D209,1,$C209,ROW($C$235)-ROW($C209)),0))</f>
        <v>6</v>
      </c>
      <c r="L209" s="114" t="str">
        <f t="shared" ca="1" si="51"/>
        <v>F</v>
      </c>
      <c r="M209" s="115" t="s">
        <v>702</v>
      </c>
      <c r="N209" s="116" t="str">
        <f t="shared" ca="1" si="52"/>
        <v>Nível 2</v>
      </c>
      <c r="O209" s="117" t="str">
        <f t="shared" ca="1" si="53"/>
        <v>1.31.</v>
      </c>
      <c r="P209" s="118" t="s">
        <v>750</v>
      </c>
      <c r="Q209" s="119"/>
      <c r="R209" s="120" t="s">
        <v>1186</v>
      </c>
      <c r="S209" s="121" t="s">
        <v>688</v>
      </c>
      <c r="T209" s="122">
        <f ca="1">OFFSET(CÁLCULO!H$15,ROW($T209)-ROW(T$15),0)</f>
        <v>0</v>
      </c>
      <c r="U209" s="123"/>
      <c r="V209" s="124" t="s">
        <v>663</v>
      </c>
      <c r="W209" s="122">
        <f t="array" aca="1" ref="W209" ca="1">IF($C209="S",ROUND(IF(TIPOORCAMENTO="Proposto",ORÇAMENTO.CustoUnitario*(1+$AH209),ORÇAMENTO.PrecoUnitarioLicitado),15-13*$AF$10),0)</f>
        <v>0</v>
      </c>
      <c r="X209" s="125">
        <f t="array" aca="1" ref="X209" ca="1">IF($C209="S",IF(OR(Import.TipoArredondamento&lt;&gt;"TransfereGOV",ACOMPANHAMENTO="BM"),VTOTAL1,SUM(OFFSET(CÁLCULO!$AI$15,ROW($X209)-ROW($X$15),1):OFFSET(CÁLCULO!$BB$15,ROW($X209)-ROW($X$15),-1))),IF($C209=0,0,ROUND(SomaAgrup,15-13*$AF$11)))</f>
        <v>77113.399999999994</v>
      </c>
      <c r="Y209" s="126" t="s">
        <v>751</v>
      </c>
      <c r="Z209" s="696" t="str">
        <f t="shared" ca="1" si="54"/>
        <v/>
      </c>
      <c r="AA209" s="127">
        <f t="array" aca="1" ref="AA209" ca="1">IF($C209="S",IF($Z209="CP",$X209,IF($Z209="RA",(($X209)*QCI!$AA$3),0)),SomaAgrup)</f>
        <v>0</v>
      </c>
      <c r="AB209" s="128">
        <f t="array" aca="1" ref="AB209" ca="1">IF($C209="S",IF($Z209="OU",ROUND($X209,2),0),SomaAgrup)</f>
        <v>0</v>
      </c>
      <c r="AC209" s="563" t="str">
        <f t="array" aca="1" ref="AC209" ca="1">IF($N209=""," ",
IF(AND($C209&lt;&gt;"S",OR($R209="",$R209="(digite a descrição aqui)")),"DESCRIÇÃO",
IF(AND($C209="S",OR($Q209&lt;&gt;"",$T209&gt;0,$U209&gt;0),$P209=""),"FONTE",
IF(AND($C209="S",$P209&lt;&gt;"",OR($T209&gt;0,$U209&gt;0),$Q209=""),"CÓDIGO",
IF(AND($C209="S",$P209&lt;&gt;"",$Q209&lt;&gt;"",$R209="(Código não identificado nas referências)"),"CÓDIGO N/ID",
IF(AND($C209="S",OR($R209="",$R209="(digite a descrição aqui)"),OR($Q209&lt;&gt;"",$T209&gt;0,$U209&gt;0)),"DESCRIÇÃO",
IF(AND($C209="S",$P209&lt;&gt;"",$Q209&lt;&gt;"",$S209=""),"UNIDADE",
IF(AND($C209="S",$P209&lt;&gt;"",$Q209&lt;&gt;"",$U209=0),"SEM CUSTO",
IF(AND(TIPOORCAMENTO="Licitado",$AL209=0,$AN209&gt;0),"SEM PREÇO",
IF(AND($C209="S",$P209&lt;&gt;"",$Q209&lt;&gt;"",$U209&gt;0,AND($V209&lt;&gt;"BDI 1",$V209&lt;&gt;"BDI 2",$V209&lt;&gt;"BDI 3")),IF(ISNUMBER($V209),"JUSTIFICAR BDI","BDI"),
IF(OR(AND(import.recurso="OGU",TIPOORCAMENTO="Proposto",LEFT($O$8,5)&lt;&gt;"(N/D:",$AG209&lt;&gt;"",ORÇAMENTO.CustoUnitario&gt;$AG209),AND(TIPOORCAMENTO="LICITADO",ORÇAMENTO.PrecoUnitarioLicitado&gt;$AN209)),"ACIMA REF.",
IF(AND($C209="S",$P209&lt;&gt;"",$Q209&lt;&gt;"",$T209=0,$U209&gt;0),"QUANT.",
IF(AND(Import.TipoArredondamento="TransfereGOV",$L209="F",$C209="S",LEN($Q209)&gt;13),"Código &gt;13",
IF(AND(Import.TipoArredondamento="TransfereGOV",$L209="F",$C209&lt;&gt;"S",LEN($R209)&gt;100),"Descrição &gt;100",
IF(AND(Import.TipoArredondamento="TransfereGOV",$L209="F",$C209="S",LEN($R209)&gt;500),"Descrição &gt;500",
IF(AND(Import.TipoArredondamento="TransfereGOV",$L209="F",$C209="S",LEFT(TRIM(UPPER($P209)),6)&lt;&gt;"SINAPI",ISNA(VLOOKUP(TRIM(UPPER($S209)),ListaTgov.Unidades,1,FALSE))),"Unid. Não Disp",
" "))))))))))))))))</f>
        <v xml:space="preserve"> </v>
      </c>
      <c r="AD209" s="696">
        <f ca="1">IF(C209&lt;=CRONO.NivelExibicao,MAX($AD$15:OFFSET(AD209,-1,0))+IF($C209&lt;&gt;1,1,MAX(1,COUNTIF(QCI!$A$13:$A$24,OFFSET($E209,-1,0)))),"")</f>
        <v>32</v>
      </c>
      <c r="AE209" s="694" t="b">
        <f t="array" aca="1" ref="AE209" ca="1">IF(AND($C209="S",ORÇAMENTO.CodBarra&lt;&gt;""),IF(ORÇAMENTO.Fonte="",ORÇAMENTO.CodBarra,CONCATENATE(ORÇAMENTO.Fonte," ",ORÇAMENTO.CodBarra)))</f>
        <v>0</v>
      </c>
      <c r="AF209" s="695" t="str">
        <f t="array" aca="1" ref="AF209" ca="1">IF(ISERROR(ORÇAMENTO.BancoRef),"(abra o arquivo 'Referência "&amp;Excel_BuiltIn_Database&amp;".xlsm)",IF(OR($C209&lt;&gt;"S",ORÇAMENTO.CodBarra=""),"(Sem Código)",IF(ISERROR(MATCH($AE209,INDIRECT(ORÇAMENTO.BancoRef),0)),"(Código não identificado nas referências)",MATCH($AE209,INDIRECT(ORÇAMENTO.BancoRef),0))))</f>
        <v>(Sem Código)</v>
      </c>
      <c r="AG209" s="428">
        <f t="array" aca="1" ref="AG209" ca="1">ROUND(IF(DESONERACAO="sim",REFERENCIA.Desonerado,REFERENCIA.NaoDesonerado),2)</f>
        <v>0</v>
      </c>
      <c r="AH209" s="429">
        <f t="shared" ca="1" si="55"/>
        <v>0.29389999999999999</v>
      </c>
      <c r="AJ209" s="431"/>
      <c r="AL209" s="439"/>
      <c r="AM209" s="336">
        <f t="shared" ca="1" si="0"/>
        <v>77113.399999999994</v>
      </c>
      <c r="AN209" s="469">
        <f t="array" aca="1" ref="AN209" ca="1">ROUND(ORÇAMENTO.CustoUnitario*(1+$AH209),2)</f>
        <v>0</v>
      </c>
    </row>
    <row r="210" spans="1:40" s="696" customFormat="1" ht="38.25" x14ac:dyDescent="0.2">
      <c r="A210" s="696" t="str">
        <f t="shared" si="43"/>
        <v>S</v>
      </c>
      <c r="B210" s="696">
        <f t="shared" ca="1" si="44"/>
        <v>2</v>
      </c>
      <c r="C210" s="696" t="str">
        <f t="shared" ca="1" si="45"/>
        <v>S</v>
      </c>
      <c r="D210" s="696">
        <f t="shared" ca="1" si="46"/>
        <v>0</v>
      </c>
      <c r="E210" s="696">
        <f ca="1">IF($C210=1,OFFSET(E210,-1,0)+MAX(1,COUNTIF(QCI!$A$13:$A$24,OFFSET(ORÇAMENTO!E210,-1,0))),OFFSET(E210,-1,0))</f>
        <v>1</v>
      </c>
      <c r="F210" s="696">
        <f t="shared" ca="1" si="47"/>
        <v>31</v>
      </c>
      <c r="G210" s="696">
        <f t="shared" ca="1" si="48"/>
        <v>0</v>
      </c>
      <c r="H210" s="696">
        <f t="shared" ca="1" si="49"/>
        <v>0</v>
      </c>
      <c r="I210" s="696">
        <f t="shared" ca="1" si="50"/>
        <v>1</v>
      </c>
      <c r="J210" s="696">
        <f t="shared" ca="1" si="56"/>
        <v>0</v>
      </c>
      <c r="K210" s="696">
        <f ca="1">IF(OR($C210="S",$C210=0),0,MATCH(OFFSET($D210,0,$C210)+IF($C210&lt;&gt;1,1,COUNTIF(QCI!$A$13:$A$24,ORÇAMENTO!E210)),OFFSET($D210,1,$C210,ROW($C$235)-ROW($C210)),0))</f>
        <v>0</v>
      </c>
      <c r="L210" s="114" t="str">
        <f t="shared" ca="1" si="51"/>
        <v>F</v>
      </c>
      <c r="M210" s="115" t="s">
        <v>705</v>
      </c>
      <c r="N210" s="116" t="str">
        <f t="shared" ca="1" si="52"/>
        <v>Serviço</v>
      </c>
      <c r="O210" s="117" t="str">
        <f t="shared" ca="1" si="53"/>
        <v>1.31.1.</v>
      </c>
      <c r="P210" s="118" t="s">
        <v>750</v>
      </c>
      <c r="Q210" s="119" t="s">
        <v>1187</v>
      </c>
      <c r="R210" s="120" t="str">
        <f t="array" aca="1" ref="R210" ca="1">IF($C210="S",REFERENCIA.Descricao,"(digite a descrição aqui)")</f>
        <v>CAIXA ENTERRADA HIDRÁULICA RETANGULAR EM ALVENARIA COM TIJOLOS CERÂMICOS MACIÇOS, DIMENSÕES INTERNAS: 0,6X0,6X0,6 M PARA REDE DE ESGOTO. AF_12/2020</v>
      </c>
      <c r="S210" s="121" t="str">
        <f t="array" aca="1" ref="S210" ca="1">REFERENCIA.Unidade</f>
        <v>UN</v>
      </c>
      <c r="T210" s="122">
        <f ca="1">OFFSET(CÁLCULO!H$15,ROW($T210)-ROW(T$15),0)</f>
        <v>100</v>
      </c>
      <c r="U210" s="123">
        <f>603.46*0.94</f>
        <v>567.25239999999997</v>
      </c>
      <c r="V210" s="124" t="s">
        <v>697</v>
      </c>
      <c r="W210" s="122">
        <f t="array" aca="1" ref="W210" ca="1">IF($C210="S",ROUND(IF(TIPOORCAMENTO="Proposto",ORÇAMENTO.CustoUnitario*(1+$AH210),ORÇAMENTO.PrecoUnitarioLicitado),15-13*$AF$10),0)</f>
        <v>682.63</v>
      </c>
      <c r="X210" s="125">
        <f t="array" aca="1" ref="X210" ca="1">IF($C210="S",IF(OR(Import.TipoArredondamento&lt;&gt;"TransfereGOV",ACOMPANHAMENTO="BM"),VTOTAL1,SUM(OFFSET(CÁLCULO!$AI$15,ROW($X210)-ROW($X$15),1):OFFSET(CÁLCULO!$BB$15,ROW($X210)-ROW($X$15),-1))),IF($C210=0,0,ROUND(SomaAgrup,15-13*$AF$11)))</f>
        <v>68263</v>
      </c>
      <c r="Y210" s="126" t="s">
        <v>751</v>
      </c>
      <c r="Z210" s="696" t="str">
        <f t="shared" ca="1" si="54"/>
        <v>RA</v>
      </c>
      <c r="AA210" s="127">
        <f t="array" aca="1" ref="AA210" ca="1">IF($C210="S",IF($Z210="CP",$X210,IF($Z210="RA",(($X210)*QCI!$AA$3),0)),SomaAgrup)</f>
        <v>0</v>
      </c>
      <c r="AB210" s="128">
        <f t="array" aca="1" ref="AB210" ca="1">IF($C210="S",IF($Z210="OU",ROUND($X210,2),0),SomaAgrup)</f>
        <v>0</v>
      </c>
      <c r="AC210" s="563" t="str">
        <f t="array" aca="1" ref="AC210" ca="1">IF($N210=""," ",
IF(AND($C210&lt;&gt;"S",OR($R210="",$R210="(digite a descrição aqui)")),"DESCRIÇÃO",
IF(AND($C210="S",OR($Q210&lt;&gt;"",$T210&gt;0,$U210&gt;0),$P210=""),"FONTE",
IF(AND($C210="S",$P210&lt;&gt;"",OR($T210&gt;0,$U210&gt;0),$Q210=""),"CÓDIGO",
IF(AND($C210="S",$P210&lt;&gt;"",$Q210&lt;&gt;"",$R210="(Código não identificado nas referências)"),"CÓDIGO N/ID",
IF(AND($C210="S",OR($R210="",$R210="(digite a descrição aqui)"),OR($Q210&lt;&gt;"",$T210&gt;0,$U210&gt;0)),"DESCRIÇÃO",
IF(AND($C210="S",$P210&lt;&gt;"",$Q210&lt;&gt;"",$S210=""),"UNIDADE",
IF(AND($C210="S",$P210&lt;&gt;"",$Q210&lt;&gt;"",$U210=0),"SEM CUSTO",
IF(AND(TIPOORCAMENTO="Licitado",$AL210=0,$AN210&gt;0),"SEM PREÇO",
IF(AND($C210="S",$P210&lt;&gt;"",$Q210&lt;&gt;"",$U210&gt;0,AND($V210&lt;&gt;"BDI 1",$V210&lt;&gt;"BDI 2",$V210&lt;&gt;"BDI 3")),IF(ISNUMBER($V210),"JUSTIFICAR BDI","BDI"),
IF(OR(AND(import.recurso="OGU",TIPOORCAMENTO="Proposto",LEFT($O$8,5)&lt;&gt;"(N/D:",$AG210&lt;&gt;"",ORÇAMENTO.CustoUnitario&gt;$AG210),AND(TIPOORCAMENTO="LICITADO",ORÇAMENTO.PrecoUnitarioLicitado&gt;$AN210)),"ACIMA REF.",
IF(AND($C210="S",$P210&lt;&gt;"",$Q210&lt;&gt;"",$T210=0,$U210&gt;0),"QUANT.",
IF(AND(Import.TipoArredondamento="TransfereGOV",$L210="F",$C210="S",LEN($Q210)&gt;13),"Código &gt;13",
IF(AND(Import.TipoArredondamento="TransfereGOV",$L210="F",$C210&lt;&gt;"S",LEN($R210)&gt;100),"Descrição &gt;100",
IF(AND(Import.TipoArredondamento="TransfereGOV",$L210="F",$C210="S",LEN($R210)&gt;500),"Descrição &gt;500",
IF(AND(Import.TipoArredondamento="TransfereGOV",$L210="F",$C210="S",LEFT(TRIM(UPPER($P210)),6)&lt;&gt;"SINAPI",ISNA(VLOOKUP(TRIM(UPPER($S210)),ListaTgov.Unidades,1,FALSE))),"Unid. Não Disp",
" "))))))))))))))))</f>
        <v xml:space="preserve"> </v>
      </c>
      <c r="AD210" s="696" t="str">
        <f ca="1">IF(C210&lt;=CRONO.NivelExibicao,MAX($AD$15:OFFSET(AD210,-1,0))+IF($C210&lt;&gt;1,1,MAX(1,COUNTIF(QCI!$A$13:$A$24,OFFSET($E210,-1,0)))),"")</f>
        <v/>
      </c>
      <c r="AE210" s="694" t="str">
        <f t="array" aca="1" ref="AE210" ca="1">IF(AND($C210="S",ORÇAMENTO.CodBarra&lt;&gt;""),IF(ORÇAMENTO.Fonte="",ORÇAMENTO.CodBarra,CONCATENATE(ORÇAMENTO.Fonte," ",ORÇAMENTO.CodBarra)))</f>
        <v>SINAPI 97902</v>
      </c>
      <c r="AF210" s="695">
        <f t="array" aca="1" ref="AF210" ca="1">IF(ISERROR(ORÇAMENTO.BancoRef),"(abra o arquivo 'Referência "&amp;Excel_BuiltIn_Database&amp;".xlsm)",IF(OR($C210&lt;&gt;"S",ORÇAMENTO.CodBarra=""),"(Sem Código)",IF(ISERROR(MATCH($AE210,INDIRECT(ORÇAMENTO.BancoRef),0)),"(Código não identificado nas referências)",MATCH($AE210,INDIRECT(ORÇAMENTO.BancoRef),0))))</f>
        <v>7129</v>
      </c>
      <c r="AG210" s="428">
        <f t="array" aca="1" ref="AG210" ca="1">ROUND(IF(DESONERACAO="sim",REFERENCIA.Desonerado,REFERENCIA.NaoDesonerado),2)</f>
        <v>603.46</v>
      </c>
      <c r="AH210" s="429">
        <f t="shared" ca="1" si="55"/>
        <v>0.2034</v>
      </c>
      <c r="AJ210" s="431"/>
      <c r="AL210" s="439"/>
      <c r="AM210" s="336">
        <f t="shared" ca="1" si="0"/>
        <v>68263</v>
      </c>
      <c r="AN210" s="469">
        <f t="array" aca="1" ref="AN210" ca="1">ROUND(ORÇAMENTO.CustoUnitario*(1+$AH210),2)</f>
        <v>682.63</v>
      </c>
    </row>
    <row r="211" spans="1:40" s="696" customFormat="1" ht="38.25" x14ac:dyDescent="0.2">
      <c r="A211" s="696" t="str">
        <f t="shared" si="43"/>
        <v>S</v>
      </c>
      <c r="B211" s="696">
        <f t="shared" ca="1" si="44"/>
        <v>2</v>
      </c>
      <c r="C211" s="696" t="str">
        <f t="shared" ca="1" si="45"/>
        <v>S</v>
      </c>
      <c r="D211" s="696">
        <f t="shared" ca="1" si="46"/>
        <v>0</v>
      </c>
      <c r="E211" s="696">
        <f ca="1">IF($C211=1,OFFSET(E211,-1,0)+MAX(1,COUNTIF(QCI!$A$13:$A$24,OFFSET(ORÇAMENTO!E211,-1,0))),OFFSET(E211,-1,0))</f>
        <v>1</v>
      </c>
      <c r="F211" s="696">
        <f t="shared" ca="1" si="47"/>
        <v>31</v>
      </c>
      <c r="G211" s="696">
        <f t="shared" ca="1" si="48"/>
        <v>0</v>
      </c>
      <c r="H211" s="696">
        <f t="shared" ca="1" si="49"/>
        <v>0</v>
      </c>
      <c r="I211" s="696">
        <f t="shared" ca="1" si="50"/>
        <v>2</v>
      </c>
      <c r="J211" s="696">
        <f t="shared" ca="1" si="56"/>
        <v>0</v>
      </c>
      <c r="K211" s="696">
        <f ca="1">IF(OR($C211="S",$C211=0),0,MATCH(OFFSET($D211,0,$C211)+IF($C211&lt;&gt;1,1,COUNTIF(QCI!$A$13:$A$24,ORÇAMENTO!E211)),OFFSET($D211,1,$C211,ROW($C$235)-ROW($C211)),0))</f>
        <v>0</v>
      </c>
      <c r="L211" s="114" t="str">
        <f t="shared" ca="1" si="51"/>
        <v>F</v>
      </c>
      <c r="M211" s="115" t="s">
        <v>705</v>
      </c>
      <c r="N211" s="116" t="str">
        <f t="shared" ca="1" si="52"/>
        <v>Serviço</v>
      </c>
      <c r="O211" s="117" t="str">
        <f t="shared" ca="1" si="53"/>
        <v>1.31.2.</v>
      </c>
      <c r="P211" s="118" t="s">
        <v>750</v>
      </c>
      <c r="Q211" s="119" t="s">
        <v>1188</v>
      </c>
      <c r="R211" s="120" t="str">
        <f t="array" aca="1" ref="R211" ca="1">IF($C211="S",REFERENCIA.Descricao,"(digite a descrição aqui)")</f>
        <v>CAIXA SIFONADA, PVC, DN 100 X 100 X 50 MM, JUNTA ELÁSTICA, FORNECIDA E INSTALADA EM RAMAL DE DESCARGA OU EM RAMAL DE ESGOTO SANITÁRIO. AF_08/2022</v>
      </c>
      <c r="S211" s="121" t="str">
        <f t="array" aca="1" ref="S211" ca="1">REFERENCIA.Unidade</f>
        <v>UN</v>
      </c>
      <c r="T211" s="122">
        <f ca="1">OFFSET(CÁLCULO!H$15,ROW($T211)-ROW(T$15),0)</f>
        <v>20</v>
      </c>
      <c r="U211" s="123">
        <f>50.74*0.94</f>
        <v>47.695599999999999</v>
      </c>
      <c r="V211" s="124" t="s">
        <v>697</v>
      </c>
      <c r="W211" s="122">
        <f t="array" aca="1" ref="W211" ca="1">IF($C211="S",ROUND(IF(TIPOORCAMENTO="Proposto",ORÇAMENTO.CustoUnitario*(1+$AH211),ORÇAMENTO.PrecoUnitarioLicitado),15-13*$AF$10),0)</f>
        <v>57.4</v>
      </c>
      <c r="X211" s="125">
        <f t="array" aca="1" ref="X211" ca="1">IF($C211="S",IF(OR(Import.TipoArredondamento&lt;&gt;"TransfereGOV",ACOMPANHAMENTO="BM"),VTOTAL1,SUM(OFFSET(CÁLCULO!$AI$15,ROW($X211)-ROW($X$15),1):OFFSET(CÁLCULO!$BB$15,ROW($X211)-ROW($X$15),-1))),IF($C211=0,0,ROUND(SomaAgrup,15-13*$AF$11)))</f>
        <v>1148</v>
      </c>
      <c r="Y211" s="126" t="s">
        <v>751</v>
      </c>
      <c r="Z211" s="696" t="str">
        <f t="shared" ca="1" si="54"/>
        <v>RA</v>
      </c>
      <c r="AA211" s="127">
        <f t="array" aca="1" ref="AA211" ca="1">IF($C211="S",IF($Z211="CP",$X211,IF($Z211="RA",(($X211)*QCI!$AA$3),0)),SomaAgrup)</f>
        <v>0</v>
      </c>
      <c r="AB211" s="128">
        <f t="array" aca="1" ref="AB211" ca="1">IF($C211="S",IF($Z211="OU",ROUND($X211,2),0),SomaAgrup)</f>
        <v>0</v>
      </c>
      <c r="AC211" s="563" t="str">
        <f t="array" aca="1" ref="AC211" ca="1">IF($N211=""," ",
IF(AND($C211&lt;&gt;"S",OR($R211="",$R211="(digite a descrição aqui)")),"DESCRIÇÃO",
IF(AND($C211="S",OR($Q211&lt;&gt;"",$T211&gt;0,$U211&gt;0),$P211=""),"FONTE",
IF(AND($C211="S",$P211&lt;&gt;"",OR($T211&gt;0,$U211&gt;0),$Q211=""),"CÓDIGO",
IF(AND($C211="S",$P211&lt;&gt;"",$Q211&lt;&gt;"",$R211="(Código não identificado nas referências)"),"CÓDIGO N/ID",
IF(AND($C211="S",OR($R211="",$R211="(digite a descrição aqui)"),OR($Q211&lt;&gt;"",$T211&gt;0,$U211&gt;0)),"DESCRIÇÃO",
IF(AND($C211="S",$P211&lt;&gt;"",$Q211&lt;&gt;"",$S211=""),"UNIDADE",
IF(AND($C211="S",$P211&lt;&gt;"",$Q211&lt;&gt;"",$U211=0),"SEM CUSTO",
IF(AND(TIPOORCAMENTO="Licitado",$AL211=0,$AN211&gt;0),"SEM PREÇO",
IF(AND($C211="S",$P211&lt;&gt;"",$Q211&lt;&gt;"",$U211&gt;0,AND($V211&lt;&gt;"BDI 1",$V211&lt;&gt;"BDI 2",$V211&lt;&gt;"BDI 3")),IF(ISNUMBER($V211),"JUSTIFICAR BDI","BDI"),
IF(OR(AND(import.recurso="OGU",TIPOORCAMENTO="Proposto",LEFT($O$8,5)&lt;&gt;"(N/D:",$AG211&lt;&gt;"",ORÇAMENTO.CustoUnitario&gt;$AG211),AND(TIPOORCAMENTO="LICITADO",ORÇAMENTO.PrecoUnitarioLicitado&gt;$AN211)),"ACIMA REF.",
IF(AND($C211="S",$P211&lt;&gt;"",$Q211&lt;&gt;"",$T211=0,$U211&gt;0),"QUANT.",
IF(AND(Import.TipoArredondamento="TransfereGOV",$L211="F",$C211="S",LEN($Q211)&gt;13),"Código &gt;13",
IF(AND(Import.TipoArredondamento="TransfereGOV",$L211="F",$C211&lt;&gt;"S",LEN($R211)&gt;100),"Descrição &gt;100",
IF(AND(Import.TipoArredondamento="TransfereGOV",$L211="F",$C211="S",LEN($R211)&gt;500),"Descrição &gt;500",
IF(AND(Import.TipoArredondamento="TransfereGOV",$L211="F",$C211="S",LEFT(TRIM(UPPER($P211)),6)&lt;&gt;"SINAPI",ISNA(VLOOKUP(TRIM(UPPER($S211)),ListaTgov.Unidades,1,FALSE))),"Unid. Não Disp",
" "))))))))))))))))</f>
        <v xml:space="preserve"> </v>
      </c>
      <c r="AD211" s="696" t="str">
        <f ca="1">IF(C211&lt;=CRONO.NivelExibicao,MAX($AD$15:OFFSET(AD211,-1,0))+IF($C211&lt;&gt;1,1,MAX(1,COUNTIF(QCI!$A$13:$A$24,OFFSET($E211,-1,0)))),"")</f>
        <v/>
      </c>
      <c r="AE211" s="694" t="str">
        <f t="array" aca="1" ref="AE211" ca="1">IF(AND($C211="S",ORÇAMENTO.CodBarra&lt;&gt;""),IF(ORÇAMENTO.Fonte="",ORÇAMENTO.CodBarra,CONCATENATE(ORÇAMENTO.Fonte," ",ORÇAMENTO.CodBarra)))</f>
        <v>SINAPI 89707</v>
      </c>
      <c r="AF211" s="695">
        <f t="array" aca="1" ref="AF211" ca="1">IF(ISERROR(ORÇAMENTO.BancoRef),"(abra o arquivo 'Referência "&amp;Excel_BuiltIn_Database&amp;".xlsm)",IF(OR($C211&lt;&gt;"S",ORÇAMENTO.CodBarra=""),"(Sem Código)",IF(ISERROR(MATCH($AE211,INDIRECT(ORÇAMENTO.BancoRef),0)),"(Código não identificado nas referências)",MATCH($AE211,INDIRECT(ORÇAMENTO.BancoRef),0))))</f>
        <v>11353</v>
      </c>
      <c r="AG211" s="428">
        <f t="array" aca="1" ref="AG211" ca="1">ROUND(IF(DESONERACAO="sim",REFERENCIA.Desonerado,REFERENCIA.NaoDesonerado),2)</f>
        <v>50.74</v>
      </c>
      <c r="AH211" s="429">
        <f t="shared" ca="1" si="55"/>
        <v>0.2034</v>
      </c>
      <c r="AJ211" s="431"/>
      <c r="AL211" s="439"/>
      <c r="AM211" s="336">
        <f t="shared" ca="1" si="0"/>
        <v>1148</v>
      </c>
      <c r="AN211" s="469">
        <f t="array" aca="1" ref="AN211" ca="1">ROUND(ORÇAMENTO.CustoUnitario*(1+$AH211),2)</f>
        <v>57.4</v>
      </c>
    </row>
    <row r="212" spans="1:40" s="696" customFormat="1" ht="38.25" x14ac:dyDescent="0.2">
      <c r="A212" s="696" t="str">
        <f t="shared" si="43"/>
        <v>S</v>
      </c>
      <c r="B212" s="696">
        <f t="shared" ca="1" si="44"/>
        <v>2</v>
      </c>
      <c r="C212" s="696" t="str">
        <f t="shared" ca="1" si="45"/>
        <v>S</v>
      </c>
      <c r="D212" s="696">
        <f t="shared" ca="1" si="46"/>
        <v>0</v>
      </c>
      <c r="E212" s="696">
        <f ca="1">IF($C212=1,OFFSET(E212,-1,0)+MAX(1,COUNTIF(QCI!$A$13:$A$24,OFFSET(ORÇAMENTO!E212,-1,0))),OFFSET(E212,-1,0))</f>
        <v>1</v>
      </c>
      <c r="F212" s="696">
        <f t="shared" ca="1" si="47"/>
        <v>31</v>
      </c>
      <c r="G212" s="696">
        <f t="shared" ca="1" si="48"/>
        <v>0</v>
      </c>
      <c r="H212" s="696">
        <f t="shared" ca="1" si="49"/>
        <v>0</v>
      </c>
      <c r="I212" s="696">
        <f t="shared" ca="1" si="50"/>
        <v>3</v>
      </c>
      <c r="J212" s="696">
        <f t="shared" ca="1" si="56"/>
        <v>0</v>
      </c>
      <c r="K212" s="696">
        <f ca="1">IF(OR($C212="S",$C212=0),0,MATCH(OFFSET($D212,0,$C212)+IF($C212&lt;&gt;1,1,COUNTIF(QCI!$A$13:$A$24,ORÇAMENTO!E212)),OFFSET($D212,1,$C212,ROW($C$235)-ROW($C212)),0))</f>
        <v>0</v>
      </c>
      <c r="L212" s="114" t="str">
        <f t="shared" ca="1" si="51"/>
        <v>F</v>
      </c>
      <c r="M212" s="115" t="s">
        <v>705</v>
      </c>
      <c r="N212" s="116" t="str">
        <f t="shared" ca="1" si="52"/>
        <v>Serviço</v>
      </c>
      <c r="O212" s="117" t="str">
        <f t="shared" ca="1" si="53"/>
        <v>1.31.3.</v>
      </c>
      <c r="P212" s="118" t="s">
        <v>750</v>
      </c>
      <c r="Q212" s="119" t="s">
        <v>1189</v>
      </c>
      <c r="R212" s="120" t="str">
        <f t="array" aca="1" ref="R212" ca="1">IF($C212="S",REFERENCIA.Descricao,"(digite a descrição aqui)")</f>
        <v>RALO SIFONADO REDONDO, PVC, DN 100 X 40 MM, JUNTA SOLDÁVEL, FORNECIDO E INSTALADO EM RAMAL DE DESCARGA OU EM RAMAL DE ESGOTO SANITÁRIO. AF_08/2022</v>
      </c>
      <c r="S212" s="121" t="str">
        <f t="array" aca="1" ref="S212" ca="1">REFERENCIA.Unidade</f>
        <v>UN</v>
      </c>
      <c r="T212" s="122">
        <f ca="1">OFFSET(CÁLCULO!H$15,ROW($T212)-ROW(T$15),0)</f>
        <v>20</v>
      </c>
      <c r="U212" s="123">
        <f>19.82*0.94</f>
        <v>18.630800000000001</v>
      </c>
      <c r="V212" s="124" t="s">
        <v>697</v>
      </c>
      <c r="W212" s="122">
        <f t="array" aca="1" ref="W212" ca="1">IF($C212="S",ROUND(IF(TIPOORCAMENTO="Proposto",ORÇAMENTO.CustoUnitario*(1+$AH212),ORÇAMENTO.PrecoUnitarioLicitado),15-13*$AF$10),0)</f>
        <v>22.42</v>
      </c>
      <c r="X212" s="125">
        <f t="array" aca="1" ref="X212" ca="1">IF($C212="S",IF(OR(Import.TipoArredondamento&lt;&gt;"TransfereGOV",ACOMPANHAMENTO="BM"),VTOTAL1,SUM(OFFSET(CÁLCULO!$AI$15,ROW($X212)-ROW($X$15),1):OFFSET(CÁLCULO!$BB$15,ROW($X212)-ROW($X$15),-1))),IF($C212=0,0,ROUND(SomaAgrup,15-13*$AF$11)))</f>
        <v>448.4</v>
      </c>
      <c r="Y212" s="126" t="s">
        <v>751</v>
      </c>
      <c r="Z212" s="696" t="str">
        <f t="shared" ca="1" si="54"/>
        <v>RA</v>
      </c>
      <c r="AA212" s="127">
        <f t="array" aca="1" ref="AA212" ca="1">IF($C212="S",IF($Z212="CP",$X212,IF($Z212="RA",(($X212)*QCI!$AA$3),0)),SomaAgrup)</f>
        <v>0</v>
      </c>
      <c r="AB212" s="128">
        <f t="array" aca="1" ref="AB212" ca="1">IF($C212="S",IF($Z212="OU",ROUND($X212,2),0),SomaAgrup)</f>
        <v>0</v>
      </c>
      <c r="AC212" s="563" t="str">
        <f t="array" aca="1" ref="AC212" ca="1">IF($N212=""," ",
IF(AND($C212&lt;&gt;"S",OR($R212="",$R212="(digite a descrição aqui)")),"DESCRIÇÃO",
IF(AND($C212="S",OR($Q212&lt;&gt;"",$T212&gt;0,$U212&gt;0),$P212=""),"FONTE",
IF(AND($C212="S",$P212&lt;&gt;"",OR($T212&gt;0,$U212&gt;0),$Q212=""),"CÓDIGO",
IF(AND($C212="S",$P212&lt;&gt;"",$Q212&lt;&gt;"",$R212="(Código não identificado nas referências)"),"CÓDIGO N/ID",
IF(AND($C212="S",OR($R212="",$R212="(digite a descrição aqui)"),OR($Q212&lt;&gt;"",$T212&gt;0,$U212&gt;0)),"DESCRIÇÃO",
IF(AND($C212="S",$P212&lt;&gt;"",$Q212&lt;&gt;"",$S212=""),"UNIDADE",
IF(AND($C212="S",$P212&lt;&gt;"",$Q212&lt;&gt;"",$U212=0),"SEM CUSTO",
IF(AND(TIPOORCAMENTO="Licitado",$AL212=0,$AN212&gt;0),"SEM PREÇO",
IF(AND($C212="S",$P212&lt;&gt;"",$Q212&lt;&gt;"",$U212&gt;0,AND($V212&lt;&gt;"BDI 1",$V212&lt;&gt;"BDI 2",$V212&lt;&gt;"BDI 3")),IF(ISNUMBER($V212),"JUSTIFICAR BDI","BDI"),
IF(OR(AND(import.recurso="OGU",TIPOORCAMENTO="Proposto",LEFT($O$8,5)&lt;&gt;"(N/D:",$AG212&lt;&gt;"",ORÇAMENTO.CustoUnitario&gt;$AG212),AND(TIPOORCAMENTO="LICITADO",ORÇAMENTO.PrecoUnitarioLicitado&gt;$AN212)),"ACIMA REF.",
IF(AND($C212="S",$P212&lt;&gt;"",$Q212&lt;&gt;"",$T212=0,$U212&gt;0),"QUANT.",
IF(AND(Import.TipoArredondamento="TransfereGOV",$L212="F",$C212="S",LEN($Q212)&gt;13),"Código &gt;13",
IF(AND(Import.TipoArredondamento="TransfereGOV",$L212="F",$C212&lt;&gt;"S",LEN($R212)&gt;100),"Descrição &gt;100",
IF(AND(Import.TipoArredondamento="TransfereGOV",$L212="F",$C212="S",LEN($R212)&gt;500),"Descrição &gt;500",
IF(AND(Import.TipoArredondamento="TransfereGOV",$L212="F",$C212="S",LEFT(TRIM(UPPER($P212)),6)&lt;&gt;"SINAPI",ISNA(VLOOKUP(TRIM(UPPER($S212)),ListaTgov.Unidades,1,FALSE))),"Unid. Não Disp",
" "))))))))))))))))</f>
        <v xml:space="preserve"> </v>
      </c>
      <c r="AD212" s="696" t="str">
        <f ca="1">IF(C212&lt;=CRONO.NivelExibicao,MAX($AD$15:OFFSET(AD212,-1,0))+IF($C212&lt;&gt;1,1,MAX(1,COUNTIF(QCI!$A$13:$A$24,OFFSET($E212,-1,0)))),"")</f>
        <v/>
      </c>
      <c r="AE212" s="694" t="str">
        <f t="array" aca="1" ref="AE212" ca="1">IF(AND($C212="S",ORÇAMENTO.CodBarra&lt;&gt;""),IF(ORÇAMENTO.Fonte="",ORÇAMENTO.CodBarra,CONCATENATE(ORÇAMENTO.Fonte," ",ORÇAMENTO.CodBarra)))</f>
        <v>SINAPI 104327</v>
      </c>
      <c r="AF212" s="695">
        <f t="array" aca="1" ref="AF212" ca="1">IF(ISERROR(ORÇAMENTO.BancoRef),"(abra o arquivo 'Referência "&amp;Excel_BuiltIn_Database&amp;".xlsm)",IF(OR($C212&lt;&gt;"S",ORÇAMENTO.CodBarra=""),"(Sem Código)",IF(ISERROR(MATCH($AE212,INDIRECT(ORÇAMENTO.BancoRef),0)),"(Código não identificado nas referências)",MATCH($AE212,INDIRECT(ORÇAMENTO.BancoRef),0))))</f>
        <v>11358</v>
      </c>
      <c r="AG212" s="428">
        <f t="array" aca="1" ref="AG212" ca="1">ROUND(IF(DESONERACAO="sim",REFERENCIA.Desonerado,REFERENCIA.NaoDesonerado),2)</f>
        <v>19.82</v>
      </c>
      <c r="AH212" s="429">
        <f t="shared" ca="1" si="55"/>
        <v>0.2034</v>
      </c>
      <c r="AJ212" s="431"/>
      <c r="AL212" s="439"/>
      <c r="AM212" s="336">
        <f t="shared" ca="1" si="0"/>
        <v>448.4</v>
      </c>
      <c r="AN212" s="469">
        <f t="array" aca="1" ref="AN212" ca="1">ROUND(ORÇAMENTO.CustoUnitario*(1+$AH212),2)</f>
        <v>22.42</v>
      </c>
    </row>
    <row r="213" spans="1:40" s="696" customFormat="1" ht="38.25" x14ac:dyDescent="0.2">
      <c r="A213" s="696" t="str">
        <f t="shared" si="43"/>
        <v>S</v>
      </c>
      <c r="B213" s="696">
        <f t="shared" ca="1" si="44"/>
        <v>2</v>
      </c>
      <c r="C213" s="696" t="str">
        <f t="shared" ca="1" si="45"/>
        <v>S</v>
      </c>
      <c r="D213" s="696">
        <f t="shared" ca="1" si="46"/>
        <v>0</v>
      </c>
      <c r="E213" s="696">
        <f ca="1">IF($C213=1,OFFSET(E213,-1,0)+MAX(1,COUNTIF(QCI!$A$13:$A$24,OFFSET(ORÇAMENTO!E213,-1,0))),OFFSET(E213,-1,0))</f>
        <v>1</v>
      </c>
      <c r="F213" s="696">
        <f t="shared" ca="1" si="47"/>
        <v>31</v>
      </c>
      <c r="G213" s="696">
        <f t="shared" ca="1" si="48"/>
        <v>0</v>
      </c>
      <c r="H213" s="696">
        <f t="shared" ca="1" si="49"/>
        <v>0</v>
      </c>
      <c r="I213" s="696">
        <f t="shared" ca="1" si="50"/>
        <v>4</v>
      </c>
      <c r="J213" s="696">
        <f t="shared" ca="1" si="56"/>
        <v>0</v>
      </c>
      <c r="K213" s="696">
        <f ca="1">IF(OR($C213="S",$C213=0),0,MATCH(OFFSET($D213,0,$C213)+IF($C213&lt;&gt;1,1,COUNTIF(QCI!$A$13:$A$24,ORÇAMENTO!E213)),OFFSET($D213,1,$C213,ROW($C$235)-ROW($C213)),0))</f>
        <v>0</v>
      </c>
      <c r="L213" s="114" t="str">
        <f t="shared" ca="1" si="51"/>
        <v>F</v>
      </c>
      <c r="M213" s="115" t="s">
        <v>705</v>
      </c>
      <c r="N213" s="116" t="str">
        <f t="shared" ca="1" si="52"/>
        <v>Serviço</v>
      </c>
      <c r="O213" s="117" t="str">
        <f t="shared" ca="1" si="53"/>
        <v>1.31.4.</v>
      </c>
      <c r="P213" s="118" t="s">
        <v>750</v>
      </c>
      <c r="Q213" s="119" t="s">
        <v>1190</v>
      </c>
      <c r="R213" s="120" t="str">
        <f t="array" aca="1" ref="R213" ca="1">IF($C213="S",REFERENCIA.Descricao,"(digite a descrição aqui)")</f>
        <v>RALO SECO CÔNICO, PVC, DN 100 X 40 MM, JUNTA SOLDÁVEL, FORNECIDO E INSTALADO EM RAMAL DE DESCARGA OU EM RAMAL DE ESGOTO SANITÁRIO. AF_08/2022</v>
      </c>
      <c r="S213" s="121" t="str">
        <f t="array" aca="1" ref="S213" ca="1">REFERENCIA.Unidade</f>
        <v>UN</v>
      </c>
      <c r="T213" s="122">
        <f ca="1">OFFSET(CÁLCULO!H$15,ROW($T213)-ROW(T$15),0)</f>
        <v>20</v>
      </c>
      <c r="U213" s="123">
        <f>20.72*0.94</f>
        <v>19.476799999999997</v>
      </c>
      <c r="V213" s="124" t="s">
        <v>697</v>
      </c>
      <c r="W213" s="122">
        <f t="array" aca="1" ref="W213" ca="1">IF($C213="S",ROUND(IF(TIPOORCAMENTO="Proposto",ORÇAMENTO.CustoUnitario*(1+$AH213),ORÇAMENTO.PrecoUnitarioLicitado),15-13*$AF$10),0)</f>
        <v>23.44</v>
      </c>
      <c r="X213" s="125">
        <f t="array" aca="1" ref="X213" ca="1">IF($C213="S",IF(OR(Import.TipoArredondamento&lt;&gt;"TransfereGOV",ACOMPANHAMENTO="BM"),VTOTAL1,SUM(OFFSET(CÁLCULO!$AI$15,ROW($X213)-ROW($X$15),1):OFFSET(CÁLCULO!$BB$15,ROW($X213)-ROW($X$15),-1))),IF($C213=0,0,ROUND(SomaAgrup,15-13*$AF$11)))</f>
        <v>468.8</v>
      </c>
      <c r="Y213" s="126" t="s">
        <v>751</v>
      </c>
      <c r="Z213" s="696" t="str">
        <f t="shared" ca="1" si="54"/>
        <v>RA</v>
      </c>
      <c r="AA213" s="127">
        <f t="array" aca="1" ref="AA213" ca="1">IF($C213="S",IF($Z213="CP",$X213,IF($Z213="RA",(($X213)*QCI!$AA$3),0)),SomaAgrup)</f>
        <v>0</v>
      </c>
      <c r="AB213" s="128">
        <f t="array" aca="1" ref="AB213" ca="1">IF($C213="S",IF($Z213="OU",ROUND($X213,2),0),SomaAgrup)</f>
        <v>0</v>
      </c>
      <c r="AC213" s="563" t="str">
        <f t="array" aca="1" ref="AC213" ca="1">IF($N213=""," ",
IF(AND($C213&lt;&gt;"S",OR($R213="",$R213="(digite a descrição aqui)")),"DESCRIÇÃO",
IF(AND($C213="S",OR($Q213&lt;&gt;"",$T213&gt;0,$U213&gt;0),$P213=""),"FONTE",
IF(AND($C213="S",$P213&lt;&gt;"",OR($T213&gt;0,$U213&gt;0),$Q213=""),"CÓDIGO",
IF(AND($C213="S",$P213&lt;&gt;"",$Q213&lt;&gt;"",$R213="(Código não identificado nas referências)"),"CÓDIGO N/ID",
IF(AND($C213="S",OR($R213="",$R213="(digite a descrição aqui)"),OR($Q213&lt;&gt;"",$T213&gt;0,$U213&gt;0)),"DESCRIÇÃO",
IF(AND($C213="S",$P213&lt;&gt;"",$Q213&lt;&gt;"",$S213=""),"UNIDADE",
IF(AND($C213="S",$P213&lt;&gt;"",$Q213&lt;&gt;"",$U213=0),"SEM CUSTO",
IF(AND(TIPOORCAMENTO="Licitado",$AL213=0,$AN213&gt;0),"SEM PREÇO",
IF(AND($C213="S",$P213&lt;&gt;"",$Q213&lt;&gt;"",$U213&gt;0,AND($V213&lt;&gt;"BDI 1",$V213&lt;&gt;"BDI 2",$V213&lt;&gt;"BDI 3")),IF(ISNUMBER($V213),"JUSTIFICAR BDI","BDI"),
IF(OR(AND(import.recurso="OGU",TIPOORCAMENTO="Proposto",LEFT($O$8,5)&lt;&gt;"(N/D:",$AG213&lt;&gt;"",ORÇAMENTO.CustoUnitario&gt;$AG213),AND(TIPOORCAMENTO="LICITADO",ORÇAMENTO.PrecoUnitarioLicitado&gt;$AN213)),"ACIMA REF.",
IF(AND($C213="S",$P213&lt;&gt;"",$Q213&lt;&gt;"",$T213=0,$U213&gt;0),"QUANT.",
IF(AND(Import.TipoArredondamento="TransfereGOV",$L213="F",$C213="S",LEN($Q213)&gt;13),"Código &gt;13",
IF(AND(Import.TipoArredondamento="TransfereGOV",$L213="F",$C213&lt;&gt;"S",LEN($R213)&gt;100),"Descrição &gt;100",
IF(AND(Import.TipoArredondamento="TransfereGOV",$L213="F",$C213="S",LEN($R213)&gt;500),"Descrição &gt;500",
IF(AND(Import.TipoArredondamento="TransfereGOV",$L213="F",$C213="S",LEFT(TRIM(UPPER($P213)),6)&lt;&gt;"SINAPI",ISNA(VLOOKUP(TRIM(UPPER($S213)),ListaTgov.Unidades,1,FALSE))),"Unid. Não Disp",
" "))))))))))))))))</f>
        <v xml:space="preserve"> </v>
      </c>
      <c r="AD213" s="696" t="str">
        <f ca="1">IF(C213&lt;=CRONO.NivelExibicao,MAX($AD$15:OFFSET(AD213,-1,0))+IF($C213&lt;&gt;1,1,MAX(1,COUNTIF(QCI!$A$13:$A$24,OFFSET($E213,-1,0)))),"")</f>
        <v/>
      </c>
      <c r="AE213" s="694" t="str">
        <f t="array" aca="1" ref="AE213" ca="1">IF(AND($C213="S",ORÇAMENTO.CodBarra&lt;&gt;""),IF(ORÇAMENTO.Fonte="",ORÇAMENTO.CodBarra,CONCATENATE(ORÇAMENTO.Fonte," ",ORÇAMENTO.CodBarra)))</f>
        <v>SINAPI 104326</v>
      </c>
      <c r="AF213" s="695">
        <f t="array" aca="1" ref="AF213" ca="1">IF(ISERROR(ORÇAMENTO.BancoRef),"(abra o arquivo 'Referência "&amp;Excel_BuiltIn_Database&amp;".xlsm)",IF(OR($C213&lt;&gt;"S",ORÇAMENTO.CodBarra=""),"(Sem Código)",IF(ISERROR(MATCH($AE213,INDIRECT(ORÇAMENTO.BancoRef),0)),"(Código não identificado nas referências)",MATCH($AE213,INDIRECT(ORÇAMENTO.BancoRef),0))))</f>
        <v>11356</v>
      </c>
      <c r="AG213" s="428">
        <f t="array" aca="1" ref="AG213" ca="1">ROUND(IF(DESONERACAO="sim",REFERENCIA.Desonerado,REFERENCIA.NaoDesonerado),2)</f>
        <v>20.72</v>
      </c>
      <c r="AH213" s="429">
        <f t="shared" ca="1" si="55"/>
        <v>0.2034</v>
      </c>
      <c r="AJ213" s="431"/>
      <c r="AL213" s="439"/>
      <c r="AM213" s="336">
        <f t="shared" ca="1" si="0"/>
        <v>468.8</v>
      </c>
      <c r="AN213" s="469">
        <f t="array" aca="1" ref="AN213" ca="1">ROUND(ORÇAMENTO.CustoUnitario*(1+$AH213),2)</f>
        <v>23.44</v>
      </c>
    </row>
    <row r="214" spans="1:40" s="696" customFormat="1" ht="38.25" x14ac:dyDescent="0.2">
      <c r="A214" s="696" t="str">
        <f t="shared" si="43"/>
        <v>S</v>
      </c>
      <c r="B214" s="696">
        <f t="shared" ca="1" si="44"/>
        <v>2</v>
      </c>
      <c r="C214" s="696" t="str">
        <f t="shared" ca="1" si="45"/>
        <v>S</v>
      </c>
      <c r="D214" s="696">
        <f t="shared" ca="1" si="46"/>
        <v>0</v>
      </c>
      <c r="E214" s="696">
        <f ca="1">IF($C214=1,OFFSET(E214,-1,0)+MAX(1,COUNTIF(QCI!$A$13:$A$24,OFFSET(ORÇAMENTO!E214,-1,0))),OFFSET(E214,-1,0))</f>
        <v>1</v>
      </c>
      <c r="F214" s="696">
        <f t="shared" ca="1" si="47"/>
        <v>31</v>
      </c>
      <c r="G214" s="696">
        <f t="shared" ca="1" si="48"/>
        <v>0</v>
      </c>
      <c r="H214" s="696">
        <f t="shared" ca="1" si="49"/>
        <v>0</v>
      </c>
      <c r="I214" s="696">
        <f t="shared" ca="1" si="50"/>
        <v>5</v>
      </c>
      <c r="J214" s="696">
        <f t="shared" ca="1" si="56"/>
        <v>0</v>
      </c>
      <c r="K214" s="696">
        <f ca="1">IF(OR($C214="S",$C214=0),0,MATCH(OFFSET($D214,0,$C214)+IF($C214&lt;&gt;1,1,COUNTIF(QCI!$A$13:$A$24,ORÇAMENTO!E214)),OFFSET($D214,1,$C214,ROW($C$235)-ROW($C214)),0))</f>
        <v>0</v>
      </c>
      <c r="L214" s="114" t="str">
        <f t="shared" ca="1" si="51"/>
        <v>F</v>
      </c>
      <c r="M214" s="115" t="s">
        <v>705</v>
      </c>
      <c r="N214" s="116" t="str">
        <f t="shared" ca="1" si="52"/>
        <v>Serviço</v>
      </c>
      <c r="O214" s="117" t="str">
        <f t="shared" ca="1" si="53"/>
        <v>1.31.5.</v>
      </c>
      <c r="P214" s="118" t="s">
        <v>750</v>
      </c>
      <c r="Q214" s="119" t="s">
        <v>1191</v>
      </c>
      <c r="R214" s="120" t="str">
        <f t="array" aca="1" ref="R214" ca="1">IF($C214="S",REFERENCIA.Descricao,"(digite a descrição aqui)")</f>
        <v>CAIXA DE GORDURA SIMPLES (CAPACIDADE: 36 L), RETANGULAR, EM ALVENARIA COM BLOCOS DE CONCRETO, DIMENSÕES INTERNAS = 0,2X0,4 M, ALTURA INTERNA = 0,8 M. AF_12/2020</v>
      </c>
      <c r="S214" s="121" t="str">
        <f t="array" aca="1" ref="S214" ca="1">REFERENCIA.Unidade</f>
        <v>UN</v>
      </c>
      <c r="T214" s="122">
        <f ca="1">OFFSET(CÁLCULO!H$15,ROW($T214)-ROW(T$15),0)</f>
        <v>20</v>
      </c>
      <c r="U214" s="123">
        <f>299.91*0.94</f>
        <v>281.91540000000003</v>
      </c>
      <c r="V214" s="124" t="s">
        <v>697</v>
      </c>
      <c r="W214" s="122">
        <f t="array" aca="1" ref="W214" ca="1">IF($C214="S",ROUND(IF(TIPOORCAMENTO="Proposto",ORÇAMENTO.CustoUnitario*(1+$AH214),ORÇAMENTO.PrecoUnitarioLicitado),15-13*$AF$10),0)</f>
        <v>339.26</v>
      </c>
      <c r="X214" s="125">
        <f t="array" aca="1" ref="X214" ca="1">IF($C214="S",IF(OR(Import.TipoArredondamento&lt;&gt;"TransfereGOV",ACOMPANHAMENTO="BM"),VTOTAL1,SUM(OFFSET(CÁLCULO!$AI$15,ROW($X214)-ROW($X$15),1):OFFSET(CÁLCULO!$BB$15,ROW($X214)-ROW($X$15),-1))),IF($C214=0,0,ROUND(SomaAgrup,15-13*$AF$11)))</f>
        <v>6785.2</v>
      </c>
      <c r="Y214" s="126" t="s">
        <v>751</v>
      </c>
      <c r="Z214" s="696" t="str">
        <f t="shared" ca="1" si="54"/>
        <v>RA</v>
      </c>
      <c r="AA214" s="127">
        <f t="array" aca="1" ref="AA214" ca="1">IF($C214="S",IF($Z214="CP",$X214,IF($Z214="RA",(($X214)*QCI!$AA$3),0)),SomaAgrup)</f>
        <v>0</v>
      </c>
      <c r="AB214" s="128">
        <f t="array" aca="1" ref="AB214" ca="1">IF($C214="S",IF($Z214="OU",ROUND($X214,2),0),SomaAgrup)</f>
        <v>0</v>
      </c>
      <c r="AC214" s="563" t="str">
        <f t="array" aca="1" ref="AC214" ca="1">IF($N214=""," ",
IF(AND($C214&lt;&gt;"S",OR($R214="",$R214="(digite a descrição aqui)")),"DESCRIÇÃO",
IF(AND($C214="S",OR($Q214&lt;&gt;"",$T214&gt;0,$U214&gt;0),$P214=""),"FONTE",
IF(AND($C214="S",$P214&lt;&gt;"",OR($T214&gt;0,$U214&gt;0),$Q214=""),"CÓDIGO",
IF(AND($C214="S",$P214&lt;&gt;"",$Q214&lt;&gt;"",$R214="(Código não identificado nas referências)"),"CÓDIGO N/ID",
IF(AND($C214="S",OR($R214="",$R214="(digite a descrição aqui)"),OR($Q214&lt;&gt;"",$T214&gt;0,$U214&gt;0)),"DESCRIÇÃO",
IF(AND($C214="S",$P214&lt;&gt;"",$Q214&lt;&gt;"",$S214=""),"UNIDADE",
IF(AND($C214="S",$P214&lt;&gt;"",$Q214&lt;&gt;"",$U214=0),"SEM CUSTO",
IF(AND(TIPOORCAMENTO="Licitado",$AL214=0,$AN214&gt;0),"SEM PREÇO",
IF(AND($C214="S",$P214&lt;&gt;"",$Q214&lt;&gt;"",$U214&gt;0,AND($V214&lt;&gt;"BDI 1",$V214&lt;&gt;"BDI 2",$V214&lt;&gt;"BDI 3")),IF(ISNUMBER($V214),"JUSTIFICAR BDI","BDI"),
IF(OR(AND(import.recurso="OGU",TIPOORCAMENTO="Proposto",LEFT($O$8,5)&lt;&gt;"(N/D:",$AG214&lt;&gt;"",ORÇAMENTO.CustoUnitario&gt;$AG214),AND(TIPOORCAMENTO="LICITADO",ORÇAMENTO.PrecoUnitarioLicitado&gt;$AN214)),"ACIMA REF.",
IF(AND($C214="S",$P214&lt;&gt;"",$Q214&lt;&gt;"",$T214=0,$U214&gt;0),"QUANT.",
IF(AND(Import.TipoArredondamento="TransfereGOV",$L214="F",$C214="S",LEN($Q214)&gt;13),"Código &gt;13",
IF(AND(Import.TipoArredondamento="TransfereGOV",$L214="F",$C214&lt;&gt;"S",LEN($R214)&gt;100),"Descrição &gt;100",
IF(AND(Import.TipoArredondamento="TransfereGOV",$L214="F",$C214="S",LEN($R214)&gt;500),"Descrição &gt;500",
IF(AND(Import.TipoArredondamento="TransfereGOV",$L214="F",$C214="S",LEFT(TRIM(UPPER($P214)),6)&lt;&gt;"SINAPI",ISNA(VLOOKUP(TRIM(UPPER($S214)),ListaTgov.Unidades,1,FALSE))),"Unid. Não Disp",
" "))))))))))))))))</f>
        <v xml:space="preserve"> </v>
      </c>
      <c r="AD214" s="696" t="str">
        <f ca="1">IF(C214&lt;=CRONO.NivelExibicao,MAX($AD$15:OFFSET(AD214,-1,0))+IF($C214&lt;&gt;1,1,MAX(1,COUNTIF(QCI!$A$13:$A$24,OFFSET($E214,-1,0)))),"")</f>
        <v/>
      </c>
      <c r="AE214" s="694" t="str">
        <f t="array" aca="1" ref="AE214" ca="1">IF(AND($C214="S",ORÇAMENTO.CodBarra&lt;&gt;""),IF(ORÇAMENTO.Fonte="",ORÇAMENTO.CodBarra,CONCATENATE(ORÇAMENTO.Fonte," ",ORÇAMENTO.CodBarra)))</f>
        <v>SINAPI 98107</v>
      </c>
      <c r="AF214" s="695">
        <f t="array" aca="1" ref="AF214" ca="1">IF(ISERROR(ORÇAMENTO.BancoRef),"(abra o arquivo 'Referência "&amp;Excel_BuiltIn_Database&amp;".xlsm)",IF(OR($C214&lt;&gt;"S",ORÇAMENTO.CodBarra=""),"(Sem Código)",IF(ISERROR(MATCH($AE214,INDIRECT(ORÇAMENTO.BancoRef),0)),"(Código não identificado nas referências)",MATCH($AE214,INDIRECT(ORÇAMENTO.BancoRef),0))))</f>
        <v>7106</v>
      </c>
      <c r="AG214" s="428">
        <f t="array" aca="1" ref="AG214" ca="1">ROUND(IF(DESONERACAO="sim",REFERENCIA.Desonerado,REFERENCIA.NaoDesonerado),2)</f>
        <v>299.91000000000003</v>
      </c>
      <c r="AH214" s="429">
        <f t="shared" ca="1" si="55"/>
        <v>0.2034</v>
      </c>
      <c r="AJ214" s="431"/>
      <c r="AL214" s="439"/>
      <c r="AM214" s="336">
        <f t="shared" ca="1" si="0"/>
        <v>6785.2</v>
      </c>
      <c r="AN214" s="469">
        <f t="array" aca="1" ref="AN214" ca="1">ROUND(ORÇAMENTO.CustoUnitario*(1+$AH214),2)</f>
        <v>339.26</v>
      </c>
    </row>
    <row r="215" spans="1:40" s="696" customFormat="1" x14ac:dyDescent="0.2">
      <c r="A215" s="696">
        <f t="shared" si="43"/>
        <v>2</v>
      </c>
      <c r="B215" s="696">
        <f t="shared" ca="1" si="44"/>
        <v>2</v>
      </c>
      <c r="C215" s="696">
        <f t="shared" ca="1" si="45"/>
        <v>2</v>
      </c>
      <c r="D215" s="696">
        <f t="shared" ca="1" si="46"/>
        <v>3</v>
      </c>
      <c r="E215" s="696">
        <f ca="1">IF($C215=1,OFFSET(E215,-1,0)+MAX(1,COUNTIF(QCI!$A$13:$A$24,OFFSET(ORÇAMENTO!E215,-1,0))),OFFSET(E215,-1,0))</f>
        <v>1</v>
      </c>
      <c r="F215" s="696">
        <f t="shared" ca="1" si="47"/>
        <v>32</v>
      </c>
      <c r="G215" s="696">
        <f t="shared" ca="1" si="48"/>
        <v>0</v>
      </c>
      <c r="H215" s="696">
        <f t="shared" ca="1" si="49"/>
        <v>0</v>
      </c>
      <c r="I215" s="696">
        <f t="shared" ca="1" si="50"/>
        <v>0</v>
      </c>
      <c r="J215" s="696">
        <f t="shared" ca="1" si="56"/>
        <v>20</v>
      </c>
      <c r="K215" s="696">
        <f ca="1">IF(OR($C215="S",$C215=0),0,MATCH(OFFSET($D215,0,$C215)+IF($C215&lt;&gt;1,1,COUNTIF(QCI!$A$13:$A$24,ORÇAMENTO!E215)),OFFSET($D215,1,$C215,ROW($C$235)-ROW($C215)),0))</f>
        <v>3</v>
      </c>
      <c r="L215" s="114" t="str">
        <f t="shared" ca="1" si="51"/>
        <v>F</v>
      </c>
      <c r="M215" s="115" t="s">
        <v>702</v>
      </c>
      <c r="N215" s="116" t="str">
        <f t="shared" ca="1" si="52"/>
        <v>Nível 2</v>
      </c>
      <c r="O215" s="117" t="str">
        <f t="shared" ca="1" si="53"/>
        <v>1.32.</v>
      </c>
      <c r="P215" s="118" t="s">
        <v>750</v>
      </c>
      <c r="Q215" s="119"/>
      <c r="R215" s="120" t="s">
        <v>1192</v>
      </c>
      <c r="S215" s="121" t="s">
        <v>688</v>
      </c>
      <c r="T215" s="122">
        <f ca="1">OFFSET(CÁLCULO!H$15,ROW($T215)-ROW(T$15),0)</f>
        <v>0</v>
      </c>
      <c r="U215" s="123"/>
      <c r="V215" s="124" t="s">
        <v>663</v>
      </c>
      <c r="W215" s="122">
        <f t="array" aca="1" ref="W215" ca="1">IF($C215="S",ROUND(IF(TIPOORCAMENTO="Proposto",ORÇAMENTO.CustoUnitario*(1+$AH215),ORÇAMENTO.PrecoUnitarioLicitado),15-13*$AF$10),0)</f>
        <v>0</v>
      </c>
      <c r="X215" s="125">
        <f t="array" aca="1" ref="X215" ca="1">IF($C215="S",IF(OR(Import.TipoArredondamento&lt;&gt;"TransfereGOV",ACOMPANHAMENTO="BM"),VTOTAL1,SUM(OFFSET(CÁLCULO!$AI$15,ROW($X215)-ROW($X$15),1):OFFSET(CÁLCULO!$BB$15,ROW($X215)-ROW($X$15),-1))),IF($C215=0,0,ROUND(SomaAgrup,15-13*$AF$11)))</f>
        <v>19107</v>
      </c>
      <c r="Y215" s="126" t="s">
        <v>751</v>
      </c>
      <c r="Z215" s="696" t="str">
        <f t="shared" ca="1" si="54"/>
        <v/>
      </c>
      <c r="AA215" s="127">
        <f t="array" aca="1" ref="AA215" ca="1">IF($C215="S",IF($Z215="CP",$X215,IF($Z215="RA",(($X215)*QCI!$AA$3),0)),SomaAgrup)</f>
        <v>0</v>
      </c>
      <c r="AB215" s="128">
        <f t="array" aca="1" ref="AB215" ca="1">IF($C215="S",IF($Z215="OU",ROUND($X215,2),0),SomaAgrup)</f>
        <v>0</v>
      </c>
      <c r="AC215" s="563" t="str">
        <f t="array" aca="1" ref="AC215" ca="1">IF($N215=""," ",
IF(AND($C215&lt;&gt;"S",OR($R215="",$R215="(digite a descrição aqui)")),"DESCRIÇÃO",
IF(AND($C215="S",OR($Q215&lt;&gt;"",$T215&gt;0,$U215&gt;0),$P215=""),"FONTE",
IF(AND($C215="S",$P215&lt;&gt;"",OR($T215&gt;0,$U215&gt;0),$Q215=""),"CÓDIGO",
IF(AND($C215="S",$P215&lt;&gt;"",$Q215&lt;&gt;"",$R215="(Código não identificado nas referências)"),"CÓDIGO N/ID",
IF(AND($C215="S",OR($R215="",$R215="(digite a descrição aqui)"),OR($Q215&lt;&gt;"",$T215&gt;0,$U215&gt;0)),"DESCRIÇÃO",
IF(AND($C215="S",$P215&lt;&gt;"",$Q215&lt;&gt;"",$S215=""),"UNIDADE",
IF(AND($C215="S",$P215&lt;&gt;"",$Q215&lt;&gt;"",$U215=0),"SEM CUSTO",
IF(AND(TIPOORCAMENTO="Licitado",$AL215=0,$AN215&gt;0),"SEM PREÇO",
IF(AND($C215="S",$P215&lt;&gt;"",$Q215&lt;&gt;"",$U215&gt;0,AND($V215&lt;&gt;"BDI 1",$V215&lt;&gt;"BDI 2",$V215&lt;&gt;"BDI 3")),IF(ISNUMBER($V215),"JUSTIFICAR BDI","BDI"),
IF(OR(AND(import.recurso="OGU",TIPOORCAMENTO="Proposto",LEFT($O$8,5)&lt;&gt;"(N/D:",$AG215&lt;&gt;"",ORÇAMENTO.CustoUnitario&gt;$AG215),AND(TIPOORCAMENTO="LICITADO",ORÇAMENTO.PrecoUnitarioLicitado&gt;$AN215)),"ACIMA REF.",
IF(AND($C215="S",$P215&lt;&gt;"",$Q215&lt;&gt;"",$T215=0,$U215&gt;0),"QUANT.",
IF(AND(Import.TipoArredondamento="TransfereGOV",$L215="F",$C215="S",LEN($Q215)&gt;13),"Código &gt;13",
IF(AND(Import.TipoArredondamento="TransfereGOV",$L215="F",$C215&lt;&gt;"S",LEN($R215)&gt;100),"Descrição &gt;100",
IF(AND(Import.TipoArredondamento="TransfereGOV",$L215="F",$C215="S",LEN($R215)&gt;500),"Descrição &gt;500",
IF(AND(Import.TipoArredondamento="TransfereGOV",$L215="F",$C215="S",LEFT(TRIM(UPPER($P215)),6)&lt;&gt;"SINAPI",ISNA(VLOOKUP(TRIM(UPPER($S215)),ListaTgov.Unidades,1,FALSE))),"Unid. Não Disp",
" "))))))))))))))))</f>
        <v xml:space="preserve"> </v>
      </c>
      <c r="AD215" s="696">
        <f ca="1">IF(C215&lt;=CRONO.NivelExibicao,MAX($AD$15:OFFSET(AD215,-1,0))+IF($C215&lt;&gt;1,1,MAX(1,COUNTIF(QCI!$A$13:$A$24,OFFSET($E215,-1,0)))),"")</f>
        <v>33</v>
      </c>
      <c r="AE215" s="694" t="b">
        <f t="array" aca="1" ref="AE215" ca="1">IF(AND($C215="S",ORÇAMENTO.CodBarra&lt;&gt;""),IF(ORÇAMENTO.Fonte="",ORÇAMENTO.CodBarra,CONCATENATE(ORÇAMENTO.Fonte," ",ORÇAMENTO.CodBarra)))</f>
        <v>0</v>
      </c>
      <c r="AF215" s="695" t="str">
        <f t="array" aca="1" ref="AF215" ca="1">IF(ISERROR(ORÇAMENTO.BancoRef),"(abra o arquivo 'Referência "&amp;Excel_BuiltIn_Database&amp;".xlsm)",IF(OR($C215&lt;&gt;"S",ORÇAMENTO.CodBarra=""),"(Sem Código)",IF(ISERROR(MATCH($AE215,INDIRECT(ORÇAMENTO.BancoRef),0)),"(Código não identificado nas referências)",MATCH($AE215,INDIRECT(ORÇAMENTO.BancoRef),0))))</f>
        <v>(Sem Código)</v>
      </c>
      <c r="AG215" s="428">
        <f t="array" aca="1" ref="AG215" ca="1">ROUND(IF(DESONERACAO="sim",REFERENCIA.Desonerado,REFERENCIA.NaoDesonerado),2)</f>
        <v>0</v>
      </c>
      <c r="AH215" s="429">
        <f t="shared" ca="1" si="55"/>
        <v>0.29389999999999999</v>
      </c>
      <c r="AJ215" s="431"/>
      <c r="AL215" s="439"/>
      <c r="AM215" s="336">
        <f t="shared" ca="1" si="0"/>
        <v>19107</v>
      </c>
      <c r="AN215" s="469">
        <f t="array" aca="1" ref="AN215" ca="1">ROUND(ORÇAMENTO.CustoUnitario*(1+$AH215),2)</f>
        <v>0</v>
      </c>
    </row>
    <row r="216" spans="1:40" s="696" customFormat="1" ht="38.25" x14ac:dyDescent="0.2">
      <c r="A216" s="696" t="str">
        <f t="shared" si="43"/>
        <v>S</v>
      </c>
      <c r="B216" s="696">
        <f t="shared" ca="1" si="44"/>
        <v>2</v>
      </c>
      <c r="C216" s="696" t="str">
        <f t="shared" ca="1" si="45"/>
        <v>S</v>
      </c>
      <c r="D216" s="696">
        <f t="shared" ca="1" si="46"/>
        <v>0</v>
      </c>
      <c r="E216" s="696">
        <f ca="1">IF($C216=1,OFFSET(E216,-1,0)+MAX(1,COUNTIF(QCI!$A$13:$A$24,OFFSET(ORÇAMENTO!E216,-1,0))),OFFSET(E216,-1,0))</f>
        <v>1</v>
      </c>
      <c r="F216" s="696">
        <f t="shared" ca="1" si="47"/>
        <v>32</v>
      </c>
      <c r="G216" s="696">
        <f t="shared" ca="1" si="48"/>
        <v>0</v>
      </c>
      <c r="H216" s="696">
        <f t="shared" ca="1" si="49"/>
        <v>0</v>
      </c>
      <c r="I216" s="696">
        <f t="shared" ca="1" si="50"/>
        <v>1</v>
      </c>
      <c r="J216" s="696">
        <f t="shared" ca="1" si="56"/>
        <v>0</v>
      </c>
      <c r="K216" s="696">
        <f ca="1">IF(OR($C216="S",$C216=0),0,MATCH(OFFSET($D216,0,$C216)+IF($C216&lt;&gt;1,1,COUNTIF(QCI!$A$13:$A$24,ORÇAMENTO!E216)),OFFSET($D216,1,$C216,ROW($C$235)-ROW($C216)),0))</f>
        <v>0</v>
      </c>
      <c r="L216" s="114" t="str">
        <f t="shared" ca="1" si="51"/>
        <v>F</v>
      </c>
      <c r="M216" s="115" t="s">
        <v>705</v>
      </c>
      <c r="N216" s="116" t="str">
        <f t="shared" ca="1" si="52"/>
        <v>Serviço</v>
      </c>
      <c r="O216" s="117" t="str">
        <f t="shared" ca="1" si="53"/>
        <v>1.32.1.</v>
      </c>
      <c r="P216" s="118" t="s">
        <v>750</v>
      </c>
      <c r="Q216" s="119" t="s">
        <v>1193</v>
      </c>
      <c r="R216" s="120" t="str">
        <f t="array" aca="1" ref="R216" ca="1">IF($C216="S",REFERENCIA.Descricao,"(digite a descrição aqui)")</f>
        <v>VASO SANITÁRIO SIFONADO COM CAIXA ACOPLADA LOUÇA BRANCA, INCLUSO ENGATE FLEXÍVEL EM PLÁSTICO BRANCO, 1/2 X 40CM - FORNECIMENTO E INSTALAÇÃO. AF_01/2020</v>
      </c>
      <c r="S216" s="121" t="str">
        <f t="array" aca="1" ref="S216" ca="1">REFERENCIA.Unidade</f>
        <v>UN</v>
      </c>
      <c r="T216" s="122">
        <f ca="1">OFFSET(CÁLCULO!H$15,ROW($T216)-ROW(T$15),0)</f>
        <v>20</v>
      </c>
      <c r="U216" s="123">
        <f>566.46*0.94</f>
        <v>532.47239999999999</v>
      </c>
      <c r="V216" s="124" t="s">
        <v>697</v>
      </c>
      <c r="W216" s="122">
        <f t="array" aca="1" ref="W216" ca="1">IF($C216="S",ROUND(IF(TIPOORCAMENTO="Proposto",ORÇAMENTO.CustoUnitario*(1+$AH216),ORÇAMENTO.PrecoUnitarioLicitado),15-13*$AF$10),0)</f>
        <v>640.77</v>
      </c>
      <c r="X216" s="125">
        <f t="array" aca="1" ref="X216" ca="1">IF($C216="S",IF(OR(Import.TipoArredondamento&lt;&gt;"TransfereGOV",ACOMPANHAMENTO="BM"),VTOTAL1,SUM(OFFSET(CÁLCULO!$AI$15,ROW($X216)-ROW($X$15),1):OFFSET(CÁLCULO!$BB$15,ROW($X216)-ROW($X$15),-1))),IF($C216=0,0,ROUND(SomaAgrup,15-13*$AF$11)))</f>
        <v>12815.4</v>
      </c>
      <c r="Y216" s="126" t="s">
        <v>751</v>
      </c>
      <c r="Z216" s="696" t="str">
        <f t="shared" ca="1" si="54"/>
        <v>RA</v>
      </c>
      <c r="AA216" s="127">
        <f t="array" aca="1" ref="AA216" ca="1">IF($C216="S",IF($Z216="CP",$X216,IF($Z216="RA",(($X216)*QCI!$AA$3),0)),SomaAgrup)</f>
        <v>0</v>
      </c>
      <c r="AB216" s="128">
        <f t="array" aca="1" ref="AB216" ca="1">IF($C216="S",IF($Z216="OU",ROUND($X216,2),0),SomaAgrup)</f>
        <v>0</v>
      </c>
      <c r="AC216" s="563" t="str">
        <f t="array" aca="1" ref="AC216" ca="1">IF($N216=""," ",
IF(AND($C216&lt;&gt;"S",OR($R216="",$R216="(digite a descrição aqui)")),"DESCRIÇÃO",
IF(AND($C216="S",OR($Q216&lt;&gt;"",$T216&gt;0,$U216&gt;0),$P216=""),"FONTE",
IF(AND($C216="S",$P216&lt;&gt;"",OR($T216&gt;0,$U216&gt;0),$Q216=""),"CÓDIGO",
IF(AND($C216="S",$P216&lt;&gt;"",$Q216&lt;&gt;"",$R216="(Código não identificado nas referências)"),"CÓDIGO N/ID",
IF(AND($C216="S",OR($R216="",$R216="(digite a descrição aqui)"),OR($Q216&lt;&gt;"",$T216&gt;0,$U216&gt;0)),"DESCRIÇÃO",
IF(AND($C216="S",$P216&lt;&gt;"",$Q216&lt;&gt;"",$S216=""),"UNIDADE",
IF(AND($C216="S",$P216&lt;&gt;"",$Q216&lt;&gt;"",$U216=0),"SEM CUSTO",
IF(AND(TIPOORCAMENTO="Licitado",$AL216=0,$AN216&gt;0),"SEM PREÇO",
IF(AND($C216="S",$P216&lt;&gt;"",$Q216&lt;&gt;"",$U216&gt;0,AND($V216&lt;&gt;"BDI 1",$V216&lt;&gt;"BDI 2",$V216&lt;&gt;"BDI 3")),IF(ISNUMBER($V216),"JUSTIFICAR BDI","BDI"),
IF(OR(AND(import.recurso="OGU",TIPOORCAMENTO="Proposto",LEFT($O$8,5)&lt;&gt;"(N/D:",$AG216&lt;&gt;"",ORÇAMENTO.CustoUnitario&gt;$AG216),AND(TIPOORCAMENTO="LICITADO",ORÇAMENTO.PrecoUnitarioLicitado&gt;$AN216)),"ACIMA REF.",
IF(AND($C216="S",$P216&lt;&gt;"",$Q216&lt;&gt;"",$T216=0,$U216&gt;0),"QUANT.",
IF(AND(Import.TipoArredondamento="TransfereGOV",$L216="F",$C216="S",LEN($Q216)&gt;13),"Código &gt;13",
IF(AND(Import.TipoArredondamento="TransfereGOV",$L216="F",$C216&lt;&gt;"S",LEN($R216)&gt;100),"Descrição &gt;100",
IF(AND(Import.TipoArredondamento="TransfereGOV",$L216="F",$C216="S",LEN($R216)&gt;500),"Descrição &gt;500",
IF(AND(Import.TipoArredondamento="TransfereGOV",$L216="F",$C216="S",LEFT(TRIM(UPPER($P216)),6)&lt;&gt;"SINAPI",ISNA(VLOOKUP(TRIM(UPPER($S216)),ListaTgov.Unidades,1,FALSE))),"Unid. Não Disp",
" "))))))))))))))))</f>
        <v xml:space="preserve"> </v>
      </c>
      <c r="AD216" s="696" t="str">
        <f ca="1">IF(C216&lt;=CRONO.NivelExibicao,MAX($AD$15:OFFSET(AD216,-1,0))+IF($C216&lt;&gt;1,1,MAX(1,COUNTIF(QCI!$A$13:$A$24,OFFSET($E216,-1,0)))),"")</f>
        <v/>
      </c>
      <c r="AE216" s="694" t="str">
        <f t="array" aca="1" ref="AE216" ca="1">IF(AND($C216="S",ORÇAMENTO.CodBarra&lt;&gt;""),IF(ORÇAMENTO.Fonte="",ORÇAMENTO.CodBarra,CONCATENATE(ORÇAMENTO.Fonte," ",ORÇAMENTO.CodBarra)))</f>
        <v>SINAPI 86931</v>
      </c>
      <c r="AF216" s="695">
        <f t="array" aca="1" ref="AF216" ca="1">IF(ISERROR(ORÇAMENTO.BancoRef),"(abra o arquivo 'Referência "&amp;Excel_BuiltIn_Database&amp;".xlsm)",IF(OR($C216&lt;&gt;"S",ORÇAMENTO.CodBarra=""),"(Sem Código)",IF(ISERROR(MATCH($AE216,INDIRECT(ORÇAMENTO.BancoRef),0)),"(Código não identificado nas referências)",MATCH($AE216,INDIRECT(ORÇAMENTO.BancoRef),0))))</f>
        <v>13275</v>
      </c>
      <c r="AG216" s="428">
        <f t="array" aca="1" ref="AG216" ca="1">ROUND(IF(DESONERACAO="sim",REFERENCIA.Desonerado,REFERENCIA.NaoDesonerado),2)</f>
        <v>566.46</v>
      </c>
      <c r="AH216" s="429">
        <f t="shared" ca="1" si="55"/>
        <v>0.2034</v>
      </c>
      <c r="AJ216" s="431"/>
      <c r="AL216" s="439"/>
      <c r="AM216" s="336">
        <f t="shared" ca="1" si="0"/>
        <v>12815.4</v>
      </c>
      <c r="AN216" s="469">
        <f t="array" aca="1" ref="AN216" ca="1">ROUND(ORÇAMENTO.CustoUnitario*(1+$AH216),2)</f>
        <v>640.77</v>
      </c>
    </row>
    <row r="217" spans="1:40" s="696" customFormat="1" ht="63.75" x14ac:dyDescent="0.2">
      <c r="A217" s="696" t="str">
        <f t="shared" si="43"/>
        <v>S</v>
      </c>
      <c r="B217" s="696">
        <f t="shared" ca="1" si="44"/>
        <v>2</v>
      </c>
      <c r="C217" s="696" t="str">
        <f t="shared" ca="1" si="45"/>
        <v>S</v>
      </c>
      <c r="D217" s="696">
        <f t="shared" ca="1" si="46"/>
        <v>0</v>
      </c>
      <c r="E217" s="696">
        <f ca="1">IF($C217=1,OFFSET(E217,-1,0)+MAX(1,COUNTIF(QCI!$A$13:$A$24,OFFSET(ORÇAMENTO!E217,-1,0))),OFFSET(E217,-1,0))</f>
        <v>1</v>
      </c>
      <c r="F217" s="696">
        <f t="shared" ca="1" si="47"/>
        <v>32</v>
      </c>
      <c r="G217" s="696">
        <f t="shared" ca="1" si="48"/>
        <v>0</v>
      </c>
      <c r="H217" s="696">
        <f t="shared" ca="1" si="49"/>
        <v>0</v>
      </c>
      <c r="I217" s="696">
        <f t="shared" ca="1" si="50"/>
        <v>2</v>
      </c>
      <c r="J217" s="696">
        <f t="shared" ca="1" si="56"/>
        <v>0</v>
      </c>
      <c r="K217" s="696">
        <f ca="1">IF(OR($C217="S",$C217=0),0,MATCH(OFFSET($D217,0,$C217)+IF($C217&lt;&gt;1,1,COUNTIF(QCI!$A$13:$A$24,ORÇAMENTO!E217)),OFFSET($D217,1,$C217,ROW($C$235)-ROW($C217)),0))</f>
        <v>0</v>
      </c>
      <c r="L217" s="114" t="str">
        <f t="shared" ca="1" si="51"/>
        <v>F</v>
      </c>
      <c r="M217" s="115" t="s">
        <v>705</v>
      </c>
      <c r="N217" s="116" t="str">
        <f t="shared" ca="1" si="52"/>
        <v>Serviço</v>
      </c>
      <c r="O217" s="117" t="str">
        <f t="shared" ca="1" si="53"/>
        <v>1.32.2.</v>
      </c>
      <c r="P217" s="118" t="s">
        <v>750</v>
      </c>
      <c r="Q217" s="119" t="s">
        <v>1194</v>
      </c>
      <c r="R217" s="120" t="str">
        <f t="array" aca="1" ref="R217" ca="1">IF($C217="S",REFERENCIA.Descricao,"(digite a descrição aqui)")</f>
        <v>LAVATÓRIO LOUÇA BRANCA SUSPENSO, 29,5 X 39CM OU EQUIVALENTE, PADRÃO POPULAR, INCLUSO SIFÃO FLEXÍVEL EM PVC, VÁLVULA E ENGATE FLEXÍVEL 30CM EM PLÁSTICO E TORNEIRA CROMADA DE MESA, PADRÃO POPULAR - FORNECIMENTO E INSTALAÇÃO. AF_01/2020</v>
      </c>
      <c r="S217" s="121" t="str">
        <f t="array" aca="1" ref="S217" ca="1">REFERENCIA.Unidade</f>
        <v>UN</v>
      </c>
      <c r="T217" s="122">
        <f ca="1">OFFSET(CÁLCULO!H$15,ROW($T217)-ROW(T$15),0)</f>
        <v>20</v>
      </c>
      <c r="U217" s="123">
        <f>278.1*0.94</f>
        <v>261.41399999999999</v>
      </c>
      <c r="V217" s="124" t="s">
        <v>697</v>
      </c>
      <c r="W217" s="122">
        <f t="array" aca="1" ref="W217" ca="1">IF($C217="S",ROUND(IF(TIPOORCAMENTO="Proposto",ORÇAMENTO.CustoUnitario*(1+$AH217),ORÇAMENTO.PrecoUnitarioLicitado),15-13*$AF$10),0)</f>
        <v>314.58</v>
      </c>
      <c r="X217" s="125">
        <f t="array" aca="1" ref="X217" ca="1">IF($C217="S",IF(OR(Import.TipoArredondamento&lt;&gt;"TransfereGOV",ACOMPANHAMENTO="BM"),VTOTAL1,SUM(OFFSET(CÁLCULO!$AI$15,ROW($X217)-ROW($X$15),1):OFFSET(CÁLCULO!$BB$15,ROW($X217)-ROW($X$15),-1))),IF($C217=0,0,ROUND(SomaAgrup,15-13*$AF$11)))</f>
        <v>6291.6</v>
      </c>
      <c r="Y217" s="126" t="s">
        <v>751</v>
      </c>
      <c r="Z217" s="696" t="str">
        <f t="shared" ca="1" si="54"/>
        <v>RA</v>
      </c>
      <c r="AA217" s="127">
        <f t="array" aca="1" ref="AA217" ca="1">IF($C217="S",IF($Z217="CP",$X217,IF($Z217="RA",(($X217)*QCI!$AA$3),0)),SomaAgrup)</f>
        <v>0</v>
      </c>
      <c r="AB217" s="128">
        <f t="array" aca="1" ref="AB217" ca="1">IF($C217="S",IF($Z217="OU",ROUND($X217,2),0),SomaAgrup)</f>
        <v>0</v>
      </c>
      <c r="AC217" s="563" t="str">
        <f t="array" aca="1" ref="AC217" ca="1">IF($N217=""," ",
IF(AND($C217&lt;&gt;"S",OR($R217="",$R217="(digite a descrição aqui)")),"DESCRIÇÃO",
IF(AND($C217="S",OR($Q217&lt;&gt;"",$T217&gt;0,$U217&gt;0),$P217=""),"FONTE",
IF(AND($C217="S",$P217&lt;&gt;"",OR($T217&gt;0,$U217&gt;0),$Q217=""),"CÓDIGO",
IF(AND($C217="S",$P217&lt;&gt;"",$Q217&lt;&gt;"",$R217="(Código não identificado nas referências)"),"CÓDIGO N/ID",
IF(AND($C217="S",OR($R217="",$R217="(digite a descrição aqui)"),OR($Q217&lt;&gt;"",$T217&gt;0,$U217&gt;0)),"DESCRIÇÃO",
IF(AND($C217="S",$P217&lt;&gt;"",$Q217&lt;&gt;"",$S217=""),"UNIDADE",
IF(AND($C217="S",$P217&lt;&gt;"",$Q217&lt;&gt;"",$U217=0),"SEM CUSTO",
IF(AND(TIPOORCAMENTO="Licitado",$AL217=0,$AN217&gt;0),"SEM PREÇO",
IF(AND($C217="S",$P217&lt;&gt;"",$Q217&lt;&gt;"",$U217&gt;0,AND($V217&lt;&gt;"BDI 1",$V217&lt;&gt;"BDI 2",$V217&lt;&gt;"BDI 3")),IF(ISNUMBER($V217),"JUSTIFICAR BDI","BDI"),
IF(OR(AND(import.recurso="OGU",TIPOORCAMENTO="Proposto",LEFT($O$8,5)&lt;&gt;"(N/D:",$AG217&lt;&gt;"",ORÇAMENTO.CustoUnitario&gt;$AG217),AND(TIPOORCAMENTO="LICITADO",ORÇAMENTO.PrecoUnitarioLicitado&gt;$AN217)),"ACIMA REF.",
IF(AND($C217="S",$P217&lt;&gt;"",$Q217&lt;&gt;"",$T217=0,$U217&gt;0),"QUANT.",
IF(AND(Import.TipoArredondamento="TransfereGOV",$L217="F",$C217="S",LEN($Q217)&gt;13),"Código &gt;13",
IF(AND(Import.TipoArredondamento="TransfereGOV",$L217="F",$C217&lt;&gt;"S",LEN($R217)&gt;100),"Descrição &gt;100",
IF(AND(Import.TipoArredondamento="TransfereGOV",$L217="F",$C217="S",LEN($R217)&gt;500),"Descrição &gt;500",
IF(AND(Import.TipoArredondamento="TransfereGOV",$L217="F",$C217="S",LEFT(TRIM(UPPER($P217)),6)&lt;&gt;"SINAPI",ISNA(VLOOKUP(TRIM(UPPER($S217)),ListaTgov.Unidades,1,FALSE))),"Unid. Não Disp",
" "))))))))))))))))</f>
        <v xml:space="preserve"> </v>
      </c>
      <c r="AD217" s="696" t="str">
        <f ca="1">IF(C217&lt;=CRONO.NivelExibicao,MAX($AD$15:OFFSET(AD217,-1,0))+IF($C217&lt;&gt;1,1,MAX(1,COUNTIF(QCI!$A$13:$A$24,OFFSET($E217,-1,0)))),"")</f>
        <v/>
      </c>
      <c r="AE217" s="694" t="str">
        <f t="array" aca="1" ref="AE217" ca="1">IF(AND($C217="S",ORÇAMENTO.CodBarra&lt;&gt;""),IF(ORÇAMENTO.Fonte="",ORÇAMENTO.CodBarra,CONCATENATE(ORÇAMENTO.Fonte," ",ORÇAMENTO.CodBarra)))</f>
        <v>SINAPI 86943</v>
      </c>
      <c r="AF217" s="695">
        <f t="array" aca="1" ref="AF217" ca="1">IF(ISERROR(ORÇAMENTO.BancoRef),"(abra o arquivo 'Referência "&amp;Excel_BuiltIn_Database&amp;".xlsm)",IF(OR($C217&lt;&gt;"S",ORÇAMENTO.CodBarra=""),"(Sem Código)",IF(ISERROR(MATCH($AE217,INDIRECT(ORÇAMENTO.BancoRef),0)),"(Código não identificado nas referências)",MATCH($AE217,INDIRECT(ORÇAMENTO.BancoRef),0))))</f>
        <v>13226</v>
      </c>
      <c r="AG217" s="428">
        <f t="array" aca="1" ref="AG217" ca="1">ROUND(IF(DESONERACAO="sim",REFERENCIA.Desonerado,REFERENCIA.NaoDesonerado),2)</f>
        <v>278.10000000000002</v>
      </c>
      <c r="AH217" s="429">
        <f t="shared" ca="1" si="55"/>
        <v>0.2034</v>
      </c>
      <c r="AJ217" s="431"/>
      <c r="AL217" s="439"/>
      <c r="AM217" s="336">
        <f t="shared" ca="1" si="0"/>
        <v>6291.6</v>
      </c>
      <c r="AN217" s="469">
        <f t="array" aca="1" ref="AN217" ca="1">ROUND(ORÇAMENTO.CustoUnitario*(1+$AH217),2)</f>
        <v>314.58</v>
      </c>
    </row>
    <row r="218" spans="1:40" s="696" customFormat="1" x14ac:dyDescent="0.2">
      <c r="A218" s="696">
        <f t="shared" si="43"/>
        <v>2</v>
      </c>
      <c r="B218" s="696">
        <f t="shared" ca="1" si="44"/>
        <v>2</v>
      </c>
      <c r="C218" s="696">
        <f t="shared" ca="1" si="45"/>
        <v>2</v>
      </c>
      <c r="D218" s="696">
        <f t="shared" ca="1" si="46"/>
        <v>7</v>
      </c>
      <c r="E218" s="696">
        <f ca="1">IF($C218=1,OFFSET(E218,-1,0)+MAX(1,COUNTIF(QCI!$A$13:$A$24,OFFSET(ORÇAMENTO!E218,-1,0))),OFFSET(E218,-1,0))</f>
        <v>1</v>
      </c>
      <c r="F218" s="696">
        <f t="shared" ca="1" si="47"/>
        <v>33</v>
      </c>
      <c r="G218" s="696">
        <f t="shared" ca="1" si="48"/>
        <v>0</v>
      </c>
      <c r="H218" s="696">
        <f t="shared" ca="1" si="49"/>
        <v>0</v>
      </c>
      <c r="I218" s="696">
        <f t="shared" ca="1" si="50"/>
        <v>0</v>
      </c>
      <c r="J218" s="696">
        <f t="shared" ca="1" si="56"/>
        <v>17</v>
      </c>
      <c r="K218" s="696">
        <f ca="1">IF(OR($C218="S",$C218=0),0,MATCH(OFFSET($D218,0,$C218)+IF($C218&lt;&gt;1,1,COUNTIF(QCI!$A$13:$A$24,ORÇAMENTO!E218)),OFFSET($D218,1,$C218,ROW($C$235)-ROW($C218)),0))</f>
        <v>7</v>
      </c>
      <c r="L218" s="114" t="str">
        <f t="shared" ca="1" si="51"/>
        <v>F</v>
      </c>
      <c r="M218" s="115" t="s">
        <v>702</v>
      </c>
      <c r="N218" s="116" t="str">
        <f t="shared" ca="1" si="52"/>
        <v>Nível 2</v>
      </c>
      <c r="O218" s="117" t="str">
        <f t="shared" ca="1" si="53"/>
        <v>1.33.</v>
      </c>
      <c r="P218" s="118" t="s">
        <v>750</v>
      </c>
      <c r="Q218" s="119"/>
      <c r="R218" s="120" t="s">
        <v>1195</v>
      </c>
      <c r="S218" s="121" t="s">
        <v>688</v>
      </c>
      <c r="T218" s="122">
        <f ca="1">OFFSET(CÁLCULO!H$15,ROW($T218)-ROW(T$15),0)</f>
        <v>0</v>
      </c>
      <c r="U218" s="123"/>
      <c r="V218" s="124" t="s">
        <v>663</v>
      </c>
      <c r="W218" s="122">
        <f t="array" aca="1" ref="W218" ca="1">IF($C218="S",ROUND(IF(TIPOORCAMENTO="Proposto",ORÇAMENTO.CustoUnitario*(1+$AH218),ORÇAMENTO.PrecoUnitarioLicitado),15-13*$AF$10),0)</f>
        <v>0</v>
      </c>
      <c r="X218" s="125">
        <f t="array" aca="1" ref="X218" ca="1">IF($C218="S",IF(OR(Import.TipoArredondamento&lt;&gt;"TransfereGOV",ACOMPANHAMENTO="BM"),VTOTAL1,SUM(OFFSET(CÁLCULO!$AI$15,ROW($X218)-ROW($X$15),1):OFFSET(CÁLCULO!$BB$15,ROW($X218)-ROW($X$15),-1))),IF($C218=0,0,ROUND(SomaAgrup,15-13*$AF$11)))</f>
        <v>38236.300000000003</v>
      </c>
      <c r="Y218" s="126" t="s">
        <v>751</v>
      </c>
      <c r="Z218" s="696" t="str">
        <f t="shared" ca="1" si="54"/>
        <v/>
      </c>
      <c r="AA218" s="127">
        <f t="array" aca="1" ref="AA218" ca="1">IF($C218="S",IF($Z218="CP",$X218,IF($Z218="RA",(($X218)*QCI!$AA$3),0)),SomaAgrup)</f>
        <v>0</v>
      </c>
      <c r="AB218" s="128">
        <f t="array" aca="1" ref="AB218" ca="1">IF($C218="S",IF($Z218="OU",ROUND($X218,2),0),SomaAgrup)</f>
        <v>0</v>
      </c>
      <c r="AC218" s="563" t="str">
        <f t="array" aca="1" ref="AC218" ca="1">IF($N218=""," ",
IF(AND($C218&lt;&gt;"S",OR($R218="",$R218="(digite a descrição aqui)")),"DESCRIÇÃO",
IF(AND($C218="S",OR($Q218&lt;&gt;"",$T218&gt;0,$U218&gt;0),$P218=""),"FONTE",
IF(AND($C218="S",$P218&lt;&gt;"",OR($T218&gt;0,$U218&gt;0),$Q218=""),"CÓDIGO",
IF(AND($C218="S",$P218&lt;&gt;"",$Q218&lt;&gt;"",$R218="(Código não identificado nas referências)"),"CÓDIGO N/ID",
IF(AND($C218="S",OR($R218="",$R218="(digite a descrição aqui)"),OR($Q218&lt;&gt;"",$T218&gt;0,$U218&gt;0)),"DESCRIÇÃO",
IF(AND($C218="S",$P218&lt;&gt;"",$Q218&lt;&gt;"",$S218=""),"UNIDADE",
IF(AND($C218="S",$P218&lt;&gt;"",$Q218&lt;&gt;"",$U218=0),"SEM CUSTO",
IF(AND(TIPOORCAMENTO="Licitado",$AL218=0,$AN218&gt;0),"SEM PREÇO",
IF(AND($C218="S",$P218&lt;&gt;"",$Q218&lt;&gt;"",$U218&gt;0,AND($V218&lt;&gt;"BDI 1",$V218&lt;&gt;"BDI 2",$V218&lt;&gt;"BDI 3")),IF(ISNUMBER($V218),"JUSTIFICAR BDI","BDI"),
IF(OR(AND(import.recurso="OGU",TIPOORCAMENTO="Proposto",LEFT($O$8,5)&lt;&gt;"(N/D:",$AG218&lt;&gt;"",ORÇAMENTO.CustoUnitario&gt;$AG218),AND(TIPOORCAMENTO="LICITADO",ORÇAMENTO.PrecoUnitarioLicitado&gt;$AN218)),"ACIMA REF.",
IF(AND($C218="S",$P218&lt;&gt;"",$Q218&lt;&gt;"",$T218=0,$U218&gt;0),"QUANT.",
IF(AND(Import.TipoArredondamento="TransfereGOV",$L218="F",$C218="S",LEN($Q218)&gt;13),"Código &gt;13",
IF(AND(Import.TipoArredondamento="TransfereGOV",$L218="F",$C218&lt;&gt;"S",LEN($R218)&gt;100),"Descrição &gt;100",
IF(AND(Import.TipoArredondamento="TransfereGOV",$L218="F",$C218="S",LEN($R218)&gt;500),"Descrição &gt;500",
IF(AND(Import.TipoArredondamento="TransfereGOV",$L218="F",$C218="S",LEFT(TRIM(UPPER($P218)),6)&lt;&gt;"SINAPI",ISNA(VLOOKUP(TRIM(UPPER($S218)),ListaTgov.Unidades,1,FALSE))),"Unid. Não Disp",
" "))))))))))))))))</f>
        <v xml:space="preserve"> </v>
      </c>
      <c r="AD218" s="696">
        <f ca="1">IF(C218&lt;=CRONO.NivelExibicao,MAX($AD$15:OFFSET(AD218,-1,0))+IF($C218&lt;&gt;1,1,MAX(1,COUNTIF(QCI!$A$13:$A$24,OFFSET($E218,-1,0)))),"")</f>
        <v>34</v>
      </c>
      <c r="AE218" s="694" t="b">
        <f t="array" aca="1" ref="AE218" ca="1">IF(AND($C218="S",ORÇAMENTO.CodBarra&lt;&gt;""),IF(ORÇAMENTO.Fonte="",ORÇAMENTO.CodBarra,CONCATENATE(ORÇAMENTO.Fonte," ",ORÇAMENTO.CodBarra)))</f>
        <v>0</v>
      </c>
      <c r="AF218" s="695" t="str">
        <f t="array" aca="1" ref="AF218" ca="1">IF(ISERROR(ORÇAMENTO.BancoRef),"(abra o arquivo 'Referência "&amp;Excel_BuiltIn_Database&amp;".xlsm)",IF(OR($C218&lt;&gt;"S",ORÇAMENTO.CodBarra=""),"(Sem Código)",IF(ISERROR(MATCH($AE218,INDIRECT(ORÇAMENTO.BancoRef),0)),"(Código não identificado nas referências)",MATCH($AE218,INDIRECT(ORÇAMENTO.BancoRef),0))))</f>
        <v>(Sem Código)</v>
      </c>
      <c r="AG218" s="428">
        <f t="array" aca="1" ref="AG218" ca="1">ROUND(IF(DESONERACAO="sim",REFERENCIA.Desonerado,REFERENCIA.NaoDesonerado),2)</f>
        <v>0</v>
      </c>
      <c r="AH218" s="429">
        <f t="shared" ca="1" si="55"/>
        <v>0.29389999999999999</v>
      </c>
      <c r="AJ218" s="431"/>
      <c r="AL218" s="439"/>
      <c r="AM218" s="336">
        <f t="shared" ca="1" si="0"/>
        <v>38236.300000000003</v>
      </c>
      <c r="AN218" s="469">
        <f t="array" aca="1" ref="AN218" ca="1">ROUND(ORÇAMENTO.CustoUnitario*(1+$AH218),2)</f>
        <v>0</v>
      </c>
    </row>
    <row r="219" spans="1:40" s="696" customFormat="1" ht="63.75" x14ac:dyDescent="0.2">
      <c r="A219" s="696" t="str">
        <f t="shared" si="43"/>
        <v>S</v>
      </c>
      <c r="B219" s="696">
        <f t="shared" ca="1" si="44"/>
        <v>2</v>
      </c>
      <c r="C219" s="696" t="str">
        <f t="shared" ca="1" si="45"/>
        <v>S</v>
      </c>
      <c r="D219" s="696">
        <f t="shared" ca="1" si="46"/>
        <v>0</v>
      </c>
      <c r="E219" s="696">
        <f ca="1">IF($C219=1,OFFSET(E219,-1,0)+MAX(1,COUNTIF(QCI!$A$13:$A$24,OFFSET(ORÇAMENTO!E219,-1,0))),OFFSET(E219,-1,0))</f>
        <v>1</v>
      </c>
      <c r="F219" s="696">
        <f t="shared" ca="1" si="47"/>
        <v>33</v>
      </c>
      <c r="G219" s="696">
        <f t="shared" ca="1" si="48"/>
        <v>0</v>
      </c>
      <c r="H219" s="696">
        <f t="shared" ca="1" si="49"/>
        <v>0</v>
      </c>
      <c r="I219" s="696">
        <f t="shared" ca="1" si="50"/>
        <v>1</v>
      </c>
      <c r="J219" s="696">
        <f t="shared" ca="1" si="56"/>
        <v>0</v>
      </c>
      <c r="K219" s="696">
        <f ca="1">IF(OR($C219="S",$C219=0),0,MATCH(OFFSET($D219,0,$C219)+IF($C219&lt;&gt;1,1,COUNTIF(QCI!$A$13:$A$24,ORÇAMENTO!E219)),OFFSET($D219,1,$C219,ROW($C$235)-ROW($C219)),0))</f>
        <v>0</v>
      </c>
      <c r="L219" s="114" t="str">
        <f t="shared" ca="1" si="51"/>
        <v>F</v>
      </c>
      <c r="M219" s="115" t="s">
        <v>705</v>
      </c>
      <c r="N219" s="116" t="str">
        <f t="shared" ca="1" si="52"/>
        <v>Serviço</v>
      </c>
      <c r="O219" s="117" t="str">
        <f t="shared" ca="1" si="53"/>
        <v>1.33.1.</v>
      </c>
      <c r="P219" s="118" t="s">
        <v>750</v>
      </c>
      <c r="Q219" s="119" t="s">
        <v>1196</v>
      </c>
      <c r="R219" s="120" t="str">
        <f t="array" aca="1" ref="R219" ca="1">IF($C219="S",REFERENCIA.Descricao,"(digite a descrição aqui)")</f>
        <v>BANCADA DE MÁRMORE SINTÉTICO 120 X 60CM, COM CUBA INTEGRADA, INCLUSO SIFÃO TIPO FLEXÍVEL EM PVC, VÁLVULA EM PLÁSTICO CROMADO TIPO AMERICANA E TORNEIRA CROMADA LONGA, DE PAREDE, PADRÃO POPULAR - FORNECIMENTO E INSTALAÇÃO. AF_01/2020</v>
      </c>
      <c r="S219" s="121" t="str">
        <f t="array" aca="1" ref="S219" ca="1">REFERENCIA.Unidade</f>
        <v>UN</v>
      </c>
      <c r="T219" s="122">
        <f ca="1">OFFSET(CÁLCULO!H$15,ROW($T219)-ROW(T$15),0)</f>
        <v>20</v>
      </c>
      <c r="U219" s="123">
        <f>447.42*0.94</f>
        <v>420.57479999999998</v>
      </c>
      <c r="V219" s="124" t="s">
        <v>697</v>
      </c>
      <c r="W219" s="122">
        <f t="array" aca="1" ref="W219" ca="1">IF($C219="S",ROUND(IF(TIPOORCAMENTO="Proposto",ORÇAMENTO.CustoUnitario*(1+$AH219),ORÇAMENTO.PrecoUnitarioLicitado),15-13*$AF$10),0)</f>
        <v>506.11</v>
      </c>
      <c r="X219" s="125">
        <f t="array" aca="1" ref="X219" ca="1">IF($C219="S",IF(OR(Import.TipoArredondamento&lt;&gt;"TransfereGOV",ACOMPANHAMENTO="BM"),VTOTAL1,SUM(OFFSET(CÁLCULO!$AI$15,ROW($X219)-ROW($X$15),1):OFFSET(CÁLCULO!$BB$15,ROW($X219)-ROW($X$15),-1))),IF($C219=0,0,ROUND(SomaAgrup,15-13*$AF$11)))</f>
        <v>10122.200000000001</v>
      </c>
      <c r="Y219" s="126" t="s">
        <v>751</v>
      </c>
      <c r="Z219" s="696" t="str">
        <f t="shared" ca="1" si="54"/>
        <v>RA</v>
      </c>
      <c r="AA219" s="127">
        <f t="array" aca="1" ref="AA219" ca="1">IF($C219="S",IF($Z219="CP",$X219,IF($Z219="RA",(($X219)*QCI!$AA$3),0)),SomaAgrup)</f>
        <v>0</v>
      </c>
      <c r="AB219" s="128">
        <f t="array" aca="1" ref="AB219" ca="1">IF($C219="S",IF($Z219="OU",ROUND($X219,2),0),SomaAgrup)</f>
        <v>0</v>
      </c>
      <c r="AC219" s="563" t="str">
        <f t="array" aca="1" ref="AC219" ca="1">IF($N219=""," ",
IF(AND($C219&lt;&gt;"S",OR($R219="",$R219="(digite a descrição aqui)")),"DESCRIÇÃO",
IF(AND($C219="S",OR($Q219&lt;&gt;"",$T219&gt;0,$U219&gt;0),$P219=""),"FONTE",
IF(AND($C219="S",$P219&lt;&gt;"",OR($T219&gt;0,$U219&gt;0),$Q219=""),"CÓDIGO",
IF(AND($C219="S",$P219&lt;&gt;"",$Q219&lt;&gt;"",$R219="(Código não identificado nas referências)"),"CÓDIGO N/ID",
IF(AND($C219="S",OR($R219="",$R219="(digite a descrição aqui)"),OR($Q219&lt;&gt;"",$T219&gt;0,$U219&gt;0)),"DESCRIÇÃO",
IF(AND($C219="S",$P219&lt;&gt;"",$Q219&lt;&gt;"",$S219=""),"UNIDADE",
IF(AND($C219="S",$P219&lt;&gt;"",$Q219&lt;&gt;"",$U219=0),"SEM CUSTO",
IF(AND(TIPOORCAMENTO="Licitado",$AL219=0,$AN219&gt;0),"SEM PREÇO",
IF(AND($C219="S",$P219&lt;&gt;"",$Q219&lt;&gt;"",$U219&gt;0,AND($V219&lt;&gt;"BDI 1",$V219&lt;&gt;"BDI 2",$V219&lt;&gt;"BDI 3")),IF(ISNUMBER($V219),"JUSTIFICAR BDI","BDI"),
IF(OR(AND(import.recurso="OGU",TIPOORCAMENTO="Proposto",LEFT($O$8,5)&lt;&gt;"(N/D:",$AG219&lt;&gt;"",ORÇAMENTO.CustoUnitario&gt;$AG219),AND(TIPOORCAMENTO="LICITADO",ORÇAMENTO.PrecoUnitarioLicitado&gt;$AN219)),"ACIMA REF.",
IF(AND($C219="S",$P219&lt;&gt;"",$Q219&lt;&gt;"",$T219=0,$U219&gt;0),"QUANT.",
IF(AND(Import.TipoArredondamento="TransfereGOV",$L219="F",$C219="S",LEN($Q219)&gt;13),"Código &gt;13",
IF(AND(Import.TipoArredondamento="TransfereGOV",$L219="F",$C219&lt;&gt;"S",LEN($R219)&gt;100),"Descrição &gt;100",
IF(AND(Import.TipoArredondamento="TransfereGOV",$L219="F",$C219="S",LEN($R219)&gt;500),"Descrição &gt;500",
IF(AND(Import.TipoArredondamento="TransfereGOV",$L219="F",$C219="S",LEFT(TRIM(UPPER($P219)),6)&lt;&gt;"SINAPI",ISNA(VLOOKUP(TRIM(UPPER($S219)),ListaTgov.Unidades,1,FALSE))),"Unid. Não Disp",
" "))))))))))))))))</f>
        <v xml:space="preserve"> </v>
      </c>
      <c r="AD219" s="696" t="str">
        <f ca="1">IF(C219&lt;=CRONO.NivelExibicao,MAX($AD$15:OFFSET(AD219,-1,0))+IF($C219&lt;&gt;1,1,MAX(1,COUNTIF(QCI!$A$13:$A$24,OFFSET($E219,-1,0)))),"")</f>
        <v/>
      </c>
      <c r="AE219" s="694" t="str">
        <f t="array" aca="1" ref="AE219" ca="1">IF(AND($C219="S",ORÇAMENTO.CodBarra&lt;&gt;""),IF(ORÇAMENTO.Fonte="",ORÇAMENTO.CodBarra,CONCATENATE(ORÇAMENTO.Fonte," ",ORÇAMENTO.CodBarra)))</f>
        <v>SINAPI 86934</v>
      </c>
      <c r="AF219" s="695">
        <f t="array" aca="1" ref="AF219" ca="1">IF(ISERROR(ORÇAMENTO.BancoRef),"(abra o arquivo 'Referência "&amp;Excel_BuiltIn_Database&amp;".xlsm)",IF(OR($C219&lt;&gt;"S",ORÇAMENTO.CodBarra=""),"(Sem Código)",IF(ISERROR(MATCH($AE219,INDIRECT(ORÇAMENTO.BancoRef),0)),"(Código não identificado nas referências)",MATCH($AE219,INDIRECT(ORÇAMENTO.BancoRef),0))))</f>
        <v>13188</v>
      </c>
      <c r="AG219" s="428">
        <f t="array" aca="1" ref="AG219" ca="1">ROUND(IF(DESONERACAO="sim",REFERENCIA.Desonerado,REFERENCIA.NaoDesonerado),2)</f>
        <v>447.42</v>
      </c>
      <c r="AH219" s="429">
        <f t="shared" ca="1" si="55"/>
        <v>0.2034</v>
      </c>
      <c r="AJ219" s="431"/>
      <c r="AL219" s="439"/>
      <c r="AM219" s="336">
        <f t="shared" ca="1" si="0"/>
        <v>10122.200000000001</v>
      </c>
      <c r="AN219" s="469">
        <f t="array" aca="1" ref="AN219" ca="1">ROUND(ORÇAMENTO.CustoUnitario*(1+$AH219),2)</f>
        <v>506.11</v>
      </c>
    </row>
    <row r="220" spans="1:40" s="696" customFormat="1" ht="51" x14ac:dyDescent="0.2">
      <c r="A220" s="696" t="str">
        <f t="shared" si="43"/>
        <v>S</v>
      </c>
      <c r="B220" s="696">
        <f t="shared" ca="1" si="44"/>
        <v>2</v>
      </c>
      <c r="C220" s="696" t="str">
        <f t="shared" ca="1" si="45"/>
        <v>S</v>
      </c>
      <c r="D220" s="696">
        <f t="shared" ca="1" si="46"/>
        <v>0</v>
      </c>
      <c r="E220" s="696">
        <f ca="1">IF($C220=1,OFFSET(E220,-1,0)+MAX(1,COUNTIF(QCI!$A$13:$A$24,OFFSET(ORÇAMENTO!E220,-1,0))),OFFSET(E220,-1,0))</f>
        <v>1</v>
      </c>
      <c r="F220" s="696">
        <f t="shared" ca="1" si="47"/>
        <v>33</v>
      </c>
      <c r="G220" s="696">
        <f t="shared" ca="1" si="48"/>
        <v>0</v>
      </c>
      <c r="H220" s="696">
        <f t="shared" ca="1" si="49"/>
        <v>0</v>
      </c>
      <c r="I220" s="696">
        <f t="shared" ca="1" si="50"/>
        <v>2</v>
      </c>
      <c r="J220" s="696">
        <f t="shared" ca="1" si="56"/>
        <v>0</v>
      </c>
      <c r="K220" s="696">
        <f ca="1">IF(OR($C220="S",$C220=0),0,MATCH(OFFSET($D220,0,$C220)+IF($C220&lt;&gt;1,1,COUNTIF(QCI!$A$13:$A$24,ORÇAMENTO!E220)),OFFSET($D220,1,$C220,ROW($C$235)-ROW($C220)),0))</f>
        <v>0</v>
      </c>
      <c r="L220" s="114" t="str">
        <f t="shared" ca="1" si="51"/>
        <v>F</v>
      </c>
      <c r="M220" s="115" t="s">
        <v>705</v>
      </c>
      <c r="N220" s="116" t="str">
        <f t="shared" ca="1" si="52"/>
        <v>Serviço</v>
      </c>
      <c r="O220" s="117" t="str">
        <f t="shared" ca="1" si="53"/>
        <v>1.33.2.</v>
      </c>
      <c r="P220" s="118" t="s">
        <v>750</v>
      </c>
      <c r="Q220" s="119" t="s">
        <v>1197</v>
      </c>
      <c r="R220" s="120" t="str">
        <f t="array" aca="1" ref="R220" ca="1">IF($C220="S",REFERENCIA.Descricao,"(digite a descrição aqui)")</f>
        <v>TANQUE DE MÁRMORE SINTÉTICO COM COLUNA, 22L OU EQUIVALENTE, INCLUSO SIFÃO FLEXÍVEL EM PVC, VÁLVULA PLÁSTICA E TORNEIRA DE METAL CROMADO PADRÃO POPULAR - FORNECIMENTO E INSTALAÇÃO. AF_01/2020</v>
      </c>
      <c r="S220" s="121" t="str">
        <f t="array" aca="1" ref="S220" ca="1">REFERENCIA.Unidade</f>
        <v>UN</v>
      </c>
      <c r="T220" s="122">
        <f ca="1">OFFSET(CÁLCULO!H$15,ROW($T220)-ROW(T$15),0)</f>
        <v>20</v>
      </c>
      <c r="U220" s="123">
        <f>668*0.94</f>
        <v>627.91999999999996</v>
      </c>
      <c r="V220" s="124" t="s">
        <v>697</v>
      </c>
      <c r="W220" s="122">
        <f t="array" aca="1" ref="W220" ca="1">IF($C220="S",ROUND(IF(TIPOORCAMENTO="Proposto",ORÇAMENTO.CustoUnitario*(1+$AH220),ORÇAMENTO.PrecoUnitarioLicitado),15-13*$AF$10),0)</f>
        <v>755.64</v>
      </c>
      <c r="X220" s="125">
        <f t="array" aca="1" ref="X220" ca="1">IF($C220="S",IF(OR(Import.TipoArredondamento&lt;&gt;"TransfereGOV",ACOMPANHAMENTO="BM"),VTOTAL1,SUM(OFFSET(CÁLCULO!$AI$15,ROW($X220)-ROW($X$15),1):OFFSET(CÁLCULO!$BB$15,ROW($X220)-ROW($X$15),-1))),IF($C220=0,0,ROUND(SomaAgrup,15-13*$AF$11)))</f>
        <v>15112.8</v>
      </c>
      <c r="Y220" s="126" t="s">
        <v>751</v>
      </c>
      <c r="Z220" s="696" t="str">
        <f t="shared" ca="1" si="54"/>
        <v>RA</v>
      </c>
      <c r="AA220" s="127">
        <f t="array" aca="1" ref="AA220" ca="1">IF($C220="S",IF($Z220="CP",$X220,IF($Z220="RA",(($X220)*QCI!$AA$3),0)),SomaAgrup)</f>
        <v>0</v>
      </c>
      <c r="AB220" s="128">
        <f t="array" aca="1" ref="AB220" ca="1">IF($C220="S",IF($Z220="OU",ROUND($X220,2),0),SomaAgrup)</f>
        <v>0</v>
      </c>
      <c r="AC220" s="563" t="str">
        <f t="array" aca="1" ref="AC220" ca="1">IF($N220=""," ",
IF(AND($C220&lt;&gt;"S",OR($R220="",$R220="(digite a descrição aqui)")),"DESCRIÇÃO",
IF(AND($C220="S",OR($Q220&lt;&gt;"",$T220&gt;0,$U220&gt;0),$P220=""),"FONTE",
IF(AND($C220="S",$P220&lt;&gt;"",OR($T220&gt;0,$U220&gt;0),$Q220=""),"CÓDIGO",
IF(AND($C220="S",$P220&lt;&gt;"",$Q220&lt;&gt;"",$R220="(Código não identificado nas referências)"),"CÓDIGO N/ID",
IF(AND($C220="S",OR($R220="",$R220="(digite a descrição aqui)"),OR($Q220&lt;&gt;"",$T220&gt;0,$U220&gt;0)),"DESCRIÇÃO",
IF(AND($C220="S",$P220&lt;&gt;"",$Q220&lt;&gt;"",$S220=""),"UNIDADE",
IF(AND($C220="S",$P220&lt;&gt;"",$Q220&lt;&gt;"",$U220=0),"SEM CUSTO",
IF(AND(TIPOORCAMENTO="Licitado",$AL220=0,$AN220&gt;0),"SEM PREÇO",
IF(AND($C220="S",$P220&lt;&gt;"",$Q220&lt;&gt;"",$U220&gt;0,AND($V220&lt;&gt;"BDI 1",$V220&lt;&gt;"BDI 2",$V220&lt;&gt;"BDI 3")),IF(ISNUMBER($V220),"JUSTIFICAR BDI","BDI"),
IF(OR(AND(import.recurso="OGU",TIPOORCAMENTO="Proposto",LEFT($O$8,5)&lt;&gt;"(N/D:",$AG220&lt;&gt;"",ORÇAMENTO.CustoUnitario&gt;$AG220),AND(TIPOORCAMENTO="LICITADO",ORÇAMENTO.PrecoUnitarioLicitado&gt;$AN220)),"ACIMA REF.",
IF(AND($C220="S",$P220&lt;&gt;"",$Q220&lt;&gt;"",$T220=0,$U220&gt;0),"QUANT.",
IF(AND(Import.TipoArredondamento="TransfereGOV",$L220="F",$C220="S",LEN($Q220)&gt;13),"Código &gt;13",
IF(AND(Import.TipoArredondamento="TransfereGOV",$L220="F",$C220&lt;&gt;"S",LEN($R220)&gt;100),"Descrição &gt;100",
IF(AND(Import.TipoArredondamento="TransfereGOV",$L220="F",$C220="S",LEN($R220)&gt;500),"Descrição &gt;500",
IF(AND(Import.TipoArredondamento="TransfereGOV",$L220="F",$C220="S",LEFT(TRIM(UPPER($P220)),6)&lt;&gt;"SINAPI",ISNA(VLOOKUP(TRIM(UPPER($S220)),ListaTgov.Unidades,1,FALSE))),"Unid. Não Disp",
" "))))))))))))))))</f>
        <v xml:space="preserve"> </v>
      </c>
      <c r="AD220" s="696" t="str">
        <f ca="1">IF(C220&lt;=CRONO.NivelExibicao,MAX($AD$15:OFFSET(AD220,-1,0))+IF($C220&lt;&gt;1,1,MAX(1,COUNTIF(QCI!$A$13:$A$24,OFFSET($E220,-1,0)))),"")</f>
        <v/>
      </c>
      <c r="AE220" s="694" t="str">
        <f t="array" aca="1" ref="AE220" ca="1">IF(AND($C220="S",ORÇAMENTO.CodBarra&lt;&gt;""),IF(ORÇAMENTO.Fonte="",ORÇAMENTO.CodBarra,CONCATENATE(ORÇAMENTO.Fonte," ",ORÇAMENTO.CodBarra)))</f>
        <v>SINAPI 86925</v>
      </c>
      <c r="AF220" s="695">
        <f t="array" aca="1" ref="AF220" ca="1">IF(ISERROR(ORÇAMENTO.BancoRef),"(abra o arquivo 'Referência "&amp;Excel_BuiltIn_Database&amp;".xlsm)",IF(OR($C220&lt;&gt;"S",ORÇAMENTO.CodBarra=""),"(Sem Código)",IF(ISERROR(MATCH($AE220,INDIRECT(ORÇAMENTO.BancoRef),0)),"(Código não identificado nas referências)",MATCH($AE220,INDIRECT(ORÇAMENTO.BancoRef),0))))</f>
        <v>13251</v>
      </c>
      <c r="AG220" s="428">
        <f t="array" aca="1" ref="AG220" ca="1">ROUND(IF(DESONERACAO="sim",REFERENCIA.Desonerado,REFERENCIA.NaoDesonerado),2)</f>
        <v>668</v>
      </c>
      <c r="AH220" s="429">
        <f t="shared" ca="1" si="55"/>
        <v>0.2034</v>
      </c>
      <c r="AJ220" s="431"/>
      <c r="AL220" s="439"/>
      <c r="AM220" s="336">
        <f t="shared" ca="1" si="0"/>
        <v>15112.8</v>
      </c>
      <c r="AN220" s="469">
        <f t="array" aca="1" ref="AN220" ca="1">ROUND(ORÇAMENTO.CustoUnitario*(1+$AH220),2)</f>
        <v>755.64</v>
      </c>
    </row>
    <row r="221" spans="1:40" s="696" customFormat="1" ht="25.5" x14ac:dyDescent="0.2">
      <c r="A221" s="696" t="str">
        <f t="shared" si="43"/>
        <v>S</v>
      </c>
      <c r="B221" s="696">
        <f t="shared" ca="1" si="44"/>
        <v>2</v>
      </c>
      <c r="C221" s="696" t="str">
        <f t="shared" ca="1" si="45"/>
        <v>S</v>
      </c>
      <c r="D221" s="696">
        <f t="shared" ca="1" si="46"/>
        <v>0</v>
      </c>
      <c r="E221" s="696">
        <f ca="1">IF($C221=1,OFFSET(E221,-1,0)+MAX(1,COUNTIF(QCI!$A$13:$A$24,OFFSET(ORÇAMENTO!E221,-1,0))),OFFSET(E221,-1,0))</f>
        <v>1</v>
      </c>
      <c r="F221" s="696">
        <f t="shared" ca="1" si="47"/>
        <v>33</v>
      </c>
      <c r="G221" s="696">
        <f t="shared" ca="1" si="48"/>
        <v>0</v>
      </c>
      <c r="H221" s="696">
        <f t="shared" ca="1" si="49"/>
        <v>0</v>
      </c>
      <c r="I221" s="696">
        <f t="shared" ca="1" si="50"/>
        <v>3</v>
      </c>
      <c r="J221" s="696">
        <f t="shared" ca="1" si="56"/>
        <v>0</v>
      </c>
      <c r="K221" s="696">
        <f ca="1">IF(OR($C221="S",$C221=0),0,MATCH(OFFSET($D221,0,$C221)+IF($C221&lt;&gt;1,1,COUNTIF(QCI!$A$13:$A$24,ORÇAMENTO!E221)),OFFSET($D221,1,$C221,ROW($C$235)-ROW($C221)),0))</f>
        <v>0</v>
      </c>
      <c r="L221" s="114" t="str">
        <f t="shared" ca="1" si="51"/>
        <v>F</v>
      </c>
      <c r="M221" s="115" t="s">
        <v>705</v>
      </c>
      <c r="N221" s="116" t="str">
        <f t="shared" ca="1" si="52"/>
        <v>Serviço</v>
      </c>
      <c r="O221" s="117" t="str">
        <f t="shared" ca="1" si="53"/>
        <v>1.33.3.</v>
      </c>
      <c r="P221" s="118" t="s">
        <v>750</v>
      </c>
      <c r="Q221" s="119" t="s">
        <v>1198</v>
      </c>
      <c r="R221" s="120" t="str">
        <f t="array" aca="1" ref="R221" ca="1">IF($C221="S",REFERENCIA.Descricao,"(digite a descrição aqui)")</f>
        <v>KIT DE ACESSORIOS PARA BANHEIRO EM METAL CROMADO, 5 PECAS, INCLUSO FIXAÇÃO. AF_01/2020</v>
      </c>
      <c r="S221" s="121" t="str">
        <f t="array" aca="1" ref="S221" ca="1">REFERENCIA.Unidade</f>
        <v>UN</v>
      </c>
      <c r="T221" s="122">
        <f ca="1">OFFSET(CÁLCULO!H$15,ROW($T221)-ROW(T$15),0)</f>
        <v>20</v>
      </c>
      <c r="U221" s="123">
        <f>150.44*0.94</f>
        <v>141.4136</v>
      </c>
      <c r="V221" s="124" t="s">
        <v>697</v>
      </c>
      <c r="W221" s="122">
        <f t="array" aca="1" ref="W221" ca="1">IF($C221="S",ROUND(IF(TIPOORCAMENTO="Proposto",ORÇAMENTO.CustoUnitario*(1+$AH221),ORÇAMENTO.PrecoUnitarioLicitado),15-13*$AF$10),0)</f>
        <v>170.17</v>
      </c>
      <c r="X221" s="125">
        <f t="array" aca="1" ref="X221" ca="1">IF($C221="S",IF(OR(Import.TipoArredondamento&lt;&gt;"TransfereGOV",ACOMPANHAMENTO="BM"),VTOTAL1,SUM(OFFSET(CÁLCULO!$AI$15,ROW($X221)-ROW($X$15),1):OFFSET(CÁLCULO!$BB$15,ROW($X221)-ROW($X$15),-1))),IF($C221=0,0,ROUND(SomaAgrup,15-13*$AF$11)))</f>
        <v>3403.4</v>
      </c>
      <c r="Y221" s="126" t="s">
        <v>751</v>
      </c>
      <c r="Z221" s="696" t="str">
        <f t="shared" ca="1" si="54"/>
        <v>RA</v>
      </c>
      <c r="AA221" s="127">
        <f t="array" aca="1" ref="AA221" ca="1">IF($C221="S",IF($Z221="CP",$X221,IF($Z221="RA",(($X221)*QCI!$AA$3),0)),SomaAgrup)</f>
        <v>0</v>
      </c>
      <c r="AB221" s="128">
        <f t="array" aca="1" ref="AB221" ca="1">IF($C221="S",IF($Z221="OU",ROUND($X221,2),0),SomaAgrup)</f>
        <v>0</v>
      </c>
      <c r="AC221" s="563" t="str">
        <f t="array" aca="1" ref="AC221" ca="1">IF($N221=""," ",
IF(AND($C221&lt;&gt;"S",OR($R221="",$R221="(digite a descrição aqui)")),"DESCRIÇÃO",
IF(AND($C221="S",OR($Q221&lt;&gt;"",$T221&gt;0,$U221&gt;0),$P221=""),"FONTE",
IF(AND($C221="S",$P221&lt;&gt;"",OR($T221&gt;0,$U221&gt;0),$Q221=""),"CÓDIGO",
IF(AND($C221="S",$P221&lt;&gt;"",$Q221&lt;&gt;"",$R221="(Código não identificado nas referências)"),"CÓDIGO N/ID",
IF(AND($C221="S",OR($R221="",$R221="(digite a descrição aqui)"),OR($Q221&lt;&gt;"",$T221&gt;0,$U221&gt;0)),"DESCRIÇÃO",
IF(AND($C221="S",$P221&lt;&gt;"",$Q221&lt;&gt;"",$S221=""),"UNIDADE",
IF(AND($C221="S",$P221&lt;&gt;"",$Q221&lt;&gt;"",$U221=0),"SEM CUSTO",
IF(AND(TIPOORCAMENTO="Licitado",$AL221=0,$AN221&gt;0),"SEM PREÇO",
IF(AND($C221="S",$P221&lt;&gt;"",$Q221&lt;&gt;"",$U221&gt;0,AND($V221&lt;&gt;"BDI 1",$V221&lt;&gt;"BDI 2",$V221&lt;&gt;"BDI 3")),IF(ISNUMBER($V221),"JUSTIFICAR BDI","BDI"),
IF(OR(AND(import.recurso="OGU",TIPOORCAMENTO="Proposto",LEFT($O$8,5)&lt;&gt;"(N/D:",$AG221&lt;&gt;"",ORÇAMENTO.CustoUnitario&gt;$AG221),AND(TIPOORCAMENTO="LICITADO",ORÇAMENTO.PrecoUnitarioLicitado&gt;$AN221)),"ACIMA REF.",
IF(AND($C221="S",$P221&lt;&gt;"",$Q221&lt;&gt;"",$T221=0,$U221&gt;0),"QUANT.",
IF(AND(Import.TipoArredondamento="TransfereGOV",$L221="F",$C221="S",LEN($Q221)&gt;13),"Código &gt;13",
IF(AND(Import.TipoArredondamento="TransfereGOV",$L221="F",$C221&lt;&gt;"S",LEN($R221)&gt;100),"Descrição &gt;100",
IF(AND(Import.TipoArredondamento="TransfereGOV",$L221="F",$C221="S",LEN($R221)&gt;500),"Descrição &gt;500",
IF(AND(Import.TipoArredondamento="TransfereGOV",$L221="F",$C221="S",LEFT(TRIM(UPPER($P221)),6)&lt;&gt;"SINAPI",ISNA(VLOOKUP(TRIM(UPPER($S221)),ListaTgov.Unidades,1,FALSE))),"Unid. Não Disp",
" "))))))))))))))))</f>
        <v xml:space="preserve"> </v>
      </c>
      <c r="AD221" s="696" t="str">
        <f ca="1">IF(C221&lt;=CRONO.NivelExibicao,MAX($AD$15:OFFSET(AD221,-1,0))+IF($C221&lt;&gt;1,1,MAX(1,COUNTIF(QCI!$A$13:$A$24,OFFSET($E221,-1,0)))),"")</f>
        <v/>
      </c>
      <c r="AE221" s="694" t="str">
        <f t="array" aca="1" ref="AE221" ca="1">IF(AND($C221="S",ORÇAMENTO.CodBarra&lt;&gt;""),IF(ORÇAMENTO.Fonte="",ORÇAMENTO.CodBarra,CONCATENATE(ORÇAMENTO.Fonte," ",ORÇAMENTO.CodBarra)))</f>
        <v>SINAPI 95546</v>
      </c>
      <c r="AF221" s="695">
        <f t="array" aca="1" ref="AF221" ca="1">IF(ISERROR(ORÇAMENTO.BancoRef),"(abra o arquivo 'Referência "&amp;Excel_BuiltIn_Database&amp;".xlsm)",IF(OR($C221&lt;&gt;"S",ORÇAMENTO.CodBarra=""),"(Sem Código)",IF(ISERROR(MATCH($AE221,INDIRECT(ORÇAMENTO.BancoRef),0)),"(Código não identificado nas referências)",MATCH($AE221,INDIRECT(ORÇAMENTO.BancoRef),0))))</f>
        <v>13219</v>
      </c>
      <c r="AG221" s="428">
        <f t="array" aca="1" ref="AG221" ca="1">ROUND(IF(DESONERACAO="sim",REFERENCIA.Desonerado,REFERENCIA.NaoDesonerado),2)</f>
        <v>150.44</v>
      </c>
      <c r="AH221" s="429">
        <f t="shared" ca="1" si="55"/>
        <v>0.2034</v>
      </c>
      <c r="AJ221" s="431"/>
      <c r="AL221" s="439"/>
      <c r="AM221" s="336">
        <f t="shared" ca="1" si="0"/>
        <v>3403.4</v>
      </c>
      <c r="AN221" s="469">
        <f t="array" aca="1" ref="AN221" ca="1">ROUND(ORÇAMENTO.CustoUnitario*(1+$AH221),2)</f>
        <v>170.17</v>
      </c>
    </row>
    <row r="222" spans="1:40" s="717" customFormat="1" ht="25.5" x14ac:dyDescent="0.2">
      <c r="A222" s="717" t="str">
        <f t="shared" si="43"/>
        <v>S</v>
      </c>
      <c r="B222" s="717">
        <f t="shared" ca="1" si="44"/>
        <v>2</v>
      </c>
      <c r="C222" s="717" t="str">
        <f t="shared" ca="1" si="45"/>
        <v>S</v>
      </c>
      <c r="D222" s="717">
        <f t="shared" ca="1" si="46"/>
        <v>0</v>
      </c>
      <c r="E222" s="717">
        <f ca="1">IF($C222=1,OFFSET(E222,-1,0)+MAX(1,COUNTIF(QCI!$A$13:$A$24,OFFSET(ORÇAMENTO!E222,-1,0))),OFFSET(E222,-1,0))</f>
        <v>1</v>
      </c>
      <c r="F222" s="717">
        <f t="shared" ca="1" si="47"/>
        <v>33</v>
      </c>
      <c r="G222" s="717">
        <f t="shared" ca="1" si="48"/>
        <v>0</v>
      </c>
      <c r="H222" s="717">
        <f t="shared" ca="1" si="49"/>
        <v>0</v>
      </c>
      <c r="I222" s="717">
        <f t="shared" ca="1" si="50"/>
        <v>4</v>
      </c>
      <c r="J222" s="717">
        <f t="shared" ca="1" si="56"/>
        <v>0</v>
      </c>
      <c r="K222" s="717">
        <f ca="1">IF(OR($C222="S",$C222=0),0,MATCH(OFFSET($D222,0,$C222)+IF($C222&lt;&gt;1,1,COUNTIF(QCI!$A$13:$A$24,ORÇAMENTO!E222)),OFFSET($D222,1,$C222,ROW($C$235)-ROW($C222)),0))</f>
        <v>0</v>
      </c>
      <c r="L222" s="114" t="str">
        <f t="shared" ca="1" si="51"/>
        <v>F</v>
      </c>
      <c r="M222" s="115" t="s">
        <v>705</v>
      </c>
      <c r="N222" s="116" t="str">
        <f t="shared" ca="1" si="52"/>
        <v>Serviço</v>
      </c>
      <c r="O222" s="117" t="str">
        <f t="shared" ca="1" si="53"/>
        <v>1.33.4.</v>
      </c>
      <c r="P222" s="118" t="s">
        <v>750</v>
      </c>
      <c r="Q222" s="119" t="s">
        <v>1467</v>
      </c>
      <c r="R222" s="120" t="str">
        <f t="array" aca="1" ref="R222" ca="1">IF($C222="S",REFERENCIA.Descricao,"(digite a descrição aqui)")</f>
        <v>BARRA DE APOIO EM "L", EM ACO INOX POLIDO 70 X 70 CM, FIXADA NA PAREDE - FORNECIMENTO E INSTALACAO. AF_01/2020</v>
      </c>
      <c r="S222" s="121" t="str">
        <f t="array" aca="1" ref="S222" ca="1">REFERENCIA.Unidade</f>
        <v>UN</v>
      </c>
      <c r="T222" s="122">
        <f ca="1">OFFSET(CÁLCULO!H$15,ROW($T222)-ROW(T$15),0)</f>
        <v>6</v>
      </c>
      <c r="U222" s="123">
        <v>636.41999999999996</v>
      </c>
      <c r="V222" s="124" t="s">
        <v>663</v>
      </c>
      <c r="W222" s="122">
        <f t="array" aca="1" ref="W222" ca="1">IF($C222="S",ROUND(IF(TIPOORCAMENTO="Proposto",ORÇAMENTO.CustoUnitario*(1+$AH222),ORÇAMENTO.PrecoUnitarioLicitado),15-13*$AF$10),0)</f>
        <v>823.46</v>
      </c>
      <c r="X222" s="125">
        <f t="array" aca="1" ref="X222" ca="1">IF($C222="S",IF(OR(Import.TipoArredondamento&lt;&gt;"TransfereGOV",ACOMPANHAMENTO="BM"),VTOTAL1,SUM(OFFSET(CÁLCULO!$AI$15,ROW($X222)-ROW($X$15),1):OFFSET(CÁLCULO!$BB$15,ROW($X222)-ROW($X$15),-1))),IF($C222=0,0,ROUND(SomaAgrup,15-13*$AF$11)))</f>
        <v>4940.76</v>
      </c>
      <c r="Y222" s="126" t="s">
        <v>751</v>
      </c>
      <c r="Z222" s="717" t="str">
        <f t="shared" ca="1" si="54"/>
        <v>RA</v>
      </c>
      <c r="AA222" s="127">
        <f t="array" aca="1" ref="AA222" ca="1">IF($C222="S",IF($Z222="CP",$X222,IF($Z222="RA",(($X222)*QCI!$AA$3),0)),SomaAgrup)</f>
        <v>0</v>
      </c>
      <c r="AB222" s="128">
        <f t="array" aca="1" ref="AB222" ca="1">IF($C222="S",IF($Z222="OU",ROUND($X222,2),0),SomaAgrup)</f>
        <v>0</v>
      </c>
      <c r="AC222" s="563" t="str">
        <f t="array" aca="1" ref="AC222" ca="1">IF($N222=""," ",
IF(AND($C222&lt;&gt;"S",OR($R222="",$R222="(digite a descrição aqui)")),"DESCRIÇÃO",
IF(AND($C222="S",OR($Q222&lt;&gt;"",$T222&gt;0,$U222&gt;0),$P222=""),"FONTE",
IF(AND($C222="S",$P222&lt;&gt;"",OR($T222&gt;0,$U222&gt;0),$Q222=""),"CÓDIGO",
IF(AND($C222="S",$P222&lt;&gt;"",$Q222&lt;&gt;"",$R222="(Código não identificado nas referências)"),"CÓDIGO N/ID",
IF(AND($C222="S",OR($R222="",$R222="(digite a descrição aqui)"),OR($Q222&lt;&gt;"",$T222&gt;0,$U222&gt;0)),"DESCRIÇÃO",
IF(AND($C222="S",$P222&lt;&gt;"",$Q222&lt;&gt;"",$S222=""),"UNIDADE",
IF(AND($C222="S",$P222&lt;&gt;"",$Q222&lt;&gt;"",$U222=0),"SEM CUSTO",
IF(AND(TIPOORCAMENTO="Licitado",$AL222=0,$AN222&gt;0),"SEM PREÇO",
IF(AND($C222="S",$P222&lt;&gt;"",$Q222&lt;&gt;"",$U222&gt;0,AND($V222&lt;&gt;"BDI 1",$V222&lt;&gt;"BDI 2",$V222&lt;&gt;"BDI 3")),IF(ISNUMBER($V222),"JUSTIFICAR BDI","BDI"),
IF(OR(AND(import.recurso="OGU",TIPOORCAMENTO="Proposto",LEFT($O$8,5)&lt;&gt;"(N/D:",$AG222&lt;&gt;"",ORÇAMENTO.CustoUnitario&gt;$AG222),AND(TIPOORCAMENTO="LICITADO",ORÇAMENTO.PrecoUnitarioLicitado&gt;$AN222)),"ACIMA REF.",
IF(AND($C222="S",$P222&lt;&gt;"",$Q222&lt;&gt;"",$T222=0,$U222&gt;0),"QUANT.",
IF(AND(Import.TipoArredondamento="TransfereGOV",$L222="F",$C222="S",LEN($Q222)&gt;13),"Código &gt;13",
IF(AND(Import.TipoArredondamento="TransfereGOV",$L222="F",$C222&lt;&gt;"S",LEN($R222)&gt;100),"Descrição &gt;100",
IF(AND(Import.TipoArredondamento="TransfereGOV",$L222="F",$C222="S",LEN($R222)&gt;500),"Descrição &gt;500",
IF(AND(Import.TipoArredondamento="TransfereGOV",$L222="F",$C222="S",LEFT(TRIM(UPPER($P222)),6)&lt;&gt;"SINAPI",ISNA(VLOOKUP(TRIM(UPPER($S222)),ListaTgov.Unidades,1,FALSE))),"Unid. Não Disp",
" "))))))))))))))))</f>
        <v xml:space="preserve"> </v>
      </c>
      <c r="AD222" s="717" t="str">
        <f ca="1">IF(C222&lt;=CRONO.NivelExibicao,MAX($AD$15:OFFSET(AD222,-1,0))+IF($C222&lt;&gt;1,1,MAX(1,COUNTIF(QCI!$A$13:$A$24,OFFSET($E222,-1,0)))),"")</f>
        <v/>
      </c>
      <c r="AE222" s="715" t="str">
        <f t="array" aca="1" ref="AE222" ca="1">IF(AND($C222="S",ORÇAMENTO.CodBarra&lt;&gt;""),IF(ORÇAMENTO.Fonte="",ORÇAMENTO.CodBarra,CONCATENATE(ORÇAMENTO.Fonte," ",ORÇAMENTO.CodBarra)))</f>
        <v>SINAPI 100863</v>
      </c>
      <c r="AF222" s="716">
        <f t="array" aca="1" ref="AF222" ca="1">IF(ISERROR(ORÇAMENTO.BancoRef),"(abra o arquivo 'Referência "&amp;Excel_BuiltIn_Database&amp;".xlsm)",IF(OR($C222&lt;&gt;"S",ORÇAMENTO.CodBarra=""),"(Sem Código)",IF(ISERROR(MATCH($AE222,INDIRECT(ORÇAMENTO.BancoRef),0)),"(Código não identificado nas referências)",MATCH($AE222,INDIRECT(ORÇAMENTO.BancoRef),0))))</f>
        <v>13196</v>
      </c>
      <c r="AG222" s="428">
        <f t="array" aca="1" ref="AG222" ca="1">ROUND(IF(DESONERACAO="sim",REFERENCIA.Desonerado,REFERENCIA.NaoDesonerado),2)</f>
        <v>636.41999999999996</v>
      </c>
      <c r="AH222" s="429">
        <f t="shared" ca="1" si="55"/>
        <v>0.29389999999999999</v>
      </c>
      <c r="AJ222" s="431"/>
      <c r="AL222" s="439"/>
      <c r="AM222" s="336">
        <f t="shared" ca="1" si="0"/>
        <v>4940.76</v>
      </c>
      <c r="AN222" s="469">
        <f t="array" aca="1" ref="AN222" ca="1">ROUND(ORÇAMENTO.CustoUnitario*(1+$AH222),2)</f>
        <v>823.46</v>
      </c>
    </row>
    <row r="223" spans="1:40" s="717" customFormat="1" ht="38.25" x14ac:dyDescent="0.2">
      <c r="A223" s="717" t="str">
        <f t="shared" si="43"/>
        <v>S</v>
      </c>
      <c r="B223" s="717">
        <f t="shared" ca="1" si="44"/>
        <v>2</v>
      </c>
      <c r="C223" s="717" t="str">
        <f t="shared" ca="1" si="45"/>
        <v>S</v>
      </c>
      <c r="D223" s="717">
        <f t="shared" ca="1" si="46"/>
        <v>0</v>
      </c>
      <c r="E223" s="717">
        <f ca="1">IF($C223=1,OFFSET(E223,-1,0)+MAX(1,COUNTIF(QCI!$A$13:$A$24,OFFSET(ORÇAMENTO!E223,-1,0))),OFFSET(E223,-1,0))</f>
        <v>1</v>
      </c>
      <c r="F223" s="717">
        <f t="shared" ca="1" si="47"/>
        <v>33</v>
      </c>
      <c r="G223" s="717">
        <f t="shared" ca="1" si="48"/>
        <v>0</v>
      </c>
      <c r="H223" s="717">
        <f t="shared" ca="1" si="49"/>
        <v>0</v>
      </c>
      <c r="I223" s="717">
        <f t="shared" ca="1" si="50"/>
        <v>5</v>
      </c>
      <c r="J223" s="717">
        <f t="shared" ca="1" si="56"/>
        <v>0</v>
      </c>
      <c r="K223" s="717">
        <f ca="1">IF(OR($C223="S",$C223=0),0,MATCH(OFFSET($D223,0,$C223)+IF($C223&lt;&gt;1,1,COUNTIF(QCI!$A$13:$A$24,ORÇAMENTO!E223)),OFFSET($D223,1,$C223,ROW($C$235)-ROW($C223)),0))</f>
        <v>0</v>
      </c>
      <c r="L223" s="114" t="str">
        <f t="shared" ca="1" si="51"/>
        <v>F</v>
      </c>
      <c r="M223" s="115" t="s">
        <v>705</v>
      </c>
      <c r="N223" s="116" t="str">
        <f t="shared" ca="1" si="52"/>
        <v>Serviço</v>
      </c>
      <c r="O223" s="117" t="str">
        <f t="shared" ca="1" si="53"/>
        <v>1.33.5.</v>
      </c>
      <c r="P223" s="118" t="s">
        <v>750</v>
      </c>
      <c r="Q223" s="119" t="s">
        <v>1468</v>
      </c>
      <c r="R223" s="120" t="str">
        <f t="array" aca="1" ref="R223" ca="1">IF($C223="S",REFERENCIA.Descricao,"(digite a descrição aqui)")</f>
        <v>BARRA DE APOIO RETA, EM ACO INOX POLIDO, COMPRIMENTO 70 CM, FIXADA NA PAREDE - FORNECIMENTO E INSTALAÇÃO. AF_01/2020</v>
      </c>
      <c r="S223" s="121" t="str">
        <f t="array" aca="1" ref="S223" ca="1">REFERENCIA.Unidade</f>
        <v>UN</v>
      </c>
      <c r="T223" s="122">
        <f ca="1">OFFSET(CÁLCULO!H$15,ROW($T223)-ROW(T$15),0)</f>
        <v>4</v>
      </c>
      <c r="U223" s="123">
        <v>354.94</v>
      </c>
      <c r="V223" s="124" t="s">
        <v>663</v>
      </c>
      <c r="W223" s="122">
        <f t="array" aca="1" ref="W223" ca="1">IF($C223="S",ROUND(IF(TIPOORCAMENTO="Proposto",ORÇAMENTO.CustoUnitario*(1+$AH223),ORÇAMENTO.PrecoUnitarioLicitado),15-13*$AF$10),0)</f>
        <v>459.26</v>
      </c>
      <c r="X223" s="125">
        <f t="array" aca="1" ref="X223" ca="1">IF($C223="S",IF(OR(Import.TipoArredondamento&lt;&gt;"TransfereGOV",ACOMPANHAMENTO="BM"),VTOTAL1,SUM(OFFSET(CÁLCULO!$AI$15,ROW($X223)-ROW($X$15),1):OFFSET(CÁLCULO!$BB$15,ROW($X223)-ROW($X$15),-1))),IF($C223=0,0,ROUND(SomaAgrup,15-13*$AF$11)))</f>
        <v>1837.04</v>
      </c>
      <c r="Y223" s="126" t="s">
        <v>751</v>
      </c>
      <c r="Z223" s="717" t="str">
        <f t="shared" ca="1" si="54"/>
        <v>RA</v>
      </c>
      <c r="AA223" s="127">
        <f t="array" aca="1" ref="AA223" ca="1">IF($C223="S",IF($Z223="CP",$X223,IF($Z223="RA",(($X223)*QCI!$AA$3),0)),SomaAgrup)</f>
        <v>0</v>
      </c>
      <c r="AB223" s="128">
        <f t="array" aca="1" ref="AB223" ca="1">IF($C223="S",IF($Z223="OU",ROUND($X223,2),0),SomaAgrup)</f>
        <v>0</v>
      </c>
      <c r="AC223" s="563" t="str">
        <f t="array" aca="1" ref="AC223" ca="1">IF($N223=""," ",
IF(AND($C223&lt;&gt;"S",OR($R223="",$R223="(digite a descrição aqui)")),"DESCRIÇÃO",
IF(AND($C223="S",OR($Q223&lt;&gt;"",$T223&gt;0,$U223&gt;0),$P223=""),"FONTE",
IF(AND($C223="S",$P223&lt;&gt;"",OR($T223&gt;0,$U223&gt;0),$Q223=""),"CÓDIGO",
IF(AND($C223="S",$P223&lt;&gt;"",$Q223&lt;&gt;"",$R223="(Código não identificado nas referências)"),"CÓDIGO N/ID",
IF(AND($C223="S",OR($R223="",$R223="(digite a descrição aqui)"),OR($Q223&lt;&gt;"",$T223&gt;0,$U223&gt;0)),"DESCRIÇÃO",
IF(AND($C223="S",$P223&lt;&gt;"",$Q223&lt;&gt;"",$S223=""),"UNIDADE",
IF(AND($C223="S",$P223&lt;&gt;"",$Q223&lt;&gt;"",$U223=0),"SEM CUSTO",
IF(AND(TIPOORCAMENTO="Licitado",$AL223=0,$AN223&gt;0),"SEM PREÇO",
IF(AND($C223="S",$P223&lt;&gt;"",$Q223&lt;&gt;"",$U223&gt;0,AND($V223&lt;&gt;"BDI 1",$V223&lt;&gt;"BDI 2",$V223&lt;&gt;"BDI 3")),IF(ISNUMBER($V223),"JUSTIFICAR BDI","BDI"),
IF(OR(AND(import.recurso="OGU",TIPOORCAMENTO="Proposto",LEFT($O$8,5)&lt;&gt;"(N/D:",$AG223&lt;&gt;"",ORÇAMENTO.CustoUnitario&gt;$AG223),AND(TIPOORCAMENTO="LICITADO",ORÇAMENTO.PrecoUnitarioLicitado&gt;$AN223)),"ACIMA REF.",
IF(AND($C223="S",$P223&lt;&gt;"",$Q223&lt;&gt;"",$T223=0,$U223&gt;0),"QUANT.",
IF(AND(Import.TipoArredondamento="TransfereGOV",$L223="F",$C223="S",LEN($Q223)&gt;13),"Código &gt;13",
IF(AND(Import.TipoArredondamento="TransfereGOV",$L223="F",$C223&lt;&gt;"S",LEN($R223)&gt;100),"Descrição &gt;100",
IF(AND(Import.TipoArredondamento="TransfereGOV",$L223="F",$C223="S",LEN($R223)&gt;500),"Descrição &gt;500",
IF(AND(Import.TipoArredondamento="TransfereGOV",$L223="F",$C223="S",LEFT(TRIM(UPPER($P223)),6)&lt;&gt;"SINAPI",ISNA(VLOOKUP(TRIM(UPPER($S223)),ListaTgov.Unidades,1,FALSE))),"Unid. Não Disp",
" "))))))))))))))))</f>
        <v xml:space="preserve"> </v>
      </c>
      <c r="AD223" s="717" t="str">
        <f ca="1">IF(C223&lt;=CRONO.NivelExibicao,MAX($AD$15:OFFSET(AD223,-1,0))+IF($C223&lt;&gt;1,1,MAX(1,COUNTIF(QCI!$A$13:$A$24,OFFSET($E223,-1,0)))),"")</f>
        <v/>
      </c>
      <c r="AE223" s="715" t="str">
        <f t="array" aca="1" ref="AE223" ca="1">IF(AND($C223="S",ORÇAMENTO.CodBarra&lt;&gt;""),IF(ORÇAMENTO.Fonte="",ORÇAMENTO.CodBarra,CONCATENATE(ORÇAMENTO.Fonte," ",ORÇAMENTO.CodBarra)))</f>
        <v>SINAPI 100867</v>
      </c>
      <c r="AF223" s="716">
        <f t="array" aca="1" ref="AF223" ca="1">IF(ISERROR(ORÇAMENTO.BancoRef),"(abra o arquivo 'Referência "&amp;Excel_BuiltIn_Database&amp;".xlsm)",IF(OR($C223&lt;&gt;"S",ORÇAMENTO.CodBarra=""),"(Sem Código)",IF(ISERROR(MATCH($AE223,INDIRECT(ORÇAMENTO.BancoRef),0)),"(Código não identificado nas referências)",MATCH($AE223,INDIRECT(ORÇAMENTO.BancoRef),0))))</f>
        <v>13200</v>
      </c>
      <c r="AG223" s="428">
        <f t="array" aca="1" ref="AG223" ca="1">ROUND(IF(DESONERACAO="sim",REFERENCIA.Desonerado,REFERENCIA.NaoDesonerado),2)</f>
        <v>354.94</v>
      </c>
      <c r="AH223" s="429">
        <f t="shared" ca="1" si="55"/>
        <v>0.29389999999999999</v>
      </c>
      <c r="AJ223" s="431"/>
      <c r="AL223" s="439"/>
      <c r="AM223" s="336">
        <f t="shared" ca="1" si="0"/>
        <v>1837.04</v>
      </c>
      <c r="AN223" s="469">
        <f t="array" aca="1" ref="AN223" ca="1">ROUND(ORÇAMENTO.CustoUnitario*(1+$AH223),2)</f>
        <v>459.26</v>
      </c>
    </row>
    <row r="224" spans="1:40" s="717" customFormat="1" ht="25.5" x14ac:dyDescent="0.2">
      <c r="A224" s="717" t="str">
        <f t="shared" si="43"/>
        <v>S</v>
      </c>
      <c r="B224" s="717">
        <f t="shared" ca="1" si="44"/>
        <v>2</v>
      </c>
      <c r="C224" s="717" t="str">
        <f t="shared" ca="1" si="45"/>
        <v>S</v>
      </c>
      <c r="D224" s="717">
        <f t="shared" ca="1" si="46"/>
        <v>0</v>
      </c>
      <c r="E224" s="717">
        <f ca="1">IF($C224=1,OFFSET(E224,-1,0)+MAX(1,COUNTIF(QCI!$A$13:$A$24,OFFSET(ORÇAMENTO!E224,-1,0))),OFFSET(E224,-1,0))</f>
        <v>1</v>
      </c>
      <c r="F224" s="717">
        <f t="shared" ca="1" si="47"/>
        <v>33</v>
      </c>
      <c r="G224" s="717">
        <f t="shared" ca="1" si="48"/>
        <v>0</v>
      </c>
      <c r="H224" s="717">
        <f t="shared" ca="1" si="49"/>
        <v>0</v>
      </c>
      <c r="I224" s="717">
        <f t="shared" ca="1" si="50"/>
        <v>6</v>
      </c>
      <c r="J224" s="717">
        <f t="shared" ca="1" si="56"/>
        <v>0</v>
      </c>
      <c r="K224" s="717">
        <f ca="1">IF(OR($C224="S",$C224=0),0,MATCH(OFFSET($D224,0,$C224)+IF($C224&lt;&gt;1,1,COUNTIF(QCI!$A$13:$A$24,ORÇAMENTO!E224)),OFFSET($D224,1,$C224,ROW($C$235)-ROW($C224)),0))</f>
        <v>0</v>
      </c>
      <c r="L224" s="114" t="str">
        <f t="shared" ca="1" si="51"/>
        <v>F</v>
      </c>
      <c r="M224" s="115" t="s">
        <v>705</v>
      </c>
      <c r="N224" s="116" t="str">
        <f t="shared" ca="1" si="52"/>
        <v>Serviço</v>
      </c>
      <c r="O224" s="117" t="str">
        <f t="shared" ca="1" si="53"/>
        <v>1.33.6.</v>
      </c>
      <c r="P224" s="118" t="s">
        <v>750</v>
      </c>
      <c r="Q224" s="119" t="s">
        <v>1469</v>
      </c>
      <c r="R224" s="120" t="str">
        <f t="array" aca="1" ref="R224" ca="1">IF($C224="S",REFERENCIA.Descricao,"(digite a descrição aqui)")</f>
        <v>BANCO ARTICULADO, EM ACO INOX, PARA PCD, FIXADO NA PAREDE - FORNECIMENTO E INSTALAÇÃO. AF_01/2020</v>
      </c>
      <c r="S224" s="121" t="str">
        <f t="array" aca="1" ref="S224" ca="1">REFERENCIA.Unidade</f>
        <v>UN</v>
      </c>
      <c r="T224" s="122">
        <f ca="1">OFFSET(CÁLCULO!H$15,ROW($T224)-ROW(T$15),0)</f>
        <v>2</v>
      </c>
      <c r="U224" s="123">
        <v>1089.77</v>
      </c>
      <c r="V224" s="124" t="s">
        <v>663</v>
      </c>
      <c r="W224" s="122">
        <f t="array" aca="1" ref="W224" ca="1">IF($C224="S",ROUND(IF(TIPOORCAMENTO="Proposto",ORÇAMENTO.CustoUnitario*(1+$AH224),ORÇAMENTO.PrecoUnitarioLicitado),15-13*$AF$10),0)</f>
        <v>1410.05</v>
      </c>
      <c r="X224" s="125">
        <f t="array" aca="1" ref="X224" ca="1">IF($C224="S",IF(OR(Import.TipoArredondamento&lt;&gt;"TransfereGOV",ACOMPANHAMENTO="BM"),VTOTAL1,SUM(OFFSET(CÁLCULO!$AI$15,ROW($X224)-ROW($X$15),1):OFFSET(CÁLCULO!$BB$15,ROW($X224)-ROW($X$15),-1))),IF($C224=0,0,ROUND(SomaAgrup,15-13*$AF$11)))</f>
        <v>2820.1</v>
      </c>
      <c r="Y224" s="126" t="s">
        <v>751</v>
      </c>
      <c r="Z224" s="717" t="str">
        <f t="shared" ca="1" si="54"/>
        <v>RA</v>
      </c>
      <c r="AA224" s="127">
        <f t="array" aca="1" ref="AA224" ca="1">IF($C224="S",IF($Z224="CP",$X224,IF($Z224="RA",(($X224)*QCI!$AA$3),0)),SomaAgrup)</f>
        <v>0</v>
      </c>
      <c r="AB224" s="128">
        <f t="array" aca="1" ref="AB224" ca="1">IF($C224="S",IF($Z224="OU",ROUND($X224,2),0),SomaAgrup)</f>
        <v>0</v>
      </c>
      <c r="AC224" s="563" t="str">
        <f t="array" aca="1" ref="AC224" ca="1">IF($N224=""," ",
IF(AND($C224&lt;&gt;"S",OR($R224="",$R224="(digite a descrição aqui)")),"DESCRIÇÃO",
IF(AND($C224="S",OR($Q224&lt;&gt;"",$T224&gt;0,$U224&gt;0),$P224=""),"FONTE",
IF(AND($C224="S",$P224&lt;&gt;"",OR($T224&gt;0,$U224&gt;0),$Q224=""),"CÓDIGO",
IF(AND($C224="S",$P224&lt;&gt;"",$Q224&lt;&gt;"",$R224="(Código não identificado nas referências)"),"CÓDIGO N/ID",
IF(AND($C224="S",OR($R224="",$R224="(digite a descrição aqui)"),OR($Q224&lt;&gt;"",$T224&gt;0,$U224&gt;0)),"DESCRIÇÃO",
IF(AND($C224="S",$P224&lt;&gt;"",$Q224&lt;&gt;"",$S224=""),"UNIDADE",
IF(AND($C224="S",$P224&lt;&gt;"",$Q224&lt;&gt;"",$U224=0),"SEM CUSTO",
IF(AND(TIPOORCAMENTO="Licitado",$AL224=0,$AN224&gt;0),"SEM PREÇO",
IF(AND($C224="S",$P224&lt;&gt;"",$Q224&lt;&gt;"",$U224&gt;0,AND($V224&lt;&gt;"BDI 1",$V224&lt;&gt;"BDI 2",$V224&lt;&gt;"BDI 3")),IF(ISNUMBER($V224),"JUSTIFICAR BDI","BDI"),
IF(OR(AND(import.recurso="OGU",TIPOORCAMENTO="Proposto",LEFT($O$8,5)&lt;&gt;"(N/D:",$AG224&lt;&gt;"",ORÇAMENTO.CustoUnitario&gt;$AG224),AND(TIPOORCAMENTO="LICITADO",ORÇAMENTO.PrecoUnitarioLicitado&gt;$AN224)),"ACIMA REF.",
IF(AND($C224="S",$P224&lt;&gt;"",$Q224&lt;&gt;"",$T224=0,$U224&gt;0),"QUANT.",
IF(AND(Import.TipoArredondamento="TransfereGOV",$L224="F",$C224="S",LEN($Q224)&gt;13),"Código &gt;13",
IF(AND(Import.TipoArredondamento="TransfereGOV",$L224="F",$C224&lt;&gt;"S",LEN($R224)&gt;100),"Descrição &gt;100",
IF(AND(Import.TipoArredondamento="TransfereGOV",$L224="F",$C224="S",LEN($R224)&gt;500),"Descrição &gt;500",
IF(AND(Import.TipoArredondamento="TransfereGOV",$L224="F",$C224="S",LEFT(TRIM(UPPER($P224)),6)&lt;&gt;"SINAPI",ISNA(VLOOKUP(TRIM(UPPER($S224)),ListaTgov.Unidades,1,FALSE))),"Unid. Não Disp",
" "))))))))))))))))</f>
        <v xml:space="preserve"> </v>
      </c>
      <c r="AD224" s="717" t="str">
        <f ca="1">IF(C224&lt;=CRONO.NivelExibicao,MAX($AD$15:OFFSET(AD224,-1,0))+IF($C224&lt;&gt;1,1,MAX(1,COUNTIF(QCI!$A$13:$A$24,OFFSET($E224,-1,0)))),"")</f>
        <v/>
      </c>
      <c r="AE224" s="715" t="str">
        <f t="array" aca="1" ref="AE224" ca="1">IF(AND($C224="S",ORÇAMENTO.CodBarra&lt;&gt;""),IF(ORÇAMENTO.Fonte="",ORÇAMENTO.CodBarra,CONCATENATE(ORÇAMENTO.Fonte," ",ORÇAMENTO.CodBarra)))</f>
        <v>SINAPI 100875</v>
      </c>
      <c r="AF224" s="716">
        <f t="array" aca="1" ref="AF224" ca="1">IF(ISERROR(ORÇAMENTO.BancoRef),"(abra o arquivo 'Referência "&amp;Excel_BuiltIn_Database&amp;".xlsm)",IF(OR($C224&lt;&gt;"S",ORÇAMENTO.CodBarra=""),"(Sem Código)",IF(ISERROR(MATCH($AE224,INDIRECT(ORÇAMENTO.BancoRef),0)),"(Código não identificado nas referências)",MATCH($AE224,INDIRECT(ORÇAMENTO.BancoRef),0))))</f>
        <v>13195</v>
      </c>
      <c r="AG224" s="428">
        <f t="array" aca="1" ref="AG224" ca="1">ROUND(IF(DESONERACAO="sim",REFERENCIA.Desonerado,REFERENCIA.NaoDesonerado),2)</f>
        <v>1099.8699999999999</v>
      </c>
      <c r="AH224" s="429">
        <f t="shared" ca="1" si="55"/>
        <v>0.29389999999999999</v>
      </c>
      <c r="AJ224" s="431"/>
      <c r="AL224" s="439"/>
      <c r="AM224" s="336">
        <f t="shared" ca="1" si="0"/>
        <v>2820.1</v>
      </c>
      <c r="AN224" s="469">
        <f t="array" aca="1" ref="AN224" ca="1">ROUND(ORÇAMENTO.CustoUnitario*(1+$AH224),2)</f>
        <v>1410.05</v>
      </c>
    </row>
    <row r="225" spans="1:40" s="696" customFormat="1" x14ac:dyDescent="0.2">
      <c r="A225" s="696">
        <f t="shared" si="43"/>
        <v>2</v>
      </c>
      <c r="B225" s="696">
        <f t="shared" ca="1" si="44"/>
        <v>2</v>
      </c>
      <c r="C225" s="696">
        <f t="shared" ca="1" si="45"/>
        <v>2</v>
      </c>
      <c r="D225" s="696">
        <f t="shared" ca="1" si="46"/>
        <v>10</v>
      </c>
      <c r="E225" s="696">
        <f ca="1">IF($C225=1,OFFSET(E225,-1,0)+MAX(1,COUNTIF(QCI!$A$13:$A$24,OFFSET(ORÇAMENTO!E225,-1,0))),OFFSET(E225,-1,0))</f>
        <v>1</v>
      </c>
      <c r="F225" s="696">
        <f t="shared" ca="1" si="47"/>
        <v>34</v>
      </c>
      <c r="G225" s="696">
        <f t="shared" ca="1" si="48"/>
        <v>0</v>
      </c>
      <c r="H225" s="696">
        <f t="shared" ca="1" si="49"/>
        <v>0</v>
      </c>
      <c r="I225" s="696">
        <f t="shared" ca="1" si="50"/>
        <v>0</v>
      </c>
      <c r="J225" s="696">
        <f t="shared" ca="1" si="56"/>
        <v>10</v>
      </c>
      <c r="K225" s="696" t="e">
        <f ca="1">IF(OR($C225="S",$C225=0),0,MATCH(OFFSET($D225,0,$C225)+IF($C225&lt;&gt;1,1,COUNTIF(QCI!$A$13:$A$24,ORÇAMENTO!E225)),OFFSET($D225,1,$C225,ROW($C$235)-ROW($C225)),0))</f>
        <v>#N/A</v>
      </c>
      <c r="L225" s="114" t="str">
        <f t="shared" ca="1" si="51"/>
        <v>F</v>
      </c>
      <c r="M225" s="115" t="s">
        <v>702</v>
      </c>
      <c r="N225" s="116" t="str">
        <f t="shared" ca="1" si="52"/>
        <v>Nível 2</v>
      </c>
      <c r="O225" s="117" t="str">
        <f t="shared" ca="1" si="53"/>
        <v>1.34.</v>
      </c>
      <c r="P225" s="118" t="s">
        <v>750</v>
      </c>
      <c r="Q225" s="119"/>
      <c r="R225" s="120" t="s">
        <v>1199</v>
      </c>
      <c r="S225" s="121" t="s">
        <v>688</v>
      </c>
      <c r="T225" s="122">
        <f ca="1">OFFSET(CÁLCULO!H$15,ROW($T225)-ROW(T$15),0)</f>
        <v>0</v>
      </c>
      <c r="U225" s="123"/>
      <c r="V225" s="124" t="s">
        <v>663</v>
      </c>
      <c r="W225" s="122">
        <f t="array" aca="1" ref="W225" ca="1">IF($C225="S",ROUND(IF(TIPOORCAMENTO="Proposto",ORÇAMENTO.CustoUnitario*(1+$AH225),ORÇAMENTO.PrecoUnitarioLicitado),15-13*$AF$10),0)</f>
        <v>0</v>
      </c>
      <c r="X225" s="125">
        <f t="array" aca="1" ref="X225" ca="1">IF($C225="S",IF(OR(Import.TipoArredondamento&lt;&gt;"TransfereGOV",ACOMPANHAMENTO="BM"),VTOTAL1,SUM(OFFSET(CÁLCULO!$AI$15,ROW($X225)-ROW($X$15),1):OFFSET(CÁLCULO!$BB$15,ROW($X225)-ROW($X$15),-1))),IF($C225=0,0,ROUND(SomaAgrup,15-13*$AF$11)))</f>
        <v>10724.2</v>
      </c>
      <c r="Y225" s="126" t="s">
        <v>751</v>
      </c>
      <c r="Z225" s="696" t="str">
        <f t="shared" ca="1" si="54"/>
        <v/>
      </c>
      <c r="AA225" s="127">
        <f t="array" aca="1" ref="AA225" ca="1">IF($C225="S",IF($Z225="CP",$X225,IF($Z225="RA",(($X225)*QCI!$AA$3),0)),SomaAgrup)</f>
        <v>0</v>
      </c>
      <c r="AB225" s="128">
        <f t="array" aca="1" ref="AB225" ca="1">IF($C225="S",IF($Z225="OU",ROUND($X225,2),0),SomaAgrup)</f>
        <v>0</v>
      </c>
      <c r="AC225" s="563" t="str">
        <f t="array" aca="1" ref="AC225" ca="1">IF($N225=""," ",
IF(AND($C225&lt;&gt;"S",OR($R225="",$R225="(digite a descrição aqui)")),"DESCRIÇÃO",
IF(AND($C225="S",OR($Q225&lt;&gt;"",$T225&gt;0,$U225&gt;0),$P225=""),"FONTE",
IF(AND($C225="S",$P225&lt;&gt;"",OR($T225&gt;0,$U225&gt;0),$Q225=""),"CÓDIGO",
IF(AND($C225="S",$P225&lt;&gt;"",$Q225&lt;&gt;"",$R225="(Código não identificado nas referências)"),"CÓDIGO N/ID",
IF(AND($C225="S",OR($R225="",$R225="(digite a descrição aqui)"),OR($Q225&lt;&gt;"",$T225&gt;0,$U225&gt;0)),"DESCRIÇÃO",
IF(AND($C225="S",$P225&lt;&gt;"",$Q225&lt;&gt;"",$S225=""),"UNIDADE",
IF(AND($C225="S",$P225&lt;&gt;"",$Q225&lt;&gt;"",$U225=0),"SEM CUSTO",
IF(AND(TIPOORCAMENTO="Licitado",$AL225=0,$AN225&gt;0),"SEM PREÇO",
IF(AND($C225="S",$P225&lt;&gt;"",$Q225&lt;&gt;"",$U225&gt;0,AND($V225&lt;&gt;"BDI 1",$V225&lt;&gt;"BDI 2",$V225&lt;&gt;"BDI 3")),IF(ISNUMBER($V225),"JUSTIFICAR BDI","BDI"),
IF(OR(AND(import.recurso="OGU",TIPOORCAMENTO="Proposto",LEFT($O$8,5)&lt;&gt;"(N/D:",$AG225&lt;&gt;"",ORÇAMENTO.CustoUnitario&gt;$AG225),AND(TIPOORCAMENTO="LICITADO",ORÇAMENTO.PrecoUnitarioLicitado&gt;$AN225)),"ACIMA REF.",
IF(AND($C225="S",$P225&lt;&gt;"",$Q225&lt;&gt;"",$T225=0,$U225&gt;0),"QUANT.",
IF(AND(Import.TipoArredondamento="TransfereGOV",$L225="F",$C225="S",LEN($Q225)&gt;13),"Código &gt;13",
IF(AND(Import.TipoArredondamento="TransfereGOV",$L225="F",$C225&lt;&gt;"S",LEN($R225)&gt;100),"Descrição &gt;100",
IF(AND(Import.TipoArredondamento="TransfereGOV",$L225="F",$C225="S",LEN($R225)&gt;500),"Descrição &gt;500",
IF(AND(Import.TipoArredondamento="TransfereGOV",$L225="F",$C225="S",LEFT(TRIM(UPPER($P225)),6)&lt;&gt;"SINAPI",ISNA(VLOOKUP(TRIM(UPPER($S225)),ListaTgov.Unidades,1,FALSE))),"Unid. Não Disp",
" "))))))))))))))))</f>
        <v xml:space="preserve"> </v>
      </c>
      <c r="AD225" s="696">
        <f ca="1">IF(C225&lt;=CRONO.NivelExibicao,MAX($AD$15:OFFSET(AD225,-1,0))+IF($C225&lt;&gt;1,1,MAX(1,COUNTIF(QCI!$A$13:$A$24,OFFSET($E225,-1,0)))),"")</f>
        <v>35</v>
      </c>
      <c r="AE225" s="694" t="b">
        <f t="array" aca="1" ref="AE225" ca="1">IF(AND($C225="S",ORÇAMENTO.CodBarra&lt;&gt;""),IF(ORÇAMENTO.Fonte="",ORÇAMENTO.CodBarra,CONCATENATE(ORÇAMENTO.Fonte," ",ORÇAMENTO.CodBarra)))</f>
        <v>0</v>
      </c>
      <c r="AF225" s="695" t="str">
        <f t="array" aca="1" ref="AF225" ca="1">IF(ISERROR(ORÇAMENTO.BancoRef),"(abra o arquivo 'Referência "&amp;Excel_BuiltIn_Database&amp;".xlsm)",IF(OR($C225&lt;&gt;"S",ORÇAMENTO.CodBarra=""),"(Sem Código)",IF(ISERROR(MATCH($AE225,INDIRECT(ORÇAMENTO.BancoRef),0)),"(Código não identificado nas referências)",MATCH($AE225,INDIRECT(ORÇAMENTO.BancoRef),0))))</f>
        <v>(Sem Código)</v>
      </c>
      <c r="AG225" s="428">
        <f t="array" aca="1" ref="AG225" ca="1">ROUND(IF(DESONERACAO="sim",REFERENCIA.Desonerado,REFERENCIA.NaoDesonerado),2)</f>
        <v>0</v>
      </c>
      <c r="AH225" s="429">
        <f t="shared" ca="1" si="55"/>
        <v>0.29389999999999999</v>
      </c>
      <c r="AJ225" s="431"/>
      <c r="AL225" s="439"/>
      <c r="AM225" s="336">
        <f t="shared" ca="1" si="0"/>
        <v>10724.2</v>
      </c>
      <c r="AN225" s="469">
        <f t="array" aca="1" ref="AN225" ca="1">ROUND(ORÇAMENTO.CustoUnitario*(1+$AH225),2)</f>
        <v>0</v>
      </c>
    </row>
    <row r="226" spans="1:40" s="696" customFormat="1" ht="25.5" x14ac:dyDescent="0.2">
      <c r="A226" s="696" t="str">
        <f t="shared" si="43"/>
        <v>S</v>
      </c>
      <c r="B226" s="696">
        <f t="shared" ca="1" si="44"/>
        <v>2</v>
      </c>
      <c r="C226" s="696" t="str">
        <f t="shared" ca="1" si="45"/>
        <v>S</v>
      </c>
      <c r="D226" s="696">
        <f t="shared" ca="1" si="46"/>
        <v>0</v>
      </c>
      <c r="E226" s="696">
        <f ca="1">IF($C226=1,OFFSET(E226,-1,0)+MAX(1,COUNTIF(QCI!$A$13:$A$24,OFFSET(ORÇAMENTO!E226,-1,0))),OFFSET(E226,-1,0))</f>
        <v>1</v>
      </c>
      <c r="F226" s="696">
        <f t="shared" ca="1" si="47"/>
        <v>34</v>
      </c>
      <c r="G226" s="696">
        <f t="shared" ca="1" si="48"/>
        <v>0</v>
      </c>
      <c r="H226" s="696">
        <f t="shared" ca="1" si="49"/>
        <v>0</v>
      </c>
      <c r="I226" s="696">
        <f t="shared" ca="1" si="50"/>
        <v>1</v>
      </c>
      <c r="J226" s="696">
        <f t="shared" ca="1" si="56"/>
        <v>0</v>
      </c>
      <c r="K226" s="696">
        <f ca="1">IF(OR($C226="S",$C226=0),0,MATCH(OFFSET($D226,0,$C226)+IF($C226&lt;&gt;1,1,COUNTIF(QCI!$A$13:$A$24,ORÇAMENTO!E226)),OFFSET($D226,1,$C226,ROW($C$235)-ROW($C226)),0))</f>
        <v>0</v>
      </c>
      <c r="L226" s="114" t="str">
        <f t="shared" ca="1" si="51"/>
        <v>F</v>
      </c>
      <c r="M226" s="115" t="s">
        <v>705</v>
      </c>
      <c r="N226" s="116" t="str">
        <f t="shared" ca="1" si="52"/>
        <v>Serviço</v>
      </c>
      <c r="O226" s="117" t="str">
        <f t="shared" ca="1" si="53"/>
        <v>1.34.1.</v>
      </c>
      <c r="P226" s="118" t="s">
        <v>750</v>
      </c>
      <c r="Q226" s="119" t="s">
        <v>1200</v>
      </c>
      <c r="R226" s="120" t="str">
        <f t="array" aca="1" ref="R226" ca="1">IF($C226="S",REFERENCIA.Descricao,"(digite a descrição aqui)")</f>
        <v>LIMPEZA DE BACIA SANITÁRIA, BIDÊ OU MICTÓRIO EM LOUÇA, INCLUSIVE METAIS CORRESPONDENTES. AF_04/2019</v>
      </c>
      <c r="S226" s="121" t="str">
        <f t="array" aca="1" ref="S226" ca="1">REFERENCIA.Unidade</f>
        <v>UN</v>
      </c>
      <c r="T226" s="122">
        <f ca="1">OFFSET(CÁLCULO!H$15,ROW($T226)-ROW(T$15),0)</f>
        <v>20</v>
      </c>
      <c r="U226" s="123">
        <f>6.67*0.94</f>
        <v>6.2697999999999992</v>
      </c>
      <c r="V226" s="124" t="s">
        <v>697</v>
      </c>
      <c r="W226" s="122">
        <f t="array" aca="1" ref="W226" ca="1">IF($C226="S",ROUND(IF(TIPOORCAMENTO="Proposto",ORÇAMENTO.CustoUnitario*(1+$AH226),ORÇAMENTO.PrecoUnitarioLicitado),15-13*$AF$10),0)</f>
        <v>7.55</v>
      </c>
      <c r="X226" s="125">
        <f t="array" aca="1" ref="X226" ca="1">IF($C226="S",IF(OR(Import.TipoArredondamento&lt;&gt;"TransfereGOV",ACOMPANHAMENTO="BM"),VTOTAL1,SUM(OFFSET(CÁLCULO!$AI$15,ROW($X226)-ROW($X$15),1):OFFSET(CÁLCULO!$BB$15,ROW($X226)-ROW($X$15),-1))),IF($C226=0,0,ROUND(SomaAgrup,15-13*$AF$11)))</f>
        <v>151</v>
      </c>
      <c r="Y226" s="126" t="s">
        <v>751</v>
      </c>
      <c r="Z226" s="696" t="str">
        <f t="shared" ca="1" si="54"/>
        <v>RA</v>
      </c>
      <c r="AA226" s="127">
        <f t="array" aca="1" ref="AA226" ca="1">IF($C226="S",IF($Z226="CP",$X226,IF($Z226="RA",(($X226)*QCI!$AA$3),0)),SomaAgrup)</f>
        <v>0</v>
      </c>
      <c r="AB226" s="128">
        <f t="array" aca="1" ref="AB226" ca="1">IF($C226="S",IF($Z226="OU",ROUND($X226,2),0),SomaAgrup)</f>
        <v>0</v>
      </c>
      <c r="AC226" s="563" t="str">
        <f t="array" aca="1" ref="AC226" ca="1">IF($N226=""," ",
IF(AND($C226&lt;&gt;"S",OR($R226="",$R226="(digite a descrição aqui)")),"DESCRIÇÃO",
IF(AND($C226="S",OR($Q226&lt;&gt;"",$T226&gt;0,$U226&gt;0),$P226=""),"FONTE",
IF(AND($C226="S",$P226&lt;&gt;"",OR($T226&gt;0,$U226&gt;0),$Q226=""),"CÓDIGO",
IF(AND($C226="S",$P226&lt;&gt;"",$Q226&lt;&gt;"",$R226="(Código não identificado nas referências)"),"CÓDIGO N/ID",
IF(AND($C226="S",OR($R226="",$R226="(digite a descrição aqui)"),OR($Q226&lt;&gt;"",$T226&gt;0,$U226&gt;0)),"DESCRIÇÃO",
IF(AND($C226="S",$P226&lt;&gt;"",$Q226&lt;&gt;"",$S226=""),"UNIDADE",
IF(AND($C226="S",$P226&lt;&gt;"",$Q226&lt;&gt;"",$U226=0),"SEM CUSTO",
IF(AND(TIPOORCAMENTO="Licitado",$AL226=0,$AN226&gt;0),"SEM PREÇO",
IF(AND($C226="S",$P226&lt;&gt;"",$Q226&lt;&gt;"",$U226&gt;0,AND($V226&lt;&gt;"BDI 1",$V226&lt;&gt;"BDI 2",$V226&lt;&gt;"BDI 3")),IF(ISNUMBER($V226),"JUSTIFICAR BDI","BDI"),
IF(OR(AND(import.recurso="OGU",TIPOORCAMENTO="Proposto",LEFT($O$8,5)&lt;&gt;"(N/D:",$AG226&lt;&gt;"",ORÇAMENTO.CustoUnitario&gt;$AG226),AND(TIPOORCAMENTO="LICITADO",ORÇAMENTO.PrecoUnitarioLicitado&gt;$AN226)),"ACIMA REF.",
IF(AND($C226="S",$P226&lt;&gt;"",$Q226&lt;&gt;"",$T226=0,$U226&gt;0),"QUANT.",
IF(AND(Import.TipoArredondamento="TransfereGOV",$L226="F",$C226="S",LEN($Q226)&gt;13),"Código &gt;13",
IF(AND(Import.TipoArredondamento="TransfereGOV",$L226="F",$C226&lt;&gt;"S",LEN($R226)&gt;100),"Descrição &gt;100",
IF(AND(Import.TipoArredondamento="TransfereGOV",$L226="F",$C226="S",LEN($R226)&gt;500),"Descrição &gt;500",
IF(AND(Import.TipoArredondamento="TransfereGOV",$L226="F",$C226="S",LEFT(TRIM(UPPER($P226)),6)&lt;&gt;"SINAPI",ISNA(VLOOKUP(TRIM(UPPER($S226)),ListaTgov.Unidades,1,FALSE))),"Unid. Não Disp",
" "))))))))))))))))</f>
        <v xml:space="preserve"> </v>
      </c>
      <c r="AD226" s="696" t="str">
        <f ca="1">IF(C226&lt;=CRONO.NivelExibicao,MAX($AD$15:OFFSET(AD226,-1,0))+IF($C226&lt;&gt;1,1,MAX(1,COUNTIF(QCI!$A$13:$A$24,OFFSET($E226,-1,0)))),"")</f>
        <v/>
      </c>
      <c r="AE226" s="694" t="str">
        <f t="array" aca="1" ref="AE226" ca="1">IF(AND($C226="S",ORÇAMENTO.CodBarra&lt;&gt;""),IF(ORÇAMENTO.Fonte="",ORÇAMENTO.CodBarra,CONCATENATE(ORÇAMENTO.Fonte," ",ORÇAMENTO.CodBarra)))</f>
        <v>SINAPI 99818</v>
      </c>
      <c r="AF226" s="695">
        <f t="array" aca="1" ref="AF226" ca="1">IF(ISERROR(ORÇAMENTO.BancoRef),"(abra o arquivo 'Referência "&amp;Excel_BuiltIn_Database&amp;".xlsm)",IF(OR($C226&lt;&gt;"S",ORÇAMENTO.CodBarra=""),"(Sem Código)",IF(ISERROR(MATCH($AE226,INDIRECT(ORÇAMENTO.BancoRef),0)),"(Código não identificado nas referências)",MATCH($AE226,INDIRECT(ORÇAMENTO.BancoRef),0))))</f>
        <v>12763</v>
      </c>
      <c r="AG226" s="428">
        <f t="array" aca="1" ref="AG226" ca="1">ROUND(IF(DESONERACAO="sim",REFERENCIA.Desonerado,REFERENCIA.NaoDesonerado),2)</f>
        <v>6.67</v>
      </c>
      <c r="AH226" s="429">
        <f t="shared" ca="1" si="55"/>
        <v>0.2034</v>
      </c>
      <c r="AJ226" s="431"/>
      <c r="AL226" s="439"/>
      <c r="AM226" s="336">
        <f t="shared" ca="1" si="0"/>
        <v>151</v>
      </c>
      <c r="AN226" s="469">
        <f t="array" aca="1" ref="AN226" ca="1">ROUND(ORÇAMENTO.CustoUnitario*(1+$AH226),2)</f>
        <v>7.55</v>
      </c>
    </row>
    <row r="227" spans="1:40" s="696" customFormat="1" ht="25.5" x14ac:dyDescent="0.2">
      <c r="A227" s="696" t="str">
        <f t="shared" si="43"/>
        <v>S</v>
      </c>
      <c r="B227" s="696">
        <f t="shared" ca="1" si="44"/>
        <v>2</v>
      </c>
      <c r="C227" s="696" t="str">
        <f t="shared" ca="1" si="45"/>
        <v>S</v>
      </c>
      <c r="D227" s="696">
        <f t="shared" ca="1" si="46"/>
        <v>0</v>
      </c>
      <c r="E227" s="696">
        <f ca="1">IF($C227=1,OFFSET(E227,-1,0)+MAX(1,COUNTIF(QCI!$A$13:$A$24,OFFSET(ORÇAMENTO!E227,-1,0))),OFFSET(E227,-1,0))</f>
        <v>1</v>
      </c>
      <c r="F227" s="696">
        <f t="shared" ca="1" si="47"/>
        <v>34</v>
      </c>
      <c r="G227" s="696">
        <f t="shared" ca="1" si="48"/>
        <v>0</v>
      </c>
      <c r="H227" s="696">
        <f t="shared" ca="1" si="49"/>
        <v>0</v>
      </c>
      <c r="I227" s="696">
        <f t="shared" ca="1" si="50"/>
        <v>2</v>
      </c>
      <c r="J227" s="696">
        <f t="shared" ca="1" si="56"/>
        <v>0</v>
      </c>
      <c r="K227" s="696">
        <f ca="1">IF(OR($C227="S",$C227=0),0,MATCH(OFFSET($D227,0,$C227)+IF($C227&lt;&gt;1,1,COUNTIF(QCI!$A$13:$A$24,ORÇAMENTO!E227)),OFFSET($D227,1,$C227,ROW($C$235)-ROW($C227)),0))</f>
        <v>0</v>
      </c>
      <c r="L227" s="114" t="str">
        <f t="shared" ca="1" si="51"/>
        <v>F</v>
      </c>
      <c r="M227" s="115" t="s">
        <v>705</v>
      </c>
      <c r="N227" s="116" t="str">
        <f t="shared" ca="1" si="52"/>
        <v>Serviço</v>
      </c>
      <c r="O227" s="117" t="str">
        <f t="shared" ca="1" si="53"/>
        <v>1.34.2.</v>
      </c>
      <c r="P227" s="118" t="s">
        <v>750</v>
      </c>
      <c r="Q227" s="119" t="s">
        <v>1201</v>
      </c>
      <c r="R227" s="120" t="str">
        <f t="array" aca="1" ref="R227" ca="1">IF($C227="S",REFERENCIA.Descricao,"(digite a descrição aqui)")</f>
        <v>LIMPEZA DE BANCADA DE PEDRA (MÁRMORE OU GRANITO). AF_04/2019</v>
      </c>
      <c r="S227" s="121" t="str">
        <f t="array" aca="1" ref="S227" ca="1">REFERENCIA.Unidade</f>
        <v>M2</v>
      </c>
      <c r="T227" s="122">
        <f ca="1">OFFSET(CÁLCULO!H$15,ROW($T227)-ROW(T$15),0)</f>
        <v>14.4</v>
      </c>
      <c r="U227" s="123">
        <f>17.85*0.94</f>
        <v>16.779</v>
      </c>
      <c r="V227" s="124" t="s">
        <v>697</v>
      </c>
      <c r="W227" s="122">
        <f t="array" aca="1" ref="W227" ca="1">IF($C227="S",ROUND(IF(TIPOORCAMENTO="Proposto",ORÇAMENTO.CustoUnitario*(1+$AH227),ORÇAMENTO.PrecoUnitarioLicitado),15-13*$AF$10),0)</f>
        <v>20.190000000000001</v>
      </c>
      <c r="X227" s="125">
        <f t="array" aca="1" ref="X227" ca="1">IF($C227="S",IF(OR(Import.TipoArredondamento&lt;&gt;"TransfereGOV",ACOMPANHAMENTO="BM"),VTOTAL1,SUM(OFFSET(CÁLCULO!$AI$15,ROW($X227)-ROW($X$15),1):OFFSET(CÁLCULO!$BB$15,ROW($X227)-ROW($X$15),-1))),IF($C227=0,0,ROUND(SomaAgrup,15-13*$AF$11)))</f>
        <v>290.72000000000003</v>
      </c>
      <c r="Y227" s="126" t="s">
        <v>751</v>
      </c>
      <c r="Z227" s="696" t="str">
        <f t="shared" ca="1" si="54"/>
        <v>RA</v>
      </c>
      <c r="AA227" s="127">
        <f t="array" aca="1" ref="AA227" ca="1">IF($C227="S",IF($Z227="CP",$X227,IF($Z227="RA",(($X227)*QCI!$AA$3),0)),SomaAgrup)</f>
        <v>0</v>
      </c>
      <c r="AB227" s="128">
        <f t="array" aca="1" ref="AB227" ca="1">IF($C227="S",IF($Z227="OU",ROUND($X227,2),0),SomaAgrup)</f>
        <v>0</v>
      </c>
      <c r="AC227" s="563" t="str">
        <f t="array" aca="1" ref="AC227" ca="1">IF($N227=""," ",
IF(AND($C227&lt;&gt;"S",OR($R227="",$R227="(digite a descrição aqui)")),"DESCRIÇÃO",
IF(AND($C227="S",OR($Q227&lt;&gt;"",$T227&gt;0,$U227&gt;0),$P227=""),"FONTE",
IF(AND($C227="S",$P227&lt;&gt;"",OR($T227&gt;0,$U227&gt;0),$Q227=""),"CÓDIGO",
IF(AND($C227="S",$P227&lt;&gt;"",$Q227&lt;&gt;"",$R227="(Código não identificado nas referências)"),"CÓDIGO N/ID",
IF(AND($C227="S",OR($R227="",$R227="(digite a descrição aqui)"),OR($Q227&lt;&gt;"",$T227&gt;0,$U227&gt;0)),"DESCRIÇÃO",
IF(AND($C227="S",$P227&lt;&gt;"",$Q227&lt;&gt;"",$S227=""),"UNIDADE",
IF(AND($C227="S",$P227&lt;&gt;"",$Q227&lt;&gt;"",$U227=0),"SEM CUSTO",
IF(AND(TIPOORCAMENTO="Licitado",$AL227=0,$AN227&gt;0),"SEM PREÇO",
IF(AND($C227="S",$P227&lt;&gt;"",$Q227&lt;&gt;"",$U227&gt;0,AND($V227&lt;&gt;"BDI 1",$V227&lt;&gt;"BDI 2",$V227&lt;&gt;"BDI 3")),IF(ISNUMBER($V227),"JUSTIFICAR BDI","BDI"),
IF(OR(AND(import.recurso="OGU",TIPOORCAMENTO="Proposto",LEFT($O$8,5)&lt;&gt;"(N/D:",$AG227&lt;&gt;"",ORÇAMENTO.CustoUnitario&gt;$AG227),AND(TIPOORCAMENTO="LICITADO",ORÇAMENTO.PrecoUnitarioLicitado&gt;$AN227)),"ACIMA REF.",
IF(AND($C227="S",$P227&lt;&gt;"",$Q227&lt;&gt;"",$T227=0,$U227&gt;0),"QUANT.",
IF(AND(Import.TipoArredondamento="TransfereGOV",$L227="F",$C227="S",LEN($Q227)&gt;13),"Código &gt;13",
IF(AND(Import.TipoArredondamento="TransfereGOV",$L227="F",$C227&lt;&gt;"S",LEN($R227)&gt;100),"Descrição &gt;100",
IF(AND(Import.TipoArredondamento="TransfereGOV",$L227="F",$C227="S",LEN($R227)&gt;500),"Descrição &gt;500",
IF(AND(Import.TipoArredondamento="TransfereGOV",$L227="F",$C227="S",LEFT(TRIM(UPPER($P227)),6)&lt;&gt;"SINAPI",ISNA(VLOOKUP(TRIM(UPPER($S227)),ListaTgov.Unidades,1,FALSE))),"Unid. Não Disp",
" "))))))))))))))))</f>
        <v xml:space="preserve"> </v>
      </c>
      <c r="AD227" s="696" t="str">
        <f ca="1">IF(C227&lt;=CRONO.NivelExibicao,MAX($AD$15:OFFSET(AD227,-1,0))+IF($C227&lt;&gt;1,1,MAX(1,COUNTIF(QCI!$A$13:$A$24,OFFSET($E227,-1,0)))),"")</f>
        <v/>
      </c>
      <c r="AE227" s="694" t="str">
        <f t="array" aca="1" ref="AE227" ca="1">IF(AND($C227="S",ORÇAMENTO.CodBarra&lt;&gt;""),IF(ORÇAMENTO.Fonte="",ORÇAMENTO.CodBarra,CONCATENATE(ORÇAMENTO.Fonte," ",ORÇAMENTO.CodBarra)))</f>
        <v>SINAPI 99819</v>
      </c>
      <c r="AF227" s="695">
        <f t="array" aca="1" ref="AF227" ca="1">IF(ISERROR(ORÇAMENTO.BancoRef),"(abra o arquivo 'Referência "&amp;Excel_BuiltIn_Database&amp;".xlsm)",IF(OR($C227&lt;&gt;"S",ORÇAMENTO.CodBarra=""),"(Sem Código)",IF(ISERROR(MATCH($AE227,INDIRECT(ORÇAMENTO.BancoRef),0)),"(Código não identificado nas referências)",MATCH($AE227,INDIRECT(ORÇAMENTO.BancoRef),0))))</f>
        <v>12764</v>
      </c>
      <c r="AG227" s="428">
        <f t="array" aca="1" ref="AG227" ca="1">ROUND(IF(DESONERACAO="sim",REFERENCIA.Desonerado,REFERENCIA.NaoDesonerado),2)</f>
        <v>17.850000000000001</v>
      </c>
      <c r="AH227" s="429">
        <f t="shared" ca="1" si="55"/>
        <v>0.2034</v>
      </c>
      <c r="AJ227" s="431"/>
      <c r="AL227" s="439"/>
      <c r="AM227" s="336">
        <f t="shared" ca="1" si="0"/>
        <v>290.72000000000003</v>
      </c>
      <c r="AN227" s="469">
        <f t="array" aca="1" ref="AN227" ca="1">ROUND(ORÇAMENTO.CustoUnitario*(1+$AH227),2)</f>
        <v>20.190000000000001</v>
      </c>
    </row>
    <row r="228" spans="1:40" s="696" customFormat="1" x14ac:dyDescent="0.2">
      <c r="A228" s="696" t="str">
        <f t="shared" si="43"/>
        <v>S</v>
      </c>
      <c r="B228" s="696">
        <f t="shared" ca="1" si="44"/>
        <v>2</v>
      </c>
      <c r="C228" s="696" t="str">
        <f t="shared" ca="1" si="45"/>
        <v>S</v>
      </c>
      <c r="D228" s="696">
        <f t="shared" ca="1" si="46"/>
        <v>0</v>
      </c>
      <c r="E228" s="696">
        <f ca="1">IF($C228=1,OFFSET(E228,-1,0)+MAX(1,COUNTIF(QCI!$A$13:$A$24,OFFSET(ORÇAMENTO!E228,-1,0))),OFFSET(E228,-1,0))</f>
        <v>1</v>
      </c>
      <c r="F228" s="696">
        <f t="shared" ca="1" si="47"/>
        <v>34</v>
      </c>
      <c r="G228" s="696">
        <f t="shared" ca="1" si="48"/>
        <v>0</v>
      </c>
      <c r="H228" s="696">
        <f t="shared" ca="1" si="49"/>
        <v>0</v>
      </c>
      <c r="I228" s="696">
        <f t="shared" ca="1" si="50"/>
        <v>3</v>
      </c>
      <c r="J228" s="696">
        <f t="shared" ca="1" si="56"/>
        <v>0</v>
      </c>
      <c r="K228" s="696">
        <f ca="1">IF(OR($C228="S",$C228=0),0,MATCH(OFFSET($D228,0,$C228)+IF($C228&lt;&gt;1,1,COUNTIF(QCI!$A$13:$A$24,ORÇAMENTO!E228)),OFFSET($D228,1,$C228,ROW($C$235)-ROW($C228)),0))</f>
        <v>0</v>
      </c>
      <c r="L228" s="114" t="str">
        <f t="shared" ca="1" si="51"/>
        <v>F</v>
      </c>
      <c r="M228" s="115" t="s">
        <v>705</v>
      </c>
      <c r="N228" s="116" t="str">
        <f t="shared" ca="1" si="52"/>
        <v>Serviço</v>
      </c>
      <c r="O228" s="117" t="str">
        <f t="shared" ca="1" si="53"/>
        <v>1.34.3.</v>
      </c>
      <c r="P228" s="118" t="s">
        <v>750</v>
      </c>
      <c r="Q228" s="119" t="s">
        <v>1202</v>
      </c>
      <c r="R228" s="120" t="str">
        <f t="array" aca="1" ref="R228" ca="1">IF($C228="S",REFERENCIA.Descricao,"(digite a descrição aqui)")</f>
        <v>LIMPEZA DE CONTRAPISO COM VASSOURA A SECO. AF_04/2019</v>
      </c>
      <c r="S228" s="121" t="str">
        <f t="array" aca="1" ref="S228" ca="1">REFERENCIA.Unidade</f>
        <v>M2</v>
      </c>
      <c r="T228" s="122">
        <f ca="1">OFFSET(CÁLCULO!H$15,ROW($T228)-ROW(T$15),0)</f>
        <v>323</v>
      </c>
      <c r="U228" s="123">
        <f>3.73*0.94</f>
        <v>3.5061999999999998</v>
      </c>
      <c r="V228" s="124" t="s">
        <v>697</v>
      </c>
      <c r="W228" s="122">
        <f t="array" aca="1" ref="W228" ca="1">IF($C228="S",ROUND(IF(TIPOORCAMENTO="Proposto",ORÇAMENTO.CustoUnitario*(1+$AH228),ORÇAMENTO.PrecoUnitarioLicitado),15-13*$AF$10),0)</f>
        <v>4.22</v>
      </c>
      <c r="X228" s="125">
        <f t="array" aca="1" ref="X228" ca="1">IF($C228="S",IF(OR(Import.TipoArredondamento&lt;&gt;"TransfereGOV",ACOMPANHAMENTO="BM"),VTOTAL1,SUM(OFFSET(CÁLCULO!$AI$15,ROW($X228)-ROW($X$15),1):OFFSET(CÁLCULO!$BB$15,ROW($X228)-ROW($X$15),-1))),IF($C228=0,0,ROUND(SomaAgrup,15-13*$AF$11)))</f>
        <v>1363.08</v>
      </c>
      <c r="Y228" s="126" t="s">
        <v>751</v>
      </c>
      <c r="Z228" s="696" t="str">
        <f t="shared" ca="1" si="54"/>
        <v>RA</v>
      </c>
      <c r="AA228" s="127">
        <f t="array" aca="1" ref="AA228" ca="1">IF($C228="S",IF($Z228="CP",$X228,IF($Z228="RA",(($X228)*QCI!$AA$3),0)),SomaAgrup)</f>
        <v>0</v>
      </c>
      <c r="AB228" s="128">
        <f t="array" aca="1" ref="AB228" ca="1">IF($C228="S",IF($Z228="OU",ROUND($X228,2),0),SomaAgrup)</f>
        <v>0</v>
      </c>
      <c r="AC228" s="563" t="str">
        <f t="array" aca="1" ref="AC228" ca="1">IF($N228=""," ",
IF(AND($C228&lt;&gt;"S",OR($R228="",$R228="(digite a descrição aqui)")),"DESCRIÇÃO",
IF(AND($C228="S",OR($Q228&lt;&gt;"",$T228&gt;0,$U228&gt;0),$P228=""),"FONTE",
IF(AND($C228="S",$P228&lt;&gt;"",OR($T228&gt;0,$U228&gt;0),$Q228=""),"CÓDIGO",
IF(AND($C228="S",$P228&lt;&gt;"",$Q228&lt;&gt;"",$R228="(Código não identificado nas referências)"),"CÓDIGO N/ID",
IF(AND($C228="S",OR($R228="",$R228="(digite a descrição aqui)"),OR($Q228&lt;&gt;"",$T228&gt;0,$U228&gt;0)),"DESCRIÇÃO",
IF(AND($C228="S",$P228&lt;&gt;"",$Q228&lt;&gt;"",$S228=""),"UNIDADE",
IF(AND($C228="S",$P228&lt;&gt;"",$Q228&lt;&gt;"",$U228=0),"SEM CUSTO",
IF(AND(TIPOORCAMENTO="Licitado",$AL228=0,$AN228&gt;0),"SEM PREÇO",
IF(AND($C228="S",$P228&lt;&gt;"",$Q228&lt;&gt;"",$U228&gt;0,AND($V228&lt;&gt;"BDI 1",$V228&lt;&gt;"BDI 2",$V228&lt;&gt;"BDI 3")),IF(ISNUMBER($V228),"JUSTIFICAR BDI","BDI"),
IF(OR(AND(import.recurso="OGU",TIPOORCAMENTO="Proposto",LEFT($O$8,5)&lt;&gt;"(N/D:",$AG228&lt;&gt;"",ORÇAMENTO.CustoUnitario&gt;$AG228),AND(TIPOORCAMENTO="LICITADO",ORÇAMENTO.PrecoUnitarioLicitado&gt;$AN228)),"ACIMA REF.",
IF(AND($C228="S",$P228&lt;&gt;"",$Q228&lt;&gt;"",$T228=0,$U228&gt;0),"QUANT.",
IF(AND(Import.TipoArredondamento="TransfereGOV",$L228="F",$C228="S",LEN($Q228)&gt;13),"Código &gt;13",
IF(AND(Import.TipoArredondamento="TransfereGOV",$L228="F",$C228&lt;&gt;"S",LEN($R228)&gt;100),"Descrição &gt;100",
IF(AND(Import.TipoArredondamento="TransfereGOV",$L228="F",$C228="S",LEN($R228)&gt;500),"Descrição &gt;500",
IF(AND(Import.TipoArredondamento="TransfereGOV",$L228="F",$C228="S",LEFT(TRIM(UPPER($P228)),6)&lt;&gt;"SINAPI",ISNA(VLOOKUP(TRIM(UPPER($S228)),ListaTgov.Unidades,1,FALSE))),"Unid. Não Disp",
" "))))))))))))))))</f>
        <v xml:space="preserve"> </v>
      </c>
      <c r="AD228" s="696" t="str">
        <f ca="1">IF(C228&lt;=CRONO.NivelExibicao,MAX($AD$15:OFFSET(AD228,-1,0))+IF($C228&lt;&gt;1,1,MAX(1,COUNTIF(QCI!$A$13:$A$24,OFFSET($E228,-1,0)))),"")</f>
        <v/>
      </c>
      <c r="AE228" s="694" t="str">
        <f t="array" aca="1" ref="AE228" ca="1">IF(AND($C228="S",ORÇAMENTO.CodBarra&lt;&gt;""),IF(ORÇAMENTO.Fonte="",ORÇAMENTO.CodBarra,CONCATENATE(ORÇAMENTO.Fonte," ",ORÇAMENTO.CodBarra)))</f>
        <v>SINAPI 99811</v>
      </c>
      <c r="AF228" s="695">
        <f t="array" aca="1" ref="AF228" ca="1">IF(ISERROR(ORÇAMENTO.BancoRef),"(abra o arquivo 'Referência "&amp;Excel_BuiltIn_Database&amp;".xlsm)",IF(OR($C228&lt;&gt;"S",ORÇAMENTO.CodBarra=""),"(Sem Código)",IF(ISERROR(MATCH($AE228,INDIRECT(ORÇAMENTO.BancoRef),0)),"(Código não identificado nas referências)",MATCH($AE228,INDIRECT(ORÇAMENTO.BancoRef),0))))</f>
        <v>12765</v>
      </c>
      <c r="AG228" s="428">
        <f t="array" aca="1" ref="AG228" ca="1">ROUND(IF(DESONERACAO="sim",REFERENCIA.Desonerado,REFERENCIA.NaoDesonerado),2)</f>
        <v>3.73</v>
      </c>
      <c r="AH228" s="429">
        <f t="shared" ca="1" si="55"/>
        <v>0.2034</v>
      </c>
      <c r="AJ228" s="431"/>
      <c r="AL228" s="439"/>
      <c r="AM228" s="336">
        <f t="shared" ca="1" si="0"/>
        <v>1363.08</v>
      </c>
      <c r="AN228" s="469">
        <f t="array" aca="1" ref="AN228" ca="1">ROUND(ORÇAMENTO.CustoUnitario*(1+$AH228),2)</f>
        <v>4.22</v>
      </c>
    </row>
    <row r="229" spans="1:40" s="696" customFormat="1" x14ac:dyDescent="0.2">
      <c r="A229" s="696" t="str">
        <f t="shared" si="43"/>
        <v>S</v>
      </c>
      <c r="B229" s="696">
        <f t="shared" ca="1" si="44"/>
        <v>2</v>
      </c>
      <c r="C229" s="696" t="str">
        <f t="shared" ca="1" si="45"/>
        <v>S</v>
      </c>
      <c r="D229" s="696">
        <f t="shared" ca="1" si="46"/>
        <v>0</v>
      </c>
      <c r="E229" s="696">
        <f ca="1">IF($C229=1,OFFSET(E229,-1,0)+MAX(1,COUNTIF(QCI!$A$13:$A$24,OFFSET(ORÇAMENTO!E229,-1,0))),OFFSET(E229,-1,0))</f>
        <v>1</v>
      </c>
      <c r="F229" s="696">
        <f t="shared" ca="1" si="47"/>
        <v>34</v>
      </c>
      <c r="G229" s="696">
        <f t="shared" ca="1" si="48"/>
        <v>0</v>
      </c>
      <c r="H229" s="696">
        <f t="shared" ca="1" si="49"/>
        <v>0</v>
      </c>
      <c r="I229" s="696">
        <f t="shared" ca="1" si="50"/>
        <v>4</v>
      </c>
      <c r="J229" s="696">
        <f t="shared" ca="1" si="56"/>
        <v>0</v>
      </c>
      <c r="K229" s="696">
        <f ca="1">IF(OR($C229="S",$C229=0),0,MATCH(OFFSET($D229,0,$C229)+IF($C229&lt;&gt;1,1,COUNTIF(QCI!$A$13:$A$24,ORÇAMENTO!E229)),OFFSET($D229,1,$C229,ROW($C$235)-ROW($C229)),0))</f>
        <v>0</v>
      </c>
      <c r="L229" s="114" t="str">
        <f t="shared" ca="1" si="51"/>
        <v>F</v>
      </c>
      <c r="M229" s="115" t="s">
        <v>705</v>
      </c>
      <c r="N229" s="116" t="str">
        <f t="shared" ca="1" si="52"/>
        <v>Serviço</v>
      </c>
      <c r="O229" s="117" t="str">
        <f t="shared" ca="1" si="53"/>
        <v>1.34.4.</v>
      </c>
      <c r="P229" s="118" t="s">
        <v>750</v>
      </c>
      <c r="Q229" s="119" t="s">
        <v>1203</v>
      </c>
      <c r="R229" s="120" t="str">
        <f t="array" aca="1" ref="R229" ca="1">IF($C229="S",REFERENCIA.Descricao,"(digite a descrição aqui)")</f>
        <v>LIMPEZA DE FORRO REMOVÍVEL COM PANO ÚMIDO. AF_04/2019</v>
      </c>
      <c r="S229" s="121" t="str">
        <f t="array" aca="1" ref="S229" ca="1">REFERENCIA.Unidade</f>
        <v>M2</v>
      </c>
      <c r="T229" s="122">
        <f ca="1">OFFSET(CÁLCULO!H$15,ROW($T229)-ROW(T$15),0)</f>
        <v>518</v>
      </c>
      <c r="U229" s="123">
        <f>1.63*0.94</f>
        <v>1.5321999999999998</v>
      </c>
      <c r="V229" s="124" t="s">
        <v>697</v>
      </c>
      <c r="W229" s="122">
        <f t="array" aca="1" ref="W229" ca="1">IF($C229="S",ROUND(IF(TIPOORCAMENTO="Proposto",ORÇAMENTO.CustoUnitario*(1+$AH229),ORÇAMENTO.PrecoUnitarioLicitado),15-13*$AF$10),0)</f>
        <v>1.84</v>
      </c>
      <c r="X229" s="125">
        <f t="array" aca="1" ref="X229" ca="1">IF($C229="S",IF(OR(Import.TipoArredondamento&lt;&gt;"TransfereGOV",ACOMPANHAMENTO="BM"),VTOTAL1,SUM(OFFSET(CÁLCULO!$AI$15,ROW($X229)-ROW($X$15),1):OFFSET(CÁLCULO!$BB$15,ROW($X229)-ROW($X$15),-1))),IF($C229=0,0,ROUND(SomaAgrup,15-13*$AF$11)))</f>
        <v>953.12</v>
      </c>
      <c r="Y229" s="126" t="s">
        <v>751</v>
      </c>
      <c r="Z229" s="696" t="str">
        <f t="shared" ca="1" si="54"/>
        <v>RA</v>
      </c>
      <c r="AA229" s="127">
        <f t="array" aca="1" ref="AA229" ca="1">IF($C229="S",IF($Z229="CP",$X229,IF($Z229="RA",(($X229)*QCI!$AA$3),0)),SomaAgrup)</f>
        <v>0</v>
      </c>
      <c r="AB229" s="128">
        <f t="array" aca="1" ref="AB229" ca="1">IF($C229="S",IF($Z229="OU",ROUND($X229,2),0),SomaAgrup)</f>
        <v>0</v>
      </c>
      <c r="AC229" s="563" t="str">
        <f t="array" aca="1" ref="AC229" ca="1">IF($N229=""," ",
IF(AND($C229&lt;&gt;"S",OR($R229="",$R229="(digite a descrição aqui)")),"DESCRIÇÃO",
IF(AND($C229="S",OR($Q229&lt;&gt;"",$T229&gt;0,$U229&gt;0),$P229=""),"FONTE",
IF(AND($C229="S",$P229&lt;&gt;"",OR($T229&gt;0,$U229&gt;0),$Q229=""),"CÓDIGO",
IF(AND($C229="S",$P229&lt;&gt;"",$Q229&lt;&gt;"",$R229="(Código não identificado nas referências)"),"CÓDIGO N/ID",
IF(AND($C229="S",OR($R229="",$R229="(digite a descrição aqui)"),OR($Q229&lt;&gt;"",$T229&gt;0,$U229&gt;0)),"DESCRIÇÃO",
IF(AND($C229="S",$P229&lt;&gt;"",$Q229&lt;&gt;"",$S229=""),"UNIDADE",
IF(AND($C229="S",$P229&lt;&gt;"",$Q229&lt;&gt;"",$U229=0),"SEM CUSTO",
IF(AND(TIPOORCAMENTO="Licitado",$AL229=0,$AN229&gt;0),"SEM PREÇO",
IF(AND($C229="S",$P229&lt;&gt;"",$Q229&lt;&gt;"",$U229&gt;0,AND($V229&lt;&gt;"BDI 1",$V229&lt;&gt;"BDI 2",$V229&lt;&gt;"BDI 3")),IF(ISNUMBER($V229),"JUSTIFICAR BDI","BDI"),
IF(OR(AND(import.recurso="OGU",TIPOORCAMENTO="Proposto",LEFT($O$8,5)&lt;&gt;"(N/D:",$AG229&lt;&gt;"",ORÇAMENTO.CustoUnitario&gt;$AG229),AND(TIPOORCAMENTO="LICITADO",ORÇAMENTO.PrecoUnitarioLicitado&gt;$AN229)),"ACIMA REF.",
IF(AND($C229="S",$P229&lt;&gt;"",$Q229&lt;&gt;"",$T229=0,$U229&gt;0),"QUANT.",
IF(AND(Import.TipoArredondamento="TransfereGOV",$L229="F",$C229="S",LEN($Q229)&gt;13),"Código &gt;13",
IF(AND(Import.TipoArredondamento="TransfereGOV",$L229="F",$C229&lt;&gt;"S",LEN($R229)&gt;100),"Descrição &gt;100",
IF(AND(Import.TipoArredondamento="TransfereGOV",$L229="F",$C229="S",LEN($R229)&gt;500),"Descrição &gt;500",
IF(AND(Import.TipoArredondamento="TransfereGOV",$L229="F",$C229="S",LEFT(TRIM(UPPER($P229)),6)&lt;&gt;"SINAPI",ISNA(VLOOKUP(TRIM(UPPER($S229)),ListaTgov.Unidades,1,FALSE))),"Unid. Não Disp",
" "))))))))))))))))</f>
        <v xml:space="preserve"> </v>
      </c>
      <c r="AD229" s="696" t="str">
        <f ca="1">IF(C229&lt;=CRONO.NivelExibicao,MAX($AD$15:OFFSET(AD229,-1,0))+IF($C229&lt;&gt;1,1,MAX(1,COUNTIF(QCI!$A$13:$A$24,OFFSET($E229,-1,0)))),"")</f>
        <v/>
      </c>
      <c r="AE229" s="694" t="str">
        <f t="array" aca="1" ref="AE229" ca="1">IF(AND($C229="S",ORÇAMENTO.CodBarra&lt;&gt;""),IF(ORÇAMENTO.Fonte="",ORÇAMENTO.CodBarra,CONCATENATE(ORÇAMENTO.Fonte," ",ORÇAMENTO.CodBarra)))</f>
        <v>SINAPI 99826</v>
      </c>
      <c r="AF229" s="695">
        <f t="array" aca="1" ref="AF229" ca="1">IF(ISERROR(ORÇAMENTO.BancoRef),"(abra o arquivo 'Referência "&amp;Excel_BuiltIn_Database&amp;".xlsm)",IF(OR($C229&lt;&gt;"S",ORÇAMENTO.CodBarra=""),"(Sem Código)",IF(ISERROR(MATCH($AE229,INDIRECT(ORÇAMENTO.BancoRef),0)),"(Código não identificado nas referências)",MATCH($AE229,INDIRECT(ORÇAMENTO.BancoRef),0))))</f>
        <v>12766</v>
      </c>
      <c r="AG229" s="428">
        <f t="array" aca="1" ref="AG229" ca="1">ROUND(IF(DESONERACAO="sim",REFERENCIA.Desonerado,REFERENCIA.NaoDesonerado),2)</f>
        <v>1.63</v>
      </c>
      <c r="AH229" s="429">
        <f t="shared" ca="1" si="55"/>
        <v>0.2034</v>
      </c>
      <c r="AJ229" s="431"/>
      <c r="AL229" s="439"/>
      <c r="AM229" s="336">
        <f t="shared" ca="1" si="0"/>
        <v>953.12</v>
      </c>
      <c r="AN229" s="469">
        <f t="array" aca="1" ref="AN229" ca="1">ROUND(ORÇAMENTO.CustoUnitario*(1+$AH229),2)</f>
        <v>1.84</v>
      </c>
    </row>
    <row r="230" spans="1:40" s="696" customFormat="1" ht="25.5" x14ac:dyDescent="0.2">
      <c r="A230" s="696" t="str">
        <f t="shared" si="43"/>
        <v>S</v>
      </c>
      <c r="B230" s="696">
        <f t="shared" ca="1" si="44"/>
        <v>2</v>
      </c>
      <c r="C230" s="696" t="str">
        <f t="shared" ca="1" si="45"/>
        <v>S</v>
      </c>
      <c r="D230" s="696">
        <f t="shared" ca="1" si="46"/>
        <v>0</v>
      </c>
      <c r="E230" s="696">
        <f ca="1">IF($C230=1,OFFSET(E230,-1,0)+MAX(1,COUNTIF(QCI!$A$13:$A$24,OFFSET(ORÇAMENTO!E230,-1,0))),OFFSET(E230,-1,0))</f>
        <v>1</v>
      </c>
      <c r="F230" s="696">
        <f t="shared" ca="1" si="47"/>
        <v>34</v>
      </c>
      <c r="G230" s="696">
        <f t="shared" ca="1" si="48"/>
        <v>0</v>
      </c>
      <c r="H230" s="696">
        <f t="shared" ca="1" si="49"/>
        <v>0</v>
      </c>
      <c r="I230" s="696">
        <f t="shared" ca="1" si="50"/>
        <v>5</v>
      </c>
      <c r="J230" s="696">
        <f t="shared" ca="1" si="56"/>
        <v>0</v>
      </c>
      <c r="K230" s="696">
        <f ca="1">IF(OR($C230="S",$C230=0),0,MATCH(OFFSET($D230,0,$C230)+IF($C230&lt;&gt;1,1,COUNTIF(QCI!$A$13:$A$24,ORÇAMENTO!E230)),OFFSET($D230,1,$C230,ROW($C$235)-ROW($C230)),0))</f>
        <v>0</v>
      </c>
      <c r="L230" s="114" t="str">
        <f t="shared" ca="1" si="51"/>
        <v>F</v>
      </c>
      <c r="M230" s="115" t="s">
        <v>705</v>
      </c>
      <c r="N230" s="116" t="str">
        <f t="shared" ca="1" si="52"/>
        <v>Serviço</v>
      </c>
      <c r="O230" s="117" t="str">
        <f t="shared" ca="1" si="53"/>
        <v>1.34.5.</v>
      </c>
      <c r="P230" s="118" t="s">
        <v>750</v>
      </c>
      <c r="Q230" s="119" t="s">
        <v>1204</v>
      </c>
      <c r="R230" s="120" t="str">
        <f t="array" aca="1" ref="R230" ca="1">IF($C230="S",REFERENCIA.Descricao,"(digite a descrição aqui)")</f>
        <v>LIMPEZA DE JANELA DE VIDRO COM CAIXILHO EM AÇO/ALUMÍNIO/PVC. AF_04/2019</v>
      </c>
      <c r="S230" s="121" t="str">
        <f t="array" aca="1" ref="S230" ca="1">REFERENCIA.Unidade</f>
        <v>M2</v>
      </c>
      <c r="T230" s="122">
        <f ca="1">OFFSET(CÁLCULO!H$15,ROW($T230)-ROW(T$15),0)</f>
        <v>80</v>
      </c>
      <c r="U230" s="123">
        <f>3.55*0.94</f>
        <v>3.3369999999999997</v>
      </c>
      <c r="V230" s="124" t="s">
        <v>697</v>
      </c>
      <c r="W230" s="122">
        <f t="array" aca="1" ref="W230" ca="1">IF($C230="S",ROUND(IF(TIPOORCAMENTO="Proposto",ORÇAMENTO.CustoUnitario*(1+$AH230),ORÇAMENTO.PrecoUnitarioLicitado),15-13*$AF$10),0)</f>
        <v>4.0199999999999996</v>
      </c>
      <c r="X230" s="125">
        <f t="array" aca="1" ref="X230" ca="1">IF($C230="S",IF(OR(Import.TipoArredondamento&lt;&gt;"TransfereGOV",ACOMPANHAMENTO="BM"),VTOTAL1,SUM(OFFSET(CÁLCULO!$AI$15,ROW($X230)-ROW($X$15),1):OFFSET(CÁLCULO!$BB$15,ROW($X230)-ROW($X$15),-1))),IF($C230=0,0,ROUND(SomaAgrup,15-13*$AF$11)))</f>
        <v>321.60000000000002</v>
      </c>
      <c r="Y230" s="126" t="s">
        <v>751</v>
      </c>
      <c r="Z230" s="696" t="str">
        <f t="shared" ca="1" si="54"/>
        <v>RA</v>
      </c>
      <c r="AA230" s="127">
        <f t="array" aca="1" ref="AA230" ca="1">IF($C230="S",IF($Z230="CP",$X230,IF($Z230="RA",(($X230)*QCI!$AA$3),0)),SomaAgrup)</f>
        <v>0</v>
      </c>
      <c r="AB230" s="128">
        <f t="array" aca="1" ref="AB230" ca="1">IF($C230="S",IF($Z230="OU",ROUND($X230,2),0),SomaAgrup)</f>
        <v>0</v>
      </c>
      <c r="AC230" s="563" t="str">
        <f t="array" aca="1" ref="AC230" ca="1">IF($N230=""," ",
IF(AND($C230&lt;&gt;"S",OR($R230="",$R230="(digite a descrição aqui)")),"DESCRIÇÃO",
IF(AND($C230="S",OR($Q230&lt;&gt;"",$T230&gt;0,$U230&gt;0),$P230=""),"FONTE",
IF(AND($C230="S",$P230&lt;&gt;"",OR($T230&gt;0,$U230&gt;0),$Q230=""),"CÓDIGO",
IF(AND($C230="S",$P230&lt;&gt;"",$Q230&lt;&gt;"",$R230="(Código não identificado nas referências)"),"CÓDIGO N/ID",
IF(AND($C230="S",OR($R230="",$R230="(digite a descrição aqui)"),OR($Q230&lt;&gt;"",$T230&gt;0,$U230&gt;0)),"DESCRIÇÃO",
IF(AND($C230="S",$P230&lt;&gt;"",$Q230&lt;&gt;"",$S230=""),"UNIDADE",
IF(AND($C230="S",$P230&lt;&gt;"",$Q230&lt;&gt;"",$U230=0),"SEM CUSTO",
IF(AND(TIPOORCAMENTO="Licitado",$AL230=0,$AN230&gt;0),"SEM PREÇO",
IF(AND($C230="S",$P230&lt;&gt;"",$Q230&lt;&gt;"",$U230&gt;0,AND($V230&lt;&gt;"BDI 1",$V230&lt;&gt;"BDI 2",$V230&lt;&gt;"BDI 3")),IF(ISNUMBER($V230),"JUSTIFICAR BDI","BDI"),
IF(OR(AND(import.recurso="OGU",TIPOORCAMENTO="Proposto",LEFT($O$8,5)&lt;&gt;"(N/D:",$AG230&lt;&gt;"",ORÇAMENTO.CustoUnitario&gt;$AG230),AND(TIPOORCAMENTO="LICITADO",ORÇAMENTO.PrecoUnitarioLicitado&gt;$AN230)),"ACIMA REF.",
IF(AND($C230="S",$P230&lt;&gt;"",$Q230&lt;&gt;"",$T230=0,$U230&gt;0),"QUANT.",
IF(AND(Import.TipoArredondamento="TransfereGOV",$L230="F",$C230="S",LEN($Q230)&gt;13),"Código &gt;13",
IF(AND(Import.TipoArredondamento="TransfereGOV",$L230="F",$C230&lt;&gt;"S",LEN($R230)&gt;100),"Descrição &gt;100",
IF(AND(Import.TipoArredondamento="TransfereGOV",$L230="F",$C230="S",LEN($R230)&gt;500),"Descrição &gt;500",
IF(AND(Import.TipoArredondamento="TransfereGOV",$L230="F",$C230="S",LEFT(TRIM(UPPER($P230)),6)&lt;&gt;"SINAPI",ISNA(VLOOKUP(TRIM(UPPER($S230)),ListaTgov.Unidades,1,FALSE))),"Unid. Não Disp",
" "))))))))))))))))</f>
        <v xml:space="preserve"> </v>
      </c>
      <c r="AD230" s="696" t="str">
        <f ca="1">IF(C230&lt;=CRONO.NivelExibicao,MAX($AD$15:OFFSET(AD230,-1,0))+IF($C230&lt;&gt;1,1,MAX(1,COUNTIF(QCI!$A$13:$A$24,OFFSET($E230,-1,0)))),"")</f>
        <v/>
      </c>
      <c r="AE230" s="694" t="str">
        <f t="array" aca="1" ref="AE230" ca="1">IF(AND($C230="S",ORÇAMENTO.CodBarra&lt;&gt;""),IF(ORÇAMENTO.Fonte="",ORÇAMENTO.CodBarra,CONCATENATE(ORÇAMENTO.Fonte," ",ORÇAMENTO.CodBarra)))</f>
        <v>SINAPI 99821</v>
      </c>
      <c r="AF230" s="695">
        <f t="array" aca="1" ref="AF230" ca="1">IF(ISERROR(ORÇAMENTO.BancoRef),"(abra o arquivo 'Referência "&amp;Excel_BuiltIn_Database&amp;".xlsm)",IF(OR($C230&lt;&gt;"S",ORÇAMENTO.CodBarra=""),"(Sem Código)",IF(ISERROR(MATCH($AE230,INDIRECT(ORÇAMENTO.BancoRef),0)),"(Código não identificado nas referências)",MATCH($AE230,INDIRECT(ORÇAMENTO.BancoRef),0))))</f>
        <v>12767</v>
      </c>
      <c r="AG230" s="428">
        <f t="array" aca="1" ref="AG230" ca="1">ROUND(IF(DESONERACAO="sim",REFERENCIA.Desonerado,REFERENCIA.NaoDesonerado),2)</f>
        <v>3.55</v>
      </c>
      <c r="AH230" s="429">
        <f t="shared" ca="1" si="55"/>
        <v>0.2034</v>
      </c>
      <c r="AJ230" s="431"/>
      <c r="AL230" s="439"/>
      <c r="AM230" s="336">
        <f t="shared" ca="1" si="0"/>
        <v>321.60000000000002</v>
      </c>
      <c r="AN230" s="469">
        <f t="array" aca="1" ref="AN230" ca="1">ROUND(ORÇAMENTO.CustoUnitario*(1+$AH230),2)</f>
        <v>4.0199999999999996</v>
      </c>
    </row>
    <row r="231" spans="1:40" s="696" customFormat="1" ht="25.5" x14ac:dyDescent="0.2">
      <c r="A231" s="696" t="str">
        <f t="shared" si="43"/>
        <v>S</v>
      </c>
      <c r="B231" s="696">
        <f t="shared" ca="1" si="44"/>
        <v>2</v>
      </c>
      <c r="C231" s="696" t="str">
        <f t="shared" ca="1" si="45"/>
        <v>S</v>
      </c>
      <c r="D231" s="696">
        <f t="shared" ca="1" si="46"/>
        <v>0</v>
      </c>
      <c r="E231" s="696">
        <f ca="1">IF($C231=1,OFFSET(E231,-1,0)+MAX(1,COUNTIF(QCI!$A$13:$A$24,OFFSET(ORÇAMENTO!E231,-1,0))),OFFSET(E231,-1,0))</f>
        <v>1</v>
      </c>
      <c r="F231" s="696">
        <f t="shared" ca="1" si="47"/>
        <v>34</v>
      </c>
      <c r="G231" s="696">
        <f t="shared" ca="1" si="48"/>
        <v>0</v>
      </c>
      <c r="H231" s="696">
        <f t="shared" ca="1" si="49"/>
        <v>0</v>
      </c>
      <c r="I231" s="696">
        <f t="shared" ca="1" si="50"/>
        <v>6</v>
      </c>
      <c r="J231" s="696">
        <f t="shared" ca="1" si="56"/>
        <v>0</v>
      </c>
      <c r="K231" s="696">
        <f ca="1">IF(OR($C231="S",$C231=0),0,MATCH(OFFSET($D231,0,$C231)+IF($C231&lt;&gt;1,1,COUNTIF(QCI!$A$13:$A$24,ORÇAMENTO!E231)),OFFSET($D231,1,$C231,ROW($C$235)-ROW($C231)),0))</f>
        <v>0</v>
      </c>
      <c r="L231" s="114" t="str">
        <f t="shared" ca="1" si="51"/>
        <v>F</v>
      </c>
      <c r="M231" s="115" t="s">
        <v>705</v>
      </c>
      <c r="N231" s="116" t="str">
        <f t="shared" ca="1" si="52"/>
        <v>Serviço</v>
      </c>
      <c r="O231" s="117" t="str">
        <f t="shared" ca="1" si="53"/>
        <v>1.34.6.</v>
      </c>
      <c r="P231" s="118" t="s">
        <v>750</v>
      </c>
      <c r="Q231" s="119" t="s">
        <v>1205</v>
      </c>
      <c r="R231" s="120" t="str">
        <f t="array" aca="1" ref="R231" ca="1">IF($C231="S",REFERENCIA.Descricao,"(digite a descrição aqui)")</f>
        <v>LIMPEZA DE PISO CERÂMICO OU PORCELANATO UTILIZANDO DETERGENTE NEUTRO E ESCOVAÇÃO MANUAL. AF_04/2019</v>
      </c>
      <c r="S231" s="121" t="str">
        <f t="array" aca="1" ref="S231" ca="1">REFERENCIA.Unidade</f>
        <v>M2</v>
      </c>
      <c r="T231" s="122">
        <f ca="1">OFFSET(CÁLCULO!H$15,ROW($T231)-ROW(T$15),0)</f>
        <v>949.2</v>
      </c>
      <c r="U231" s="123">
        <f>5.71*0.94</f>
        <v>5.3673999999999999</v>
      </c>
      <c r="V231" s="124" t="s">
        <v>697</v>
      </c>
      <c r="W231" s="122">
        <f t="array" aca="1" ref="W231" ca="1">IF($C231="S",ROUND(IF(TIPOORCAMENTO="Proposto",ORÇAMENTO.CustoUnitario*(1+$AH231),ORÇAMENTO.PrecoUnitarioLicitado),15-13*$AF$10),0)</f>
        <v>6.46</v>
      </c>
      <c r="X231" s="125">
        <f t="array" aca="1" ref="X231" ca="1">IF($C231="S",IF(OR(Import.TipoArredondamento&lt;&gt;"TransfereGOV",ACOMPANHAMENTO="BM"),VTOTAL1,SUM(OFFSET(CÁLCULO!$AI$15,ROW($X231)-ROW($X$15),1):OFFSET(CÁLCULO!$BB$15,ROW($X231)-ROW($X$15),-1))),IF($C231=0,0,ROUND(SomaAgrup,15-13*$AF$11)))</f>
        <v>6131.84</v>
      </c>
      <c r="Y231" s="126" t="s">
        <v>751</v>
      </c>
      <c r="Z231" s="696" t="str">
        <f t="shared" ca="1" si="54"/>
        <v>RA</v>
      </c>
      <c r="AA231" s="127">
        <f t="array" aca="1" ref="AA231" ca="1">IF($C231="S",IF($Z231="CP",$X231,IF($Z231="RA",(($X231)*QCI!$AA$3),0)),SomaAgrup)</f>
        <v>0</v>
      </c>
      <c r="AB231" s="128">
        <f t="array" aca="1" ref="AB231" ca="1">IF($C231="S",IF($Z231="OU",ROUND($X231,2),0),SomaAgrup)</f>
        <v>0</v>
      </c>
      <c r="AC231" s="563" t="str">
        <f t="array" aca="1" ref="AC231" ca="1">IF($N231=""," ",
IF(AND($C231&lt;&gt;"S",OR($R231="",$R231="(digite a descrição aqui)")),"DESCRIÇÃO",
IF(AND($C231="S",OR($Q231&lt;&gt;"",$T231&gt;0,$U231&gt;0),$P231=""),"FONTE",
IF(AND($C231="S",$P231&lt;&gt;"",OR($T231&gt;0,$U231&gt;0),$Q231=""),"CÓDIGO",
IF(AND($C231="S",$P231&lt;&gt;"",$Q231&lt;&gt;"",$R231="(Código não identificado nas referências)"),"CÓDIGO N/ID",
IF(AND($C231="S",OR($R231="",$R231="(digite a descrição aqui)"),OR($Q231&lt;&gt;"",$T231&gt;0,$U231&gt;0)),"DESCRIÇÃO",
IF(AND($C231="S",$P231&lt;&gt;"",$Q231&lt;&gt;"",$S231=""),"UNIDADE",
IF(AND($C231="S",$P231&lt;&gt;"",$Q231&lt;&gt;"",$U231=0),"SEM CUSTO",
IF(AND(TIPOORCAMENTO="Licitado",$AL231=0,$AN231&gt;0),"SEM PREÇO",
IF(AND($C231="S",$P231&lt;&gt;"",$Q231&lt;&gt;"",$U231&gt;0,AND($V231&lt;&gt;"BDI 1",$V231&lt;&gt;"BDI 2",$V231&lt;&gt;"BDI 3")),IF(ISNUMBER($V231),"JUSTIFICAR BDI","BDI"),
IF(OR(AND(import.recurso="OGU",TIPOORCAMENTO="Proposto",LEFT($O$8,5)&lt;&gt;"(N/D:",$AG231&lt;&gt;"",ORÇAMENTO.CustoUnitario&gt;$AG231),AND(TIPOORCAMENTO="LICITADO",ORÇAMENTO.PrecoUnitarioLicitado&gt;$AN231)),"ACIMA REF.",
IF(AND($C231="S",$P231&lt;&gt;"",$Q231&lt;&gt;"",$T231=0,$U231&gt;0),"QUANT.",
IF(AND(Import.TipoArredondamento="TransfereGOV",$L231="F",$C231="S",LEN($Q231)&gt;13),"Código &gt;13",
IF(AND(Import.TipoArredondamento="TransfereGOV",$L231="F",$C231&lt;&gt;"S",LEN($R231)&gt;100),"Descrição &gt;100",
IF(AND(Import.TipoArredondamento="TransfereGOV",$L231="F",$C231="S",LEN($R231)&gt;500),"Descrição &gt;500",
IF(AND(Import.TipoArredondamento="TransfereGOV",$L231="F",$C231="S",LEFT(TRIM(UPPER($P231)),6)&lt;&gt;"SINAPI",ISNA(VLOOKUP(TRIM(UPPER($S231)),ListaTgov.Unidades,1,FALSE))),"Unid. Não Disp",
" "))))))))))))))))</f>
        <v xml:space="preserve"> </v>
      </c>
      <c r="AD231" s="696" t="str">
        <f ca="1">IF(C231&lt;=CRONO.NivelExibicao,MAX($AD$15:OFFSET(AD231,-1,0))+IF($C231&lt;&gt;1,1,MAX(1,COUNTIF(QCI!$A$13:$A$24,OFFSET($E231,-1,0)))),"")</f>
        <v/>
      </c>
      <c r="AE231" s="694" t="str">
        <f t="array" aca="1" ref="AE231" ca="1">IF(AND($C231="S",ORÇAMENTO.CodBarra&lt;&gt;""),IF(ORÇAMENTO.Fonte="",ORÇAMENTO.CodBarra,CONCATENATE(ORÇAMENTO.Fonte," ",ORÇAMENTO.CodBarra)))</f>
        <v>SINAPI 99804</v>
      </c>
      <c r="AF231" s="695">
        <f t="array" aca="1" ref="AF231" ca="1">IF(ISERROR(ORÇAMENTO.BancoRef),"(abra o arquivo 'Referência "&amp;Excel_BuiltIn_Database&amp;".xlsm)",IF(OR($C231&lt;&gt;"S",ORÇAMENTO.CodBarra=""),"(Sem Código)",IF(ISERROR(MATCH($AE231,INDIRECT(ORÇAMENTO.BancoRef),0)),"(Código não identificado nas referências)",MATCH($AE231,INDIRECT(ORÇAMENTO.BancoRef),0))))</f>
        <v>12776</v>
      </c>
      <c r="AG231" s="428">
        <f t="array" aca="1" ref="AG231" ca="1">ROUND(IF(DESONERACAO="sim",REFERENCIA.Desonerado,REFERENCIA.NaoDesonerado),2)</f>
        <v>5.71</v>
      </c>
      <c r="AH231" s="429">
        <f t="shared" ca="1" si="55"/>
        <v>0.2034</v>
      </c>
      <c r="AJ231" s="431"/>
      <c r="AL231" s="439"/>
      <c r="AM231" s="336">
        <f t="shared" ca="1" si="0"/>
        <v>6131.84</v>
      </c>
      <c r="AN231" s="469">
        <f t="array" aca="1" ref="AN231" ca="1">ROUND(ORÇAMENTO.CustoUnitario*(1+$AH231),2)</f>
        <v>6.46</v>
      </c>
    </row>
    <row r="232" spans="1:40" s="696" customFormat="1" x14ac:dyDescent="0.2">
      <c r="A232" s="696" t="str">
        <f t="shared" si="43"/>
        <v>S</v>
      </c>
      <c r="B232" s="696">
        <f t="shared" ca="1" si="44"/>
        <v>2</v>
      </c>
      <c r="C232" s="696" t="str">
        <f t="shared" ca="1" si="45"/>
        <v>S</v>
      </c>
      <c r="D232" s="696">
        <f t="shared" ca="1" si="46"/>
        <v>0</v>
      </c>
      <c r="E232" s="696">
        <f ca="1">IF($C232=1,OFFSET(E232,-1,0)+MAX(1,COUNTIF(QCI!$A$13:$A$24,OFFSET(ORÇAMENTO!E232,-1,0))),OFFSET(E232,-1,0))</f>
        <v>1</v>
      </c>
      <c r="F232" s="696">
        <f t="shared" ca="1" si="47"/>
        <v>34</v>
      </c>
      <c r="G232" s="696">
        <f t="shared" ca="1" si="48"/>
        <v>0</v>
      </c>
      <c r="H232" s="696">
        <f t="shared" ca="1" si="49"/>
        <v>0</v>
      </c>
      <c r="I232" s="696">
        <f t="shared" ca="1" si="50"/>
        <v>7</v>
      </c>
      <c r="J232" s="696">
        <f t="shared" ca="1" si="56"/>
        <v>0</v>
      </c>
      <c r="K232" s="696">
        <f ca="1">IF(OR($C232="S",$C232=0),0,MATCH(OFFSET($D232,0,$C232)+IF($C232&lt;&gt;1,1,COUNTIF(QCI!$A$13:$A$24,ORÇAMENTO!E232)),OFFSET($D232,1,$C232,ROW($C$235)-ROW($C232)),0))</f>
        <v>0</v>
      </c>
      <c r="L232" s="114" t="str">
        <f t="shared" ca="1" si="51"/>
        <v>F</v>
      </c>
      <c r="M232" s="115" t="s">
        <v>705</v>
      </c>
      <c r="N232" s="116" t="str">
        <f t="shared" ca="1" si="52"/>
        <v>Serviço</v>
      </c>
      <c r="O232" s="117" t="str">
        <f t="shared" ca="1" si="53"/>
        <v>1.34.7.</v>
      </c>
      <c r="P232" s="118" t="s">
        <v>750</v>
      </c>
      <c r="Q232" s="119" t="s">
        <v>1206</v>
      </c>
      <c r="R232" s="120" t="str">
        <f t="array" aca="1" ref="R232" ca="1">IF($C232="S",REFERENCIA.Descricao,"(digite a descrição aqui)")</f>
        <v>LIMPEZA DE PORTA DE MADEIRA. AF_04/2019</v>
      </c>
      <c r="S232" s="121" t="str">
        <f t="array" aca="1" ref="S232" ca="1">REFERENCIA.Unidade</f>
        <v>M2</v>
      </c>
      <c r="T232" s="122">
        <f ca="1">OFFSET(CÁLCULO!H$15,ROW($T232)-ROW(T$15),0)</f>
        <v>336</v>
      </c>
      <c r="U232" s="123">
        <f>1.06*0.94</f>
        <v>0.99639999999999995</v>
      </c>
      <c r="V232" s="124" t="s">
        <v>697</v>
      </c>
      <c r="W232" s="122">
        <f t="array" aca="1" ref="W232" ca="1">IF($C232="S",ROUND(IF(TIPOORCAMENTO="Proposto",ORÇAMENTO.CustoUnitario*(1+$AH232),ORÇAMENTO.PrecoUnitarioLicitado),15-13*$AF$10),0)</f>
        <v>1.2</v>
      </c>
      <c r="X232" s="125">
        <f t="array" aca="1" ref="X232" ca="1">IF($C232="S",IF(OR(Import.TipoArredondamento&lt;&gt;"TransfereGOV",ACOMPANHAMENTO="BM"),VTOTAL1,SUM(OFFSET(CÁLCULO!$AI$15,ROW($X232)-ROW($X$15),1):OFFSET(CÁLCULO!$BB$15,ROW($X232)-ROW($X$15),-1))),IF($C232=0,0,ROUND(SomaAgrup,15-13*$AF$11)))</f>
        <v>403.2</v>
      </c>
      <c r="Y232" s="126" t="s">
        <v>751</v>
      </c>
      <c r="Z232" s="696" t="str">
        <f t="shared" ca="1" si="54"/>
        <v>RA</v>
      </c>
      <c r="AA232" s="127">
        <f t="array" aca="1" ref="AA232" ca="1">IF($C232="S",IF($Z232="CP",$X232,IF($Z232="RA",(($X232)*QCI!$AA$3),0)),SomaAgrup)</f>
        <v>0</v>
      </c>
      <c r="AB232" s="128">
        <f t="array" aca="1" ref="AB232" ca="1">IF($C232="S",IF($Z232="OU",ROUND($X232,2),0),SomaAgrup)</f>
        <v>0</v>
      </c>
      <c r="AC232" s="563" t="str">
        <f t="array" aca="1" ref="AC232" ca="1">IF($N232=""," ",
IF(AND($C232&lt;&gt;"S",OR($R232="",$R232="(digite a descrição aqui)")),"DESCRIÇÃO",
IF(AND($C232="S",OR($Q232&lt;&gt;"",$T232&gt;0,$U232&gt;0),$P232=""),"FONTE",
IF(AND($C232="S",$P232&lt;&gt;"",OR($T232&gt;0,$U232&gt;0),$Q232=""),"CÓDIGO",
IF(AND($C232="S",$P232&lt;&gt;"",$Q232&lt;&gt;"",$R232="(Código não identificado nas referências)"),"CÓDIGO N/ID",
IF(AND($C232="S",OR($R232="",$R232="(digite a descrição aqui)"),OR($Q232&lt;&gt;"",$T232&gt;0,$U232&gt;0)),"DESCRIÇÃO",
IF(AND($C232="S",$P232&lt;&gt;"",$Q232&lt;&gt;"",$S232=""),"UNIDADE",
IF(AND($C232="S",$P232&lt;&gt;"",$Q232&lt;&gt;"",$U232=0),"SEM CUSTO",
IF(AND(TIPOORCAMENTO="Licitado",$AL232=0,$AN232&gt;0),"SEM PREÇO",
IF(AND($C232="S",$P232&lt;&gt;"",$Q232&lt;&gt;"",$U232&gt;0,AND($V232&lt;&gt;"BDI 1",$V232&lt;&gt;"BDI 2",$V232&lt;&gt;"BDI 3")),IF(ISNUMBER($V232),"JUSTIFICAR BDI","BDI"),
IF(OR(AND(import.recurso="OGU",TIPOORCAMENTO="Proposto",LEFT($O$8,5)&lt;&gt;"(N/D:",$AG232&lt;&gt;"",ORÇAMENTO.CustoUnitario&gt;$AG232),AND(TIPOORCAMENTO="LICITADO",ORÇAMENTO.PrecoUnitarioLicitado&gt;$AN232)),"ACIMA REF.",
IF(AND($C232="S",$P232&lt;&gt;"",$Q232&lt;&gt;"",$T232=0,$U232&gt;0),"QUANT.",
IF(AND(Import.TipoArredondamento="TransfereGOV",$L232="F",$C232="S",LEN($Q232)&gt;13),"Código &gt;13",
IF(AND(Import.TipoArredondamento="TransfereGOV",$L232="F",$C232&lt;&gt;"S",LEN($R232)&gt;100),"Descrição &gt;100",
IF(AND(Import.TipoArredondamento="TransfereGOV",$L232="F",$C232="S",LEN($R232)&gt;500),"Descrição &gt;500",
IF(AND(Import.TipoArredondamento="TransfereGOV",$L232="F",$C232="S",LEFT(TRIM(UPPER($P232)),6)&lt;&gt;"SINAPI",ISNA(VLOOKUP(TRIM(UPPER($S232)),ListaTgov.Unidades,1,FALSE))),"Unid. Não Disp",
" "))))))))))))))))</f>
        <v xml:space="preserve"> </v>
      </c>
      <c r="AD232" s="696" t="str">
        <f ca="1">IF(C232&lt;=CRONO.NivelExibicao,MAX($AD$15:OFFSET(AD232,-1,0))+IF($C232&lt;&gt;1,1,MAX(1,COUNTIF(QCI!$A$13:$A$24,OFFSET($E232,-1,0)))),"")</f>
        <v/>
      </c>
      <c r="AE232" s="694" t="str">
        <f t="array" aca="1" ref="AE232" ca="1">IF(AND($C232="S",ORÇAMENTO.CodBarra&lt;&gt;""),IF(ORÇAMENTO.Fonte="",ORÇAMENTO.CodBarra,CONCATENATE(ORÇAMENTO.Fonte," ",ORÇAMENTO.CodBarra)))</f>
        <v>SINAPI 99822</v>
      </c>
      <c r="AF232" s="695">
        <f t="array" aca="1" ref="AF232" ca="1">IF(ISERROR(ORÇAMENTO.BancoRef),"(abra o arquivo 'Referência "&amp;Excel_BuiltIn_Database&amp;".xlsm)",IF(OR($C232&lt;&gt;"S",ORÇAMENTO.CodBarra=""),"(Sem Código)",IF(ISERROR(MATCH($AE232,INDIRECT(ORÇAMENTO.BancoRef),0)),"(Código não identificado nas referências)",MATCH($AE232,INDIRECT(ORÇAMENTO.BancoRef),0))))</f>
        <v>12780</v>
      </c>
      <c r="AG232" s="428">
        <f t="array" aca="1" ref="AG232" ca="1">ROUND(IF(DESONERACAO="sim",REFERENCIA.Desonerado,REFERENCIA.NaoDesonerado),2)</f>
        <v>1.06</v>
      </c>
      <c r="AH232" s="429">
        <f t="shared" ca="1" si="55"/>
        <v>0.2034</v>
      </c>
      <c r="AJ232" s="431"/>
      <c r="AL232" s="439"/>
      <c r="AM232" s="336">
        <f t="shared" ca="1" si="0"/>
        <v>403.2</v>
      </c>
      <c r="AN232" s="469">
        <f t="array" aca="1" ref="AN232" ca="1">ROUND(ORÇAMENTO.CustoUnitario*(1+$AH232),2)</f>
        <v>1.2</v>
      </c>
    </row>
    <row r="233" spans="1:40" s="696" customFormat="1" ht="25.5" x14ac:dyDescent="0.2">
      <c r="A233" s="696" t="str">
        <f t="shared" si="43"/>
        <v>S</v>
      </c>
      <c r="B233" s="696">
        <f t="shared" ca="1" si="44"/>
        <v>2</v>
      </c>
      <c r="C233" s="696" t="str">
        <f t="shared" ca="1" si="45"/>
        <v>S</v>
      </c>
      <c r="D233" s="696">
        <f t="shared" ca="1" si="46"/>
        <v>0</v>
      </c>
      <c r="E233" s="696">
        <f ca="1">IF($C233=1,OFFSET(E233,-1,0)+MAX(1,COUNTIF(QCI!$A$13:$A$24,OFFSET(ORÇAMENTO!E233,-1,0))),OFFSET(E233,-1,0))</f>
        <v>1</v>
      </c>
      <c r="F233" s="696">
        <f t="shared" ca="1" si="47"/>
        <v>34</v>
      </c>
      <c r="G233" s="696">
        <f t="shared" ca="1" si="48"/>
        <v>0</v>
      </c>
      <c r="H233" s="696">
        <f t="shared" ca="1" si="49"/>
        <v>0</v>
      </c>
      <c r="I233" s="696">
        <f t="shared" ca="1" si="50"/>
        <v>8</v>
      </c>
      <c r="J233" s="696">
        <f t="shared" ca="1" si="56"/>
        <v>0</v>
      </c>
      <c r="K233" s="696">
        <f ca="1">IF(OR($C233="S",$C233=0),0,MATCH(OFFSET($D233,0,$C233)+IF($C233&lt;&gt;1,1,COUNTIF(QCI!$A$13:$A$24,ORÇAMENTO!E233)),OFFSET($D233,1,$C233,ROW($C$235)-ROW($C233)),0))</f>
        <v>0</v>
      </c>
      <c r="L233" s="114" t="str">
        <f t="shared" ca="1" si="51"/>
        <v>F</v>
      </c>
      <c r="M233" s="115" t="s">
        <v>705</v>
      </c>
      <c r="N233" s="116" t="str">
        <f t="shared" ca="1" si="52"/>
        <v>Serviço</v>
      </c>
      <c r="O233" s="117" t="str">
        <f t="shared" ca="1" si="53"/>
        <v>1.34.8.</v>
      </c>
      <c r="P233" s="118" t="s">
        <v>750</v>
      </c>
      <c r="Q233" s="119" t="s">
        <v>1207</v>
      </c>
      <c r="R233" s="120" t="str">
        <f t="array" aca="1" ref="R233" ca="1">IF($C233="S",REFERENCIA.Descricao,"(digite a descrição aqui)")</f>
        <v>LIMPEZA DE REVESTIMENTO CERÂMICO EM PAREDE UTILIZANDO DETERGENTE NEUTRO E ESCOVAÇÃO MANUAL. AF_04/2019</v>
      </c>
      <c r="S233" s="121" t="str">
        <f t="array" aca="1" ref="S233" ca="1">REFERENCIA.Unidade</f>
        <v>M2</v>
      </c>
      <c r="T233" s="122">
        <f ca="1">OFFSET(CÁLCULO!H$15,ROW($T233)-ROW(T$15),0)</f>
        <v>316.39999999999998</v>
      </c>
      <c r="U233" s="123">
        <f>1.75*0.94</f>
        <v>1.645</v>
      </c>
      <c r="V233" s="124" t="s">
        <v>697</v>
      </c>
      <c r="W233" s="122">
        <f t="array" aca="1" ref="W233" ca="1">IF($C233="S",ROUND(IF(TIPOORCAMENTO="Proposto",ORÇAMENTO.CustoUnitario*(1+$AH233),ORÇAMENTO.PrecoUnitarioLicitado),15-13*$AF$10),0)</f>
        <v>1.99</v>
      </c>
      <c r="X233" s="125">
        <f t="array" aca="1" ref="X233" ca="1">IF($C233="S",IF(OR(Import.TipoArredondamento&lt;&gt;"TransfereGOV",ACOMPANHAMENTO="BM"),VTOTAL1,SUM(OFFSET(CÁLCULO!$AI$15,ROW($X233)-ROW($X$15),1):OFFSET(CÁLCULO!$BB$15,ROW($X233)-ROW($X$15),-1))),IF($C233=0,0,ROUND(SomaAgrup,15-13*$AF$11)))</f>
        <v>629.64</v>
      </c>
      <c r="Y233" s="126" t="s">
        <v>751</v>
      </c>
      <c r="Z233" s="696" t="str">
        <f t="shared" ca="1" si="54"/>
        <v>RA</v>
      </c>
      <c r="AA233" s="127">
        <f t="array" aca="1" ref="AA233" ca="1">IF($C233="S",IF($Z233="CP",$X233,IF($Z233="RA",(($X233)*QCI!$AA$3),0)),SomaAgrup)</f>
        <v>0</v>
      </c>
      <c r="AB233" s="128">
        <f t="array" aca="1" ref="AB233" ca="1">IF($C233="S",IF($Z233="OU",ROUND($X233,2),0),SomaAgrup)</f>
        <v>0</v>
      </c>
      <c r="AC233" s="563" t="str">
        <f t="array" aca="1" ref="AC233" ca="1">IF($N233=""," ",
IF(AND($C233&lt;&gt;"S",OR($R233="",$R233="(digite a descrição aqui)")),"DESCRIÇÃO",
IF(AND($C233="S",OR($Q233&lt;&gt;"",$T233&gt;0,$U233&gt;0),$P233=""),"FONTE",
IF(AND($C233="S",$P233&lt;&gt;"",OR($T233&gt;0,$U233&gt;0),$Q233=""),"CÓDIGO",
IF(AND($C233="S",$P233&lt;&gt;"",$Q233&lt;&gt;"",$R233="(Código não identificado nas referências)"),"CÓDIGO N/ID",
IF(AND($C233="S",OR($R233="",$R233="(digite a descrição aqui)"),OR($Q233&lt;&gt;"",$T233&gt;0,$U233&gt;0)),"DESCRIÇÃO",
IF(AND($C233="S",$P233&lt;&gt;"",$Q233&lt;&gt;"",$S233=""),"UNIDADE",
IF(AND($C233="S",$P233&lt;&gt;"",$Q233&lt;&gt;"",$U233=0),"SEM CUSTO",
IF(AND(TIPOORCAMENTO="Licitado",$AL233=0,$AN233&gt;0),"SEM PREÇO",
IF(AND($C233="S",$P233&lt;&gt;"",$Q233&lt;&gt;"",$U233&gt;0,AND($V233&lt;&gt;"BDI 1",$V233&lt;&gt;"BDI 2",$V233&lt;&gt;"BDI 3")),IF(ISNUMBER($V233),"JUSTIFICAR BDI","BDI"),
IF(OR(AND(import.recurso="OGU",TIPOORCAMENTO="Proposto",LEFT($O$8,5)&lt;&gt;"(N/D:",$AG233&lt;&gt;"",ORÇAMENTO.CustoUnitario&gt;$AG233),AND(TIPOORCAMENTO="LICITADO",ORÇAMENTO.PrecoUnitarioLicitado&gt;$AN233)),"ACIMA REF.",
IF(AND($C233="S",$P233&lt;&gt;"",$Q233&lt;&gt;"",$T233=0,$U233&gt;0),"QUANT.",
IF(AND(Import.TipoArredondamento="TransfereGOV",$L233="F",$C233="S",LEN($Q233)&gt;13),"Código &gt;13",
IF(AND(Import.TipoArredondamento="TransfereGOV",$L233="F",$C233&lt;&gt;"S",LEN($R233)&gt;100),"Descrição &gt;100",
IF(AND(Import.TipoArredondamento="TransfereGOV",$L233="F",$C233="S",LEN($R233)&gt;500),"Descrição &gt;500",
IF(AND(Import.TipoArredondamento="TransfereGOV",$L233="F",$C233="S",LEFT(TRIM(UPPER($P233)),6)&lt;&gt;"SINAPI",ISNA(VLOOKUP(TRIM(UPPER($S233)),ListaTgov.Unidades,1,FALSE))),"Unid. Não Disp",
" "))))))))))))))))</f>
        <v xml:space="preserve"> </v>
      </c>
      <c r="AD233" s="696" t="str">
        <f ca="1">IF(C233&lt;=CRONO.NivelExibicao,MAX($AD$15:OFFSET(AD233,-1,0))+IF($C233&lt;&gt;1,1,MAX(1,COUNTIF(QCI!$A$13:$A$24,OFFSET($E233,-1,0)))),"")</f>
        <v/>
      </c>
      <c r="AE233" s="694" t="str">
        <f t="array" aca="1" ref="AE233" ca="1">IF(AND($C233="S",ORÇAMENTO.CodBarra&lt;&gt;""),IF(ORÇAMENTO.Fonte="",ORÇAMENTO.CodBarra,CONCATENATE(ORÇAMENTO.Fonte," ",ORÇAMENTO.CodBarra)))</f>
        <v>SINAPI 99807</v>
      </c>
      <c r="AF233" s="695">
        <f t="array" aca="1" ref="AF233" ca="1">IF(ISERROR(ORÇAMENTO.BancoRef),"(abra o arquivo 'Referência "&amp;Excel_BuiltIn_Database&amp;".xlsm)",IF(OR($C233&lt;&gt;"S",ORÇAMENTO.CodBarra=""),"(Sem Código)",IF(ISERROR(MATCH($AE233,INDIRECT(ORÇAMENTO.BancoRef),0)),"(Código não identificado nas referências)",MATCH($AE233,INDIRECT(ORÇAMENTO.BancoRef),0))))</f>
        <v>12785</v>
      </c>
      <c r="AG233" s="428">
        <f t="array" aca="1" ref="AG233" ca="1">ROUND(IF(DESONERACAO="sim",REFERENCIA.Desonerado,REFERENCIA.NaoDesonerado),2)</f>
        <v>1.75</v>
      </c>
      <c r="AH233" s="429">
        <f t="shared" ca="1" si="55"/>
        <v>0.2034</v>
      </c>
      <c r="AJ233" s="431"/>
      <c r="AL233" s="439"/>
      <c r="AM233" s="336">
        <f t="shared" ca="1" si="0"/>
        <v>629.64</v>
      </c>
      <c r="AN233" s="469">
        <f t="array" aca="1" ref="AN233" ca="1">ROUND(ORÇAMENTO.CustoUnitario*(1+$AH233),2)</f>
        <v>1.99</v>
      </c>
    </row>
    <row r="234" spans="1:40" s="696" customFormat="1" ht="25.5" x14ac:dyDescent="0.2">
      <c r="A234" s="696" t="str">
        <f t="shared" si="43"/>
        <v>S</v>
      </c>
      <c r="B234" s="696">
        <f t="shared" ca="1" si="44"/>
        <v>2</v>
      </c>
      <c r="C234" s="696" t="str">
        <f t="shared" ca="1" si="45"/>
        <v>S</v>
      </c>
      <c r="D234" s="696">
        <f t="shared" ca="1" si="46"/>
        <v>0</v>
      </c>
      <c r="E234" s="696">
        <f ca="1">IF($C234=1,OFFSET(E234,-1,0)+MAX(1,COUNTIF(QCI!$A$13:$A$24,OFFSET(ORÇAMENTO!E234,-1,0))),OFFSET(E234,-1,0))</f>
        <v>1</v>
      </c>
      <c r="F234" s="696">
        <f t="shared" ca="1" si="47"/>
        <v>34</v>
      </c>
      <c r="G234" s="696">
        <f t="shared" ca="1" si="48"/>
        <v>0</v>
      </c>
      <c r="H234" s="696">
        <f t="shared" ca="1" si="49"/>
        <v>0</v>
      </c>
      <c r="I234" s="696">
        <f t="shared" ca="1" si="50"/>
        <v>9</v>
      </c>
      <c r="J234" s="696">
        <f t="shared" ca="1" si="56"/>
        <v>0</v>
      </c>
      <c r="K234" s="696">
        <f ca="1">IF(OR($C234="S",$C234=0),0,MATCH(OFFSET($D234,0,$C234)+IF($C234&lt;&gt;1,1,COUNTIF(QCI!$A$13:$A$24,ORÇAMENTO!E234)),OFFSET($D234,1,$C234,ROW($C$235)-ROW($C234)),0))</f>
        <v>0</v>
      </c>
      <c r="L234" s="114" t="str">
        <f t="shared" ca="1" si="51"/>
        <v>F</v>
      </c>
      <c r="M234" s="115" t="s">
        <v>705</v>
      </c>
      <c r="N234" s="116" t="str">
        <f t="shared" ca="1" si="52"/>
        <v>Serviço</v>
      </c>
      <c r="O234" s="117" t="str">
        <f t="shared" ca="1" si="53"/>
        <v>1.34.9.</v>
      </c>
      <c r="P234" s="118" t="s">
        <v>750</v>
      </c>
      <c r="Q234" s="119" t="s">
        <v>1208</v>
      </c>
      <c r="R234" s="120" t="str">
        <f t="array" aca="1" ref="R234" ca="1">IF($C234="S",REFERENCIA.Descricao,"(digite a descrição aqui)")</f>
        <v>LIMPEZA DE TANQUE OU LAVATÓRIO DE LOUÇA ISOLADO, INCLUSIVE METAIS CORRESPONDENTES. AF_04/2019</v>
      </c>
      <c r="S234" s="121" t="str">
        <f t="array" aca="1" ref="S234" ca="1">REFERENCIA.Unidade</f>
        <v>UN</v>
      </c>
      <c r="T234" s="122">
        <f ca="1">OFFSET(CÁLCULO!H$15,ROW($T234)-ROW(T$15),0)</f>
        <v>40</v>
      </c>
      <c r="U234" s="123">
        <f>10.61*0.94</f>
        <v>9.973399999999998</v>
      </c>
      <c r="V234" s="124" t="s">
        <v>697</v>
      </c>
      <c r="W234" s="122">
        <f t="array" aca="1" ref="W234" ca="1">IF($C234="S",ROUND(IF(TIPOORCAMENTO="Proposto",ORÇAMENTO.CustoUnitario*(1+$AH234),ORÇAMENTO.PrecoUnitarioLicitado),15-13*$AF$10),0)</f>
        <v>12</v>
      </c>
      <c r="X234" s="125">
        <f t="array" aca="1" ref="X234" ca="1">IF($C234="S",IF(OR(Import.TipoArredondamento&lt;&gt;"TransfereGOV",ACOMPANHAMENTO="BM"),VTOTAL1,SUM(OFFSET(CÁLCULO!$AI$15,ROW($X234)-ROW($X$15),1):OFFSET(CÁLCULO!$BB$15,ROW($X234)-ROW($X$15),-1))),IF($C234=0,0,ROUND(SomaAgrup,15-13*$AF$11)))</f>
        <v>480</v>
      </c>
      <c r="Y234" s="126" t="s">
        <v>751</v>
      </c>
      <c r="Z234" s="696" t="str">
        <f t="shared" ca="1" si="54"/>
        <v>RA</v>
      </c>
      <c r="AA234" s="127">
        <f t="array" aca="1" ref="AA234" ca="1">IF($C234="S",IF($Z234="CP",$X234,IF($Z234="RA",(($X234)*QCI!$AA$3),0)),SomaAgrup)</f>
        <v>0</v>
      </c>
      <c r="AB234" s="128">
        <f t="array" aca="1" ref="AB234" ca="1">IF($C234="S",IF($Z234="OU",ROUND($X234,2),0),SomaAgrup)</f>
        <v>0</v>
      </c>
      <c r="AC234" s="563" t="str">
        <f t="array" aca="1" ref="AC234" ca="1">IF($N234=""," ",
IF(AND($C234&lt;&gt;"S",OR($R234="",$R234="(digite a descrição aqui)")),"DESCRIÇÃO",
IF(AND($C234="S",OR($Q234&lt;&gt;"",$T234&gt;0,$U234&gt;0),$P234=""),"FONTE",
IF(AND($C234="S",$P234&lt;&gt;"",OR($T234&gt;0,$U234&gt;0),$Q234=""),"CÓDIGO",
IF(AND($C234="S",$P234&lt;&gt;"",$Q234&lt;&gt;"",$R234="(Código não identificado nas referências)"),"CÓDIGO N/ID",
IF(AND($C234="S",OR($R234="",$R234="(digite a descrição aqui)"),OR($Q234&lt;&gt;"",$T234&gt;0,$U234&gt;0)),"DESCRIÇÃO",
IF(AND($C234="S",$P234&lt;&gt;"",$Q234&lt;&gt;"",$S234=""),"UNIDADE",
IF(AND($C234="S",$P234&lt;&gt;"",$Q234&lt;&gt;"",$U234=0),"SEM CUSTO",
IF(AND(TIPOORCAMENTO="Licitado",$AL234=0,$AN234&gt;0),"SEM PREÇO",
IF(AND($C234="S",$P234&lt;&gt;"",$Q234&lt;&gt;"",$U234&gt;0,AND($V234&lt;&gt;"BDI 1",$V234&lt;&gt;"BDI 2",$V234&lt;&gt;"BDI 3")),IF(ISNUMBER($V234),"JUSTIFICAR BDI","BDI"),
IF(OR(AND(import.recurso="OGU",TIPOORCAMENTO="Proposto",LEFT($O$8,5)&lt;&gt;"(N/D:",$AG234&lt;&gt;"",ORÇAMENTO.CustoUnitario&gt;$AG234),AND(TIPOORCAMENTO="LICITADO",ORÇAMENTO.PrecoUnitarioLicitado&gt;$AN234)),"ACIMA REF.",
IF(AND($C234="S",$P234&lt;&gt;"",$Q234&lt;&gt;"",$T234=0,$U234&gt;0),"QUANT.",
IF(AND(Import.TipoArredondamento="TransfereGOV",$L234="F",$C234="S",LEN($Q234)&gt;13),"Código &gt;13",
IF(AND(Import.TipoArredondamento="TransfereGOV",$L234="F",$C234&lt;&gt;"S",LEN($R234)&gt;100),"Descrição &gt;100",
IF(AND(Import.TipoArredondamento="TransfereGOV",$L234="F",$C234="S",LEN($R234)&gt;500),"Descrição &gt;500",
IF(AND(Import.TipoArredondamento="TransfereGOV",$L234="F",$C234="S",LEFT(TRIM(UPPER($P234)),6)&lt;&gt;"SINAPI",ISNA(VLOOKUP(TRIM(UPPER($S234)),ListaTgov.Unidades,1,FALSE))),"Unid. Não Disp",
" "))))))))))))))))</f>
        <v xml:space="preserve"> </v>
      </c>
      <c r="AD234" s="696" t="str">
        <f ca="1">IF(C234&lt;=CRONO.NivelExibicao,MAX($AD$15:OFFSET(AD234,-1,0))+IF($C234&lt;&gt;1,1,MAX(1,COUNTIF(QCI!$A$13:$A$24,OFFSET($E234,-1,0)))),"")</f>
        <v/>
      </c>
      <c r="AE234" s="694" t="str">
        <f t="array" aca="1" ref="AE234" ca="1">IF(AND($C234="S",ORÇAMENTO.CodBarra&lt;&gt;""),IF(ORÇAMENTO.Fonte="",ORÇAMENTO.CodBarra,CONCATENATE(ORÇAMENTO.Fonte," ",ORÇAMENTO.CodBarra)))</f>
        <v>SINAPI 99816</v>
      </c>
      <c r="AF234" s="695">
        <f t="array" aca="1" ref="AF234" ca="1">IF(ISERROR(ORÇAMENTO.BancoRef),"(abra o arquivo 'Referência "&amp;Excel_BuiltIn_Database&amp;".xlsm)",IF(OR($C234&lt;&gt;"S",ORÇAMENTO.CodBarra=""),"(Sem Código)",IF(ISERROR(MATCH($AE234,INDIRECT(ORÇAMENTO.BancoRef),0)),"(Código não identificado nas referências)",MATCH($AE234,INDIRECT(ORÇAMENTO.BancoRef),0))))</f>
        <v>12788</v>
      </c>
      <c r="AG234" s="428">
        <f t="array" aca="1" ref="AG234" ca="1">ROUND(IF(DESONERACAO="sim",REFERENCIA.Desonerado,REFERENCIA.NaoDesonerado),2)</f>
        <v>10.61</v>
      </c>
      <c r="AH234" s="429">
        <f t="shared" ca="1" si="55"/>
        <v>0.2034</v>
      </c>
      <c r="AJ234" s="431"/>
      <c r="AL234" s="439"/>
      <c r="AM234" s="336">
        <f t="shared" ca="1" si="0"/>
        <v>480</v>
      </c>
      <c r="AN234" s="469">
        <f t="array" aca="1" ref="AN234" ca="1">ROUND(ORÇAMENTO.CustoUnitario*(1+$AH234),2)</f>
        <v>12</v>
      </c>
    </row>
    <row r="235" spans="1:40" ht="5.0999999999999996" customHeight="1" x14ac:dyDescent="0.2">
      <c r="A235">
        <v>-1</v>
      </c>
      <c r="C235">
        <v>-1</v>
      </c>
      <c r="E235">
        <v>0</v>
      </c>
      <c r="F235">
        <v>0</v>
      </c>
      <c r="G235">
        <v>0</v>
      </c>
      <c r="H235">
        <v>0</v>
      </c>
      <c r="I235">
        <v>0</v>
      </c>
      <c r="L235" s="114" t="s">
        <v>536</v>
      </c>
      <c r="M235" s="614"/>
      <c r="N235" s="424"/>
      <c r="O235" s="614"/>
      <c r="P235" s="615"/>
      <c r="Q235" s="615"/>
      <c r="R235" s="615"/>
      <c r="S235" s="615"/>
      <c r="T235" s="615"/>
      <c r="U235" s="615"/>
      <c r="V235" s="615"/>
      <c r="W235" s="615"/>
      <c r="X235" s="424"/>
      <c r="Y235" s="424"/>
      <c r="AC235" s="563" t="str">
        <f t="array" ref="AC235">IF($N235=""," ",
IF(AND($C235&lt;&gt;"S",OR($R235="",$R235="(digite a descrição aqui)")),"DESCRIÇÃO",
IF(AND($C235="S",OR($Q235&lt;&gt;"",$T235&gt;0,$U235&gt;0),$P235=""),"FONTE",
IF(AND($C235="S",$P235&lt;&gt;"",OR($T235&gt;0,$U235&gt;0),$Q235=""),"CÓDIGO",
IF(AND($C235="S",$P235&lt;&gt;"",$Q235&lt;&gt;"",$R235="(Código não identificado nas referências)"),"CÓDIGO N/ID",
IF(AND($C235="S",OR($R235="",$R235="(digite a descrição aqui)"),OR($Q235&lt;&gt;"",$T235&gt;0,$U235&gt;0)),"DESCRIÇÃO",
IF(AND($C235="S",$P235&lt;&gt;"",$Q235&lt;&gt;"",$S235=""),"UNIDADE",
IF(AND($C235="S",$P235&lt;&gt;"",$Q235&lt;&gt;"",$U235=0),"SEM CUSTO",
IF(AND(TIPOORCAMENTO="Licitado",$AL235=0,$AN235&gt;0),"SEM PREÇO",
IF(AND($C235="S",$P235&lt;&gt;"",$Q235&lt;&gt;"",$U235&gt;0,AND($V235&lt;&gt;"BDI 1",$V235&lt;&gt;"BDI 2",$V235&lt;&gt;"BDI 3")),IF(ISNUMBER($V235),"JUSTIFICAR BDI","BDI"),
IF(OR(AND(import.recurso="OGU",TIPOORCAMENTO="Proposto",LEFT($O$8,5)&lt;&gt;"(N/D:",$AG235&lt;&gt;"",ORÇAMENTO.CustoUnitario&gt;$AG235),AND(TIPOORCAMENTO="LICITADO",ORÇAMENTO.PrecoUnitarioLicitado&gt;$AN235)),"ACIMA REF.",
IF(AND($C235="S",$P235&lt;&gt;"",$Q235&lt;&gt;"",$T235=0,$U235&gt;0),"QUANT.",
IF(AND(Import.TipoArredondamento="TransfereGOV",$L235="F",$C235="S",LEN($Q235)&gt;13),"Código &gt;13",
IF(AND(Import.TipoArredondamento="TransfereGOV",$L235="F",$C235&lt;&gt;"S",LEN($R235)&gt;100),"Descrição &gt;100",
IF(AND(Import.TipoArredondamento="TransfereGOV",$L235="F",$C235="S",LEN($R235)&gt;500),"Descrição &gt;500",
IF(AND(Import.TipoArredondamento="TransfereGOV",$L235="F",$C235="S",LEFT(TRIM(UPPER($P235)),6)&lt;&gt;"SINAPI",ISNA(VLOOKUP(TRIM(UPPER($S235)),ListaTgov.Unidades,1,FALSE))),"Unid. Não Disp",
" "))))))))))))))))</f>
        <v xml:space="preserve"> </v>
      </c>
      <c r="AF235" s="679"/>
      <c r="AG235" s="616"/>
      <c r="AH235" s="419"/>
      <c r="AJ235" s="425"/>
      <c r="AL235" s="616"/>
      <c r="AM235" s="617"/>
      <c r="AN235" s="419"/>
    </row>
    <row r="236" spans="1:40" x14ac:dyDescent="0.2">
      <c r="AF236" s="679"/>
    </row>
    <row r="237" spans="1:40" x14ac:dyDescent="0.2">
      <c r="AF237" s="679"/>
    </row>
    <row r="238" spans="1:40" ht="14.25" x14ac:dyDescent="0.2">
      <c r="O238" s="134" t="s">
        <v>753</v>
      </c>
      <c r="Q238" s="755" t="s">
        <v>754</v>
      </c>
      <c r="R238" s="755"/>
      <c r="S238" s="755"/>
      <c r="T238" s="755"/>
      <c r="U238" s="755"/>
      <c r="V238" s="755"/>
      <c r="W238" s="755"/>
      <c r="X238" s="755"/>
      <c r="AF238" s="679"/>
    </row>
    <row r="239" spans="1:40" x14ac:dyDescent="0.2">
      <c r="AF239" s="679"/>
    </row>
    <row r="240" spans="1:40" ht="14.25" x14ac:dyDescent="0.2">
      <c r="O240" s="135" t="s">
        <v>689</v>
      </c>
      <c r="X240" s="4"/>
      <c r="AF240" s="679"/>
    </row>
    <row r="241" spans="15:32" ht="12.75" customHeight="1" x14ac:dyDescent="0.2">
      <c r="O241" s="756"/>
      <c r="P241" s="756"/>
      <c r="Q241" s="756"/>
      <c r="R241" s="756"/>
      <c r="S241" s="756"/>
      <c r="T241" s="756"/>
      <c r="U241" s="756"/>
      <c r="V241" s="756"/>
      <c r="W241" s="756"/>
      <c r="X241" s="756"/>
      <c r="AF241" s="679"/>
    </row>
    <row r="242" spans="15:32" x14ac:dyDescent="0.2">
      <c r="O242" s="756"/>
      <c r="P242" s="756"/>
      <c r="Q242" s="756"/>
      <c r="R242" s="756"/>
      <c r="S242" s="756"/>
      <c r="T242" s="756"/>
      <c r="U242" s="756"/>
      <c r="V242" s="756"/>
      <c r="W242" s="756"/>
      <c r="X242" s="756"/>
      <c r="AF242" s="679"/>
    </row>
    <row r="243" spans="15:32" x14ac:dyDescent="0.2">
      <c r="O243" s="756"/>
      <c r="P243" s="756"/>
      <c r="Q243" s="756"/>
      <c r="R243" s="756"/>
      <c r="S243" s="756"/>
      <c r="T243" s="756"/>
      <c r="U243" s="756"/>
      <c r="V243" s="756"/>
      <c r="W243" s="756"/>
      <c r="X243" s="756"/>
      <c r="AF243" s="679"/>
    </row>
    <row r="244" spans="15:32" ht="14.25" x14ac:dyDescent="0.2">
      <c r="O244" s="443"/>
      <c r="P244" s="443"/>
      <c r="Q244" s="443"/>
      <c r="R244" s="443"/>
      <c r="S244" s="443"/>
      <c r="T244" s="443"/>
      <c r="U244" s="443"/>
      <c r="V244" s="443"/>
      <c r="W244" s="443"/>
      <c r="X244" s="443"/>
      <c r="Y244" s="443"/>
      <c r="Z244" s="136"/>
      <c r="AA244" s="136"/>
      <c r="AB244" s="136"/>
      <c r="AF244" s="679"/>
    </row>
    <row r="245" spans="15:32" ht="15" x14ac:dyDescent="0.25">
      <c r="O245" s="757"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245" s="757"/>
      <c r="Q245" s="757"/>
      <c r="R245" s="757"/>
      <c r="S245" s="757"/>
      <c r="T245" s="757"/>
      <c r="U245" s="757"/>
      <c r="V245" s="757"/>
      <c r="W245" s="757"/>
      <c r="X245" s="757"/>
      <c r="Y245" s="137"/>
      <c r="Z245" s="137"/>
      <c r="AA245" s="137"/>
      <c r="AB245" s="137"/>
      <c r="AF245" s="679"/>
    </row>
    <row r="246" spans="15:32" ht="15" customHeight="1" x14ac:dyDescent="0.25">
      <c r="O246" s="759" t="s">
        <v>755</v>
      </c>
      <c r="P246" s="759"/>
      <c r="Q246" s="759"/>
      <c r="R246" s="759"/>
      <c r="S246" s="759"/>
      <c r="T246" s="759"/>
      <c r="U246" s="759"/>
      <c r="V246" s="759"/>
      <c r="W246" s="759"/>
      <c r="X246" s="759"/>
      <c r="Y246" s="137"/>
      <c r="Z246" s="137"/>
      <c r="AA246" s="137"/>
      <c r="AB246" s="137"/>
      <c r="AF246" s="679"/>
    </row>
    <row r="247" spans="15:32" x14ac:dyDescent="0.2">
      <c r="AF247" s="679"/>
    </row>
    <row r="248" spans="15:32" ht="30" customHeight="1" x14ac:dyDescent="0.2">
      <c r="O248" s="758" t="str">
        <f>Import.Município</f>
        <v>PIRANGUÇU-MG</v>
      </c>
      <c r="P248" s="758"/>
      <c r="Q248" s="758"/>
      <c r="S248" s="459"/>
      <c r="T248" s="459"/>
      <c r="U248" s="459"/>
      <c r="V248" s="459"/>
      <c r="W248" s="417"/>
      <c r="AF248" s="679"/>
    </row>
    <row r="249" spans="15:32" x14ac:dyDescent="0.2">
      <c r="O249" s="9" t="s">
        <v>693</v>
      </c>
      <c r="S249" s="181" t="s">
        <v>696</v>
      </c>
      <c r="T249" s="181"/>
      <c r="U249" s="181"/>
      <c r="V249" s="181"/>
      <c r="AF249" s="679"/>
    </row>
    <row r="250" spans="15:32" x14ac:dyDescent="0.2">
      <c r="S250" s="77" t="s">
        <v>240</v>
      </c>
      <c r="T250" s="78" t="str">
        <f t="array" ref="T250:T252">Import.RespOrçamento</f>
        <v>NILCEZAR AUGUSTO PERES</v>
      </c>
      <c r="V250" s="79"/>
      <c r="AF250" s="679"/>
    </row>
    <row r="251" spans="15:32" x14ac:dyDescent="0.2">
      <c r="O251" s="752">
        <f>DADOS!$C$25</f>
        <v>45939</v>
      </c>
      <c r="P251" s="752"/>
      <c r="Q251" s="752"/>
      <c r="S251" s="77" t="s">
        <v>243</v>
      </c>
      <c r="T251" s="78" t="str">
        <v>161.233/D-MG</v>
      </c>
      <c r="U251" s="79"/>
      <c r="V251" s="79"/>
      <c r="AF251" s="679"/>
    </row>
    <row r="252" spans="15:32" x14ac:dyDescent="0.2">
      <c r="O252" s="140" t="s">
        <v>694</v>
      </c>
      <c r="P252" s="1"/>
      <c r="Q252" s="1"/>
      <c r="S252" s="77" t="s">
        <v>246</v>
      </c>
      <c r="T252" s="78" t="str">
        <v>MG2025435540</v>
      </c>
      <c r="U252" s="79"/>
      <c r="V252" s="79"/>
      <c r="AF252" s="679"/>
    </row>
    <row r="253" spans="15:32" x14ac:dyDescent="0.2">
      <c r="AF253" s="679"/>
    </row>
    <row r="254" spans="15:32" x14ac:dyDescent="0.2">
      <c r="AF254" s="679"/>
    </row>
    <row r="255" spans="15:32" x14ac:dyDescent="0.2">
      <c r="AF255" s="679"/>
    </row>
    <row r="256" spans="15:32" x14ac:dyDescent="0.2">
      <c r="AF256" s="679"/>
    </row>
    <row r="257" spans="32:32" x14ac:dyDescent="0.2">
      <c r="AF257" s="679"/>
    </row>
    <row r="258" spans="32:32" x14ac:dyDescent="0.2">
      <c r="AF258" s="679"/>
    </row>
    <row r="259" spans="32:32" x14ac:dyDescent="0.2">
      <c r="AF259" s="679"/>
    </row>
    <row r="260" spans="32:32" x14ac:dyDescent="0.2">
      <c r="AF260" s="679"/>
    </row>
    <row r="261" spans="32:32" x14ac:dyDescent="0.2">
      <c r="AF261" s="679"/>
    </row>
    <row r="262" spans="32:32" x14ac:dyDescent="0.2">
      <c r="AF262" s="679"/>
    </row>
    <row r="263" spans="32:32" x14ac:dyDescent="0.2">
      <c r="AF263" s="679"/>
    </row>
    <row r="264" spans="32:32" x14ac:dyDescent="0.2">
      <c r="AF264" s="679"/>
    </row>
    <row r="265" spans="32:32" x14ac:dyDescent="0.2">
      <c r="AF265" s="679"/>
    </row>
    <row r="266" spans="32:32" x14ac:dyDescent="0.2">
      <c r="AF266" s="679"/>
    </row>
    <row r="267" spans="32:32" x14ac:dyDescent="0.2">
      <c r="AF267" s="679"/>
    </row>
    <row r="268" spans="32:32" x14ac:dyDescent="0.2">
      <c r="AF268" s="679"/>
    </row>
    <row r="269" spans="32:32" x14ac:dyDescent="0.2">
      <c r="AF269" s="679"/>
    </row>
    <row r="270" spans="32:32" x14ac:dyDescent="0.2">
      <c r="AF270" s="679"/>
    </row>
    <row r="271" spans="32:32" x14ac:dyDescent="0.2">
      <c r="AF271" s="679"/>
    </row>
    <row r="272" spans="32:32" x14ac:dyDescent="0.2">
      <c r="AF272" s="679"/>
    </row>
    <row r="273" spans="32:32" x14ac:dyDescent="0.2">
      <c r="AF273" s="679"/>
    </row>
    <row r="274" spans="32:32" x14ac:dyDescent="0.2">
      <c r="AF274" s="679"/>
    </row>
    <row r="275" spans="32:32" x14ac:dyDescent="0.2">
      <c r="AF275" s="679"/>
    </row>
    <row r="276" spans="32:32" x14ac:dyDescent="0.2">
      <c r="AF276" s="679"/>
    </row>
    <row r="277" spans="32:32" x14ac:dyDescent="0.2">
      <c r="AF277" s="679"/>
    </row>
    <row r="278" spans="32:32" x14ac:dyDescent="0.2">
      <c r="AF278" s="679"/>
    </row>
    <row r="279" spans="32:32" x14ac:dyDescent="0.2">
      <c r="AF279" s="679"/>
    </row>
    <row r="280" spans="32:32" x14ac:dyDescent="0.2">
      <c r="AF280" s="679"/>
    </row>
    <row r="281" spans="32:32" x14ac:dyDescent="0.2">
      <c r="AF281" s="679"/>
    </row>
    <row r="282" spans="32:32" x14ac:dyDescent="0.2">
      <c r="AF282" s="679"/>
    </row>
    <row r="283" spans="32:32" x14ac:dyDescent="0.2">
      <c r="AF283" s="679"/>
    </row>
    <row r="284" spans="32:32" x14ac:dyDescent="0.2">
      <c r="AF284" s="679"/>
    </row>
    <row r="285" spans="32:32" x14ac:dyDescent="0.2">
      <c r="AF285" s="679"/>
    </row>
    <row r="286" spans="32:32" x14ac:dyDescent="0.2">
      <c r="AF286" s="679"/>
    </row>
    <row r="287" spans="32:32" x14ac:dyDescent="0.2">
      <c r="AF287" s="679"/>
    </row>
    <row r="288" spans="32:32" x14ac:dyDescent="0.2">
      <c r="AF288" s="679"/>
    </row>
    <row r="289" spans="32:32" x14ac:dyDescent="0.2">
      <c r="AF289" s="679"/>
    </row>
    <row r="290" spans="32:32" x14ac:dyDescent="0.2">
      <c r="AF290" s="679"/>
    </row>
    <row r="291" spans="32:32" x14ac:dyDescent="0.2">
      <c r="AF291" s="679"/>
    </row>
    <row r="292" spans="32:32" x14ac:dyDescent="0.2">
      <c r="AF292" s="679"/>
    </row>
    <row r="293" spans="32:32" x14ac:dyDescent="0.2">
      <c r="AF293" s="679"/>
    </row>
    <row r="294" spans="32:32" x14ac:dyDescent="0.2">
      <c r="AF294" s="679"/>
    </row>
    <row r="295" spans="32:32" x14ac:dyDescent="0.2">
      <c r="AF295" s="679"/>
    </row>
    <row r="296" spans="32:32" x14ac:dyDescent="0.2">
      <c r="AF296" s="679"/>
    </row>
    <row r="297" spans="32:32" x14ac:dyDescent="0.2">
      <c r="AF297" s="679"/>
    </row>
    <row r="298" spans="32:32" x14ac:dyDescent="0.2">
      <c r="AF298" s="679"/>
    </row>
    <row r="299" spans="32:32" x14ac:dyDescent="0.2">
      <c r="AF299" s="679"/>
    </row>
    <row r="300" spans="32:32" x14ac:dyDescent="0.2">
      <c r="AF300" s="679"/>
    </row>
    <row r="301" spans="32:32" x14ac:dyDescent="0.2">
      <c r="AF301" s="679"/>
    </row>
    <row r="302" spans="32:32" x14ac:dyDescent="0.2">
      <c r="AF302" s="679"/>
    </row>
    <row r="303" spans="32:32" x14ac:dyDescent="0.2">
      <c r="AF303" s="679"/>
    </row>
    <row r="304" spans="32:32" x14ac:dyDescent="0.2">
      <c r="AF304" s="679"/>
    </row>
    <row r="305" spans="32:32" x14ac:dyDescent="0.2">
      <c r="AF305" s="679"/>
    </row>
    <row r="306" spans="32:32" x14ac:dyDescent="0.2">
      <c r="AF306" s="679"/>
    </row>
    <row r="307" spans="32:32" x14ac:dyDescent="0.2">
      <c r="AF307" s="679"/>
    </row>
    <row r="308" spans="32:32" x14ac:dyDescent="0.2">
      <c r="AF308" s="679"/>
    </row>
    <row r="309" spans="32:32" x14ac:dyDescent="0.2">
      <c r="AF309" s="679"/>
    </row>
    <row r="310" spans="32:32" x14ac:dyDescent="0.2">
      <c r="AF310" s="679"/>
    </row>
    <row r="311" spans="32:32" x14ac:dyDescent="0.2">
      <c r="AF311" s="679"/>
    </row>
    <row r="312" spans="32:32" x14ac:dyDescent="0.2">
      <c r="AF312" s="679"/>
    </row>
    <row r="313" spans="32:32" x14ac:dyDescent="0.2">
      <c r="AF313" s="679"/>
    </row>
    <row r="314" spans="32:32" x14ac:dyDescent="0.2">
      <c r="AF314" s="679"/>
    </row>
    <row r="315" spans="32:32" x14ac:dyDescent="0.2">
      <c r="AF315" s="679"/>
    </row>
    <row r="316" spans="32:32" x14ac:dyDescent="0.2">
      <c r="AF316" s="679"/>
    </row>
    <row r="317" spans="32:32" x14ac:dyDescent="0.2">
      <c r="AF317" s="679"/>
    </row>
    <row r="318" spans="32:32" x14ac:dyDescent="0.2">
      <c r="AF318" s="679"/>
    </row>
    <row r="319" spans="32:32" x14ac:dyDescent="0.2">
      <c r="AF319" s="679"/>
    </row>
    <row r="320" spans="32:32" x14ac:dyDescent="0.2">
      <c r="AF320" s="679"/>
    </row>
    <row r="321" spans="32:32" x14ac:dyDescent="0.2">
      <c r="AF321" s="679"/>
    </row>
    <row r="322" spans="32:32" x14ac:dyDescent="0.2">
      <c r="AF322" s="679"/>
    </row>
    <row r="323" spans="32:32" x14ac:dyDescent="0.2">
      <c r="AF323" s="679"/>
    </row>
    <row r="324" spans="32:32" x14ac:dyDescent="0.2">
      <c r="AF324" s="679"/>
    </row>
    <row r="325" spans="32:32" x14ac:dyDescent="0.2">
      <c r="AF325" s="679"/>
    </row>
    <row r="326" spans="32:32" x14ac:dyDescent="0.2">
      <c r="AF326" s="679"/>
    </row>
    <row r="327" spans="32:32" x14ac:dyDescent="0.2">
      <c r="AF327" s="679"/>
    </row>
    <row r="328" spans="32:32" x14ac:dyDescent="0.2">
      <c r="AF328" s="679"/>
    </row>
    <row r="329" spans="32:32" x14ac:dyDescent="0.2">
      <c r="AF329" s="679"/>
    </row>
    <row r="330" spans="32:32" x14ac:dyDescent="0.2">
      <c r="AF330" s="679"/>
    </row>
    <row r="331" spans="32:32" x14ac:dyDescent="0.2">
      <c r="AF331" s="679"/>
    </row>
    <row r="332" spans="32:32" x14ac:dyDescent="0.2">
      <c r="AF332" s="679"/>
    </row>
    <row r="333" spans="32:32" x14ac:dyDescent="0.2">
      <c r="AF333" s="679"/>
    </row>
    <row r="334" spans="32:32" x14ac:dyDescent="0.2">
      <c r="AF334" s="679"/>
    </row>
    <row r="335" spans="32:32" x14ac:dyDescent="0.2">
      <c r="AF335" s="679"/>
    </row>
    <row r="336" spans="32:32" x14ac:dyDescent="0.2">
      <c r="AF336" s="679"/>
    </row>
    <row r="337" spans="32:32" x14ac:dyDescent="0.2">
      <c r="AF337" s="679"/>
    </row>
    <row r="338" spans="32:32" x14ac:dyDescent="0.2">
      <c r="AF338" s="679"/>
    </row>
    <row r="339" spans="32:32" x14ac:dyDescent="0.2">
      <c r="AF339" s="679"/>
    </row>
    <row r="340" spans="32:32" x14ac:dyDescent="0.2">
      <c r="AF340" s="679"/>
    </row>
    <row r="341" spans="32:32" x14ac:dyDescent="0.2">
      <c r="AF341" s="679"/>
    </row>
    <row r="342" spans="32:32" x14ac:dyDescent="0.2">
      <c r="AF342" s="679"/>
    </row>
    <row r="343" spans="32:32" x14ac:dyDescent="0.2">
      <c r="AF343" s="679"/>
    </row>
    <row r="344" spans="32:32" x14ac:dyDescent="0.2">
      <c r="AF344" s="679"/>
    </row>
    <row r="345" spans="32:32" x14ac:dyDescent="0.2">
      <c r="AF345" s="679"/>
    </row>
    <row r="346" spans="32:32" x14ac:dyDescent="0.2">
      <c r="AF346" s="679"/>
    </row>
    <row r="347" spans="32:32" x14ac:dyDescent="0.2">
      <c r="AF347" s="679"/>
    </row>
    <row r="348" spans="32:32" x14ac:dyDescent="0.2">
      <c r="AF348" s="679"/>
    </row>
    <row r="349" spans="32:32" x14ac:dyDescent="0.2">
      <c r="AF349" s="679"/>
    </row>
    <row r="350" spans="32:32" x14ac:dyDescent="0.2">
      <c r="AF350" s="679"/>
    </row>
    <row r="351" spans="32:32" x14ac:dyDescent="0.2">
      <c r="AF351" s="679"/>
    </row>
    <row r="352" spans="32:32" x14ac:dyDescent="0.2">
      <c r="AF352" s="679"/>
    </row>
    <row r="353" spans="32:32" x14ac:dyDescent="0.2">
      <c r="AF353" s="679"/>
    </row>
    <row r="354" spans="32:32" x14ac:dyDescent="0.2">
      <c r="AF354" s="679"/>
    </row>
    <row r="355" spans="32:32" x14ac:dyDescent="0.2">
      <c r="AF355" s="679"/>
    </row>
    <row r="356" spans="32:32" x14ac:dyDescent="0.2">
      <c r="AF356" s="679"/>
    </row>
    <row r="357" spans="32:32" x14ac:dyDescent="0.2">
      <c r="AF357" s="679"/>
    </row>
    <row r="358" spans="32:32" x14ac:dyDescent="0.2">
      <c r="AF358" s="679"/>
    </row>
    <row r="359" spans="32:32" x14ac:dyDescent="0.2">
      <c r="AF359" s="679"/>
    </row>
    <row r="360" spans="32:32" x14ac:dyDescent="0.2">
      <c r="AF360" s="679"/>
    </row>
    <row r="361" spans="32:32" x14ac:dyDescent="0.2">
      <c r="AF361" s="679"/>
    </row>
    <row r="362" spans="32:32" x14ac:dyDescent="0.2">
      <c r="AF362" s="679"/>
    </row>
    <row r="363" spans="32:32" x14ac:dyDescent="0.2">
      <c r="AF363" s="679"/>
    </row>
    <row r="364" spans="32:32" x14ac:dyDescent="0.2">
      <c r="AF364" s="679"/>
    </row>
    <row r="365" spans="32:32" x14ac:dyDescent="0.2">
      <c r="AF365" s="679"/>
    </row>
    <row r="366" spans="32:32" x14ac:dyDescent="0.2">
      <c r="AF366" s="679"/>
    </row>
    <row r="367" spans="32:32" x14ac:dyDescent="0.2">
      <c r="AF367" s="679"/>
    </row>
    <row r="368" spans="32:32" x14ac:dyDescent="0.2">
      <c r="AF368" s="679"/>
    </row>
    <row r="369" spans="32:32" x14ac:dyDescent="0.2">
      <c r="AF369" s="679"/>
    </row>
    <row r="370" spans="32:32" x14ac:dyDescent="0.2">
      <c r="AF370" s="679"/>
    </row>
    <row r="371" spans="32:32" x14ac:dyDescent="0.2">
      <c r="AF371" s="679"/>
    </row>
    <row r="372" spans="32:32" x14ac:dyDescent="0.2">
      <c r="AF372" s="679"/>
    </row>
    <row r="373" spans="32:32" x14ac:dyDescent="0.2">
      <c r="AF373" s="679"/>
    </row>
    <row r="374" spans="32:32" x14ac:dyDescent="0.2">
      <c r="AF374" s="679"/>
    </row>
    <row r="375" spans="32:32" x14ac:dyDescent="0.2">
      <c r="AF375" s="679"/>
    </row>
    <row r="376" spans="32:32" x14ac:dyDescent="0.2">
      <c r="AF376" s="679"/>
    </row>
    <row r="377" spans="32:32" x14ac:dyDescent="0.2">
      <c r="AF377" s="679"/>
    </row>
    <row r="378" spans="32:32" x14ac:dyDescent="0.2">
      <c r="AF378" s="679"/>
    </row>
    <row r="379" spans="32:32" x14ac:dyDescent="0.2">
      <c r="AF379" s="679"/>
    </row>
    <row r="380" spans="32:32" x14ac:dyDescent="0.2">
      <c r="AF380" s="679"/>
    </row>
    <row r="381" spans="32:32" x14ac:dyDescent="0.2">
      <c r="AF381" s="679"/>
    </row>
    <row r="382" spans="32:32" x14ac:dyDescent="0.2">
      <c r="AF382" s="679"/>
    </row>
    <row r="383" spans="32:32" x14ac:dyDescent="0.2">
      <c r="AF383" s="679"/>
    </row>
    <row r="384" spans="32:32" x14ac:dyDescent="0.2">
      <c r="AF384" s="679"/>
    </row>
    <row r="385" spans="32:32" x14ac:dyDescent="0.2">
      <c r="AF385" s="679"/>
    </row>
    <row r="386" spans="32:32" x14ac:dyDescent="0.2">
      <c r="AF386" s="679"/>
    </row>
    <row r="387" spans="32:32" x14ac:dyDescent="0.2">
      <c r="AF387" s="679"/>
    </row>
    <row r="388" spans="32:32" x14ac:dyDescent="0.2">
      <c r="AF388" s="679"/>
    </row>
    <row r="389" spans="32:32" x14ac:dyDescent="0.2">
      <c r="AF389" s="679"/>
    </row>
    <row r="390" spans="32:32" x14ac:dyDescent="0.2">
      <c r="AF390" s="679"/>
    </row>
    <row r="391" spans="32:32" x14ac:dyDescent="0.2">
      <c r="AF391" s="679"/>
    </row>
    <row r="392" spans="32:32" x14ac:dyDescent="0.2">
      <c r="AF392" s="679"/>
    </row>
    <row r="393" spans="32:32" x14ac:dyDescent="0.2">
      <c r="AF393" s="679"/>
    </row>
    <row r="394" spans="32:32" x14ac:dyDescent="0.2">
      <c r="AF394" s="679"/>
    </row>
    <row r="395" spans="32:32" x14ac:dyDescent="0.2">
      <c r="AF395" s="679"/>
    </row>
    <row r="396" spans="32:32" x14ac:dyDescent="0.2">
      <c r="AF396" s="679"/>
    </row>
    <row r="397" spans="32:32" x14ac:dyDescent="0.2">
      <c r="AF397" s="679"/>
    </row>
    <row r="398" spans="32:32" x14ac:dyDescent="0.2">
      <c r="AF398" s="679"/>
    </row>
    <row r="399" spans="32:32" x14ac:dyDescent="0.2">
      <c r="AF399" s="679"/>
    </row>
    <row r="400" spans="32:32" x14ac:dyDescent="0.2">
      <c r="AF400" s="679"/>
    </row>
    <row r="401" spans="32:32" x14ac:dyDescent="0.2">
      <c r="AF401" s="679"/>
    </row>
    <row r="402" spans="32:32" x14ac:dyDescent="0.2">
      <c r="AF402" s="679"/>
    </row>
    <row r="403" spans="32:32" x14ac:dyDescent="0.2">
      <c r="AF403" s="679"/>
    </row>
    <row r="404" spans="32:32" x14ac:dyDescent="0.2">
      <c r="AF404" s="679"/>
    </row>
    <row r="405" spans="32:32" x14ac:dyDescent="0.2">
      <c r="AF405" s="679"/>
    </row>
    <row r="406" spans="32:32" x14ac:dyDescent="0.2">
      <c r="AF406" s="679"/>
    </row>
    <row r="407" spans="32:32" x14ac:dyDescent="0.2">
      <c r="AF407" s="679"/>
    </row>
    <row r="408" spans="32:32" x14ac:dyDescent="0.2">
      <c r="AF408" s="679"/>
    </row>
    <row r="409" spans="32:32" x14ac:dyDescent="0.2">
      <c r="AF409" s="679"/>
    </row>
    <row r="410" spans="32:32" x14ac:dyDescent="0.2">
      <c r="AF410" s="679"/>
    </row>
    <row r="411" spans="32:32" x14ac:dyDescent="0.2">
      <c r="AF411" s="679"/>
    </row>
    <row r="412" spans="32:32" x14ac:dyDescent="0.2">
      <c r="AF412" s="679"/>
    </row>
    <row r="413" spans="32:32" x14ac:dyDescent="0.2">
      <c r="AF413" s="679"/>
    </row>
    <row r="414" spans="32:32" x14ac:dyDescent="0.2">
      <c r="AF414" s="679"/>
    </row>
    <row r="415" spans="32:32" x14ac:dyDescent="0.2">
      <c r="AF415" s="679"/>
    </row>
    <row r="416" spans="32:32" x14ac:dyDescent="0.2">
      <c r="AF416" s="679"/>
    </row>
    <row r="417" spans="32:32" x14ac:dyDescent="0.2">
      <c r="AF417" s="679"/>
    </row>
    <row r="418" spans="32:32" x14ac:dyDescent="0.2">
      <c r="AF418" s="679"/>
    </row>
    <row r="419" spans="32:32" x14ac:dyDescent="0.2">
      <c r="AF419" s="679"/>
    </row>
    <row r="420" spans="32:32" x14ac:dyDescent="0.2">
      <c r="AF420" s="679"/>
    </row>
    <row r="421" spans="32:32" x14ac:dyDescent="0.2">
      <c r="AF421" s="679"/>
    </row>
    <row r="422" spans="32:32" x14ac:dyDescent="0.2">
      <c r="AF422" s="679"/>
    </row>
    <row r="423" spans="32:32" x14ac:dyDescent="0.2">
      <c r="AF423" s="679"/>
    </row>
    <row r="424" spans="32:32" x14ac:dyDescent="0.2">
      <c r="AF424" s="679"/>
    </row>
    <row r="425" spans="32:32" x14ac:dyDescent="0.2">
      <c r="AF425" s="679"/>
    </row>
    <row r="426" spans="32:32" x14ac:dyDescent="0.2">
      <c r="AF426" s="679"/>
    </row>
    <row r="427" spans="32:32" x14ac:dyDescent="0.2">
      <c r="AF427" s="679"/>
    </row>
    <row r="428" spans="32:32" x14ac:dyDescent="0.2">
      <c r="AF428" s="679"/>
    </row>
    <row r="429" spans="32:32" x14ac:dyDescent="0.2">
      <c r="AF429" s="679"/>
    </row>
    <row r="430" spans="32:32" x14ac:dyDescent="0.2">
      <c r="AF430" s="679"/>
    </row>
    <row r="431" spans="32:32" x14ac:dyDescent="0.2">
      <c r="AF431" s="679"/>
    </row>
    <row r="432" spans="32:32" x14ac:dyDescent="0.2">
      <c r="AF432" s="679"/>
    </row>
    <row r="433" spans="32:32" x14ac:dyDescent="0.2">
      <c r="AF433" s="679"/>
    </row>
    <row r="434" spans="32:32" x14ac:dyDescent="0.2">
      <c r="AF434" s="679"/>
    </row>
    <row r="435" spans="32:32" x14ac:dyDescent="0.2">
      <c r="AF435" s="679"/>
    </row>
    <row r="436" spans="32:32" x14ac:dyDescent="0.2">
      <c r="AF436" s="679"/>
    </row>
    <row r="437" spans="32:32" x14ac:dyDescent="0.2">
      <c r="AF437" s="679"/>
    </row>
    <row r="438" spans="32:32" x14ac:dyDescent="0.2">
      <c r="AF438" s="679"/>
    </row>
    <row r="439" spans="32:32" x14ac:dyDescent="0.2">
      <c r="AF439" s="679"/>
    </row>
    <row r="440" spans="32:32" x14ac:dyDescent="0.2">
      <c r="AF440" s="679"/>
    </row>
    <row r="441" spans="32:32" x14ac:dyDescent="0.2">
      <c r="AF441" s="679"/>
    </row>
    <row r="442" spans="32:32" x14ac:dyDescent="0.2">
      <c r="AF442" s="679"/>
    </row>
    <row r="443" spans="32:32" x14ac:dyDescent="0.2">
      <c r="AF443" s="679"/>
    </row>
    <row r="444" spans="32:32" x14ac:dyDescent="0.2">
      <c r="AF444" s="679"/>
    </row>
    <row r="445" spans="32:32" x14ac:dyDescent="0.2">
      <c r="AF445" s="679"/>
    </row>
    <row r="446" spans="32:32" x14ac:dyDescent="0.2">
      <c r="AF446" s="679"/>
    </row>
    <row r="447" spans="32:32" x14ac:dyDescent="0.2">
      <c r="AF447" s="679"/>
    </row>
    <row r="448" spans="32:32" x14ac:dyDescent="0.2">
      <c r="AF448" s="679"/>
    </row>
    <row r="449" spans="32:32" x14ac:dyDescent="0.2">
      <c r="AF449" s="679"/>
    </row>
    <row r="450" spans="32:32" x14ac:dyDescent="0.2">
      <c r="AF450" s="679"/>
    </row>
    <row r="451" spans="32:32" x14ac:dyDescent="0.2">
      <c r="AF451" s="679"/>
    </row>
    <row r="452" spans="32:32" x14ac:dyDescent="0.2">
      <c r="AF452" s="679"/>
    </row>
    <row r="453" spans="32:32" x14ac:dyDescent="0.2">
      <c r="AF453" s="679"/>
    </row>
    <row r="454" spans="32:32" x14ac:dyDescent="0.2">
      <c r="AF454" s="679"/>
    </row>
    <row r="455" spans="32:32" x14ac:dyDescent="0.2">
      <c r="AF455" s="679"/>
    </row>
    <row r="456" spans="32:32" x14ac:dyDescent="0.2">
      <c r="AF456" s="679"/>
    </row>
    <row r="457" spans="32:32" x14ac:dyDescent="0.2">
      <c r="AF457" s="679"/>
    </row>
    <row r="458" spans="32:32" x14ac:dyDescent="0.2">
      <c r="AF458" s="679"/>
    </row>
    <row r="459" spans="32:32" x14ac:dyDescent="0.2">
      <c r="AF459" s="679"/>
    </row>
    <row r="460" spans="32:32" x14ac:dyDescent="0.2">
      <c r="AF460" s="679"/>
    </row>
    <row r="461" spans="32:32" x14ac:dyDescent="0.2">
      <c r="AF461" s="679"/>
    </row>
    <row r="462" spans="32:32" x14ac:dyDescent="0.2">
      <c r="AF462" s="679"/>
    </row>
    <row r="463" spans="32:32" x14ac:dyDescent="0.2">
      <c r="AF463" s="679"/>
    </row>
    <row r="464" spans="32:32" x14ac:dyDescent="0.2">
      <c r="AF464" s="679"/>
    </row>
    <row r="465" spans="32:32" x14ac:dyDescent="0.2">
      <c r="AF465" s="679"/>
    </row>
    <row r="466" spans="32:32" x14ac:dyDescent="0.2">
      <c r="AF466" s="679"/>
    </row>
    <row r="467" spans="32:32" x14ac:dyDescent="0.2">
      <c r="AF467" s="679"/>
    </row>
    <row r="468" spans="32:32" x14ac:dyDescent="0.2">
      <c r="AF468" s="679"/>
    </row>
    <row r="469" spans="32:32" x14ac:dyDescent="0.2">
      <c r="AF469" s="679"/>
    </row>
    <row r="470" spans="32:32" x14ac:dyDescent="0.2">
      <c r="AF470" s="679"/>
    </row>
    <row r="471" spans="32:32" x14ac:dyDescent="0.2">
      <c r="AF471" s="679"/>
    </row>
    <row r="472" spans="32:32" x14ac:dyDescent="0.2">
      <c r="AF472" s="679"/>
    </row>
    <row r="473" spans="32:32" x14ac:dyDescent="0.2">
      <c r="AF473" s="679"/>
    </row>
    <row r="474" spans="32:32" x14ac:dyDescent="0.2">
      <c r="AF474" s="679"/>
    </row>
    <row r="475" spans="32:32" x14ac:dyDescent="0.2">
      <c r="AF475" s="679"/>
    </row>
    <row r="476" spans="32:32" x14ac:dyDescent="0.2">
      <c r="AF476" s="679"/>
    </row>
    <row r="477" spans="32:32" x14ac:dyDescent="0.2">
      <c r="AF477" s="679"/>
    </row>
    <row r="478" spans="32:32" x14ac:dyDescent="0.2">
      <c r="AF478" s="679"/>
    </row>
    <row r="479" spans="32:32" x14ac:dyDescent="0.2">
      <c r="AF479" s="679"/>
    </row>
    <row r="480" spans="32:32" x14ac:dyDescent="0.2">
      <c r="AF480" s="679"/>
    </row>
    <row r="481" spans="32:32" x14ac:dyDescent="0.2">
      <c r="AF481" s="679"/>
    </row>
    <row r="482" spans="32:32" x14ac:dyDescent="0.2">
      <c r="AF482" s="679"/>
    </row>
    <row r="483" spans="32:32" x14ac:dyDescent="0.2">
      <c r="AF483" s="679"/>
    </row>
    <row r="484" spans="32:32" x14ac:dyDescent="0.2">
      <c r="AF484" s="679"/>
    </row>
    <row r="485" spans="32:32" x14ac:dyDescent="0.2">
      <c r="AF485" s="679"/>
    </row>
    <row r="486" spans="32:32" x14ac:dyDescent="0.2">
      <c r="AF486" s="679"/>
    </row>
    <row r="487" spans="32:32" x14ac:dyDescent="0.2">
      <c r="AF487" s="679"/>
    </row>
    <row r="488" spans="32:32" x14ac:dyDescent="0.2">
      <c r="AF488" s="679"/>
    </row>
    <row r="489" spans="32:32" x14ac:dyDescent="0.2">
      <c r="AF489" s="679"/>
    </row>
    <row r="490" spans="32:32" x14ac:dyDescent="0.2">
      <c r="AF490" s="679"/>
    </row>
    <row r="491" spans="32:32" x14ac:dyDescent="0.2">
      <c r="AF491" s="679"/>
    </row>
    <row r="492" spans="32:32" x14ac:dyDescent="0.2">
      <c r="AF492" s="679"/>
    </row>
    <row r="493" spans="32:32" x14ac:dyDescent="0.2">
      <c r="AF493" s="679"/>
    </row>
    <row r="494" spans="32:32" x14ac:dyDescent="0.2">
      <c r="AF494" s="679"/>
    </row>
    <row r="495" spans="32:32" x14ac:dyDescent="0.2">
      <c r="AF495" s="679"/>
    </row>
    <row r="496" spans="32:32" x14ac:dyDescent="0.2">
      <c r="AF496" s="679"/>
    </row>
    <row r="497" spans="32:32" x14ac:dyDescent="0.2">
      <c r="AF497" s="679"/>
    </row>
    <row r="498" spans="32:32" x14ac:dyDescent="0.2">
      <c r="AF498" s="679"/>
    </row>
    <row r="499" spans="32:32" x14ac:dyDescent="0.2">
      <c r="AF499" s="679"/>
    </row>
    <row r="500" spans="32:32" x14ac:dyDescent="0.2">
      <c r="AF500" s="679"/>
    </row>
    <row r="501" spans="32:32" x14ac:dyDescent="0.2">
      <c r="AF501" s="679"/>
    </row>
    <row r="502" spans="32:32" x14ac:dyDescent="0.2">
      <c r="AF502" s="679"/>
    </row>
    <row r="503" spans="32:32" x14ac:dyDescent="0.2">
      <c r="AF503" s="679"/>
    </row>
    <row r="504" spans="32:32" x14ac:dyDescent="0.2">
      <c r="AF504" s="679"/>
    </row>
    <row r="505" spans="32:32" x14ac:dyDescent="0.2">
      <c r="AF505" s="679"/>
    </row>
    <row r="506" spans="32:32" x14ac:dyDescent="0.2">
      <c r="AF506" s="679"/>
    </row>
    <row r="507" spans="32:32" x14ac:dyDescent="0.2">
      <c r="AF507" s="679"/>
    </row>
    <row r="508" spans="32:32" x14ac:dyDescent="0.2">
      <c r="AF508" s="679"/>
    </row>
    <row r="509" spans="32:32" x14ac:dyDescent="0.2">
      <c r="AF509" s="679"/>
    </row>
    <row r="510" spans="32:32" x14ac:dyDescent="0.2">
      <c r="AF510" s="679"/>
    </row>
    <row r="511" spans="32:32" x14ac:dyDescent="0.2">
      <c r="AF511" s="679"/>
    </row>
    <row r="512" spans="32:32" x14ac:dyDescent="0.2">
      <c r="AF512" s="679"/>
    </row>
    <row r="513" spans="32:32" x14ac:dyDescent="0.2">
      <c r="AF513" s="679"/>
    </row>
    <row r="514" spans="32:32" x14ac:dyDescent="0.2">
      <c r="AF514" s="679"/>
    </row>
    <row r="515" spans="32:32" x14ac:dyDescent="0.2">
      <c r="AF515" s="679"/>
    </row>
    <row r="516" spans="32:32" x14ac:dyDescent="0.2">
      <c r="AF516" s="679"/>
    </row>
    <row r="517" spans="32:32" x14ac:dyDescent="0.2">
      <c r="AF517" s="679"/>
    </row>
    <row r="518" spans="32:32" x14ac:dyDescent="0.2">
      <c r="AF518" s="679"/>
    </row>
    <row r="519" spans="32:32" x14ac:dyDescent="0.2">
      <c r="AF519" s="679"/>
    </row>
    <row r="520" spans="32:32" x14ac:dyDescent="0.2">
      <c r="AF520" s="679"/>
    </row>
    <row r="521" spans="32:32" x14ac:dyDescent="0.2">
      <c r="AF521" s="679"/>
    </row>
    <row r="522" spans="32:32" x14ac:dyDescent="0.2">
      <c r="AF522" s="679"/>
    </row>
    <row r="523" spans="32:32" x14ac:dyDescent="0.2">
      <c r="AF523" s="679"/>
    </row>
    <row r="524" spans="32:32" x14ac:dyDescent="0.2">
      <c r="AF524" s="679"/>
    </row>
    <row r="525" spans="32:32" x14ac:dyDescent="0.2">
      <c r="AF525" s="679"/>
    </row>
    <row r="526" spans="32:32" x14ac:dyDescent="0.2">
      <c r="AF526" s="679"/>
    </row>
    <row r="527" spans="32:32" x14ac:dyDescent="0.2">
      <c r="AF527" s="679"/>
    </row>
    <row r="528" spans="32:32" x14ac:dyDescent="0.2">
      <c r="AF528" s="679"/>
    </row>
    <row r="529" spans="32:32" x14ac:dyDescent="0.2">
      <c r="AF529" s="679"/>
    </row>
    <row r="530" spans="32:32" x14ac:dyDescent="0.2">
      <c r="AF530" s="679"/>
    </row>
    <row r="531" spans="32:32" x14ac:dyDescent="0.2">
      <c r="AF531" s="679"/>
    </row>
    <row r="532" spans="32:32" x14ac:dyDescent="0.2">
      <c r="AF532" s="679"/>
    </row>
    <row r="533" spans="32:32" x14ac:dyDescent="0.2">
      <c r="AF533" s="679"/>
    </row>
    <row r="534" spans="32:32" x14ac:dyDescent="0.2">
      <c r="AF534" s="679"/>
    </row>
    <row r="535" spans="32:32" x14ac:dyDescent="0.2">
      <c r="AF535" s="679"/>
    </row>
    <row r="536" spans="32:32" x14ac:dyDescent="0.2">
      <c r="AF536" s="679"/>
    </row>
    <row r="537" spans="32:32" x14ac:dyDescent="0.2">
      <c r="AF537" s="679"/>
    </row>
    <row r="538" spans="32:32" x14ac:dyDescent="0.2">
      <c r="AF538" s="679"/>
    </row>
    <row r="539" spans="32:32" x14ac:dyDescent="0.2">
      <c r="AF539" s="679"/>
    </row>
    <row r="540" spans="32:32" x14ac:dyDescent="0.2">
      <c r="AF540" s="679"/>
    </row>
    <row r="541" spans="32:32" x14ac:dyDescent="0.2">
      <c r="AF541" s="679"/>
    </row>
    <row r="542" spans="32:32" x14ac:dyDescent="0.2">
      <c r="AF542" s="679"/>
    </row>
    <row r="543" spans="32:32" x14ac:dyDescent="0.2">
      <c r="AF543" s="679"/>
    </row>
    <row r="544" spans="32:32" x14ac:dyDescent="0.2">
      <c r="AF544" s="679"/>
    </row>
    <row r="545" spans="32:32" x14ac:dyDescent="0.2">
      <c r="AF545" s="679"/>
    </row>
    <row r="546" spans="32:32" x14ac:dyDescent="0.2">
      <c r="AF546" s="679"/>
    </row>
    <row r="547" spans="32:32" x14ac:dyDescent="0.2">
      <c r="AF547" s="679"/>
    </row>
    <row r="548" spans="32:32" x14ac:dyDescent="0.2">
      <c r="AF548" s="679"/>
    </row>
    <row r="549" spans="32:32" x14ac:dyDescent="0.2">
      <c r="AF549" s="679"/>
    </row>
    <row r="550" spans="32:32" x14ac:dyDescent="0.2">
      <c r="AF550" s="679"/>
    </row>
    <row r="551" spans="32:32" x14ac:dyDescent="0.2">
      <c r="AF551" s="679"/>
    </row>
    <row r="552" spans="32:32" x14ac:dyDescent="0.2">
      <c r="AF552" s="679"/>
    </row>
    <row r="553" spans="32:32" x14ac:dyDescent="0.2">
      <c r="AF553" s="679"/>
    </row>
    <row r="554" spans="32:32" x14ac:dyDescent="0.2">
      <c r="AF554" s="679"/>
    </row>
    <row r="555" spans="32:32" x14ac:dyDescent="0.2">
      <c r="AF555" s="679"/>
    </row>
    <row r="556" spans="32:32" x14ac:dyDescent="0.2">
      <c r="AF556" s="679"/>
    </row>
    <row r="557" spans="32:32" x14ac:dyDescent="0.2">
      <c r="AF557" s="679"/>
    </row>
    <row r="558" spans="32:32" x14ac:dyDescent="0.2">
      <c r="AF558" s="679"/>
    </row>
    <row r="559" spans="32:32" x14ac:dyDescent="0.2">
      <c r="AF559" s="679"/>
    </row>
    <row r="560" spans="32:32" x14ac:dyDescent="0.2">
      <c r="AF560" s="679"/>
    </row>
    <row r="561" spans="32:32" x14ac:dyDescent="0.2">
      <c r="AF561" s="679"/>
    </row>
    <row r="562" spans="32:32" x14ac:dyDescent="0.2">
      <c r="AF562" s="679"/>
    </row>
    <row r="563" spans="32:32" x14ac:dyDescent="0.2">
      <c r="AF563" s="679"/>
    </row>
    <row r="564" spans="32:32" x14ac:dyDescent="0.2">
      <c r="AF564" s="679"/>
    </row>
    <row r="565" spans="32:32" x14ac:dyDescent="0.2">
      <c r="AF565" s="679"/>
    </row>
    <row r="566" spans="32:32" x14ac:dyDescent="0.2">
      <c r="AF566" s="679"/>
    </row>
    <row r="567" spans="32:32" x14ac:dyDescent="0.2">
      <c r="AF567" s="679"/>
    </row>
    <row r="568" spans="32:32" x14ac:dyDescent="0.2">
      <c r="AF568" s="679"/>
    </row>
    <row r="569" spans="32:32" x14ac:dyDescent="0.2">
      <c r="AF569" s="679"/>
    </row>
    <row r="570" spans="32:32" x14ac:dyDescent="0.2">
      <c r="AF570" s="679"/>
    </row>
    <row r="571" spans="32:32" x14ac:dyDescent="0.2">
      <c r="AF571" s="679"/>
    </row>
    <row r="572" spans="32:32" x14ac:dyDescent="0.2">
      <c r="AF572" s="679"/>
    </row>
    <row r="573" spans="32:32" x14ac:dyDescent="0.2">
      <c r="AF573" s="679"/>
    </row>
    <row r="574" spans="32:32" x14ac:dyDescent="0.2">
      <c r="AF574" s="679"/>
    </row>
    <row r="575" spans="32:32" x14ac:dyDescent="0.2">
      <c r="AF575" s="679"/>
    </row>
    <row r="576" spans="32:32" x14ac:dyDescent="0.2">
      <c r="AF576" s="679"/>
    </row>
    <row r="577" spans="32:32" x14ac:dyDescent="0.2">
      <c r="AF577" s="679"/>
    </row>
    <row r="578" spans="32:32" x14ac:dyDescent="0.2">
      <c r="AF578" s="679"/>
    </row>
    <row r="579" spans="32:32" x14ac:dyDescent="0.2">
      <c r="AF579" s="679"/>
    </row>
    <row r="580" spans="32:32" x14ac:dyDescent="0.2">
      <c r="AF580" s="679"/>
    </row>
    <row r="581" spans="32:32" x14ac:dyDescent="0.2">
      <c r="AF581" s="679"/>
    </row>
    <row r="582" spans="32:32" x14ac:dyDescent="0.2">
      <c r="AF582" s="679"/>
    </row>
    <row r="583" spans="32:32" x14ac:dyDescent="0.2">
      <c r="AF583" s="679"/>
    </row>
    <row r="584" spans="32:32" x14ac:dyDescent="0.2">
      <c r="AF584" s="679"/>
    </row>
    <row r="585" spans="32:32" x14ac:dyDescent="0.2">
      <c r="AF585" s="679"/>
    </row>
    <row r="586" spans="32:32" x14ac:dyDescent="0.2">
      <c r="AF586" s="679"/>
    </row>
    <row r="587" spans="32:32" x14ac:dyDescent="0.2">
      <c r="AF587" s="679"/>
    </row>
    <row r="588" spans="32:32" x14ac:dyDescent="0.2">
      <c r="AF588" s="679"/>
    </row>
    <row r="589" spans="32:32" x14ac:dyDescent="0.2">
      <c r="AF589" s="679"/>
    </row>
    <row r="590" spans="32:32" x14ac:dyDescent="0.2">
      <c r="AF590" s="679"/>
    </row>
    <row r="591" spans="32:32" x14ac:dyDescent="0.2">
      <c r="AF591" s="679"/>
    </row>
    <row r="592" spans="32:32" x14ac:dyDescent="0.2">
      <c r="AF592" s="679"/>
    </row>
    <row r="593" spans="32:32" x14ac:dyDescent="0.2">
      <c r="AF593" s="679"/>
    </row>
    <row r="594" spans="32:32" x14ac:dyDescent="0.2">
      <c r="AF594" s="679"/>
    </row>
    <row r="595" spans="32:32" x14ac:dyDescent="0.2">
      <c r="AF595" s="679"/>
    </row>
    <row r="596" spans="32:32" x14ac:dyDescent="0.2">
      <c r="AF596" s="679"/>
    </row>
    <row r="597" spans="32:32" x14ac:dyDescent="0.2">
      <c r="AF597" s="679"/>
    </row>
    <row r="598" spans="32:32" x14ac:dyDescent="0.2">
      <c r="AF598" s="679"/>
    </row>
    <row r="599" spans="32:32" x14ac:dyDescent="0.2">
      <c r="AF599" s="679"/>
    </row>
    <row r="600" spans="32:32" x14ac:dyDescent="0.2">
      <c r="AF600" s="679"/>
    </row>
    <row r="601" spans="32:32" x14ac:dyDescent="0.2">
      <c r="AF601" s="679"/>
    </row>
    <row r="602" spans="32:32" x14ac:dyDescent="0.2">
      <c r="AF602" s="679"/>
    </row>
    <row r="603" spans="32:32" x14ac:dyDescent="0.2">
      <c r="AF603" s="679"/>
    </row>
    <row r="604" spans="32:32" x14ac:dyDescent="0.2">
      <c r="AF604" s="679"/>
    </row>
    <row r="605" spans="32:32" x14ac:dyDescent="0.2">
      <c r="AF605" s="679"/>
    </row>
    <row r="606" spans="32:32" x14ac:dyDescent="0.2">
      <c r="AF606" s="679"/>
    </row>
    <row r="607" spans="32:32" x14ac:dyDescent="0.2">
      <c r="AF607" s="679"/>
    </row>
    <row r="608" spans="32:32" x14ac:dyDescent="0.2">
      <c r="AF608" s="679"/>
    </row>
    <row r="609" spans="32:32" x14ac:dyDescent="0.2">
      <c r="AF609" s="679"/>
    </row>
    <row r="610" spans="32:32" x14ac:dyDescent="0.2">
      <c r="AF610" s="679"/>
    </row>
    <row r="611" spans="32:32" x14ac:dyDescent="0.2">
      <c r="AF611" s="679"/>
    </row>
    <row r="612" spans="32:32" x14ac:dyDescent="0.2">
      <c r="AF612" s="679"/>
    </row>
    <row r="613" spans="32:32" x14ac:dyDescent="0.2">
      <c r="AF613" s="679"/>
    </row>
    <row r="614" spans="32:32" x14ac:dyDescent="0.2">
      <c r="AF614" s="679"/>
    </row>
    <row r="615" spans="32:32" x14ac:dyDescent="0.2">
      <c r="AF615" s="679"/>
    </row>
    <row r="616" spans="32:32" x14ac:dyDescent="0.2">
      <c r="AF616" s="679"/>
    </row>
    <row r="617" spans="32:32" x14ac:dyDescent="0.2">
      <c r="AF617" s="679"/>
    </row>
    <row r="618" spans="32:32" x14ac:dyDescent="0.2">
      <c r="AF618" s="679"/>
    </row>
    <row r="619" spans="32:32" x14ac:dyDescent="0.2">
      <c r="AF619" s="679"/>
    </row>
    <row r="620" spans="32:32" x14ac:dyDescent="0.2">
      <c r="AF620" s="679"/>
    </row>
    <row r="621" spans="32:32" x14ac:dyDescent="0.2">
      <c r="AF621" s="679"/>
    </row>
    <row r="622" spans="32:32" x14ac:dyDescent="0.2">
      <c r="AF622" s="679"/>
    </row>
    <row r="623" spans="32:32" x14ac:dyDescent="0.2">
      <c r="AF623" s="679"/>
    </row>
    <row r="624" spans="32:32" x14ac:dyDescent="0.2">
      <c r="AF624" s="679"/>
    </row>
    <row r="625" spans="32:32" x14ac:dyDescent="0.2">
      <c r="AF625" s="679"/>
    </row>
    <row r="626" spans="32:32" x14ac:dyDescent="0.2">
      <c r="AF626" s="679"/>
    </row>
    <row r="627" spans="32:32" x14ac:dyDescent="0.2">
      <c r="AF627" s="679"/>
    </row>
    <row r="628" spans="32:32" x14ac:dyDescent="0.2">
      <c r="AF628" s="679"/>
    </row>
    <row r="629" spans="32:32" x14ac:dyDescent="0.2">
      <c r="AF629" s="679"/>
    </row>
    <row r="630" spans="32:32" x14ac:dyDescent="0.2">
      <c r="AF630" s="679"/>
    </row>
    <row r="631" spans="32:32" x14ac:dyDescent="0.2">
      <c r="AF631" s="679"/>
    </row>
    <row r="632" spans="32:32" x14ac:dyDescent="0.2">
      <c r="AF632" s="679"/>
    </row>
    <row r="633" spans="32:32" x14ac:dyDescent="0.2">
      <c r="AF633" s="679"/>
    </row>
    <row r="634" spans="32:32" x14ac:dyDescent="0.2">
      <c r="AF634" s="679"/>
    </row>
    <row r="635" spans="32:32" x14ac:dyDescent="0.2">
      <c r="AF635" s="679"/>
    </row>
    <row r="636" spans="32:32" x14ac:dyDescent="0.2">
      <c r="AF636" s="679"/>
    </row>
    <row r="637" spans="32:32" x14ac:dyDescent="0.2">
      <c r="AF637" s="679"/>
    </row>
    <row r="638" spans="32:32" x14ac:dyDescent="0.2">
      <c r="AF638" s="679"/>
    </row>
    <row r="639" spans="32:32" x14ac:dyDescent="0.2">
      <c r="AF639" s="679"/>
    </row>
    <row r="640" spans="32:32" x14ac:dyDescent="0.2">
      <c r="AF640" s="679"/>
    </row>
    <row r="641" spans="32:32" x14ac:dyDescent="0.2">
      <c r="AF641" s="679"/>
    </row>
    <row r="642" spans="32:32" x14ac:dyDescent="0.2">
      <c r="AF642" s="679"/>
    </row>
    <row r="643" spans="32:32" x14ac:dyDescent="0.2">
      <c r="AF643" s="679"/>
    </row>
    <row r="644" spans="32:32" x14ac:dyDescent="0.2">
      <c r="AF644" s="679"/>
    </row>
    <row r="645" spans="32:32" x14ac:dyDescent="0.2">
      <c r="AF645" s="679"/>
    </row>
    <row r="646" spans="32:32" x14ac:dyDescent="0.2">
      <c r="AF646" s="679"/>
    </row>
    <row r="647" spans="32:32" x14ac:dyDescent="0.2">
      <c r="AF647" s="679"/>
    </row>
    <row r="648" spans="32:32" x14ac:dyDescent="0.2">
      <c r="AF648" s="679"/>
    </row>
    <row r="649" spans="32:32" x14ac:dyDescent="0.2">
      <c r="AF649" s="679"/>
    </row>
    <row r="650" spans="32:32" x14ac:dyDescent="0.2">
      <c r="AF650" s="679"/>
    </row>
    <row r="651" spans="32:32" x14ac:dyDescent="0.2">
      <c r="AF651" s="679"/>
    </row>
    <row r="652" spans="32:32" x14ac:dyDescent="0.2">
      <c r="AF652" s="679"/>
    </row>
    <row r="653" spans="32:32" x14ac:dyDescent="0.2">
      <c r="AF653" s="679"/>
    </row>
    <row r="654" spans="32:32" x14ac:dyDescent="0.2">
      <c r="AF654" s="679"/>
    </row>
    <row r="655" spans="32:32" x14ac:dyDescent="0.2">
      <c r="AF655" s="679"/>
    </row>
    <row r="656" spans="32:32" x14ac:dyDescent="0.2">
      <c r="AF656" s="679"/>
    </row>
    <row r="657" spans="32:32" x14ac:dyDescent="0.2">
      <c r="AF657" s="679"/>
    </row>
    <row r="658" spans="32:32" x14ac:dyDescent="0.2">
      <c r="AF658" s="679"/>
    </row>
    <row r="659" spans="32:32" x14ac:dyDescent="0.2">
      <c r="AF659" s="679"/>
    </row>
    <row r="660" spans="32:32" x14ac:dyDescent="0.2">
      <c r="AF660" s="679"/>
    </row>
    <row r="661" spans="32:32" x14ac:dyDescent="0.2">
      <c r="AF661" s="679"/>
    </row>
    <row r="662" spans="32:32" x14ac:dyDescent="0.2">
      <c r="AF662" s="679"/>
    </row>
    <row r="663" spans="32:32" x14ac:dyDescent="0.2">
      <c r="AF663" s="679"/>
    </row>
    <row r="664" spans="32:32" x14ac:dyDescent="0.2">
      <c r="AF664" s="679"/>
    </row>
    <row r="665" spans="32:32" x14ac:dyDescent="0.2">
      <c r="AF665" s="679"/>
    </row>
    <row r="666" spans="32:32" x14ac:dyDescent="0.2">
      <c r="AF666" s="679"/>
    </row>
    <row r="667" spans="32:32" x14ac:dyDescent="0.2">
      <c r="AF667" s="679"/>
    </row>
    <row r="668" spans="32:32" x14ac:dyDescent="0.2">
      <c r="AF668" s="679"/>
    </row>
    <row r="669" spans="32:32" x14ac:dyDescent="0.2">
      <c r="AF669" s="679"/>
    </row>
    <row r="670" spans="32:32" x14ac:dyDescent="0.2">
      <c r="AF670" s="679"/>
    </row>
    <row r="671" spans="32:32" x14ac:dyDescent="0.2">
      <c r="AF671" s="679"/>
    </row>
    <row r="672" spans="32:32" x14ac:dyDescent="0.2">
      <c r="AF672" s="679"/>
    </row>
    <row r="673" spans="32:32" x14ac:dyDescent="0.2">
      <c r="AF673" s="679"/>
    </row>
    <row r="674" spans="32:32" x14ac:dyDescent="0.2">
      <c r="AF674" s="679"/>
    </row>
    <row r="675" spans="32:32" x14ac:dyDescent="0.2">
      <c r="AF675" s="679"/>
    </row>
    <row r="676" spans="32:32" x14ac:dyDescent="0.2">
      <c r="AF676" s="679"/>
    </row>
    <row r="677" spans="32:32" x14ac:dyDescent="0.2">
      <c r="AF677" s="679"/>
    </row>
    <row r="678" spans="32:32" x14ac:dyDescent="0.2">
      <c r="AF678" s="679"/>
    </row>
    <row r="679" spans="32:32" x14ac:dyDescent="0.2">
      <c r="AF679" s="679"/>
    </row>
    <row r="680" spans="32:32" x14ac:dyDescent="0.2">
      <c r="AF680" s="679"/>
    </row>
    <row r="681" spans="32:32" x14ac:dyDescent="0.2">
      <c r="AF681" s="679"/>
    </row>
    <row r="682" spans="32:32" x14ac:dyDescent="0.2">
      <c r="AF682" s="679"/>
    </row>
    <row r="683" spans="32:32" x14ac:dyDescent="0.2">
      <c r="AF683" s="679"/>
    </row>
    <row r="684" spans="32:32" x14ac:dyDescent="0.2">
      <c r="AF684" s="679"/>
    </row>
    <row r="685" spans="32:32" x14ac:dyDescent="0.2">
      <c r="AF685" s="679"/>
    </row>
    <row r="686" spans="32:32" x14ac:dyDescent="0.2">
      <c r="AF686" s="679"/>
    </row>
    <row r="687" spans="32:32" x14ac:dyDescent="0.2">
      <c r="AF687" s="679"/>
    </row>
    <row r="688" spans="32:32" x14ac:dyDescent="0.2">
      <c r="AF688" s="679"/>
    </row>
    <row r="689" spans="32:32" x14ac:dyDescent="0.2">
      <c r="AF689" s="679"/>
    </row>
    <row r="690" spans="32:32" x14ac:dyDescent="0.2">
      <c r="AF690" s="679"/>
    </row>
    <row r="691" spans="32:32" x14ac:dyDescent="0.2">
      <c r="AF691" s="679"/>
    </row>
    <row r="692" spans="32:32" x14ac:dyDescent="0.2">
      <c r="AF692" s="679"/>
    </row>
    <row r="693" spans="32:32" x14ac:dyDescent="0.2">
      <c r="AF693" s="679"/>
    </row>
    <row r="694" spans="32:32" x14ac:dyDescent="0.2">
      <c r="AF694" s="679"/>
    </row>
    <row r="695" spans="32:32" x14ac:dyDescent="0.2">
      <c r="AF695" s="679"/>
    </row>
    <row r="696" spans="32:32" x14ac:dyDescent="0.2">
      <c r="AF696" s="679"/>
    </row>
    <row r="697" spans="32:32" x14ac:dyDescent="0.2">
      <c r="AF697" s="679"/>
    </row>
    <row r="698" spans="32:32" x14ac:dyDescent="0.2">
      <c r="AF698" s="679"/>
    </row>
    <row r="699" spans="32:32" x14ac:dyDescent="0.2">
      <c r="AF699" s="679"/>
    </row>
    <row r="700" spans="32:32" x14ac:dyDescent="0.2">
      <c r="AF700" s="679"/>
    </row>
    <row r="701" spans="32:32" x14ac:dyDescent="0.2">
      <c r="AF701" s="679"/>
    </row>
    <row r="702" spans="32:32" x14ac:dyDescent="0.2">
      <c r="AF702" s="679"/>
    </row>
    <row r="703" spans="32:32" x14ac:dyDescent="0.2">
      <c r="AF703" s="679"/>
    </row>
    <row r="704" spans="32:32" x14ac:dyDescent="0.2">
      <c r="AF704" s="679"/>
    </row>
    <row r="705" spans="32:32" x14ac:dyDescent="0.2">
      <c r="AF705" s="679"/>
    </row>
    <row r="706" spans="32:32" x14ac:dyDescent="0.2">
      <c r="AF706" s="679"/>
    </row>
    <row r="707" spans="32:32" x14ac:dyDescent="0.2">
      <c r="AF707" s="679"/>
    </row>
    <row r="708" spans="32:32" x14ac:dyDescent="0.2">
      <c r="AF708" s="679"/>
    </row>
    <row r="709" spans="32:32" x14ac:dyDescent="0.2">
      <c r="AF709" s="679"/>
    </row>
    <row r="710" spans="32:32" x14ac:dyDescent="0.2">
      <c r="AF710" s="679"/>
    </row>
    <row r="711" spans="32:32" x14ac:dyDescent="0.2">
      <c r="AF711" s="679"/>
    </row>
    <row r="712" spans="32:32" x14ac:dyDescent="0.2">
      <c r="AF712" s="679"/>
    </row>
    <row r="713" spans="32:32" x14ac:dyDescent="0.2">
      <c r="AF713" s="679"/>
    </row>
    <row r="714" spans="32:32" x14ac:dyDescent="0.2">
      <c r="AF714" s="679"/>
    </row>
    <row r="715" spans="32:32" x14ac:dyDescent="0.2">
      <c r="AF715" s="679"/>
    </row>
    <row r="716" spans="32:32" x14ac:dyDescent="0.2">
      <c r="AF716" s="679"/>
    </row>
    <row r="717" spans="32:32" x14ac:dyDescent="0.2">
      <c r="AF717" s="679"/>
    </row>
    <row r="718" spans="32:32" x14ac:dyDescent="0.2">
      <c r="AF718" s="679"/>
    </row>
    <row r="719" spans="32:32" x14ac:dyDescent="0.2">
      <c r="AF719" s="679"/>
    </row>
    <row r="720" spans="32:32" x14ac:dyDescent="0.2">
      <c r="AF720" s="679"/>
    </row>
    <row r="721" spans="32:32" x14ac:dyDescent="0.2">
      <c r="AF721" s="679"/>
    </row>
    <row r="722" spans="32:32" x14ac:dyDescent="0.2">
      <c r="AF722" s="679"/>
    </row>
    <row r="723" spans="32:32" x14ac:dyDescent="0.2">
      <c r="AF723" s="679"/>
    </row>
    <row r="724" spans="32:32" x14ac:dyDescent="0.2">
      <c r="AF724" s="679"/>
    </row>
    <row r="725" spans="32:32" x14ac:dyDescent="0.2">
      <c r="AF725" s="679"/>
    </row>
    <row r="726" spans="32:32" x14ac:dyDescent="0.2">
      <c r="AF726" s="679"/>
    </row>
    <row r="727" spans="32:32" x14ac:dyDescent="0.2">
      <c r="AF727" s="679"/>
    </row>
    <row r="728" spans="32:32" x14ac:dyDescent="0.2">
      <c r="AF728" s="679"/>
    </row>
    <row r="729" spans="32:32" x14ac:dyDescent="0.2">
      <c r="AF729" s="679"/>
    </row>
    <row r="730" spans="32:32" x14ac:dyDescent="0.2">
      <c r="AF730" s="679"/>
    </row>
    <row r="731" spans="32:32" x14ac:dyDescent="0.2">
      <c r="AF731" s="679"/>
    </row>
    <row r="732" spans="32:32" x14ac:dyDescent="0.2">
      <c r="AF732" s="679"/>
    </row>
    <row r="733" spans="32:32" x14ac:dyDescent="0.2">
      <c r="AF733" s="679"/>
    </row>
    <row r="734" spans="32:32" x14ac:dyDescent="0.2">
      <c r="AF734" s="679"/>
    </row>
    <row r="735" spans="32:32" x14ac:dyDescent="0.2">
      <c r="AF735" s="679"/>
    </row>
    <row r="736" spans="32:32" x14ac:dyDescent="0.2">
      <c r="AF736" s="679"/>
    </row>
    <row r="737" spans="32:32" x14ac:dyDescent="0.2">
      <c r="AF737" s="679"/>
    </row>
    <row r="738" spans="32:32" x14ac:dyDescent="0.2">
      <c r="AF738" s="679"/>
    </row>
    <row r="739" spans="32:32" x14ac:dyDescent="0.2">
      <c r="AF739" s="679"/>
    </row>
    <row r="740" spans="32:32" x14ac:dyDescent="0.2">
      <c r="AF740" s="679"/>
    </row>
    <row r="741" spans="32:32" x14ac:dyDescent="0.2">
      <c r="AF741" s="679"/>
    </row>
    <row r="742" spans="32:32" x14ac:dyDescent="0.2">
      <c r="AF742" s="679"/>
    </row>
    <row r="743" spans="32:32" x14ac:dyDescent="0.2">
      <c r="AF743" s="679"/>
    </row>
    <row r="744" spans="32:32" x14ac:dyDescent="0.2">
      <c r="AF744" s="679"/>
    </row>
    <row r="745" spans="32:32" x14ac:dyDescent="0.2">
      <c r="AF745" s="679"/>
    </row>
    <row r="746" spans="32:32" x14ac:dyDescent="0.2">
      <c r="AF746" s="679"/>
    </row>
    <row r="747" spans="32:32" x14ac:dyDescent="0.2">
      <c r="AF747" s="679"/>
    </row>
    <row r="748" spans="32:32" x14ac:dyDescent="0.2">
      <c r="AF748" s="679"/>
    </row>
    <row r="749" spans="32:32" x14ac:dyDescent="0.2">
      <c r="AF749" s="679"/>
    </row>
    <row r="750" spans="32:32" x14ac:dyDescent="0.2">
      <c r="AF750" s="679"/>
    </row>
    <row r="751" spans="32:32" x14ac:dyDescent="0.2">
      <c r="AF751" s="679"/>
    </row>
    <row r="752" spans="32:32" x14ac:dyDescent="0.2">
      <c r="AF752" s="679"/>
    </row>
    <row r="753" spans="32:32" x14ac:dyDescent="0.2">
      <c r="AF753" s="679"/>
    </row>
    <row r="754" spans="32:32" x14ac:dyDescent="0.2">
      <c r="AF754" s="679"/>
    </row>
    <row r="755" spans="32:32" x14ac:dyDescent="0.2">
      <c r="AF755" s="679"/>
    </row>
    <row r="756" spans="32:32" x14ac:dyDescent="0.2">
      <c r="AF756" s="679"/>
    </row>
    <row r="757" spans="32:32" x14ac:dyDescent="0.2">
      <c r="AF757" s="679"/>
    </row>
    <row r="758" spans="32:32" x14ac:dyDescent="0.2">
      <c r="AF758" s="679"/>
    </row>
    <row r="759" spans="32:32" x14ac:dyDescent="0.2">
      <c r="AF759" s="679"/>
    </row>
    <row r="760" spans="32:32" x14ac:dyDescent="0.2">
      <c r="AF760" s="679"/>
    </row>
    <row r="761" spans="32:32" x14ac:dyDescent="0.2">
      <c r="AF761" s="679"/>
    </row>
    <row r="762" spans="32:32" x14ac:dyDescent="0.2">
      <c r="AF762" s="679"/>
    </row>
    <row r="763" spans="32:32" x14ac:dyDescent="0.2">
      <c r="AF763" s="679"/>
    </row>
    <row r="764" spans="32:32" x14ac:dyDescent="0.2">
      <c r="AF764" s="679"/>
    </row>
    <row r="765" spans="32:32" x14ac:dyDescent="0.2">
      <c r="AF765" s="679"/>
    </row>
    <row r="766" spans="32:32" x14ac:dyDescent="0.2">
      <c r="AF766" s="679"/>
    </row>
    <row r="767" spans="32:32" x14ac:dyDescent="0.2">
      <c r="AF767" s="679"/>
    </row>
    <row r="768" spans="32:32" x14ac:dyDescent="0.2">
      <c r="AF768" s="679"/>
    </row>
    <row r="769" spans="32:32" x14ac:dyDescent="0.2">
      <c r="AF769" s="679"/>
    </row>
    <row r="770" spans="32:32" x14ac:dyDescent="0.2">
      <c r="AF770" s="679"/>
    </row>
    <row r="771" spans="32:32" x14ac:dyDescent="0.2">
      <c r="AF771" s="679"/>
    </row>
    <row r="772" spans="32:32" x14ac:dyDescent="0.2">
      <c r="AF772" s="679"/>
    </row>
    <row r="773" spans="32:32" x14ac:dyDescent="0.2">
      <c r="AF773" s="679"/>
    </row>
    <row r="774" spans="32:32" x14ac:dyDescent="0.2">
      <c r="AF774" s="679"/>
    </row>
    <row r="775" spans="32:32" x14ac:dyDescent="0.2">
      <c r="AF775" s="679"/>
    </row>
    <row r="776" spans="32:32" x14ac:dyDescent="0.2">
      <c r="AF776" s="679"/>
    </row>
    <row r="777" spans="32:32" x14ac:dyDescent="0.2">
      <c r="AF777" s="679"/>
    </row>
    <row r="778" spans="32:32" x14ac:dyDescent="0.2">
      <c r="AF778" s="679"/>
    </row>
    <row r="779" spans="32:32" x14ac:dyDescent="0.2">
      <c r="AF779" s="679"/>
    </row>
    <row r="780" spans="32:32" x14ac:dyDescent="0.2">
      <c r="AF780" s="679"/>
    </row>
    <row r="781" spans="32:32" x14ac:dyDescent="0.2">
      <c r="AF781" s="679"/>
    </row>
    <row r="782" spans="32:32" x14ac:dyDescent="0.2">
      <c r="AF782" s="679"/>
    </row>
    <row r="783" spans="32:32" x14ac:dyDescent="0.2">
      <c r="AF783" s="679"/>
    </row>
    <row r="784" spans="32:32" x14ac:dyDescent="0.2">
      <c r="AF784" s="679"/>
    </row>
    <row r="785" spans="32:32" x14ac:dyDescent="0.2">
      <c r="AF785" s="679"/>
    </row>
    <row r="786" spans="32:32" x14ac:dyDescent="0.2">
      <c r="AF786" s="679"/>
    </row>
    <row r="787" spans="32:32" x14ac:dyDescent="0.2">
      <c r="AF787" s="679"/>
    </row>
    <row r="788" spans="32:32" x14ac:dyDescent="0.2">
      <c r="AF788" s="679"/>
    </row>
    <row r="789" spans="32:32" x14ac:dyDescent="0.2">
      <c r="AF789" s="679"/>
    </row>
    <row r="790" spans="32:32" x14ac:dyDescent="0.2">
      <c r="AF790" s="679"/>
    </row>
    <row r="791" spans="32:32" x14ac:dyDescent="0.2">
      <c r="AF791" s="679"/>
    </row>
    <row r="792" spans="32:32" x14ac:dyDescent="0.2">
      <c r="AF792" s="679"/>
    </row>
    <row r="793" spans="32:32" x14ac:dyDescent="0.2">
      <c r="AF793" s="679"/>
    </row>
    <row r="794" spans="32:32" x14ac:dyDescent="0.2">
      <c r="AF794" s="679"/>
    </row>
    <row r="795" spans="32:32" x14ac:dyDescent="0.2">
      <c r="AF795" s="679"/>
    </row>
    <row r="796" spans="32:32" x14ac:dyDescent="0.2">
      <c r="AF796" s="679"/>
    </row>
    <row r="797" spans="32:32" x14ac:dyDescent="0.2">
      <c r="AF797" s="679"/>
    </row>
    <row r="798" spans="32:32" x14ac:dyDescent="0.2">
      <c r="AF798" s="679"/>
    </row>
    <row r="799" spans="32:32" x14ac:dyDescent="0.2">
      <c r="AF799" s="679"/>
    </row>
    <row r="800" spans="32:32" x14ac:dyDescent="0.2">
      <c r="AF800" s="679"/>
    </row>
    <row r="801" spans="32:32" x14ac:dyDescent="0.2">
      <c r="AF801" s="679"/>
    </row>
    <row r="802" spans="32:32" x14ac:dyDescent="0.2">
      <c r="AF802" s="679"/>
    </row>
    <row r="803" spans="32:32" x14ac:dyDescent="0.2">
      <c r="AF803" s="679"/>
    </row>
    <row r="804" spans="32:32" x14ac:dyDescent="0.2">
      <c r="AF804" s="679"/>
    </row>
    <row r="805" spans="32:32" x14ac:dyDescent="0.2">
      <c r="AF805" s="679"/>
    </row>
    <row r="806" spans="32:32" x14ac:dyDescent="0.2">
      <c r="AF806" s="679"/>
    </row>
    <row r="807" spans="32:32" x14ac:dyDescent="0.2">
      <c r="AF807" s="679"/>
    </row>
    <row r="808" spans="32:32" x14ac:dyDescent="0.2">
      <c r="AF808" s="679"/>
    </row>
    <row r="809" spans="32:32" x14ac:dyDescent="0.2">
      <c r="AF809" s="679"/>
    </row>
    <row r="810" spans="32:32" x14ac:dyDescent="0.2">
      <c r="AF810" s="679"/>
    </row>
    <row r="811" spans="32:32" x14ac:dyDescent="0.2">
      <c r="AF811" s="679"/>
    </row>
    <row r="812" spans="32:32" x14ac:dyDescent="0.2">
      <c r="AF812" s="679"/>
    </row>
    <row r="813" spans="32:32" x14ac:dyDescent="0.2">
      <c r="AF813" s="679"/>
    </row>
    <row r="814" spans="32:32" x14ac:dyDescent="0.2">
      <c r="AF814" s="679"/>
    </row>
    <row r="815" spans="32:32" x14ac:dyDescent="0.2">
      <c r="AF815" s="679"/>
    </row>
    <row r="816" spans="32:32" x14ac:dyDescent="0.2">
      <c r="AF816" s="679"/>
    </row>
    <row r="817" spans="32:32" x14ac:dyDescent="0.2">
      <c r="AF817" s="679"/>
    </row>
    <row r="818" spans="32:32" x14ac:dyDescent="0.2">
      <c r="AF818" s="679"/>
    </row>
    <row r="819" spans="32:32" x14ac:dyDescent="0.2">
      <c r="AF819" s="679"/>
    </row>
    <row r="820" spans="32:32" x14ac:dyDescent="0.2">
      <c r="AF820" s="679"/>
    </row>
    <row r="821" spans="32:32" x14ac:dyDescent="0.2">
      <c r="AF821" s="679"/>
    </row>
    <row r="822" spans="32:32" x14ac:dyDescent="0.2">
      <c r="AF822" s="679"/>
    </row>
    <row r="823" spans="32:32" x14ac:dyDescent="0.2">
      <c r="AF823" s="679"/>
    </row>
    <row r="824" spans="32:32" x14ac:dyDescent="0.2">
      <c r="AF824" s="679"/>
    </row>
    <row r="825" spans="32:32" x14ac:dyDescent="0.2">
      <c r="AF825" s="679"/>
    </row>
    <row r="826" spans="32:32" x14ac:dyDescent="0.2">
      <c r="AF826" s="679"/>
    </row>
    <row r="827" spans="32:32" x14ac:dyDescent="0.2">
      <c r="AF827" s="679"/>
    </row>
    <row r="828" spans="32:32" x14ac:dyDescent="0.2">
      <c r="AF828" s="679"/>
    </row>
    <row r="829" spans="32:32" x14ac:dyDescent="0.2">
      <c r="AF829" s="679"/>
    </row>
    <row r="830" spans="32:32" x14ac:dyDescent="0.2">
      <c r="AF830" s="679"/>
    </row>
    <row r="831" spans="32:32" x14ac:dyDescent="0.2">
      <c r="AF831" s="679"/>
    </row>
    <row r="832" spans="32:32" x14ac:dyDescent="0.2">
      <c r="AF832" s="679"/>
    </row>
    <row r="833" spans="32:32" x14ac:dyDescent="0.2">
      <c r="AF833" s="679"/>
    </row>
    <row r="834" spans="32:32" x14ac:dyDescent="0.2">
      <c r="AF834" s="679"/>
    </row>
    <row r="835" spans="32:32" x14ac:dyDescent="0.2">
      <c r="AF835" s="679"/>
    </row>
    <row r="836" spans="32:32" x14ac:dyDescent="0.2">
      <c r="AF836" s="679"/>
    </row>
    <row r="837" spans="32:32" x14ac:dyDescent="0.2">
      <c r="AF837" s="679"/>
    </row>
    <row r="838" spans="32:32" x14ac:dyDescent="0.2">
      <c r="AF838" s="679"/>
    </row>
    <row r="839" spans="32:32" x14ac:dyDescent="0.2">
      <c r="AF839" s="679"/>
    </row>
    <row r="840" spans="32:32" x14ac:dyDescent="0.2">
      <c r="AF840" s="679"/>
    </row>
    <row r="841" spans="32:32" x14ac:dyDescent="0.2">
      <c r="AF841" s="679"/>
    </row>
    <row r="842" spans="32:32" x14ac:dyDescent="0.2">
      <c r="AF842" s="679"/>
    </row>
    <row r="843" spans="32:32" x14ac:dyDescent="0.2">
      <c r="AF843" s="679"/>
    </row>
    <row r="844" spans="32:32" x14ac:dyDescent="0.2">
      <c r="AF844" s="679"/>
    </row>
    <row r="845" spans="32:32" x14ac:dyDescent="0.2">
      <c r="AF845" s="679"/>
    </row>
    <row r="846" spans="32:32" x14ac:dyDescent="0.2">
      <c r="AF846" s="679"/>
    </row>
    <row r="847" spans="32:32" x14ac:dyDescent="0.2">
      <c r="AF847" s="679"/>
    </row>
    <row r="848" spans="32:32" x14ac:dyDescent="0.2">
      <c r="AF848" s="679"/>
    </row>
    <row r="849" spans="32:32" x14ac:dyDescent="0.2">
      <c r="AF849" s="679"/>
    </row>
    <row r="850" spans="32:32" x14ac:dyDescent="0.2">
      <c r="AF850" s="679"/>
    </row>
    <row r="851" spans="32:32" x14ac:dyDescent="0.2">
      <c r="AF851" s="679"/>
    </row>
    <row r="852" spans="32:32" x14ac:dyDescent="0.2">
      <c r="AF852" s="679"/>
    </row>
    <row r="853" spans="32:32" x14ac:dyDescent="0.2">
      <c r="AF853" s="679"/>
    </row>
    <row r="854" spans="32:32" x14ac:dyDescent="0.2">
      <c r="AF854" s="679"/>
    </row>
    <row r="855" spans="32:32" x14ac:dyDescent="0.2">
      <c r="AF855" s="679"/>
    </row>
    <row r="856" spans="32:32" x14ac:dyDescent="0.2">
      <c r="AF856" s="679"/>
    </row>
    <row r="857" spans="32:32" x14ac:dyDescent="0.2">
      <c r="AF857" s="679"/>
    </row>
    <row r="858" spans="32:32" x14ac:dyDescent="0.2">
      <c r="AF858" s="679"/>
    </row>
    <row r="859" spans="32:32" x14ac:dyDescent="0.2">
      <c r="AF859" s="679"/>
    </row>
    <row r="860" spans="32:32" x14ac:dyDescent="0.2">
      <c r="AF860" s="679"/>
    </row>
    <row r="861" spans="32:32" x14ac:dyDescent="0.2">
      <c r="AF861" s="679"/>
    </row>
    <row r="862" spans="32:32" x14ac:dyDescent="0.2">
      <c r="AF862" s="679"/>
    </row>
    <row r="863" spans="32:32" x14ac:dyDescent="0.2">
      <c r="AF863" s="679"/>
    </row>
    <row r="864" spans="32:32" x14ac:dyDescent="0.2">
      <c r="AF864" s="679"/>
    </row>
    <row r="865" spans="32:32" x14ac:dyDescent="0.2">
      <c r="AF865" s="679"/>
    </row>
    <row r="866" spans="32:32" x14ac:dyDescent="0.2">
      <c r="AF866" s="679"/>
    </row>
    <row r="867" spans="32:32" x14ac:dyDescent="0.2">
      <c r="AF867" s="679"/>
    </row>
    <row r="868" spans="32:32" x14ac:dyDescent="0.2">
      <c r="AF868" s="679"/>
    </row>
    <row r="869" spans="32:32" x14ac:dyDescent="0.2">
      <c r="AF869" s="679"/>
    </row>
    <row r="870" spans="32:32" x14ac:dyDescent="0.2">
      <c r="AF870" s="679"/>
    </row>
    <row r="871" spans="32:32" x14ac:dyDescent="0.2">
      <c r="AF871" s="679"/>
    </row>
    <row r="872" spans="32:32" x14ac:dyDescent="0.2">
      <c r="AF872" s="679"/>
    </row>
    <row r="873" spans="32:32" x14ac:dyDescent="0.2">
      <c r="AF873" s="679"/>
    </row>
    <row r="874" spans="32:32" x14ac:dyDescent="0.2">
      <c r="AF874" s="679"/>
    </row>
    <row r="875" spans="32:32" x14ac:dyDescent="0.2">
      <c r="AF875" s="679"/>
    </row>
    <row r="876" spans="32:32" x14ac:dyDescent="0.2">
      <c r="AF876" s="679"/>
    </row>
    <row r="877" spans="32:32" x14ac:dyDescent="0.2">
      <c r="AF877" s="679"/>
    </row>
    <row r="878" spans="32:32" x14ac:dyDescent="0.2">
      <c r="AF878" s="679"/>
    </row>
    <row r="879" spans="32:32" x14ac:dyDescent="0.2">
      <c r="AF879" s="679"/>
    </row>
    <row r="880" spans="32:32" x14ac:dyDescent="0.2">
      <c r="AF880" s="679"/>
    </row>
    <row r="881" spans="32:32" x14ac:dyDescent="0.2">
      <c r="AF881" s="679"/>
    </row>
    <row r="882" spans="32:32" x14ac:dyDescent="0.2">
      <c r="AF882" s="679"/>
    </row>
    <row r="883" spans="32:32" x14ac:dyDescent="0.2">
      <c r="AF883" s="679"/>
    </row>
    <row r="884" spans="32:32" x14ac:dyDescent="0.2">
      <c r="AF884" s="679"/>
    </row>
    <row r="885" spans="32:32" x14ac:dyDescent="0.2">
      <c r="AF885" s="679"/>
    </row>
    <row r="886" spans="32:32" x14ac:dyDescent="0.2">
      <c r="AF886" s="679"/>
    </row>
    <row r="887" spans="32:32" x14ac:dyDescent="0.2">
      <c r="AF887" s="679"/>
    </row>
    <row r="888" spans="32:32" x14ac:dyDescent="0.2">
      <c r="AF888" s="679"/>
    </row>
    <row r="889" spans="32:32" x14ac:dyDescent="0.2">
      <c r="AF889" s="679"/>
    </row>
    <row r="890" spans="32:32" x14ac:dyDescent="0.2">
      <c r="AF890" s="679"/>
    </row>
    <row r="891" spans="32:32" x14ac:dyDescent="0.2">
      <c r="AF891" s="679"/>
    </row>
    <row r="892" spans="32:32" x14ac:dyDescent="0.2">
      <c r="AF892" s="679"/>
    </row>
    <row r="893" spans="32:32" x14ac:dyDescent="0.2">
      <c r="AF893" s="679"/>
    </row>
    <row r="894" spans="32:32" x14ac:dyDescent="0.2">
      <c r="AF894" s="679"/>
    </row>
    <row r="895" spans="32:32" x14ac:dyDescent="0.2">
      <c r="AF895" s="679"/>
    </row>
    <row r="896" spans="32:32" x14ac:dyDescent="0.2">
      <c r="AF896" s="679"/>
    </row>
    <row r="897" spans="32:32" x14ac:dyDescent="0.2">
      <c r="AF897" s="679"/>
    </row>
    <row r="898" spans="32:32" x14ac:dyDescent="0.2">
      <c r="AF898" s="679"/>
    </row>
    <row r="899" spans="32:32" x14ac:dyDescent="0.2">
      <c r="AF899" s="679"/>
    </row>
    <row r="900" spans="32:32" x14ac:dyDescent="0.2">
      <c r="AF900" s="679"/>
    </row>
    <row r="901" spans="32:32" x14ac:dyDescent="0.2">
      <c r="AF901" s="679"/>
    </row>
    <row r="902" spans="32:32" x14ac:dyDescent="0.2">
      <c r="AF902" s="679"/>
    </row>
    <row r="903" spans="32:32" x14ac:dyDescent="0.2">
      <c r="AF903" s="679"/>
    </row>
    <row r="904" spans="32:32" x14ac:dyDescent="0.2">
      <c r="AF904" s="679"/>
    </row>
    <row r="905" spans="32:32" x14ac:dyDescent="0.2">
      <c r="AF905" s="679"/>
    </row>
    <row r="906" spans="32:32" x14ac:dyDescent="0.2">
      <c r="AF906" s="679"/>
    </row>
    <row r="907" spans="32:32" x14ac:dyDescent="0.2">
      <c r="AF907" s="679"/>
    </row>
    <row r="908" spans="32:32" x14ac:dyDescent="0.2">
      <c r="AF908" s="679"/>
    </row>
    <row r="909" spans="32:32" x14ac:dyDescent="0.2">
      <c r="AF909" s="679"/>
    </row>
    <row r="910" spans="32:32" x14ac:dyDescent="0.2">
      <c r="AF910" s="679"/>
    </row>
    <row r="911" spans="32:32" x14ac:dyDescent="0.2">
      <c r="AF911" s="679"/>
    </row>
    <row r="912" spans="32:32" x14ac:dyDescent="0.2">
      <c r="AF912" s="679"/>
    </row>
    <row r="913" spans="32:32" x14ac:dyDescent="0.2">
      <c r="AF913" s="679"/>
    </row>
    <row r="914" spans="32:32" x14ac:dyDescent="0.2">
      <c r="AF914" s="679"/>
    </row>
    <row r="915" spans="32:32" x14ac:dyDescent="0.2">
      <c r="AF915" s="679"/>
    </row>
    <row r="916" spans="32:32" x14ac:dyDescent="0.2">
      <c r="AF916" s="679"/>
    </row>
    <row r="917" spans="32:32" x14ac:dyDescent="0.2">
      <c r="AF917" s="679"/>
    </row>
    <row r="918" spans="32:32" x14ac:dyDescent="0.2">
      <c r="AF918" s="679"/>
    </row>
    <row r="919" spans="32:32" x14ac:dyDescent="0.2">
      <c r="AF919" s="679"/>
    </row>
    <row r="920" spans="32:32" x14ac:dyDescent="0.2">
      <c r="AF920" s="679"/>
    </row>
    <row r="921" spans="32:32" x14ac:dyDescent="0.2">
      <c r="AF921" s="679"/>
    </row>
    <row r="922" spans="32:32" x14ac:dyDescent="0.2">
      <c r="AF922" s="679"/>
    </row>
    <row r="923" spans="32:32" x14ac:dyDescent="0.2">
      <c r="AF923" s="679"/>
    </row>
    <row r="924" spans="32:32" x14ac:dyDescent="0.2">
      <c r="AF924" s="679"/>
    </row>
    <row r="925" spans="32:32" x14ac:dyDescent="0.2">
      <c r="AF925" s="679"/>
    </row>
    <row r="926" spans="32:32" x14ac:dyDescent="0.2">
      <c r="AF926" s="679"/>
    </row>
    <row r="927" spans="32:32" x14ac:dyDescent="0.2">
      <c r="AF927" s="679"/>
    </row>
    <row r="928" spans="32:32" x14ac:dyDescent="0.2">
      <c r="AF928" s="679"/>
    </row>
    <row r="929" spans="32:32" x14ac:dyDescent="0.2">
      <c r="AF929" s="679"/>
    </row>
    <row r="930" spans="32:32" x14ac:dyDescent="0.2">
      <c r="AF930" s="679"/>
    </row>
    <row r="931" spans="32:32" x14ac:dyDescent="0.2">
      <c r="AF931" s="679"/>
    </row>
    <row r="932" spans="32:32" x14ac:dyDescent="0.2">
      <c r="AF932" s="679"/>
    </row>
    <row r="933" spans="32:32" x14ac:dyDescent="0.2">
      <c r="AF933" s="679"/>
    </row>
    <row r="934" spans="32:32" x14ac:dyDescent="0.2">
      <c r="AF934" s="679"/>
    </row>
    <row r="935" spans="32:32" x14ac:dyDescent="0.2">
      <c r="AF935" s="679"/>
    </row>
    <row r="936" spans="32:32" x14ac:dyDescent="0.2">
      <c r="AF936" s="679"/>
    </row>
    <row r="937" spans="32:32" x14ac:dyDescent="0.2">
      <c r="AF937" s="679"/>
    </row>
    <row r="938" spans="32:32" x14ac:dyDescent="0.2">
      <c r="AF938" s="679"/>
    </row>
    <row r="939" spans="32:32" x14ac:dyDescent="0.2">
      <c r="AF939" s="679"/>
    </row>
    <row r="940" spans="32:32" x14ac:dyDescent="0.2">
      <c r="AF940" s="679"/>
    </row>
    <row r="941" spans="32:32" x14ac:dyDescent="0.2">
      <c r="AF941" s="679"/>
    </row>
    <row r="942" spans="32:32" x14ac:dyDescent="0.2">
      <c r="AF942" s="679"/>
    </row>
    <row r="943" spans="32:32" x14ac:dyDescent="0.2">
      <c r="AF943" s="679"/>
    </row>
    <row r="944" spans="32:32" x14ac:dyDescent="0.2">
      <c r="AF944" s="679"/>
    </row>
    <row r="945" spans="32:32" x14ac:dyDescent="0.2">
      <c r="AF945" s="679"/>
    </row>
    <row r="946" spans="32:32" x14ac:dyDescent="0.2">
      <c r="AF946" s="679"/>
    </row>
    <row r="947" spans="32:32" x14ac:dyDescent="0.2">
      <c r="AF947" s="679"/>
    </row>
    <row r="948" spans="32:32" x14ac:dyDescent="0.2">
      <c r="AF948" s="679"/>
    </row>
    <row r="949" spans="32:32" x14ac:dyDescent="0.2">
      <c r="AF949" s="679"/>
    </row>
    <row r="950" spans="32:32" x14ac:dyDescent="0.2">
      <c r="AF950" s="679"/>
    </row>
    <row r="951" spans="32:32" x14ac:dyDescent="0.2">
      <c r="AF951" s="679"/>
    </row>
    <row r="952" spans="32:32" x14ac:dyDescent="0.2">
      <c r="AF952" s="679"/>
    </row>
    <row r="953" spans="32:32" x14ac:dyDescent="0.2">
      <c r="AF953" s="679"/>
    </row>
    <row r="954" spans="32:32" x14ac:dyDescent="0.2">
      <c r="AF954" s="679"/>
    </row>
    <row r="955" spans="32:32" x14ac:dyDescent="0.2">
      <c r="AF955" s="679"/>
    </row>
    <row r="956" spans="32:32" x14ac:dyDescent="0.2">
      <c r="AF956" s="679"/>
    </row>
    <row r="957" spans="32:32" x14ac:dyDescent="0.2">
      <c r="AF957" s="679"/>
    </row>
    <row r="958" spans="32:32" x14ac:dyDescent="0.2">
      <c r="AF958" s="679"/>
    </row>
    <row r="959" spans="32:32" x14ac:dyDescent="0.2">
      <c r="AF959" s="679"/>
    </row>
    <row r="960" spans="32:32" x14ac:dyDescent="0.2">
      <c r="AF960" s="679"/>
    </row>
    <row r="961" spans="32:32" x14ac:dyDescent="0.2">
      <c r="AF961" s="679"/>
    </row>
    <row r="962" spans="32:32" x14ac:dyDescent="0.2">
      <c r="AF962" s="679"/>
    </row>
    <row r="963" spans="32:32" x14ac:dyDescent="0.2">
      <c r="AF963" s="679"/>
    </row>
    <row r="964" spans="32:32" x14ac:dyDescent="0.2">
      <c r="AF964" s="679"/>
    </row>
    <row r="965" spans="32:32" x14ac:dyDescent="0.2">
      <c r="AF965" s="679"/>
    </row>
    <row r="966" spans="32:32" x14ac:dyDescent="0.2">
      <c r="AF966" s="679"/>
    </row>
    <row r="967" spans="32:32" x14ac:dyDescent="0.2">
      <c r="AF967" s="679"/>
    </row>
    <row r="968" spans="32:32" x14ac:dyDescent="0.2">
      <c r="AF968" s="679"/>
    </row>
    <row r="969" spans="32:32" x14ac:dyDescent="0.2">
      <c r="AF969" s="679"/>
    </row>
    <row r="970" spans="32:32" x14ac:dyDescent="0.2">
      <c r="AF970" s="679"/>
    </row>
    <row r="971" spans="32:32" x14ac:dyDescent="0.2">
      <c r="AF971" s="679"/>
    </row>
    <row r="972" spans="32:32" x14ac:dyDescent="0.2">
      <c r="AF972" s="679"/>
    </row>
    <row r="973" spans="32:32" x14ac:dyDescent="0.2">
      <c r="AF973" s="679"/>
    </row>
    <row r="974" spans="32:32" x14ac:dyDescent="0.2">
      <c r="AF974" s="679"/>
    </row>
    <row r="975" spans="32:32" x14ac:dyDescent="0.2">
      <c r="AF975" s="679"/>
    </row>
    <row r="976" spans="32:32" x14ac:dyDescent="0.2">
      <c r="AF976" s="679"/>
    </row>
    <row r="977" spans="32:32" x14ac:dyDescent="0.2">
      <c r="AF977" s="679"/>
    </row>
    <row r="978" spans="32:32" x14ac:dyDescent="0.2">
      <c r="AF978" s="679"/>
    </row>
    <row r="979" spans="32:32" x14ac:dyDescent="0.2">
      <c r="AF979" s="679"/>
    </row>
    <row r="980" spans="32:32" x14ac:dyDescent="0.2">
      <c r="AF980" s="679"/>
    </row>
    <row r="981" spans="32:32" x14ac:dyDescent="0.2">
      <c r="AF981" s="679"/>
    </row>
    <row r="982" spans="32:32" x14ac:dyDescent="0.2">
      <c r="AF982" s="679"/>
    </row>
    <row r="983" spans="32:32" x14ac:dyDescent="0.2">
      <c r="AF983" s="679"/>
    </row>
    <row r="984" spans="32:32" x14ac:dyDescent="0.2">
      <c r="AF984" s="679"/>
    </row>
    <row r="985" spans="32:32" x14ac:dyDescent="0.2">
      <c r="AF985" s="679"/>
    </row>
    <row r="986" spans="32:32" x14ac:dyDescent="0.2">
      <c r="AF986" s="679"/>
    </row>
    <row r="987" spans="32:32" x14ac:dyDescent="0.2">
      <c r="AF987" s="679"/>
    </row>
    <row r="988" spans="32:32" x14ac:dyDescent="0.2">
      <c r="AF988" s="679"/>
    </row>
    <row r="989" spans="32:32" x14ac:dyDescent="0.2">
      <c r="AF989" s="679"/>
    </row>
    <row r="990" spans="32:32" x14ac:dyDescent="0.2">
      <c r="AF990" s="679"/>
    </row>
    <row r="991" spans="32:32" x14ac:dyDescent="0.2">
      <c r="AF991" s="679"/>
    </row>
    <row r="992" spans="32:32" x14ac:dyDescent="0.2">
      <c r="AF992" s="679"/>
    </row>
    <row r="993" spans="32:32" x14ac:dyDescent="0.2">
      <c r="AF993" s="679"/>
    </row>
    <row r="994" spans="32:32" x14ac:dyDescent="0.2">
      <c r="AF994" s="679"/>
    </row>
    <row r="995" spans="32:32" x14ac:dyDescent="0.2">
      <c r="AF995" s="679"/>
    </row>
    <row r="996" spans="32:32" x14ac:dyDescent="0.2">
      <c r="AF996" s="679"/>
    </row>
    <row r="997" spans="32:32" x14ac:dyDescent="0.2">
      <c r="AF997" s="679"/>
    </row>
    <row r="998" spans="32:32" x14ac:dyDescent="0.2">
      <c r="AF998" s="679"/>
    </row>
    <row r="999" spans="32:32" x14ac:dyDescent="0.2">
      <c r="AF999" s="679"/>
    </row>
    <row r="1000" spans="32:32" x14ac:dyDescent="0.2">
      <c r="AF1000" s="679"/>
    </row>
    <row r="1001" spans="32:32" x14ac:dyDescent="0.2">
      <c r="AF1001" s="679"/>
    </row>
    <row r="1002" spans="32:32" x14ac:dyDescent="0.2">
      <c r="AF1002" s="679"/>
    </row>
    <row r="1003" spans="32:32" x14ac:dyDescent="0.2">
      <c r="AF1003" s="679"/>
    </row>
    <row r="1004" spans="32:32" x14ac:dyDescent="0.2">
      <c r="AF1004" s="679"/>
    </row>
    <row r="1005" spans="32:32" x14ac:dyDescent="0.2">
      <c r="AF1005" s="679"/>
    </row>
    <row r="1006" spans="32:32" x14ac:dyDescent="0.2">
      <c r="AF1006" s="679"/>
    </row>
    <row r="1007" spans="32:32" x14ac:dyDescent="0.2">
      <c r="AF1007" s="679"/>
    </row>
    <row r="1008" spans="32:32" x14ac:dyDescent="0.2">
      <c r="AF1008" s="679"/>
    </row>
    <row r="1009" spans="32:32" x14ac:dyDescent="0.2">
      <c r="AF1009" s="679"/>
    </row>
    <row r="1010" spans="32:32" x14ac:dyDescent="0.2">
      <c r="AF1010" s="679"/>
    </row>
    <row r="1011" spans="32:32" x14ac:dyDescent="0.2">
      <c r="AF1011" s="679"/>
    </row>
    <row r="1012" spans="32:32" x14ac:dyDescent="0.2">
      <c r="AF1012" s="679"/>
    </row>
    <row r="1013" spans="32:32" x14ac:dyDescent="0.2">
      <c r="AF1013" s="679"/>
    </row>
    <row r="1014" spans="32:32" x14ac:dyDescent="0.2">
      <c r="AF1014" s="679"/>
    </row>
    <row r="1015" spans="32:32" x14ac:dyDescent="0.2">
      <c r="AF1015" s="679"/>
    </row>
    <row r="1016" spans="32:32" x14ac:dyDescent="0.2">
      <c r="AF1016" s="679"/>
    </row>
    <row r="1017" spans="32:32" x14ac:dyDescent="0.2">
      <c r="AF1017" s="679"/>
    </row>
    <row r="1018" spans="32:32" x14ac:dyDescent="0.2">
      <c r="AF1018" s="679"/>
    </row>
    <row r="1019" spans="32:32" x14ac:dyDescent="0.2">
      <c r="AF1019" s="679"/>
    </row>
    <row r="1020" spans="32:32" x14ac:dyDescent="0.2">
      <c r="AF1020" s="679"/>
    </row>
    <row r="1021" spans="32:32" x14ac:dyDescent="0.2">
      <c r="AF1021" s="679"/>
    </row>
    <row r="1022" spans="32:32" x14ac:dyDescent="0.2">
      <c r="AF1022" s="679"/>
    </row>
    <row r="1023" spans="32:32" x14ac:dyDescent="0.2">
      <c r="AF1023" s="679"/>
    </row>
    <row r="1024" spans="32:32" x14ac:dyDescent="0.2">
      <c r="AF1024" s="679"/>
    </row>
    <row r="1025" spans="32:32" x14ac:dyDescent="0.2">
      <c r="AF1025" s="679"/>
    </row>
    <row r="1026" spans="32:32" x14ac:dyDescent="0.2">
      <c r="AF1026" s="679"/>
    </row>
    <row r="1027" spans="32:32" x14ac:dyDescent="0.2">
      <c r="AF1027" s="679"/>
    </row>
    <row r="1028" spans="32:32" x14ac:dyDescent="0.2">
      <c r="AF1028" s="679"/>
    </row>
    <row r="1029" spans="32:32" x14ac:dyDescent="0.2">
      <c r="AF1029" s="679"/>
    </row>
    <row r="1030" spans="32:32" x14ac:dyDescent="0.2">
      <c r="AF1030" s="679"/>
    </row>
    <row r="1031" spans="32:32" x14ac:dyDescent="0.2">
      <c r="AF1031" s="679"/>
    </row>
    <row r="1032" spans="32:32" x14ac:dyDescent="0.2">
      <c r="AF1032" s="679"/>
    </row>
    <row r="1033" spans="32:32" x14ac:dyDescent="0.2">
      <c r="AF1033" s="679"/>
    </row>
    <row r="1034" spans="32:32" x14ac:dyDescent="0.2">
      <c r="AF1034" s="679"/>
    </row>
    <row r="1035" spans="32:32" x14ac:dyDescent="0.2">
      <c r="AF1035" s="679"/>
    </row>
    <row r="1036" spans="32:32" x14ac:dyDescent="0.2">
      <c r="AF1036" s="679"/>
    </row>
    <row r="1037" spans="32:32" x14ac:dyDescent="0.2">
      <c r="AF1037" s="679"/>
    </row>
    <row r="1038" spans="32:32" x14ac:dyDescent="0.2">
      <c r="AF1038" s="679"/>
    </row>
    <row r="1039" spans="32:32" x14ac:dyDescent="0.2">
      <c r="AF1039" s="679"/>
    </row>
    <row r="1040" spans="32:32" x14ac:dyDescent="0.2">
      <c r="AF1040" s="679"/>
    </row>
    <row r="1041" spans="32:32" x14ac:dyDescent="0.2">
      <c r="AF1041" s="679"/>
    </row>
    <row r="1042" spans="32:32" x14ac:dyDescent="0.2">
      <c r="AF1042" s="679"/>
    </row>
    <row r="1043" spans="32:32" x14ac:dyDescent="0.2">
      <c r="AF1043" s="679"/>
    </row>
    <row r="1044" spans="32:32" x14ac:dyDescent="0.2">
      <c r="AF1044" s="679"/>
    </row>
    <row r="1045" spans="32:32" x14ac:dyDescent="0.2">
      <c r="AF1045" s="679"/>
    </row>
    <row r="1046" spans="32:32" x14ac:dyDescent="0.2">
      <c r="AF1046" s="679"/>
    </row>
    <row r="1047" spans="32:32" x14ac:dyDescent="0.2">
      <c r="AF1047" s="679"/>
    </row>
    <row r="1048" spans="32:32" x14ac:dyDescent="0.2">
      <c r="AF1048" s="679"/>
    </row>
    <row r="1049" spans="32:32" x14ac:dyDescent="0.2">
      <c r="AF1049" s="679"/>
    </row>
    <row r="1050" spans="32:32" x14ac:dyDescent="0.2">
      <c r="AF1050" s="679"/>
    </row>
    <row r="1051" spans="32:32" x14ac:dyDescent="0.2">
      <c r="AF1051" s="679"/>
    </row>
    <row r="1052" spans="32:32" x14ac:dyDescent="0.2">
      <c r="AF1052" s="679"/>
    </row>
    <row r="1053" spans="32:32" x14ac:dyDescent="0.2">
      <c r="AF1053" s="679"/>
    </row>
    <row r="1054" spans="32:32" x14ac:dyDescent="0.2">
      <c r="AF1054" s="679"/>
    </row>
    <row r="1055" spans="32:32" x14ac:dyDescent="0.2">
      <c r="AF1055" s="679"/>
    </row>
    <row r="1056" spans="32:32" x14ac:dyDescent="0.2">
      <c r="AF1056" s="679"/>
    </row>
    <row r="1057" spans="32:32" x14ac:dyDescent="0.2">
      <c r="AF1057" s="679"/>
    </row>
    <row r="1058" spans="32:32" x14ac:dyDescent="0.2">
      <c r="AF1058" s="679"/>
    </row>
    <row r="1059" spans="32:32" x14ac:dyDescent="0.2">
      <c r="AF1059" s="679"/>
    </row>
    <row r="1060" spans="32:32" x14ac:dyDescent="0.2">
      <c r="AF1060" s="679"/>
    </row>
    <row r="1061" spans="32:32" x14ac:dyDescent="0.2">
      <c r="AF1061" s="679"/>
    </row>
    <row r="1062" spans="32:32" x14ac:dyDescent="0.2">
      <c r="AF1062" s="679"/>
    </row>
    <row r="1063" spans="32:32" x14ac:dyDescent="0.2">
      <c r="AF1063" s="679"/>
    </row>
    <row r="1064" spans="32:32" x14ac:dyDescent="0.2">
      <c r="AF1064" s="679"/>
    </row>
    <row r="1065" spans="32:32" x14ac:dyDescent="0.2">
      <c r="AF1065" s="679"/>
    </row>
    <row r="1066" spans="32:32" x14ac:dyDescent="0.2">
      <c r="AF1066" s="679"/>
    </row>
    <row r="1067" spans="32:32" x14ac:dyDescent="0.2">
      <c r="AF1067" s="679"/>
    </row>
    <row r="1068" spans="32:32" x14ac:dyDescent="0.2">
      <c r="AF1068" s="679"/>
    </row>
    <row r="1069" spans="32:32" x14ac:dyDescent="0.2">
      <c r="AF1069" s="679"/>
    </row>
    <row r="1070" spans="32:32" x14ac:dyDescent="0.2">
      <c r="AF1070" s="679"/>
    </row>
    <row r="1071" spans="32:32" x14ac:dyDescent="0.2">
      <c r="AF1071" s="679"/>
    </row>
    <row r="1072" spans="32:32" x14ac:dyDescent="0.2">
      <c r="AF1072" s="679"/>
    </row>
    <row r="1073" spans="32:32" x14ac:dyDescent="0.2">
      <c r="AF1073" s="679"/>
    </row>
    <row r="1074" spans="32:32" x14ac:dyDescent="0.2">
      <c r="AF1074" s="679"/>
    </row>
    <row r="1075" spans="32:32" x14ac:dyDescent="0.2">
      <c r="AF1075" s="679"/>
    </row>
    <row r="1076" spans="32:32" x14ac:dyDescent="0.2">
      <c r="AF1076" s="679"/>
    </row>
    <row r="1077" spans="32:32" x14ac:dyDescent="0.2">
      <c r="AF1077" s="679"/>
    </row>
    <row r="1078" spans="32:32" x14ac:dyDescent="0.2">
      <c r="AF1078" s="679"/>
    </row>
    <row r="1079" spans="32:32" x14ac:dyDescent="0.2">
      <c r="AF1079" s="679"/>
    </row>
    <row r="1080" spans="32:32" x14ac:dyDescent="0.2">
      <c r="AF1080" s="679"/>
    </row>
    <row r="1081" spans="32:32" x14ac:dyDescent="0.2">
      <c r="AF1081" s="679"/>
    </row>
    <row r="1082" spans="32:32" x14ac:dyDescent="0.2">
      <c r="AF1082" s="679"/>
    </row>
    <row r="1083" spans="32:32" x14ac:dyDescent="0.2">
      <c r="AF1083" s="679"/>
    </row>
    <row r="1084" spans="32:32" x14ac:dyDescent="0.2">
      <c r="AF1084" s="679"/>
    </row>
    <row r="1085" spans="32:32" x14ac:dyDescent="0.2">
      <c r="AF1085" s="679"/>
    </row>
    <row r="1086" spans="32:32" x14ac:dyDescent="0.2">
      <c r="AF1086" s="679"/>
    </row>
    <row r="1087" spans="32:32" x14ac:dyDescent="0.2">
      <c r="AF1087" s="679"/>
    </row>
    <row r="1088" spans="32:32" x14ac:dyDescent="0.2">
      <c r="AF1088" s="679"/>
    </row>
    <row r="1089" spans="32:32" x14ac:dyDescent="0.2">
      <c r="AF1089" s="679"/>
    </row>
    <row r="1090" spans="32:32" x14ac:dyDescent="0.2">
      <c r="AF1090" s="679"/>
    </row>
    <row r="1091" spans="32:32" x14ac:dyDescent="0.2">
      <c r="AF1091" s="679"/>
    </row>
    <row r="1092" spans="32:32" x14ac:dyDescent="0.2">
      <c r="AF1092" s="679"/>
    </row>
    <row r="1093" spans="32:32" x14ac:dyDescent="0.2">
      <c r="AF1093" s="679"/>
    </row>
    <row r="1094" spans="32:32" x14ac:dyDescent="0.2">
      <c r="AF1094" s="679"/>
    </row>
    <row r="1095" spans="32:32" x14ac:dyDescent="0.2">
      <c r="AF1095" s="679"/>
    </row>
    <row r="1096" spans="32:32" x14ac:dyDescent="0.2">
      <c r="AF1096" s="679"/>
    </row>
    <row r="1097" spans="32:32" x14ac:dyDescent="0.2">
      <c r="AF1097" s="679"/>
    </row>
    <row r="1098" spans="32:32" x14ac:dyDescent="0.2">
      <c r="AF1098" s="679"/>
    </row>
    <row r="1099" spans="32:32" x14ac:dyDescent="0.2">
      <c r="AF1099" s="679"/>
    </row>
    <row r="1100" spans="32:32" x14ac:dyDescent="0.2">
      <c r="AF1100" s="679"/>
    </row>
    <row r="1101" spans="32:32" x14ac:dyDescent="0.2">
      <c r="AF1101" s="679"/>
    </row>
    <row r="1102" spans="32:32" x14ac:dyDescent="0.2">
      <c r="AF1102" s="679"/>
    </row>
    <row r="1103" spans="32:32" x14ac:dyDescent="0.2">
      <c r="AF1103" s="679"/>
    </row>
    <row r="1104" spans="32:32" x14ac:dyDescent="0.2">
      <c r="AF1104" s="679"/>
    </row>
    <row r="1105" spans="32:32" x14ac:dyDescent="0.2">
      <c r="AF1105" s="679"/>
    </row>
    <row r="1106" spans="32:32" x14ac:dyDescent="0.2">
      <c r="AF1106" s="679"/>
    </row>
    <row r="1107" spans="32:32" x14ac:dyDescent="0.2">
      <c r="AF1107" s="679"/>
    </row>
    <row r="1108" spans="32:32" x14ac:dyDescent="0.2">
      <c r="AF1108" s="679"/>
    </row>
    <row r="1109" spans="32:32" x14ac:dyDescent="0.2">
      <c r="AF1109" s="679"/>
    </row>
    <row r="1110" spans="32:32" x14ac:dyDescent="0.2">
      <c r="AF1110" s="679"/>
    </row>
    <row r="1111" spans="32:32" x14ac:dyDescent="0.2">
      <c r="AF1111" s="679"/>
    </row>
    <row r="1112" spans="32:32" x14ac:dyDescent="0.2">
      <c r="AF1112" s="679"/>
    </row>
    <row r="1113" spans="32:32" x14ac:dyDescent="0.2">
      <c r="AF1113" s="679"/>
    </row>
    <row r="1114" spans="32:32" x14ac:dyDescent="0.2">
      <c r="AF1114" s="679"/>
    </row>
    <row r="1115" spans="32:32" x14ac:dyDescent="0.2">
      <c r="AF1115" s="679"/>
    </row>
    <row r="1116" spans="32:32" x14ac:dyDescent="0.2">
      <c r="AF1116" s="679"/>
    </row>
    <row r="1117" spans="32:32" x14ac:dyDescent="0.2">
      <c r="AF1117" s="679"/>
    </row>
    <row r="1118" spans="32:32" x14ac:dyDescent="0.2">
      <c r="AF1118" s="679"/>
    </row>
    <row r="1119" spans="32:32" x14ac:dyDescent="0.2">
      <c r="AF1119" s="679"/>
    </row>
    <row r="1120" spans="32:32" x14ac:dyDescent="0.2">
      <c r="AF1120" s="679"/>
    </row>
    <row r="1121" spans="32:32" x14ac:dyDescent="0.2">
      <c r="AF1121" s="679"/>
    </row>
    <row r="1122" spans="32:32" x14ac:dyDescent="0.2">
      <c r="AF1122" s="679"/>
    </row>
    <row r="1123" spans="32:32" x14ac:dyDescent="0.2">
      <c r="AF1123" s="679"/>
    </row>
    <row r="1124" spans="32:32" x14ac:dyDescent="0.2">
      <c r="AF1124" s="679"/>
    </row>
    <row r="1125" spans="32:32" x14ac:dyDescent="0.2">
      <c r="AF1125" s="679"/>
    </row>
    <row r="1126" spans="32:32" x14ac:dyDescent="0.2">
      <c r="AF1126" s="679"/>
    </row>
    <row r="1127" spans="32:32" x14ac:dyDescent="0.2">
      <c r="AF1127" s="679"/>
    </row>
    <row r="1128" spans="32:32" x14ac:dyDescent="0.2">
      <c r="AF1128" s="679"/>
    </row>
    <row r="1129" spans="32:32" x14ac:dyDescent="0.2">
      <c r="AF1129" s="679"/>
    </row>
    <row r="1130" spans="32:32" x14ac:dyDescent="0.2">
      <c r="AF1130" s="679"/>
    </row>
    <row r="1131" spans="32:32" x14ac:dyDescent="0.2">
      <c r="AF1131" s="679"/>
    </row>
    <row r="1132" spans="32:32" x14ac:dyDescent="0.2">
      <c r="AF1132" s="679"/>
    </row>
    <row r="1133" spans="32:32" x14ac:dyDescent="0.2">
      <c r="AF1133" s="679"/>
    </row>
    <row r="1134" spans="32:32" x14ac:dyDescent="0.2">
      <c r="AF1134" s="679"/>
    </row>
    <row r="1135" spans="32:32" x14ac:dyDescent="0.2">
      <c r="AF1135" s="679"/>
    </row>
    <row r="1136" spans="32:32" x14ac:dyDescent="0.2">
      <c r="AF1136" s="679"/>
    </row>
    <row r="1137" spans="32:32" x14ac:dyDescent="0.2">
      <c r="AF1137" s="679"/>
    </row>
    <row r="1138" spans="32:32" x14ac:dyDescent="0.2">
      <c r="AF1138" s="679"/>
    </row>
    <row r="1139" spans="32:32" x14ac:dyDescent="0.2">
      <c r="AF1139" s="679"/>
    </row>
    <row r="1140" spans="32:32" x14ac:dyDescent="0.2">
      <c r="AF1140" s="679"/>
    </row>
    <row r="1141" spans="32:32" x14ac:dyDescent="0.2">
      <c r="AF1141" s="679"/>
    </row>
    <row r="1142" spans="32:32" x14ac:dyDescent="0.2">
      <c r="AF1142" s="679"/>
    </row>
    <row r="1143" spans="32:32" x14ac:dyDescent="0.2">
      <c r="AF1143" s="679"/>
    </row>
    <row r="1144" spans="32:32" x14ac:dyDescent="0.2">
      <c r="AF1144" s="679"/>
    </row>
    <row r="1145" spans="32:32" x14ac:dyDescent="0.2">
      <c r="AF1145" s="679"/>
    </row>
    <row r="1146" spans="32:32" x14ac:dyDescent="0.2">
      <c r="AF1146" s="679"/>
    </row>
    <row r="1147" spans="32:32" x14ac:dyDescent="0.2">
      <c r="AF1147" s="679"/>
    </row>
    <row r="1148" spans="32:32" x14ac:dyDescent="0.2">
      <c r="AF1148" s="679"/>
    </row>
    <row r="1149" spans="32:32" x14ac:dyDescent="0.2">
      <c r="AF1149" s="679"/>
    </row>
    <row r="1150" spans="32:32" x14ac:dyDescent="0.2">
      <c r="AF1150" s="679"/>
    </row>
    <row r="1151" spans="32:32" x14ac:dyDescent="0.2">
      <c r="AF1151" s="679"/>
    </row>
    <row r="1152" spans="32:32" x14ac:dyDescent="0.2">
      <c r="AF1152" s="679"/>
    </row>
    <row r="1153" spans="32:32" x14ac:dyDescent="0.2">
      <c r="AF1153" s="679"/>
    </row>
    <row r="1154" spans="32:32" x14ac:dyDescent="0.2">
      <c r="AF1154" s="679"/>
    </row>
    <row r="1155" spans="32:32" x14ac:dyDescent="0.2">
      <c r="AF1155" s="679"/>
    </row>
    <row r="1156" spans="32:32" x14ac:dyDescent="0.2">
      <c r="AF1156" s="679"/>
    </row>
    <row r="1157" spans="32:32" x14ac:dyDescent="0.2">
      <c r="AF1157" s="679"/>
    </row>
    <row r="1158" spans="32:32" x14ac:dyDescent="0.2">
      <c r="AF1158" s="679"/>
    </row>
    <row r="1159" spans="32:32" x14ac:dyDescent="0.2">
      <c r="AF1159" s="679"/>
    </row>
    <row r="1160" spans="32:32" x14ac:dyDescent="0.2">
      <c r="AF1160" s="679"/>
    </row>
    <row r="1161" spans="32:32" x14ac:dyDescent="0.2">
      <c r="AF1161" s="679"/>
    </row>
    <row r="1162" spans="32:32" x14ac:dyDescent="0.2">
      <c r="AF1162" s="679"/>
    </row>
    <row r="1163" spans="32:32" x14ac:dyDescent="0.2">
      <c r="AF1163" s="679"/>
    </row>
    <row r="1164" spans="32:32" x14ac:dyDescent="0.2">
      <c r="AF1164" s="679"/>
    </row>
    <row r="1165" spans="32:32" x14ac:dyDescent="0.2">
      <c r="AF1165" s="679"/>
    </row>
    <row r="1166" spans="32:32" x14ac:dyDescent="0.2">
      <c r="AF1166" s="679"/>
    </row>
    <row r="1167" spans="32:32" x14ac:dyDescent="0.2">
      <c r="AF1167" s="679"/>
    </row>
    <row r="1168" spans="32:32" x14ac:dyDescent="0.2">
      <c r="AF1168" s="679"/>
    </row>
    <row r="1169" spans="32:32" x14ac:dyDescent="0.2">
      <c r="AF1169" s="679"/>
    </row>
    <row r="1170" spans="32:32" x14ac:dyDescent="0.2">
      <c r="AF1170" s="679"/>
    </row>
    <row r="1171" spans="32:32" x14ac:dyDescent="0.2">
      <c r="AF1171" s="679"/>
    </row>
    <row r="1172" spans="32:32" x14ac:dyDescent="0.2">
      <c r="AF1172" s="679"/>
    </row>
    <row r="1173" spans="32:32" x14ac:dyDescent="0.2">
      <c r="AF1173" s="679"/>
    </row>
    <row r="1174" spans="32:32" x14ac:dyDescent="0.2">
      <c r="AF1174" s="679"/>
    </row>
    <row r="1175" spans="32:32" x14ac:dyDescent="0.2">
      <c r="AF1175" s="679"/>
    </row>
    <row r="1176" spans="32:32" x14ac:dyDescent="0.2">
      <c r="AF1176" s="679"/>
    </row>
    <row r="1177" spans="32:32" x14ac:dyDescent="0.2">
      <c r="AF1177" s="679"/>
    </row>
    <row r="1178" spans="32:32" x14ac:dyDescent="0.2">
      <c r="AF1178" s="679"/>
    </row>
    <row r="1179" spans="32:32" x14ac:dyDescent="0.2">
      <c r="AF1179" s="679"/>
    </row>
    <row r="1180" spans="32:32" x14ac:dyDescent="0.2">
      <c r="AF1180" s="679"/>
    </row>
    <row r="1181" spans="32:32" x14ac:dyDescent="0.2">
      <c r="AF1181" s="679"/>
    </row>
    <row r="1182" spans="32:32" x14ac:dyDescent="0.2">
      <c r="AF1182" s="679"/>
    </row>
    <row r="1183" spans="32:32" x14ac:dyDescent="0.2">
      <c r="AF1183" s="679"/>
    </row>
    <row r="1184" spans="32:32" x14ac:dyDescent="0.2">
      <c r="AF1184" s="679"/>
    </row>
    <row r="1185" spans="32:32" x14ac:dyDescent="0.2">
      <c r="AF1185" s="679"/>
    </row>
    <row r="1186" spans="32:32" x14ac:dyDescent="0.2">
      <c r="AF1186" s="679"/>
    </row>
    <row r="1187" spans="32:32" x14ac:dyDescent="0.2">
      <c r="AF1187" s="679"/>
    </row>
    <row r="1188" spans="32:32" x14ac:dyDescent="0.2">
      <c r="AF1188" s="679"/>
    </row>
    <row r="1189" spans="32:32" x14ac:dyDescent="0.2">
      <c r="AF1189" s="679"/>
    </row>
    <row r="1190" spans="32:32" x14ac:dyDescent="0.2">
      <c r="AF1190" s="679"/>
    </row>
    <row r="1191" spans="32:32" x14ac:dyDescent="0.2">
      <c r="AF1191" s="679"/>
    </row>
    <row r="1192" spans="32:32" x14ac:dyDescent="0.2">
      <c r="AF1192" s="679"/>
    </row>
    <row r="1193" spans="32:32" x14ac:dyDescent="0.2">
      <c r="AF1193" s="679"/>
    </row>
    <row r="1194" spans="32:32" x14ac:dyDescent="0.2">
      <c r="AF1194" s="679"/>
    </row>
    <row r="1195" spans="32:32" x14ac:dyDescent="0.2">
      <c r="AF1195" s="679"/>
    </row>
    <row r="1196" spans="32:32" x14ac:dyDescent="0.2">
      <c r="AF1196" s="679"/>
    </row>
    <row r="1197" spans="32:32" x14ac:dyDescent="0.2">
      <c r="AF1197" s="679"/>
    </row>
    <row r="1198" spans="32:32" x14ac:dyDescent="0.2">
      <c r="AF1198" s="679"/>
    </row>
    <row r="1199" spans="32:32" x14ac:dyDescent="0.2">
      <c r="AF1199" s="679"/>
    </row>
    <row r="1200" spans="32:32" x14ac:dyDescent="0.2">
      <c r="AF1200" s="679"/>
    </row>
    <row r="1201" spans="32:32" x14ac:dyDescent="0.2">
      <c r="AF1201" s="679"/>
    </row>
    <row r="1202" spans="32:32" x14ac:dyDescent="0.2">
      <c r="AF1202" s="679"/>
    </row>
    <row r="1203" spans="32:32" x14ac:dyDescent="0.2">
      <c r="AF1203" s="679"/>
    </row>
    <row r="1204" spans="32:32" x14ac:dyDescent="0.2">
      <c r="AF1204" s="679"/>
    </row>
    <row r="1205" spans="32:32" x14ac:dyDescent="0.2">
      <c r="AF1205" s="679"/>
    </row>
    <row r="1206" spans="32:32" x14ac:dyDescent="0.2">
      <c r="AF1206" s="679"/>
    </row>
    <row r="1207" spans="32:32" x14ac:dyDescent="0.2">
      <c r="AF1207" s="679"/>
    </row>
    <row r="1208" spans="32:32" x14ac:dyDescent="0.2">
      <c r="AF1208" s="679"/>
    </row>
    <row r="1209" spans="32:32" x14ac:dyDescent="0.2">
      <c r="AF1209" s="679"/>
    </row>
    <row r="1210" spans="32:32" x14ac:dyDescent="0.2">
      <c r="AF1210" s="679"/>
    </row>
    <row r="1211" spans="32:32" x14ac:dyDescent="0.2">
      <c r="AF1211" s="679"/>
    </row>
    <row r="1212" spans="32:32" x14ac:dyDescent="0.2">
      <c r="AF1212" s="679"/>
    </row>
    <row r="1213" spans="32:32" x14ac:dyDescent="0.2">
      <c r="AF1213" s="679"/>
    </row>
    <row r="1214" spans="32:32" x14ac:dyDescent="0.2">
      <c r="AF1214" s="679"/>
    </row>
    <row r="1215" spans="32:32" x14ac:dyDescent="0.2">
      <c r="AF1215" s="679"/>
    </row>
    <row r="1216" spans="32:32" x14ac:dyDescent="0.2">
      <c r="AF1216" s="679"/>
    </row>
    <row r="1217" spans="32:32" x14ac:dyDescent="0.2">
      <c r="AF1217" s="679"/>
    </row>
    <row r="1218" spans="32:32" x14ac:dyDescent="0.2">
      <c r="AF1218" s="679"/>
    </row>
    <row r="1219" spans="32:32" x14ac:dyDescent="0.2">
      <c r="AF1219" s="679"/>
    </row>
    <row r="1220" spans="32:32" x14ac:dyDescent="0.2">
      <c r="AF1220" s="679"/>
    </row>
    <row r="1221" spans="32:32" x14ac:dyDescent="0.2">
      <c r="AF1221" s="679"/>
    </row>
    <row r="1222" spans="32:32" x14ac:dyDescent="0.2">
      <c r="AF1222" s="679"/>
    </row>
    <row r="1223" spans="32:32" x14ac:dyDescent="0.2">
      <c r="AF1223" s="679"/>
    </row>
    <row r="1224" spans="32:32" x14ac:dyDescent="0.2">
      <c r="AF1224" s="679"/>
    </row>
    <row r="1225" spans="32:32" x14ac:dyDescent="0.2">
      <c r="AF1225" s="679"/>
    </row>
    <row r="1226" spans="32:32" x14ac:dyDescent="0.2">
      <c r="AF1226" s="679"/>
    </row>
    <row r="1227" spans="32:32" x14ac:dyDescent="0.2">
      <c r="AF1227" s="679"/>
    </row>
    <row r="1228" spans="32:32" x14ac:dyDescent="0.2">
      <c r="AF1228" s="679"/>
    </row>
    <row r="1229" spans="32:32" x14ac:dyDescent="0.2">
      <c r="AF1229" s="679"/>
    </row>
    <row r="1230" spans="32:32" x14ac:dyDescent="0.2">
      <c r="AF1230" s="679"/>
    </row>
    <row r="1231" spans="32:32" x14ac:dyDescent="0.2">
      <c r="AF1231" s="679"/>
    </row>
    <row r="1232" spans="32:32" x14ac:dyDescent="0.2">
      <c r="AF1232" s="679"/>
    </row>
    <row r="1233" spans="32:32" x14ac:dyDescent="0.2">
      <c r="AF1233" s="679"/>
    </row>
    <row r="1234" spans="32:32" x14ac:dyDescent="0.2">
      <c r="AF1234" s="679"/>
    </row>
    <row r="1235" spans="32:32" x14ac:dyDescent="0.2">
      <c r="AF1235" s="679"/>
    </row>
    <row r="1236" spans="32:32" x14ac:dyDescent="0.2">
      <c r="AF1236" s="679"/>
    </row>
    <row r="1237" spans="32:32" x14ac:dyDescent="0.2">
      <c r="AF1237" s="679"/>
    </row>
    <row r="1238" spans="32:32" x14ac:dyDescent="0.2">
      <c r="AF1238" s="679"/>
    </row>
    <row r="1239" spans="32:32" x14ac:dyDescent="0.2">
      <c r="AF1239" s="679"/>
    </row>
    <row r="1240" spans="32:32" x14ac:dyDescent="0.2">
      <c r="AF1240" s="679"/>
    </row>
    <row r="1241" spans="32:32" x14ac:dyDescent="0.2">
      <c r="AF1241" s="679"/>
    </row>
    <row r="1242" spans="32:32" x14ac:dyDescent="0.2">
      <c r="AF1242" s="679"/>
    </row>
    <row r="1243" spans="32:32" x14ac:dyDescent="0.2">
      <c r="AF1243" s="679"/>
    </row>
    <row r="1244" spans="32:32" x14ac:dyDescent="0.2">
      <c r="AF1244" s="679"/>
    </row>
    <row r="1245" spans="32:32" x14ac:dyDescent="0.2">
      <c r="AF1245" s="679"/>
    </row>
    <row r="1246" spans="32:32" x14ac:dyDescent="0.2">
      <c r="AF1246" s="679"/>
    </row>
    <row r="1247" spans="32:32" x14ac:dyDescent="0.2">
      <c r="AF1247" s="679"/>
    </row>
    <row r="1248" spans="32:32" x14ac:dyDescent="0.2">
      <c r="AF1248" s="679"/>
    </row>
    <row r="1249" spans="32:32" x14ac:dyDescent="0.2">
      <c r="AF1249" s="679"/>
    </row>
    <row r="1250" spans="32:32" x14ac:dyDescent="0.2">
      <c r="AF1250" s="679"/>
    </row>
    <row r="1251" spans="32:32" x14ac:dyDescent="0.2">
      <c r="AF1251" s="679"/>
    </row>
    <row r="1252" spans="32:32" x14ac:dyDescent="0.2">
      <c r="AF1252" s="679"/>
    </row>
    <row r="1253" spans="32:32" x14ac:dyDescent="0.2">
      <c r="AF1253" s="679"/>
    </row>
    <row r="1254" spans="32:32" x14ac:dyDescent="0.2">
      <c r="AF1254" s="679"/>
    </row>
    <row r="1255" spans="32:32" x14ac:dyDescent="0.2">
      <c r="AF1255" s="679"/>
    </row>
    <row r="1256" spans="32:32" x14ac:dyDescent="0.2">
      <c r="AF1256" s="679"/>
    </row>
    <row r="1257" spans="32:32" x14ac:dyDescent="0.2">
      <c r="AF1257" s="679"/>
    </row>
    <row r="1258" spans="32:32" x14ac:dyDescent="0.2">
      <c r="AF1258" s="679"/>
    </row>
    <row r="1259" spans="32:32" x14ac:dyDescent="0.2">
      <c r="AF1259" s="679"/>
    </row>
    <row r="1260" spans="32:32" x14ac:dyDescent="0.2">
      <c r="AF1260" s="679"/>
    </row>
    <row r="1261" spans="32:32" x14ac:dyDescent="0.2">
      <c r="AF1261" s="679"/>
    </row>
    <row r="1262" spans="32:32" x14ac:dyDescent="0.2">
      <c r="AF1262" s="679"/>
    </row>
    <row r="1263" spans="32:32" x14ac:dyDescent="0.2">
      <c r="AF1263" s="679"/>
    </row>
    <row r="1264" spans="32:32" x14ac:dyDescent="0.2">
      <c r="AF1264" s="679"/>
    </row>
    <row r="1265" spans="32:32" x14ac:dyDescent="0.2">
      <c r="AF1265" s="679"/>
    </row>
    <row r="1266" spans="32:32" x14ac:dyDescent="0.2">
      <c r="AF1266" s="679"/>
    </row>
    <row r="1267" spans="32:32" x14ac:dyDescent="0.2">
      <c r="AF1267" s="679"/>
    </row>
    <row r="1268" spans="32:32" x14ac:dyDescent="0.2">
      <c r="AF1268" s="679"/>
    </row>
    <row r="1269" spans="32:32" x14ac:dyDescent="0.2">
      <c r="AF1269" s="679"/>
    </row>
    <row r="1270" spans="32:32" x14ac:dyDescent="0.2">
      <c r="AF1270" s="679"/>
    </row>
    <row r="1271" spans="32:32" x14ac:dyDescent="0.2">
      <c r="AF1271" s="679"/>
    </row>
    <row r="1272" spans="32:32" x14ac:dyDescent="0.2">
      <c r="AF1272" s="679"/>
    </row>
    <row r="1273" spans="32:32" x14ac:dyDescent="0.2">
      <c r="AF1273" s="679"/>
    </row>
    <row r="1274" spans="32:32" x14ac:dyDescent="0.2">
      <c r="AF1274" s="679"/>
    </row>
    <row r="1275" spans="32:32" x14ac:dyDescent="0.2">
      <c r="AF1275" s="679"/>
    </row>
    <row r="1276" spans="32:32" x14ac:dyDescent="0.2">
      <c r="AF1276" s="679"/>
    </row>
    <row r="1277" spans="32:32" x14ac:dyDescent="0.2">
      <c r="AF1277" s="679"/>
    </row>
    <row r="1278" spans="32:32" x14ac:dyDescent="0.2">
      <c r="AF1278" s="679"/>
    </row>
    <row r="1279" spans="32:32" x14ac:dyDescent="0.2">
      <c r="AF1279" s="679"/>
    </row>
    <row r="1280" spans="32:32" x14ac:dyDescent="0.2">
      <c r="AF1280" s="679"/>
    </row>
    <row r="1281" spans="32:32" x14ac:dyDescent="0.2">
      <c r="AF1281" s="679"/>
    </row>
    <row r="1282" spans="32:32" x14ac:dyDescent="0.2">
      <c r="AF1282" s="679"/>
    </row>
    <row r="1283" spans="32:32" x14ac:dyDescent="0.2">
      <c r="AF1283" s="679"/>
    </row>
    <row r="1284" spans="32:32" x14ac:dyDescent="0.2">
      <c r="AF1284" s="679"/>
    </row>
    <row r="1285" spans="32:32" x14ac:dyDescent="0.2">
      <c r="AF1285" s="679"/>
    </row>
    <row r="1286" spans="32:32" x14ac:dyDescent="0.2">
      <c r="AF1286" s="679"/>
    </row>
    <row r="1287" spans="32:32" x14ac:dyDescent="0.2">
      <c r="AF1287" s="679"/>
    </row>
    <row r="1288" spans="32:32" x14ac:dyDescent="0.2">
      <c r="AF1288" s="679"/>
    </row>
    <row r="1289" spans="32:32" x14ac:dyDescent="0.2">
      <c r="AF1289" s="679"/>
    </row>
    <row r="1290" spans="32:32" x14ac:dyDescent="0.2">
      <c r="AF1290" s="679"/>
    </row>
    <row r="1291" spans="32:32" x14ac:dyDescent="0.2">
      <c r="AF1291" s="679"/>
    </row>
    <row r="1292" spans="32:32" x14ac:dyDescent="0.2">
      <c r="AF1292" s="679"/>
    </row>
    <row r="1293" spans="32:32" x14ac:dyDescent="0.2">
      <c r="AF1293" s="679"/>
    </row>
    <row r="1294" spans="32:32" x14ac:dyDescent="0.2">
      <c r="AF1294" s="679"/>
    </row>
    <row r="1295" spans="32:32" x14ac:dyDescent="0.2">
      <c r="AF1295" s="679"/>
    </row>
    <row r="1296" spans="32:32" x14ac:dyDescent="0.2">
      <c r="AF1296" s="679"/>
    </row>
    <row r="1297" spans="32:32" x14ac:dyDescent="0.2">
      <c r="AF1297" s="679"/>
    </row>
    <row r="1298" spans="32:32" x14ac:dyDescent="0.2">
      <c r="AF1298" s="679"/>
    </row>
    <row r="1299" spans="32:32" x14ac:dyDescent="0.2">
      <c r="AF1299" s="679"/>
    </row>
    <row r="1300" spans="32:32" x14ac:dyDescent="0.2">
      <c r="AF1300" s="679"/>
    </row>
    <row r="1301" spans="32:32" x14ac:dyDescent="0.2">
      <c r="AF1301" s="679"/>
    </row>
    <row r="1302" spans="32:32" x14ac:dyDescent="0.2">
      <c r="AF1302" s="679"/>
    </row>
    <row r="1303" spans="32:32" x14ac:dyDescent="0.2">
      <c r="AF1303" s="679"/>
    </row>
    <row r="1304" spans="32:32" x14ac:dyDescent="0.2">
      <c r="AF1304" s="679"/>
    </row>
    <row r="1305" spans="32:32" x14ac:dyDescent="0.2">
      <c r="AF1305" s="679"/>
    </row>
    <row r="1306" spans="32:32" x14ac:dyDescent="0.2">
      <c r="AF1306" s="679"/>
    </row>
    <row r="1307" spans="32:32" x14ac:dyDescent="0.2">
      <c r="AF1307" s="679"/>
    </row>
    <row r="1308" spans="32:32" x14ac:dyDescent="0.2">
      <c r="AF1308" s="679"/>
    </row>
    <row r="1309" spans="32:32" x14ac:dyDescent="0.2">
      <c r="AF1309" s="679"/>
    </row>
    <row r="1310" spans="32:32" x14ac:dyDescent="0.2">
      <c r="AF1310" s="679"/>
    </row>
    <row r="1311" spans="32:32" x14ac:dyDescent="0.2">
      <c r="AF1311" s="679"/>
    </row>
    <row r="1312" spans="32:32" x14ac:dyDescent="0.2">
      <c r="AF1312" s="679"/>
    </row>
    <row r="1313" spans="32:32" x14ac:dyDescent="0.2">
      <c r="AF1313" s="679"/>
    </row>
    <row r="1314" spans="32:32" x14ac:dyDescent="0.2">
      <c r="AF1314" s="679"/>
    </row>
    <row r="1315" spans="32:32" x14ac:dyDescent="0.2">
      <c r="AF1315" s="679"/>
    </row>
    <row r="1316" spans="32:32" x14ac:dyDescent="0.2">
      <c r="AF1316" s="679"/>
    </row>
    <row r="1317" spans="32:32" x14ac:dyDescent="0.2">
      <c r="AF1317" s="679"/>
    </row>
    <row r="1318" spans="32:32" x14ac:dyDescent="0.2">
      <c r="AF1318" s="679"/>
    </row>
    <row r="1319" spans="32:32" x14ac:dyDescent="0.2">
      <c r="AF1319" s="679"/>
    </row>
    <row r="1320" spans="32:32" x14ac:dyDescent="0.2">
      <c r="AF1320" s="679"/>
    </row>
    <row r="1321" spans="32:32" x14ac:dyDescent="0.2">
      <c r="AF1321" s="679"/>
    </row>
    <row r="1322" spans="32:32" x14ac:dyDescent="0.2">
      <c r="AF1322" s="679"/>
    </row>
    <row r="1323" spans="32:32" x14ac:dyDescent="0.2">
      <c r="AF1323" s="679"/>
    </row>
    <row r="1324" spans="32:32" x14ac:dyDescent="0.2">
      <c r="AF1324" s="679"/>
    </row>
    <row r="1325" spans="32:32" x14ac:dyDescent="0.2">
      <c r="AF1325" s="679"/>
    </row>
    <row r="1326" spans="32:32" x14ac:dyDescent="0.2">
      <c r="AF1326" s="679"/>
    </row>
    <row r="1327" spans="32:32" x14ac:dyDescent="0.2">
      <c r="AF1327" s="679"/>
    </row>
    <row r="1328" spans="32:32" x14ac:dyDescent="0.2">
      <c r="AF1328" s="679"/>
    </row>
    <row r="1329" spans="32:32" x14ac:dyDescent="0.2">
      <c r="AF1329" s="679"/>
    </row>
    <row r="1330" spans="32:32" x14ac:dyDescent="0.2">
      <c r="AF1330" s="679"/>
    </row>
    <row r="1331" spans="32:32" x14ac:dyDescent="0.2">
      <c r="AF1331" s="679"/>
    </row>
    <row r="1332" spans="32:32" x14ac:dyDescent="0.2">
      <c r="AF1332" s="679"/>
    </row>
    <row r="1333" spans="32:32" x14ac:dyDescent="0.2">
      <c r="AF1333" s="679"/>
    </row>
    <row r="1334" spans="32:32" x14ac:dyDescent="0.2">
      <c r="AF1334" s="679"/>
    </row>
    <row r="1335" spans="32:32" x14ac:dyDescent="0.2">
      <c r="AF1335" s="679"/>
    </row>
    <row r="1336" spans="32:32" x14ac:dyDescent="0.2">
      <c r="AF1336" s="679"/>
    </row>
    <row r="1337" spans="32:32" x14ac:dyDescent="0.2">
      <c r="AF1337" s="679"/>
    </row>
    <row r="1338" spans="32:32" x14ac:dyDescent="0.2">
      <c r="AF1338" s="679"/>
    </row>
    <row r="1339" spans="32:32" x14ac:dyDescent="0.2">
      <c r="AF1339" s="679"/>
    </row>
    <row r="1340" spans="32:32" x14ac:dyDescent="0.2">
      <c r="AF1340" s="679"/>
    </row>
    <row r="1341" spans="32:32" x14ac:dyDescent="0.2">
      <c r="AF1341" s="679"/>
    </row>
    <row r="1342" spans="32:32" x14ac:dyDescent="0.2">
      <c r="AF1342" s="679"/>
    </row>
    <row r="1343" spans="32:32" x14ac:dyDescent="0.2">
      <c r="AF1343" s="679"/>
    </row>
    <row r="1344" spans="32:32" x14ac:dyDescent="0.2">
      <c r="AF1344" s="679"/>
    </row>
    <row r="1345" spans="32:32" x14ac:dyDescent="0.2">
      <c r="AF1345" s="679"/>
    </row>
    <row r="1346" spans="32:32" x14ac:dyDescent="0.2">
      <c r="AF1346" s="679"/>
    </row>
    <row r="1347" spans="32:32" x14ac:dyDescent="0.2">
      <c r="AF1347" s="679"/>
    </row>
    <row r="1348" spans="32:32" x14ac:dyDescent="0.2">
      <c r="AF1348" s="679"/>
    </row>
    <row r="1349" spans="32:32" x14ac:dyDescent="0.2">
      <c r="AF1349" s="679"/>
    </row>
    <row r="1350" spans="32:32" x14ac:dyDescent="0.2">
      <c r="AF1350" s="679"/>
    </row>
    <row r="1351" spans="32:32" x14ac:dyDescent="0.2">
      <c r="AF1351" s="679"/>
    </row>
    <row r="1352" spans="32:32" x14ac:dyDescent="0.2">
      <c r="AF1352" s="679"/>
    </row>
    <row r="1353" spans="32:32" x14ac:dyDescent="0.2">
      <c r="AF1353" s="679"/>
    </row>
    <row r="1354" spans="32:32" x14ac:dyDescent="0.2">
      <c r="AF1354" s="679"/>
    </row>
    <row r="1355" spans="32:32" x14ac:dyDescent="0.2">
      <c r="AF1355" s="679"/>
    </row>
    <row r="1356" spans="32:32" x14ac:dyDescent="0.2">
      <c r="AF1356" s="679"/>
    </row>
    <row r="1357" spans="32:32" x14ac:dyDescent="0.2">
      <c r="AF1357" s="679"/>
    </row>
    <row r="1358" spans="32:32" x14ac:dyDescent="0.2">
      <c r="AF1358" s="679"/>
    </row>
    <row r="1359" spans="32:32" x14ac:dyDescent="0.2">
      <c r="AF1359" s="679"/>
    </row>
    <row r="1360" spans="32:32" x14ac:dyDescent="0.2">
      <c r="AF1360" s="679"/>
    </row>
    <row r="1361" spans="32:32" x14ac:dyDescent="0.2">
      <c r="AF1361" s="679"/>
    </row>
    <row r="1362" spans="32:32" x14ac:dyDescent="0.2">
      <c r="AF1362" s="679"/>
    </row>
    <row r="1363" spans="32:32" x14ac:dyDescent="0.2">
      <c r="AF1363" s="679"/>
    </row>
    <row r="1364" spans="32:32" x14ac:dyDescent="0.2">
      <c r="AF1364" s="679"/>
    </row>
    <row r="1365" spans="32:32" x14ac:dyDescent="0.2">
      <c r="AF1365" s="679"/>
    </row>
    <row r="1366" spans="32:32" x14ac:dyDescent="0.2">
      <c r="AF1366" s="679"/>
    </row>
    <row r="1367" spans="32:32" x14ac:dyDescent="0.2">
      <c r="AF1367" s="679"/>
    </row>
    <row r="1368" spans="32:32" x14ac:dyDescent="0.2">
      <c r="AF1368" s="679"/>
    </row>
    <row r="1369" spans="32:32" x14ac:dyDescent="0.2">
      <c r="AF1369" s="679"/>
    </row>
    <row r="1370" spans="32:32" x14ac:dyDescent="0.2">
      <c r="AF1370" s="679"/>
    </row>
    <row r="1371" spans="32:32" x14ac:dyDescent="0.2">
      <c r="AF1371" s="679"/>
    </row>
    <row r="1372" spans="32:32" x14ac:dyDescent="0.2">
      <c r="AF1372" s="679"/>
    </row>
    <row r="1373" spans="32:32" x14ac:dyDescent="0.2">
      <c r="AF1373" s="679"/>
    </row>
    <row r="1374" spans="32:32" x14ac:dyDescent="0.2">
      <c r="AF1374" s="679"/>
    </row>
    <row r="1375" spans="32:32" x14ac:dyDescent="0.2">
      <c r="AF1375" s="679"/>
    </row>
    <row r="1376" spans="32:32" x14ac:dyDescent="0.2">
      <c r="AF1376" s="679"/>
    </row>
    <row r="1377" spans="32:32" x14ac:dyDescent="0.2">
      <c r="AF1377" s="679"/>
    </row>
    <row r="1378" spans="32:32" x14ac:dyDescent="0.2">
      <c r="AF1378" s="679"/>
    </row>
    <row r="1379" spans="32:32" x14ac:dyDescent="0.2">
      <c r="AF1379" s="679"/>
    </row>
    <row r="1380" spans="32:32" x14ac:dyDescent="0.2">
      <c r="AF1380" s="679"/>
    </row>
    <row r="1381" spans="32:32" x14ac:dyDescent="0.2">
      <c r="AF1381" s="679"/>
    </row>
    <row r="1382" spans="32:32" x14ac:dyDescent="0.2">
      <c r="AF1382" s="679"/>
    </row>
    <row r="1383" spans="32:32" x14ac:dyDescent="0.2">
      <c r="AF1383" s="679"/>
    </row>
    <row r="1384" spans="32:32" x14ac:dyDescent="0.2">
      <c r="AF1384" s="679"/>
    </row>
    <row r="1385" spans="32:32" x14ac:dyDescent="0.2">
      <c r="AF1385" s="679"/>
    </row>
    <row r="1386" spans="32:32" x14ac:dyDescent="0.2">
      <c r="AF1386" s="679"/>
    </row>
    <row r="1387" spans="32:32" x14ac:dyDescent="0.2">
      <c r="AF1387" s="679"/>
    </row>
    <row r="1388" spans="32:32" x14ac:dyDescent="0.2">
      <c r="AF1388" s="679"/>
    </row>
    <row r="1389" spans="32:32" x14ac:dyDescent="0.2">
      <c r="AF1389" s="679"/>
    </row>
    <row r="1390" spans="32:32" x14ac:dyDescent="0.2">
      <c r="AF1390" s="679"/>
    </row>
    <row r="1391" spans="32:32" x14ac:dyDescent="0.2">
      <c r="AF1391" s="679"/>
    </row>
    <row r="1392" spans="32:32" x14ac:dyDescent="0.2">
      <c r="AF1392" s="679"/>
    </row>
    <row r="1393" spans="32:32" x14ac:dyDescent="0.2">
      <c r="AF1393" s="679"/>
    </row>
    <row r="1394" spans="32:32" x14ac:dyDescent="0.2">
      <c r="AF1394" s="679"/>
    </row>
    <row r="1395" spans="32:32" x14ac:dyDescent="0.2">
      <c r="AF1395" s="679"/>
    </row>
    <row r="1396" spans="32:32" x14ac:dyDescent="0.2">
      <c r="AF1396" s="679"/>
    </row>
    <row r="1397" spans="32:32" x14ac:dyDescent="0.2">
      <c r="AF1397" s="679"/>
    </row>
    <row r="1398" spans="32:32" x14ac:dyDescent="0.2">
      <c r="AF1398" s="679"/>
    </row>
    <row r="1399" spans="32:32" x14ac:dyDescent="0.2">
      <c r="AF1399" s="679"/>
    </row>
    <row r="1400" spans="32:32" x14ac:dyDescent="0.2">
      <c r="AF1400" s="679"/>
    </row>
    <row r="1401" spans="32:32" x14ac:dyDescent="0.2">
      <c r="AF1401" s="679"/>
    </row>
    <row r="1402" spans="32:32" x14ac:dyDescent="0.2">
      <c r="AF1402" s="679"/>
    </row>
    <row r="1403" spans="32:32" x14ac:dyDescent="0.2">
      <c r="AF1403" s="679"/>
    </row>
    <row r="1404" spans="32:32" x14ac:dyDescent="0.2">
      <c r="AF1404" s="679"/>
    </row>
    <row r="1405" spans="32:32" x14ac:dyDescent="0.2">
      <c r="AF1405" s="679"/>
    </row>
    <row r="1406" spans="32:32" x14ac:dyDescent="0.2">
      <c r="AF1406" s="679"/>
    </row>
    <row r="1407" spans="32:32" x14ac:dyDescent="0.2">
      <c r="AF1407" s="679"/>
    </row>
    <row r="1408" spans="32:32" x14ac:dyDescent="0.2">
      <c r="AF1408" s="679"/>
    </row>
    <row r="1409" spans="32:32" x14ac:dyDescent="0.2">
      <c r="AF1409" s="679"/>
    </row>
    <row r="1410" spans="32:32" x14ac:dyDescent="0.2">
      <c r="AF1410" s="679"/>
    </row>
    <row r="1411" spans="32:32" x14ac:dyDescent="0.2">
      <c r="AF1411" s="679"/>
    </row>
    <row r="1412" spans="32:32" x14ac:dyDescent="0.2">
      <c r="AF1412" s="679"/>
    </row>
    <row r="1413" spans="32:32" x14ac:dyDescent="0.2">
      <c r="AF1413" s="679"/>
    </row>
    <row r="1414" spans="32:32" x14ac:dyDescent="0.2">
      <c r="AF1414" s="679"/>
    </row>
    <row r="1415" spans="32:32" x14ac:dyDescent="0.2">
      <c r="AF1415" s="679"/>
    </row>
    <row r="1416" spans="32:32" x14ac:dyDescent="0.2">
      <c r="AF1416" s="679"/>
    </row>
    <row r="1417" spans="32:32" x14ac:dyDescent="0.2">
      <c r="AF1417" s="679"/>
    </row>
    <row r="1418" spans="32:32" x14ac:dyDescent="0.2">
      <c r="AF1418" s="679"/>
    </row>
    <row r="1419" spans="32:32" x14ac:dyDescent="0.2">
      <c r="AF1419" s="679"/>
    </row>
    <row r="1420" spans="32:32" x14ac:dyDescent="0.2">
      <c r="AF1420" s="679"/>
    </row>
    <row r="1421" spans="32:32" x14ac:dyDescent="0.2">
      <c r="AF1421" s="679"/>
    </row>
    <row r="1422" spans="32:32" x14ac:dyDescent="0.2">
      <c r="AF1422" s="679"/>
    </row>
    <row r="1423" spans="32:32" x14ac:dyDescent="0.2">
      <c r="AF1423" s="679"/>
    </row>
    <row r="1424" spans="32:32" x14ac:dyDescent="0.2">
      <c r="AF1424" s="679"/>
    </row>
    <row r="1425" spans="32:32" x14ac:dyDescent="0.2">
      <c r="AF1425" s="679"/>
    </row>
    <row r="1426" spans="32:32" x14ac:dyDescent="0.2">
      <c r="AF1426" s="679"/>
    </row>
    <row r="1427" spans="32:32" x14ac:dyDescent="0.2">
      <c r="AF1427" s="679"/>
    </row>
    <row r="1428" spans="32:32" x14ac:dyDescent="0.2">
      <c r="AF1428" s="679"/>
    </row>
    <row r="1429" spans="32:32" x14ac:dyDescent="0.2">
      <c r="AF1429" s="679"/>
    </row>
    <row r="1430" spans="32:32" x14ac:dyDescent="0.2">
      <c r="AF1430" s="679"/>
    </row>
    <row r="1431" spans="32:32" x14ac:dyDescent="0.2">
      <c r="AF1431" s="679"/>
    </row>
    <row r="1432" spans="32:32" x14ac:dyDescent="0.2">
      <c r="AF1432" s="679"/>
    </row>
    <row r="1433" spans="32:32" x14ac:dyDescent="0.2">
      <c r="AF1433" s="679"/>
    </row>
    <row r="1434" spans="32:32" x14ac:dyDescent="0.2">
      <c r="AF1434" s="679"/>
    </row>
    <row r="1435" spans="32:32" x14ac:dyDescent="0.2">
      <c r="AF1435" s="679"/>
    </row>
    <row r="1436" spans="32:32" x14ac:dyDescent="0.2">
      <c r="AF1436" s="679"/>
    </row>
    <row r="1437" spans="32:32" x14ac:dyDescent="0.2">
      <c r="AF1437" s="679"/>
    </row>
    <row r="1438" spans="32:32" x14ac:dyDescent="0.2">
      <c r="AF1438" s="679"/>
    </row>
    <row r="1439" spans="32:32" x14ac:dyDescent="0.2">
      <c r="AF1439" s="679"/>
    </row>
    <row r="1440" spans="32:32" x14ac:dyDescent="0.2">
      <c r="AF1440" s="679"/>
    </row>
    <row r="1441" spans="32:32" x14ac:dyDescent="0.2">
      <c r="AF1441" s="679"/>
    </row>
    <row r="1442" spans="32:32" x14ac:dyDescent="0.2">
      <c r="AF1442" s="679"/>
    </row>
    <row r="1443" spans="32:32" x14ac:dyDescent="0.2">
      <c r="AF1443" s="679"/>
    </row>
    <row r="1444" spans="32:32" x14ac:dyDescent="0.2">
      <c r="AF1444" s="679"/>
    </row>
    <row r="1445" spans="32:32" x14ac:dyDescent="0.2">
      <c r="AF1445" s="679"/>
    </row>
    <row r="1446" spans="32:32" x14ac:dyDescent="0.2">
      <c r="AF1446" s="679"/>
    </row>
    <row r="1447" spans="32:32" x14ac:dyDescent="0.2">
      <c r="AF1447" s="679"/>
    </row>
    <row r="1448" spans="32:32" x14ac:dyDescent="0.2">
      <c r="AF1448" s="679"/>
    </row>
    <row r="1449" spans="32:32" x14ac:dyDescent="0.2">
      <c r="AF1449" s="679"/>
    </row>
    <row r="1450" spans="32:32" x14ac:dyDescent="0.2">
      <c r="AF1450" s="679"/>
    </row>
    <row r="1451" spans="32:32" x14ac:dyDescent="0.2">
      <c r="AF1451" s="679"/>
    </row>
    <row r="1452" spans="32:32" x14ac:dyDescent="0.2">
      <c r="AF1452" s="679"/>
    </row>
    <row r="1453" spans="32:32" x14ac:dyDescent="0.2">
      <c r="AF1453" s="679"/>
    </row>
    <row r="1454" spans="32:32" x14ac:dyDescent="0.2">
      <c r="AF1454" s="679"/>
    </row>
    <row r="1455" spans="32:32" x14ac:dyDescent="0.2">
      <c r="AF1455" s="679"/>
    </row>
    <row r="1456" spans="32:32" x14ac:dyDescent="0.2">
      <c r="AF1456" s="679"/>
    </row>
    <row r="1457" spans="32:32" x14ac:dyDescent="0.2">
      <c r="AF1457" s="679"/>
    </row>
    <row r="1458" spans="32:32" x14ac:dyDescent="0.2">
      <c r="AF1458" s="679"/>
    </row>
    <row r="1459" spans="32:32" x14ac:dyDescent="0.2">
      <c r="AF1459" s="679"/>
    </row>
    <row r="1460" spans="32:32" x14ac:dyDescent="0.2">
      <c r="AF1460" s="679"/>
    </row>
    <row r="1461" spans="32:32" x14ac:dyDescent="0.2">
      <c r="AF1461" s="679"/>
    </row>
    <row r="1462" spans="32:32" x14ac:dyDescent="0.2">
      <c r="AF1462" s="679"/>
    </row>
    <row r="1463" spans="32:32" x14ac:dyDescent="0.2">
      <c r="AF1463" s="679"/>
    </row>
    <row r="1464" spans="32:32" x14ac:dyDescent="0.2">
      <c r="AF1464" s="679"/>
    </row>
    <row r="1465" spans="32:32" x14ac:dyDescent="0.2">
      <c r="AF1465" s="679"/>
    </row>
    <row r="1466" spans="32:32" x14ac:dyDescent="0.2">
      <c r="AF1466" s="679"/>
    </row>
    <row r="1467" spans="32:32" x14ac:dyDescent="0.2">
      <c r="AF1467" s="679"/>
    </row>
    <row r="1468" spans="32:32" x14ac:dyDescent="0.2">
      <c r="AF1468" s="679"/>
    </row>
    <row r="1469" spans="32:32" x14ac:dyDescent="0.2">
      <c r="AF1469" s="679"/>
    </row>
    <row r="1470" spans="32:32" x14ac:dyDescent="0.2">
      <c r="AF1470" s="679"/>
    </row>
    <row r="1471" spans="32:32" x14ac:dyDescent="0.2">
      <c r="AF1471" s="679"/>
    </row>
    <row r="1472" spans="32:32" x14ac:dyDescent="0.2">
      <c r="AF1472" s="679"/>
    </row>
    <row r="1473" spans="32:32" x14ac:dyDescent="0.2">
      <c r="AF1473" s="679"/>
    </row>
    <row r="1474" spans="32:32" x14ac:dyDescent="0.2">
      <c r="AF1474" s="679"/>
    </row>
    <row r="1475" spans="32:32" x14ac:dyDescent="0.2">
      <c r="AF1475" s="679"/>
    </row>
    <row r="1476" spans="32:32" x14ac:dyDescent="0.2">
      <c r="AF1476" s="679"/>
    </row>
    <row r="1477" spans="32:32" x14ac:dyDescent="0.2">
      <c r="AF1477" s="679"/>
    </row>
    <row r="1478" spans="32:32" x14ac:dyDescent="0.2">
      <c r="AF1478" s="679"/>
    </row>
    <row r="1479" spans="32:32" x14ac:dyDescent="0.2">
      <c r="AF1479" s="679"/>
    </row>
    <row r="1480" spans="32:32" x14ac:dyDescent="0.2">
      <c r="AF1480" s="679"/>
    </row>
    <row r="1481" spans="32:32" x14ac:dyDescent="0.2">
      <c r="AF1481" s="679"/>
    </row>
    <row r="1482" spans="32:32" x14ac:dyDescent="0.2">
      <c r="AF1482" s="679"/>
    </row>
    <row r="1483" spans="32:32" x14ac:dyDescent="0.2">
      <c r="AF1483" s="679"/>
    </row>
    <row r="1484" spans="32:32" x14ac:dyDescent="0.2">
      <c r="AF1484" s="679"/>
    </row>
    <row r="1485" spans="32:32" x14ac:dyDescent="0.2">
      <c r="AF1485" s="679"/>
    </row>
    <row r="1486" spans="32:32" x14ac:dyDescent="0.2">
      <c r="AF1486" s="679"/>
    </row>
    <row r="1487" spans="32:32" x14ac:dyDescent="0.2">
      <c r="AF1487" s="679"/>
    </row>
    <row r="1488" spans="32:32" x14ac:dyDescent="0.2">
      <c r="AF1488" s="679"/>
    </row>
    <row r="1489" spans="32:32" x14ac:dyDescent="0.2">
      <c r="AF1489" s="679"/>
    </row>
    <row r="1490" spans="32:32" x14ac:dyDescent="0.2">
      <c r="AF1490" s="679"/>
    </row>
    <row r="1491" spans="32:32" x14ac:dyDescent="0.2">
      <c r="AF1491" s="679"/>
    </row>
    <row r="1492" spans="32:32" x14ac:dyDescent="0.2">
      <c r="AF1492" s="679"/>
    </row>
    <row r="1493" spans="32:32" x14ac:dyDescent="0.2">
      <c r="AF1493" s="679"/>
    </row>
    <row r="1494" spans="32:32" x14ac:dyDescent="0.2">
      <c r="AF1494" s="679"/>
    </row>
    <row r="1495" spans="32:32" x14ac:dyDescent="0.2">
      <c r="AF1495" s="679"/>
    </row>
    <row r="1496" spans="32:32" x14ac:dyDescent="0.2">
      <c r="AF1496" s="679"/>
    </row>
    <row r="1497" spans="32:32" x14ac:dyDescent="0.2">
      <c r="AF1497" s="679"/>
    </row>
    <row r="1498" spans="32:32" x14ac:dyDescent="0.2">
      <c r="AF1498" s="679"/>
    </row>
    <row r="1499" spans="32:32" x14ac:dyDescent="0.2">
      <c r="AF1499" s="679"/>
    </row>
    <row r="1500" spans="32:32" x14ac:dyDescent="0.2">
      <c r="AF1500" s="679"/>
    </row>
    <row r="1501" spans="32:32" x14ac:dyDescent="0.2">
      <c r="AF1501" s="679"/>
    </row>
    <row r="1502" spans="32:32" x14ac:dyDescent="0.2">
      <c r="AF1502" s="679"/>
    </row>
    <row r="1503" spans="32:32" x14ac:dyDescent="0.2">
      <c r="AF1503" s="679"/>
    </row>
    <row r="1504" spans="32:32" x14ac:dyDescent="0.2">
      <c r="AF1504" s="679"/>
    </row>
    <row r="1505" spans="32:32" x14ac:dyDescent="0.2">
      <c r="AF1505" s="679"/>
    </row>
    <row r="1506" spans="32:32" x14ac:dyDescent="0.2">
      <c r="AF1506" s="679"/>
    </row>
    <row r="1507" spans="32:32" x14ac:dyDescent="0.2">
      <c r="AF1507" s="679"/>
    </row>
    <row r="1508" spans="32:32" x14ac:dyDescent="0.2">
      <c r="AF1508" s="679"/>
    </row>
    <row r="1509" spans="32:32" x14ac:dyDescent="0.2">
      <c r="AF1509" s="679"/>
    </row>
    <row r="1510" spans="32:32" x14ac:dyDescent="0.2">
      <c r="AF1510" s="679"/>
    </row>
    <row r="1511" spans="32:32" x14ac:dyDescent="0.2">
      <c r="AF1511" s="679"/>
    </row>
    <row r="1512" spans="32:32" x14ac:dyDescent="0.2">
      <c r="AF1512" s="679"/>
    </row>
    <row r="1513" spans="32:32" x14ac:dyDescent="0.2">
      <c r="AF1513" s="679"/>
    </row>
    <row r="1514" spans="32:32" x14ac:dyDescent="0.2">
      <c r="AF1514" s="679"/>
    </row>
    <row r="1515" spans="32:32" x14ac:dyDescent="0.2">
      <c r="AF1515" s="679"/>
    </row>
    <row r="1516" spans="32:32" x14ac:dyDescent="0.2">
      <c r="AF1516" s="679"/>
    </row>
    <row r="1517" spans="32:32" x14ac:dyDescent="0.2">
      <c r="AF1517" s="679"/>
    </row>
    <row r="1518" spans="32:32" x14ac:dyDescent="0.2">
      <c r="AF1518" s="679"/>
    </row>
    <row r="1519" spans="32:32" x14ac:dyDescent="0.2">
      <c r="AF1519" s="679"/>
    </row>
    <row r="1520" spans="32:32" x14ac:dyDescent="0.2">
      <c r="AF1520" s="679"/>
    </row>
    <row r="1521" spans="32:32" x14ac:dyDescent="0.2">
      <c r="AF1521" s="679"/>
    </row>
    <row r="1522" spans="32:32" x14ac:dyDescent="0.2">
      <c r="AF1522" s="679"/>
    </row>
    <row r="1523" spans="32:32" x14ac:dyDescent="0.2">
      <c r="AF1523" s="679"/>
    </row>
    <row r="1524" spans="32:32" x14ac:dyDescent="0.2">
      <c r="AF1524" s="679"/>
    </row>
    <row r="1525" spans="32:32" x14ac:dyDescent="0.2">
      <c r="AF1525" s="679"/>
    </row>
    <row r="1526" spans="32:32" x14ac:dyDescent="0.2">
      <c r="AF1526" s="679"/>
    </row>
    <row r="1527" spans="32:32" x14ac:dyDescent="0.2">
      <c r="AF1527" s="679"/>
    </row>
    <row r="1528" spans="32:32" x14ac:dyDescent="0.2">
      <c r="AF1528" s="679"/>
    </row>
    <row r="1529" spans="32:32" x14ac:dyDescent="0.2">
      <c r="AF1529" s="679"/>
    </row>
    <row r="1530" spans="32:32" x14ac:dyDescent="0.2">
      <c r="AF1530" s="679"/>
    </row>
    <row r="1531" spans="32:32" x14ac:dyDescent="0.2">
      <c r="AF1531" s="679"/>
    </row>
    <row r="1532" spans="32:32" x14ac:dyDescent="0.2">
      <c r="AF1532" s="679"/>
    </row>
    <row r="1533" spans="32:32" x14ac:dyDescent="0.2">
      <c r="AF1533" s="679"/>
    </row>
    <row r="1534" spans="32:32" x14ac:dyDescent="0.2">
      <c r="AF1534" s="679"/>
    </row>
    <row r="1535" spans="32:32" x14ac:dyDescent="0.2">
      <c r="AF1535" s="679"/>
    </row>
    <row r="1536" spans="32:32" x14ac:dyDescent="0.2">
      <c r="AF1536" s="679"/>
    </row>
    <row r="1537" spans="32:32" x14ac:dyDescent="0.2">
      <c r="AF1537" s="679"/>
    </row>
    <row r="1538" spans="32:32" x14ac:dyDescent="0.2">
      <c r="AF1538" s="679"/>
    </row>
    <row r="1539" spans="32:32" x14ac:dyDescent="0.2">
      <c r="AF1539" s="679"/>
    </row>
    <row r="1540" spans="32:32" x14ac:dyDescent="0.2">
      <c r="AF1540" s="679"/>
    </row>
    <row r="1541" spans="32:32" x14ac:dyDescent="0.2">
      <c r="AF1541" s="679"/>
    </row>
    <row r="1542" spans="32:32" x14ac:dyDescent="0.2">
      <c r="AF1542" s="679"/>
    </row>
    <row r="1543" spans="32:32" x14ac:dyDescent="0.2">
      <c r="AF1543" s="679"/>
    </row>
    <row r="1544" spans="32:32" x14ac:dyDescent="0.2">
      <c r="AF1544" s="679"/>
    </row>
    <row r="1545" spans="32:32" x14ac:dyDescent="0.2">
      <c r="AF1545" s="679"/>
    </row>
    <row r="1546" spans="32:32" x14ac:dyDescent="0.2">
      <c r="AF1546" s="679"/>
    </row>
    <row r="1547" spans="32:32" x14ac:dyDescent="0.2">
      <c r="AF1547" s="679"/>
    </row>
    <row r="1548" spans="32:32" x14ac:dyDescent="0.2">
      <c r="AF1548" s="679"/>
    </row>
    <row r="1549" spans="32:32" x14ac:dyDescent="0.2">
      <c r="AF1549" s="679"/>
    </row>
    <row r="1550" spans="32:32" x14ac:dyDescent="0.2">
      <c r="AF1550" s="679"/>
    </row>
    <row r="1551" spans="32:32" x14ac:dyDescent="0.2">
      <c r="AF1551" s="679"/>
    </row>
    <row r="1552" spans="32:32" x14ac:dyDescent="0.2">
      <c r="AF1552" s="679"/>
    </row>
    <row r="1553" spans="32:32" x14ac:dyDescent="0.2">
      <c r="AF1553" s="679"/>
    </row>
    <row r="1554" spans="32:32" x14ac:dyDescent="0.2">
      <c r="AF1554" s="679"/>
    </row>
    <row r="1555" spans="32:32" x14ac:dyDescent="0.2">
      <c r="AF1555" s="679"/>
    </row>
    <row r="1556" spans="32:32" x14ac:dyDescent="0.2">
      <c r="AF1556" s="679"/>
    </row>
    <row r="1557" spans="32:32" x14ac:dyDescent="0.2">
      <c r="AF1557" s="679"/>
    </row>
    <row r="1558" spans="32:32" x14ac:dyDescent="0.2">
      <c r="AF1558" s="679"/>
    </row>
    <row r="1559" spans="32:32" x14ac:dyDescent="0.2">
      <c r="AF1559" s="679"/>
    </row>
    <row r="1560" spans="32:32" x14ac:dyDescent="0.2">
      <c r="AF1560" s="679"/>
    </row>
    <row r="1561" spans="32:32" x14ac:dyDescent="0.2">
      <c r="AF1561" s="679"/>
    </row>
    <row r="1562" spans="32:32" x14ac:dyDescent="0.2">
      <c r="AF1562" s="679"/>
    </row>
    <row r="1563" spans="32:32" x14ac:dyDescent="0.2">
      <c r="AF1563" s="679"/>
    </row>
    <row r="1564" spans="32:32" x14ac:dyDescent="0.2">
      <c r="AF1564" s="679"/>
    </row>
    <row r="1565" spans="32:32" x14ac:dyDescent="0.2">
      <c r="AF1565" s="679"/>
    </row>
    <row r="1566" spans="32:32" x14ac:dyDescent="0.2">
      <c r="AF1566" s="679"/>
    </row>
    <row r="1567" spans="32:32" x14ac:dyDescent="0.2">
      <c r="AF1567" s="679"/>
    </row>
    <row r="1568" spans="32:32" x14ac:dyDescent="0.2">
      <c r="AF1568" s="679"/>
    </row>
    <row r="1569" spans="32:32" x14ac:dyDescent="0.2">
      <c r="AF1569" s="679"/>
    </row>
    <row r="1570" spans="32:32" x14ac:dyDescent="0.2">
      <c r="AF1570" s="679"/>
    </row>
    <row r="1571" spans="32:32" x14ac:dyDescent="0.2">
      <c r="AF1571" s="679"/>
    </row>
    <row r="1572" spans="32:32" x14ac:dyDescent="0.2">
      <c r="AF1572" s="679"/>
    </row>
    <row r="1573" spans="32:32" x14ac:dyDescent="0.2">
      <c r="AF1573" s="679"/>
    </row>
    <row r="1574" spans="32:32" x14ac:dyDescent="0.2">
      <c r="AF1574" s="679"/>
    </row>
    <row r="1575" spans="32:32" x14ac:dyDescent="0.2">
      <c r="AF1575" s="679"/>
    </row>
    <row r="1576" spans="32:32" x14ac:dyDescent="0.2">
      <c r="AF1576" s="679"/>
    </row>
    <row r="1577" spans="32:32" x14ac:dyDescent="0.2">
      <c r="AF1577" s="679"/>
    </row>
    <row r="1578" spans="32:32" x14ac:dyDescent="0.2">
      <c r="AF1578" s="679"/>
    </row>
    <row r="1579" spans="32:32" x14ac:dyDescent="0.2">
      <c r="AF1579" s="679"/>
    </row>
    <row r="1580" spans="32:32" x14ac:dyDescent="0.2">
      <c r="AF1580" s="679"/>
    </row>
    <row r="1581" spans="32:32" x14ac:dyDescent="0.2">
      <c r="AF1581" s="679"/>
    </row>
    <row r="1582" spans="32:32" x14ac:dyDescent="0.2">
      <c r="AF1582" s="679"/>
    </row>
    <row r="1583" spans="32:32" x14ac:dyDescent="0.2">
      <c r="AF1583" s="679"/>
    </row>
    <row r="1584" spans="32:32" x14ac:dyDescent="0.2">
      <c r="AF1584" s="679"/>
    </row>
    <row r="1585" spans="32:32" x14ac:dyDescent="0.2">
      <c r="AF1585" s="679"/>
    </row>
    <row r="1586" spans="32:32" x14ac:dyDescent="0.2">
      <c r="AF1586" s="679"/>
    </row>
    <row r="1587" spans="32:32" x14ac:dyDescent="0.2">
      <c r="AF1587" s="679"/>
    </row>
    <row r="1588" spans="32:32" x14ac:dyDescent="0.2">
      <c r="AF1588" s="679"/>
    </row>
    <row r="1589" spans="32:32" x14ac:dyDescent="0.2">
      <c r="AF1589" s="679"/>
    </row>
    <row r="1590" spans="32:32" x14ac:dyDescent="0.2">
      <c r="AF1590" s="679"/>
    </row>
    <row r="1591" spans="32:32" x14ac:dyDescent="0.2">
      <c r="AF1591" s="679"/>
    </row>
    <row r="1592" spans="32:32" x14ac:dyDescent="0.2">
      <c r="AF1592" s="679"/>
    </row>
    <row r="1593" spans="32:32" x14ac:dyDescent="0.2">
      <c r="AF1593" s="679"/>
    </row>
    <row r="1594" spans="32:32" x14ac:dyDescent="0.2">
      <c r="AF1594" s="679"/>
    </row>
    <row r="1595" spans="32:32" x14ac:dyDescent="0.2">
      <c r="AF1595" s="679"/>
    </row>
    <row r="1596" spans="32:32" x14ac:dyDescent="0.2">
      <c r="AF1596" s="679"/>
    </row>
    <row r="1597" spans="32:32" x14ac:dyDescent="0.2">
      <c r="AF1597" s="679"/>
    </row>
    <row r="1598" spans="32:32" x14ac:dyDescent="0.2">
      <c r="AF1598" s="679"/>
    </row>
    <row r="1599" spans="32:32" x14ac:dyDescent="0.2">
      <c r="AF1599" s="679"/>
    </row>
    <row r="1600" spans="32:32" x14ac:dyDescent="0.2">
      <c r="AF1600" s="679"/>
    </row>
    <row r="1601" spans="32:32" x14ac:dyDescent="0.2">
      <c r="AF1601" s="679"/>
    </row>
    <row r="1602" spans="32:32" x14ac:dyDescent="0.2">
      <c r="AF1602" s="679"/>
    </row>
    <row r="1603" spans="32:32" x14ac:dyDescent="0.2">
      <c r="AF1603" s="679"/>
    </row>
    <row r="1604" spans="32:32" x14ac:dyDescent="0.2">
      <c r="AF1604" s="679"/>
    </row>
    <row r="1605" spans="32:32" x14ac:dyDescent="0.2">
      <c r="AF1605" s="679"/>
    </row>
    <row r="1606" spans="32:32" x14ac:dyDescent="0.2">
      <c r="AF1606" s="679"/>
    </row>
    <row r="1607" spans="32:32" x14ac:dyDescent="0.2">
      <c r="AF1607" s="679"/>
    </row>
    <row r="1608" spans="32:32" x14ac:dyDescent="0.2">
      <c r="AF1608" s="679"/>
    </row>
    <row r="1609" spans="32:32" x14ac:dyDescent="0.2">
      <c r="AF1609" s="679"/>
    </row>
    <row r="1610" spans="32:32" x14ac:dyDescent="0.2">
      <c r="AF1610" s="679"/>
    </row>
    <row r="1611" spans="32:32" x14ac:dyDescent="0.2">
      <c r="AF1611" s="679"/>
    </row>
    <row r="1612" spans="32:32" x14ac:dyDescent="0.2">
      <c r="AF1612" s="679"/>
    </row>
    <row r="1613" spans="32:32" x14ac:dyDescent="0.2">
      <c r="AF1613" s="679"/>
    </row>
    <row r="1614" spans="32:32" x14ac:dyDescent="0.2">
      <c r="AF1614" s="679"/>
    </row>
    <row r="1615" spans="32:32" x14ac:dyDescent="0.2">
      <c r="AF1615" s="679"/>
    </row>
    <row r="1616" spans="32:32" x14ac:dyDescent="0.2">
      <c r="AF1616" s="679"/>
    </row>
    <row r="1617" spans="32:32" x14ac:dyDescent="0.2">
      <c r="AF1617" s="679"/>
    </row>
    <row r="1618" spans="32:32" x14ac:dyDescent="0.2">
      <c r="AF1618" s="679"/>
    </row>
    <row r="1619" spans="32:32" x14ac:dyDescent="0.2">
      <c r="AF1619" s="679"/>
    </row>
    <row r="1620" spans="32:32" x14ac:dyDescent="0.2">
      <c r="AF1620" s="679"/>
    </row>
    <row r="1621" spans="32:32" x14ac:dyDescent="0.2">
      <c r="AF1621" s="679"/>
    </row>
    <row r="1622" spans="32:32" x14ac:dyDescent="0.2">
      <c r="AF1622" s="679"/>
    </row>
    <row r="1623" spans="32:32" x14ac:dyDescent="0.2">
      <c r="AF1623" s="679"/>
    </row>
    <row r="1624" spans="32:32" x14ac:dyDescent="0.2">
      <c r="AF1624" s="679"/>
    </row>
    <row r="1625" spans="32:32" x14ac:dyDescent="0.2">
      <c r="AF1625" s="679"/>
    </row>
    <row r="1626" spans="32:32" x14ac:dyDescent="0.2">
      <c r="AF1626" s="679"/>
    </row>
    <row r="1627" spans="32:32" x14ac:dyDescent="0.2">
      <c r="AF1627" s="679"/>
    </row>
    <row r="1628" spans="32:32" x14ac:dyDescent="0.2">
      <c r="AF1628" s="679"/>
    </row>
    <row r="1629" spans="32:32" x14ac:dyDescent="0.2">
      <c r="AF1629" s="679"/>
    </row>
    <row r="1630" spans="32:32" x14ac:dyDescent="0.2">
      <c r="AF1630" s="679"/>
    </row>
    <row r="1631" spans="32:32" x14ac:dyDescent="0.2">
      <c r="AF1631" s="679"/>
    </row>
    <row r="1632" spans="32:32" x14ac:dyDescent="0.2">
      <c r="AF1632" s="679"/>
    </row>
    <row r="1633" spans="32:32" x14ac:dyDescent="0.2">
      <c r="AF1633" s="679"/>
    </row>
    <row r="1634" spans="32:32" x14ac:dyDescent="0.2">
      <c r="AF1634" s="679"/>
    </row>
    <row r="1635" spans="32:32" x14ac:dyDescent="0.2">
      <c r="AF1635" s="679"/>
    </row>
    <row r="1636" spans="32:32" x14ac:dyDescent="0.2">
      <c r="AF1636" s="679"/>
    </row>
    <row r="1637" spans="32:32" x14ac:dyDescent="0.2">
      <c r="AF1637" s="679"/>
    </row>
    <row r="1638" spans="32:32" x14ac:dyDescent="0.2">
      <c r="AF1638" s="679"/>
    </row>
    <row r="1639" spans="32:32" x14ac:dyDescent="0.2">
      <c r="AF1639" s="679"/>
    </row>
    <row r="1640" spans="32:32" x14ac:dyDescent="0.2">
      <c r="AF1640" s="679"/>
    </row>
    <row r="1641" spans="32:32" x14ac:dyDescent="0.2">
      <c r="AF1641" s="679"/>
    </row>
    <row r="1642" spans="32:32" x14ac:dyDescent="0.2">
      <c r="AF1642" s="679"/>
    </row>
    <row r="1643" spans="32:32" x14ac:dyDescent="0.2">
      <c r="AF1643" s="679"/>
    </row>
    <row r="1644" spans="32:32" x14ac:dyDescent="0.2">
      <c r="AF1644" s="679"/>
    </row>
    <row r="1645" spans="32:32" x14ac:dyDescent="0.2">
      <c r="AF1645" s="679"/>
    </row>
    <row r="1646" spans="32:32" x14ac:dyDescent="0.2">
      <c r="AF1646" s="679"/>
    </row>
    <row r="1647" spans="32:32" x14ac:dyDescent="0.2">
      <c r="AF1647" s="679"/>
    </row>
    <row r="1648" spans="32:32" x14ac:dyDescent="0.2">
      <c r="AF1648" s="679"/>
    </row>
    <row r="1649" spans="32:32" x14ac:dyDescent="0.2">
      <c r="AF1649" s="679"/>
    </row>
    <row r="1650" spans="32:32" x14ac:dyDescent="0.2">
      <c r="AF1650" s="679"/>
    </row>
    <row r="1651" spans="32:32" x14ac:dyDescent="0.2">
      <c r="AF1651" s="679"/>
    </row>
    <row r="1652" spans="32:32" x14ac:dyDescent="0.2">
      <c r="AF1652" s="679"/>
    </row>
    <row r="1653" spans="32:32" x14ac:dyDescent="0.2">
      <c r="AF1653" s="679"/>
    </row>
    <row r="1654" spans="32:32" x14ac:dyDescent="0.2">
      <c r="AF1654" s="679"/>
    </row>
    <row r="1655" spans="32:32" x14ac:dyDescent="0.2">
      <c r="AF1655" s="679"/>
    </row>
    <row r="1656" spans="32:32" x14ac:dyDescent="0.2">
      <c r="AF1656" s="679"/>
    </row>
    <row r="1657" spans="32:32" x14ac:dyDescent="0.2">
      <c r="AF1657" s="679"/>
    </row>
    <row r="1658" spans="32:32" x14ac:dyDescent="0.2">
      <c r="AF1658" s="679"/>
    </row>
    <row r="1659" spans="32:32" x14ac:dyDescent="0.2">
      <c r="AF1659" s="679"/>
    </row>
    <row r="1660" spans="32:32" x14ac:dyDescent="0.2">
      <c r="AF1660" s="679"/>
    </row>
    <row r="1661" spans="32:32" x14ac:dyDescent="0.2">
      <c r="AF1661" s="679"/>
    </row>
    <row r="1662" spans="32:32" x14ac:dyDescent="0.2">
      <c r="AF1662" s="679"/>
    </row>
    <row r="1663" spans="32:32" x14ac:dyDescent="0.2">
      <c r="AF1663" s="679"/>
    </row>
    <row r="1664" spans="32:32" x14ac:dyDescent="0.2">
      <c r="AF1664" s="679"/>
    </row>
    <row r="1665" spans="32:32" x14ac:dyDescent="0.2">
      <c r="AF1665" s="679"/>
    </row>
    <row r="1666" spans="32:32" x14ac:dyDescent="0.2">
      <c r="AF1666" s="679"/>
    </row>
    <row r="1667" spans="32:32" x14ac:dyDescent="0.2">
      <c r="AF1667" s="679"/>
    </row>
    <row r="1668" spans="32:32" x14ac:dyDescent="0.2">
      <c r="AF1668" s="679"/>
    </row>
    <row r="1669" spans="32:32" x14ac:dyDescent="0.2">
      <c r="AF1669" s="679"/>
    </row>
    <row r="1670" spans="32:32" x14ac:dyDescent="0.2">
      <c r="AF1670" s="679"/>
    </row>
    <row r="1671" spans="32:32" x14ac:dyDescent="0.2">
      <c r="AF1671" s="679"/>
    </row>
    <row r="1672" spans="32:32" x14ac:dyDescent="0.2">
      <c r="AF1672" s="679"/>
    </row>
    <row r="1673" spans="32:32" x14ac:dyDescent="0.2">
      <c r="AF1673" s="679"/>
    </row>
    <row r="1674" spans="32:32" x14ac:dyDescent="0.2">
      <c r="AF1674" s="679"/>
    </row>
    <row r="1675" spans="32:32" x14ac:dyDescent="0.2">
      <c r="AF1675" s="679"/>
    </row>
    <row r="1676" spans="32:32" x14ac:dyDescent="0.2">
      <c r="AF1676" s="679"/>
    </row>
    <row r="1677" spans="32:32" x14ac:dyDescent="0.2">
      <c r="AF1677" s="679"/>
    </row>
    <row r="1678" spans="32:32" x14ac:dyDescent="0.2">
      <c r="AF1678" s="679"/>
    </row>
    <row r="1679" spans="32:32" x14ac:dyDescent="0.2">
      <c r="AF1679" s="679"/>
    </row>
    <row r="1680" spans="32:32" x14ac:dyDescent="0.2">
      <c r="AF1680" s="679"/>
    </row>
    <row r="1681" spans="32:32" x14ac:dyDescent="0.2">
      <c r="AF1681" s="679"/>
    </row>
    <row r="1682" spans="32:32" x14ac:dyDescent="0.2">
      <c r="AF1682" s="679"/>
    </row>
    <row r="1683" spans="32:32" x14ac:dyDescent="0.2">
      <c r="AF1683" s="679"/>
    </row>
    <row r="1684" spans="32:32" x14ac:dyDescent="0.2">
      <c r="AF1684" s="679"/>
    </row>
    <row r="1685" spans="32:32" x14ac:dyDescent="0.2">
      <c r="AF1685" s="679"/>
    </row>
    <row r="1686" spans="32:32" x14ac:dyDescent="0.2">
      <c r="AF1686" s="679"/>
    </row>
    <row r="1687" spans="32:32" x14ac:dyDescent="0.2">
      <c r="AF1687" s="679"/>
    </row>
    <row r="1688" spans="32:32" x14ac:dyDescent="0.2">
      <c r="AF1688" s="679"/>
    </row>
    <row r="1689" spans="32:32" x14ac:dyDescent="0.2">
      <c r="AF1689" s="679"/>
    </row>
    <row r="1690" spans="32:32" x14ac:dyDescent="0.2">
      <c r="AF1690" s="679"/>
    </row>
    <row r="1691" spans="32:32" x14ac:dyDescent="0.2">
      <c r="AF1691" s="679"/>
    </row>
    <row r="1692" spans="32:32" x14ac:dyDescent="0.2">
      <c r="AF1692" s="679"/>
    </row>
    <row r="1693" spans="32:32" x14ac:dyDescent="0.2">
      <c r="AF1693" s="679"/>
    </row>
    <row r="1694" spans="32:32" x14ac:dyDescent="0.2">
      <c r="AF1694" s="679"/>
    </row>
    <row r="1695" spans="32:32" x14ac:dyDescent="0.2">
      <c r="AF1695" s="679"/>
    </row>
    <row r="1696" spans="32:32" x14ac:dyDescent="0.2">
      <c r="AF1696" s="679"/>
    </row>
    <row r="1697" spans="32:32" x14ac:dyDescent="0.2">
      <c r="AF1697" s="679"/>
    </row>
    <row r="1698" spans="32:32" x14ac:dyDescent="0.2">
      <c r="AF1698" s="679"/>
    </row>
    <row r="1699" spans="32:32" x14ac:dyDescent="0.2">
      <c r="AF1699" s="679"/>
    </row>
    <row r="1700" spans="32:32" x14ac:dyDescent="0.2">
      <c r="AF1700" s="679"/>
    </row>
    <row r="1701" spans="32:32" x14ac:dyDescent="0.2">
      <c r="AF1701" s="679"/>
    </row>
    <row r="1702" spans="32:32" x14ac:dyDescent="0.2">
      <c r="AF1702" s="679"/>
    </row>
    <row r="1703" spans="32:32" x14ac:dyDescent="0.2">
      <c r="AF1703" s="679"/>
    </row>
    <row r="1704" spans="32:32" x14ac:dyDescent="0.2">
      <c r="AF1704" s="679"/>
    </row>
    <row r="1705" spans="32:32" x14ac:dyDescent="0.2">
      <c r="AF1705" s="679"/>
    </row>
    <row r="1706" spans="32:32" x14ac:dyDescent="0.2">
      <c r="AF1706" s="679"/>
    </row>
    <row r="1707" spans="32:32" x14ac:dyDescent="0.2">
      <c r="AF1707" s="679"/>
    </row>
    <row r="1708" spans="32:32" x14ac:dyDescent="0.2">
      <c r="AF1708" s="679"/>
    </row>
    <row r="1709" spans="32:32" x14ac:dyDescent="0.2">
      <c r="AF1709" s="679"/>
    </row>
    <row r="1710" spans="32:32" x14ac:dyDescent="0.2">
      <c r="AF1710" s="679"/>
    </row>
    <row r="1711" spans="32:32" x14ac:dyDescent="0.2">
      <c r="AF1711" s="679"/>
    </row>
    <row r="1712" spans="32:32" x14ac:dyDescent="0.2">
      <c r="AF1712" s="679"/>
    </row>
    <row r="1713" spans="32:32" x14ac:dyDescent="0.2">
      <c r="AF1713" s="679"/>
    </row>
    <row r="1714" spans="32:32" x14ac:dyDescent="0.2">
      <c r="AF1714" s="679"/>
    </row>
    <row r="1715" spans="32:32" x14ac:dyDescent="0.2">
      <c r="AF1715" s="679"/>
    </row>
    <row r="1716" spans="32:32" x14ac:dyDescent="0.2">
      <c r="AF1716" s="679"/>
    </row>
    <row r="1717" spans="32:32" x14ac:dyDescent="0.2">
      <c r="AF1717" s="679"/>
    </row>
    <row r="1718" spans="32:32" x14ac:dyDescent="0.2">
      <c r="AF1718" s="679"/>
    </row>
    <row r="1719" spans="32:32" x14ac:dyDescent="0.2">
      <c r="AF1719" s="679"/>
    </row>
    <row r="1720" spans="32:32" x14ac:dyDescent="0.2">
      <c r="AF1720" s="679"/>
    </row>
    <row r="1721" spans="32:32" x14ac:dyDescent="0.2">
      <c r="AF1721" s="679"/>
    </row>
    <row r="1722" spans="32:32" x14ac:dyDescent="0.2">
      <c r="AF1722" s="679"/>
    </row>
    <row r="1723" spans="32:32" x14ac:dyDescent="0.2">
      <c r="AF1723" s="679"/>
    </row>
    <row r="1724" spans="32:32" x14ac:dyDescent="0.2">
      <c r="AF1724" s="679"/>
    </row>
    <row r="1725" spans="32:32" x14ac:dyDescent="0.2">
      <c r="AF1725" s="679"/>
    </row>
    <row r="1726" spans="32:32" x14ac:dyDescent="0.2">
      <c r="AF1726" s="679"/>
    </row>
    <row r="1727" spans="32:32" x14ac:dyDescent="0.2">
      <c r="AF1727" s="679"/>
    </row>
    <row r="1728" spans="32:32" x14ac:dyDescent="0.2">
      <c r="AF1728" s="679"/>
    </row>
    <row r="1729" spans="32:32" x14ac:dyDescent="0.2">
      <c r="AF1729" s="679"/>
    </row>
    <row r="1730" spans="32:32" x14ac:dyDescent="0.2">
      <c r="AF1730" s="679"/>
    </row>
    <row r="1731" spans="32:32" x14ac:dyDescent="0.2">
      <c r="AF1731" s="679"/>
    </row>
    <row r="1732" spans="32:32" x14ac:dyDescent="0.2">
      <c r="AF1732" s="679"/>
    </row>
    <row r="1733" spans="32:32" x14ac:dyDescent="0.2">
      <c r="AF1733" s="679"/>
    </row>
    <row r="1734" spans="32:32" x14ac:dyDescent="0.2">
      <c r="AF1734" s="679"/>
    </row>
    <row r="1735" spans="32:32" x14ac:dyDescent="0.2">
      <c r="AF1735" s="679"/>
    </row>
    <row r="1736" spans="32:32" x14ac:dyDescent="0.2">
      <c r="AF1736" s="679"/>
    </row>
    <row r="1737" spans="32:32" x14ac:dyDescent="0.2">
      <c r="AF1737" s="679"/>
    </row>
    <row r="1738" spans="32:32" x14ac:dyDescent="0.2">
      <c r="AF1738" s="679"/>
    </row>
    <row r="1739" spans="32:32" x14ac:dyDescent="0.2">
      <c r="AF1739" s="679"/>
    </row>
    <row r="1740" spans="32:32" x14ac:dyDescent="0.2">
      <c r="AF1740" s="679"/>
    </row>
    <row r="1741" spans="32:32" x14ac:dyDescent="0.2">
      <c r="AF1741" s="679"/>
    </row>
    <row r="1742" spans="32:32" x14ac:dyDescent="0.2">
      <c r="AF1742" s="679"/>
    </row>
    <row r="1743" spans="32:32" x14ac:dyDescent="0.2">
      <c r="AF1743" s="679"/>
    </row>
    <row r="1744" spans="32:32" x14ac:dyDescent="0.2">
      <c r="AF1744" s="679"/>
    </row>
    <row r="1745" spans="32:32" x14ac:dyDescent="0.2">
      <c r="AF1745" s="679"/>
    </row>
    <row r="1746" spans="32:32" x14ac:dyDescent="0.2">
      <c r="AF1746" s="679"/>
    </row>
    <row r="1747" spans="32:32" x14ac:dyDescent="0.2">
      <c r="AF1747" s="679"/>
    </row>
    <row r="1748" spans="32:32" x14ac:dyDescent="0.2">
      <c r="AF1748" s="679"/>
    </row>
    <row r="1749" spans="32:32" x14ac:dyDescent="0.2">
      <c r="AF1749" s="679"/>
    </row>
    <row r="1750" spans="32:32" x14ac:dyDescent="0.2">
      <c r="AF1750" s="679"/>
    </row>
    <row r="1751" spans="32:32" x14ac:dyDescent="0.2">
      <c r="AF1751" s="679"/>
    </row>
    <row r="1752" spans="32:32" x14ac:dyDescent="0.2">
      <c r="AF1752" s="679"/>
    </row>
    <row r="1753" spans="32:32" x14ac:dyDescent="0.2">
      <c r="AF1753" s="679"/>
    </row>
    <row r="1754" spans="32:32" x14ac:dyDescent="0.2">
      <c r="AF1754" s="679"/>
    </row>
    <row r="1755" spans="32:32" x14ac:dyDescent="0.2">
      <c r="AF1755" s="679"/>
    </row>
    <row r="1756" spans="32:32" x14ac:dyDescent="0.2">
      <c r="AF1756" s="679"/>
    </row>
    <row r="1757" spans="32:32" x14ac:dyDescent="0.2">
      <c r="AF1757" s="679"/>
    </row>
    <row r="1758" spans="32:32" x14ac:dyDescent="0.2">
      <c r="AF1758" s="679"/>
    </row>
    <row r="1759" spans="32:32" x14ac:dyDescent="0.2">
      <c r="AF1759" s="679"/>
    </row>
    <row r="1760" spans="32:32" x14ac:dyDescent="0.2">
      <c r="AF1760" s="679"/>
    </row>
    <row r="1761" spans="32:32" x14ac:dyDescent="0.2">
      <c r="AF1761" s="679"/>
    </row>
    <row r="1762" spans="32:32" x14ac:dyDescent="0.2">
      <c r="AF1762" s="679"/>
    </row>
    <row r="1763" spans="32:32" x14ac:dyDescent="0.2">
      <c r="AF1763" s="679"/>
    </row>
    <row r="1764" spans="32:32" x14ac:dyDescent="0.2">
      <c r="AF1764" s="679"/>
    </row>
    <row r="1765" spans="32:32" x14ac:dyDescent="0.2">
      <c r="AF1765" s="679"/>
    </row>
    <row r="1766" spans="32:32" x14ac:dyDescent="0.2">
      <c r="AF1766" s="679"/>
    </row>
    <row r="1767" spans="32:32" x14ac:dyDescent="0.2">
      <c r="AF1767" s="679"/>
    </row>
    <row r="1768" spans="32:32" x14ac:dyDescent="0.2">
      <c r="AF1768" s="679"/>
    </row>
    <row r="1769" spans="32:32" x14ac:dyDescent="0.2">
      <c r="AF1769" s="679"/>
    </row>
    <row r="1770" spans="32:32" x14ac:dyDescent="0.2">
      <c r="AF1770" s="679"/>
    </row>
    <row r="1771" spans="32:32" x14ac:dyDescent="0.2">
      <c r="AF1771" s="679"/>
    </row>
    <row r="1772" spans="32:32" x14ac:dyDescent="0.2">
      <c r="AF1772" s="679"/>
    </row>
    <row r="1773" spans="32:32" x14ac:dyDescent="0.2">
      <c r="AF1773" s="679"/>
    </row>
    <row r="1774" spans="32:32" x14ac:dyDescent="0.2">
      <c r="AF1774" s="679"/>
    </row>
    <row r="1775" spans="32:32" x14ac:dyDescent="0.2">
      <c r="AF1775" s="679"/>
    </row>
    <row r="1776" spans="32:32" x14ac:dyDescent="0.2">
      <c r="AF1776" s="679"/>
    </row>
    <row r="1777" spans="32:32" x14ac:dyDescent="0.2">
      <c r="AF1777" s="679"/>
    </row>
    <row r="1778" spans="32:32" x14ac:dyDescent="0.2">
      <c r="AF1778" s="679"/>
    </row>
    <row r="1779" spans="32:32" x14ac:dyDescent="0.2">
      <c r="AF1779" s="679"/>
    </row>
    <row r="1780" spans="32:32" x14ac:dyDescent="0.2">
      <c r="AF1780" s="679"/>
    </row>
    <row r="1781" spans="32:32" x14ac:dyDescent="0.2">
      <c r="AF1781" s="679"/>
    </row>
    <row r="1782" spans="32:32" x14ac:dyDescent="0.2">
      <c r="AF1782" s="679"/>
    </row>
    <row r="1783" spans="32:32" x14ac:dyDescent="0.2">
      <c r="AF1783" s="679"/>
    </row>
    <row r="1784" spans="32:32" x14ac:dyDescent="0.2">
      <c r="AF1784" s="679"/>
    </row>
    <row r="1785" spans="32:32" x14ac:dyDescent="0.2">
      <c r="AF1785" s="679"/>
    </row>
    <row r="1786" spans="32:32" x14ac:dyDescent="0.2">
      <c r="AF1786" s="679"/>
    </row>
    <row r="1787" spans="32:32" x14ac:dyDescent="0.2">
      <c r="AF1787" s="679"/>
    </row>
    <row r="1788" spans="32:32" x14ac:dyDescent="0.2">
      <c r="AF1788" s="679"/>
    </row>
    <row r="1789" spans="32:32" x14ac:dyDescent="0.2">
      <c r="AF1789" s="679"/>
    </row>
    <row r="1790" spans="32:32" x14ac:dyDescent="0.2">
      <c r="AF1790" s="679"/>
    </row>
    <row r="1791" spans="32:32" x14ac:dyDescent="0.2">
      <c r="AF1791" s="679"/>
    </row>
    <row r="1792" spans="32:32" x14ac:dyDescent="0.2">
      <c r="AF1792" s="679"/>
    </row>
    <row r="1793" spans="32:32" x14ac:dyDescent="0.2">
      <c r="AF1793" s="679"/>
    </row>
    <row r="1794" spans="32:32" x14ac:dyDescent="0.2">
      <c r="AF1794" s="679"/>
    </row>
    <row r="1795" spans="32:32" x14ac:dyDescent="0.2">
      <c r="AF1795" s="679"/>
    </row>
    <row r="1796" spans="32:32" x14ac:dyDescent="0.2">
      <c r="AF1796" s="679"/>
    </row>
    <row r="1797" spans="32:32" x14ac:dyDescent="0.2">
      <c r="AF1797" s="679"/>
    </row>
    <row r="1798" spans="32:32" x14ac:dyDescent="0.2">
      <c r="AF1798" s="679"/>
    </row>
    <row r="1799" spans="32:32" x14ac:dyDescent="0.2">
      <c r="AF1799" s="679"/>
    </row>
    <row r="1800" spans="32:32" x14ac:dyDescent="0.2">
      <c r="AF1800" s="679"/>
    </row>
    <row r="1801" spans="32:32" x14ac:dyDescent="0.2">
      <c r="AF1801" s="679"/>
    </row>
    <row r="1802" spans="32:32" x14ac:dyDescent="0.2">
      <c r="AF1802" s="679"/>
    </row>
    <row r="1803" spans="32:32" x14ac:dyDescent="0.2">
      <c r="AF1803" s="679"/>
    </row>
    <row r="1804" spans="32:32" x14ac:dyDescent="0.2">
      <c r="AF1804" s="679"/>
    </row>
    <row r="1805" spans="32:32" x14ac:dyDescent="0.2">
      <c r="AF1805" s="679"/>
    </row>
    <row r="1806" spans="32:32" x14ac:dyDescent="0.2">
      <c r="AF1806" s="679"/>
    </row>
    <row r="1807" spans="32:32" x14ac:dyDescent="0.2">
      <c r="AF1807" s="679"/>
    </row>
    <row r="1808" spans="32:32" x14ac:dyDescent="0.2">
      <c r="AF1808" s="679"/>
    </row>
    <row r="1809" spans="32:32" x14ac:dyDescent="0.2">
      <c r="AF1809" s="679"/>
    </row>
    <row r="1810" spans="32:32" x14ac:dyDescent="0.2">
      <c r="AF1810" s="679"/>
    </row>
    <row r="1811" spans="32:32" x14ac:dyDescent="0.2">
      <c r="AF1811" s="679"/>
    </row>
    <row r="1812" spans="32:32" x14ac:dyDescent="0.2">
      <c r="AF1812" s="679"/>
    </row>
    <row r="1813" spans="32:32" x14ac:dyDescent="0.2">
      <c r="AF1813" s="679"/>
    </row>
    <row r="1814" spans="32:32" x14ac:dyDescent="0.2">
      <c r="AF1814" s="679"/>
    </row>
    <row r="1815" spans="32:32" x14ac:dyDescent="0.2">
      <c r="AF1815" s="679"/>
    </row>
    <row r="1816" spans="32:32" x14ac:dyDescent="0.2">
      <c r="AF1816" s="679"/>
    </row>
    <row r="1817" spans="32:32" x14ac:dyDescent="0.2">
      <c r="AF1817" s="679"/>
    </row>
    <row r="1818" spans="32:32" x14ac:dyDescent="0.2">
      <c r="AF1818" s="679"/>
    </row>
    <row r="1819" spans="32:32" x14ac:dyDescent="0.2">
      <c r="AF1819" s="679"/>
    </row>
    <row r="1820" spans="32:32" x14ac:dyDescent="0.2">
      <c r="AF1820" s="679"/>
    </row>
    <row r="1821" spans="32:32" x14ac:dyDescent="0.2">
      <c r="AF1821" s="679"/>
    </row>
    <row r="1822" spans="32:32" x14ac:dyDescent="0.2">
      <c r="AF1822" s="679"/>
    </row>
    <row r="1823" spans="32:32" x14ac:dyDescent="0.2">
      <c r="AF1823" s="679"/>
    </row>
    <row r="1824" spans="32:32" x14ac:dyDescent="0.2">
      <c r="AF1824" s="679"/>
    </row>
    <row r="1825" spans="32:32" x14ac:dyDescent="0.2">
      <c r="AF1825" s="679"/>
    </row>
    <row r="1826" spans="32:32" x14ac:dyDescent="0.2">
      <c r="AF1826" s="679"/>
    </row>
    <row r="1827" spans="32:32" x14ac:dyDescent="0.2">
      <c r="AF1827" s="679"/>
    </row>
    <row r="1828" spans="32:32" x14ac:dyDescent="0.2">
      <c r="AF1828" s="679"/>
    </row>
    <row r="1829" spans="32:32" x14ac:dyDescent="0.2">
      <c r="AF1829" s="679"/>
    </row>
    <row r="1830" spans="32:32" x14ac:dyDescent="0.2">
      <c r="AF1830" s="679"/>
    </row>
    <row r="1831" spans="32:32" x14ac:dyDescent="0.2">
      <c r="AF1831" s="679"/>
    </row>
    <row r="1832" spans="32:32" x14ac:dyDescent="0.2">
      <c r="AF1832" s="679"/>
    </row>
    <row r="1833" spans="32:32" x14ac:dyDescent="0.2">
      <c r="AF1833" s="679"/>
    </row>
    <row r="1834" spans="32:32" x14ac:dyDescent="0.2">
      <c r="AF1834" s="679"/>
    </row>
    <row r="1835" spans="32:32" x14ac:dyDescent="0.2">
      <c r="AF1835" s="679"/>
    </row>
    <row r="1836" spans="32:32" x14ac:dyDescent="0.2">
      <c r="AF1836" s="679"/>
    </row>
    <row r="1837" spans="32:32" x14ac:dyDescent="0.2">
      <c r="AF1837" s="679"/>
    </row>
    <row r="1838" spans="32:32" x14ac:dyDescent="0.2">
      <c r="AF1838" s="679"/>
    </row>
    <row r="1839" spans="32:32" x14ac:dyDescent="0.2">
      <c r="AF1839" s="679"/>
    </row>
    <row r="1840" spans="32:32" x14ac:dyDescent="0.2">
      <c r="AF1840" s="679"/>
    </row>
    <row r="1841" spans="32:32" x14ac:dyDescent="0.2">
      <c r="AF1841" s="679"/>
    </row>
    <row r="1842" spans="32:32" x14ac:dyDescent="0.2">
      <c r="AF1842" s="679"/>
    </row>
    <row r="1843" spans="32:32" x14ac:dyDescent="0.2">
      <c r="AF1843" s="679"/>
    </row>
    <row r="1844" spans="32:32" x14ac:dyDescent="0.2">
      <c r="AF1844" s="679"/>
    </row>
    <row r="1845" spans="32:32" x14ac:dyDescent="0.2">
      <c r="AF1845" s="679"/>
    </row>
    <row r="1846" spans="32:32" x14ac:dyDescent="0.2">
      <c r="AF1846" s="679"/>
    </row>
    <row r="1847" spans="32:32" x14ac:dyDescent="0.2">
      <c r="AF1847" s="679"/>
    </row>
    <row r="1848" spans="32:32" x14ac:dyDescent="0.2">
      <c r="AF1848" s="679"/>
    </row>
    <row r="1849" spans="32:32" x14ac:dyDescent="0.2">
      <c r="AF1849" s="679"/>
    </row>
    <row r="1850" spans="32:32" x14ac:dyDescent="0.2">
      <c r="AF1850" s="679"/>
    </row>
    <row r="1851" spans="32:32" x14ac:dyDescent="0.2">
      <c r="AF1851" s="679"/>
    </row>
    <row r="1852" spans="32:32" x14ac:dyDescent="0.2">
      <c r="AF1852" s="679"/>
    </row>
    <row r="1853" spans="32:32" x14ac:dyDescent="0.2">
      <c r="AF1853" s="679"/>
    </row>
    <row r="1854" spans="32:32" x14ac:dyDescent="0.2">
      <c r="AF1854" s="679"/>
    </row>
    <row r="1855" spans="32:32" x14ac:dyDescent="0.2">
      <c r="AF1855" s="679"/>
    </row>
    <row r="1856" spans="32:32" x14ac:dyDescent="0.2">
      <c r="AF1856" s="679"/>
    </row>
    <row r="1857" spans="32:32" x14ac:dyDescent="0.2">
      <c r="AF1857" s="679"/>
    </row>
    <row r="1858" spans="32:32" x14ac:dyDescent="0.2">
      <c r="AF1858" s="679"/>
    </row>
    <row r="1859" spans="32:32" x14ac:dyDescent="0.2">
      <c r="AF1859" s="679"/>
    </row>
    <row r="1860" spans="32:32" x14ac:dyDescent="0.2">
      <c r="AF1860" s="679"/>
    </row>
    <row r="1861" spans="32:32" x14ac:dyDescent="0.2">
      <c r="AF1861" s="679"/>
    </row>
    <row r="1862" spans="32:32" x14ac:dyDescent="0.2">
      <c r="AF1862" s="679"/>
    </row>
    <row r="1863" spans="32:32" x14ac:dyDescent="0.2">
      <c r="AF1863" s="679"/>
    </row>
    <row r="1864" spans="32:32" x14ac:dyDescent="0.2">
      <c r="AF1864" s="679"/>
    </row>
    <row r="1865" spans="32:32" x14ac:dyDescent="0.2">
      <c r="AF1865" s="679"/>
    </row>
    <row r="1866" spans="32:32" x14ac:dyDescent="0.2">
      <c r="AF1866" s="679"/>
    </row>
    <row r="1867" spans="32:32" x14ac:dyDescent="0.2">
      <c r="AF1867" s="679"/>
    </row>
    <row r="1868" spans="32:32" x14ac:dyDescent="0.2">
      <c r="AF1868" s="679"/>
    </row>
    <row r="1869" spans="32:32" x14ac:dyDescent="0.2">
      <c r="AF1869" s="679"/>
    </row>
    <row r="1870" spans="32:32" x14ac:dyDescent="0.2">
      <c r="AF1870" s="679"/>
    </row>
    <row r="1871" spans="32:32" x14ac:dyDescent="0.2">
      <c r="AF1871" s="679"/>
    </row>
    <row r="1872" spans="32:32" x14ac:dyDescent="0.2">
      <c r="AF1872" s="679"/>
    </row>
    <row r="1873" spans="32:32" x14ac:dyDescent="0.2">
      <c r="AF1873" s="679"/>
    </row>
    <row r="1874" spans="32:32" x14ac:dyDescent="0.2">
      <c r="AF1874" s="679"/>
    </row>
    <row r="1875" spans="32:32" x14ac:dyDescent="0.2">
      <c r="AF1875" s="679"/>
    </row>
    <row r="1876" spans="32:32" x14ac:dyDescent="0.2">
      <c r="AF1876" s="679"/>
    </row>
    <row r="1877" spans="32:32" x14ac:dyDescent="0.2">
      <c r="AF1877" s="679"/>
    </row>
    <row r="1878" spans="32:32" x14ac:dyDescent="0.2">
      <c r="AF1878" s="679"/>
    </row>
    <row r="1879" spans="32:32" x14ac:dyDescent="0.2">
      <c r="AF1879" s="679"/>
    </row>
    <row r="1880" spans="32:32" x14ac:dyDescent="0.2">
      <c r="AF1880" s="679"/>
    </row>
    <row r="1881" spans="32:32" x14ac:dyDescent="0.2">
      <c r="AF1881" s="679"/>
    </row>
    <row r="1882" spans="32:32" x14ac:dyDescent="0.2">
      <c r="AF1882" s="679"/>
    </row>
    <row r="1883" spans="32:32" x14ac:dyDescent="0.2">
      <c r="AF1883" s="679"/>
    </row>
    <row r="1884" spans="32:32" x14ac:dyDescent="0.2">
      <c r="AF1884" s="679"/>
    </row>
    <row r="1885" spans="32:32" x14ac:dyDescent="0.2">
      <c r="AF1885" s="679"/>
    </row>
    <row r="1886" spans="32:32" x14ac:dyDescent="0.2">
      <c r="AF1886" s="679"/>
    </row>
    <row r="1887" spans="32:32" x14ac:dyDescent="0.2">
      <c r="AF1887" s="679"/>
    </row>
    <row r="1888" spans="32:32" x14ac:dyDescent="0.2">
      <c r="AF1888" s="679"/>
    </row>
    <row r="1889" spans="32:32" x14ac:dyDescent="0.2">
      <c r="AF1889" s="679"/>
    </row>
    <row r="1890" spans="32:32" x14ac:dyDescent="0.2">
      <c r="AF1890" s="679"/>
    </row>
    <row r="1891" spans="32:32" x14ac:dyDescent="0.2">
      <c r="AF1891" s="679"/>
    </row>
    <row r="1892" spans="32:32" x14ac:dyDescent="0.2">
      <c r="AF1892" s="679"/>
    </row>
    <row r="1893" spans="32:32" x14ac:dyDescent="0.2">
      <c r="AF1893" s="679"/>
    </row>
    <row r="1894" spans="32:32" x14ac:dyDescent="0.2">
      <c r="AF1894" s="679"/>
    </row>
    <row r="1895" spans="32:32" x14ac:dyDescent="0.2">
      <c r="AF1895" s="679"/>
    </row>
    <row r="1896" spans="32:32" x14ac:dyDescent="0.2">
      <c r="AF1896" s="679"/>
    </row>
    <row r="1897" spans="32:32" x14ac:dyDescent="0.2">
      <c r="AF1897" s="679"/>
    </row>
    <row r="1898" spans="32:32" x14ac:dyDescent="0.2">
      <c r="AF1898" s="679"/>
    </row>
    <row r="1899" spans="32:32" x14ac:dyDescent="0.2">
      <c r="AF1899" s="679"/>
    </row>
    <row r="1900" spans="32:32" x14ac:dyDescent="0.2">
      <c r="AF1900" s="679"/>
    </row>
    <row r="1901" spans="32:32" x14ac:dyDescent="0.2">
      <c r="AF1901" s="679"/>
    </row>
    <row r="1902" spans="32:32" x14ac:dyDescent="0.2">
      <c r="AF1902" s="679"/>
    </row>
    <row r="1903" spans="32:32" x14ac:dyDescent="0.2">
      <c r="AF1903" s="679"/>
    </row>
    <row r="1904" spans="32:32" x14ac:dyDescent="0.2">
      <c r="AF1904" s="679"/>
    </row>
    <row r="1905" spans="32:32" x14ac:dyDescent="0.2">
      <c r="AF1905" s="679"/>
    </row>
    <row r="1906" spans="32:32" x14ac:dyDescent="0.2">
      <c r="AF1906" s="679"/>
    </row>
    <row r="1907" spans="32:32" x14ac:dyDescent="0.2">
      <c r="AF1907" s="679"/>
    </row>
    <row r="1908" spans="32:32" x14ac:dyDescent="0.2">
      <c r="AF1908" s="679"/>
    </row>
    <row r="1909" spans="32:32" x14ac:dyDescent="0.2">
      <c r="AF1909" s="679"/>
    </row>
    <row r="1910" spans="32:32" x14ac:dyDescent="0.2">
      <c r="AF1910" s="679"/>
    </row>
    <row r="1911" spans="32:32" x14ac:dyDescent="0.2">
      <c r="AF1911" s="679"/>
    </row>
    <row r="1912" spans="32:32" x14ac:dyDescent="0.2">
      <c r="AF1912" s="679"/>
    </row>
    <row r="1913" spans="32:32" x14ac:dyDescent="0.2">
      <c r="AF1913" s="679"/>
    </row>
    <row r="1914" spans="32:32" x14ac:dyDescent="0.2">
      <c r="AF1914" s="679"/>
    </row>
    <row r="1915" spans="32:32" x14ac:dyDescent="0.2">
      <c r="AF1915" s="679"/>
    </row>
    <row r="1916" spans="32:32" x14ac:dyDescent="0.2">
      <c r="AF1916" s="679"/>
    </row>
    <row r="1917" spans="32:32" x14ac:dyDescent="0.2">
      <c r="AF1917" s="679"/>
    </row>
    <row r="1918" spans="32:32" x14ac:dyDescent="0.2">
      <c r="AF1918" s="679"/>
    </row>
    <row r="1919" spans="32:32" x14ac:dyDescent="0.2">
      <c r="AF1919" s="679"/>
    </row>
    <row r="1920" spans="32:32" x14ac:dyDescent="0.2">
      <c r="AF1920" s="679"/>
    </row>
    <row r="1921" spans="32:32" x14ac:dyDescent="0.2">
      <c r="AF1921" s="679"/>
    </row>
    <row r="1922" spans="32:32" x14ac:dyDescent="0.2">
      <c r="AF1922" s="679"/>
    </row>
    <row r="1923" spans="32:32" x14ac:dyDescent="0.2">
      <c r="AF1923" s="679"/>
    </row>
    <row r="1924" spans="32:32" x14ac:dyDescent="0.2">
      <c r="AF1924" s="679"/>
    </row>
    <row r="1925" spans="32:32" x14ac:dyDescent="0.2">
      <c r="AF1925" s="679"/>
    </row>
    <row r="1926" spans="32:32" x14ac:dyDescent="0.2">
      <c r="AF1926" s="679"/>
    </row>
    <row r="1927" spans="32:32" x14ac:dyDescent="0.2">
      <c r="AF1927" s="679"/>
    </row>
    <row r="1928" spans="32:32" x14ac:dyDescent="0.2">
      <c r="AF1928" s="679"/>
    </row>
    <row r="1929" spans="32:32" x14ac:dyDescent="0.2">
      <c r="AF1929" s="679"/>
    </row>
    <row r="1930" spans="32:32" x14ac:dyDescent="0.2">
      <c r="AF1930" s="679"/>
    </row>
    <row r="1931" spans="32:32" x14ac:dyDescent="0.2">
      <c r="AF1931" s="679"/>
    </row>
    <row r="1932" spans="32:32" x14ac:dyDescent="0.2">
      <c r="AF1932" s="679"/>
    </row>
    <row r="1933" spans="32:32" x14ac:dyDescent="0.2">
      <c r="AF1933" s="679"/>
    </row>
    <row r="1934" spans="32:32" x14ac:dyDescent="0.2">
      <c r="AF1934" s="679"/>
    </row>
    <row r="1935" spans="32:32" x14ac:dyDescent="0.2">
      <c r="AF1935" s="679"/>
    </row>
    <row r="1936" spans="32:32" x14ac:dyDescent="0.2">
      <c r="AF1936" s="679"/>
    </row>
    <row r="1937" spans="32:32" x14ac:dyDescent="0.2">
      <c r="AF1937" s="679"/>
    </row>
    <row r="1938" spans="32:32" x14ac:dyDescent="0.2">
      <c r="AF1938" s="679"/>
    </row>
    <row r="1939" spans="32:32" x14ac:dyDescent="0.2">
      <c r="AF1939" s="679"/>
    </row>
    <row r="1940" spans="32:32" x14ac:dyDescent="0.2">
      <c r="AF1940" s="679"/>
    </row>
    <row r="1941" spans="32:32" x14ac:dyDescent="0.2">
      <c r="AF1941" s="679"/>
    </row>
    <row r="1942" spans="32:32" x14ac:dyDescent="0.2">
      <c r="AF1942" s="679"/>
    </row>
    <row r="1943" spans="32:32" x14ac:dyDescent="0.2">
      <c r="AF1943" s="679"/>
    </row>
    <row r="1944" spans="32:32" x14ac:dyDescent="0.2">
      <c r="AF1944" s="679"/>
    </row>
    <row r="1945" spans="32:32" x14ac:dyDescent="0.2">
      <c r="AF1945" s="679"/>
    </row>
    <row r="1946" spans="32:32" x14ac:dyDescent="0.2">
      <c r="AF1946" s="679"/>
    </row>
    <row r="1947" spans="32:32" x14ac:dyDescent="0.2">
      <c r="AF1947" s="679"/>
    </row>
    <row r="1948" spans="32:32" x14ac:dyDescent="0.2">
      <c r="AF1948" s="679"/>
    </row>
    <row r="1949" spans="32:32" x14ac:dyDescent="0.2">
      <c r="AF1949" s="679"/>
    </row>
    <row r="1950" spans="32:32" x14ac:dyDescent="0.2">
      <c r="AF1950" s="679"/>
    </row>
    <row r="1951" spans="32:32" x14ac:dyDescent="0.2">
      <c r="AF1951" s="679"/>
    </row>
    <row r="1952" spans="32:32" x14ac:dyDescent="0.2">
      <c r="AF1952" s="679"/>
    </row>
    <row r="1953" spans="32:32" x14ac:dyDescent="0.2">
      <c r="AF1953" s="679"/>
    </row>
    <row r="1954" spans="32:32" x14ac:dyDescent="0.2">
      <c r="AF1954" s="679"/>
    </row>
    <row r="1955" spans="32:32" x14ac:dyDescent="0.2">
      <c r="AF1955" s="679"/>
    </row>
    <row r="1956" spans="32:32" x14ac:dyDescent="0.2">
      <c r="AF1956" s="679"/>
    </row>
    <row r="1957" spans="32:32" x14ac:dyDescent="0.2">
      <c r="AF1957" s="679"/>
    </row>
    <row r="1958" spans="32:32" x14ac:dyDescent="0.2">
      <c r="AF1958" s="679"/>
    </row>
    <row r="1959" spans="32:32" x14ac:dyDescent="0.2">
      <c r="AF1959" s="679"/>
    </row>
    <row r="1960" spans="32:32" x14ac:dyDescent="0.2">
      <c r="AF1960" s="679"/>
    </row>
    <row r="1961" spans="32:32" x14ac:dyDescent="0.2">
      <c r="AF1961" s="679"/>
    </row>
    <row r="1962" spans="32:32" x14ac:dyDescent="0.2">
      <c r="AF1962" s="679"/>
    </row>
    <row r="1963" spans="32:32" x14ac:dyDescent="0.2">
      <c r="AF1963" s="679"/>
    </row>
    <row r="1964" spans="32:32" x14ac:dyDescent="0.2">
      <c r="AF1964" s="679"/>
    </row>
    <row r="1965" spans="32:32" x14ac:dyDescent="0.2">
      <c r="AF1965" s="679"/>
    </row>
    <row r="1966" spans="32:32" x14ac:dyDescent="0.2">
      <c r="AF1966" s="679"/>
    </row>
    <row r="1967" spans="32:32" x14ac:dyDescent="0.2">
      <c r="AF1967" s="679"/>
    </row>
    <row r="1968" spans="32:32" x14ac:dyDescent="0.2">
      <c r="AF1968" s="679"/>
    </row>
    <row r="1969" spans="32:32" x14ac:dyDescent="0.2">
      <c r="AF1969" s="679"/>
    </row>
    <row r="1970" spans="32:32" x14ac:dyDescent="0.2">
      <c r="AF1970" s="679"/>
    </row>
    <row r="1971" spans="32:32" x14ac:dyDescent="0.2">
      <c r="AF1971" s="679"/>
    </row>
    <row r="1972" spans="32:32" x14ac:dyDescent="0.2">
      <c r="AF1972" s="679"/>
    </row>
    <row r="1973" spans="32:32" x14ac:dyDescent="0.2">
      <c r="AF1973" s="679"/>
    </row>
    <row r="1974" spans="32:32" x14ac:dyDescent="0.2">
      <c r="AF1974" s="679"/>
    </row>
    <row r="1975" spans="32:32" x14ac:dyDescent="0.2">
      <c r="AF1975" s="679"/>
    </row>
    <row r="1976" spans="32:32" x14ac:dyDescent="0.2">
      <c r="AF1976" s="679"/>
    </row>
    <row r="1977" spans="32:32" x14ac:dyDescent="0.2">
      <c r="AF1977" s="679"/>
    </row>
    <row r="1978" spans="32:32" x14ac:dyDescent="0.2">
      <c r="AF1978" s="679"/>
    </row>
    <row r="1979" spans="32:32" x14ac:dyDescent="0.2">
      <c r="AF1979" s="679"/>
    </row>
    <row r="1980" spans="32:32" x14ac:dyDescent="0.2">
      <c r="AF1980" s="679"/>
    </row>
    <row r="1981" spans="32:32" x14ac:dyDescent="0.2">
      <c r="AF1981" s="679"/>
    </row>
    <row r="1982" spans="32:32" x14ac:dyDescent="0.2">
      <c r="AF1982" s="679"/>
    </row>
    <row r="1983" spans="32:32" x14ac:dyDescent="0.2">
      <c r="AF1983" s="679"/>
    </row>
    <row r="1984" spans="32:32" x14ac:dyDescent="0.2">
      <c r="AF1984" s="679"/>
    </row>
    <row r="1985" spans="32:32" x14ac:dyDescent="0.2">
      <c r="AF1985" s="679"/>
    </row>
    <row r="1986" spans="32:32" x14ac:dyDescent="0.2">
      <c r="AF1986" s="679"/>
    </row>
    <row r="1987" spans="32:32" x14ac:dyDescent="0.2">
      <c r="AF1987" s="679"/>
    </row>
    <row r="1988" spans="32:32" x14ac:dyDescent="0.2">
      <c r="AF1988" s="679"/>
    </row>
    <row r="1989" spans="32:32" x14ac:dyDescent="0.2">
      <c r="AF1989" s="679"/>
    </row>
    <row r="1990" spans="32:32" x14ac:dyDescent="0.2">
      <c r="AF1990" s="679"/>
    </row>
    <row r="1991" spans="32:32" x14ac:dyDescent="0.2">
      <c r="AF1991" s="679"/>
    </row>
    <row r="1992" spans="32:32" x14ac:dyDescent="0.2">
      <c r="AF1992" s="679"/>
    </row>
    <row r="1993" spans="32:32" x14ac:dyDescent="0.2">
      <c r="AF1993" s="679"/>
    </row>
    <row r="1994" spans="32:32" x14ac:dyDescent="0.2">
      <c r="AF1994" s="679"/>
    </row>
    <row r="1995" spans="32:32" x14ac:dyDescent="0.2">
      <c r="AF1995" s="679"/>
    </row>
    <row r="1996" spans="32:32" x14ac:dyDescent="0.2">
      <c r="AF1996" s="679"/>
    </row>
    <row r="1997" spans="32:32" x14ac:dyDescent="0.2">
      <c r="AF1997" s="679"/>
    </row>
    <row r="1998" spans="32:32" x14ac:dyDescent="0.2">
      <c r="AF1998" s="679"/>
    </row>
    <row r="1999" spans="32:32" x14ac:dyDescent="0.2">
      <c r="AF1999" s="679"/>
    </row>
    <row r="2000" spans="32:32" x14ac:dyDescent="0.2">
      <c r="AF2000" s="679"/>
    </row>
    <row r="2001" spans="32:32" x14ac:dyDescent="0.2">
      <c r="AF2001" s="679"/>
    </row>
    <row r="2002" spans="32:32" x14ac:dyDescent="0.2">
      <c r="AF2002" s="679"/>
    </row>
    <row r="2003" spans="32:32" x14ac:dyDescent="0.2">
      <c r="AF2003" s="679"/>
    </row>
    <row r="2004" spans="32:32" x14ac:dyDescent="0.2">
      <c r="AF2004" s="679"/>
    </row>
    <row r="2005" spans="32:32" x14ac:dyDescent="0.2">
      <c r="AF2005" s="679"/>
    </row>
    <row r="2006" spans="32:32" x14ac:dyDescent="0.2">
      <c r="AF2006" s="679"/>
    </row>
    <row r="2007" spans="32:32" x14ac:dyDescent="0.2">
      <c r="AF2007" s="679"/>
    </row>
    <row r="2008" spans="32:32" x14ac:dyDescent="0.2">
      <c r="AF2008" s="679"/>
    </row>
    <row r="2009" spans="32:32" x14ac:dyDescent="0.2">
      <c r="AF2009" s="679"/>
    </row>
    <row r="2010" spans="32:32" x14ac:dyDescent="0.2">
      <c r="AF2010" s="679"/>
    </row>
    <row r="2011" spans="32:32" x14ac:dyDescent="0.2">
      <c r="AF2011" s="679"/>
    </row>
    <row r="2012" spans="32:32" x14ac:dyDescent="0.2">
      <c r="AF2012" s="679"/>
    </row>
    <row r="2013" spans="32:32" x14ac:dyDescent="0.2">
      <c r="AF2013" s="679"/>
    </row>
    <row r="2014" spans="32:32" x14ac:dyDescent="0.2">
      <c r="AF2014" s="679"/>
    </row>
    <row r="2015" spans="32:32" x14ac:dyDescent="0.2">
      <c r="AF2015" s="679"/>
    </row>
    <row r="2016" spans="32:32" x14ac:dyDescent="0.2">
      <c r="AF2016" s="679"/>
    </row>
    <row r="2017" spans="32:32" x14ac:dyDescent="0.2">
      <c r="AF2017" s="679"/>
    </row>
    <row r="2018" spans="32:32" x14ac:dyDescent="0.2">
      <c r="AF2018" s="679"/>
    </row>
    <row r="2019" spans="32:32" x14ac:dyDescent="0.2">
      <c r="AF2019" s="679"/>
    </row>
    <row r="2020" spans="32:32" x14ac:dyDescent="0.2">
      <c r="AF2020" s="679"/>
    </row>
    <row r="2021" spans="32:32" x14ac:dyDescent="0.2">
      <c r="AF2021" s="679"/>
    </row>
    <row r="2022" spans="32:32" x14ac:dyDescent="0.2">
      <c r="AF2022" s="679"/>
    </row>
    <row r="2023" spans="32:32" x14ac:dyDescent="0.2">
      <c r="AF2023" s="679"/>
    </row>
    <row r="2024" spans="32:32" x14ac:dyDescent="0.2">
      <c r="AF2024" s="679"/>
    </row>
    <row r="2025" spans="32:32" x14ac:dyDescent="0.2">
      <c r="AF2025" s="679"/>
    </row>
    <row r="2026" spans="32:32" x14ac:dyDescent="0.2">
      <c r="AF2026" s="679"/>
    </row>
    <row r="2027" spans="32:32" x14ac:dyDescent="0.2">
      <c r="AF2027" s="679"/>
    </row>
    <row r="2028" spans="32:32" x14ac:dyDescent="0.2">
      <c r="AF2028" s="679"/>
    </row>
    <row r="2029" spans="32:32" x14ac:dyDescent="0.2">
      <c r="AF2029" s="679"/>
    </row>
    <row r="2030" spans="32:32" x14ac:dyDescent="0.2">
      <c r="AF2030" s="679"/>
    </row>
    <row r="2031" spans="32:32" x14ac:dyDescent="0.2">
      <c r="AF2031" s="679"/>
    </row>
    <row r="2032" spans="32:32" x14ac:dyDescent="0.2">
      <c r="AF2032" s="679"/>
    </row>
    <row r="2033" spans="32:32" x14ac:dyDescent="0.2">
      <c r="AF2033" s="679"/>
    </row>
    <row r="2034" spans="32:32" x14ac:dyDescent="0.2">
      <c r="AF2034" s="679"/>
    </row>
    <row r="2035" spans="32:32" x14ac:dyDescent="0.2">
      <c r="AF2035" s="679"/>
    </row>
    <row r="2036" spans="32:32" x14ac:dyDescent="0.2">
      <c r="AF2036" s="679"/>
    </row>
    <row r="2037" spans="32:32" x14ac:dyDescent="0.2">
      <c r="AF2037" s="679"/>
    </row>
    <row r="2038" spans="32:32" x14ac:dyDescent="0.2">
      <c r="AF2038" s="679"/>
    </row>
    <row r="2039" spans="32:32" x14ac:dyDescent="0.2">
      <c r="AF2039" s="679"/>
    </row>
    <row r="2040" spans="32:32" x14ac:dyDescent="0.2">
      <c r="AF2040" s="679"/>
    </row>
    <row r="2041" spans="32:32" x14ac:dyDescent="0.2">
      <c r="AF2041" s="679"/>
    </row>
    <row r="2042" spans="32:32" x14ac:dyDescent="0.2">
      <c r="AF2042" s="679"/>
    </row>
    <row r="2043" spans="32:32" x14ac:dyDescent="0.2">
      <c r="AF2043" s="679"/>
    </row>
    <row r="2044" spans="32:32" x14ac:dyDescent="0.2">
      <c r="AF2044" s="679"/>
    </row>
    <row r="2045" spans="32:32" x14ac:dyDescent="0.2">
      <c r="AF2045" s="679"/>
    </row>
    <row r="2046" spans="32:32" x14ac:dyDescent="0.2">
      <c r="AF2046" s="679"/>
    </row>
    <row r="2047" spans="32:32" x14ac:dyDescent="0.2">
      <c r="AF2047" s="679"/>
    </row>
    <row r="2048" spans="32:32" x14ac:dyDescent="0.2">
      <c r="AF2048" s="679"/>
    </row>
    <row r="2049" spans="32:32" x14ac:dyDescent="0.2">
      <c r="AF2049" s="679"/>
    </row>
    <row r="2050" spans="32:32" x14ac:dyDescent="0.2">
      <c r="AF2050" s="679"/>
    </row>
    <row r="2051" spans="32:32" x14ac:dyDescent="0.2">
      <c r="AF2051" s="679"/>
    </row>
    <row r="2052" spans="32:32" x14ac:dyDescent="0.2">
      <c r="AF2052" s="679"/>
    </row>
    <row r="2053" spans="32:32" x14ac:dyDescent="0.2">
      <c r="AF2053" s="679"/>
    </row>
    <row r="2054" spans="32:32" x14ac:dyDescent="0.2">
      <c r="AF2054" s="679"/>
    </row>
    <row r="2055" spans="32:32" x14ac:dyDescent="0.2">
      <c r="AF2055" s="679"/>
    </row>
    <row r="2056" spans="32:32" x14ac:dyDescent="0.2">
      <c r="AF2056" s="679"/>
    </row>
    <row r="2057" spans="32:32" x14ac:dyDescent="0.2">
      <c r="AF2057" s="679"/>
    </row>
    <row r="2058" spans="32:32" x14ac:dyDescent="0.2">
      <c r="AF2058" s="679"/>
    </row>
    <row r="2059" spans="32:32" x14ac:dyDescent="0.2">
      <c r="AF2059" s="679"/>
    </row>
    <row r="2060" spans="32:32" x14ac:dyDescent="0.2">
      <c r="AF2060" s="679"/>
    </row>
    <row r="2061" spans="32:32" x14ac:dyDescent="0.2">
      <c r="AF2061" s="679"/>
    </row>
    <row r="2062" spans="32:32" x14ac:dyDescent="0.2">
      <c r="AF2062" s="679"/>
    </row>
    <row r="2063" spans="32:32" x14ac:dyDescent="0.2">
      <c r="AF2063" s="679"/>
    </row>
    <row r="2064" spans="32:32" x14ac:dyDescent="0.2">
      <c r="AF2064" s="679"/>
    </row>
    <row r="2065" spans="32:32" x14ac:dyDescent="0.2">
      <c r="AF2065" s="679"/>
    </row>
    <row r="2066" spans="32:32" x14ac:dyDescent="0.2">
      <c r="AF2066" s="679"/>
    </row>
    <row r="2067" spans="32:32" x14ac:dyDescent="0.2">
      <c r="AF2067" s="679"/>
    </row>
    <row r="2068" spans="32:32" x14ac:dyDescent="0.2">
      <c r="AF2068" s="679"/>
    </row>
    <row r="2069" spans="32:32" x14ac:dyDescent="0.2">
      <c r="AF2069" s="679"/>
    </row>
    <row r="2070" spans="32:32" x14ac:dyDescent="0.2">
      <c r="AF2070" s="679"/>
    </row>
    <row r="2071" spans="32:32" x14ac:dyDescent="0.2">
      <c r="AF2071" s="679"/>
    </row>
    <row r="2072" spans="32:32" x14ac:dyDescent="0.2">
      <c r="AF2072" s="679"/>
    </row>
    <row r="2073" spans="32:32" x14ac:dyDescent="0.2">
      <c r="AF2073" s="679"/>
    </row>
    <row r="2074" spans="32:32" x14ac:dyDescent="0.2">
      <c r="AF2074" s="679"/>
    </row>
    <row r="2075" spans="32:32" x14ac:dyDescent="0.2">
      <c r="AF2075" s="679"/>
    </row>
    <row r="2076" spans="32:32" x14ac:dyDescent="0.2">
      <c r="AF2076" s="679"/>
    </row>
    <row r="2077" spans="32:32" x14ac:dyDescent="0.2">
      <c r="AF2077" s="679"/>
    </row>
    <row r="2078" spans="32:32" x14ac:dyDescent="0.2">
      <c r="AF2078" s="679"/>
    </row>
    <row r="2079" spans="32:32" x14ac:dyDescent="0.2">
      <c r="AF2079" s="679"/>
    </row>
    <row r="2080" spans="32:32" x14ac:dyDescent="0.2">
      <c r="AF2080" s="679"/>
    </row>
    <row r="2081" spans="32:32" x14ac:dyDescent="0.2">
      <c r="AF2081" s="679"/>
    </row>
    <row r="2082" spans="32:32" x14ac:dyDescent="0.2">
      <c r="AF2082" s="679"/>
    </row>
    <row r="2083" spans="32:32" x14ac:dyDescent="0.2">
      <c r="AF2083" s="679"/>
    </row>
    <row r="2084" spans="32:32" x14ac:dyDescent="0.2">
      <c r="AF2084" s="679"/>
    </row>
    <row r="2085" spans="32:32" x14ac:dyDescent="0.2">
      <c r="AF2085" s="679"/>
    </row>
    <row r="2086" spans="32:32" x14ac:dyDescent="0.2">
      <c r="AF2086" s="679"/>
    </row>
    <row r="2087" spans="32:32" x14ac:dyDescent="0.2">
      <c r="AF2087" s="679"/>
    </row>
    <row r="2088" spans="32:32" x14ac:dyDescent="0.2">
      <c r="AF2088" s="679"/>
    </row>
    <row r="2089" spans="32:32" x14ac:dyDescent="0.2">
      <c r="AF2089" s="679"/>
    </row>
    <row r="2090" spans="32:32" x14ac:dyDescent="0.2">
      <c r="AF2090" s="679"/>
    </row>
    <row r="2091" spans="32:32" x14ac:dyDescent="0.2">
      <c r="AF2091" s="679"/>
    </row>
    <row r="2092" spans="32:32" x14ac:dyDescent="0.2">
      <c r="AF2092" s="679"/>
    </row>
    <row r="2093" spans="32:32" x14ac:dyDescent="0.2">
      <c r="AF2093" s="679"/>
    </row>
    <row r="2094" spans="32:32" x14ac:dyDescent="0.2">
      <c r="AF2094" s="679"/>
    </row>
    <row r="2095" spans="32:32" x14ac:dyDescent="0.2">
      <c r="AF2095" s="679"/>
    </row>
    <row r="2096" spans="32:32" x14ac:dyDescent="0.2">
      <c r="AF2096" s="679"/>
    </row>
    <row r="2097" spans="32:32" x14ac:dyDescent="0.2">
      <c r="AF2097" s="679"/>
    </row>
    <row r="2098" spans="32:32" x14ac:dyDescent="0.2">
      <c r="AF2098" s="679"/>
    </row>
    <row r="2099" spans="32:32" x14ac:dyDescent="0.2">
      <c r="AF2099" s="679"/>
    </row>
    <row r="2100" spans="32:32" x14ac:dyDescent="0.2">
      <c r="AF2100" s="679"/>
    </row>
    <row r="2101" spans="32:32" x14ac:dyDescent="0.2">
      <c r="AF2101" s="679"/>
    </row>
    <row r="2102" spans="32:32" x14ac:dyDescent="0.2">
      <c r="AF2102" s="679"/>
    </row>
    <row r="2103" spans="32:32" x14ac:dyDescent="0.2">
      <c r="AF2103" s="679"/>
    </row>
    <row r="2104" spans="32:32" x14ac:dyDescent="0.2">
      <c r="AF2104" s="679"/>
    </row>
    <row r="2105" spans="32:32" x14ac:dyDescent="0.2">
      <c r="AF2105" s="679"/>
    </row>
    <row r="2106" spans="32:32" x14ac:dyDescent="0.2">
      <c r="AF2106" s="679"/>
    </row>
    <row r="2107" spans="32:32" x14ac:dyDescent="0.2">
      <c r="AF2107" s="679"/>
    </row>
    <row r="2108" spans="32:32" x14ac:dyDescent="0.2">
      <c r="AF2108" s="679"/>
    </row>
    <row r="2109" spans="32:32" x14ac:dyDescent="0.2">
      <c r="AF2109" s="679"/>
    </row>
    <row r="2110" spans="32:32" x14ac:dyDescent="0.2">
      <c r="AF2110" s="679"/>
    </row>
    <row r="2111" spans="32:32" x14ac:dyDescent="0.2">
      <c r="AF2111" s="679"/>
    </row>
    <row r="2112" spans="32:32" x14ac:dyDescent="0.2">
      <c r="AF2112" s="679"/>
    </row>
    <row r="2113" spans="32:32" x14ac:dyDescent="0.2">
      <c r="AF2113" s="679"/>
    </row>
    <row r="2114" spans="32:32" x14ac:dyDescent="0.2">
      <c r="AF2114" s="679"/>
    </row>
    <row r="2115" spans="32:32" x14ac:dyDescent="0.2">
      <c r="AF2115" s="679"/>
    </row>
    <row r="2116" spans="32:32" x14ac:dyDescent="0.2">
      <c r="AF2116" s="679"/>
    </row>
    <row r="2117" spans="32:32" x14ac:dyDescent="0.2">
      <c r="AF2117" s="679"/>
    </row>
    <row r="2118" spans="32:32" x14ac:dyDescent="0.2">
      <c r="AF2118" s="679"/>
    </row>
    <row r="2119" spans="32:32" x14ac:dyDescent="0.2">
      <c r="AF2119" s="679"/>
    </row>
    <row r="2120" spans="32:32" x14ac:dyDescent="0.2">
      <c r="AF2120" s="679"/>
    </row>
    <row r="2121" spans="32:32" x14ac:dyDescent="0.2">
      <c r="AF2121" s="679"/>
    </row>
    <row r="2122" spans="32:32" x14ac:dyDescent="0.2">
      <c r="AF2122" s="679"/>
    </row>
    <row r="2123" spans="32:32" x14ac:dyDescent="0.2">
      <c r="AF2123" s="679"/>
    </row>
    <row r="2124" spans="32:32" x14ac:dyDescent="0.2">
      <c r="AF2124" s="679"/>
    </row>
    <row r="2125" spans="32:32" x14ac:dyDescent="0.2">
      <c r="AF2125" s="679"/>
    </row>
    <row r="2126" spans="32:32" x14ac:dyDescent="0.2">
      <c r="AF2126" s="679"/>
    </row>
    <row r="2127" spans="32:32" x14ac:dyDescent="0.2">
      <c r="AF2127" s="679"/>
    </row>
    <row r="2128" spans="32:32" x14ac:dyDescent="0.2">
      <c r="AF2128" s="679"/>
    </row>
    <row r="2129" spans="32:32" x14ac:dyDescent="0.2">
      <c r="AF2129" s="679"/>
    </row>
    <row r="2130" spans="32:32" x14ac:dyDescent="0.2">
      <c r="AF2130" s="679"/>
    </row>
    <row r="2131" spans="32:32" x14ac:dyDescent="0.2">
      <c r="AF2131" s="679"/>
    </row>
    <row r="2132" spans="32:32" x14ac:dyDescent="0.2">
      <c r="AF2132" s="679"/>
    </row>
    <row r="2133" spans="32:32" x14ac:dyDescent="0.2">
      <c r="AF2133" s="679"/>
    </row>
    <row r="2134" spans="32:32" x14ac:dyDescent="0.2">
      <c r="AF2134" s="679"/>
    </row>
    <row r="2135" spans="32:32" x14ac:dyDescent="0.2">
      <c r="AF2135" s="679"/>
    </row>
    <row r="2136" spans="32:32" x14ac:dyDescent="0.2">
      <c r="AF2136" s="679"/>
    </row>
    <row r="2137" spans="32:32" x14ac:dyDescent="0.2">
      <c r="AF2137" s="679"/>
    </row>
    <row r="2138" spans="32:32" x14ac:dyDescent="0.2">
      <c r="AF2138" s="679"/>
    </row>
    <row r="2139" spans="32:32" x14ac:dyDescent="0.2">
      <c r="AF2139" s="679"/>
    </row>
    <row r="2140" spans="32:32" x14ac:dyDescent="0.2">
      <c r="AF2140" s="679"/>
    </row>
    <row r="2141" spans="32:32" x14ac:dyDescent="0.2">
      <c r="AF2141" s="679"/>
    </row>
    <row r="2142" spans="32:32" x14ac:dyDescent="0.2">
      <c r="AF2142" s="679"/>
    </row>
    <row r="2143" spans="32:32" x14ac:dyDescent="0.2">
      <c r="AF2143" s="679"/>
    </row>
    <row r="2144" spans="32:32" x14ac:dyDescent="0.2">
      <c r="AF2144" s="679"/>
    </row>
    <row r="2145" spans="32:32" x14ac:dyDescent="0.2">
      <c r="AF2145" s="679"/>
    </row>
    <row r="2146" spans="32:32" x14ac:dyDescent="0.2">
      <c r="AF2146" s="679"/>
    </row>
    <row r="2147" spans="32:32" x14ac:dyDescent="0.2">
      <c r="AF2147" s="679"/>
    </row>
    <row r="2148" spans="32:32" x14ac:dyDescent="0.2">
      <c r="AF2148" s="679"/>
    </row>
    <row r="2149" spans="32:32" x14ac:dyDescent="0.2">
      <c r="AF2149" s="679"/>
    </row>
    <row r="2150" spans="32:32" x14ac:dyDescent="0.2">
      <c r="AF2150" s="679"/>
    </row>
    <row r="2151" spans="32:32" x14ac:dyDescent="0.2">
      <c r="AF2151" s="679"/>
    </row>
    <row r="2152" spans="32:32" x14ac:dyDescent="0.2">
      <c r="AF2152" s="679"/>
    </row>
    <row r="2153" spans="32:32" x14ac:dyDescent="0.2">
      <c r="AF2153" s="679"/>
    </row>
    <row r="2154" spans="32:32" x14ac:dyDescent="0.2">
      <c r="AF2154" s="679"/>
    </row>
    <row r="2155" spans="32:32" x14ac:dyDescent="0.2">
      <c r="AF2155" s="679"/>
    </row>
    <row r="2156" spans="32:32" x14ac:dyDescent="0.2">
      <c r="AF2156" s="679"/>
    </row>
    <row r="2157" spans="32:32" x14ac:dyDescent="0.2">
      <c r="AF2157" s="679"/>
    </row>
    <row r="2158" spans="32:32" x14ac:dyDescent="0.2">
      <c r="AF2158" s="679"/>
    </row>
    <row r="2159" spans="32:32" x14ac:dyDescent="0.2">
      <c r="AF2159" s="679"/>
    </row>
    <row r="2160" spans="32:32" x14ac:dyDescent="0.2">
      <c r="AF2160" s="679"/>
    </row>
    <row r="2161" spans="32:32" x14ac:dyDescent="0.2">
      <c r="AF2161" s="679"/>
    </row>
    <row r="2162" spans="32:32" x14ac:dyDescent="0.2">
      <c r="AF2162" s="679"/>
    </row>
    <row r="2163" spans="32:32" x14ac:dyDescent="0.2">
      <c r="AF2163" s="679"/>
    </row>
    <row r="2164" spans="32:32" x14ac:dyDescent="0.2">
      <c r="AF2164" s="679"/>
    </row>
    <row r="2165" spans="32:32" x14ac:dyDescent="0.2">
      <c r="AF2165" s="679"/>
    </row>
    <row r="2166" spans="32:32" x14ac:dyDescent="0.2">
      <c r="AF2166" s="679"/>
    </row>
    <row r="2167" spans="32:32" x14ac:dyDescent="0.2">
      <c r="AF2167" s="679"/>
    </row>
    <row r="2168" spans="32:32" x14ac:dyDescent="0.2">
      <c r="AF2168" s="679"/>
    </row>
    <row r="2169" spans="32:32" x14ac:dyDescent="0.2">
      <c r="AF2169" s="679"/>
    </row>
    <row r="2170" spans="32:32" x14ac:dyDescent="0.2">
      <c r="AF2170" s="679"/>
    </row>
    <row r="2171" spans="32:32" x14ac:dyDescent="0.2">
      <c r="AF2171" s="679"/>
    </row>
    <row r="2172" spans="32:32" x14ac:dyDescent="0.2">
      <c r="AF2172" s="679"/>
    </row>
    <row r="2173" spans="32:32" x14ac:dyDescent="0.2">
      <c r="AF2173" s="679"/>
    </row>
    <row r="2174" spans="32:32" x14ac:dyDescent="0.2">
      <c r="AF2174" s="679"/>
    </row>
    <row r="2175" spans="32:32" x14ac:dyDescent="0.2">
      <c r="AF2175" s="679"/>
    </row>
    <row r="2176" spans="32:32" x14ac:dyDescent="0.2">
      <c r="AF2176" s="679"/>
    </row>
    <row r="2177" spans="32:32" x14ac:dyDescent="0.2">
      <c r="AF2177" s="679"/>
    </row>
    <row r="2178" spans="32:32" x14ac:dyDescent="0.2">
      <c r="AF2178" s="679"/>
    </row>
    <row r="2179" spans="32:32" x14ac:dyDescent="0.2">
      <c r="AF2179" s="679"/>
    </row>
    <row r="2180" spans="32:32" x14ac:dyDescent="0.2">
      <c r="AF2180" s="679"/>
    </row>
    <row r="2181" spans="32:32" x14ac:dyDescent="0.2">
      <c r="AF2181" s="679"/>
    </row>
    <row r="2182" spans="32:32" x14ac:dyDescent="0.2">
      <c r="AF2182" s="679"/>
    </row>
    <row r="2183" spans="32:32" x14ac:dyDescent="0.2">
      <c r="AF2183" s="679"/>
    </row>
    <row r="2184" spans="32:32" x14ac:dyDescent="0.2">
      <c r="AF2184" s="679"/>
    </row>
    <row r="2185" spans="32:32" x14ac:dyDescent="0.2">
      <c r="AF2185" s="679"/>
    </row>
    <row r="2186" spans="32:32" x14ac:dyDescent="0.2">
      <c r="AF2186" s="679"/>
    </row>
    <row r="2187" spans="32:32" x14ac:dyDescent="0.2">
      <c r="AF2187" s="679"/>
    </row>
    <row r="2188" spans="32:32" x14ac:dyDescent="0.2">
      <c r="AF2188" s="679"/>
    </row>
    <row r="2189" spans="32:32" x14ac:dyDescent="0.2">
      <c r="AF2189" s="679"/>
    </row>
    <row r="2190" spans="32:32" x14ac:dyDescent="0.2">
      <c r="AF2190" s="679"/>
    </row>
    <row r="2191" spans="32:32" x14ac:dyDescent="0.2">
      <c r="AF2191" s="679"/>
    </row>
    <row r="2192" spans="32:32" x14ac:dyDescent="0.2">
      <c r="AF2192" s="679"/>
    </row>
    <row r="2193" spans="32:32" x14ac:dyDescent="0.2">
      <c r="AF2193" s="679"/>
    </row>
    <row r="2194" spans="32:32" x14ac:dyDescent="0.2">
      <c r="AF2194" s="679"/>
    </row>
    <row r="2195" spans="32:32" x14ac:dyDescent="0.2">
      <c r="AF2195" s="679"/>
    </row>
    <row r="2196" spans="32:32" x14ac:dyDescent="0.2">
      <c r="AF2196" s="679"/>
    </row>
    <row r="2197" spans="32:32" x14ac:dyDescent="0.2">
      <c r="AF2197" s="679"/>
    </row>
    <row r="2198" spans="32:32" x14ac:dyDescent="0.2">
      <c r="AF2198" s="679"/>
    </row>
    <row r="2199" spans="32:32" x14ac:dyDescent="0.2">
      <c r="AF2199" s="679"/>
    </row>
    <row r="2200" spans="32:32" x14ac:dyDescent="0.2">
      <c r="AF2200" s="679"/>
    </row>
    <row r="2201" spans="32:32" x14ac:dyDescent="0.2">
      <c r="AF2201" s="679"/>
    </row>
    <row r="2202" spans="32:32" x14ac:dyDescent="0.2">
      <c r="AF2202" s="679"/>
    </row>
    <row r="2203" spans="32:32" x14ac:dyDescent="0.2">
      <c r="AF2203" s="679"/>
    </row>
    <row r="2204" spans="32:32" x14ac:dyDescent="0.2">
      <c r="AF2204" s="679"/>
    </row>
    <row r="2205" spans="32:32" x14ac:dyDescent="0.2">
      <c r="AF2205" s="679"/>
    </row>
    <row r="2206" spans="32:32" x14ac:dyDescent="0.2">
      <c r="AF2206" s="679"/>
    </row>
    <row r="2207" spans="32:32" x14ac:dyDescent="0.2">
      <c r="AF2207" s="679"/>
    </row>
    <row r="2208" spans="32:32" x14ac:dyDescent="0.2">
      <c r="AF2208" s="679"/>
    </row>
    <row r="2209" spans="32:32" x14ac:dyDescent="0.2">
      <c r="AF2209" s="679"/>
    </row>
    <row r="2210" spans="32:32" x14ac:dyDescent="0.2">
      <c r="AF2210" s="679"/>
    </row>
    <row r="2211" spans="32:32" x14ac:dyDescent="0.2">
      <c r="AF2211" s="679"/>
    </row>
    <row r="2212" spans="32:32" x14ac:dyDescent="0.2">
      <c r="AF2212" s="679"/>
    </row>
    <row r="2213" spans="32:32" x14ac:dyDescent="0.2">
      <c r="AF2213" s="679"/>
    </row>
    <row r="2214" spans="32:32" x14ac:dyDescent="0.2">
      <c r="AF2214" s="679"/>
    </row>
    <row r="2215" spans="32:32" x14ac:dyDescent="0.2">
      <c r="AF2215" s="679"/>
    </row>
    <row r="2216" spans="32:32" x14ac:dyDescent="0.2">
      <c r="AF2216" s="679"/>
    </row>
    <row r="2217" spans="32:32" x14ac:dyDescent="0.2">
      <c r="AF2217" s="679"/>
    </row>
    <row r="2218" spans="32:32" x14ac:dyDescent="0.2">
      <c r="AF2218" s="679"/>
    </row>
    <row r="2219" spans="32:32" x14ac:dyDescent="0.2">
      <c r="AF2219" s="679"/>
    </row>
    <row r="2220" spans="32:32" x14ac:dyDescent="0.2">
      <c r="AF2220" s="679"/>
    </row>
    <row r="2221" spans="32:32" x14ac:dyDescent="0.2">
      <c r="AF2221" s="679"/>
    </row>
    <row r="2222" spans="32:32" x14ac:dyDescent="0.2">
      <c r="AF2222" s="679"/>
    </row>
    <row r="2223" spans="32:32" x14ac:dyDescent="0.2">
      <c r="AF2223" s="679"/>
    </row>
    <row r="2224" spans="32:32" x14ac:dyDescent="0.2">
      <c r="AF2224" s="679"/>
    </row>
    <row r="2225" spans="32:32" x14ac:dyDescent="0.2">
      <c r="AF2225" s="679"/>
    </row>
    <row r="2226" spans="32:32" x14ac:dyDescent="0.2">
      <c r="AF2226" s="679"/>
    </row>
    <row r="2227" spans="32:32" x14ac:dyDescent="0.2">
      <c r="AF2227" s="679"/>
    </row>
    <row r="2228" spans="32:32" x14ac:dyDescent="0.2">
      <c r="AF2228" s="679"/>
    </row>
    <row r="2229" spans="32:32" x14ac:dyDescent="0.2">
      <c r="AF2229" s="679"/>
    </row>
    <row r="2230" spans="32:32" x14ac:dyDescent="0.2">
      <c r="AF2230" s="679"/>
    </row>
    <row r="2231" spans="32:32" x14ac:dyDescent="0.2">
      <c r="AF2231" s="679"/>
    </row>
    <row r="2232" spans="32:32" x14ac:dyDescent="0.2">
      <c r="AF2232" s="679"/>
    </row>
    <row r="2233" spans="32:32" x14ac:dyDescent="0.2">
      <c r="AF2233" s="679"/>
    </row>
    <row r="2234" spans="32:32" x14ac:dyDescent="0.2">
      <c r="AF2234" s="679"/>
    </row>
    <row r="2235" spans="32:32" x14ac:dyDescent="0.2">
      <c r="AF2235" s="679"/>
    </row>
    <row r="2236" spans="32:32" x14ac:dyDescent="0.2">
      <c r="AF2236" s="679"/>
    </row>
    <row r="2237" spans="32:32" x14ac:dyDescent="0.2">
      <c r="AF2237" s="679"/>
    </row>
    <row r="2238" spans="32:32" x14ac:dyDescent="0.2">
      <c r="AF2238" s="679"/>
    </row>
    <row r="2239" spans="32:32" x14ac:dyDescent="0.2">
      <c r="AF2239" s="679"/>
    </row>
    <row r="2240" spans="32:32" x14ac:dyDescent="0.2">
      <c r="AF2240" s="679"/>
    </row>
    <row r="2241" spans="32:32" x14ac:dyDescent="0.2">
      <c r="AF2241" s="679"/>
    </row>
    <row r="2242" spans="32:32" x14ac:dyDescent="0.2">
      <c r="AF2242" s="679"/>
    </row>
    <row r="2243" spans="32:32" x14ac:dyDescent="0.2">
      <c r="AF2243" s="679"/>
    </row>
    <row r="2244" spans="32:32" x14ac:dyDescent="0.2">
      <c r="AF2244" s="679"/>
    </row>
    <row r="2245" spans="32:32" x14ac:dyDescent="0.2">
      <c r="AF2245" s="679"/>
    </row>
    <row r="2246" spans="32:32" x14ac:dyDescent="0.2">
      <c r="AF2246" s="679"/>
    </row>
    <row r="2247" spans="32:32" x14ac:dyDescent="0.2">
      <c r="AF2247" s="679"/>
    </row>
    <row r="2248" spans="32:32" x14ac:dyDescent="0.2">
      <c r="AF2248" s="679"/>
    </row>
    <row r="2249" spans="32:32" x14ac:dyDescent="0.2">
      <c r="AF2249" s="679"/>
    </row>
    <row r="2250" spans="32:32" x14ac:dyDescent="0.2">
      <c r="AF2250" s="679"/>
    </row>
    <row r="2251" spans="32:32" x14ac:dyDescent="0.2">
      <c r="AF2251" s="679"/>
    </row>
    <row r="2252" spans="32:32" x14ac:dyDescent="0.2">
      <c r="AF2252" s="679"/>
    </row>
    <row r="2253" spans="32:32" x14ac:dyDescent="0.2">
      <c r="AF2253" s="679"/>
    </row>
    <row r="2254" spans="32:32" x14ac:dyDescent="0.2">
      <c r="AF2254" s="679"/>
    </row>
    <row r="2255" spans="32:32" x14ac:dyDescent="0.2">
      <c r="AF2255" s="679"/>
    </row>
    <row r="2256" spans="32:32" x14ac:dyDescent="0.2">
      <c r="AF2256" s="679"/>
    </row>
    <row r="2257" spans="32:32" x14ac:dyDescent="0.2">
      <c r="AF2257" s="679"/>
    </row>
    <row r="2258" spans="32:32" x14ac:dyDescent="0.2">
      <c r="AF2258" s="679"/>
    </row>
    <row r="2259" spans="32:32" x14ac:dyDescent="0.2">
      <c r="AF2259" s="679"/>
    </row>
    <row r="2260" spans="32:32" x14ac:dyDescent="0.2">
      <c r="AF2260" s="679"/>
    </row>
    <row r="2261" spans="32:32" x14ac:dyDescent="0.2">
      <c r="AF2261" s="679"/>
    </row>
    <row r="2262" spans="32:32" x14ac:dyDescent="0.2">
      <c r="AF2262" s="679"/>
    </row>
    <row r="2263" spans="32:32" x14ac:dyDescent="0.2">
      <c r="AF2263" s="679"/>
    </row>
    <row r="2264" spans="32:32" x14ac:dyDescent="0.2">
      <c r="AF2264" s="679"/>
    </row>
    <row r="2265" spans="32:32" x14ac:dyDescent="0.2">
      <c r="AF2265" s="679"/>
    </row>
    <row r="2266" spans="32:32" x14ac:dyDescent="0.2">
      <c r="AF2266" s="679"/>
    </row>
    <row r="2267" spans="32:32" x14ac:dyDescent="0.2">
      <c r="AF2267" s="679"/>
    </row>
    <row r="2268" spans="32:32" x14ac:dyDescent="0.2">
      <c r="AF2268" s="679"/>
    </row>
    <row r="2269" spans="32:32" x14ac:dyDescent="0.2">
      <c r="AF2269" s="679"/>
    </row>
    <row r="2270" spans="32:32" x14ac:dyDescent="0.2">
      <c r="AF2270" s="679"/>
    </row>
    <row r="2271" spans="32:32" x14ac:dyDescent="0.2">
      <c r="AF2271" s="679"/>
    </row>
    <row r="2272" spans="32:32" x14ac:dyDescent="0.2">
      <c r="AF2272" s="679"/>
    </row>
    <row r="2273" spans="32:32" x14ac:dyDescent="0.2">
      <c r="AF2273" s="679"/>
    </row>
    <row r="2274" spans="32:32" x14ac:dyDescent="0.2">
      <c r="AF2274" s="679"/>
    </row>
    <row r="2275" spans="32:32" x14ac:dyDescent="0.2">
      <c r="AF2275" s="679"/>
    </row>
    <row r="2276" spans="32:32" x14ac:dyDescent="0.2">
      <c r="AF2276" s="679"/>
    </row>
    <row r="2277" spans="32:32" x14ac:dyDescent="0.2">
      <c r="AF2277" s="679"/>
    </row>
    <row r="2278" spans="32:32" x14ac:dyDescent="0.2">
      <c r="AF2278" s="679"/>
    </row>
    <row r="2279" spans="32:32" x14ac:dyDescent="0.2">
      <c r="AF2279" s="679"/>
    </row>
    <row r="2280" spans="32:32" x14ac:dyDescent="0.2">
      <c r="AF2280" s="679"/>
    </row>
    <row r="2281" spans="32:32" x14ac:dyDescent="0.2">
      <c r="AF2281" s="679"/>
    </row>
    <row r="2282" spans="32:32" x14ac:dyDescent="0.2">
      <c r="AF2282" s="679"/>
    </row>
    <row r="2283" spans="32:32" x14ac:dyDescent="0.2">
      <c r="AF2283" s="679"/>
    </row>
    <row r="2284" spans="32:32" x14ac:dyDescent="0.2">
      <c r="AF2284" s="679"/>
    </row>
    <row r="2285" spans="32:32" x14ac:dyDescent="0.2">
      <c r="AF2285" s="679"/>
    </row>
    <row r="2286" spans="32:32" x14ac:dyDescent="0.2">
      <c r="AF2286" s="679"/>
    </row>
    <row r="2287" spans="32:32" x14ac:dyDescent="0.2">
      <c r="AF2287" s="679"/>
    </row>
    <row r="2288" spans="32:32" x14ac:dyDescent="0.2">
      <c r="AF2288" s="679"/>
    </row>
    <row r="2289" spans="32:32" x14ac:dyDescent="0.2">
      <c r="AF2289" s="679"/>
    </row>
    <row r="2290" spans="32:32" x14ac:dyDescent="0.2">
      <c r="AF2290" s="679"/>
    </row>
    <row r="2291" spans="32:32" x14ac:dyDescent="0.2">
      <c r="AF2291" s="679"/>
    </row>
    <row r="2292" spans="32:32" x14ac:dyDescent="0.2">
      <c r="AF2292" s="679"/>
    </row>
    <row r="2293" spans="32:32" x14ac:dyDescent="0.2">
      <c r="AF2293" s="679"/>
    </row>
    <row r="2294" spans="32:32" x14ac:dyDescent="0.2">
      <c r="AF2294" s="679"/>
    </row>
    <row r="2295" spans="32:32" x14ac:dyDescent="0.2">
      <c r="AF2295" s="679"/>
    </row>
    <row r="2296" spans="32:32" x14ac:dyDescent="0.2">
      <c r="AF2296" s="679"/>
    </row>
    <row r="2297" spans="32:32" x14ac:dyDescent="0.2">
      <c r="AF2297" s="679"/>
    </row>
    <row r="2298" spans="32:32" x14ac:dyDescent="0.2">
      <c r="AF2298" s="679"/>
    </row>
    <row r="2299" spans="32:32" x14ac:dyDescent="0.2">
      <c r="AF2299" s="679"/>
    </row>
    <row r="2300" spans="32:32" x14ac:dyDescent="0.2">
      <c r="AF2300" s="679"/>
    </row>
    <row r="2301" spans="32:32" x14ac:dyDescent="0.2">
      <c r="AF2301" s="679"/>
    </row>
    <row r="2302" spans="32:32" x14ac:dyDescent="0.2">
      <c r="AF2302" s="679"/>
    </row>
    <row r="2303" spans="32:32" x14ac:dyDescent="0.2">
      <c r="AF2303" s="679"/>
    </row>
    <row r="2304" spans="32:32" x14ac:dyDescent="0.2">
      <c r="AF2304" s="679"/>
    </row>
    <row r="2305" spans="32:32" x14ac:dyDescent="0.2">
      <c r="AF2305" s="679"/>
    </row>
    <row r="2306" spans="32:32" x14ac:dyDescent="0.2">
      <c r="AF2306" s="679"/>
    </row>
    <row r="2307" spans="32:32" x14ac:dyDescent="0.2">
      <c r="AF2307" s="679"/>
    </row>
    <row r="2308" spans="32:32" x14ac:dyDescent="0.2">
      <c r="AF2308" s="679"/>
    </row>
    <row r="2309" spans="32:32" x14ac:dyDescent="0.2">
      <c r="AF2309" s="679"/>
    </row>
    <row r="2310" spans="32:32" x14ac:dyDescent="0.2">
      <c r="AF2310" s="679"/>
    </row>
    <row r="2311" spans="32:32" x14ac:dyDescent="0.2">
      <c r="AF2311" s="679"/>
    </row>
    <row r="2312" spans="32:32" x14ac:dyDescent="0.2">
      <c r="AF2312" s="679"/>
    </row>
    <row r="2313" spans="32:32" x14ac:dyDescent="0.2">
      <c r="AF2313" s="679"/>
    </row>
    <row r="2314" spans="32:32" x14ac:dyDescent="0.2">
      <c r="AF2314" s="679"/>
    </row>
    <row r="2315" spans="32:32" x14ac:dyDescent="0.2">
      <c r="AF2315" s="679"/>
    </row>
    <row r="2316" spans="32:32" x14ac:dyDescent="0.2">
      <c r="AF2316" s="679"/>
    </row>
    <row r="2317" spans="32:32" x14ac:dyDescent="0.2">
      <c r="AF2317" s="679"/>
    </row>
    <row r="2318" spans="32:32" x14ac:dyDescent="0.2">
      <c r="AF2318" s="679"/>
    </row>
    <row r="2319" spans="32:32" x14ac:dyDescent="0.2">
      <c r="AF2319" s="679"/>
    </row>
    <row r="2320" spans="32:32" x14ac:dyDescent="0.2">
      <c r="AF2320" s="679"/>
    </row>
    <row r="2321" spans="32:32" x14ac:dyDescent="0.2">
      <c r="AF2321" s="679"/>
    </row>
    <row r="2322" spans="32:32" x14ac:dyDescent="0.2">
      <c r="AF2322" s="679"/>
    </row>
    <row r="2323" spans="32:32" x14ac:dyDescent="0.2">
      <c r="AF2323" s="679"/>
    </row>
    <row r="2324" spans="32:32" x14ac:dyDescent="0.2">
      <c r="AF2324" s="679"/>
    </row>
    <row r="2325" spans="32:32" x14ac:dyDescent="0.2">
      <c r="AF2325" s="679"/>
    </row>
    <row r="2326" spans="32:32" x14ac:dyDescent="0.2">
      <c r="AF2326" s="679"/>
    </row>
    <row r="2327" spans="32:32" x14ac:dyDescent="0.2">
      <c r="AF2327" s="679"/>
    </row>
    <row r="2328" spans="32:32" x14ac:dyDescent="0.2">
      <c r="AF2328" s="679"/>
    </row>
    <row r="2329" spans="32:32" x14ac:dyDescent="0.2">
      <c r="AF2329" s="679"/>
    </row>
    <row r="2330" spans="32:32" x14ac:dyDescent="0.2">
      <c r="AF2330" s="679"/>
    </row>
    <row r="2331" spans="32:32" x14ac:dyDescent="0.2">
      <c r="AF2331" s="679"/>
    </row>
    <row r="2332" spans="32:32" x14ac:dyDescent="0.2">
      <c r="AF2332" s="679"/>
    </row>
    <row r="2333" spans="32:32" x14ac:dyDescent="0.2">
      <c r="AF2333" s="679"/>
    </row>
    <row r="2334" spans="32:32" x14ac:dyDescent="0.2">
      <c r="AF2334" s="679"/>
    </row>
    <row r="2335" spans="32:32" x14ac:dyDescent="0.2">
      <c r="AF2335" s="679"/>
    </row>
    <row r="2336" spans="32:32" x14ac:dyDescent="0.2">
      <c r="AF2336" s="679"/>
    </row>
    <row r="2337" spans="32:32" x14ac:dyDescent="0.2">
      <c r="AF2337" s="679"/>
    </row>
    <row r="2338" spans="32:32" x14ac:dyDescent="0.2">
      <c r="AF2338" s="679"/>
    </row>
    <row r="2339" spans="32:32" x14ac:dyDescent="0.2">
      <c r="AF2339" s="679"/>
    </row>
    <row r="2340" spans="32:32" x14ac:dyDescent="0.2">
      <c r="AF2340" s="679"/>
    </row>
    <row r="2341" spans="32:32" x14ac:dyDescent="0.2">
      <c r="AF2341" s="679"/>
    </row>
    <row r="2342" spans="32:32" x14ac:dyDescent="0.2">
      <c r="AF2342" s="679"/>
    </row>
    <row r="2343" spans="32:32" x14ac:dyDescent="0.2">
      <c r="AF2343" s="679"/>
    </row>
    <row r="2344" spans="32:32" x14ac:dyDescent="0.2">
      <c r="AF2344" s="679"/>
    </row>
    <row r="2345" spans="32:32" x14ac:dyDescent="0.2">
      <c r="AF2345" s="679"/>
    </row>
    <row r="2346" spans="32:32" x14ac:dyDescent="0.2">
      <c r="AF2346" s="679"/>
    </row>
    <row r="2347" spans="32:32" x14ac:dyDescent="0.2">
      <c r="AF2347" s="679"/>
    </row>
    <row r="2348" spans="32:32" x14ac:dyDescent="0.2">
      <c r="AF2348" s="679"/>
    </row>
    <row r="2349" spans="32:32" x14ac:dyDescent="0.2">
      <c r="AF2349" s="679"/>
    </row>
    <row r="2350" spans="32:32" x14ac:dyDescent="0.2">
      <c r="AF2350" s="679"/>
    </row>
    <row r="2351" spans="32:32" x14ac:dyDescent="0.2">
      <c r="AF2351" s="679"/>
    </row>
    <row r="2352" spans="32:32" x14ac:dyDescent="0.2">
      <c r="AF2352" s="679"/>
    </row>
    <row r="2353" spans="32:32" x14ac:dyDescent="0.2">
      <c r="AF2353" s="679"/>
    </row>
    <row r="2354" spans="32:32" x14ac:dyDescent="0.2">
      <c r="AF2354" s="679"/>
    </row>
    <row r="2355" spans="32:32" x14ac:dyDescent="0.2">
      <c r="AF2355" s="679"/>
    </row>
    <row r="2356" spans="32:32" x14ac:dyDescent="0.2">
      <c r="AF2356" s="679"/>
    </row>
    <row r="2357" spans="32:32" x14ac:dyDescent="0.2">
      <c r="AF2357" s="679"/>
    </row>
    <row r="2358" spans="32:32" x14ac:dyDescent="0.2">
      <c r="AF2358" s="679"/>
    </row>
    <row r="2359" spans="32:32" x14ac:dyDescent="0.2">
      <c r="AF2359" s="679"/>
    </row>
    <row r="2360" spans="32:32" x14ac:dyDescent="0.2">
      <c r="AF2360" s="679"/>
    </row>
    <row r="2361" spans="32:32" x14ac:dyDescent="0.2">
      <c r="AF2361" s="679"/>
    </row>
    <row r="2362" spans="32:32" x14ac:dyDescent="0.2">
      <c r="AF2362" s="679"/>
    </row>
    <row r="2363" spans="32:32" x14ac:dyDescent="0.2">
      <c r="AF2363" s="679"/>
    </row>
    <row r="2364" spans="32:32" x14ac:dyDescent="0.2">
      <c r="AF2364" s="679"/>
    </row>
    <row r="2365" spans="32:32" x14ac:dyDescent="0.2">
      <c r="AF2365" s="679"/>
    </row>
    <row r="2366" spans="32:32" x14ac:dyDescent="0.2">
      <c r="AF2366" s="679"/>
    </row>
    <row r="2367" spans="32:32" x14ac:dyDescent="0.2">
      <c r="AF2367" s="679"/>
    </row>
    <row r="2368" spans="32:32" x14ac:dyDescent="0.2">
      <c r="AF2368" s="679"/>
    </row>
    <row r="2369" spans="32:32" x14ac:dyDescent="0.2">
      <c r="AF2369" s="679"/>
    </row>
    <row r="2370" spans="32:32" x14ac:dyDescent="0.2">
      <c r="AF2370" s="679"/>
    </row>
    <row r="2371" spans="32:32" x14ac:dyDescent="0.2">
      <c r="AF2371" s="679"/>
    </row>
    <row r="2372" spans="32:32" x14ac:dyDescent="0.2">
      <c r="AF2372" s="679"/>
    </row>
    <row r="2373" spans="32:32" x14ac:dyDescent="0.2">
      <c r="AF2373" s="679"/>
    </row>
    <row r="2374" spans="32:32" x14ac:dyDescent="0.2">
      <c r="AF2374" s="679"/>
    </row>
    <row r="2375" spans="32:32" x14ac:dyDescent="0.2">
      <c r="AF2375" s="679"/>
    </row>
    <row r="2376" spans="32:32" x14ac:dyDescent="0.2">
      <c r="AF2376" s="679"/>
    </row>
    <row r="2377" spans="32:32" x14ac:dyDescent="0.2">
      <c r="AF2377" s="679"/>
    </row>
    <row r="2378" spans="32:32" x14ac:dyDescent="0.2">
      <c r="AF2378" s="679"/>
    </row>
    <row r="2379" spans="32:32" x14ac:dyDescent="0.2">
      <c r="AF2379" s="679"/>
    </row>
    <row r="2380" spans="32:32" x14ac:dyDescent="0.2">
      <c r="AF2380" s="679"/>
    </row>
    <row r="2381" spans="32:32" x14ac:dyDescent="0.2">
      <c r="AF2381" s="679"/>
    </row>
    <row r="2382" spans="32:32" x14ac:dyDescent="0.2">
      <c r="AF2382" s="679"/>
    </row>
    <row r="2383" spans="32:32" x14ac:dyDescent="0.2">
      <c r="AF2383" s="679"/>
    </row>
    <row r="2384" spans="32:32" x14ac:dyDescent="0.2">
      <c r="AF2384" s="679"/>
    </row>
    <row r="2385" spans="32:32" x14ac:dyDescent="0.2">
      <c r="AF2385" s="679"/>
    </row>
    <row r="2386" spans="32:32" x14ac:dyDescent="0.2">
      <c r="AF2386" s="679"/>
    </row>
    <row r="2387" spans="32:32" x14ac:dyDescent="0.2">
      <c r="AF2387" s="679"/>
    </row>
    <row r="2388" spans="32:32" x14ac:dyDescent="0.2">
      <c r="AF2388" s="679"/>
    </row>
    <row r="2389" spans="32:32" x14ac:dyDescent="0.2">
      <c r="AF2389" s="679"/>
    </row>
    <row r="2390" spans="32:32" x14ac:dyDescent="0.2">
      <c r="AF2390" s="679"/>
    </row>
    <row r="2391" spans="32:32" x14ac:dyDescent="0.2">
      <c r="AF2391" s="679"/>
    </row>
    <row r="2392" spans="32:32" x14ac:dyDescent="0.2">
      <c r="AF2392" s="679"/>
    </row>
    <row r="2393" spans="32:32" x14ac:dyDescent="0.2">
      <c r="AF2393" s="679"/>
    </row>
    <row r="2394" spans="32:32" x14ac:dyDescent="0.2">
      <c r="AF2394" s="679"/>
    </row>
    <row r="2395" spans="32:32" x14ac:dyDescent="0.2">
      <c r="AF2395" s="679"/>
    </row>
    <row r="2396" spans="32:32" x14ac:dyDescent="0.2">
      <c r="AF2396" s="679"/>
    </row>
    <row r="2397" spans="32:32" x14ac:dyDescent="0.2">
      <c r="AF2397" s="679"/>
    </row>
    <row r="2398" spans="32:32" x14ac:dyDescent="0.2">
      <c r="AF2398" s="679"/>
    </row>
    <row r="2399" spans="32:32" x14ac:dyDescent="0.2">
      <c r="AF2399" s="679"/>
    </row>
    <row r="2400" spans="32:32" x14ac:dyDescent="0.2">
      <c r="AF2400" s="679"/>
    </row>
    <row r="2401" spans="32:32" x14ac:dyDescent="0.2">
      <c r="AF2401" s="679"/>
    </row>
    <row r="2402" spans="32:32" x14ac:dyDescent="0.2">
      <c r="AF2402" s="679"/>
    </row>
    <row r="2403" spans="32:32" x14ac:dyDescent="0.2">
      <c r="AF2403" s="679"/>
    </row>
    <row r="2404" spans="32:32" x14ac:dyDescent="0.2">
      <c r="AF2404" s="679"/>
    </row>
    <row r="2405" spans="32:32" x14ac:dyDescent="0.2">
      <c r="AF2405" s="679"/>
    </row>
    <row r="2406" spans="32:32" x14ac:dyDescent="0.2">
      <c r="AF2406" s="679"/>
    </row>
    <row r="2407" spans="32:32" x14ac:dyDescent="0.2">
      <c r="AF2407" s="679"/>
    </row>
    <row r="2408" spans="32:32" x14ac:dyDescent="0.2">
      <c r="AF2408" s="679"/>
    </row>
    <row r="2409" spans="32:32" x14ac:dyDescent="0.2">
      <c r="AF2409" s="679"/>
    </row>
    <row r="2410" spans="32:32" x14ac:dyDescent="0.2">
      <c r="AF2410" s="679"/>
    </row>
    <row r="2411" spans="32:32" x14ac:dyDescent="0.2">
      <c r="AF2411" s="679"/>
    </row>
    <row r="2412" spans="32:32" x14ac:dyDescent="0.2">
      <c r="AF2412" s="679"/>
    </row>
    <row r="2413" spans="32:32" x14ac:dyDescent="0.2">
      <c r="AF2413" s="679"/>
    </row>
    <row r="2414" spans="32:32" x14ac:dyDescent="0.2">
      <c r="AF2414" s="679"/>
    </row>
    <row r="2415" spans="32:32" x14ac:dyDescent="0.2">
      <c r="AF2415" s="679"/>
    </row>
    <row r="2416" spans="32:32" x14ac:dyDescent="0.2">
      <c r="AF2416" s="679"/>
    </row>
    <row r="2417" spans="32:32" x14ac:dyDescent="0.2">
      <c r="AF2417" s="679"/>
    </row>
    <row r="2418" spans="32:32" x14ac:dyDescent="0.2">
      <c r="AF2418" s="679"/>
    </row>
    <row r="2419" spans="32:32" x14ac:dyDescent="0.2">
      <c r="AF2419" s="679"/>
    </row>
    <row r="2420" spans="32:32" x14ac:dyDescent="0.2">
      <c r="AF2420" s="679"/>
    </row>
    <row r="2421" spans="32:32" x14ac:dyDescent="0.2">
      <c r="AF2421" s="679"/>
    </row>
    <row r="2422" spans="32:32" x14ac:dyDescent="0.2">
      <c r="AF2422" s="679"/>
    </row>
    <row r="2423" spans="32:32" x14ac:dyDescent="0.2">
      <c r="AF2423" s="679"/>
    </row>
    <row r="2424" spans="32:32" x14ac:dyDescent="0.2">
      <c r="AF2424" s="679"/>
    </row>
    <row r="2425" spans="32:32" x14ac:dyDescent="0.2">
      <c r="AF2425" s="679"/>
    </row>
    <row r="2426" spans="32:32" x14ac:dyDescent="0.2">
      <c r="AF2426" s="679"/>
    </row>
    <row r="2427" spans="32:32" x14ac:dyDescent="0.2">
      <c r="AF2427" s="679"/>
    </row>
    <row r="2428" spans="32:32" x14ac:dyDescent="0.2">
      <c r="AF2428" s="679"/>
    </row>
    <row r="2429" spans="32:32" x14ac:dyDescent="0.2">
      <c r="AF2429" s="679"/>
    </row>
    <row r="2430" spans="32:32" x14ac:dyDescent="0.2">
      <c r="AF2430" s="679"/>
    </row>
    <row r="2431" spans="32:32" x14ac:dyDescent="0.2">
      <c r="AF2431" s="679"/>
    </row>
    <row r="2432" spans="32:32" x14ac:dyDescent="0.2">
      <c r="AF2432" s="679"/>
    </row>
    <row r="2433" spans="32:32" x14ac:dyDescent="0.2">
      <c r="AF2433" s="679"/>
    </row>
    <row r="2434" spans="32:32" x14ac:dyDescent="0.2">
      <c r="AF2434" s="679"/>
    </row>
    <row r="2435" spans="32:32" x14ac:dyDescent="0.2">
      <c r="AF2435" s="679"/>
    </row>
    <row r="2436" spans="32:32" x14ac:dyDescent="0.2">
      <c r="AF2436" s="679"/>
    </row>
    <row r="2437" spans="32:32" x14ac:dyDescent="0.2">
      <c r="AF2437" s="679"/>
    </row>
    <row r="2438" spans="32:32" x14ac:dyDescent="0.2">
      <c r="AF2438" s="679"/>
    </row>
    <row r="2439" spans="32:32" x14ac:dyDescent="0.2">
      <c r="AF2439" s="679"/>
    </row>
    <row r="2440" spans="32:32" x14ac:dyDescent="0.2">
      <c r="AF2440" s="679"/>
    </row>
    <row r="2441" spans="32:32" x14ac:dyDescent="0.2">
      <c r="AF2441" s="679"/>
    </row>
    <row r="2442" spans="32:32" x14ac:dyDescent="0.2">
      <c r="AF2442" s="679"/>
    </row>
    <row r="2443" spans="32:32" x14ac:dyDescent="0.2">
      <c r="AF2443" s="679"/>
    </row>
    <row r="2444" spans="32:32" x14ac:dyDescent="0.2">
      <c r="AF2444" s="679"/>
    </row>
    <row r="2445" spans="32:32" x14ac:dyDescent="0.2">
      <c r="AF2445" s="679"/>
    </row>
    <row r="2446" spans="32:32" x14ac:dyDescent="0.2">
      <c r="AF2446" s="679"/>
    </row>
    <row r="2447" spans="32:32" x14ac:dyDescent="0.2">
      <c r="AF2447" s="679"/>
    </row>
    <row r="2448" spans="32:32" x14ac:dyDescent="0.2">
      <c r="AF2448" s="679"/>
    </row>
    <row r="2449" spans="32:32" x14ac:dyDescent="0.2">
      <c r="AF2449" s="679"/>
    </row>
    <row r="2450" spans="32:32" x14ac:dyDescent="0.2">
      <c r="AF2450" s="679"/>
    </row>
    <row r="2451" spans="32:32" x14ac:dyDescent="0.2">
      <c r="AF2451" s="679"/>
    </row>
    <row r="2452" spans="32:32" x14ac:dyDescent="0.2">
      <c r="AF2452" s="679"/>
    </row>
    <row r="2453" spans="32:32" x14ac:dyDescent="0.2">
      <c r="AF2453" s="679"/>
    </row>
    <row r="2454" spans="32:32" x14ac:dyDescent="0.2">
      <c r="AF2454" s="679"/>
    </row>
    <row r="2455" spans="32:32" x14ac:dyDescent="0.2">
      <c r="AF2455" s="679"/>
    </row>
    <row r="2456" spans="32:32" x14ac:dyDescent="0.2">
      <c r="AF2456" s="679"/>
    </row>
    <row r="2457" spans="32:32" x14ac:dyDescent="0.2">
      <c r="AF2457" s="679"/>
    </row>
    <row r="2458" spans="32:32" x14ac:dyDescent="0.2">
      <c r="AF2458" s="679"/>
    </row>
    <row r="2459" spans="32:32" x14ac:dyDescent="0.2">
      <c r="AF2459" s="679"/>
    </row>
    <row r="2460" spans="32:32" x14ac:dyDescent="0.2">
      <c r="AF2460" s="679"/>
    </row>
    <row r="2461" spans="32:32" x14ac:dyDescent="0.2">
      <c r="AF2461" s="679"/>
    </row>
    <row r="2462" spans="32:32" x14ac:dyDescent="0.2">
      <c r="AF2462" s="679"/>
    </row>
    <row r="2463" spans="32:32" x14ac:dyDescent="0.2">
      <c r="AF2463" s="679"/>
    </row>
    <row r="2464" spans="32:32" x14ac:dyDescent="0.2">
      <c r="AF2464" s="679"/>
    </row>
    <row r="2465" spans="32:32" x14ac:dyDescent="0.2">
      <c r="AF2465" s="679"/>
    </row>
    <row r="2466" spans="32:32" x14ac:dyDescent="0.2">
      <c r="AF2466" s="679"/>
    </row>
    <row r="2467" spans="32:32" x14ac:dyDescent="0.2">
      <c r="AF2467" s="679"/>
    </row>
    <row r="2468" spans="32:32" x14ac:dyDescent="0.2">
      <c r="AF2468" s="679"/>
    </row>
    <row r="2469" spans="32:32" x14ac:dyDescent="0.2">
      <c r="AF2469" s="679"/>
    </row>
    <row r="2470" spans="32:32" x14ac:dyDescent="0.2">
      <c r="AF2470" s="679"/>
    </row>
    <row r="2471" spans="32:32" x14ac:dyDescent="0.2">
      <c r="AF2471" s="679"/>
    </row>
    <row r="2472" spans="32:32" x14ac:dyDescent="0.2">
      <c r="AF2472" s="679"/>
    </row>
    <row r="2473" spans="32:32" x14ac:dyDescent="0.2">
      <c r="AF2473" s="679"/>
    </row>
    <row r="2474" spans="32:32" x14ac:dyDescent="0.2">
      <c r="AF2474" s="679"/>
    </row>
    <row r="2475" spans="32:32" x14ac:dyDescent="0.2">
      <c r="AF2475" s="679"/>
    </row>
    <row r="2476" spans="32:32" x14ac:dyDescent="0.2">
      <c r="AF2476" s="679"/>
    </row>
    <row r="2477" spans="32:32" x14ac:dyDescent="0.2">
      <c r="AF2477" s="679"/>
    </row>
    <row r="2478" spans="32:32" x14ac:dyDescent="0.2">
      <c r="AF2478" s="679"/>
    </row>
    <row r="2479" spans="32:32" x14ac:dyDescent="0.2">
      <c r="AF2479" s="679"/>
    </row>
    <row r="2480" spans="32:32" x14ac:dyDescent="0.2">
      <c r="AF2480" s="679"/>
    </row>
    <row r="2481" spans="32:32" x14ac:dyDescent="0.2">
      <c r="AF2481" s="679"/>
    </row>
    <row r="2482" spans="32:32" x14ac:dyDescent="0.2">
      <c r="AF2482" s="679"/>
    </row>
    <row r="2483" spans="32:32" x14ac:dyDescent="0.2">
      <c r="AF2483" s="679"/>
    </row>
    <row r="2484" spans="32:32" x14ac:dyDescent="0.2">
      <c r="AF2484" s="679"/>
    </row>
    <row r="2485" spans="32:32" x14ac:dyDescent="0.2">
      <c r="AF2485" s="679"/>
    </row>
    <row r="2486" spans="32:32" x14ac:dyDescent="0.2">
      <c r="AF2486" s="679"/>
    </row>
    <row r="2487" spans="32:32" x14ac:dyDescent="0.2">
      <c r="AF2487" s="679"/>
    </row>
    <row r="2488" spans="32:32" x14ac:dyDescent="0.2">
      <c r="AF2488" s="679"/>
    </row>
    <row r="2489" spans="32:32" x14ac:dyDescent="0.2">
      <c r="AF2489" s="679"/>
    </row>
    <row r="2490" spans="32:32" x14ac:dyDescent="0.2">
      <c r="AF2490" s="679"/>
    </row>
    <row r="2491" spans="32:32" x14ac:dyDescent="0.2">
      <c r="AF2491" s="679"/>
    </row>
    <row r="2492" spans="32:32" x14ac:dyDescent="0.2">
      <c r="AF2492" s="679"/>
    </row>
    <row r="2493" spans="32:32" x14ac:dyDescent="0.2">
      <c r="AF2493" s="679"/>
    </row>
    <row r="2494" spans="32:32" x14ac:dyDescent="0.2">
      <c r="AF2494" s="679"/>
    </row>
    <row r="2495" spans="32:32" x14ac:dyDescent="0.2">
      <c r="AF2495" s="679"/>
    </row>
    <row r="2496" spans="32:32" x14ac:dyDescent="0.2">
      <c r="AF2496" s="679"/>
    </row>
    <row r="2497" spans="32:32" x14ac:dyDescent="0.2">
      <c r="AF2497" s="679"/>
    </row>
    <row r="2498" spans="32:32" x14ac:dyDescent="0.2">
      <c r="AF2498" s="679"/>
    </row>
    <row r="2499" spans="32:32" x14ac:dyDescent="0.2">
      <c r="AF2499" s="679"/>
    </row>
    <row r="2500" spans="32:32" x14ac:dyDescent="0.2">
      <c r="AF2500" s="679"/>
    </row>
    <row r="2501" spans="32:32" x14ac:dyDescent="0.2">
      <c r="AF2501" s="679"/>
    </row>
    <row r="2502" spans="32:32" x14ac:dyDescent="0.2">
      <c r="AF2502" s="679"/>
    </row>
    <row r="2503" spans="32:32" x14ac:dyDescent="0.2">
      <c r="AF2503" s="679"/>
    </row>
    <row r="2504" spans="32:32" x14ac:dyDescent="0.2">
      <c r="AF2504" s="679"/>
    </row>
    <row r="2505" spans="32:32" x14ac:dyDescent="0.2">
      <c r="AF2505" s="679"/>
    </row>
    <row r="2506" spans="32:32" x14ac:dyDescent="0.2">
      <c r="AF2506" s="679"/>
    </row>
    <row r="2507" spans="32:32" x14ac:dyDescent="0.2">
      <c r="AF2507" s="679"/>
    </row>
    <row r="2508" spans="32:32" x14ac:dyDescent="0.2">
      <c r="AF2508" s="679"/>
    </row>
    <row r="2509" spans="32:32" x14ac:dyDescent="0.2">
      <c r="AF2509" s="679"/>
    </row>
    <row r="2510" spans="32:32" x14ac:dyDescent="0.2">
      <c r="AF2510" s="679"/>
    </row>
    <row r="2511" spans="32:32" x14ac:dyDescent="0.2">
      <c r="AF2511" s="679"/>
    </row>
    <row r="2512" spans="32:32" x14ac:dyDescent="0.2">
      <c r="AF2512" s="679"/>
    </row>
    <row r="2513" spans="32:32" x14ac:dyDescent="0.2">
      <c r="AF2513" s="679"/>
    </row>
    <row r="2514" spans="32:32" x14ac:dyDescent="0.2">
      <c r="AF2514" s="679"/>
    </row>
    <row r="2515" spans="32:32" x14ac:dyDescent="0.2">
      <c r="AF2515" s="679"/>
    </row>
    <row r="2516" spans="32:32" x14ac:dyDescent="0.2">
      <c r="AF2516" s="679"/>
    </row>
    <row r="2517" spans="32:32" x14ac:dyDescent="0.2">
      <c r="AF2517" s="679"/>
    </row>
    <row r="2518" spans="32:32" x14ac:dyDescent="0.2">
      <c r="AF2518" s="679"/>
    </row>
    <row r="2519" spans="32:32" x14ac:dyDescent="0.2">
      <c r="AF2519" s="679"/>
    </row>
    <row r="2520" spans="32:32" x14ac:dyDescent="0.2">
      <c r="AF2520" s="679"/>
    </row>
    <row r="2521" spans="32:32" x14ac:dyDescent="0.2">
      <c r="AF2521" s="679"/>
    </row>
    <row r="2522" spans="32:32" x14ac:dyDescent="0.2">
      <c r="AF2522" s="679"/>
    </row>
    <row r="2523" spans="32:32" x14ac:dyDescent="0.2">
      <c r="AF2523" s="679"/>
    </row>
    <row r="2524" spans="32:32" x14ac:dyDescent="0.2">
      <c r="AF2524" s="679"/>
    </row>
    <row r="2525" spans="32:32" x14ac:dyDescent="0.2">
      <c r="AF2525" s="679"/>
    </row>
    <row r="2526" spans="32:32" x14ac:dyDescent="0.2">
      <c r="AF2526" s="679"/>
    </row>
    <row r="2527" spans="32:32" x14ac:dyDescent="0.2">
      <c r="AF2527" s="679"/>
    </row>
    <row r="2528" spans="32:32" x14ac:dyDescent="0.2">
      <c r="AF2528" s="679"/>
    </row>
    <row r="2529" spans="32:32" x14ac:dyDescent="0.2">
      <c r="AF2529" s="679"/>
    </row>
    <row r="2530" spans="32:32" x14ac:dyDescent="0.2">
      <c r="AF2530" s="679"/>
    </row>
    <row r="2531" spans="32:32" x14ac:dyDescent="0.2">
      <c r="AF2531" s="679"/>
    </row>
    <row r="2532" spans="32:32" x14ac:dyDescent="0.2">
      <c r="AF2532" s="679"/>
    </row>
    <row r="2533" spans="32:32" x14ac:dyDescent="0.2">
      <c r="AF2533" s="679"/>
    </row>
    <row r="2534" spans="32:32" x14ac:dyDescent="0.2">
      <c r="AF2534" s="679"/>
    </row>
    <row r="2535" spans="32:32" x14ac:dyDescent="0.2">
      <c r="AF2535" s="679"/>
    </row>
    <row r="2536" spans="32:32" x14ac:dyDescent="0.2">
      <c r="AF2536" s="679"/>
    </row>
    <row r="2537" spans="32:32" x14ac:dyDescent="0.2">
      <c r="AF2537" s="679"/>
    </row>
    <row r="2538" spans="32:32" x14ac:dyDescent="0.2">
      <c r="AF2538" s="679"/>
    </row>
    <row r="2539" spans="32:32" x14ac:dyDescent="0.2">
      <c r="AF2539" s="679"/>
    </row>
    <row r="2540" spans="32:32" x14ac:dyDescent="0.2">
      <c r="AF2540" s="679"/>
    </row>
    <row r="2541" spans="32:32" x14ac:dyDescent="0.2">
      <c r="AF2541" s="679"/>
    </row>
    <row r="2542" spans="32:32" x14ac:dyDescent="0.2">
      <c r="AF2542" s="679"/>
    </row>
    <row r="2543" spans="32:32" x14ac:dyDescent="0.2">
      <c r="AF2543" s="679"/>
    </row>
    <row r="2544" spans="32:32" x14ac:dyDescent="0.2">
      <c r="AF2544" s="679"/>
    </row>
    <row r="2545" spans="32:32" x14ac:dyDescent="0.2">
      <c r="AF2545" s="679"/>
    </row>
    <row r="2546" spans="32:32" x14ac:dyDescent="0.2">
      <c r="AF2546" s="679"/>
    </row>
    <row r="2547" spans="32:32" x14ac:dyDescent="0.2">
      <c r="AF2547" s="679"/>
    </row>
    <row r="2548" spans="32:32" x14ac:dyDescent="0.2">
      <c r="AF2548" s="679"/>
    </row>
    <row r="2549" spans="32:32" x14ac:dyDescent="0.2">
      <c r="AF2549" s="679"/>
    </row>
    <row r="2550" spans="32:32" x14ac:dyDescent="0.2">
      <c r="AF2550" s="679"/>
    </row>
    <row r="2551" spans="32:32" x14ac:dyDescent="0.2">
      <c r="AF2551" s="679"/>
    </row>
    <row r="2552" spans="32:32" x14ac:dyDescent="0.2">
      <c r="AF2552" s="679"/>
    </row>
    <row r="2553" spans="32:32" x14ac:dyDescent="0.2">
      <c r="AF2553" s="679"/>
    </row>
    <row r="2554" spans="32:32" x14ac:dyDescent="0.2">
      <c r="AF2554" s="679"/>
    </row>
    <row r="2555" spans="32:32" x14ac:dyDescent="0.2">
      <c r="AF2555" s="679"/>
    </row>
    <row r="2556" spans="32:32" x14ac:dyDescent="0.2">
      <c r="AF2556" s="679"/>
    </row>
    <row r="2557" spans="32:32" x14ac:dyDescent="0.2">
      <c r="AF2557" s="679"/>
    </row>
    <row r="2558" spans="32:32" x14ac:dyDescent="0.2">
      <c r="AF2558" s="679"/>
    </row>
    <row r="2559" spans="32:32" x14ac:dyDescent="0.2">
      <c r="AF2559" s="679"/>
    </row>
    <row r="2560" spans="32:32" x14ac:dyDescent="0.2">
      <c r="AF2560" s="679"/>
    </row>
    <row r="2561" spans="32:32" x14ac:dyDescent="0.2">
      <c r="AF2561" s="679"/>
    </row>
    <row r="2562" spans="32:32" x14ac:dyDescent="0.2">
      <c r="AF2562" s="679"/>
    </row>
    <row r="2563" spans="32:32" x14ac:dyDescent="0.2">
      <c r="AF2563" s="679"/>
    </row>
    <row r="2564" spans="32:32" x14ac:dyDescent="0.2">
      <c r="AF2564" s="679"/>
    </row>
    <row r="2565" spans="32:32" x14ac:dyDescent="0.2">
      <c r="AF2565" s="679"/>
    </row>
    <row r="2566" spans="32:32" x14ac:dyDescent="0.2">
      <c r="AF2566" s="679"/>
    </row>
    <row r="2567" spans="32:32" x14ac:dyDescent="0.2">
      <c r="AF2567" s="679"/>
    </row>
    <row r="2568" spans="32:32" x14ac:dyDescent="0.2">
      <c r="AF2568" s="679"/>
    </row>
    <row r="2569" spans="32:32" x14ac:dyDescent="0.2">
      <c r="AF2569" s="679"/>
    </row>
    <row r="2570" spans="32:32" x14ac:dyDescent="0.2">
      <c r="AF2570" s="679"/>
    </row>
    <row r="2571" spans="32:32" x14ac:dyDescent="0.2">
      <c r="AF2571" s="679"/>
    </row>
    <row r="2572" spans="32:32" x14ac:dyDescent="0.2">
      <c r="AF2572" s="679"/>
    </row>
    <row r="2573" spans="32:32" x14ac:dyDescent="0.2">
      <c r="AF2573" s="679"/>
    </row>
    <row r="2574" spans="32:32" x14ac:dyDescent="0.2">
      <c r="AF2574" s="679"/>
    </row>
    <row r="2575" spans="32:32" x14ac:dyDescent="0.2">
      <c r="AF2575" s="679"/>
    </row>
    <row r="2576" spans="32:32" x14ac:dyDescent="0.2">
      <c r="AF2576" s="679"/>
    </row>
    <row r="2577" spans="32:32" x14ac:dyDescent="0.2">
      <c r="AF2577" s="679"/>
    </row>
    <row r="2578" spans="32:32" x14ac:dyDescent="0.2">
      <c r="AF2578" s="679"/>
    </row>
    <row r="2579" spans="32:32" x14ac:dyDescent="0.2">
      <c r="AF2579" s="679"/>
    </row>
    <row r="2580" spans="32:32" x14ac:dyDescent="0.2">
      <c r="AF2580" s="679"/>
    </row>
    <row r="2581" spans="32:32" x14ac:dyDescent="0.2">
      <c r="AF2581" s="679"/>
    </row>
    <row r="2582" spans="32:32" x14ac:dyDescent="0.2">
      <c r="AF2582" s="679"/>
    </row>
    <row r="2583" spans="32:32" x14ac:dyDescent="0.2">
      <c r="AF2583" s="679"/>
    </row>
    <row r="2584" spans="32:32" x14ac:dyDescent="0.2">
      <c r="AF2584" s="679"/>
    </row>
    <row r="2585" spans="32:32" x14ac:dyDescent="0.2">
      <c r="AF2585" s="679"/>
    </row>
    <row r="2586" spans="32:32" x14ac:dyDescent="0.2">
      <c r="AF2586" s="679"/>
    </row>
    <row r="2587" spans="32:32" x14ac:dyDescent="0.2">
      <c r="AF2587" s="679"/>
    </row>
    <row r="2588" spans="32:32" x14ac:dyDescent="0.2">
      <c r="AF2588" s="679"/>
    </row>
    <row r="2589" spans="32:32" x14ac:dyDescent="0.2">
      <c r="AF2589" s="679"/>
    </row>
    <row r="2590" spans="32:32" x14ac:dyDescent="0.2">
      <c r="AF2590" s="679"/>
    </row>
    <row r="2591" spans="32:32" x14ac:dyDescent="0.2">
      <c r="AF2591" s="679"/>
    </row>
    <row r="2592" spans="32:32" x14ac:dyDescent="0.2">
      <c r="AF2592" s="679"/>
    </row>
    <row r="2593" spans="32:32" x14ac:dyDescent="0.2">
      <c r="AF2593" s="679"/>
    </row>
    <row r="2594" spans="32:32" x14ac:dyDescent="0.2">
      <c r="AF2594" s="679"/>
    </row>
    <row r="2595" spans="32:32" x14ac:dyDescent="0.2">
      <c r="AF2595" s="679"/>
    </row>
    <row r="2596" spans="32:32" x14ac:dyDescent="0.2">
      <c r="AF2596" s="679"/>
    </row>
    <row r="2597" spans="32:32" x14ac:dyDescent="0.2">
      <c r="AF2597" s="679"/>
    </row>
    <row r="2598" spans="32:32" x14ac:dyDescent="0.2">
      <c r="AF2598" s="679"/>
    </row>
    <row r="2599" spans="32:32" x14ac:dyDescent="0.2">
      <c r="AF2599" s="679"/>
    </row>
    <row r="2600" spans="32:32" x14ac:dyDescent="0.2">
      <c r="AF2600" s="679"/>
    </row>
    <row r="2601" spans="32:32" x14ac:dyDescent="0.2">
      <c r="AF2601" s="679"/>
    </row>
    <row r="2602" spans="32:32" x14ac:dyDescent="0.2">
      <c r="AF2602" s="679"/>
    </row>
    <row r="2603" spans="32:32" x14ac:dyDescent="0.2">
      <c r="AF2603" s="679"/>
    </row>
    <row r="2604" spans="32:32" x14ac:dyDescent="0.2">
      <c r="AF2604" s="679"/>
    </row>
    <row r="2605" spans="32:32" x14ac:dyDescent="0.2">
      <c r="AF2605" s="679"/>
    </row>
    <row r="2606" spans="32:32" x14ac:dyDescent="0.2">
      <c r="AF2606" s="679"/>
    </row>
    <row r="2607" spans="32:32" x14ac:dyDescent="0.2">
      <c r="AF2607" s="679"/>
    </row>
    <row r="2608" spans="32:32" x14ac:dyDescent="0.2">
      <c r="AF2608" s="679"/>
    </row>
    <row r="2609" spans="32:32" x14ac:dyDescent="0.2">
      <c r="AF2609" s="679"/>
    </row>
    <row r="2610" spans="32:32" x14ac:dyDescent="0.2">
      <c r="AF2610" s="679"/>
    </row>
    <row r="2611" spans="32:32" x14ac:dyDescent="0.2">
      <c r="AF2611" s="679"/>
    </row>
    <row r="2612" spans="32:32" x14ac:dyDescent="0.2">
      <c r="AF2612" s="679"/>
    </row>
    <row r="2613" spans="32:32" x14ac:dyDescent="0.2">
      <c r="AF2613" s="679"/>
    </row>
    <row r="2614" spans="32:32" x14ac:dyDescent="0.2">
      <c r="AF2614" s="679"/>
    </row>
    <row r="2615" spans="32:32" x14ac:dyDescent="0.2">
      <c r="AF2615" s="679"/>
    </row>
    <row r="2616" spans="32:32" x14ac:dyDescent="0.2">
      <c r="AF2616" s="679"/>
    </row>
    <row r="2617" spans="32:32" x14ac:dyDescent="0.2">
      <c r="AF2617" s="679"/>
    </row>
    <row r="2618" spans="32:32" x14ac:dyDescent="0.2">
      <c r="AF2618" s="679"/>
    </row>
    <row r="2619" spans="32:32" x14ac:dyDescent="0.2">
      <c r="AF2619" s="679"/>
    </row>
    <row r="2620" spans="32:32" x14ac:dyDescent="0.2">
      <c r="AF2620" s="679"/>
    </row>
    <row r="2621" spans="32:32" x14ac:dyDescent="0.2">
      <c r="AF2621" s="679"/>
    </row>
    <row r="2622" spans="32:32" x14ac:dyDescent="0.2">
      <c r="AF2622" s="679"/>
    </row>
    <row r="2623" spans="32:32" x14ac:dyDescent="0.2">
      <c r="AF2623" s="679"/>
    </row>
    <row r="2624" spans="32:32" x14ac:dyDescent="0.2">
      <c r="AF2624" s="679"/>
    </row>
    <row r="2625" spans="32:32" x14ac:dyDescent="0.2">
      <c r="AF2625" s="679"/>
    </row>
    <row r="2626" spans="32:32" x14ac:dyDescent="0.2">
      <c r="AF2626" s="679"/>
    </row>
    <row r="2627" spans="32:32" x14ac:dyDescent="0.2">
      <c r="AF2627" s="679"/>
    </row>
    <row r="2628" spans="32:32" x14ac:dyDescent="0.2">
      <c r="AF2628" s="679"/>
    </row>
    <row r="2629" spans="32:32" x14ac:dyDescent="0.2">
      <c r="AF2629" s="679"/>
    </row>
    <row r="2630" spans="32:32" x14ac:dyDescent="0.2">
      <c r="AF2630" s="679"/>
    </row>
    <row r="2631" spans="32:32" x14ac:dyDescent="0.2">
      <c r="AF2631" s="679"/>
    </row>
    <row r="2632" spans="32:32" x14ac:dyDescent="0.2">
      <c r="AF2632" s="679"/>
    </row>
    <row r="2633" spans="32:32" x14ac:dyDescent="0.2">
      <c r="AF2633" s="679"/>
    </row>
    <row r="2634" spans="32:32" x14ac:dyDescent="0.2">
      <c r="AF2634" s="679"/>
    </row>
    <row r="2635" spans="32:32" x14ac:dyDescent="0.2">
      <c r="AF2635" s="679"/>
    </row>
    <row r="2636" spans="32:32" x14ac:dyDescent="0.2">
      <c r="AF2636" s="679"/>
    </row>
    <row r="2637" spans="32:32" x14ac:dyDescent="0.2">
      <c r="AF2637" s="679"/>
    </row>
    <row r="2638" spans="32:32" x14ac:dyDescent="0.2">
      <c r="AF2638" s="679"/>
    </row>
    <row r="2639" spans="32:32" x14ac:dyDescent="0.2">
      <c r="AF2639" s="679"/>
    </row>
    <row r="2640" spans="32:32" x14ac:dyDescent="0.2">
      <c r="AF2640" s="679"/>
    </row>
    <row r="2641" spans="32:32" x14ac:dyDescent="0.2">
      <c r="AF2641" s="679"/>
    </row>
    <row r="2642" spans="32:32" x14ac:dyDescent="0.2">
      <c r="AF2642" s="679"/>
    </row>
    <row r="2643" spans="32:32" x14ac:dyDescent="0.2">
      <c r="AF2643" s="679"/>
    </row>
    <row r="2644" spans="32:32" x14ac:dyDescent="0.2">
      <c r="AF2644" s="679"/>
    </row>
    <row r="2645" spans="32:32" x14ac:dyDescent="0.2">
      <c r="AF2645" s="679"/>
    </row>
    <row r="2646" spans="32:32" x14ac:dyDescent="0.2">
      <c r="AF2646" s="679"/>
    </row>
    <row r="2647" spans="32:32" x14ac:dyDescent="0.2">
      <c r="AF2647" s="679"/>
    </row>
    <row r="2648" spans="32:32" x14ac:dyDescent="0.2">
      <c r="AF2648" s="679"/>
    </row>
    <row r="2649" spans="32:32" x14ac:dyDescent="0.2">
      <c r="AF2649" s="679"/>
    </row>
    <row r="2650" spans="32:32" x14ac:dyDescent="0.2">
      <c r="AF2650" s="679"/>
    </row>
    <row r="2651" spans="32:32" x14ac:dyDescent="0.2">
      <c r="AF2651" s="679"/>
    </row>
    <row r="2652" spans="32:32" x14ac:dyDescent="0.2">
      <c r="AF2652" s="679"/>
    </row>
    <row r="2653" spans="32:32" x14ac:dyDescent="0.2">
      <c r="AF2653" s="679"/>
    </row>
    <row r="2654" spans="32:32" x14ac:dyDescent="0.2">
      <c r="AF2654" s="679"/>
    </row>
    <row r="2655" spans="32:32" x14ac:dyDescent="0.2">
      <c r="AF2655" s="679"/>
    </row>
    <row r="2656" spans="32:32" x14ac:dyDescent="0.2">
      <c r="AF2656" s="679"/>
    </row>
    <row r="2657" spans="32:32" x14ac:dyDescent="0.2">
      <c r="AF2657" s="679"/>
    </row>
    <row r="2658" spans="32:32" x14ac:dyDescent="0.2">
      <c r="AF2658" s="679"/>
    </row>
    <row r="2659" spans="32:32" x14ac:dyDescent="0.2">
      <c r="AF2659" s="679"/>
    </row>
    <row r="2660" spans="32:32" x14ac:dyDescent="0.2">
      <c r="AF2660" s="679"/>
    </row>
    <row r="2661" spans="32:32" x14ac:dyDescent="0.2">
      <c r="AF2661" s="679"/>
    </row>
    <row r="2662" spans="32:32" x14ac:dyDescent="0.2">
      <c r="AF2662" s="679"/>
    </row>
    <row r="2663" spans="32:32" x14ac:dyDescent="0.2">
      <c r="AF2663" s="679"/>
    </row>
    <row r="2664" spans="32:32" x14ac:dyDescent="0.2">
      <c r="AF2664" s="679"/>
    </row>
    <row r="2665" spans="32:32" x14ac:dyDescent="0.2">
      <c r="AF2665" s="679"/>
    </row>
    <row r="2666" spans="32:32" x14ac:dyDescent="0.2">
      <c r="AF2666" s="679"/>
    </row>
    <row r="2667" spans="32:32" x14ac:dyDescent="0.2">
      <c r="AF2667" s="679"/>
    </row>
    <row r="2668" spans="32:32" x14ac:dyDescent="0.2">
      <c r="AF2668" s="679"/>
    </row>
    <row r="2669" spans="32:32" x14ac:dyDescent="0.2">
      <c r="AF2669" s="679"/>
    </row>
    <row r="2670" spans="32:32" x14ac:dyDescent="0.2">
      <c r="AF2670" s="679"/>
    </row>
    <row r="2671" spans="32:32" x14ac:dyDescent="0.2">
      <c r="AF2671" s="679"/>
    </row>
    <row r="2672" spans="32:32" x14ac:dyDescent="0.2">
      <c r="AF2672" s="679"/>
    </row>
    <row r="2673" spans="32:32" x14ac:dyDescent="0.2">
      <c r="AF2673" s="679"/>
    </row>
    <row r="2674" spans="32:32" x14ac:dyDescent="0.2">
      <c r="AF2674" s="679"/>
    </row>
    <row r="2675" spans="32:32" x14ac:dyDescent="0.2">
      <c r="AF2675" s="679"/>
    </row>
    <row r="2676" spans="32:32" x14ac:dyDescent="0.2">
      <c r="AF2676" s="679"/>
    </row>
    <row r="2677" spans="32:32" x14ac:dyDescent="0.2">
      <c r="AF2677" s="679"/>
    </row>
    <row r="2678" spans="32:32" x14ac:dyDescent="0.2">
      <c r="AF2678" s="679"/>
    </row>
    <row r="2679" spans="32:32" x14ac:dyDescent="0.2">
      <c r="AF2679" s="679"/>
    </row>
    <row r="2680" spans="32:32" x14ac:dyDescent="0.2">
      <c r="AF2680" s="679"/>
    </row>
    <row r="2681" spans="32:32" x14ac:dyDescent="0.2">
      <c r="AF2681" s="679"/>
    </row>
    <row r="2682" spans="32:32" x14ac:dyDescent="0.2">
      <c r="AF2682" s="679"/>
    </row>
    <row r="2683" spans="32:32" x14ac:dyDescent="0.2">
      <c r="AF2683" s="679"/>
    </row>
    <row r="2684" spans="32:32" x14ac:dyDescent="0.2">
      <c r="AF2684" s="679"/>
    </row>
    <row r="2685" spans="32:32" x14ac:dyDescent="0.2">
      <c r="AF2685" s="679"/>
    </row>
    <row r="2686" spans="32:32" x14ac:dyDescent="0.2">
      <c r="AF2686" s="679"/>
    </row>
    <row r="2687" spans="32:32" x14ac:dyDescent="0.2">
      <c r="AF2687" s="679"/>
    </row>
    <row r="2688" spans="32:32" x14ac:dyDescent="0.2">
      <c r="AF2688" s="679"/>
    </row>
    <row r="2689" spans="32:32" x14ac:dyDescent="0.2">
      <c r="AF2689" s="679"/>
    </row>
    <row r="2690" spans="32:32" x14ac:dyDescent="0.2">
      <c r="AF2690" s="679"/>
    </row>
    <row r="2691" spans="32:32" x14ac:dyDescent="0.2">
      <c r="AF2691" s="679"/>
    </row>
    <row r="2692" spans="32:32" x14ac:dyDescent="0.2">
      <c r="AF2692" s="679"/>
    </row>
    <row r="2693" spans="32:32" x14ac:dyDescent="0.2">
      <c r="AF2693" s="679"/>
    </row>
    <row r="2694" spans="32:32" x14ac:dyDescent="0.2">
      <c r="AF2694" s="679"/>
    </row>
    <row r="2695" spans="32:32" x14ac:dyDescent="0.2">
      <c r="AF2695" s="679"/>
    </row>
    <row r="2696" spans="32:32" x14ac:dyDescent="0.2">
      <c r="AF2696" s="679"/>
    </row>
    <row r="2697" spans="32:32" x14ac:dyDescent="0.2">
      <c r="AF2697" s="679"/>
    </row>
    <row r="2698" spans="32:32" x14ac:dyDescent="0.2">
      <c r="AF2698" s="679"/>
    </row>
    <row r="2699" spans="32:32" x14ac:dyDescent="0.2">
      <c r="AF2699" s="679"/>
    </row>
    <row r="2700" spans="32:32" x14ac:dyDescent="0.2">
      <c r="AF2700" s="679"/>
    </row>
    <row r="2701" spans="32:32" x14ac:dyDescent="0.2">
      <c r="AF2701" s="679"/>
    </row>
    <row r="2702" spans="32:32" x14ac:dyDescent="0.2">
      <c r="AF2702" s="679"/>
    </row>
    <row r="2703" spans="32:32" x14ac:dyDescent="0.2">
      <c r="AF2703" s="679"/>
    </row>
    <row r="2704" spans="32:32" x14ac:dyDescent="0.2">
      <c r="AF2704" s="679"/>
    </row>
    <row r="2705" spans="32:32" x14ac:dyDescent="0.2">
      <c r="AF2705" s="679"/>
    </row>
    <row r="2706" spans="32:32" x14ac:dyDescent="0.2">
      <c r="AF2706" s="679"/>
    </row>
    <row r="2707" spans="32:32" x14ac:dyDescent="0.2">
      <c r="AF2707" s="679"/>
    </row>
    <row r="2708" spans="32:32" x14ac:dyDescent="0.2">
      <c r="AF2708" s="679"/>
    </row>
    <row r="2709" spans="32:32" x14ac:dyDescent="0.2">
      <c r="AF2709" s="679"/>
    </row>
    <row r="2710" spans="32:32" x14ac:dyDescent="0.2">
      <c r="AF2710" s="679"/>
    </row>
    <row r="2711" spans="32:32" x14ac:dyDescent="0.2">
      <c r="AF2711" s="679"/>
    </row>
    <row r="2712" spans="32:32" x14ac:dyDescent="0.2">
      <c r="AF2712" s="679"/>
    </row>
    <row r="2713" spans="32:32" x14ac:dyDescent="0.2">
      <c r="AF2713" s="679"/>
    </row>
    <row r="2714" spans="32:32" x14ac:dyDescent="0.2">
      <c r="AF2714" s="679"/>
    </row>
    <row r="2715" spans="32:32" x14ac:dyDescent="0.2">
      <c r="AF2715" s="679"/>
    </row>
    <row r="2716" spans="32:32" x14ac:dyDescent="0.2">
      <c r="AF2716" s="679"/>
    </row>
    <row r="2717" spans="32:32" x14ac:dyDescent="0.2">
      <c r="AF2717" s="679"/>
    </row>
    <row r="2718" spans="32:32" x14ac:dyDescent="0.2">
      <c r="AF2718" s="679"/>
    </row>
    <row r="2719" spans="32:32" x14ac:dyDescent="0.2">
      <c r="AF2719" s="679"/>
    </row>
    <row r="2720" spans="32:32" x14ac:dyDescent="0.2">
      <c r="AF2720" s="679"/>
    </row>
    <row r="2721" spans="32:32" x14ac:dyDescent="0.2">
      <c r="AF2721" s="679"/>
    </row>
    <row r="2722" spans="32:32" x14ac:dyDescent="0.2">
      <c r="AF2722" s="679"/>
    </row>
    <row r="2723" spans="32:32" x14ac:dyDescent="0.2">
      <c r="AF2723" s="679"/>
    </row>
    <row r="2724" spans="32:32" x14ac:dyDescent="0.2">
      <c r="AF2724" s="679"/>
    </row>
    <row r="2725" spans="32:32" x14ac:dyDescent="0.2">
      <c r="AF2725" s="679"/>
    </row>
    <row r="2726" spans="32:32" x14ac:dyDescent="0.2">
      <c r="AF2726" s="679"/>
    </row>
    <row r="2727" spans="32:32" x14ac:dyDescent="0.2">
      <c r="AF2727" s="679"/>
    </row>
    <row r="2728" spans="32:32" x14ac:dyDescent="0.2">
      <c r="AF2728" s="679"/>
    </row>
    <row r="2729" spans="32:32" x14ac:dyDescent="0.2">
      <c r="AF2729" s="679"/>
    </row>
    <row r="2730" spans="32:32" x14ac:dyDescent="0.2">
      <c r="AF2730" s="679"/>
    </row>
    <row r="2731" spans="32:32" x14ac:dyDescent="0.2">
      <c r="AF2731" s="679"/>
    </row>
    <row r="2732" spans="32:32" x14ac:dyDescent="0.2">
      <c r="AF2732" s="679"/>
    </row>
    <row r="2733" spans="32:32" x14ac:dyDescent="0.2">
      <c r="AF2733" s="679"/>
    </row>
    <row r="2734" spans="32:32" x14ac:dyDescent="0.2">
      <c r="AF2734" s="679"/>
    </row>
    <row r="2735" spans="32:32" x14ac:dyDescent="0.2">
      <c r="AF2735" s="679"/>
    </row>
    <row r="2736" spans="32:32" x14ac:dyDescent="0.2">
      <c r="AF2736" s="679"/>
    </row>
    <row r="2737" spans="32:32" x14ac:dyDescent="0.2">
      <c r="AF2737" s="679"/>
    </row>
    <row r="2738" spans="32:32" x14ac:dyDescent="0.2">
      <c r="AF2738" s="679"/>
    </row>
    <row r="2739" spans="32:32" x14ac:dyDescent="0.2">
      <c r="AF2739" s="679"/>
    </row>
    <row r="2740" spans="32:32" x14ac:dyDescent="0.2">
      <c r="AF2740" s="679"/>
    </row>
    <row r="2741" spans="32:32" x14ac:dyDescent="0.2">
      <c r="AF2741" s="679"/>
    </row>
    <row r="2742" spans="32:32" x14ac:dyDescent="0.2">
      <c r="AF2742" s="679"/>
    </row>
    <row r="2743" spans="32:32" x14ac:dyDescent="0.2">
      <c r="AF2743" s="679"/>
    </row>
    <row r="2744" spans="32:32" x14ac:dyDescent="0.2">
      <c r="AF2744" s="679"/>
    </row>
    <row r="2745" spans="32:32" x14ac:dyDescent="0.2">
      <c r="AF2745" s="679"/>
    </row>
    <row r="2746" spans="32:32" x14ac:dyDescent="0.2">
      <c r="AF2746" s="679"/>
    </row>
    <row r="2747" spans="32:32" x14ac:dyDescent="0.2">
      <c r="AF2747" s="679"/>
    </row>
    <row r="2748" spans="32:32" x14ac:dyDescent="0.2">
      <c r="AF2748" s="679"/>
    </row>
    <row r="2749" spans="32:32" x14ac:dyDescent="0.2">
      <c r="AF2749" s="679"/>
    </row>
    <row r="2750" spans="32:32" x14ac:dyDescent="0.2">
      <c r="AF2750" s="679"/>
    </row>
    <row r="2751" spans="32:32" x14ac:dyDescent="0.2">
      <c r="AF2751" s="679"/>
    </row>
    <row r="2752" spans="32:32" x14ac:dyDescent="0.2">
      <c r="AF2752" s="679"/>
    </row>
    <row r="2753" spans="32:32" x14ac:dyDescent="0.2">
      <c r="AF2753" s="679"/>
    </row>
    <row r="2754" spans="32:32" x14ac:dyDescent="0.2">
      <c r="AF2754" s="679"/>
    </row>
    <row r="2755" spans="32:32" x14ac:dyDescent="0.2">
      <c r="AF2755" s="679"/>
    </row>
    <row r="2756" spans="32:32" x14ac:dyDescent="0.2">
      <c r="AF2756" s="679"/>
    </row>
    <row r="2757" spans="32:32" x14ac:dyDescent="0.2">
      <c r="AF2757" s="679"/>
    </row>
    <row r="2758" spans="32:32" x14ac:dyDescent="0.2">
      <c r="AF2758" s="679"/>
    </row>
    <row r="2759" spans="32:32" x14ac:dyDescent="0.2">
      <c r="AF2759" s="679"/>
    </row>
    <row r="2760" spans="32:32" x14ac:dyDescent="0.2">
      <c r="AF2760" s="679"/>
    </row>
    <row r="2761" spans="32:32" x14ac:dyDescent="0.2">
      <c r="AF2761" s="679"/>
    </row>
    <row r="2762" spans="32:32" x14ac:dyDescent="0.2">
      <c r="AF2762" s="679"/>
    </row>
    <row r="2763" spans="32:32" x14ac:dyDescent="0.2">
      <c r="AF2763" s="679"/>
    </row>
    <row r="2764" spans="32:32" x14ac:dyDescent="0.2">
      <c r="AF2764" s="679"/>
    </row>
    <row r="2765" spans="32:32" x14ac:dyDescent="0.2">
      <c r="AF2765" s="679"/>
    </row>
    <row r="2766" spans="32:32" x14ac:dyDescent="0.2">
      <c r="AF2766" s="679"/>
    </row>
    <row r="2767" spans="32:32" x14ac:dyDescent="0.2">
      <c r="AF2767" s="679"/>
    </row>
    <row r="2768" spans="32:32" x14ac:dyDescent="0.2">
      <c r="AF2768" s="679"/>
    </row>
    <row r="2769" spans="32:32" x14ac:dyDescent="0.2">
      <c r="AF2769" s="679"/>
    </row>
    <row r="2770" spans="32:32" x14ac:dyDescent="0.2">
      <c r="AF2770" s="679"/>
    </row>
    <row r="2771" spans="32:32" x14ac:dyDescent="0.2">
      <c r="AF2771" s="679"/>
    </row>
    <row r="2772" spans="32:32" x14ac:dyDescent="0.2">
      <c r="AF2772" s="679"/>
    </row>
    <row r="2773" spans="32:32" x14ac:dyDescent="0.2">
      <c r="AF2773" s="679"/>
    </row>
    <row r="2774" spans="32:32" x14ac:dyDescent="0.2">
      <c r="AF2774" s="679"/>
    </row>
    <row r="2775" spans="32:32" x14ac:dyDescent="0.2">
      <c r="AF2775" s="679"/>
    </row>
    <row r="2776" spans="32:32" x14ac:dyDescent="0.2">
      <c r="AF2776" s="679"/>
    </row>
    <row r="2777" spans="32:32" x14ac:dyDescent="0.2">
      <c r="AF2777" s="679"/>
    </row>
    <row r="2778" spans="32:32" x14ac:dyDescent="0.2">
      <c r="AF2778" s="679"/>
    </row>
    <row r="2779" spans="32:32" x14ac:dyDescent="0.2">
      <c r="AF2779" s="679"/>
    </row>
    <row r="2780" spans="32:32" x14ac:dyDescent="0.2">
      <c r="AF2780" s="679"/>
    </row>
    <row r="2781" spans="32:32" x14ac:dyDescent="0.2">
      <c r="AF2781" s="679"/>
    </row>
    <row r="2782" spans="32:32" x14ac:dyDescent="0.2">
      <c r="AF2782" s="679"/>
    </row>
    <row r="2783" spans="32:32" x14ac:dyDescent="0.2">
      <c r="AF2783" s="679"/>
    </row>
    <row r="2784" spans="32:32" x14ac:dyDescent="0.2">
      <c r="AF2784" s="679"/>
    </row>
    <row r="2785" spans="32:32" x14ac:dyDescent="0.2">
      <c r="AF2785" s="679"/>
    </row>
    <row r="2786" spans="32:32" x14ac:dyDescent="0.2">
      <c r="AF2786" s="679"/>
    </row>
    <row r="2787" spans="32:32" x14ac:dyDescent="0.2">
      <c r="AF2787" s="679"/>
    </row>
    <row r="2788" spans="32:32" x14ac:dyDescent="0.2">
      <c r="AF2788" s="679"/>
    </row>
    <row r="2789" spans="32:32" x14ac:dyDescent="0.2">
      <c r="AF2789" s="679"/>
    </row>
    <row r="2790" spans="32:32" x14ac:dyDescent="0.2">
      <c r="AF2790" s="679"/>
    </row>
    <row r="2791" spans="32:32" x14ac:dyDescent="0.2">
      <c r="AF2791" s="679"/>
    </row>
    <row r="2792" spans="32:32" x14ac:dyDescent="0.2">
      <c r="AF2792" s="679"/>
    </row>
    <row r="2793" spans="32:32" x14ac:dyDescent="0.2">
      <c r="AF2793" s="679"/>
    </row>
    <row r="2794" spans="32:32" x14ac:dyDescent="0.2">
      <c r="AF2794" s="679"/>
    </row>
    <row r="2795" spans="32:32" x14ac:dyDescent="0.2">
      <c r="AF2795" s="679"/>
    </row>
    <row r="2796" spans="32:32" x14ac:dyDescent="0.2">
      <c r="AF2796" s="679"/>
    </row>
    <row r="2797" spans="32:32" x14ac:dyDescent="0.2">
      <c r="AF2797" s="679"/>
    </row>
    <row r="2798" spans="32:32" x14ac:dyDescent="0.2">
      <c r="AF2798" s="679"/>
    </row>
    <row r="2799" spans="32:32" x14ac:dyDescent="0.2">
      <c r="AF2799" s="679"/>
    </row>
    <row r="2800" spans="32:32" x14ac:dyDescent="0.2">
      <c r="AF2800" s="679"/>
    </row>
    <row r="2801" spans="32:32" x14ac:dyDescent="0.2">
      <c r="AF2801" s="679"/>
    </row>
    <row r="2802" spans="32:32" x14ac:dyDescent="0.2">
      <c r="AF2802" s="679"/>
    </row>
    <row r="2803" spans="32:32" x14ac:dyDescent="0.2">
      <c r="AF2803" s="679"/>
    </row>
    <row r="2804" spans="32:32" x14ac:dyDescent="0.2">
      <c r="AF2804" s="679"/>
    </row>
    <row r="2805" spans="32:32" x14ac:dyDescent="0.2">
      <c r="AF2805" s="679"/>
    </row>
    <row r="2806" spans="32:32" x14ac:dyDescent="0.2">
      <c r="AF2806" s="679"/>
    </row>
    <row r="2807" spans="32:32" x14ac:dyDescent="0.2">
      <c r="AF2807" s="679"/>
    </row>
    <row r="2808" spans="32:32" x14ac:dyDescent="0.2">
      <c r="AF2808" s="679"/>
    </row>
    <row r="2809" spans="32:32" x14ac:dyDescent="0.2">
      <c r="AF2809" s="679"/>
    </row>
    <row r="2810" spans="32:32" x14ac:dyDescent="0.2">
      <c r="AF2810" s="679"/>
    </row>
    <row r="2811" spans="32:32" x14ac:dyDescent="0.2">
      <c r="AF2811" s="679"/>
    </row>
    <row r="2812" spans="32:32" x14ac:dyDescent="0.2">
      <c r="AF2812" s="679"/>
    </row>
    <row r="2813" spans="32:32" x14ac:dyDescent="0.2">
      <c r="AF2813" s="679"/>
    </row>
    <row r="2814" spans="32:32" x14ac:dyDescent="0.2">
      <c r="AF2814" s="679"/>
    </row>
    <row r="2815" spans="32:32" x14ac:dyDescent="0.2">
      <c r="AF2815" s="679"/>
    </row>
    <row r="2816" spans="32:32" x14ac:dyDescent="0.2">
      <c r="AF2816" s="679"/>
    </row>
    <row r="2817" spans="32:32" x14ac:dyDescent="0.2">
      <c r="AF2817" s="679"/>
    </row>
    <row r="2818" spans="32:32" x14ac:dyDescent="0.2">
      <c r="AF2818" s="679"/>
    </row>
    <row r="2819" spans="32:32" x14ac:dyDescent="0.2">
      <c r="AF2819" s="679"/>
    </row>
    <row r="2820" spans="32:32" x14ac:dyDescent="0.2">
      <c r="AF2820" s="679"/>
    </row>
    <row r="2821" spans="32:32" x14ac:dyDescent="0.2">
      <c r="AF2821" s="679"/>
    </row>
    <row r="2822" spans="32:32" x14ac:dyDescent="0.2">
      <c r="AF2822" s="679"/>
    </row>
    <row r="2823" spans="32:32" x14ac:dyDescent="0.2">
      <c r="AF2823" s="679"/>
    </row>
    <row r="2824" spans="32:32" x14ac:dyDescent="0.2">
      <c r="AF2824" s="679"/>
    </row>
    <row r="2825" spans="32:32" x14ac:dyDescent="0.2">
      <c r="AF2825" s="679"/>
    </row>
    <row r="2826" spans="32:32" x14ac:dyDescent="0.2">
      <c r="AF2826" s="679"/>
    </row>
    <row r="2827" spans="32:32" x14ac:dyDescent="0.2">
      <c r="AF2827" s="679"/>
    </row>
    <row r="2828" spans="32:32" x14ac:dyDescent="0.2">
      <c r="AF2828" s="679"/>
    </row>
    <row r="2829" spans="32:32" x14ac:dyDescent="0.2">
      <c r="AF2829" s="679"/>
    </row>
    <row r="2830" spans="32:32" x14ac:dyDescent="0.2">
      <c r="AF2830" s="679"/>
    </row>
    <row r="2831" spans="32:32" x14ac:dyDescent="0.2">
      <c r="AF2831" s="679"/>
    </row>
    <row r="2832" spans="32:32" x14ac:dyDescent="0.2">
      <c r="AF2832" s="679"/>
    </row>
    <row r="2833" spans="32:32" x14ac:dyDescent="0.2">
      <c r="AF2833" s="679"/>
    </row>
    <row r="2834" spans="32:32" x14ac:dyDescent="0.2">
      <c r="AF2834" s="679"/>
    </row>
    <row r="2835" spans="32:32" x14ac:dyDescent="0.2">
      <c r="AF2835" s="679"/>
    </row>
    <row r="2836" spans="32:32" x14ac:dyDescent="0.2">
      <c r="AF2836" s="679"/>
    </row>
    <row r="2837" spans="32:32" x14ac:dyDescent="0.2">
      <c r="AF2837" s="679"/>
    </row>
    <row r="2838" spans="32:32" x14ac:dyDescent="0.2">
      <c r="AF2838" s="679"/>
    </row>
    <row r="2839" spans="32:32" x14ac:dyDescent="0.2">
      <c r="AF2839" s="679"/>
    </row>
    <row r="2840" spans="32:32" x14ac:dyDescent="0.2">
      <c r="AF2840" s="679"/>
    </row>
    <row r="2841" spans="32:32" x14ac:dyDescent="0.2">
      <c r="AF2841" s="679"/>
    </row>
    <row r="2842" spans="32:32" x14ac:dyDescent="0.2">
      <c r="AF2842" s="679"/>
    </row>
    <row r="2843" spans="32:32" x14ac:dyDescent="0.2">
      <c r="AF2843" s="679"/>
    </row>
    <row r="2844" spans="32:32" x14ac:dyDescent="0.2">
      <c r="AF2844" s="679"/>
    </row>
    <row r="2845" spans="32:32" x14ac:dyDescent="0.2">
      <c r="AF2845" s="679"/>
    </row>
    <row r="2846" spans="32:32" x14ac:dyDescent="0.2">
      <c r="AF2846" s="679"/>
    </row>
    <row r="2847" spans="32:32" x14ac:dyDescent="0.2">
      <c r="AF2847" s="679"/>
    </row>
    <row r="2848" spans="32:32" x14ac:dyDescent="0.2">
      <c r="AF2848" s="679"/>
    </row>
    <row r="2849" spans="32:32" x14ac:dyDescent="0.2">
      <c r="AF2849" s="679"/>
    </row>
    <row r="2850" spans="32:32" x14ac:dyDescent="0.2">
      <c r="AF2850" s="679"/>
    </row>
    <row r="2851" spans="32:32" x14ac:dyDescent="0.2">
      <c r="AF2851" s="679"/>
    </row>
    <row r="2852" spans="32:32" x14ac:dyDescent="0.2">
      <c r="AF2852" s="679"/>
    </row>
    <row r="2853" spans="32:32" x14ac:dyDescent="0.2">
      <c r="AF2853" s="679"/>
    </row>
    <row r="2854" spans="32:32" x14ac:dyDescent="0.2">
      <c r="AF2854" s="679"/>
    </row>
    <row r="2855" spans="32:32" x14ac:dyDescent="0.2">
      <c r="AF2855" s="679"/>
    </row>
    <row r="2856" spans="32:32" x14ac:dyDescent="0.2">
      <c r="AF2856" s="679"/>
    </row>
    <row r="2857" spans="32:32" x14ac:dyDescent="0.2">
      <c r="AF2857" s="679"/>
    </row>
    <row r="2858" spans="32:32" x14ac:dyDescent="0.2">
      <c r="AF2858" s="679"/>
    </row>
    <row r="2859" spans="32:32" x14ac:dyDescent="0.2">
      <c r="AF2859" s="679"/>
    </row>
    <row r="2860" spans="32:32" x14ac:dyDescent="0.2">
      <c r="AF2860" s="679"/>
    </row>
    <row r="2861" spans="32:32" x14ac:dyDescent="0.2">
      <c r="AF2861" s="679"/>
    </row>
    <row r="2862" spans="32:32" x14ac:dyDescent="0.2">
      <c r="AF2862" s="679"/>
    </row>
    <row r="2863" spans="32:32" x14ac:dyDescent="0.2">
      <c r="AF2863" s="679"/>
    </row>
    <row r="2864" spans="32:32" x14ac:dyDescent="0.2">
      <c r="AF2864" s="679"/>
    </row>
    <row r="2865" spans="32:32" x14ac:dyDescent="0.2">
      <c r="AF2865" s="679"/>
    </row>
    <row r="2866" spans="32:32" x14ac:dyDescent="0.2">
      <c r="AF2866" s="679"/>
    </row>
    <row r="2867" spans="32:32" x14ac:dyDescent="0.2">
      <c r="AF2867" s="679"/>
    </row>
    <row r="2868" spans="32:32" x14ac:dyDescent="0.2">
      <c r="AF2868" s="679"/>
    </row>
    <row r="2869" spans="32:32" x14ac:dyDescent="0.2">
      <c r="AF2869" s="679"/>
    </row>
    <row r="2870" spans="32:32" x14ac:dyDescent="0.2">
      <c r="AF2870" s="679"/>
    </row>
    <row r="2871" spans="32:32" x14ac:dyDescent="0.2">
      <c r="AF2871" s="679"/>
    </row>
    <row r="2872" spans="32:32" x14ac:dyDescent="0.2">
      <c r="AF2872" s="679"/>
    </row>
    <row r="2873" spans="32:32" x14ac:dyDescent="0.2">
      <c r="AF2873" s="679"/>
    </row>
    <row r="2874" spans="32:32" x14ac:dyDescent="0.2">
      <c r="AF2874" s="679"/>
    </row>
    <row r="2875" spans="32:32" x14ac:dyDescent="0.2">
      <c r="AF2875" s="679"/>
    </row>
    <row r="2876" spans="32:32" x14ac:dyDescent="0.2">
      <c r="AF2876" s="679"/>
    </row>
    <row r="2877" spans="32:32" x14ac:dyDescent="0.2">
      <c r="AF2877" s="679"/>
    </row>
    <row r="2878" spans="32:32" x14ac:dyDescent="0.2">
      <c r="AF2878" s="679"/>
    </row>
    <row r="2879" spans="32:32" x14ac:dyDescent="0.2">
      <c r="AF2879" s="679"/>
    </row>
    <row r="2880" spans="32:32" x14ac:dyDescent="0.2">
      <c r="AF2880" s="679"/>
    </row>
    <row r="2881" spans="32:32" x14ac:dyDescent="0.2">
      <c r="AF2881" s="679"/>
    </row>
    <row r="2882" spans="32:32" x14ac:dyDescent="0.2">
      <c r="AF2882" s="679"/>
    </row>
    <row r="2883" spans="32:32" x14ac:dyDescent="0.2">
      <c r="AF2883" s="679"/>
    </row>
    <row r="2884" spans="32:32" x14ac:dyDescent="0.2">
      <c r="AF2884" s="679"/>
    </row>
    <row r="2885" spans="32:32" x14ac:dyDescent="0.2">
      <c r="AF2885" s="679"/>
    </row>
    <row r="2886" spans="32:32" x14ac:dyDescent="0.2">
      <c r="AF2886" s="679"/>
    </row>
    <row r="2887" spans="32:32" x14ac:dyDescent="0.2">
      <c r="AF2887" s="679"/>
    </row>
    <row r="2888" spans="32:32" x14ac:dyDescent="0.2">
      <c r="AF2888" s="679"/>
    </row>
    <row r="2889" spans="32:32" x14ac:dyDescent="0.2">
      <c r="AF2889" s="679"/>
    </row>
    <row r="2890" spans="32:32" x14ac:dyDescent="0.2">
      <c r="AF2890" s="679"/>
    </row>
    <row r="2891" spans="32:32" x14ac:dyDescent="0.2">
      <c r="AF2891" s="679"/>
    </row>
    <row r="2892" spans="32:32" x14ac:dyDescent="0.2">
      <c r="AF2892" s="679"/>
    </row>
    <row r="2893" spans="32:32" x14ac:dyDescent="0.2">
      <c r="AF2893" s="679"/>
    </row>
    <row r="2894" spans="32:32" x14ac:dyDescent="0.2">
      <c r="AF2894" s="679"/>
    </row>
    <row r="2895" spans="32:32" x14ac:dyDescent="0.2">
      <c r="AF2895" s="679"/>
    </row>
    <row r="2896" spans="32:32" x14ac:dyDescent="0.2">
      <c r="AF2896" s="679"/>
    </row>
    <row r="2897" spans="32:32" x14ac:dyDescent="0.2">
      <c r="AF2897" s="679"/>
    </row>
    <row r="2898" spans="32:32" x14ac:dyDescent="0.2">
      <c r="AF2898" s="679"/>
    </row>
    <row r="2899" spans="32:32" x14ac:dyDescent="0.2">
      <c r="AF2899" s="679"/>
    </row>
    <row r="2900" spans="32:32" x14ac:dyDescent="0.2">
      <c r="AF2900" s="679"/>
    </row>
    <row r="2901" spans="32:32" x14ac:dyDescent="0.2">
      <c r="AF2901" s="679"/>
    </row>
    <row r="2902" spans="32:32" x14ac:dyDescent="0.2">
      <c r="AF2902" s="679"/>
    </row>
    <row r="2903" spans="32:32" x14ac:dyDescent="0.2">
      <c r="AF2903" s="679"/>
    </row>
    <row r="2904" spans="32:32" x14ac:dyDescent="0.2">
      <c r="AF2904" s="679"/>
    </row>
    <row r="2905" spans="32:32" x14ac:dyDescent="0.2">
      <c r="AF2905" s="679"/>
    </row>
    <row r="2906" spans="32:32" x14ac:dyDescent="0.2">
      <c r="AF2906" s="679"/>
    </row>
    <row r="2907" spans="32:32" x14ac:dyDescent="0.2">
      <c r="AF2907" s="679"/>
    </row>
    <row r="2908" spans="32:32" x14ac:dyDescent="0.2">
      <c r="AF2908" s="679"/>
    </row>
    <row r="2909" spans="32:32" x14ac:dyDescent="0.2">
      <c r="AF2909" s="679"/>
    </row>
    <row r="2910" spans="32:32" x14ac:dyDescent="0.2">
      <c r="AF2910" s="679"/>
    </row>
    <row r="2911" spans="32:32" x14ac:dyDescent="0.2">
      <c r="AF2911" s="679"/>
    </row>
    <row r="2912" spans="32:32" x14ac:dyDescent="0.2">
      <c r="AF2912" s="679"/>
    </row>
    <row r="2913" spans="32:32" x14ac:dyDescent="0.2">
      <c r="AF2913" s="679"/>
    </row>
    <row r="2914" spans="32:32" x14ac:dyDescent="0.2">
      <c r="AF2914" s="679"/>
    </row>
    <row r="2915" spans="32:32" x14ac:dyDescent="0.2">
      <c r="AF2915" s="679"/>
    </row>
    <row r="2916" spans="32:32" x14ac:dyDescent="0.2">
      <c r="AF2916" s="679"/>
    </row>
    <row r="2917" spans="32:32" x14ac:dyDescent="0.2">
      <c r="AF2917" s="679"/>
    </row>
    <row r="2918" spans="32:32" x14ac:dyDescent="0.2">
      <c r="AF2918" s="679"/>
    </row>
    <row r="2919" spans="32:32" x14ac:dyDescent="0.2">
      <c r="AF2919" s="679"/>
    </row>
    <row r="2920" spans="32:32" x14ac:dyDescent="0.2">
      <c r="AF2920" s="679"/>
    </row>
    <row r="2921" spans="32:32" x14ac:dyDescent="0.2">
      <c r="AF2921" s="679"/>
    </row>
    <row r="2922" spans="32:32" x14ac:dyDescent="0.2">
      <c r="AF2922" s="679"/>
    </row>
    <row r="2923" spans="32:32" x14ac:dyDescent="0.2">
      <c r="AF2923" s="679"/>
    </row>
    <row r="2924" spans="32:32" x14ac:dyDescent="0.2">
      <c r="AF2924" s="679"/>
    </row>
    <row r="2925" spans="32:32" x14ac:dyDescent="0.2">
      <c r="AF2925" s="679"/>
    </row>
    <row r="2926" spans="32:32" x14ac:dyDescent="0.2">
      <c r="AF2926" s="679"/>
    </row>
    <row r="2927" spans="32:32" x14ac:dyDescent="0.2">
      <c r="AF2927" s="679"/>
    </row>
    <row r="2928" spans="32:32" x14ac:dyDescent="0.2">
      <c r="AF2928" s="679"/>
    </row>
    <row r="2929" spans="32:32" x14ac:dyDescent="0.2">
      <c r="AF2929" s="679"/>
    </row>
    <row r="2930" spans="32:32" x14ac:dyDescent="0.2">
      <c r="AF2930" s="679"/>
    </row>
    <row r="2931" spans="32:32" x14ac:dyDescent="0.2">
      <c r="AF2931" s="679"/>
    </row>
    <row r="2932" spans="32:32" x14ac:dyDescent="0.2">
      <c r="AF2932" s="679"/>
    </row>
    <row r="2933" spans="32:32" x14ac:dyDescent="0.2">
      <c r="AF2933" s="679"/>
    </row>
    <row r="2934" spans="32:32" x14ac:dyDescent="0.2">
      <c r="AF2934" s="679"/>
    </row>
    <row r="2935" spans="32:32" x14ac:dyDescent="0.2">
      <c r="AF2935" s="679"/>
    </row>
    <row r="2936" spans="32:32" x14ac:dyDescent="0.2">
      <c r="AF2936" s="679"/>
    </row>
    <row r="2937" spans="32:32" x14ac:dyDescent="0.2">
      <c r="AF2937" s="679"/>
    </row>
    <row r="2938" spans="32:32" x14ac:dyDescent="0.2">
      <c r="AF2938" s="679"/>
    </row>
    <row r="2939" spans="32:32" x14ac:dyDescent="0.2">
      <c r="AF2939" s="679"/>
    </row>
    <row r="2940" spans="32:32" x14ac:dyDescent="0.2">
      <c r="AF2940" s="679"/>
    </row>
    <row r="2941" spans="32:32" x14ac:dyDescent="0.2">
      <c r="AF2941" s="679"/>
    </row>
    <row r="2942" spans="32:32" x14ac:dyDescent="0.2">
      <c r="AF2942" s="679"/>
    </row>
    <row r="2943" spans="32:32" x14ac:dyDescent="0.2">
      <c r="AF2943" s="679"/>
    </row>
    <row r="2944" spans="32:32" x14ac:dyDescent="0.2">
      <c r="AF2944" s="679"/>
    </row>
    <row r="2945" spans="32:32" x14ac:dyDescent="0.2">
      <c r="AF2945" s="679"/>
    </row>
    <row r="2946" spans="32:32" x14ac:dyDescent="0.2">
      <c r="AF2946" s="679"/>
    </row>
    <row r="2947" spans="32:32" x14ac:dyDescent="0.2">
      <c r="AF2947" s="679"/>
    </row>
    <row r="2948" spans="32:32" x14ac:dyDescent="0.2">
      <c r="AF2948" s="679"/>
    </row>
    <row r="2949" spans="32:32" x14ac:dyDescent="0.2">
      <c r="AF2949" s="679"/>
    </row>
    <row r="2950" spans="32:32" x14ac:dyDescent="0.2">
      <c r="AF2950" s="679"/>
    </row>
    <row r="2951" spans="32:32" x14ac:dyDescent="0.2">
      <c r="AF2951" s="679"/>
    </row>
    <row r="2952" spans="32:32" x14ac:dyDescent="0.2">
      <c r="AF2952" s="679"/>
    </row>
    <row r="2953" spans="32:32" x14ac:dyDescent="0.2">
      <c r="AF2953" s="679"/>
    </row>
    <row r="2954" spans="32:32" x14ac:dyDescent="0.2">
      <c r="AF2954" s="679"/>
    </row>
    <row r="2955" spans="32:32" x14ac:dyDescent="0.2">
      <c r="AF2955" s="679"/>
    </row>
    <row r="2956" spans="32:32" x14ac:dyDescent="0.2">
      <c r="AF2956" s="679"/>
    </row>
    <row r="2957" spans="32:32" x14ac:dyDescent="0.2">
      <c r="AF2957" s="679"/>
    </row>
    <row r="2958" spans="32:32" x14ac:dyDescent="0.2">
      <c r="AF2958" s="679"/>
    </row>
    <row r="2959" spans="32:32" x14ac:dyDescent="0.2">
      <c r="AF2959" s="679"/>
    </row>
    <row r="2960" spans="32:32" x14ac:dyDescent="0.2">
      <c r="AF2960" s="679"/>
    </row>
    <row r="2961" spans="32:32" x14ac:dyDescent="0.2">
      <c r="AF2961" s="679"/>
    </row>
    <row r="2962" spans="32:32" x14ac:dyDescent="0.2">
      <c r="AF2962" s="679"/>
    </row>
    <row r="2963" spans="32:32" x14ac:dyDescent="0.2">
      <c r="AF2963" s="679"/>
    </row>
    <row r="2964" spans="32:32" x14ac:dyDescent="0.2">
      <c r="AF2964" s="679"/>
    </row>
    <row r="2965" spans="32:32" x14ac:dyDescent="0.2">
      <c r="AF2965" s="679"/>
    </row>
    <row r="2966" spans="32:32" x14ac:dyDescent="0.2">
      <c r="AF2966" s="679"/>
    </row>
    <row r="2967" spans="32:32" x14ac:dyDescent="0.2">
      <c r="AF2967" s="679"/>
    </row>
    <row r="2968" spans="32:32" x14ac:dyDescent="0.2">
      <c r="AF2968" s="679"/>
    </row>
    <row r="2969" spans="32:32" x14ac:dyDescent="0.2">
      <c r="AF2969" s="679"/>
    </row>
    <row r="2970" spans="32:32" x14ac:dyDescent="0.2">
      <c r="AF2970" s="679"/>
    </row>
    <row r="2971" spans="32:32" x14ac:dyDescent="0.2">
      <c r="AF2971" s="679"/>
    </row>
    <row r="2972" spans="32:32" x14ac:dyDescent="0.2">
      <c r="AF2972" s="679"/>
    </row>
    <row r="2973" spans="32:32" x14ac:dyDescent="0.2">
      <c r="AF2973" s="679"/>
    </row>
    <row r="2974" spans="32:32" x14ac:dyDescent="0.2">
      <c r="AF2974" s="679"/>
    </row>
    <row r="2975" spans="32:32" x14ac:dyDescent="0.2">
      <c r="AF2975" s="679"/>
    </row>
    <row r="2976" spans="32:32" x14ac:dyDescent="0.2">
      <c r="AF2976" s="679"/>
    </row>
    <row r="2977" spans="32:32" x14ac:dyDescent="0.2">
      <c r="AF2977" s="679"/>
    </row>
    <row r="2978" spans="32:32" x14ac:dyDescent="0.2">
      <c r="AF2978" s="679"/>
    </row>
    <row r="2979" spans="32:32" x14ac:dyDescent="0.2">
      <c r="AF2979" s="679"/>
    </row>
    <row r="2980" spans="32:32" x14ac:dyDescent="0.2">
      <c r="AF2980" s="679"/>
    </row>
    <row r="2981" spans="32:32" x14ac:dyDescent="0.2">
      <c r="AF2981" s="679"/>
    </row>
    <row r="2982" spans="32:32" x14ac:dyDescent="0.2">
      <c r="AF2982" s="679"/>
    </row>
    <row r="2983" spans="32:32" x14ac:dyDescent="0.2">
      <c r="AF2983" s="679"/>
    </row>
    <row r="2984" spans="32:32" x14ac:dyDescent="0.2">
      <c r="AF2984" s="679"/>
    </row>
    <row r="2985" spans="32:32" x14ac:dyDescent="0.2">
      <c r="AF2985" s="679"/>
    </row>
    <row r="2986" spans="32:32" x14ac:dyDescent="0.2">
      <c r="AF2986" s="679"/>
    </row>
    <row r="2987" spans="32:32" x14ac:dyDescent="0.2">
      <c r="AF2987" s="679"/>
    </row>
    <row r="2988" spans="32:32" x14ac:dyDescent="0.2">
      <c r="AF2988" s="679"/>
    </row>
    <row r="2989" spans="32:32" x14ac:dyDescent="0.2">
      <c r="AF2989" s="679"/>
    </row>
    <row r="2990" spans="32:32" x14ac:dyDescent="0.2">
      <c r="AF2990" s="679"/>
    </row>
    <row r="2991" spans="32:32" x14ac:dyDescent="0.2">
      <c r="AF2991" s="679"/>
    </row>
    <row r="2992" spans="32:32" x14ac:dyDescent="0.2">
      <c r="AF2992" s="679"/>
    </row>
    <row r="2993" spans="32:32" x14ac:dyDescent="0.2">
      <c r="AF2993" s="679"/>
    </row>
    <row r="2994" spans="32:32" x14ac:dyDescent="0.2">
      <c r="AF2994" s="679"/>
    </row>
    <row r="2995" spans="32:32" x14ac:dyDescent="0.2">
      <c r="AF2995" s="679"/>
    </row>
    <row r="2996" spans="32:32" x14ac:dyDescent="0.2">
      <c r="AF2996" s="679"/>
    </row>
    <row r="2997" spans="32:32" x14ac:dyDescent="0.2">
      <c r="AF2997" s="679"/>
    </row>
    <row r="2998" spans="32:32" x14ac:dyDescent="0.2">
      <c r="AF2998" s="679"/>
    </row>
    <row r="2999" spans="32:32" x14ac:dyDescent="0.2">
      <c r="AF2999" s="679"/>
    </row>
    <row r="3000" spans="32:32" x14ac:dyDescent="0.2">
      <c r="AF3000" s="679"/>
    </row>
    <row r="3001" spans="32:32" x14ac:dyDescent="0.2">
      <c r="AF3001" s="679"/>
    </row>
    <row r="3002" spans="32:32" x14ac:dyDescent="0.2">
      <c r="AF3002" s="679"/>
    </row>
    <row r="3003" spans="32:32" x14ac:dyDescent="0.2">
      <c r="AF3003" s="679"/>
    </row>
    <row r="3004" spans="32:32" x14ac:dyDescent="0.2">
      <c r="AF3004" s="679"/>
    </row>
    <row r="3005" spans="32:32" x14ac:dyDescent="0.2">
      <c r="AF3005" s="679"/>
    </row>
    <row r="3006" spans="32:32" x14ac:dyDescent="0.2">
      <c r="AF3006" s="679"/>
    </row>
    <row r="3007" spans="32:32" x14ac:dyDescent="0.2">
      <c r="AF3007" s="679"/>
    </row>
    <row r="3008" spans="32:32" x14ac:dyDescent="0.2">
      <c r="AF3008" s="679"/>
    </row>
    <row r="3009" spans="32:32" x14ac:dyDescent="0.2">
      <c r="AF3009" s="679"/>
    </row>
    <row r="3010" spans="32:32" x14ac:dyDescent="0.2">
      <c r="AF3010" s="679"/>
    </row>
    <row r="3011" spans="32:32" x14ac:dyDescent="0.2">
      <c r="AF3011" s="679"/>
    </row>
    <row r="3012" spans="32:32" x14ac:dyDescent="0.2">
      <c r="AF3012" s="679"/>
    </row>
    <row r="3013" spans="32:32" x14ac:dyDescent="0.2">
      <c r="AF3013" s="679"/>
    </row>
    <row r="3014" spans="32:32" x14ac:dyDescent="0.2">
      <c r="AF3014" s="679"/>
    </row>
    <row r="3015" spans="32:32" x14ac:dyDescent="0.2">
      <c r="AF3015" s="679"/>
    </row>
    <row r="3016" spans="32:32" x14ac:dyDescent="0.2">
      <c r="AF3016" s="679"/>
    </row>
    <row r="3017" spans="32:32" x14ac:dyDescent="0.2">
      <c r="AF3017" s="679"/>
    </row>
    <row r="3018" spans="32:32" x14ac:dyDescent="0.2">
      <c r="AF3018" s="679"/>
    </row>
    <row r="3019" spans="32:32" x14ac:dyDescent="0.2">
      <c r="AF3019" s="679"/>
    </row>
    <row r="3020" spans="32:32" x14ac:dyDescent="0.2">
      <c r="AF3020" s="679"/>
    </row>
    <row r="3021" spans="32:32" x14ac:dyDescent="0.2">
      <c r="AF3021" s="679"/>
    </row>
    <row r="3022" spans="32:32" x14ac:dyDescent="0.2">
      <c r="AF3022" s="679"/>
    </row>
    <row r="3023" spans="32:32" x14ac:dyDescent="0.2">
      <c r="AF3023" s="679"/>
    </row>
    <row r="3024" spans="32:32" x14ac:dyDescent="0.2">
      <c r="AF3024" s="679"/>
    </row>
    <row r="3025" spans="32:32" x14ac:dyDescent="0.2">
      <c r="AF3025" s="679"/>
    </row>
    <row r="3026" spans="32:32" x14ac:dyDescent="0.2">
      <c r="AF3026" s="679"/>
    </row>
    <row r="3027" spans="32:32" x14ac:dyDescent="0.2">
      <c r="AF3027" s="679"/>
    </row>
    <row r="3028" spans="32:32" x14ac:dyDescent="0.2">
      <c r="AF3028" s="679"/>
    </row>
    <row r="3029" spans="32:32" x14ac:dyDescent="0.2">
      <c r="AF3029" s="679"/>
    </row>
    <row r="3030" spans="32:32" x14ac:dyDescent="0.2">
      <c r="AF3030" s="679"/>
    </row>
    <row r="3031" spans="32:32" x14ac:dyDescent="0.2">
      <c r="AF3031" s="679"/>
    </row>
    <row r="3032" spans="32:32" x14ac:dyDescent="0.2">
      <c r="AF3032" s="679"/>
    </row>
    <row r="3033" spans="32:32" x14ac:dyDescent="0.2">
      <c r="AF3033" s="679"/>
    </row>
    <row r="3034" spans="32:32" x14ac:dyDescent="0.2">
      <c r="AF3034" s="679"/>
    </row>
    <row r="3035" spans="32:32" x14ac:dyDescent="0.2">
      <c r="AF3035" s="679"/>
    </row>
    <row r="3036" spans="32:32" x14ac:dyDescent="0.2">
      <c r="AF3036" s="679"/>
    </row>
    <row r="3037" spans="32:32" x14ac:dyDescent="0.2">
      <c r="AF3037" s="679"/>
    </row>
    <row r="3038" spans="32:32" x14ac:dyDescent="0.2">
      <c r="AF3038" s="679"/>
    </row>
    <row r="3039" spans="32:32" x14ac:dyDescent="0.2">
      <c r="AF3039" s="679"/>
    </row>
    <row r="3040" spans="32:32" x14ac:dyDescent="0.2">
      <c r="AF3040" s="679"/>
    </row>
    <row r="3041" spans="32:32" x14ac:dyDescent="0.2">
      <c r="AF3041" s="679"/>
    </row>
    <row r="3042" spans="32:32" x14ac:dyDescent="0.2">
      <c r="AF3042" s="679"/>
    </row>
    <row r="3043" spans="32:32" x14ac:dyDescent="0.2">
      <c r="AF3043" s="679"/>
    </row>
    <row r="3044" spans="32:32" x14ac:dyDescent="0.2">
      <c r="AF3044" s="679"/>
    </row>
    <row r="3045" spans="32:32" x14ac:dyDescent="0.2">
      <c r="AF3045" s="679"/>
    </row>
    <row r="3046" spans="32:32" x14ac:dyDescent="0.2">
      <c r="AF3046" s="679"/>
    </row>
    <row r="3047" spans="32:32" x14ac:dyDescent="0.2">
      <c r="AF3047" s="679"/>
    </row>
    <row r="3048" spans="32:32" x14ac:dyDescent="0.2">
      <c r="AF3048" s="679"/>
    </row>
    <row r="3049" spans="32:32" x14ac:dyDescent="0.2">
      <c r="AF3049" s="679"/>
    </row>
    <row r="3050" spans="32:32" x14ac:dyDescent="0.2">
      <c r="AF3050" s="679"/>
    </row>
    <row r="3051" spans="32:32" x14ac:dyDescent="0.2">
      <c r="AF3051" s="679"/>
    </row>
    <row r="3052" spans="32:32" x14ac:dyDescent="0.2">
      <c r="AF3052" s="679"/>
    </row>
    <row r="3053" spans="32:32" x14ac:dyDescent="0.2">
      <c r="AF3053" s="679"/>
    </row>
    <row r="3054" spans="32:32" x14ac:dyDescent="0.2">
      <c r="AF3054" s="679"/>
    </row>
    <row r="3055" spans="32:32" x14ac:dyDescent="0.2">
      <c r="AF3055" s="679"/>
    </row>
    <row r="3056" spans="32:32" x14ac:dyDescent="0.2">
      <c r="AF3056" s="679"/>
    </row>
    <row r="3057" spans="32:32" x14ac:dyDescent="0.2">
      <c r="AF3057" s="679"/>
    </row>
    <row r="3058" spans="32:32" x14ac:dyDescent="0.2">
      <c r="AF3058" s="679"/>
    </row>
    <row r="3059" spans="32:32" x14ac:dyDescent="0.2">
      <c r="AF3059" s="679"/>
    </row>
    <row r="3060" spans="32:32" x14ac:dyDescent="0.2">
      <c r="AF3060" s="679"/>
    </row>
    <row r="3061" spans="32:32" x14ac:dyDescent="0.2">
      <c r="AF3061" s="679"/>
    </row>
    <row r="3062" spans="32:32" x14ac:dyDescent="0.2">
      <c r="AF3062" s="679"/>
    </row>
    <row r="3063" spans="32:32" x14ac:dyDescent="0.2">
      <c r="AF3063" s="679"/>
    </row>
    <row r="3064" spans="32:32" x14ac:dyDescent="0.2">
      <c r="AF3064" s="679"/>
    </row>
    <row r="3065" spans="32:32" x14ac:dyDescent="0.2">
      <c r="AF3065" s="679"/>
    </row>
    <row r="3066" spans="32:32" x14ac:dyDescent="0.2">
      <c r="AF3066" s="679"/>
    </row>
    <row r="3067" spans="32:32" x14ac:dyDescent="0.2">
      <c r="AF3067" s="679"/>
    </row>
    <row r="3068" spans="32:32" x14ac:dyDescent="0.2">
      <c r="AF3068" s="679"/>
    </row>
    <row r="3069" spans="32:32" x14ac:dyDescent="0.2">
      <c r="AF3069" s="679"/>
    </row>
    <row r="3070" spans="32:32" x14ac:dyDescent="0.2">
      <c r="AF3070" s="679"/>
    </row>
    <row r="3071" spans="32:32" x14ac:dyDescent="0.2">
      <c r="AF3071" s="679"/>
    </row>
    <row r="3072" spans="32:32" x14ac:dyDescent="0.2">
      <c r="AF3072" s="679"/>
    </row>
    <row r="3073" spans="32:32" x14ac:dyDescent="0.2">
      <c r="AF3073" s="679"/>
    </row>
    <row r="3074" spans="32:32" x14ac:dyDescent="0.2">
      <c r="AF3074" s="679"/>
    </row>
    <row r="3075" spans="32:32" x14ac:dyDescent="0.2">
      <c r="AF3075" s="679"/>
    </row>
    <row r="3076" spans="32:32" x14ac:dyDescent="0.2">
      <c r="AF3076" s="679"/>
    </row>
    <row r="3077" spans="32:32" x14ac:dyDescent="0.2">
      <c r="AF3077" s="679"/>
    </row>
    <row r="3078" spans="32:32" x14ac:dyDescent="0.2">
      <c r="AF3078" s="679"/>
    </row>
    <row r="3079" spans="32:32" x14ac:dyDescent="0.2">
      <c r="AF3079" s="679"/>
    </row>
    <row r="3080" spans="32:32" x14ac:dyDescent="0.2">
      <c r="AF3080" s="679"/>
    </row>
    <row r="3081" spans="32:32" x14ac:dyDescent="0.2">
      <c r="AF3081" s="679"/>
    </row>
    <row r="3082" spans="32:32" x14ac:dyDescent="0.2">
      <c r="AF3082" s="679"/>
    </row>
    <row r="3083" spans="32:32" x14ac:dyDescent="0.2">
      <c r="AF3083" s="679"/>
    </row>
    <row r="3084" spans="32:32" x14ac:dyDescent="0.2">
      <c r="AF3084" s="679"/>
    </row>
    <row r="3085" spans="32:32" x14ac:dyDescent="0.2">
      <c r="AF3085" s="679"/>
    </row>
    <row r="3086" spans="32:32" x14ac:dyDescent="0.2">
      <c r="AF3086" s="679"/>
    </row>
    <row r="3087" spans="32:32" x14ac:dyDescent="0.2">
      <c r="AF3087" s="679"/>
    </row>
    <row r="3088" spans="32:32" x14ac:dyDescent="0.2">
      <c r="AF3088" s="679"/>
    </row>
    <row r="3089" spans="32:32" x14ac:dyDescent="0.2">
      <c r="AF3089" s="679"/>
    </row>
    <row r="3090" spans="32:32" x14ac:dyDescent="0.2">
      <c r="AF3090" s="679"/>
    </row>
    <row r="3091" spans="32:32" x14ac:dyDescent="0.2">
      <c r="AF3091" s="679"/>
    </row>
    <row r="3092" spans="32:32" x14ac:dyDescent="0.2">
      <c r="AF3092" s="679"/>
    </row>
    <row r="3093" spans="32:32" x14ac:dyDescent="0.2">
      <c r="AF3093" s="679"/>
    </row>
    <row r="3094" spans="32:32" x14ac:dyDescent="0.2">
      <c r="AF3094" s="679"/>
    </row>
    <row r="3095" spans="32:32" x14ac:dyDescent="0.2">
      <c r="AF3095" s="679"/>
    </row>
    <row r="3096" spans="32:32" x14ac:dyDescent="0.2">
      <c r="AF3096" s="679"/>
    </row>
    <row r="3097" spans="32:32" x14ac:dyDescent="0.2">
      <c r="AF3097" s="679"/>
    </row>
    <row r="3098" spans="32:32" x14ac:dyDescent="0.2">
      <c r="AF3098" s="679"/>
    </row>
    <row r="3099" spans="32:32" x14ac:dyDescent="0.2">
      <c r="AF3099" s="679"/>
    </row>
    <row r="3100" spans="32:32" x14ac:dyDescent="0.2">
      <c r="AF3100" s="679"/>
    </row>
    <row r="3101" spans="32:32" x14ac:dyDescent="0.2">
      <c r="AF3101" s="679"/>
    </row>
    <row r="3102" spans="32:32" x14ac:dyDescent="0.2">
      <c r="AF3102" s="679"/>
    </row>
    <row r="3103" spans="32:32" x14ac:dyDescent="0.2">
      <c r="AF3103" s="679"/>
    </row>
    <row r="3104" spans="32:32" x14ac:dyDescent="0.2">
      <c r="AF3104" s="679"/>
    </row>
    <row r="3105" spans="32:32" x14ac:dyDescent="0.2">
      <c r="AF3105" s="679"/>
    </row>
    <row r="3106" spans="32:32" x14ac:dyDescent="0.2">
      <c r="AF3106" s="679"/>
    </row>
    <row r="3107" spans="32:32" x14ac:dyDescent="0.2">
      <c r="AF3107" s="679"/>
    </row>
    <row r="3108" spans="32:32" x14ac:dyDescent="0.2">
      <c r="AF3108" s="679"/>
    </row>
    <row r="3109" spans="32:32" x14ac:dyDescent="0.2">
      <c r="AF3109" s="679"/>
    </row>
    <row r="3110" spans="32:32" x14ac:dyDescent="0.2">
      <c r="AF3110" s="679"/>
    </row>
    <row r="3111" spans="32:32" x14ac:dyDescent="0.2">
      <c r="AF3111" s="679"/>
    </row>
    <row r="3112" spans="32:32" x14ac:dyDescent="0.2">
      <c r="AF3112" s="679"/>
    </row>
    <row r="3113" spans="32:32" x14ac:dyDescent="0.2">
      <c r="AF3113" s="679"/>
    </row>
    <row r="3114" spans="32:32" x14ac:dyDescent="0.2">
      <c r="AF3114" s="679"/>
    </row>
    <row r="3115" spans="32:32" x14ac:dyDescent="0.2">
      <c r="AF3115" s="679"/>
    </row>
    <row r="3116" spans="32:32" x14ac:dyDescent="0.2">
      <c r="AF3116" s="679"/>
    </row>
    <row r="3117" spans="32:32" x14ac:dyDescent="0.2">
      <c r="AF3117" s="679"/>
    </row>
    <row r="3118" spans="32:32" x14ac:dyDescent="0.2">
      <c r="AF3118" s="679"/>
    </row>
    <row r="3119" spans="32:32" x14ac:dyDescent="0.2">
      <c r="AF3119" s="679"/>
    </row>
    <row r="3120" spans="32:32" x14ac:dyDescent="0.2">
      <c r="AF3120" s="679"/>
    </row>
    <row r="3121" spans="32:32" x14ac:dyDescent="0.2">
      <c r="AF3121" s="679"/>
    </row>
    <row r="3122" spans="32:32" x14ac:dyDescent="0.2">
      <c r="AF3122" s="679"/>
    </row>
    <row r="3123" spans="32:32" x14ac:dyDescent="0.2">
      <c r="AF3123" s="679"/>
    </row>
    <row r="3124" spans="32:32" x14ac:dyDescent="0.2">
      <c r="AF3124" s="679"/>
    </row>
    <row r="3125" spans="32:32" x14ac:dyDescent="0.2">
      <c r="AF3125" s="679"/>
    </row>
    <row r="3126" spans="32:32" x14ac:dyDescent="0.2">
      <c r="AF3126" s="679"/>
    </row>
    <row r="3127" spans="32:32" x14ac:dyDescent="0.2">
      <c r="AF3127" s="679"/>
    </row>
    <row r="3128" spans="32:32" x14ac:dyDescent="0.2">
      <c r="AF3128" s="679"/>
    </row>
    <row r="3129" spans="32:32" x14ac:dyDescent="0.2">
      <c r="AF3129" s="679"/>
    </row>
    <row r="3130" spans="32:32" x14ac:dyDescent="0.2">
      <c r="AF3130" s="679"/>
    </row>
    <row r="3131" spans="32:32" x14ac:dyDescent="0.2">
      <c r="AF3131" s="679"/>
    </row>
    <row r="3132" spans="32:32" x14ac:dyDescent="0.2">
      <c r="AF3132" s="679"/>
    </row>
    <row r="3133" spans="32:32" x14ac:dyDescent="0.2">
      <c r="AF3133" s="679"/>
    </row>
    <row r="3134" spans="32:32" x14ac:dyDescent="0.2">
      <c r="AF3134" s="679"/>
    </row>
    <row r="3135" spans="32:32" x14ac:dyDescent="0.2">
      <c r="AF3135" s="679"/>
    </row>
    <row r="3136" spans="32:32" x14ac:dyDescent="0.2">
      <c r="AF3136" s="679"/>
    </row>
    <row r="3137" spans="32:32" x14ac:dyDescent="0.2">
      <c r="AF3137" s="679"/>
    </row>
    <row r="3138" spans="32:32" x14ac:dyDescent="0.2">
      <c r="AF3138" s="679"/>
    </row>
    <row r="3139" spans="32:32" x14ac:dyDescent="0.2">
      <c r="AF3139" s="679"/>
    </row>
    <row r="3140" spans="32:32" x14ac:dyDescent="0.2">
      <c r="AF3140" s="679"/>
    </row>
    <row r="3141" spans="32:32" x14ac:dyDescent="0.2">
      <c r="AF3141" s="679"/>
    </row>
    <row r="3142" spans="32:32" x14ac:dyDescent="0.2">
      <c r="AF3142" s="679"/>
    </row>
    <row r="3143" spans="32:32" x14ac:dyDescent="0.2">
      <c r="AF3143" s="679"/>
    </row>
    <row r="3144" spans="32:32" x14ac:dyDescent="0.2">
      <c r="AF3144" s="679"/>
    </row>
    <row r="3145" spans="32:32" x14ac:dyDescent="0.2">
      <c r="AF3145" s="679"/>
    </row>
    <row r="3146" spans="32:32" x14ac:dyDescent="0.2">
      <c r="AF3146" s="679"/>
    </row>
    <row r="3147" spans="32:32" x14ac:dyDescent="0.2">
      <c r="AF3147" s="679"/>
    </row>
    <row r="3148" spans="32:32" x14ac:dyDescent="0.2">
      <c r="AF3148" s="679"/>
    </row>
    <row r="3149" spans="32:32" x14ac:dyDescent="0.2">
      <c r="AF3149" s="679"/>
    </row>
    <row r="3150" spans="32:32" x14ac:dyDescent="0.2">
      <c r="AF3150" s="679"/>
    </row>
    <row r="3151" spans="32:32" x14ac:dyDescent="0.2">
      <c r="AF3151" s="679"/>
    </row>
    <row r="3152" spans="32:32" x14ac:dyDescent="0.2">
      <c r="AF3152" s="679"/>
    </row>
    <row r="3153" spans="32:32" x14ac:dyDescent="0.2">
      <c r="AF3153" s="679"/>
    </row>
    <row r="3154" spans="32:32" x14ac:dyDescent="0.2">
      <c r="AF3154" s="679"/>
    </row>
    <row r="3155" spans="32:32" x14ac:dyDescent="0.2">
      <c r="AF3155" s="679"/>
    </row>
    <row r="3156" spans="32:32" x14ac:dyDescent="0.2">
      <c r="AF3156" s="679"/>
    </row>
    <row r="3157" spans="32:32" x14ac:dyDescent="0.2">
      <c r="AF3157" s="679"/>
    </row>
    <row r="3158" spans="32:32" x14ac:dyDescent="0.2">
      <c r="AF3158" s="679"/>
    </row>
    <row r="3159" spans="32:32" x14ac:dyDescent="0.2">
      <c r="AF3159" s="679"/>
    </row>
    <row r="3160" spans="32:32" x14ac:dyDescent="0.2">
      <c r="AF3160" s="679"/>
    </row>
    <row r="3161" spans="32:32" x14ac:dyDescent="0.2">
      <c r="AF3161" s="679"/>
    </row>
    <row r="3162" spans="32:32" x14ac:dyDescent="0.2">
      <c r="AF3162" s="679"/>
    </row>
    <row r="3163" spans="32:32" x14ac:dyDescent="0.2">
      <c r="AF3163" s="679"/>
    </row>
    <row r="3164" spans="32:32" x14ac:dyDescent="0.2">
      <c r="AF3164" s="679"/>
    </row>
    <row r="3165" spans="32:32" x14ac:dyDescent="0.2">
      <c r="AF3165" s="679"/>
    </row>
    <row r="3166" spans="32:32" x14ac:dyDescent="0.2">
      <c r="AF3166" s="679"/>
    </row>
    <row r="3167" spans="32:32" x14ac:dyDescent="0.2">
      <c r="AF3167" s="679"/>
    </row>
    <row r="3168" spans="32:32" x14ac:dyDescent="0.2">
      <c r="AF3168" s="679"/>
    </row>
    <row r="3169" spans="32:32" x14ac:dyDescent="0.2">
      <c r="AF3169" s="679"/>
    </row>
    <row r="3170" spans="32:32" x14ac:dyDescent="0.2">
      <c r="AF3170" s="679"/>
    </row>
    <row r="3171" spans="32:32" x14ac:dyDescent="0.2">
      <c r="AF3171" s="679"/>
    </row>
    <row r="3172" spans="32:32" x14ac:dyDescent="0.2">
      <c r="AF3172" s="679"/>
    </row>
    <row r="3173" spans="32:32" x14ac:dyDescent="0.2">
      <c r="AF3173" s="679"/>
    </row>
    <row r="3174" spans="32:32" x14ac:dyDescent="0.2">
      <c r="AF3174" s="679"/>
    </row>
    <row r="3175" spans="32:32" x14ac:dyDescent="0.2">
      <c r="AF3175" s="679"/>
    </row>
    <row r="3176" spans="32:32" x14ac:dyDescent="0.2">
      <c r="AF3176" s="679"/>
    </row>
    <row r="3177" spans="32:32" x14ac:dyDescent="0.2">
      <c r="AF3177" s="679"/>
    </row>
    <row r="3178" spans="32:32" x14ac:dyDescent="0.2">
      <c r="AF3178" s="679"/>
    </row>
    <row r="3179" spans="32:32" x14ac:dyDescent="0.2">
      <c r="AF3179" s="679"/>
    </row>
    <row r="3180" spans="32:32" x14ac:dyDescent="0.2">
      <c r="AF3180" s="679"/>
    </row>
    <row r="3181" spans="32:32" x14ac:dyDescent="0.2">
      <c r="AF3181" s="679"/>
    </row>
    <row r="3182" spans="32:32" x14ac:dyDescent="0.2">
      <c r="AF3182" s="679"/>
    </row>
    <row r="3183" spans="32:32" x14ac:dyDescent="0.2">
      <c r="AF3183" s="679"/>
    </row>
    <row r="3184" spans="32:32" x14ac:dyDescent="0.2">
      <c r="AF3184" s="679"/>
    </row>
    <row r="3185" spans="32:32" x14ac:dyDescent="0.2">
      <c r="AF3185" s="679"/>
    </row>
    <row r="3186" spans="32:32" x14ac:dyDescent="0.2">
      <c r="AF3186" s="679"/>
    </row>
    <row r="3187" spans="32:32" x14ac:dyDescent="0.2">
      <c r="AF3187" s="679"/>
    </row>
    <row r="3188" spans="32:32" x14ac:dyDescent="0.2">
      <c r="AF3188" s="679"/>
    </row>
    <row r="3189" spans="32:32" x14ac:dyDescent="0.2">
      <c r="AF3189" s="679"/>
    </row>
    <row r="3190" spans="32:32" x14ac:dyDescent="0.2">
      <c r="AF3190" s="679"/>
    </row>
    <row r="3191" spans="32:32" x14ac:dyDescent="0.2">
      <c r="AF3191" s="679"/>
    </row>
    <row r="3192" spans="32:32" x14ac:dyDescent="0.2">
      <c r="AF3192" s="679"/>
    </row>
    <row r="3193" spans="32:32" x14ac:dyDescent="0.2">
      <c r="AF3193" s="679"/>
    </row>
    <row r="3194" spans="32:32" x14ac:dyDescent="0.2">
      <c r="AF3194" s="679"/>
    </row>
    <row r="3195" spans="32:32" x14ac:dyDescent="0.2">
      <c r="AF3195" s="679"/>
    </row>
    <row r="3196" spans="32:32" x14ac:dyDescent="0.2">
      <c r="AF3196" s="679"/>
    </row>
    <row r="3197" spans="32:32" x14ac:dyDescent="0.2">
      <c r="AF3197" s="679"/>
    </row>
    <row r="3198" spans="32:32" x14ac:dyDescent="0.2">
      <c r="AF3198" s="679"/>
    </row>
    <row r="3199" spans="32:32" x14ac:dyDescent="0.2">
      <c r="AF3199" s="679"/>
    </row>
    <row r="3200" spans="32:32" x14ac:dyDescent="0.2">
      <c r="AF3200" s="679"/>
    </row>
    <row r="3201" spans="32:32" x14ac:dyDescent="0.2">
      <c r="AF3201" s="679"/>
    </row>
    <row r="3202" spans="32:32" x14ac:dyDescent="0.2">
      <c r="AF3202" s="679"/>
    </row>
    <row r="3203" spans="32:32" x14ac:dyDescent="0.2">
      <c r="AF3203" s="679"/>
    </row>
    <row r="3204" spans="32:32" x14ac:dyDescent="0.2">
      <c r="AF3204" s="679"/>
    </row>
    <row r="3205" spans="32:32" x14ac:dyDescent="0.2">
      <c r="AF3205" s="679"/>
    </row>
    <row r="3206" spans="32:32" x14ac:dyDescent="0.2">
      <c r="AF3206" s="679"/>
    </row>
    <row r="3207" spans="32:32" x14ac:dyDescent="0.2">
      <c r="AF3207" s="679"/>
    </row>
    <row r="3208" spans="32:32" x14ac:dyDescent="0.2">
      <c r="AF3208" s="679"/>
    </row>
    <row r="3209" spans="32:32" x14ac:dyDescent="0.2">
      <c r="AF3209" s="679"/>
    </row>
    <row r="3210" spans="32:32" x14ac:dyDescent="0.2">
      <c r="AF3210" s="679"/>
    </row>
    <row r="3211" spans="32:32" x14ac:dyDescent="0.2">
      <c r="AF3211" s="679"/>
    </row>
    <row r="3212" spans="32:32" x14ac:dyDescent="0.2">
      <c r="AF3212" s="679"/>
    </row>
    <row r="3213" spans="32:32" x14ac:dyDescent="0.2">
      <c r="AF3213" s="679"/>
    </row>
    <row r="3214" spans="32:32" x14ac:dyDescent="0.2">
      <c r="AF3214" s="679"/>
    </row>
    <row r="3215" spans="32:32" x14ac:dyDescent="0.2">
      <c r="AF3215" s="679"/>
    </row>
    <row r="3216" spans="32:32" x14ac:dyDescent="0.2">
      <c r="AF3216" s="679"/>
    </row>
    <row r="3217" spans="32:32" x14ac:dyDescent="0.2">
      <c r="AF3217" s="679"/>
    </row>
    <row r="3218" spans="32:32" x14ac:dyDescent="0.2">
      <c r="AF3218" s="679"/>
    </row>
    <row r="3219" spans="32:32" x14ac:dyDescent="0.2">
      <c r="AF3219" s="679"/>
    </row>
    <row r="3220" spans="32:32" x14ac:dyDescent="0.2">
      <c r="AF3220" s="679"/>
    </row>
    <row r="3221" spans="32:32" x14ac:dyDescent="0.2">
      <c r="AF3221" s="679"/>
    </row>
    <row r="3222" spans="32:32" x14ac:dyDescent="0.2">
      <c r="AF3222" s="679"/>
    </row>
    <row r="3223" spans="32:32" x14ac:dyDescent="0.2">
      <c r="AF3223" s="679"/>
    </row>
    <row r="3224" spans="32:32" x14ac:dyDescent="0.2">
      <c r="AF3224" s="679"/>
    </row>
    <row r="3225" spans="32:32" x14ac:dyDescent="0.2">
      <c r="AF3225" s="679"/>
    </row>
    <row r="3226" spans="32:32" x14ac:dyDescent="0.2">
      <c r="AF3226" s="679"/>
    </row>
    <row r="3227" spans="32:32" x14ac:dyDescent="0.2">
      <c r="AF3227" s="679"/>
    </row>
    <row r="3228" spans="32:32" x14ac:dyDescent="0.2">
      <c r="AF3228" s="679"/>
    </row>
    <row r="3229" spans="32:32" x14ac:dyDescent="0.2">
      <c r="AF3229" s="679"/>
    </row>
    <row r="3230" spans="32:32" x14ac:dyDescent="0.2">
      <c r="AF3230" s="679"/>
    </row>
    <row r="3231" spans="32:32" x14ac:dyDescent="0.2">
      <c r="AF3231" s="679"/>
    </row>
    <row r="3232" spans="32:32" x14ac:dyDescent="0.2">
      <c r="AF3232" s="679"/>
    </row>
    <row r="3233" spans="32:32" x14ac:dyDescent="0.2">
      <c r="AF3233" s="679"/>
    </row>
    <row r="3234" spans="32:32" x14ac:dyDescent="0.2">
      <c r="AF3234" s="679"/>
    </row>
    <row r="3235" spans="32:32" x14ac:dyDescent="0.2">
      <c r="AF3235" s="679"/>
    </row>
    <row r="3236" spans="32:32" x14ac:dyDescent="0.2">
      <c r="AF3236" s="679"/>
    </row>
    <row r="3237" spans="32:32" x14ac:dyDescent="0.2">
      <c r="AF3237" s="679"/>
    </row>
    <row r="3238" spans="32:32" x14ac:dyDescent="0.2">
      <c r="AF3238" s="679"/>
    </row>
    <row r="3239" spans="32:32" x14ac:dyDescent="0.2">
      <c r="AF3239" s="679"/>
    </row>
    <row r="3240" spans="32:32" x14ac:dyDescent="0.2">
      <c r="AF3240" s="679"/>
    </row>
    <row r="3241" spans="32:32" x14ac:dyDescent="0.2">
      <c r="AF3241" s="679"/>
    </row>
    <row r="3242" spans="32:32" x14ac:dyDescent="0.2">
      <c r="AF3242" s="679"/>
    </row>
    <row r="3243" spans="32:32" x14ac:dyDescent="0.2">
      <c r="AF3243" s="679"/>
    </row>
    <row r="3244" spans="32:32" x14ac:dyDescent="0.2">
      <c r="AF3244" s="679"/>
    </row>
    <row r="3245" spans="32:32" x14ac:dyDescent="0.2">
      <c r="AF3245" s="679"/>
    </row>
    <row r="3246" spans="32:32" x14ac:dyDescent="0.2">
      <c r="AF3246" s="679"/>
    </row>
    <row r="3247" spans="32:32" x14ac:dyDescent="0.2">
      <c r="AF3247" s="679"/>
    </row>
    <row r="3248" spans="32:32" x14ac:dyDescent="0.2">
      <c r="AF3248" s="679"/>
    </row>
    <row r="3249" spans="32:32" x14ac:dyDescent="0.2">
      <c r="AF3249" s="679"/>
    </row>
    <row r="3250" spans="32:32" x14ac:dyDescent="0.2">
      <c r="AF3250" s="679"/>
    </row>
    <row r="3251" spans="32:32" x14ac:dyDescent="0.2">
      <c r="AF3251" s="679"/>
    </row>
    <row r="3252" spans="32:32" x14ac:dyDescent="0.2">
      <c r="AF3252" s="679"/>
    </row>
    <row r="3253" spans="32:32" x14ac:dyDescent="0.2">
      <c r="AF3253" s="679"/>
    </row>
    <row r="3254" spans="32:32" x14ac:dyDescent="0.2">
      <c r="AF3254" s="679"/>
    </row>
    <row r="3255" spans="32:32" x14ac:dyDescent="0.2">
      <c r="AF3255" s="679"/>
    </row>
    <row r="3256" spans="32:32" x14ac:dyDescent="0.2">
      <c r="AF3256" s="679"/>
    </row>
    <row r="3257" spans="32:32" x14ac:dyDescent="0.2">
      <c r="AF3257" s="679"/>
    </row>
    <row r="3258" spans="32:32" x14ac:dyDescent="0.2">
      <c r="AF3258" s="679"/>
    </row>
    <row r="3259" spans="32:32" x14ac:dyDescent="0.2">
      <c r="AF3259" s="679"/>
    </row>
    <row r="3260" spans="32:32" x14ac:dyDescent="0.2">
      <c r="AF3260" s="679"/>
    </row>
    <row r="3261" spans="32:32" x14ac:dyDescent="0.2">
      <c r="AF3261" s="679"/>
    </row>
    <row r="3262" spans="32:32" x14ac:dyDescent="0.2">
      <c r="AF3262" s="679"/>
    </row>
    <row r="3263" spans="32:32" x14ac:dyDescent="0.2">
      <c r="AF3263" s="679"/>
    </row>
    <row r="3264" spans="32:32" x14ac:dyDescent="0.2">
      <c r="AF3264" s="679"/>
    </row>
    <row r="3265" spans="32:32" x14ac:dyDescent="0.2">
      <c r="AF3265" s="679"/>
    </row>
    <row r="3266" spans="32:32" x14ac:dyDescent="0.2">
      <c r="AF3266" s="679"/>
    </row>
    <row r="3267" spans="32:32" x14ac:dyDescent="0.2">
      <c r="AF3267" s="679"/>
    </row>
    <row r="3268" spans="32:32" x14ac:dyDescent="0.2">
      <c r="AF3268" s="679"/>
    </row>
    <row r="3269" spans="32:32" x14ac:dyDescent="0.2">
      <c r="AF3269" s="679"/>
    </row>
    <row r="3270" spans="32:32" x14ac:dyDescent="0.2">
      <c r="AF3270" s="679"/>
    </row>
    <row r="3271" spans="32:32" x14ac:dyDescent="0.2">
      <c r="AF3271" s="679"/>
    </row>
    <row r="3272" spans="32:32" x14ac:dyDescent="0.2">
      <c r="AF3272" s="679"/>
    </row>
    <row r="3273" spans="32:32" x14ac:dyDescent="0.2">
      <c r="AF3273" s="679"/>
    </row>
    <row r="3274" spans="32:32" x14ac:dyDescent="0.2">
      <c r="AF3274" s="679"/>
    </row>
    <row r="3275" spans="32:32" x14ac:dyDescent="0.2">
      <c r="AF3275" s="679"/>
    </row>
    <row r="3276" spans="32:32" x14ac:dyDescent="0.2">
      <c r="AF3276" s="679"/>
    </row>
    <row r="3277" spans="32:32" x14ac:dyDescent="0.2">
      <c r="AF3277" s="679"/>
    </row>
    <row r="3278" spans="32:32" x14ac:dyDescent="0.2">
      <c r="AF3278" s="679"/>
    </row>
    <row r="3279" spans="32:32" x14ac:dyDescent="0.2">
      <c r="AF3279" s="679"/>
    </row>
    <row r="3280" spans="32:32" x14ac:dyDescent="0.2">
      <c r="AF3280" s="679"/>
    </row>
    <row r="3281" spans="32:32" x14ac:dyDescent="0.2">
      <c r="AF3281" s="679"/>
    </row>
    <row r="3282" spans="32:32" x14ac:dyDescent="0.2">
      <c r="AF3282" s="679"/>
    </row>
    <row r="3283" spans="32:32" x14ac:dyDescent="0.2">
      <c r="AF3283" s="679"/>
    </row>
    <row r="3284" spans="32:32" x14ac:dyDescent="0.2">
      <c r="AF3284" s="679"/>
    </row>
    <row r="3285" spans="32:32" x14ac:dyDescent="0.2">
      <c r="AF3285" s="679"/>
    </row>
    <row r="3286" spans="32:32" x14ac:dyDescent="0.2">
      <c r="AF3286" s="679"/>
    </row>
    <row r="3287" spans="32:32" x14ac:dyDescent="0.2">
      <c r="AF3287" s="679"/>
    </row>
    <row r="3288" spans="32:32" x14ac:dyDescent="0.2">
      <c r="AF3288" s="679"/>
    </row>
    <row r="3289" spans="32:32" x14ac:dyDescent="0.2">
      <c r="AF3289" s="679"/>
    </row>
    <row r="3290" spans="32:32" x14ac:dyDescent="0.2">
      <c r="AF3290" s="679"/>
    </row>
    <row r="3291" spans="32:32" x14ac:dyDescent="0.2">
      <c r="AF3291" s="679"/>
    </row>
    <row r="3292" spans="32:32" x14ac:dyDescent="0.2">
      <c r="AF3292" s="679"/>
    </row>
    <row r="3293" spans="32:32" x14ac:dyDescent="0.2">
      <c r="AF3293" s="679"/>
    </row>
    <row r="3294" spans="32:32" x14ac:dyDescent="0.2">
      <c r="AF3294" s="679"/>
    </row>
    <row r="3295" spans="32:32" x14ac:dyDescent="0.2">
      <c r="AF3295" s="679"/>
    </row>
    <row r="3296" spans="32:32" x14ac:dyDescent="0.2">
      <c r="AF3296" s="679"/>
    </row>
    <row r="3297" spans="32:32" x14ac:dyDescent="0.2">
      <c r="AF3297" s="679"/>
    </row>
    <row r="3298" spans="32:32" x14ac:dyDescent="0.2">
      <c r="AF3298" s="679"/>
    </row>
    <row r="3299" spans="32:32" x14ac:dyDescent="0.2">
      <c r="AF3299" s="679"/>
    </row>
    <row r="3300" spans="32:32" x14ac:dyDescent="0.2">
      <c r="AF3300" s="679"/>
    </row>
    <row r="3301" spans="32:32" x14ac:dyDescent="0.2">
      <c r="AF3301" s="679"/>
    </row>
    <row r="3302" spans="32:32" x14ac:dyDescent="0.2">
      <c r="AF3302" s="679"/>
    </row>
    <row r="3303" spans="32:32" x14ac:dyDescent="0.2">
      <c r="AF3303" s="679"/>
    </row>
    <row r="3304" spans="32:32" x14ac:dyDescent="0.2">
      <c r="AF3304" s="679"/>
    </row>
    <row r="3305" spans="32:32" x14ac:dyDescent="0.2">
      <c r="AF3305" s="679"/>
    </row>
    <row r="3306" spans="32:32" x14ac:dyDescent="0.2">
      <c r="AF3306" s="679"/>
    </row>
    <row r="3307" spans="32:32" x14ac:dyDescent="0.2">
      <c r="AF3307" s="679"/>
    </row>
    <row r="3308" spans="32:32" x14ac:dyDescent="0.2">
      <c r="AF3308" s="679"/>
    </row>
    <row r="3309" spans="32:32" x14ac:dyDescent="0.2">
      <c r="AF3309" s="679"/>
    </row>
    <row r="3310" spans="32:32" x14ac:dyDescent="0.2">
      <c r="AF3310" s="679"/>
    </row>
    <row r="3311" spans="32:32" x14ac:dyDescent="0.2">
      <c r="AF3311" s="679"/>
    </row>
    <row r="3312" spans="32:32" x14ac:dyDescent="0.2">
      <c r="AF3312" s="679"/>
    </row>
    <row r="3313" spans="32:32" x14ac:dyDescent="0.2">
      <c r="AF3313" s="679"/>
    </row>
    <row r="3314" spans="32:32" x14ac:dyDescent="0.2">
      <c r="AF3314" s="679"/>
    </row>
    <row r="3315" spans="32:32" x14ac:dyDescent="0.2">
      <c r="AF3315" s="679"/>
    </row>
    <row r="3316" spans="32:32" x14ac:dyDescent="0.2">
      <c r="AF3316" s="679"/>
    </row>
    <row r="3317" spans="32:32" x14ac:dyDescent="0.2">
      <c r="AF3317" s="679"/>
    </row>
    <row r="3318" spans="32:32" x14ac:dyDescent="0.2">
      <c r="AF3318" s="679"/>
    </row>
    <row r="3319" spans="32:32" x14ac:dyDescent="0.2">
      <c r="AF3319" s="679"/>
    </row>
    <row r="3320" spans="32:32" x14ac:dyDescent="0.2">
      <c r="AF3320" s="679"/>
    </row>
    <row r="3321" spans="32:32" x14ac:dyDescent="0.2">
      <c r="AF3321" s="679"/>
    </row>
    <row r="3322" spans="32:32" x14ac:dyDescent="0.2">
      <c r="AF3322" s="679"/>
    </row>
    <row r="3323" spans="32:32" x14ac:dyDescent="0.2">
      <c r="AF3323" s="679"/>
    </row>
    <row r="3324" spans="32:32" x14ac:dyDescent="0.2">
      <c r="AF3324" s="679"/>
    </row>
    <row r="3325" spans="32:32" x14ac:dyDescent="0.2">
      <c r="AF3325" s="679"/>
    </row>
    <row r="3326" spans="32:32" x14ac:dyDescent="0.2">
      <c r="AF3326" s="679"/>
    </row>
    <row r="3327" spans="32:32" x14ac:dyDescent="0.2">
      <c r="AF3327" s="679"/>
    </row>
    <row r="3328" spans="32:32" x14ac:dyDescent="0.2">
      <c r="AF3328" s="679"/>
    </row>
    <row r="3329" spans="32:32" x14ac:dyDescent="0.2">
      <c r="AF3329" s="679"/>
    </row>
    <row r="3330" spans="32:32" x14ac:dyDescent="0.2">
      <c r="AF3330" s="679"/>
    </row>
    <row r="3331" spans="32:32" x14ac:dyDescent="0.2">
      <c r="AF3331" s="679"/>
    </row>
    <row r="3332" spans="32:32" x14ac:dyDescent="0.2">
      <c r="AF3332" s="679"/>
    </row>
    <row r="3333" spans="32:32" x14ac:dyDescent="0.2">
      <c r="AF3333" s="679"/>
    </row>
    <row r="3334" spans="32:32" x14ac:dyDescent="0.2">
      <c r="AF3334" s="679"/>
    </row>
    <row r="3335" spans="32:32" x14ac:dyDescent="0.2">
      <c r="AF3335" s="679"/>
    </row>
    <row r="3336" spans="32:32" x14ac:dyDescent="0.2">
      <c r="AF3336" s="679"/>
    </row>
    <row r="3337" spans="32:32" x14ac:dyDescent="0.2">
      <c r="AF3337" s="679"/>
    </row>
    <row r="3338" spans="32:32" x14ac:dyDescent="0.2">
      <c r="AF3338" s="679"/>
    </row>
    <row r="3339" spans="32:32" x14ac:dyDescent="0.2">
      <c r="AF3339" s="679"/>
    </row>
    <row r="3340" spans="32:32" x14ac:dyDescent="0.2">
      <c r="AF3340" s="679"/>
    </row>
    <row r="3341" spans="32:32" x14ac:dyDescent="0.2">
      <c r="AF3341" s="679"/>
    </row>
    <row r="3342" spans="32:32" x14ac:dyDescent="0.2">
      <c r="AF3342" s="679"/>
    </row>
    <row r="3343" spans="32:32" x14ac:dyDescent="0.2">
      <c r="AF3343" s="679"/>
    </row>
    <row r="3344" spans="32:32" x14ac:dyDescent="0.2">
      <c r="AF3344" s="679"/>
    </row>
    <row r="3345" spans="32:32" x14ac:dyDescent="0.2">
      <c r="AF3345" s="679"/>
    </row>
    <row r="3346" spans="32:32" x14ac:dyDescent="0.2">
      <c r="AF3346" s="679"/>
    </row>
    <row r="3347" spans="32:32" x14ac:dyDescent="0.2">
      <c r="AF3347" s="679"/>
    </row>
    <row r="3348" spans="32:32" x14ac:dyDescent="0.2">
      <c r="AF3348" s="679"/>
    </row>
    <row r="3349" spans="32:32" x14ac:dyDescent="0.2">
      <c r="AF3349" s="679"/>
    </row>
    <row r="3350" spans="32:32" x14ac:dyDescent="0.2">
      <c r="AF3350" s="679"/>
    </row>
    <row r="3351" spans="32:32" x14ac:dyDescent="0.2">
      <c r="AF3351" s="679"/>
    </row>
    <row r="3352" spans="32:32" x14ac:dyDescent="0.2">
      <c r="AF3352" s="679"/>
    </row>
    <row r="3353" spans="32:32" x14ac:dyDescent="0.2">
      <c r="AF3353" s="679"/>
    </row>
    <row r="3354" spans="32:32" x14ac:dyDescent="0.2">
      <c r="AF3354" s="679"/>
    </row>
    <row r="3355" spans="32:32" x14ac:dyDescent="0.2">
      <c r="AF3355" s="679"/>
    </row>
    <row r="3356" spans="32:32" x14ac:dyDescent="0.2">
      <c r="AF3356" s="679"/>
    </row>
    <row r="3357" spans="32:32" x14ac:dyDescent="0.2">
      <c r="AF3357" s="679"/>
    </row>
    <row r="3358" spans="32:32" x14ac:dyDescent="0.2">
      <c r="AF3358" s="679"/>
    </row>
    <row r="3359" spans="32:32" x14ac:dyDescent="0.2">
      <c r="AF3359" s="679"/>
    </row>
    <row r="3360" spans="32:32" x14ac:dyDescent="0.2">
      <c r="AF3360" s="679"/>
    </row>
    <row r="3361" spans="32:32" x14ac:dyDescent="0.2">
      <c r="AF3361" s="679"/>
    </row>
    <row r="3362" spans="32:32" x14ac:dyDescent="0.2">
      <c r="AF3362" s="679"/>
    </row>
    <row r="3363" spans="32:32" x14ac:dyDescent="0.2">
      <c r="AF3363" s="679"/>
    </row>
    <row r="3364" spans="32:32" x14ac:dyDescent="0.2">
      <c r="AF3364" s="679"/>
    </row>
    <row r="3365" spans="32:32" x14ac:dyDescent="0.2">
      <c r="AF3365" s="679"/>
    </row>
    <row r="3366" spans="32:32" x14ac:dyDescent="0.2">
      <c r="AF3366" s="679"/>
    </row>
    <row r="3367" spans="32:32" x14ac:dyDescent="0.2">
      <c r="AF3367" s="679"/>
    </row>
    <row r="3368" spans="32:32" x14ac:dyDescent="0.2">
      <c r="AF3368" s="679"/>
    </row>
    <row r="3369" spans="32:32" x14ac:dyDescent="0.2">
      <c r="AF3369" s="679"/>
    </row>
    <row r="3370" spans="32:32" x14ac:dyDescent="0.2">
      <c r="AF3370" s="679"/>
    </row>
    <row r="3371" spans="32:32" x14ac:dyDescent="0.2">
      <c r="AF3371" s="679"/>
    </row>
    <row r="3372" spans="32:32" x14ac:dyDescent="0.2">
      <c r="AF3372" s="679"/>
    </row>
    <row r="3373" spans="32:32" x14ac:dyDescent="0.2">
      <c r="AF3373" s="679"/>
    </row>
    <row r="3374" spans="32:32" x14ac:dyDescent="0.2">
      <c r="AF3374" s="679"/>
    </row>
    <row r="3375" spans="32:32" x14ac:dyDescent="0.2">
      <c r="AF3375" s="679"/>
    </row>
    <row r="3376" spans="32:32" x14ac:dyDescent="0.2">
      <c r="AF3376" s="679"/>
    </row>
    <row r="3377" spans="32:32" x14ac:dyDescent="0.2">
      <c r="AF3377" s="679"/>
    </row>
    <row r="3378" spans="32:32" x14ac:dyDescent="0.2">
      <c r="AF3378" s="679"/>
    </row>
    <row r="3379" spans="32:32" x14ac:dyDescent="0.2">
      <c r="AF3379" s="679"/>
    </row>
    <row r="3380" spans="32:32" x14ac:dyDescent="0.2">
      <c r="AF3380" s="679"/>
    </row>
    <row r="3381" spans="32:32" x14ac:dyDescent="0.2">
      <c r="AF3381" s="679"/>
    </row>
    <row r="3382" spans="32:32" x14ac:dyDescent="0.2">
      <c r="AF3382" s="679"/>
    </row>
    <row r="3383" spans="32:32" x14ac:dyDescent="0.2">
      <c r="AF3383" s="679"/>
    </row>
    <row r="3384" spans="32:32" x14ac:dyDescent="0.2">
      <c r="AF3384" s="679"/>
    </row>
    <row r="3385" spans="32:32" x14ac:dyDescent="0.2">
      <c r="AF3385" s="679"/>
    </row>
    <row r="3386" spans="32:32" x14ac:dyDescent="0.2">
      <c r="AF3386" s="679"/>
    </row>
    <row r="3387" spans="32:32" x14ac:dyDescent="0.2">
      <c r="AF3387" s="679"/>
    </row>
    <row r="3388" spans="32:32" x14ac:dyDescent="0.2">
      <c r="AF3388" s="679"/>
    </row>
    <row r="3389" spans="32:32" x14ac:dyDescent="0.2">
      <c r="AF3389" s="679"/>
    </row>
    <row r="3390" spans="32:32" x14ac:dyDescent="0.2">
      <c r="AF3390" s="679"/>
    </row>
    <row r="3391" spans="32:32" x14ac:dyDescent="0.2">
      <c r="AF3391" s="679"/>
    </row>
    <row r="3392" spans="32:32" x14ac:dyDescent="0.2">
      <c r="AF3392" s="679"/>
    </row>
    <row r="3393" spans="32:32" x14ac:dyDescent="0.2">
      <c r="AF3393" s="679"/>
    </row>
    <row r="3394" spans="32:32" x14ac:dyDescent="0.2">
      <c r="AF3394" s="679"/>
    </row>
    <row r="3395" spans="32:32" x14ac:dyDescent="0.2">
      <c r="AF3395" s="679"/>
    </row>
    <row r="3396" spans="32:32" x14ac:dyDescent="0.2">
      <c r="AF3396" s="679"/>
    </row>
    <row r="3397" spans="32:32" x14ac:dyDescent="0.2">
      <c r="AF3397" s="679"/>
    </row>
    <row r="3398" spans="32:32" x14ac:dyDescent="0.2">
      <c r="AF3398" s="679"/>
    </row>
    <row r="3399" spans="32:32" x14ac:dyDescent="0.2">
      <c r="AF3399" s="679"/>
    </row>
    <row r="3400" spans="32:32" x14ac:dyDescent="0.2">
      <c r="AF3400" s="679"/>
    </row>
    <row r="3401" spans="32:32" x14ac:dyDescent="0.2">
      <c r="AF3401" s="679"/>
    </row>
    <row r="3402" spans="32:32" x14ac:dyDescent="0.2">
      <c r="AF3402" s="679"/>
    </row>
    <row r="3403" spans="32:32" x14ac:dyDescent="0.2">
      <c r="AF3403" s="679"/>
    </row>
    <row r="3404" spans="32:32" x14ac:dyDescent="0.2">
      <c r="AF3404" s="679"/>
    </row>
    <row r="3405" spans="32:32" x14ac:dyDescent="0.2">
      <c r="AF3405" s="679"/>
    </row>
    <row r="3406" spans="32:32" x14ac:dyDescent="0.2">
      <c r="AF3406" s="679"/>
    </row>
    <row r="3407" spans="32:32" x14ac:dyDescent="0.2">
      <c r="AF3407" s="679"/>
    </row>
    <row r="3408" spans="32:32" x14ac:dyDescent="0.2">
      <c r="AF3408" s="679"/>
    </row>
    <row r="3409" spans="32:32" x14ac:dyDescent="0.2">
      <c r="AF3409" s="679"/>
    </row>
    <row r="3410" spans="32:32" x14ac:dyDescent="0.2">
      <c r="AF3410" s="679"/>
    </row>
    <row r="3411" spans="32:32" x14ac:dyDescent="0.2">
      <c r="AF3411" s="679"/>
    </row>
    <row r="3412" spans="32:32" x14ac:dyDescent="0.2">
      <c r="AF3412" s="679"/>
    </row>
    <row r="3413" spans="32:32" x14ac:dyDescent="0.2">
      <c r="AF3413" s="679"/>
    </row>
    <row r="3414" spans="32:32" x14ac:dyDescent="0.2">
      <c r="AF3414" s="679"/>
    </row>
    <row r="3415" spans="32:32" x14ac:dyDescent="0.2">
      <c r="AF3415" s="679"/>
    </row>
    <row r="3416" spans="32:32" x14ac:dyDescent="0.2">
      <c r="AF3416" s="679"/>
    </row>
    <row r="3417" spans="32:32" x14ac:dyDescent="0.2">
      <c r="AF3417" s="679"/>
    </row>
    <row r="3418" spans="32:32" x14ac:dyDescent="0.2">
      <c r="AF3418" s="679"/>
    </row>
    <row r="3419" spans="32:32" x14ac:dyDescent="0.2">
      <c r="AF3419" s="679"/>
    </row>
    <row r="3420" spans="32:32" x14ac:dyDescent="0.2">
      <c r="AF3420" s="679"/>
    </row>
    <row r="3421" spans="32:32" x14ac:dyDescent="0.2">
      <c r="AF3421" s="679"/>
    </row>
    <row r="3422" spans="32:32" x14ac:dyDescent="0.2">
      <c r="AF3422" s="679"/>
    </row>
    <row r="3423" spans="32:32" x14ac:dyDescent="0.2">
      <c r="AF3423" s="679"/>
    </row>
    <row r="3424" spans="32:32" x14ac:dyDescent="0.2">
      <c r="AF3424" s="679"/>
    </row>
    <row r="3425" spans="32:32" x14ac:dyDescent="0.2">
      <c r="AF3425" s="679"/>
    </row>
    <row r="3426" spans="32:32" x14ac:dyDescent="0.2">
      <c r="AF3426" s="679"/>
    </row>
    <row r="3427" spans="32:32" x14ac:dyDescent="0.2">
      <c r="AF3427" s="679"/>
    </row>
    <row r="3428" spans="32:32" x14ac:dyDescent="0.2">
      <c r="AF3428" s="679"/>
    </row>
    <row r="3429" spans="32:32" x14ac:dyDescent="0.2">
      <c r="AF3429" s="679"/>
    </row>
    <row r="3430" spans="32:32" x14ac:dyDescent="0.2">
      <c r="AF3430" s="679"/>
    </row>
    <row r="3431" spans="32:32" x14ac:dyDescent="0.2">
      <c r="AF3431" s="679"/>
    </row>
    <row r="3432" spans="32:32" x14ac:dyDescent="0.2">
      <c r="AF3432" s="679"/>
    </row>
    <row r="3433" spans="32:32" x14ac:dyDescent="0.2">
      <c r="AF3433" s="679"/>
    </row>
    <row r="3434" spans="32:32" x14ac:dyDescent="0.2">
      <c r="AF3434" s="679"/>
    </row>
    <row r="3435" spans="32:32" x14ac:dyDescent="0.2">
      <c r="AF3435" s="679"/>
    </row>
    <row r="3436" spans="32:32" x14ac:dyDescent="0.2">
      <c r="AF3436" s="679"/>
    </row>
    <row r="3437" spans="32:32" x14ac:dyDescent="0.2">
      <c r="AF3437" s="679"/>
    </row>
    <row r="3438" spans="32:32" x14ac:dyDescent="0.2">
      <c r="AF3438" s="679"/>
    </row>
    <row r="3439" spans="32:32" x14ac:dyDescent="0.2">
      <c r="AF3439" s="679"/>
    </row>
    <row r="3440" spans="32:32" x14ac:dyDescent="0.2">
      <c r="AF3440" s="679"/>
    </row>
    <row r="3441" spans="32:32" x14ac:dyDescent="0.2">
      <c r="AF3441" s="679"/>
    </row>
    <row r="3442" spans="32:32" x14ac:dyDescent="0.2">
      <c r="AF3442" s="679"/>
    </row>
    <row r="3443" spans="32:32" x14ac:dyDescent="0.2">
      <c r="AF3443" s="679"/>
    </row>
    <row r="3444" spans="32:32" x14ac:dyDescent="0.2">
      <c r="AF3444" s="679"/>
    </row>
    <row r="3445" spans="32:32" x14ac:dyDescent="0.2">
      <c r="AF3445" s="679"/>
    </row>
    <row r="3446" spans="32:32" x14ac:dyDescent="0.2">
      <c r="AF3446" s="679"/>
    </row>
    <row r="3447" spans="32:32" x14ac:dyDescent="0.2">
      <c r="AF3447" s="679"/>
    </row>
    <row r="3448" spans="32:32" x14ac:dyDescent="0.2">
      <c r="AF3448" s="679"/>
    </row>
    <row r="3449" spans="32:32" x14ac:dyDescent="0.2">
      <c r="AF3449" s="679"/>
    </row>
    <row r="3450" spans="32:32" x14ac:dyDescent="0.2">
      <c r="AF3450" s="679"/>
    </row>
    <row r="3451" spans="32:32" x14ac:dyDescent="0.2">
      <c r="AF3451" s="679"/>
    </row>
    <row r="3452" spans="32:32" x14ac:dyDescent="0.2">
      <c r="AF3452" s="679"/>
    </row>
    <row r="3453" spans="32:32" x14ac:dyDescent="0.2">
      <c r="AF3453" s="679"/>
    </row>
    <row r="3454" spans="32:32" x14ac:dyDescent="0.2">
      <c r="AF3454" s="679"/>
    </row>
    <row r="3455" spans="32:32" x14ac:dyDescent="0.2">
      <c r="AF3455" s="679"/>
    </row>
    <row r="3456" spans="32:32" x14ac:dyDescent="0.2">
      <c r="AF3456" s="679"/>
    </row>
    <row r="3457" spans="32:32" x14ac:dyDescent="0.2">
      <c r="AF3457" s="679"/>
    </row>
    <row r="3458" spans="32:32" x14ac:dyDescent="0.2">
      <c r="AF3458" s="679"/>
    </row>
    <row r="3459" spans="32:32" x14ac:dyDescent="0.2">
      <c r="AF3459" s="679"/>
    </row>
    <row r="3460" spans="32:32" x14ac:dyDescent="0.2">
      <c r="AF3460" s="679"/>
    </row>
    <row r="3461" spans="32:32" x14ac:dyDescent="0.2">
      <c r="AF3461" s="679"/>
    </row>
    <row r="3462" spans="32:32" x14ac:dyDescent="0.2">
      <c r="AF3462" s="679"/>
    </row>
    <row r="3463" spans="32:32" x14ac:dyDescent="0.2">
      <c r="AF3463" s="679"/>
    </row>
    <row r="3464" spans="32:32" x14ac:dyDescent="0.2">
      <c r="AF3464" s="679"/>
    </row>
    <row r="3465" spans="32:32" x14ac:dyDescent="0.2">
      <c r="AF3465" s="679"/>
    </row>
    <row r="3466" spans="32:32" x14ac:dyDescent="0.2">
      <c r="AF3466" s="679"/>
    </row>
    <row r="3467" spans="32:32" x14ac:dyDescent="0.2">
      <c r="AF3467" s="679"/>
    </row>
    <row r="3468" spans="32:32" x14ac:dyDescent="0.2">
      <c r="AF3468" s="679"/>
    </row>
    <row r="3469" spans="32:32" x14ac:dyDescent="0.2">
      <c r="AF3469" s="679"/>
    </row>
    <row r="3470" spans="32:32" x14ac:dyDescent="0.2">
      <c r="AF3470" s="679"/>
    </row>
    <row r="3471" spans="32:32" x14ac:dyDescent="0.2">
      <c r="AF3471" s="679"/>
    </row>
    <row r="3472" spans="32:32" x14ac:dyDescent="0.2">
      <c r="AF3472" s="679"/>
    </row>
    <row r="3473" spans="32:32" x14ac:dyDescent="0.2">
      <c r="AF3473" s="679"/>
    </row>
    <row r="3474" spans="32:32" x14ac:dyDescent="0.2">
      <c r="AF3474" s="679"/>
    </row>
    <row r="3475" spans="32:32" x14ac:dyDescent="0.2">
      <c r="AF3475" s="679"/>
    </row>
    <row r="3476" spans="32:32" x14ac:dyDescent="0.2">
      <c r="AF3476" s="679"/>
    </row>
    <row r="3477" spans="32:32" x14ac:dyDescent="0.2">
      <c r="AF3477" s="679"/>
    </row>
    <row r="3478" spans="32:32" x14ac:dyDescent="0.2">
      <c r="AF3478" s="679"/>
    </row>
    <row r="3479" spans="32:32" x14ac:dyDescent="0.2">
      <c r="AF3479" s="679"/>
    </row>
    <row r="3480" spans="32:32" x14ac:dyDescent="0.2">
      <c r="AF3480" s="679"/>
    </row>
    <row r="3481" spans="32:32" x14ac:dyDescent="0.2">
      <c r="AF3481" s="679"/>
    </row>
    <row r="3482" spans="32:32" x14ac:dyDescent="0.2">
      <c r="AF3482" s="679"/>
    </row>
    <row r="3483" spans="32:32" x14ac:dyDescent="0.2">
      <c r="AF3483" s="679"/>
    </row>
    <row r="3484" spans="32:32" x14ac:dyDescent="0.2">
      <c r="AF3484" s="679"/>
    </row>
    <row r="3485" spans="32:32" x14ac:dyDescent="0.2">
      <c r="AF3485" s="679"/>
    </row>
    <row r="3486" spans="32:32" x14ac:dyDescent="0.2">
      <c r="AF3486" s="679"/>
    </row>
    <row r="3487" spans="32:32" x14ac:dyDescent="0.2">
      <c r="AF3487" s="679"/>
    </row>
    <row r="3488" spans="32:32" x14ac:dyDescent="0.2">
      <c r="AF3488" s="679"/>
    </row>
    <row r="3489" spans="32:32" x14ac:dyDescent="0.2">
      <c r="AF3489" s="679"/>
    </row>
    <row r="3490" spans="32:32" x14ac:dyDescent="0.2">
      <c r="AF3490" s="679"/>
    </row>
    <row r="3491" spans="32:32" x14ac:dyDescent="0.2">
      <c r="AF3491" s="679"/>
    </row>
    <row r="3492" spans="32:32" x14ac:dyDescent="0.2">
      <c r="AF3492" s="679"/>
    </row>
    <row r="3493" spans="32:32" x14ac:dyDescent="0.2">
      <c r="AF3493" s="679"/>
    </row>
    <row r="3494" spans="32:32" x14ac:dyDescent="0.2">
      <c r="AF3494" s="679"/>
    </row>
    <row r="3495" spans="32:32" x14ac:dyDescent="0.2">
      <c r="AF3495" s="679"/>
    </row>
    <row r="3496" spans="32:32" x14ac:dyDescent="0.2">
      <c r="AF3496" s="679"/>
    </row>
    <row r="3497" spans="32:32" x14ac:dyDescent="0.2">
      <c r="AF3497" s="679"/>
    </row>
    <row r="3498" spans="32:32" x14ac:dyDescent="0.2">
      <c r="AF3498" s="679"/>
    </row>
    <row r="3499" spans="32:32" x14ac:dyDescent="0.2">
      <c r="AF3499" s="679"/>
    </row>
    <row r="3500" spans="32:32" x14ac:dyDescent="0.2">
      <c r="AF3500" s="679"/>
    </row>
    <row r="3501" spans="32:32" x14ac:dyDescent="0.2">
      <c r="AF3501" s="679"/>
    </row>
    <row r="3502" spans="32:32" x14ac:dyDescent="0.2">
      <c r="AF3502" s="679"/>
    </row>
    <row r="3503" spans="32:32" x14ac:dyDescent="0.2">
      <c r="AF3503" s="679"/>
    </row>
    <row r="3504" spans="32:32" x14ac:dyDescent="0.2">
      <c r="AF3504" s="679"/>
    </row>
    <row r="3505" spans="32:32" x14ac:dyDescent="0.2">
      <c r="AF3505" s="679"/>
    </row>
    <row r="3506" spans="32:32" x14ac:dyDescent="0.2">
      <c r="AF3506" s="679"/>
    </row>
    <row r="3507" spans="32:32" x14ac:dyDescent="0.2">
      <c r="AF3507" s="679"/>
    </row>
    <row r="3508" spans="32:32" x14ac:dyDescent="0.2">
      <c r="AF3508" s="679"/>
    </row>
    <row r="3509" spans="32:32" x14ac:dyDescent="0.2">
      <c r="AF3509" s="679"/>
    </row>
    <row r="3510" spans="32:32" x14ac:dyDescent="0.2">
      <c r="AF3510" s="679"/>
    </row>
    <row r="3511" spans="32:32" x14ac:dyDescent="0.2">
      <c r="AF3511" s="679"/>
    </row>
    <row r="3512" spans="32:32" x14ac:dyDescent="0.2">
      <c r="AF3512" s="679"/>
    </row>
    <row r="3513" spans="32:32" x14ac:dyDescent="0.2">
      <c r="AF3513" s="679"/>
    </row>
    <row r="3514" spans="32:32" x14ac:dyDescent="0.2">
      <c r="AF3514" s="679"/>
    </row>
    <row r="3515" spans="32:32" x14ac:dyDescent="0.2">
      <c r="AF3515" s="679"/>
    </row>
    <row r="3516" spans="32:32" x14ac:dyDescent="0.2">
      <c r="AF3516" s="679"/>
    </row>
    <row r="3517" spans="32:32" x14ac:dyDescent="0.2">
      <c r="AF3517" s="679"/>
    </row>
    <row r="3518" spans="32:32" x14ac:dyDescent="0.2">
      <c r="AF3518" s="679"/>
    </row>
    <row r="3519" spans="32:32" x14ac:dyDescent="0.2">
      <c r="AF3519" s="679"/>
    </row>
    <row r="3520" spans="32:32" x14ac:dyDescent="0.2">
      <c r="AF3520" s="679"/>
    </row>
    <row r="3521" spans="32:32" x14ac:dyDescent="0.2">
      <c r="AF3521" s="679"/>
    </row>
    <row r="3522" spans="32:32" x14ac:dyDescent="0.2">
      <c r="AF3522" s="679"/>
    </row>
    <row r="3523" spans="32:32" x14ac:dyDescent="0.2">
      <c r="AF3523" s="679"/>
    </row>
    <row r="3524" spans="32:32" x14ac:dyDescent="0.2">
      <c r="AF3524" s="679"/>
    </row>
    <row r="3525" spans="32:32" x14ac:dyDescent="0.2">
      <c r="AF3525" s="679"/>
    </row>
    <row r="3526" spans="32:32" x14ac:dyDescent="0.2">
      <c r="AF3526" s="679"/>
    </row>
    <row r="3527" spans="32:32" x14ac:dyDescent="0.2">
      <c r="AF3527" s="679"/>
    </row>
    <row r="3528" spans="32:32" x14ac:dyDescent="0.2">
      <c r="AF3528" s="679"/>
    </row>
    <row r="3529" spans="32:32" x14ac:dyDescent="0.2">
      <c r="AF3529" s="679"/>
    </row>
    <row r="3530" spans="32:32" x14ac:dyDescent="0.2">
      <c r="AF3530" s="679"/>
    </row>
    <row r="3531" spans="32:32" x14ac:dyDescent="0.2">
      <c r="AF3531" s="679"/>
    </row>
    <row r="3532" spans="32:32" x14ac:dyDescent="0.2">
      <c r="AF3532" s="679"/>
    </row>
    <row r="3533" spans="32:32" x14ac:dyDescent="0.2">
      <c r="AF3533" s="679"/>
    </row>
    <row r="3534" spans="32:32" x14ac:dyDescent="0.2">
      <c r="AF3534" s="679"/>
    </row>
    <row r="3535" spans="32:32" x14ac:dyDescent="0.2">
      <c r="AF3535" s="679"/>
    </row>
    <row r="3536" spans="32:32" x14ac:dyDescent="0.2">
      <c r="AF3536" s="679"/>
    </row>
    <row r="3537" spans="32:32" x14ac:dyDescent="0.2">
      <c r="AF3537" s="679"/>
    </row>
    <row r="3538" spans="32:32" x14ac:dyDescent="0.2">
      <c r="AF3538" s="679"/>
    </row>
    <row r="3539" spans="32:32" x14ac:dyDescent="0.2">
      <c r="AF3539" s="679"/>
    </row>
    <row r="3540" spans="32:32" x14ac:dyDescent="0.2">
      <c r="AF3540" s="679"/>
    </row>
    <row r="3541" spans="32:32" x14ac:dyDescent="0.2">
      <c r="AF3541" s="679"/>
    </row>
    <row r="3542" spans="32:32" x14ac:dyDescent="0.2">
      <c r="AF3542" s="679"/>
    </row>
    <row r="3543" spans="32:32" x14ac:dyDescent="0.2">
      <c r="AF3543" s="679"/>
    </row>
    <row r="3544" spans="32:32" x14ac:dyDescent="0.2">
      <c r="AF3544" s="679"/>
    </row>
    <row r="3545" spans="32:32" x14ac:dyDescent="0.2">
      <c r="AF3545" s="679"/>
    </row>
    <row r="3546" spans="32:32" x14ac:dyDescent="0.2">
      <c r="AF3546" s="679"/>
    </row>
    <row r="3547" spans="32:32" x14ac:dyDescent="0.2">
      <c r="AF3547" s="679"/>
    </row>
    <row r="3548" spans="32:32" x14ac:dyDescent="0.2">
      <c r="AF3548" s="679"/>
    </row>
    <row r="3549" spans="32:32" x14ac:dyDescent="0.2">
      <c r="AF3549" s="679"/>
    </row>
    <row r="3550" spans="32:32" x14ac:dyDescent="0.2">
      <c r="AF3550" s="679"/>
    </row>
    <row r="3551" spans="32:32" x14ac:dyDescent="0.2">
      <c r="AF3551" s="679"/>
    </row>
    <row r="3552" spans="32:32" x14ac:dyDescent="0.2">
      <c r="AF3552" s="679"/>
    </row>
    <row r="3553" spans="32:32" x14ac:dyDescent="0.2">
      <c r="AF3553" s="679"/>
    </row>
    <row r="3554" spans="32:32" x14ac:dyDescent="0.2">
      <c r="AF3554" s="679"/>
    </row>
    <row r="3555" spans="32:32" x14ac:dyDescent="0.2">
      <c r="AF3555" s="679"/>
    </row>
    <row r="3556" spans="32:32" x14ac:dyDescent="0.2">
      <c r="AF3556" s="679"/>
    </row>
    <row r="3557" spans="32:32" x14ac:dyDescent="0.2">
      <c r="AF3557" s="679"/>
    </row>
    <row r="3558" spans="32:32" x14ac:dyDescent="0.2">
      <c r="AF3558" s="679"/>
    </row>
    <row r="3559" spans="32:32" x14ac:dyDescent="0.2">
      <c r="AF3559" s="679"/>
    </row>
    <row r="3560" spans="32:32" x14ac:dyDescent="0.2">
      <c r="AF3560" s="679"/>
    </row>
    <row r="3561" spans="32:32" x14ac:dyDescent="0.2">
      <c r="AF3561" s="679"/>
    </row>
    <row r="3562" spans="32:32" x14ac:dyDescent="0.2">
      <c r="AF3562" s="679"/>
    </row>
    <row r="3563" spans="32:32" x14ac:dyDescent="0.2">
      <c r="AF3563" s="679"/>
    </row>
    <row r="3564" spans="32:32" x14ac:dyDescent="0.2">
      <c r="AF3564" s="679"/>
    </row>
    <row r="3565" spans="32:32" x14ac:dyDescent="0.2">
      <c r="AF3565" s="679"/>
    </row>
    <row r="3566" spans="32:32" x14ac:dyDescent="0.2">
      <c r="AF3566" s="679"/>
    </row>
    <row r="3567" spans="32:32" x14ac:dyDescent="0.2">
      <c r="AF3567" s="679"/>
    </row>
    <row r="3568" spans="32:32" x14ac:dyDescent="0.2">
      <c r="AF3568" s="679"/>
    </row>
    <row r="3569" spans="32:32" x14ac:dyDescent="0.2">
      <c r="AF3569" s="679"/>
    </row>
    <row r="3570" spans="32:32" x14ac:dyDescent="0.2">
      <c r="AF3570" s="679"/>
    </row>
    <row r="3571" spans="32:32" x14ac:dyDescent="0.2">
      <c r="AF3571" s="679"/>
    </row>
    <row r="3572" spans="32:32" x14ac:dyDescent="0.2">
      <c r="AF3572" s="679"/>
    </row>
    <row r="3573" spans="32:32" x14ac:dyDescent="0.2">
      <c r="AF3573" s="679"/>
    </row>
    <row r="3574" spans="32:32" x14ac:dyDescent="0.2">
      <c r="AF3574" s="679"/>
    </row>
    <row r="3575" spans="32:32" x14ac:dyDescent="0.2">
      <c r="AF3575" s="679"/>
    </row>
    <row r="3576" spans="32:32" x14ac:dyDescent="0.2">
      <c r="AF3576" s="679"/>
    </row>
    <row r="3577" spans="32:32" x14ac:dyDescent="0.2">
      <c r="AF3577" s="679"/>
    </row>
    <row r="3578" spans="32:32" x14ac:dyDescent="0.2">
      <c r="AF3578" s="679"/>
    </row>
    <row r="3579" spans="32:32" x14ac:dyDescent="0.2">
      <c r="AF3579" s="679"/>
    </row>
    <row r="3580" spans="32:32" x14ac:dyDescent="0.2">
      <c r="AF3580" s="679"/>
    </row>
    <row r="3581" spans="32:32" x14ac:dyDescent="0.2">
      <c r="AF3581" s="679"/>
    </row>
    <row r="3582" spans="32:32" x14ac:dyDescent="0.2">
      <c r="AF3582" s="679"/>
    </row>
    <row r="3583" spans="32:32" x14ac:dyDescent="0.2">
      <c r="AF3583" s="679"/>
    </row>
    <row r="3584" spans="32:32" x14ac:dyDescent="0.2">
      <c r="AF3584" s="679"/>
    </row>
    <row r="3585" spans="32:32" x14ac:dyDescent="0.2">
      <c r="AF3585" s="679"/>
    </row>
    <row r="3586" spans="32:32" x14ac:dyDescent="0.2">
      <c r="AF3586" s="679"/>
    </row>
    <row r="3587" spans="32:32" x14ac:dyDescent="0.2">
      <c r="AF3587" s="679"/>
    </row>
    <row r="3588" spans="32:32" x14ac:dyDescent="0.2">
      <c r="AF3588" s="679"/>
    </row>
    <row r="3589" spans="32:32" x14ac:dyDescent="0.2">
      <c r="AF3589" s="679"/>
    </row>
    <row r="3590" spans="32:32" x14ac:dyDescent="0.2">
      <c r="AF3590" s="679"/>
    </row>
    <row r="3591" spans="32:32" x14ac:dyDescent="0.2">
      <c r="AF3591" s="679"/>
    </row>
    <row r="3592" spans="32:32" x14ac:dyDescent="0.2">
      <c r="AF3592" s="679"/>
    </row>
    <row r="3593" spans="32:32" x14ac:dyDescent="0.2">
      <c r="AF3593" s="679"/>
    </row>
    <row r="3594" spans="32:32" x14ac:dyDescent="0.2">
      <c r="AF3594" s="679"/>
    </row>
    <row r="3595" spans="32:32" x14ac:dyDescent="0.2">
      <c r="AF3595" s="679"/>
    </row>
    <row r="3596" spans="32:32" x14ac:dyDescent="0.2">
      <c r="AF3596" s="679"/>
    </row>
    <row r="3597" spans="32:32" x14ac:dyDescent="0.2">
      <c r="AF3597" s="679"/>
    </row>
    <row r="3598" spans="32:32" x14ac:dyDescent="0.2">
      <c r="AF3598" s="679"/>
    </row>
    <row r="3599" spans="32:32" x14ac:dyDescent="0.2">
      <c r="AF3599" s="679"/>
    </row>
    <row r="3600" spans="32:32" x14ac:dyDescent="0.2">
      <c r="AF3600" s="679"/>
    </row>
    <row r="3601" spans="32:32" x14ac:dyDescent="0.2">
      <c r="AF3601" s="679"/>
    </row>
    <row r="3602" spans="32:32" x14ac:dyDescent="0.2">
      <c r="AF3602" s="679"/>
    </row>
    <row r="3603" spans="32:32" x14ac:dyDescent="0.2">
      <c r="AF3603" s="679"/>
    </row>
    <row r="3604" spans="32:32" x14ac:dyDescent="0.2">
      <c r="AF3604" s="679"/>
    </row>
    <row r="3605" spans="32:32" x14ac:dyDescent="0.2">
      <c r="AF3605" s="679"/>
    </row>
    <row r="3606" spans="32:32" x14ac:dyDescent="0.2">
      <c r="AF3606" s="679"/>
    </row>
    <row r="3607" spans="32:32" x14ac:dyDescent="0.2">
      <c r="AF3607" s="679"/>
    </row>
    <row r="3608" spans="32:32" x14ac:dyDescent="0.2">
      <c r="AF3608" s="679"/>
    </row>
    <row r="3609" spans="32:32" x14ac:dyDescent="0.2">
      <c r="AF3609" s="679"/>
    </row>
    <row r="3610" spans="32:32" x14ac:dyDescent="0.2">
      <c r="AF3610" s="679"/>
    </row>
    <row r="3611" spans="32:32" x14ac:dyDescent="0.2">
      <c r="AF3611" s="679"/>
    </row>
    <row r="3612" spans="32:32" x14ac:dyDescent="0.2">
      <c r="AF3612" s="679"/>
    </row>
    <row r="3613" spans="32:32" x14ac:dyDescent="0.2">
      <c r="AF3613" s="679"/>
    </row>
    <row r="3614" spans="32:32" x14ac:dyDescent="0.2">
      <c r="AF3614" s="679"/>
    </row>
    <row r="3615" spans="32:32" x14ac:dyDescent="0.2">
      <c r="AF3615" s="679"/>
    </row>
    <row r="3616" spans="32:32" x14ac:dyDescent="0.2">
      <c r="AF3616" s="679"/>
    </row>
    <row r="3617" spans="32:32" x14ac:dyDescent="0.2">
      <c r="AF3617" s="679"/>
    </row>
    <row r="3618" spans="32:32" x14ac:dyDescent="0.2">
      <c r="AF3618" s="679"/>
    </row>
    <row r="3619" spans="32:32" x14ac:dyDescent="0.2">
      <c r="AF3619" s="679"/>
    </row>
    <row r="3620" spans="32:32" x14ac:dyDescent="0.2">
      <c r="AF3620" s="679"/>
    </row>
    <row r="3621" spans="32:32" x14ac:dyDescent="0.2">
      <c r="AF3621" s="679"/>
    </row>
    <row r="3622" spans="32:32" x14ac:dyDescent="0.2">
      <c r="AF3622" s="679"/>
    </row>
    <row r="3623" spans="32:32" x14ac:dyDescent="0.2">
      <c r="AF3623" s="679"/>
    </row>
    <row r="3624" spans="32:32" x14ac:dyDescent="0.2">
      <c r="AF3624" s="679"/>
    </row>
    <row r="3625" spans="32:32" x14ac:dyDescent="0.2">
      <c r="AF3625" s="679"/>
    </row>
    <row r="3626" spans="32:32" x14ac:dyDescent="0.2">
      <c r="AF3626" s="679"/>
    </row>
    <row r="3627" spans="32:32" x14ac:dyDescent="0.2">
      <c r="AF3627" s="679"/>
    </row>
    <row r="3628" spans="32:32" x14ac:dyDescent="0.2">
      <c r="AF3628" s="679"/>
    </row>
    <row r="3629" spans="32:32" x14ac:dyDescent="0.2">
      <c r="AF3629" s="679"/>
    </row>
    <row r="3630" spans="32:32" x14ac:dyDescent="0.2">
      <c r="AF3630" s="679"/>
    </row>
    <row r="3631" spans="32:32" x14ac:dyDescent="0.2">
      <c r="AF3631" s="679"/>
    </row>
    <row r="3632" spans="32:32" x14ac:dyDescent="0.2">
      <c r="AF3632" s="679"/>
    </row>
    <row r="3633" spans="32:32" x14ac:dyDescent="0.2">
      <c r="AF3633" s="679"/>
    </row>
    <row r="3634" spans="32:32" x14ac:dyDescent="0.2">
      <c r="AF3634" s="679"/>
    </row>
    <row r="3635" spans="32:32" x14ac:dyDescent="0.2">
      <c r="AF3635" s="679"/>
    </row>
    <row r="3636" spans="32:32" x14ac:dyDescent="0.2">
      <c r="AF3636" s="679"/>
    </row>
    <row r="3637" spans="32:32" x14ac:dyDescent="0.2">
      <c r="AF3637" s="679"/>
    </row>
    <row r="3638" spans="32:32" x14ac:dyDescent="0.2">
      <c r="AF3638" s="679"/>
    </row>
    <row r="3639" spans="32:32" x14ac:dyDescent="0.2">
      <c r="AF3639" s="679"/>
    </row>
    <row r="3640" spans="32:32" x14ac:dyDescent="0.2">
      <c r="AF3640" s="679"/>
    </row>
    <row r="3641" spans="32:32" x14ac:dyDescent="0.2">
      <c r="AF3641" s="679"/>
    </row>
    <row r="3642" spans="32:32" x14ac:dyDescent="0.2">
      <c r="AF3642" s="679"/>
    </row>
    <row r="3643" spans="32:32" x14ac:dyDescent="0.2">
      <c r="AF3643" s="679"/>
    </row>
    <row r="3644" spans="32:32" x14ac:dyDescent="0.2">
      <c r="AF3644" s="679"/>
    </row>
    <row r="3645" spans="32:32" x14ac:dyDescent="0.2">
      <c r="AF3645" s="679"/>
    </row>
    <row r="3646" spans="32:32" x14ac:dyDescent="0.2">
      <c r="AF3646" s="679"/>
    </row>
    <row r="3647" spans="32:32" x14ac:dyDescent="0.2">
      <c r="AF3647" s="679"/>
    </row>
    <row r="3648" spans="32:32" x14ac:dyDescent="0.2">
      <c r="AF3648" s="679"/>
    </row>
    <row r="3649" spans="32:32" x14ac:dyDescent="0.2">
      <c r="AF3649" s="679"/>
    </row>
    <row r="3650" spans="32:32" x14ac:dyDescent="0.2">
      <c r="AF3650" s="679"/>
    </row>
    <row r="3651" spans="32:32" x14ac:dyDescent="0.2">
      <c r="AF3651" s="679"/>
    </row>
    <row r="3652" spans="32:32" x14ac:dyDescent="0.2">
      <c r="AF3652" s="679"/>
    </row>
    <row r="3653" spans="32:32" x14ac:dyDescent="0.2">
      <c r="AF3653" s="679"/>
    </row>
    <row r="3654" spans="32:32" x14ac:dyDescent="0.2">
      <c r="AF3654" s="679"/>
    </row>
    <row r="3655" spans="32:32" x14ac:dyDescent="0.2">
      <c r="AF3655" s="679"/>
    </row>
    <row r="3656" spans="32:32" x14ac:dyDescent="0.2">
      <c r="AF3656" s="679"/>
    </row>
    <row r="3657" spans="32:32" x14ac:dyDescent="0.2">
      <c r="AF3657" s="679"/>
    </row>
    <row r="3658" spans="32:32" x14ac:dyDescent="0.2">
      <c r="AF3658" s="679"/>
    </row>
    <row r="3659" spans="32:32" x14ac:dyDescent="0.2">
      <c r="AF3659" s="679"/>
    </row>
    <row r="3660" spans="32:32" x14ac:dyDescent="0.2">
      <c r="AF3660" s="679"/>
    </row>
    <row r="3661" spans="32:32" x14ac:dyDescent="0.2">
      <c r="AF3661" s="679"/>
    </row>
    <row r="3662" spans="32:32" x14ac:dyDescent="0.2">
      <c r="AF3662" s="679"/>
    </row>
    <row r="3663" spans="32:32" x14ac:dyDescent="0.2">
      <c r="AF3663" s="679"/>
    </row>
    <row r="3664" spans="32:32" x14ac:dyDescent="0.2">
      <c r="AF3664" s="679"/>
    </row>
    <row r="3665" spans="32:32" x14ac:dyDescent="0.2">
      <c r="AF3665" s="679"/>
    </row>
    <row r="3666" spans="32:32" x14ac:dyDescent="0.2">
      <c r="AF3666" s="679"/>
    </row>
    <row r="3667" spans="32:32" x14ac:dyDescent="0.2">
      <c r="AF3667" s="679"/>
    </row>
    <row r="3668" spans="32:32" x14ac:dyDescent="0.2">
      <c r="AF3668" s="679"/>
    </row>
    <row r="3669" spans="32:32" x14ac:dyDescent="0.2">
      <c r="AF3669" s="679"/>
    </row>
    <row r="3670" spans="32:32" x14ac:dyDescent="0.2">
      <c r="AF3670" s="679"/>
    </row>
    <row r="3671" spans="32:32" x14ac:dyDescent="0.2">
      <c r="AF3671" s="679"/>
    </row>
    <row r="3672" spans="32:32" x14ac:dyDescent="0.2">
      <c r="AF3672" s="679"/>
    </row>
    <row r="3673" spans="32:32" x14ac:dyDescent="0.2">
      <c r="AF3673" s="679"/>
    </row>
    <row r="3674" spans="32:32" x14ac:dyDescent="0.2">
      <c r="AF3674" s="679"/>
    </row>
    <row r="3675" spans="32:32" x14ac:dyDescent="0.2">
      <c r="AF3675" s="679"/>
    </row>
    <row r="3676" spans="32:32" x14ac:dyDescent="0.2">
      <c r="AF3676" s="679"/>
    </row>
    <row r="3677" spans="32:32" x14ac:dyDescent="0.2">
      <c r="AF3677" s="679"/>
    </row>
    <row r="3678" spans="32:32" x14ac:dyDescent="0.2">
      <c r="AF3678" s="679"/>
    </row>
    <row r="3679" spans="32:32" x14ac:dyDescent="0.2">
      <c r="AF3679" s="679"/>
    </row>
    <row r="3680" spans="32:32" x14ac:dyDescent="0.2">
      <c r="AF3680" s="679"/>
    </row>
    <row r="3681" spans="32:32" x14ac:dyDescent="0.2">
      <c r="AF3681" s="679"/>
    </row>
    <row r="3682" spans="32:32" x14ac:dyDescent="0.2">
      <c r="AF3682" s="679"/>
    </row>
    <row r="3683" spans="32:32" x14ac:dyDescent="0.2">
      <c r="AF3683" s="679"/>
    </row>
    <row r="3684" spans="32:32" x14ac:dyDescent="0.2">
      <c r="AF3684" s="679"/>
    </row>
    <row r="3685" spans="32:32" x14ac:dyDescent="0.2">
      <c r="AF3685" s="679"/>
    </row>
    <row r="3686" spans="32:32" x14ac:dyDescent="0.2">
      <c r="AF3686" s="679"/>
    </row>
    <row r="3687" spans="32:32" x14ac:dyDescent="0.2">
      <c r="AF3687" s="679"/>
    </row>
    <row r="3688" spans="32:32" x14ac:dyDescent="0.2">
      <c r="AF3688" s="679"/>
    </row>
    <row r="3689" spans="32:32" x14ac:dyDescent="0.2">
      <c r="AF3689" s="679"/>
    </row>
    <row r="3690" spans="32:32" x14ac:dyDescent="0.2">
      <c r="AF3690" s="679"/>
    </row>
    <row r="3691" spans="32:32" x14ac:dyDescent="0.2">
      <c r="AF3691" s="679"/>
    </row>
    <row r="3692" spans="32:32" x14ac:dyDescent="0.2">
      <c r="AF3692" s="679"/>
    </row>
    <row r="3693" spans="32:32" x14ac:dyDescent="0.2">
      <c r="AF3693" s="679"/>
    </row>
    <row r="3694" spans="32:32" x14ac:dyDescent="0.2">
      <c r="AF3694" s="679"/>
    </row>
    <row r="3695" spans="32:32" x14ac:dyDescent="0.2">
      <c r="AF3695" s="679"/>
    </row>
    <row r="3696" spans="32:32" x14ac:dyDescent="0.2">
      <c r="AF3696" s="679"/>
    </row>
    <row r="3697" spans="32:32" x14ac:dyDescent="0.2">
      <c r="AF3697" s="679"/>
    </row>
    <row r="3698" spans="32:32" x14ac:dyDescent="0.2">
      <c r="AF3698" s="679"/>
    </row>
    <row r="3699" spans="32:32" x14ac:dyDescent="0.2">
      <c r="AF3699" s="679"/>
    </row>
    <row r="3700" spans="32:32" x14ac:dyDescent="0.2">
      <c r="AF3700" s="679"/>
    </row>
    <row r="3701" spans="32:32" x14ac:dyDescent="0.2">
      <c r="AF3701" s="679"/>
    </row>
    <row r="3702" spans="32:32" x14ac:dyDescent="0.2">
      <c r="AF3702" s="679"/>
    </row>
    <row r="3703" spans="32:32" x14ac:dyDescent="0.2">
      <c r="AF3703" s="679"/>
    </row>
    <row r="3704" spans="32:32" x14ac:dyDescent="0.2">
      <c r="AF3704" s="679"/>
    </row>
    <row r="3705" spans="32:32" x14ac:dyDescent="0.2">
      <c r="AF3705" s="679"/>
    </row>
    <row r="3706" spans="32:32" x14ac:dyDescent="0.2">
      <c r="AF3706" s="679"/>
    </row>
    <row r="3707" spans="32:32" x14ac:dyDescent="0.2">
      <c r="AF3707" s="679"/>
    </row>
    <row r="3708" spans="32:32" x14ac:dyDescent="0.2">
      <c r="AF3708" s="679"/>
    </row>
    <row r="3709" spans="32:32" x14ac:dyDescent="0.2">
      <c r="AF3709" s="679"/>
    </row>
    <row r="3710" spans="32:32" x14ac:dyDescent="0.2">
      <c r="AF3710" s="679"/>
    </row>
    <row r="3711" spans="32:32" x14ac:dyDescent="0.2">
      <c r="AF3711" s="679"/>
    </row>
    <row r="3712" spans="32:32" x14ac:dyDescent="0.2">
      <c r="AF3712" s="679"/>
    </row>
    <row r="3713" spans="32:32" x14ac:dyDescent="0.2">
      <c r="AF3713" s="679"/>
    </row>
    <row r="3714" spans="32:32" x14ac:dyDescent="0.2">
      <c r="AF3714" s="679"/>
    </row>
    <row r="3715" spans="32:32" x14ac:dyDescent="0.2">
      <c r="AF3715" s="679"/>
    </row>
    <row r="3716" spans="32:32" x14ac:dyDescent="0.2">
      <c r="AF3716" s="679"/>
    </row>
    <row r="3717" spans="32:32" x14ac:dyDescent="0.2">
      <c r="AF3717" s="679"/>
    </row>
    <row r="3718" spans="32:32" x14ac:dyDescent="0.2">
      <c r="AF3718" s="679"/>
    </row>
    <row r="3719" spans="32:32" x14ac:dyDescent="0.2">
      <c r="AF3719" s="679"/>
    </row>
    <row r="3720" spans="32:32" x14ac:dyDescent="0.2">
      <c r="AF3720" s="679"/>
    </row>
    <row r="3721" spans="32:32" x14ac:dyDescent="0.2">
      <c r="AF3721" s="679"/>
    </row>
    <row r="3722" spans="32:32" x14ac:dyDescent="0.2">
      <c r="AF3722" s="679"/>
    </row>
    <row r="3723" spans="32:32" x14ac:dyDescent="0.2">
      <c r="AF3723" s="679"/>
    </row>
    <row r="3724" spans="32:32" x14ac:dyDescent="0.2">
      <c r="AF3724" s="679"/>
    </row>
    <row r="3725" spans="32:32" x14ac:dyDescent="0.2">
      <c r="AF3725" s="679"/>
    </row>
    <row r="3726" spans="32:32" x14ac:dyDescent="0.2">
      <c r="AF3726" s="679"/>
    </row>
    <row r="3727" spans="32:32" x14ac:dyDescent="0.2">
      <c r="AF3727" s="679"/>
    </row>
    <row r="3728" spans="32:32" x14ac:dyDescent="0.2">
      <c r="AF3728" s="679"/>
    </row>
    <row r="3729" spans="32:32" x14ac:dyDescent="0.2">
      <c r="AF3729" s="679"/>
    </row>
    <row r="3730" spans="32:32" x14ac:dyDescent="0.2">
      <c r="AF3730" s="679"/>
    </row>
    <row r="3731" spans="32:32" x14ac:dyDescent="0.2">
      <c r="AF3731" s="679"/>
    </row>
    <row r="3732" spans="32:32" x14ac:dyDescent="0.2">
      <c r="AF3732" s="679"/>
    </row>
    <row r="3733" spans="32:32" x14ac:dyDescent="0.2">
      <c r="AF3733" s="679"/>
    </row>
    <row r="3734" spans="32:32" x14ac:dyDescent="0.2">
      <c r="AF3734" s="679"/>
    </row>
    <row r="3735" spans="32:32" x14ac:dyDescent="0.2">
      <c r="AF3735" s="679"/>
    </row>
    <row r="3736" spans="32:32" x14ac:dyDescent="0.2">
      <c r="AF3736" s="679"/>
    </row>
    <row r="3737" spans="32:32" x14ac:dyDescent="0.2">
      <c r="AF3737" s="679"/>
    </row>
    <row r="3738" spans="32:32" x14ac:dyDescent="0.2">
      <c r="AF3738" s="679"/>
    </row>
    <row r="3739" spans="32:32" x14ac:dyDescent="0.2">
      <c r="AF3739" s="679"/>
    </row>
    <row r="3740" spans="32:32" x14ac:dyDescent="0.2">
      <c r="AF3740" s="679"/>
    </row>
    <row r="3741" spans="32:32" x14ac:dyDescent="0.2">
      <c r="AF3741" s="679"/>
    </row>
    <row r="3742" spans="32:32" x14ac:dyDescent="0.2">
      <c r="AF3742" s="679"/>
    </row>
    <row r="3743" spans="32:32" x14ac:dyDescent="0.2">
      <c r="AF3743" s="679"/>
    </row>
    <row r="3744" spans="32:32" x14ac:dyDescent="0.2">
      <c r="AF3744" s="679"/>
    </row>
    <row r="3745" spans="32:32" x14ac:dyDescent="0.2">
      <c r="AF3745" s="679"/>
    </row>
    <row r="3746" spans="32:32" x14ac:dyDescent="0.2">
      <c r="AF3746" s="679"/>
    </row>
    <row r="3747" spans="32:32" x14ac:dyDescent="0.2">
      <c r="AF3747" s="679"/>
    </row>
    <row r="3748" spans="32:32" x14ac:dyDescent="0.2">
      <c r="AF3748" s="679"/>
    </row>
    <row r="3749" spans="32:32" x14ac:dyDescent="0.2">
      <c r="AF3749" s="679"/>
    </row>
    <row r="3750" spans="32:32" x14ac:dyDescent="0.2">
      <c r="AF3750" s="679"/>
    </row>
    <row r="3751" spans="32:32" x14ac:dyDescent="0.2">
      <c r="AF3751" s="679"/>
    </row>
    <row r="3752" spans="32:32" x14ac:dyDescent="0.2">
      <c r="AF3752" s="679"/>
    </row>
    <row r="3753" spans="32:32" x14ac:dyDescent="0.2">
      <c r="AF3753" s="679"/>
    </row>
    <row r="3754" spans="32:32" x14ac:dyDescent="0.2">
      <c r="AF3754" s="679"/>
    </row>
    <row r="3755" spans="32:32" x14ac:dyDescent="0.2">
      <c r="AF3755" s="679"/>
    </row>
    <row r="3756" spans="32:32" x14ac:dyDescent="0.2">
      <c r="AF3756" s="679"/>
    </row>
    <row r="3757" spans="32:32" x14ac:dyDescent="0.2">
      <c r="AF3757" s="679"/>
    </row>
    <row r="3758" spans="32:32" x14ac:dyDescent="0.2">
      <c r="AF3758" s="679"/>
    </row>
    <row r="3759" spans="32:32" x14ac:dyDescent="0.2">
      <c r="AF3759" s="679"/>
    </row>
    <row r="3760" spans="32:32" x14ac:dyDescent="0.2">
      <c r="AF3760" s="679"/>
    </row>
    <row r="3761" spans="32:32" x14ac:dyDescent="0.2">
      <c r="AF3761" s="679"/>
    </row>
    <row r="3762" spans="32:32" x14ac:dyDescent="0.2">
      <c r="AF3762" s="679"/>
    </row>
    <row r="3763" spans="32:32" x14ac:dyDescent="0.2">
      <c r="AF3763" s="679"/>
    </row>
    <row r="3764" spans="32:32" x14ac:dyDescent="0.2">
      <c r="AF3764" s="679"/>
    </row>
    <row r="3765" spans="32:32" x14ac:dyDescent="0.2">
      <c r="AF3765" s="679"/>
    </row>
    <row r="3766" spans="32:32" x14ac:dyDescent="0.2">
      <c r="AF3766" s="679"/>
    </row>
    <row r="3767" spans="32:32" x14ac:dyDescent="0.2">
      <c r="AF3767" s="679"/>
    </row>
    <row r="3768" spans="32:32" x14ac:dyDescent="0.2">
      <c r="AF3768" s="679"/>
    </row>
    <row r="3769" spans="32:32" x14ac:dyDescent="0.2">
      <c r="AF3769" s="679"/>
    </row>
    <row r="3770" spans="32:32" x14ac:dyDescent="0.2">
      <c r="AF3770" s="679"/>
    </row>
    <row r="3771" spans="32:32" x14ac:dyDescent="0.2">
      <c r="AF3771" s="679"/>
    </row>
    <row r="3772" spans="32:32" x14ac:dyDescent="0.2">
      <c r="AF3772" s="679"/>
    </row>
    <row r="3773" spans="32:32" x14ac:dyDescent="0.2">
      <c r="AF3773" s="679"/>
    </row>
    <row r="3774" spans="32:32" x14ac:dyDescent="0.2">
      <c r="AF3774" s="679"/>
    </row>
    <row r="3775" spans="32:32" x14ac:dyDescent="0.2">
      <c r="AF3775" s="679"/>
    </row>
    <row r="3776" spans="32:32" x14ac:dyDescent="0.2">
      <c r="AF3776" s="679"/>
    </row>
    <row r="3777" spans="32:32" x14ac:dyDescent="0.2">
      <c r="AF3777" s="679"/>
    </row>
    <row r="3778" spans="32:32" x14ac:dyDescent="0.2">
      <c r="AF3778" s="679"/>
    </row>
    <row r="3779" spans="32:32" x14ac:dyDescent="0.2">
      <c r="AF3779" s="679"/>
    </row>
    <row r="3780" spans="32:32" x14ac:dyDescent="0.2">
      <c r="AF3780" s="679"/>
    </row>
    <row r="3781" spans="32:32" x14ac:dyDescent="0.2">
      <c r="AF3781" s="679"/>
    </row>
    <row r="3782" spans="32:32" x14ac:dyDescent="0.2">
      <c r="AF3782" s="679"/>
    </row>
    <row r="3783" spans="32:32" x14ac:dyDescent="0.2">
      <c r="AF3783" s="679"/>
    </row>
    <row r="3784" spans="32:32" x14ac:dyDescent="0.2">
      <c r="AF3784" s="679"/>
    </row>
    <row r="3785" spans="32:32" x14ac:dyDescent="0.2">
      <c r="AF3785" s="679"/>
    </row>
    <row r="3786" spans="32:32" x14ac:dyDescent="0.2">
      <c r="AF3786" s="679"/>
    </row>
    <row r="3787" spans="32:32" x14ac:dyDescent="0.2">
      <c r="AF3787" s="679"/>
    </row>
    <row r="3788" spans="32:32" x14ac:dyDescent="0.2">
      <c r="AF3788" s="679"/>
    </row>
    <row r="3789" spans="32:32" x14ac:dyDescent="0.2">
      <c r="AF3789" s="679"/>
    </row>
    <row r="3790" spans="32:32" x14ac:dyDescent="0.2">
      <c r="AF3790" s="679"/>
    </row>
    <row r="3791" spans="32:32" x14ac:dyDescent="0.2">
      <c r="AF3791" s="679"/>
    </row>
    <row r="3792" spans="32:32" x14ac:dyDescent="0.2">
      <c r="AF3792" s="679"/>
    </row>
    <row r="3793" spans="32:32" x14ac:dyDescent="0.2">
      <c r="AF3793" s="679"/>
    </row>
    <row r="3794" spans="32:32" x14ac:dyDescent="0.2">
      <c r="AF3794" s="679"/>
    </row>
    <row r="3795" spans="32:32" x14ac:dyDescent="0.2">
      <c r="AF3795" s="679"/>
    </row>
    <row r="3796" spans="32:32" x14ac:dyDescent="0.2">
      <c r="AF3796" s="679"/>
    </row>
    <row r="3797" spans="32:32" x14ac:dyDescent="0.2">
      <c r="AF3797" s="679"/>
    </row>
    <row r="3798" spans="32:32" x14ac:dyDescent="0.2">
      <c r="AF3798" s="679"/>
    </row>
    <row r="3799" spans="32:32" x14ac:dyDescent="0.2">
      <c r="AF3799" s="679"/>
    </row>
    <row r="3800" spans="32:32" x14ac:dyDescent="0.2">
      <c r="AF3800" s="679"/>
    </row>
    <row r="3801" spans="32:32" x14ac:dyDescent="0.2">
      <c r="AF3801" s="679"/>
    </row>
    <row r="3802" spans="32:32" x14ac:dyDescent="0.2">
      <c r="AF3802" s="679"/>
    </row>
    <row r="3803" spans="32:32" x14ac:dyDescent="0.2">
      <c r="AF3803" s="679"/>
    </row>
    <row r="3804" spans="32:32" x14ac:dyDescent="0.2">
      <c r="AF3804" s="679"/>
    </row>
    <row r="3805" spans="32:32" x14ac:dyDescent="0.2">
      <c r="AF3805" s="679"/>
    </row>
    <row r="3806" spans="32:32" x14ac:dyDescent="0.2">
      <c r="AF3806" s="679"/>
    </row>
    <row r="3807" spans="32:32" x14ac:dyDescent="0.2">
      <c r="AF3807" s="679"/>
    </row>
    <row r="3808" spans="32:32" x14ac:dyDescent="0.2">
      <c r="AF3808" s="679"/>
    </row>
    <row r="3809" spans="32:32" x14ac:dyDescent="0.2">
      <c r="AF3809" s="679"/>
    </row>
    <row r="3810" spans="32:32" x14ac:dyDescent="0.2">
      <c r="AF3810" s="679"/>
    </row>
    <row r="3811" spans="32:32" x14ac:dyDescent="0.2">
      <c r="AF3811" s="679"/>
    </row>
    <row r="3812" spans="32:32" x14ac:dyDescent="0.2">
      <c r="AF3812" s="679"/>
    </row>
    <row r="3813" spans="32:32" x14ac:dyDescent="0.2">
      <c r="AF3813" s="679"/>
    </row>
    <row r="3814" spans="32:32" x14ac:dyDescent="0.2">
      <c r="AF3814" s="679"/>
    </row>
    <row r="3815" spans="32:32" x14ac:dyDescent="0.2">
      <c r="AF3815" s="679"/>
    </row>
    <row r="3816" spans="32:32" x14ac:dyDescent="0.2">
      <c r="AF3816" s="679"/>
    </row>
    <row r="3817" spans="32:32" x14ac:dyDescent="0.2">
      <c r="AF3817" s="679"/>
    </row>
    <row r="3818" spans="32:32" x14ac:dyDescent="0.2">
      <c r="AF3818" s="679"/>
    </row>
    <row r="3819" spans="32:32" x14ac:dyDescent="0.2">
      <c r="AF3819" s="679"/>
    </row>
    <row r="3820" spans="32:32" x14ac:dyDescent="0.2">
      <c r="AF3820" s="679"/>
    </row>
    <row r="3821" spans="32:32" x14ac:dyDescent="0.2">
      <c r="AF3821" s="679"/>
    </row>
    <row r="3822" spans="32:32" x14ac:dyDescent="0.2">
      <c r="AF3822" s="679"/>
    </row>
    <row r="3823" spans="32:32" x14ac:dyDescent="0.2">
      <c r="AF3823" s="679"/>
    </row>
    <row r="3824" spans="32:32" x14ac:dyDescent="0.2">
      <c r="AF3824" s="679"/>
    </row>
    <row r="3825" spans="32:32" x14ac:dyDescent="0.2">
      <c r="AF3825" s="679"/>
    </row>
    <row r="3826" spans="32:32" x14ac:dyDescent="0.2">
      <c r="AF3826" s="679"/>
    </row>
    <row r="3827" spans="32:32" x14ac:dyDescent="0.2">
      <c r="AF3827" s="679"/>
    </row>
    <row r="3828" spans="32:32" x14ac:dyDescent="0.2">
      <c r="AF3828" s="679"/>
    </row>
    <row r="3829" spans="32:32" x14ac:dyDescent="0.2">
      <c r="AF3829" s="679"/>
    </row>
    <row r="3830" spans="32:32" x14ac:dyDescent="0.2">
      <c r="AF3830" s="679"/>
    </row>
    <row r="3831" spans="32:32" x14ac:dyDescent="0.2">
      <c r="AF3831" s="679"/>
    </row>
    <row r="3832" spans="32:32" x14ac:dyDescent="0.2">
      <c r="AF3832" s="679"/>
    </row>
    <row r="3833" spans="32:32" x14ac:dyDescent="0.2">
      <c r="AF3833" s="679"/>
    </row>
    <row r="3834" spans="32:32" x14ac:dyDescent="0.2">
      <c r="AF3834" s="679"/>
    </row>
    <row r="3835" spans="32:32" x14ac:dyDescent="0.2">
      <c r="AF3835" s="679"/>
    </row>
    <row r="3836" spans="32:32" x14ac:dyDescent="0.2">
      <c r="AF3836" s="679"/>
    </row>
    <row r="3837" spans="32:32" x14ac:dyDescent="0.2">
      <c r="AF3837" s="679"/>
    </row>
    <row r="3838" spans="32:32" x14ac:dyDescent="0.2">
      <c r="AF3838" s="679"/>
    </row>
    <row r="3839" spans="32:32" x14ac:dyDescent="0.2">
      <c r="AF3839" s="679"/>
    </row>
    <row r="3840" spans="32:32" x14ac:dyDescent="0.2">
      <c r="AF3840" s="679"/>
    </row>
    <row r="3841" spans="32:32" x14ac:dyDescent="0.2">
      <c r="AF3841" s="679"/>
    </row>
    <row r="3842" spans="32:32" x14ac:dyDescent="0.2">
      <c r="AF3842" s="679"/>
    </row>
    <row r="3843" spans="32:32" x14ac:dyDescent="0.2">
      <c r="AF3843" s="679"/>
    </row>
    <row r="3844" spans="32:32" x14ac:dyDescent="0.2">
      <c r="AF3844" s="679"/>
    </row>
    <row r="3845" spans="32:32" x14ac:dyDescent="0.2">
      <c r="AF3845" s="679"/>
    </row>
    <row r="3846" spans="32:32" x14ac:dyDescent="0.2">
      <c r="AF3846" s="679"/>
    </row>
    <row r="3847" spans="32:32" x14ac:dyDescent="0.2">
      <c r="AF3847" s="679"/>
    </row>
    <row r="3848" spans="32:32" x14ac:dyDescent="0.2">
      <c r="AF3848" s="679"/>
    </row>
    <row r="3849" spans="32:32" x14ac:dyDescent="0.2">
      <c r="AF3849" s="679"/>
    </row>
    <row r="3850" spans="32:32" x14ac:dyDescent="0.2">
      <c r="AF3850" s="679"/>
    </row>
    <row r="3851" spans="32:32" x14ac:dyDescent="0.2">
      <c r="AF3851" s="679"/>
    </row>
    <row r="3852" spans="32:32" x14ac:dyDescent="0.2">
      <c r="AF3852" s="679"/>
    </row>
    <row r="3853" spans="32:32" x14ac:dyDescent="0.2">
      <c r="AF3853" s="679"/>
    </row>
    <row r="3854" spans="32:32" x14ac:dyDescent="0.2">
      <c r="AF3854" s="679"/>
    </row>
    <row r="3855" spans="32:32" x14ac:dyDescent="0.2">
      <c r="AF3855" s="679"/>
    </row>
    <row r="3856" spans="32:32" x14ac:dyDescent="0.2">
      <c r="AF3856" s="679"/>
    </row>
    <row r="3857" spans="32:32" x14ac:dyDescent="0.2">
      <c r="AF3857" s="679"/>
    </row>
    <row r="3858" spans="32:32" x14ac:dyDescent="0.2">
      <c r="AF3858" s="679"/>
    </row>
    <row r="3859" spans="32:32" x14ac:dyDescent="0.2">
      <c r="AF3859" s="679"/>
    </row>
    <row r="3860" spans="32:32" x14ac:dyDescent="0.2">
      <c r="AF3860" s="679"/>
    </row>
    <row r="3861" spans="32:32" x14ac:dyDescent="0.2">
      <c r="AF3861" s="679"/>
    </row>
    <row r="3862" spans="32:32" x14ac:dyDescent="0.2">
      <c r="AF3862" s="679"/>
    </row>
    <row r="3863" spans="32:32" x14ac:dyDescent="0.2">
      <c r="AF3863" s="679"/>
    </row>
    <row r="3864" spans="32:32" x14ac:dyDescent="0.2">
      <c r="AF3864" s="679"/>
    </row>
    <row r="3865" spans="32:32" x14ac:dyDescent="0.2">
      <c r="AF3865" s="679"/>
    </row>
    <row r="3866" spans="32:32" x14ac:dyDescent="0.2">
      <c r="AF3866" s="679"/>
    </row>
    <row r="3867" spans="32:32" x14ac:dyDescent="0.2">
      <c r="AF3867" s="679"/>
    </row>
    <row r="3868" spans="32:32" x14ac:dyDescent="0.2">
      <c r="AF3868" s="679"/>
    </row>
    <row r="3869" spans="32:32" x14ac:dyDescent="0.2">
      <c r="AF3869" s="679"/>
    </row>
    <row r="3870" spans="32:32" x14ac:dyDescent="0.2">
      <c r="AF3870" s="679"/>
    </row>
    <row r="3871" spans="32:32" x14ac:dyDescent="0.2">
      <c r="AF3871" s="679"/>
    </row>
    <row r="3872" spans="32:32" x14ac:dyDescent="0.2">
      <c r="AF3872" s="679"/>
    </row>
    <row r="3873" spans="32:32" x14ac:dyDescent="0.2">
      <c r="AF3873" s="679"/>
    </row>
    <row r="3874" spans="32:32" x14ac:dyDescent="0.2">
      <c r="AF3874" s="679"/>
    </row>
    <row r="3875" spans="32:32" x14ac:dyDescent="0.2">
      <c r="AF3875" s="679"/>
    </row>
    <row r="3876" spans="32:32" x14ac:dyDescent="0.2">
      <c r="AF3876" s="679"/>
    </row>
    <row r="3877" spans="32:32" x14ac:dyDescent="0.2">
      <c r="AF3877" s="679"/>
    </row>
    <row r="3878" spans="32:32" x14ac:dyDescent="0.2">
      <c r="AF3878" s="679"/>
    </row>
    <row r="3879" spans="32:32" x14ac:dyDescent="0.2">
      <c r="AF3879" s="679"/>
    </row>
    <row r="3880" spans="32:32" x14ac:dyDescent="0.2">
      <c r="AF3880" s="679"/>
    </row>
    <row r="3881" spans="32:32" x14ac:dyDescent="0.2">
      <c r="AF3881" s="679"/>
    </row>
    <row r="3882" spans="32:32" x14ac:dyDescent="0.2">
      <c r="AF3882" s="679"/>
    </row>
    <row r="3883" spans="32:32" x14ac:dyDescent="0.2">
      <c r="AF3883" s="679"/>
    </row>
    <row r="3884" spans="32:32" x14ac:dyDescent="0.2">
      <c r="AF3884" s="679"/>
    </row>
    <row r="3885" spans="32:32" x14ac:dyDescent="0.2">
      <c r="AF3885" s="679"/>
    </row>
    <row r="3886" spans="32:32" x14ac:dyDescent="0.2">
      <c r="AF3886" s="679"/>
    </row>
    <row r="3887" spans="32:32" x14ac:dyDescent="0.2">
      <c r="AF3887" s="679"/>
    </row>
    <row r="3888" spans="32:32" x14ac:dyDescent="0.2">
      <c r="AF3888" s="679"/>
    </row>
    <row r="3889" spans="32:32" x14ac:dyDescent="0.2">
      <c r="AF3889" s="679"/>
    </row>
    <row r="3890" spans="32:32" x14ac:dyDescent="0.2">
      <c r="AF3890" s="679"/>
    </row>
    <row r="3891" spans="32:32" x14ac:dyDescent="0.2">
      <c r="AF3891" s="679"/>
    </row>
    <row r="3892" spans="32:32" x14ac:dyDescent="0.2">
      <c r="AF3892" s="679"/>
    </row>
    <row r="3893" spans="32:32" x14ac:dyDescent="0.2">
      <c r="AF3893" s="679"/>
    </row>
    <row r="3894" spans="32:32" x14ac:dyDescent="0.2">
      <c r="AF3894" s="679"/>
    </row>
    <row r="3895" spans="32:32" x14ac:dyDescent="0.2">
      <c r="AF3895" s="679"/>
    </row>
    <row r="3896" spans="32:32" x14ac:dyDescent="0.2">
      <c r="AF3896" s="679"/>
    </row>
    <row r="3897" spans="32:32" x14ac:dyDescent="0.2">
      <c r="AF3897" s="679"/>
    </row>
    <row r="3898" spans="32:32" x14ac:dyDescent="0.2">
      <c r="AF3898" s="679"/>
    </row>
    <row r="3899" spans="32:32" x14ac:dyDescent="0.2">
      <c r="AF3899" s="679"/>
    </row>
    <row r="3900" spans="32:32" x14ac:dyDescent="0.2">
      <c r="AF3900" s="679"/>
    </row>
    <row r="3901" spans="32:32" x14ac:dyDescent="0.2">
      <c r="AF3901" s="679"/>
    </row>
    <row r="3902" spans="32:32" x14ac:dyDescent="0.2">
      <c r="AF3902" s="679"/>
    </row>
    <row r="3903" spans="32:32" x14ac:dyDescent="0.2">
      <c r="AF3903" s="679"/>
    </row>
    <row r="3904" spans="32:32" x14ac:dyDescent="0.2">
      <c r="AF3904" s="679"/>
    </row>
    <row r="3905" spans="32:32" x14ac:dyDescent="0.2">
      <c r="AF3905" s="679"/>
    </row>
    <row r="3906" spans="32:32" x14ac:dyDescent="0.2">
      <c r="AF3906" s="679"/>
    </row>
    <row r="3907" spans="32:32" x14ac:dyDescent="0.2">
      <c r="AF3907" s="679"/>
    </row>
    <row r="3908" spans="32:32" x14ac:dyDescent="0.2">
      <c r="AF3908" s="679"/>
    </row>
    <row r="3909" spans="32:32" x14ac:dyDescent="0.2">
      <c r="AF3909" s="679"/>
    </row>
    <row r="3910" spans="32:32" x14ac:dyDescent="0.2">
      <c r="AF3910" s="679"/>
    </row>
    <row r="3911" spans="32:32" x14ac:dyDescent="0.2">
      <c r="AF3911" s="679"/>
    </row>
    <row r="3912" spans="32:32" x14ac:dyDescent="0.2">
      <c r="AF3912" s="679"/>
    </row>
    <row r="3913" spans="32:32" x14ac:dyDescent="0.2">
      <c r="AF3913" s="679"/>
    </row>
    <row r="3914" spans="32:32" x14ac:dyDescent="0.2">
      <c r="AF3914" s="679"/>
    </row>
    <row r="3915" spans="32:32" x14ac:dyDescent="0.2">
      <c r="AF3915" s="679"/>
    </row>
    <row r="3916" spans="32:32" x14ac:dyDescent="0.2">
      <c r="AF3916" s="679"/>
    </row>
    <row r="3917" spans="32:32" x14ac:dyDescent="0.2">
      <c r="AF3917" s="679"/>
    </row>
    <row r="3918" spans="32:32" x14ac:dyDescent="0.2">
      <c r="AF3918" s="679"/>
    </row>
    <row r="3919" spans="32:32" x14ac:dyDescent="0.2">
      <c r="AF3919" s="679"/>
    </row>
    <row r="3920" spans="32:32" x14ac:dyDescent="0.2">
      <c r="AF3920" s="679"/>
    </row>
    <row r="3921" spans="32:32" x14ac:dyDescent="0.2">
      <c r="AF3921" s="679"/>
    </row>
    <row r="3922" spans="32:32" x14ac:dyDescent="0.2">
      <c r="AF3922" s="679"/>
    </row>
    <row r="3923" spans="32:32" x14ac:dyDescent="0.2">
      <c r="AF3923" s="679"/>
    </row>
    <row r="3924" spans="32:32" x14ac:dyDescent="0.2">
      <c r="AF3924" s="679"/>
    </row>
    <row r="3925" spans="32:32" x14ac:dyDescent="0.2">
      <c r="AF3925" s="679"/>
    </row>
    <row r="3926" spans="32:32" x14ac:dyDescent="0.2">
      <c r="AF3926" s="679"/>
    </row>
    <row r="3927" spans="32:32" x14ac:dyDescent="0.2">
      <c r="AF3927" s="679"/>
    </row>
    <row r="3928" spans="32:32" x14ac:dyDescent="0.2">
      <c r="AF3928" s="679"/>
    </row>
    <row r="3929" spans="32:32" x14ac:dyDescent="0.2">
      <c r="AF3929" s="679"/>
    </row>
    <row r="3930" spans="32:32" x14ac:dyDescent="0.2">
      <c r="AF3930" s="679"/>
    </row>
    <row r="3931" spans="32:32" x14ac:dyDescent="0.2">
      <c r="AF3931" s="679"/>
    </row>
    <row r="3932" spans="32:32" x14ac:dyDescent="0.2">
      <c r="AF3932" s="679"/>
    </row>
    <row r="3933" spans="32:32" x14ac:dyDescent="0.2">
      <c r="AF3933" s="679"/>
    </row>
    <row r="3934" spans="32:32" x14ac:dyDescent="0.2">
      <c r="AF3934" s="679"/>
    </row>
    <row r="3935" spans="32:32" x14ac:dyDescent="0.2">
      <c r="AF3935" s="679"/>
    </row>
    <row r="3936" spans="32:32" x14ac:dyDescent="0.2">
      <c r="AF3936" s="679"/>
    </row>
    <row r="3937" spans="32:32" x14ac:dyDescent="0.2">
      <c r="AF3937" s="679"/>
    </row>
    <row r="3938" spans="32:32" x14ac:dyDescent="0.2">
      <c r="AF3938" s="679"/>
    </row>
    <row r="3939" spans="32:32" x14ac:dyDescent="0.2">
      <c r="AF3939" s="679"/>
    </row>
    <row r="3940" spans="32:32" x14ac:dyDescent="0.2">
      <c r="AF3940" s="679"/>
    </row>
    <row r="3941" spans="32:32" x14ac:dyDescent="0.2">
      <c r="AF3941" s="679"/>
    </row>
    <row r="3942" spans="32:32" x14ac:dyDescent="0.2">
      <c r="AF3942" s="679"/>
    </row>
    <row r="3943" spans="32:32" x14ac:dyDescent="0.2">
      <c r="AF3943" s="679"/>
    </row>
    <row r="3944" spans="32:32" x14ac:dyDescent="0.2">
      <c r="AF3944" s="679"/>
    </row>
    <row r="3945" spans="32:32" x14ac:dyDescent="0.2">
      <c r="AF3945" s="679"/>
    </row>
    <row r="3946" spans="32:32" x14ac:dyDescent="0.2">
      <c r="AF3946" s="679"/>
    </row>
    <row r="3947" spans="32:32" x14ac:dyDescent="0.2">
      <c r="AF3947" s="679"/>
    </row>
    <row r="3948" spans="32:32" x14ac:dyDescent="0.2">
      <c r="AF3948" s="679"/>
    </row>
    <row r="3949" spans="32:32" x14ac:dyDescent="0.2">
      <c r="AF3949" s="679"/>
    </row>
    <row r="3950" spans="32:32" x14ac:dyDescent="0.2">
      <c r="AF3950" s="679"/>
    </row>
    <row r="3951" spans="32:32" x14ac:dyDescent="0.2">
      <c r="AF3951" s="679"/>
    </row>
    <row r="3952" spans="32:32" x14ac:dyDescent="0.2">
      <c r="AF3952" s="679"/>
    </row>
    <row r="3953" spans="32:32" x14ac:dyDescent="0.2">
      <c r="AF3953" s="679"/>
    </row>
    <row r="3954" spans="32:32" x14ac:dyDescent="0.2">
      <c r="AF3954" s="679"/>
    </row>
    <row r="3955" spans="32:32" x14ac:dyDescent="0.2">
      <c r="AF3955" s="679"/>
    </row>
    <row r="3956" spans="32:32" x14ac:dyDescent="0.2">
      <c r="AF3956" s="679"/>
    </row>
    <row r="3957" spans="32:32" x14ac:dyDescent="0.2">
      <c r="AF3957" s="679"/>
    </row>
    <row r="3958" spans="32:32" x14ac:dyDescent="0.2">
      <c r="AF3958" s="679"/>
    </row>
    <row r="3959" spans="32:32" x14ac:dyDescent="0.2">
      <c r="AF3959" s="679"/>
    </row>
    <row r="3960" spans="32:32" x14ac:dyDescent="0.2">
      <c r="AF3960" s="679"/>
    </row>
    <row r="3961" spans="32:32" x14ac:dyDescent="0.2">
      <c r="AF3961" s="679"/>
    </row>
    <row r="3962" spans="32:32" x14ac:dyDescent="0.2">
      <c r="AF3962" s="679"/>
    </row>
    <row r="3963" spans="32:32" x14ac:dyDescent="0.2">
      <c r="AF3963" s="679"/>
    </row>
    <row r="3964" spans="32:32" x14ac:dyDescent="0.2">
      <c r="AF3964" s="679"/>
    </row>
    <row r="3965" spans="32:32" x14ac:dyDescent="0.2">
      <c r="AF3965" s="679"/>
    </row>
    <row r="3966" spans="32:32" x14ac:dyDescent="0.2">
      <c r="AF3966" s="679"/>
    </row>
    <row r="3967" spans="32:32" x14ac:dyDescent="0.2">
      <c r="AF3967" s="679"/>
    </row>
    <row r="3968" spans="32:32" x14ac:dyDescent="0.2">
      <c r="AF3968" s="679"/>
    </row>
    <row r="3969" spans="32:32" x14ac:dyDescent="0.2">
      <c r="AF3969" s="679"/>
    </row>
    <row r="3970" spans="32:32" x14ac:dyDescent="0.2">
      <c r="AF3970" s="679"/>
    </row>
    <row r="3971" spans="32:32" x14ac:dyDescent="0.2">
      <c r="AF3971" s="679"/>
    </row>
    <row r="3972" spans="32:32" x14ac:dyDescent="0.2">
      <c r="AF3972" s="679"/>
    </row>
    <row r="3973" spans="32:32" x14ac:dyDescent="0.2">
      <c r="AF3973" s="679"/>
    </row>
    <row r="3974" spans="32:32" x14ac:dyDescent="0.2">
      <c r="AF3974" s="679"/>
    </row>
    <row r="3975" spans="32:32" x14ac:dyDescent="0.2">
      <c r="AF3975" s="679"/>
    </row>
    <row r="3976" spans="32:32" x14ac:dyDescent="0.2">
      <c r="AF3976" s="679"/>
    </row>
    <row r="3977" spans="32:32" x14ac:dyDescent="0.2">
      <c r="AF3977" s="679"/>
    </row>
    <row r="3978" spans="32:32" x14ac:dyDescent="0.2">
      <c r="AF3978" s="679"/>
    </row>
    <row r="3979" spans="32:32" x14ac:dyDescent="0.2">
      <c r="AF3979" s="679"/>
    </row>
    <row r="3980" spans="32:32" x14ac:dyDescent="0.2">
      <c r="AF3980" s="679"/>
    </row>
    <row r="3981" spans="32:32" x14ac:dyDescent="0.2">
      <c r="AF3981" s="679"/>
    </row>
    <row r="3982" spans="32:32" x14ac:dyDescent="0.2">
      <c r="AF3982" s="679"/>
    </row>
    <row r="3983" spans="32:32" x14ac:dyDescent="0.2">
      <c r="AF3983" s="679"/>
    </row>
    <row r="3984" spans="32:32" x14ac:dyDescent="0.2">
      <c r="AF3984" s="679"/>
    </row>
    <row r="3985" spans="32:32" x14ac:dyDescent="0.2">
      <c r="AF3985" s="679"/>
    </row>
    <row r="3986" spans="32:32" x14ac:dyDescent="0.2">
      <c r="AF3986" s="679"/>
    </row>
    <row r="3987" spans="32:32" x14ac:dyDescent="0.2">
      <c r="AF3987" s="679"/>
    </row>
    <row r="3988" spans="32:32" x14ac:dyDescent="0.2">
      <c r="AF3988" s="679"/>
    </row>
    <row r="3989" spans="32:32" x14ac:dyDescent="0.2">
      <c r="AF3989" s="679"/>
    </row>
    <row r="3990" spans="32:32" x14ac:dyDescent="0.2">
      <c r="AF3990" s="679"/>
    </row>
    <row r="3991" spans="32:32" x14ac:dyDescent="0.2">
      <c r="AF3991" s="679"/>
    </row>
    <row r="3992" spans="32:32" x14ac:dyDescent="0.2">
      <c r="AF3992" s="679"/>
    </row>
    <row r="3993" spans="32:32" x14ac:dyDescent="0.2">
      <c r="AF3993" s="679"/>
    </row>
    <row r="3994" spans="32:32" x14ac:dyDescent="0.2">
      <c r="AF3994" s="679"/>
    </row>
    <row r="3995" spans="32:32" x14ac:dyDescent="0.2">
      <c r="AF3995" s="679"/>
    </row>
    <row r="3996" spans="32:32" x14ac:dyDescent="0.2">
      <c r="AF3996" s="679"/>
    </row>
    <row r="3997" spans="32:32" x14ac:dyDescent="0.2">
      <c r="AF3997" s="679"/>
    </row>
    <row r="3998" spans="32:32" x14ac:dyDescent="0.2">
      <c r="AF3998" s="679"/>
    </row>
    <row r="3999" spans="32:32" x14ac:dyDescent="0.2">
      <c r="AF3999" s="679"/>
    </row>
    <row r="4000" spans="32:32" x14ac:dyDescent="0.2">
      <c r="AF4000" s="679"/>
    </row>
    <row r="4001" spans="32:32" x14ac:dyDescent="0.2">
      <c r="AF4001" s="679"/>
    </row>
    <row r="4002" spans="32:32" x14ac:dyDescent="0.2">
      <c r="AF4002" s="679"/>
    </row>
    <row r="4003" spans="32:32" x14ac:dyDescent="0.2">
      <c r="AF4003" s="679"/>
    </row>
    <row r="4004" spans="32:32" x14ac:dyDescent="0.2">
      <c r="AF4004" s="679"/>
    </row>
    <row r="4005" spans="32:32" x14ac:dyDescent="0.2">
      <c r="AF4005" s="679"/>
    </row>
    <row r="4006" spans="32:32" x14ac:dyDescent="0.2">
      <c r="AF4006" s="679"/>
    </row>
    <row r="4007" spans="32:32" x14ac:dyDescent="0.2">
      <c r="AF4007" s="679"/>
    </row>
    <row r="4008" spans="32:32" x14ac:dyDescent="0.2">
      <c r="AF4008" s="679"/>
    </row>
    <row r="4009" spans="32:32" x14ac:dyDescent="0.2">
      <c r="AF4009" s="679"/>
    </row>
    <row r="4010" spans="32:32" x14ac:dyDescent="0.2">
      <c r="AF4010" s="679"/>
    </row>
    <row r="4011" spans="32:32" x14ac:dyDescent="0.2">
      <c r="AF4011" s="679"/>
    </row>
    <row r="4012" spans="32:32" x14ac:dyDescent="0.2">
      <c r="AF4012" s="679"/>
    </row>
    <row r="4013" spans="32:32" x14ac:dyDescent="0.2">
      <c r="AF4013" s="679"/>
    </row>
    <row r="4014" spans="32:32" x14ac:dyDescent="0.2">
      <c r="AF4014" s="679"/>
    </row>
    <row r="4015" spans="32:32" x14ac:dyDescent="0.2">
      <c r="AF4015" s="679"/>
    </row>
    <row r="4016" spans="32:32" x14ac:dyDescent="0.2">
      <c r="AF4016" s="679"/>
    </row>
    <row r="4017" spans="32:32" x14ac:dyDescent="0.2">
      <c r="AF4017" s="679"/>
    </row>
    <row r="4018" spans="32:32" x14ac:dyDescent="0.2">
      <c r="AF4018" s="679"/>
    </row>
    <row r="4019" spans="32:32" x14ac:dyDescent="0.2">
      <c r="AF4019" s="679"/>
    </row>
    <row r="4020" spans="32:32" x14ac:dyDescent="0.2">
      <c r="AF4020" s="679"/>
    </row>
    <row r="4021" spans="32:32" x14ac:dyDescent="0.2">
      <c r="AF4021" s="679"/>
    </row>
    <row r="4022" spans="32:32" x14ac:dyDescent="0.2">
      <c r="AF4022" s="679"/>
    </row>
    <row r="4023" spans="32:32" x14ac:dyDescent="0.2">
      <c r="AF4023" s="679"/>
    </row>
    <row r="4024" spans="32:32" x14ac:dyDescent="0.2">
      <c r="AF4024" s="679"/>
    </row>
    <row r="4025" spans="32:32" x14ac:dyDescent="0.2">
      <c r="AF4025" s="679"/>
    </row>
    <row r="4026" spans="32:32" x14ac:dyDescent="0.2">
      <c r="AF4026" s="679"/>
    </row>
    <row r="4027" spans="32:32" x14ac:dyDescent="0.2">
      <c r="AF4027" s="679"/>
    </row>
    <row r="4028" spans="32:32" x14ac:dyDescent="0.2">
      <c r="AF4028" s="679"/>
    </row>
    <row r="4029" spans="32:32" x14ac:dyDescent="0.2">
      <c r="AF4029" s="679"/>
    </row>
    <row r="4030" spans="32:32" x14ac:dyDescent="0.2">
      <c r="AF4030" s="679"/>
    </row>
    <row r="4031" spans="32:32" x14ac:dyDescent="0.2">
      <c r="AF4031" s="679"/>
    </row>
    <row r="4032" spans="32:32" x14ac:dyDescent="0.2">
      <c r="AF4032" s="679"/>
    </row>
    <row r="4033" spans="32:32" x14ac:dyDescent="0.2">
      <c r="AF4033" s="679"/>
    </row>
    <row r="4034" spans="32:32" x14ac:dyDescent="0.2">
      <c r="AF4034" s="679"/>
    </row>
    <row r="4035" spans="32:32" x14ac:dyDescent="0.2">
      <c r="AF4035" s="679"/>
    </row>
    <row r="4036" spans="32:32" x14ac:dyDescent="0.2">
      <c r="AF4036" s="679"/>
    </row>
    <row r="4037" spans="32:32" x14ac:dyDescent="0.2">
      <c r="AF4037" s="679"/>
    </row>
    <row r="4038" spans="32:32" x14ac:dyDescent="0.2">
      <c r="AF4038" s="679"/>
    </row>
    <row r="4039" spans="32:32" x14ac:dyDescent="0.2">
      <c r="AF4039" s="679"/>
    </row>
    <row r="4040" spans="32:32" x14ac:dyDescent="0.2">
      <c r="AF4040" s="679"/>
    </row>
    <row r="4041" spans="32:32" x14ac:dyDescent="0.2">
      <c r="AF4041" s="679"/>
    </row>
    <row r="4042" spans="32:32" x14ac:dyDescent="0.2">
      <c r="AF4042" s="679"/>
    </row>
    <row r="4043" spans="32:32" x14ac:dyDescent="0.2">
      <c r="AF4043" s="679"/>
    </row>
    <row r="4044" spans="32:32" x14ac:dyDescent="0.2">
      <c r="AF4044" s="679"/>
    </row>
    <row r="4045" spans="32:32" x14ac:dyDescent="0.2">
      <c r="AF4045" s="679"/>
    </row>
    <row r="4046" spans="32:32" x14ac:dyDescent="0.2">
      <c r="AF4046" s="679"/>
    </row>
    <row r="4047" spans="32:32" x14ac:dyDescent="0.2">
      <c r="AF4047" s="679"/>
    </row>
    <row r="4048" spans="32:32" x14ac:dyDescent="0.2">
      <c r="AF4048" s="679"/>
    </row>
    <row r="4049" spans="32:32" x14ac:dyDescent="0.2">
      <c r="AF4049" s="679"/>
    </row>
    <row r="4050" spans="32:32" x14ac:dyDescent="0.2">
      <c r="AF4050" s="679"/>
    </row>
    <row r="4051" spans="32:32" x14ac:dyDescent="0.2">
      <c r="AF4051" s="679"/>
    </row>
    <row r="4052" spans="32:32" x14ac:dyDescent="0.2">
      <c r="AF4052" s="679"/>
    </row>
    <row r="4053" spans="32:32" x14ac:dyDescent="0.2">
      <c r="AF4053" s="679"/>
    </row>
    <row r="4054" spans="32:32" x14ac:dyDescent="0.2">
      <c r="AF4054" s="679"/>
    </row>
    <row r="4055" spans="32:32" x14ac:dyDescent="0.2">
      <c r="AF4055" s="679"/>
    </row>
    <row r="4056" spans="32:32" x14ac:dyDescent="0.2">
      <c r="AF4056" s="679"/>
    </row>
    <row r="4057" spans="32:32" x14ac:dyDescent="0.2">
      <c r="AF4057" s="679"/>
    </row>
    <row r="4058" spans="32:32" x14ac:dyDescent="0.2">
      <c r="AF4058" s="679"/>
    </row>
    <row r="4059" spans="32:32" x14ac:dyDescent="0.2">
      <c r="AF4059" s="679"/>
    </row>
    <row r="4060" spans="32:32" x14ac:dyDescent="0.2">
      <c r="AF4060" s="679"/>
    </row>
    <row r="4061" spans="32:32" x14ac:dyDescent="0.2">
      <c r="AF4061" s="679"/>
    </row>
    <row r="4062" spans="32:32" x14ac:dyDescent="0.2">
      <c r="AF4062" s="679"/>
    </row>
    <row r="4063" spans="32:32" x14ac:dyDescent="0.2">
      <c r="AF4063" s="679"/>
    </row>
    <row r="4064" spans="32:32" x14ac:dyDescent="0.2">
      <c r="AF4064" s="679"/>
    </row>
    <row r="4065" spans="32:32" x14ac:dyDescent="0.2">
      <c r="AF4065" s="679"/>
    </row>
    <row r="4066" spans="32:32" x14ac:dyDescent="0.2">
      <c r="AF4066" s="679"/>
    </row>
    <row r="4067" spans="32:32" x14ac:dyDescent="0.2">
      <c r="AF4067" s="679"/>
    </row>
    <row r="4068" spans="32:32" x14ac:dyDescent="0.2">
      <c r="AF4068" s="679"/>
    </row>
    <row r="4069" spans="32:32" x14ac:dyDescent="0.2">
      <c r="AF4069" s="679"/>
    </row>
    <row r="4070" spans="32:32" x14ac:dyDescent="0.2">
      <c r="AF4070" s="679"/>
    </row>
    <row r="4071" spans="32:32" x14ac:dyDescent="0.2">
      <c r="AF4071" s="679"/>
    </row>
    <row r="4072" spans="32:32" x14ac:dyDescent="0.2">
      <c r="AF4072" s="679"/>
    </row>
    <row r="4073" spans="32:32" x14ac:dyDescent="0.2">
      <c r="AF4073" s="679"/>
    </row>
    <row r="4074" spans="32:32" x14ac:dyDescent="0.2">
      <c r="AF4074" s="679"/>
    </row>
    <row r="4075" spans="32:32" x14ac:dyDescent="0.2">
      <c r="AF4075" s="679"/>
    </row>
    <row r="4076" spans="32:32" x14ac:dyDescent="0.2">
      <c r="AF4076" s="679"/>
    </row>
    <row r="4077" spans="32:32" x14ac:dyDescent="0.2">
      <c r="AF4077" s="679"/>
    </row>
    <row r="4078" spans="32:32" x14ac:dyDescent="0.2">
      <c r="AF4078" s="679"/>
    </row>
    <row r="4079" spans="32:32" x14ac:dyDescent="0.2">
      <c r="AF4079" s="679"/>
    </row>
    <row r="4080" spans="32:32" x14ac:dyDescent="0.2">
      <c r="AF4080" s="679"/>
    </row>
    <row r="4081" spans="32:32" x14ac:dyDescent="0.2">
      <c r="AF4081" s="679"/>
    </row>
    <row r="4082" spans="32:32" x14ac:dyDescent="0.2">
      <c r="AF4082" s="679"/>
    </row>
    <row r="4083" spans="32:32" x14ac:dyDescent="0.2">
      <c r="AF4083" s="679"/>
    </row>
    <row r="4084" spans="32:32" x14ac:dyDescent="0.2">
      <c r="AF4084" s="679"/>
    </row>
    <row r="4085" spans="32:32" x14ac:dyDescent="0.2">
      <c r="AF4085" s="679"/>
    </row>
    <row r="4086" spans="32:32" x14ac:dyDescent="0.2">
      <c r="AF4086" s="679"/>
    </row>
    <row r="4087" spans="32:32" x14ac:dyDescent="0.2">
      <c r="AF4087" s="679"/>
    </row>
    <row r="4088" spans="32:32" x14ac:dyDescent="0.2">
      <c r="AF4088" s="679"/>
    </row>
    <row r="4089" spans="32:32" x14ac:dyDescent="0.2">
      <c r="AF4089" s="679"/>
    </row>
    <row r="4090" spans="32:32" x14ac:dyDescent="0.2">
      <c r="AF4090" s="679"/>
    </row>
    <row r="4091" spans="32:32" x14ac:dyDescent="0.2">
      <c r="AF4091" s="679"/>
    </row>
    <row r="4092" spans="32:32" x14ac:dyDescent="0.2">
      <c r="AF4092" s="679"/>
    </row>
    <row r="4093" spans="32:32" x14ac:dyDescent="0.2">
      <c r="AF4093" s="679"/>
    </row>
    <row r="4094" spans="32:32" x14ac:dyDescent="0.2">
      <c r="AF4094" s="679"/>
    </row>
    <row r="4095" spans="32:32" x14ac:dyDescent="0.2">
      <c r="AF4095" s="679"/>
    </row>
    <row r="4096" spans="32:32" x14ac:dyDescent="0.2">
      <c r="AF4096" s="679"/>
    </row>
    <row r="4097" spans="32:32" x14ac:dyDescent="0.2">
      <c r="AF4097" s="679"/>
    </row>
    <row r="4098" spans="32:32" x14ac:dyDescent="0.2">
      <c r="AF4098" s="679"/>
    </row>
    <row r="4099" spans="32:32" x14ac:dyDescent="0.2">
      <c r="AF4099" s="679"/>
    </row>
    <row r="4100" spans="32:32" x14ac:dyDescent="0.2">
      <c r="AF4100" s="679"/>
    </row>
    <row r="4101" spans="32:32" x14ac:dyDescent="0.2">
      <c r="AF4101" s="679"/>
    </row>
    <row r="4102" spans="32:32" x14ac:dyDescent="0.2">
      <c r="AF4102" s="679"/>
    </row>
    <row r="4103" spans="32:32" x14ac:dyDescent="0.2">
      <c r="AF4103" s="679"/>
    </row>
    <row r="4104" spans="32:32" x14ac:dyDescent="0.2">
      <c r="AF4104" s="679"/>
    </row>
    <row r="4105" spans="32:32" x14ac:dyDescent="0.2">
      <c r="AF4105" s="679"/>
    </row>
    <row r="4106" spans="32:32" x14ac:dyDescent="0.2">
      <c r="AF4106" s="679"/>
    </row>
    <row r="4107" spans="32:32" x14ac:dyDescent="0.2">
      <c r="AF4107" s="679"/>
    </row>
    <row r="4108" spans="32:32" x14ac:dyDescent="0.2">
      <c r="AF4108" s="679"/>
    </row>
    <row r="4109" spans="32:32" x14ac:dyDescent="0.2">
      <c r="AF4109" s="679"/>
    </row>
    <row r="4110" spans="32:32" x14ac:dyDescent="0.2">
      <c r="AF4110" s="679"/>
    </row>
    <row r="4111" spans="32:32" x14ac:dyDescent="0.2">
      <c r="AF4111" s="679"/>
    </row>
    <row r="4112" spans="32:32" x14ac:dyDescent="0.2">
      <c r="AF4112" s="679"/>
    </row>
    <row r="4113" spans="32:32" x14ac:dyDescent="0.2">
      <c r="AF4113" s="679"/>
    </row>
    <row r="4114" spans="32:32" x14ac:dyDescent="0.2">
      <c r="AF4114" s="679"/>
    </row>
    <row r="4115" spans="32:32" x14ac:dyDescent="0.2">
      <c r="AF4115" s="679"/>
    </row>
    <row r="4116" spans="32:32" x14ac:dyDescent="0.2">
      <c r="AF4116" s="679"/>
    </row>
    <row r="4117" spans="32:32" x14ac:dyDescent="0.2">
      <c r="AF4117" s="679"/>
    </row>
    <row r="4118" spans="32:32" x14ac:dyDescent="0.2">
      <c r="AF4118" s="679"/>
    </row>
    <row r="4119" spans="32:32" x14ac:dyDescent="0.2">
      <c r="AF4119" s="679"/>
    </row>
    <row r="4120" spans="32:32" x14ac:dyDescent="0.2">
      <c r="AF4120" s="679"/>
    </row>
    <row r="4121" spans="32:32" x14ac:dyDescent="0.2">
      <c r="AF4121" s="679"/>
    </row>
    <row r="4122" spans="32:32" x14ac:dyDescent="0.2">
      <c r="AF4122" s="679"/>
    </row>
    <row r="4123" spans="32:32" x14ac:dyDescent="0.2">
      <c r="AF4123" s="679"/>
    </row>
    <row r="4124" spans="32:32" x14ac:dyDescent="0.2">
      <c r="AF4124" s="679"/>
    </row>
    <row r="4125" spans="32:32" x14ac:dyDescent="0.2">
      <c r="AF4125" s="679"/>
    </row>
    <row r="4126" spans="32:32" x14ac:dyDescent="0.2">
      <c r="AF4126" s="679"/>
    </row>
    <row r="4127" spans="32:32" x14ac:dyDescent="0.2">
      <c r="AF4127" s="679"/>
    </row>
    <row r="4128" spans="32:32" x14ac:dyDescent="0.2">
      <c r="AF4128" s="679"/>
    </row>
    <row r="4129" spans="32:32" x14ac:dyDescent="0.2">
      <c r="AF4129" s="679"/>
    </row>
    <row r="4130" spans="32:32" x14ac:dyDescent="0.2">
      <c r="AF4130" s="679"/>
    </row>
    <row r="4131" spans="32:32" x14ac:dyDescent="0.2">
      <c r="AF4131" s="679"/>
    </row>
    <row r="4132" spans="32:32" x14ac:dyDescent="0.2">
      <c r="AF4132" s="679"/>
    </row>
    <row r="4133" spans="32:32" x14ac:dyDescent="0.2">
      <c r="AF4133" s="679"/>
    </row>
    <row r="4134" spans="32:32" x14ac:dyDescent="0.2">
      <c r="AF4134" s="679"/>
    </row>
    <row r="4135" spans="32:32" x14ac:dyDescent="0.2">
      <c r="AF4135" s="679"/>
    </row>
    <row r="4136" spans="32:32" x14ac:dyDescent="0.2">
      <c r="AF4136" s="679"/>
    </row>
    <row r="4137" spans="32:32" x14ac:dyDescent="0.2">
      <c r="AF4137" s="679"/>
    </row>
    <row r="4138" spans="32:32" x14ac:dyDescent="0.2">
      <c r="AF4138" s="679"/>
    </row>
    <row r="4139" spans="32:32" x14ac:dyDescent="0.2">
      <c r="AF4139" s="679"/>
    </row>
    <row r="4140" spans="32:32" x14ac:dyDescent="0.2">
      <c r="AF4140" s="679"/>
    </row>
    <row r="4141" spans="32:32" x14ac:dyDescent="0.2">
      <c r="AF4141" s="679"/>
    </row>
    <row r="4142" spans="32:32" x14ac:dyDescent="0.2">
      <c r="AF4142" s="679"/>
    </row>
    <row r="4143" spans="32:32" x14ac:dyDescent="0.2">
      <c r="AF4143" s="679"/>
    </row>
    <row r="4144" spans="32:32" x14ac:dyDescent="0.2">
      <c r="AF4144" s="679"/>
    </row>
    <row r="4145" spans="32:32" x14ac:dyDescent="0.2">
      <c r="AF4145" s="679"/>
    </row>
    <row r="4146" spans="32:32" x14ac:dyDescent="0.2">
      <c r="AF4146" s="679"/>
    </row>
    <row r="4147" spans="32:32" x14ac:dyDescent="0.2">
      <c r="AF4147" s="679"/>
    </row>
    <row r="4148" spans="32:32" x14ac:dyDescent="0.2">
      <c r="AF4148" s="679"/>
    </row>
    <row r="4149" spans="32:32" x14ac:dyDescent="0.2">
      <c r="AF4149" s="679"/>
    </row>
    <row r="4150" spans="32:32" x14ac:dyDescent="0.2">
      <c r="AF4150" s="679"/>
    </row>
    <row r="4151" spans="32:32" x14ac:dyDescent="0.2">
      <c r="AF4151" s="679"/>
    </row>
    <row r="4152" spans="32:32" x14ac:dyDescent="0.2">
      <c r="AF4152" s="679"/>
    </row>
    <row r="4153" spans="32:32" x14ac:dyDescent="0.2">
      <c r="AF4153" s="679"/>
    </row>
    <row r="4154" spans="32:32" x14ac:dyDescent="0.2">
      <c r="AF4154" s="679"/>
    </row>
    <row r="4155" spans="32:32" x14ac:dyDescent="0.2">
      <c r="AF4155" s="679"/>
    </row>
    <row r="4156" spans="32:32" x14ac:dyDescent="0.2">
      <c r="AF4156" s="679"/>
    </row>
    <row r="4157" spans="32:32" x14ac:dyDescent="0.2">
      <c r="AF4157" s="679"/>
    </row>
    <row r="4158" spans="32:32" x14ac:dyDescent="0.2">
      <c r="AF4158" s="679"/>
    </row>
    <row r="4159" spans="32:32" x14ac:dyDescent="0.2">
      <c r="AF4159" s="679"/>
    </row>
    <row r="4160" spans="32:32" x14ac:dyDescent="0.2">
      <c r="AF4160" s="679"/>
    </row>
    <row r="4161" spans="32:32" x14ac:dyDescent="0.2">
      <c r="AF4161" s="679"/>
    </row>
    <row r="4162" spans="32:32" x14ac:dyDescent="0.2">
      <c r="AF4162" s="679"/>
    </row>
    <row r="4163" spans="32:32" x14ac:dyDescent="0.2">
      <c r="AF4163" s="679"/>
    </row>
    <row r="4164" spans="32:32" x14ac:dyDescent="0.2">
      <c r="AF4164" s="679"/>
    </row>
    <row r="4165" spans="32:32" x14ac:dyDescent="0.2">
      <c r="AF4165" s="679"/>
    </row>
    <row r="4166" spans="32:32" x14ac:dyDescent="0.2">
      <c r="AF4166" s="679"/>
    </row>
    <row r="4167" spans="32:32" x14ac:dyDescent="0.2">
      <c r="AF4167" s="679"/>
    </row>
    <row r="4168" spans="32:32" x14ac:dyDescent="0.2">
      <c r="AF4168" s="679"/>
    </row>
    <row r="4169" spans="32:32" x14ac:dyDescent="0.2">
      <c r="AF4169" s="679"/>
    </row>
    <row r="4170" spans="32:32" x14ac:dyDescent="0.2">
      <c r="AF4170" s="679"/>
    </row>
    <row r="4171" spans="32:32" x14ac:dyDescent="0.2">
      <c r="AF4171" s="679"/>
    </row>
    <row r="4172" spans="32:32" x14ac:dyDescent="0.2">
      <c r="AF4172" s="679"/>
    </row>
    <row r="4173" spans="32:32" x14ac:dyDescent="0.2">
      <c r="AF4173" s="679"/>
    </row>
    <row r="4174" spans="32:32" x14ac:dyDescent="0.2">
      <c r="AF4174" s="679"/>
    </row>
    <row r="4175" spans="32:32" x14ac:dyDescent="0.2">
      <c r="AF4175" s="679"/>
    </row>
    <row r="4176" spans="32:32" x14ac:dyDescent="0.2">
      <c r="AF4176" s="679"/>
    </row>
    <row r="4177" spans="32:32" x14ac:dyDescent="0.2">
      <c r="AF4177" s="679"/>
    </row>
    <row r="4178" spans="32:32" x14ac:dyDescent="0.2">
      <c r="AF4178" s="679"/>
    </row>
    <row r="4179" spans="32:32" x14ac:dyDescent="0.2">
      <c r="AF4179" s="679"/>
    </row>
    <row r="4180" spans="32:32" x14ac:dyDescent="0.2">
      <c r="AF4180" s="679"/>
    </row>
    <row r="4181" spans="32:32" x14ac:dyDescent="0.2">
      <c r="AF4181" s="679"/>
    </row>
    <row r="4182" spans="32:32" x14ac:dyDescent="0.2">
      <c r="AF4182" s="679"/>
    </row>
    <row r="4183" spans="32:32" x14ac:dyDescent="0.2">
      <c r="AF4183" s="679"/>
    </row>
    <row r="4184" spans="32:32" x14ac:dyDescent="0.2">
      <c r="AF4184" s="679"/>
    </row>
    <row r="4185" spans="32:32" x14ac:dyDescent="0.2">
      <c r="AF4185" s="679"/>
    </row>
    <row r="4186" spans="32:32" x14ac:dyDescent="0.2">
      <c r="AF4186" s="679"/>
    </row>
    <row r="4187" spans="32:32" x14ac:dyDescent="0.2">
      <c r="AF4187" s="679"/>
    </row>
    <row r="4188" spans="32:32" x14ac:dyDescent="0.2">
      <c r="AF4188" s="679"/>
    </row>
    <row r="4189" spans="32:32" x14ac:dyDescent="0.2">
      <c r="AF4189" s="679"/>
    </row>
    <row r="4190" spans="32:32" x14ac:dyDescent="0.2">
      <c r="AF4190" s="679"/>
    </row>
    <row r="4191" spans="32:32" x14ac:dyDescent="0.2">
      <c r="AF4191" s="679"/>
    </row>
    <row r="4192" spans="32:32" x14ac:dyDescent="0.2">
      <c r="AF4192" s="679"/>
    </row>
    <row r="4193" spans="32:32" x14ac:dyDescent="0.2">
      <c r="AF4193" s="679"/>
    </row>
    <row r="4194" spans="32:32" x14ac:dyDescent="0.2">
      <c r="AF4194" s="679"/>
    </row>
    <row r="4195" spans="32:32" x14ac:dyDescent="0.2">
      <c r="AF4195" s="679"/>
    </row>
    <row r="4196" spans="32:32" x14ac:dyDescent="0.2">
      <c r="AF4196" s="679"/>
    </row>
    <row r="4197" spans="32:32" x14ac:dyDescent="0.2">
      <c r="AF4197" s="679"/>
    </row>
    <row r="4198" spans="32:32" x14ac:dyDescent="0.2">
      <c r="AF4198" s="679"/>
    </row>
    <row r="4199" spans="32:32" x14ac:dyDescent="0.2">
      <c r="AF4199" s="679"/>
    </row>
    <row r="4200" spans="32:32" x14ac:dyDescent="0.2">
      <c r="AF4200" s="679"/>
    </row>
    <row r="4201" spans="32:32" x14ac:dyDescent="0.2">
      <c r="AF4201" s="679"/>
    </row>
    <row r="4202" spans="32:32" x14ac:dyDescent="0.2">
      <c r="AF4202" s="679"/>
    </row>
    <row r="4203" spans="32:32" x14ac:dyDescent="0.2">
      <c r="AF4203" s="679"/>
    </row>
    <row r="4204" spans="32:32" x14ac:dyDescent="0.2">
      <c r="AF4204" s="679"/>
    </row>
    <row r="4205" spans="32:32" x14ac:dyDescent="0.2">
      <c r="AF4205" s="679"/>
    </row>
    <row r="4206" spans="32:32" x14ac:dyDescent="0.2">
      <c r="AF4206" s="679"/>
    </row>
    <row r="4207" spans="32:32" x14ac:dyDescent="0.2">
      <c r="AF4207" s="679"/>
    </row>
    <row r="4208" spans="32:32" x14ac:dyDescent="0.2">
      <c r="AF4208" s="679"/>
    </row>
    <row r="4209" spans="32:32" x14ac:dyDescent="0.2">
      <c r="AF4209" s="679"/>
    </row>
    <row r="4210" spans="32:32" x14ac:dyDescent="0.2">
      <c r="AF4210" s="679"/>
    </row>
    <row r="4211" spans="32:32" x14ac:dyDescent="0.2">
      <c r="AF4211" s="679"/>
    </row>
    <row r="4212" spans="32:32" x14ac:dyDescent="0.2">
      <c r="AF4212" s="679"/>
    </row>
    <row r="4213" spans="32:32" x14ac:dyDescent="0.2">
      <c r="AF4213" s="679"/>
    </row>
    <row r="4214" spans="32:32" x14ac:dyDescent="0.2">
      <c r="AF4214" s="679"/>
    </row>
    <row r="4215" spans="32:32" x14ac:dyDescent="0.2">
      <c r="AF4215" s="679"/>
    </row>
    <row r="4216" spans="32:32" x14ac:dyDescent="0.2">
      <c r="AF4216" s="679"/>
    </row>
    <row r="4217" spans="32:32" x14ac:dyDescent="0.2">
      <c r="AF4217" s="679"/>
    </row>
    <row r="4218" spans="32:32" x14ac:dyDescent="0.2">
      <c r="AF4218" s="679"/>
    </row>
    <row r="4219" spans="32:32" x14ac:dyDescent="0.2">
      <c r="AF4219" s="679"/>
    </row>
    <row r="4220" spans="32:32" x14ac:dyDescent="0.2">
      <c r="AF4220" s="679"/>
    </row>
    <row r="4221" spans="32:32" x14ac:dyDescent="0.2">
      <c r="AF4221" s="679"/>
    </row>
    <row r="4222" spans="32:32" x14ac:dyDescent="0.2">
      <c r="AF4222" s="679"/>
    </row>
    <row r="4223" spans="32:32" x14ac:dyDescent="0.2">
      <c r="AF4223" s="679"/>
    </row>
    <row r="4224" spans="32:32" x14ac:dyDescent="0.2">
      <c r="AF4224" s="679"/>
    </row>
    <row r="4225" spans="32:32" x14ac:dyDescent="0.2">
      <c r="AF4225" s="679"/>
    </row>
    <row r="4226" spans="32:32" x14ac:dyDescent="0.2">
      <c r="AF4226" s="679"/>
    </row>
    <row r="4227" spans="32:32" x14ac:dyDescent="0.2">
      <c r="AF4227" s="679"/>
    </row>
    <row r="4228" spans="32:32" x14ac:dyDescent="0.2">
      <c r="AF4228" s="679"/>
    </row>
    <row r="4229" spans="32:32" x14ac:dyDescent="0.2">
      <c r="AF4229" s="679"/>
    </row>
    <row r="4230" spans="32:32" x14ac:dyDescent="0.2">
      <c r="AF4230" s="679"/>
    </row>
    <row r="4231" spans="32:32" x14ac:dyDescent="0.2">
      <c r="AF4231" s="679"/>
    </row>
    <row r="4232" spans="32:32" x14ac:dyDescent="0.2">
      <c r="AF4232" s="679"/>
    </row>
    <row r="4233" spans="32:32" x14ac:dyDescent="0.2">
      <c r="AF4233" s="679"/>
    </row>
    <row r="4234" spans="32:32" x14ac:dyDescent="0.2">
      <c r="AF4234" s="679"/>
    </row>
    <row r="4235" spans="32:32" x14ac:dyDescent="0.2">
      <c r="AF4235" s="679"/>
    </row>
    <row r="4236" spans="32:32" x14ac:dyDescent="0.2">
      <c r="AF4236" s="679"/>
    </row>
    <row r="4237" spans="32:32" x14ac:dyDescent="0.2">
      <c r="AF4237" s="679"/>
    </row>
    <row r="4238" spans="32:32" x14ac:dyDescent="0.2">
      <c r="AF4238" s="679"/>
    </row>
    <row r="4239" spans="32:32" x14ac:dyDescent="0.2">
      <c r="AF4239" s="679"/>
    </row>
    <row r="4240" spans="32:32" x14ac:dyDescent="0.2">
      <c r="AF4240" s="679"/>
    </row>
    <row r="4241" spans="32:32" x14ac:dyDescent="0.2">
      <c r="AF4241" s="679"/>
    </row>
    <row r="4242" spans="32:32" x14ac:dyDescent="0.2">
      <c r="AF4242" s="679"/>
    </row>
    <row r="4243" spans="32:32" x14ac:dyDescent="0.2">
      <c r="AF4243" s="679"/>
    </row>
    <row r="4244" spans="32:32" x14ac:dyDescent="0.2">
      <c r="AF4244" s="679"/>
    </row>
    <row r="4245" spans="32:32" x14ac:dyDescent="0.2">
      <c r="AF4245" s="679"/>
    </row>
    <row r="4246" spans="32:32" x14ac:dyDescent="0.2">
      <c r="AF4246" s="679"/>
    </row>
    <row r="4247" spans="32:32" x14ac:dyDescent="0.2">
      <c r="AF4247" s="679"/>
    </row>
    <row r="4248" spans="32:32" x14ac:dyDescent="0.2">
      <c r="AF4248" s="679"/>
    </row>
    <row r="4249" spans="32:32" x14ac:dyDescent="0.2">
      <c r="AF4249" s="679"/>
    </row>
    <row r="4250" spans="32:32" x14ac:dyDescent="0.2">
      <c r="AF4250" s="679"/>
    </row>
    <row r="4251" spans="32:32" x14ac:dyDescent="0.2">
      <c r="AF4251" s="679"/>
    </row>
    <row r="4252" spans="32:32" x14ac:dyDescent="0.2">
      <c r="AF4252" s="679"/>
    </row>
    <row r="4253" spans="32:32" x14ac:dyDescent="0.2">
      <c r="AF4253" s="679"/>
    </row>
    <row r="4254" spans="32:32" x14ac:dyDescent="0.2">
      <c r="AF4254" s="679"/>
    </row>
    <row r="4255" spans="32:32" x14ac:dyDescent="0.2">
      <c r="AF4255" s="679"/>
    </row>
    <row r="4256" spans="32:32" x14ac:dyDescent="0.2">
      <c r="AF4256" s="679"/>
    </row>
    <row r="4257" spans="32:32" x14ac:dyDescent="0.2">
      <c r="AF4257" s="679"/>
    </row>
    <row r="4258" spans="32:32" x14ac:dyDescent="0.2">
      <c r="AF4258" s="679"/>
    </row>
    <row r="4259" spans="32:32" x14ac:dyDescent="0.2">
      <c r="AF4259" s="679"/>
    </row>
    <row r="4260" spans="32:32" x14ac:dyDescent="0.2">
      <c r="AF4260" s="679"/>
    </row>
    <row r="4261" spans="32:32" x14ac:dyDescent="0.2">
      <c r="AF4261" s="679"/>
    </row>
    <row r="4262" spans="32:32" x14ac:dyDescent="0.2">
      <c r="AF4262" s="679"/>
    </row>
    <row r="4263" spans="32:32" x14ac:dyDescent="0.2">
      <c r="AF4263" s="679"/>
    </row>
    <row r="4264" spans="32:32" x14ac:dyDescent="0.2">
      <c r="AF4264" s="679"/>
    </row>
    <row r="4265" spans="32:32" x14ac:dyDescent="0.2">
      <c r="AF4265" s="679"/>
    </row>
    <row r="4266" spans="32:32" x14ac:dyDescent="0.2">
      <c r="AF4266" s="679"/>
    </row>
    <row r="4267" spans="32:32" x14ac:dyDescent="0.2">
      <c r="AF4267" s="679"/>
    </row>
    <row r="4268" spans="32:32" x14ac:dyDescent="0.2">
      <c r="AF4268" s="679"/>
    </row>
    <row r="4269" spans="32:32" x14ac:dyDescent="0.2">
      <c r="AF4269" s="679"/>
    </row>
    <row r="4270" spans="32:32" x14ac:dyDescent="0.2">
      <c r="AF4270" s="679"/>
    </row>
    <row r="4271" spans="32:32" x14ac:dyDescent="0.2">
      <c r="AF4271" s="679"/>
    </row>
    <row r="4272" spans="32:32" x14ac:dyDescent="0.2">
      <c r="AF4272" s="679"/>
    </row>
    <row r="4273" spans="32:32" x14ac:dyDescent="0.2">
      <c r="AF4273" s="679"/>
    </row>
    <row r="4274" spans="32:32" x14ac:dyDescent="0.2">
      <c r="AF4274" s="679"/>
    </row>
    <row r="4275" spans="32:32" x14ac:dyDescent="0.2">
      <c r="AF4275" s="679"/>
    </row>
    <row r="4276" spans="32:32" x14ac:dyDescent="0.2">
      <c r="AF4276" s="679"/>
    </row>
    <row r="4277" spans="32:32" x14ac:dyDescent="0.2">
      <c r="AF4277" s="679"/>
    </row>
    <row r="4278" spans="32:32" x14ac:dyDescent="0.2">
      <c r="AF4278" s="679"/>
    </row>
    <row r="4279" spans="32:32" x14ac:dyDescent="0.2">
      <c r="AF4279" s="679"/>
    </row>
    <row r="4280" spans="32:32" x14ac:dyDescent="0.2">
      <c r="AF4280" s="679"/>
    </row>
    <row r="4281" spans="32:32" x14ac:dyDescent="0.2">
      <c r="AF4281" s="679"/>
    </row>
    <row r="4282" spans="32:32" x14ac:dyDescent="0.2">
      <c r="AF4282" s="679"/>
    </row>
    <row r="4283" spans="32:32" x14ac:dyDescent="0.2">
      <c r="AF4283" s="679"/>
    </row>
    <row r="4284" spans="32:32" x14ac:dyDescent="0.2">
      <c r="AF4284" s="679"/>
    </row>
    <row r="4285" spans="32:32" x14ac:dyDescent="0.2">
      <c r="AF4285" s="679"/>
    </row>
    <row r="4286" spans="32:32" x14ac:dyDescent="0.2">
      <c r="AF4286" s="679"/>
    </row>
    <row r="4287" spans="32:32" x14ac:dyDescent="0.2">
      <c r="AF4287" s="679"/>
    </row>
    <row r="4288" spans="32:32" x14ac:dyDescent="0.2">
      <c r="AF4288" s="679"/>
    </row>
    <row r="4289" spans="32:32" x14ac:dyDescent="0.2">
      <c r="AF4289" s="679"/>
    </row>
    <row r="4290" spans="32:32" x14ac:dyDescent="0.2">
      <c r="AF4290" s="679"/>
    </row>
    <row r="4291" spans="32:32" x14ac:dyDescent="0.2">
      <c r="AF4291" s="679"/>
    </row>
    <row r="4292" spans="32:32" x14ac:dyDescent="0.2">
      <c r="AF4292" s="679"/>
    </row>
    <row r="4293" spans="32:32" x14ac:dyDescent="0.2">
      <c r="AF4293" s="679"/>
    </row>
    <row r="4294" spans="32:32" x14ac:dyDescent="0.2">
      <c r="AF4294" s="679"/>
    </row>
    <row r="4295" spans="32:32" x14ac:dyDescent="0.2">
      <c r="AF4295" s="679"/>
    </row>
    <row r="4296" spans="32:32" x14ac:dyDescent="0.2">
      <c r="AF4296" s="679"/>
    </row>
    <row r="4297" spans="32:32" x14ac:dyDescent="0.2">
      <c r="AF4297" s="679"/>
    </row>
    <row r="4298" spans="32:32" x14ac:dyDescent="0.2">
      <c r="AF4298" s="679"/>
    </row>
    <row r="4299" spans="32:32" x14ac:dyDescent="0.2">
      <c r="AF4299" s="679"/>
    </row>
    <row r="4300" spans="32:32" x14ac:dyDescent="0.2">
      <c r="AF4300" s="679"/>
    </row>
    <row r="4301" spans="32:32" x14ac:dyDescent="0.2">
      <c r="AF4301" s="679"/>
    </row>
    <row r="4302" spans="32:32" x14ac:dyDescent="0.2">
      <c r="AF4302" s="679"/>
    </row>
    <row r="4303" spans="32:32" x14ac:dyDescent="0.2">
      <c r="AF4303" s="679"/>
    </row>
    <row r="4304" spans="32:32" x14ac:dyDescent="0.2">
      <c r="AF4304" s="679"/>
    </row>
    <row r="4305" spans="32:32" x14ac:dyDescent="0.2">
      <c r="AF4305" s="679"/>
    </row>
    <row r="4306" spans="32:32" x14ac:dyDescent="0.2">
      <c r="AF4306" s="679"/>
    </row>
    <row r="4307" spans="32:32" x14ac:dyDescent="0.2">
      <c r="AF4307" s="679"/>
    </row>
    <row r="4308" spans="32:32" x14ac:dyDescent="0.2">
      <c r="AF4308" s="679"/>
    </row>
    <row r="4309" spans="32:32" x14ac:dyDescent="0.2">
      <c r="AF4309" s="679"/>
    </row>
    <row r="4310" spans="32:32" x14ac:dyDescent="0.2">
      <c r="AF4310" s="679"/>
    </row>
    <row r="4311" spans="32:32" x14ac:dyDescent="0.2">
      <c r="AF4311" s="679"/>
    </row>
    <row r="4312" spans="32:32" x14ac:dyDescent="0.2">
      <c r="AF4312" s="679"/>
    </row>
    <row r="4313" spans="32:32" x14ac:dyDescent="0.2">
      <c r="AF4313" s="679"/>
    </row>
    <row r="4314" spans="32:32" x14ac:dyDescent="0.2">
      <c r="AF4314" s="679"/>
    </row>
    <row r="4315" spans="32:32" x14ac:dyDescent="0.2">
      <c r="AF4315" s="679"/>
    </row>
    <row r="4316" spans="32:32" x14ac:dyDescent="0.2">
      <c r="AF4316" s="679"/>
    </row>
    <row r="4317" spans="32:32" x14ac:dyDescent="0.2">
      <c r="AF4317" s="679"/>
    </row>
    <row r="4318" spans="32:32" x14ac:dyDescent="0.2">
      <c r="AF4318" s="679"/>
    </row>
    <row r="4319" spans="32:32" x14ac:dyDescent="0.2">
      <c r="AF4319" s="679"/>
    </row>
    <row r="4320" spans="32:32" x14ac:dyDescent="0.2">
      <c r="AF4320" s="679"/>
    </row>
    <row r="4321" spans="32:32" x14ac:dyDescent="0.2">
      <c r="AF4321" s="679"/>
    </row>
    <row r="4322" spans="32:32" x14ac:dyDescent="0.2">
      <c r="AF4322" s="679"/>
    </row>
    <row r="4323" spans="32:32" x14ac:dyDescent="0.2">
      <c r="AF4323" s="679"/>
    </row>
    <row r="4324" spans="32:32" x14ac:dyDescent="0.2">
      <c r="AF4324" s="679"/>
    </row>
    <row r="4325" spans="32:32" x14ac:dyDescent="0.2">
      <c r="AF4325" s="679"/>
    </row>
    <row r="4326" spans="32:32" x14ac:dyDescent="0.2">
      <c r="AF4326" s="679"/>
    </row>
    <row r="4327" spans="32:32" x14ac:dyDescent="0.2">
      <c r="AF4327" s="679"/>
    </row>
    <row r="4328" spans="32:32" x14ac:dyDescent="0.2">
      <c r="AF4328" s="679"/>
    </row>
    <row r="4329" spans="32:32" x14ac:dyDescent="0.2">
      <c r="AF4329" s="679"/>
    </row>
    <row r="4330" spans="32:32" x14ac:dyDescent="0.2">
      <c r="AF4330" s="679"/>
    </row>
    <row r="4331" spans="32:32" x14ac:dyDescent="0.2">
      <c r="AF4331" s="679"/>
    </row>
    <row r="4332" spans="32:32" x14ac:dyDescent="0.2">
      <c r="AF4332" s="679"/>
    </row>
    <row r="4333" spans="32:32" x14ac:dyDescent="0.2">
      <c r="AF4333" s="679"/>
    </row>
    <row r="4334" spans="32:32" x14ac:dyDescent="0.2">
      <c r="AF4334" s="679"/>
    </row>
    <row r="4335" spans="32:32" x14ac:dyDescent="0.2">
      <c r="AF4335" s="679"/>
    </row>
    <row r="4336" spans="32:32" x14ac:dyDescent="0.2">
      <c r="AF4336" s="679"/>
    </row>
    <row r="4337" spans="32:32" x14ac:dyDescent="0.2">
      <c r="AF4337" s="679"/>
    </row>
    <row r="4338" spans="32:32" x14ac:dyDescent="0.2">
      <c r="AF4338" s="679"/>
    </row>
    <row r="4339" spans="32:32" x14ac:dyDescent="0.2">
      <c r="AF4339" s="679"/>
    </row>
    <row r="4340" spans="32:32" x14ac:dyDescent="0.2">
      <c r="AF4340" s="679"/>
    </row>
    <row r="4341" spans="32:32" x14ac:dyDescent="0.2">
      <c r="AF4341" s="679"/>
    </row>
    <row r="4342" spans="32:32" x14ac:dyDescent="0.2">
      <c r="AF4342" s="679"/>
    </row>
    <row r="4343" spans="32:32" x14ac:dyDescent="0.2">
      <c r="AF4343" s="679"/>
    </row>
    <row r="4344" spans="32:32" x14ac:dyDescent="0.2">
      <c r="AF4344" s="679"/>
    </row>
    <row r="4345" spans="32:32" x14ac:dyDescent="0.2">
      <c r="AF4345" s="679"/>
    </row>
    <row r="4346" spans="32:32" x14ac:dyDescent="0.2">
      <c r="AF4346" s="679"/>
    </row>
    <row r="4347" spans="32:32" x14ac:dyDescent="0.2">
      <c r="AF4347" s="679"/>
    </row>
    <row r="4348" spans="32:32" x14ac:dyDescent="0.2">
      <c r="AF4348" s="679"/>
    </row>
    <row r="4349" spans="32:32" x14ac:dyDescent="0.2">
      <c r="AF4349" s="679"/>
    </row>
    <row r="4350" spans="32:32" x14ac:dyDescent="0.2">
      <c r="AF4350" s="679"/>
    </row>
    <row r="4351" spans="32:32" x14ac:dyDescent="0.2">
      <c r="AF4351" s="679"/>
    </row>
    <row r="4352" spans="32:32" x14ac:dyDescent="0.2">
      <c r="AF4352" s="679"/>
    </row>
    <row r="4353" spans="32:32" x14ac:dyDescent="0.2">
      <c r="AF4353" s="679"/>
    </row>
    <row r="4354" spans="32:32" x14ac:dyDescent="0.2">
      <c r="AF4354" s="679"/>
    </row>
    <row r="4355" spans="32:32" x14ac:dyDescent="0.2">
      <c r="AF4355" s="679"/>
    </row>
    <row r="4356" spans="32:32" x14ac:dyDescent="0.2">
      <c r="AF4356" s="679"/>
    </row>
    <row r="4357" spans="32:32" x14ac:dyDescent="0.2">
      <c r="AF4357" s="679"/>
    </row>
    <row r="4358" spans="32:32" x14ac:dyDescent="0.2">
      <c r="AF4358" s="679"/>
    </row>
    <row r="4359" spans="32:32" x14ac:dyDescent="0.2">
      <c r="AF4359" s="679"/>
    </row>
    <row r="4360" spans="32:32" x14ac:dyDescent="0.2">
      <c r="AF4360" s="679"/>
    </row>
    <row r="4361" spans="32:32" x14ac:dyDescent="0.2">
      <c r="AF4361" s="679"/>
    </row>
    <row r="4362" spans="32:32" x14ac:dyDescent="0.2">
      <c r="AF4362" s="679"/>
    </row>
    <row r="4363" spans="32:32" x14ac:dyDescent="0.2">
      <c r="AF4363" s="679"/>
    </row>
    <row r="4364" spans="32:32" x14ac:dyDescent="0.2">
      <c r="AF4364" s="679"/>
    </row>
    <row r="4365" spans="32:32" x14ac:dyDescent="0.2">
      <c r="AF4365" s="679"/>
    </row>
    <row r="4366" spans="32:32" x14ac:dyDescent="0.2">
      <c r="AF4366" s="679"/>
    </row>
    <row r="4367" spans="32:32" x14ac:dyDescent="0.2">
      <c r="AF4367" s="679"/>
    </row>
    <row r="4368" spans="32:32" x14ac:dyDescent="0.2">
      <c r="AF4368" s="679"/>
    </row>
    <row r="4369" spans="32:32" x14ac:dyDescent="0.2">
      <c r="AF4369" s="679"/>
    </row>
    <row r="4370" spans="32:32" x14ac:dyDescent="0.2">
      <c r="AF4370" s="679"/>
    </row>
    <row r="4371" spans="32:32" x14ac:dyDescent="0.2">
      <c r="AF4371" s="679"/>
    </row>
    <row r="4372" spans="32:32" x14ac:dyDescent="0.2">
      <c r="AF4372" s="679"/>
    </row>
    <row r="4373" spans="32:32" x14ac:dyDescent="0.2">
      <c r="AF4373" s="679"/>
    </row>
    <row r="4374" spans="32:32" x14ac:dyDescent="0.2">
      <c r="AF4374" s="679"/>
    </row>
    <row r="4375" spans="32:32" x14ac:dyDescent="0.2">
      <c r="AF4375" s="679"/>
    </row>
    <row r="4376" spans="32:32" x14ac:dyDescent="0.2">
      <c r="AF4376" s="679"/>
    </row>
    <row r="4377" spans="32:32" x14ac:dyDescent="0.2">
      <c r="AF4377" s="679"/>
    </row>
    <row r="4378" spans="32:32" x14ac:dyDescent="0.2">
      <c r="AF4378" s="679"/>
    </row>
    <row r="4379" spans="32:32" x14ac:dyDescent="0.2">
      <c r="AF4379" s="679"/>
    </row>
    <row r="4380" spans="32:32" x14ac:dyDescent="0.2">
      <c r="AF4380" s="679"/>
    </row>
    <row r="4381" spans="32:32" x14ac:dyDescent="0.2">
      <c r="AF4381" s="679"/>
    </row>
    <row r="4382" spans="32:32" x14ac:dyDescent="0.2">
      <c r="AF4382" s="679"/>
    </row>
    <row r="4383" spans="32:32" x14ac:dyDescent="0.2">
      <c r="AF4383" s="679"/>
    </row>
    <row r="4384" spans="32:32" x14ac:dyDescent="0.2">
      <c r="AF4384" s="679"/>
    </row>
    <row r="4385" spans="32:32" x14ac:dyDescent="0.2">
      <c r="AF4385" s="679"/>
    </row>
    <row r="4386" spans="32:32" x14ac:dyDescent="0.2">
      <c r="AF4386" s="679"/>
    </row>
    <row r="4387" spans="32:32" x14ac:dyDescent="0.2">
      <c r="AF4387" s="679"/>
    </row>
    <row r="4388" spans="32:32" x14ac:dyDescent="0.2">
      <c r="AF4388" s="679"/>
    </row>
    <row r="4389" spans="32:32" x14ac:dyDescent="0.2">
      <c r="AF4389" s="679"/>
    </row>
    <row r="4390" spans="32:32" x14ac:dyDescent="0.2">
      <c r="AF4390" s="679"/>
    </row>
    <row r="4391" spans="32:32" x14ac:dyDescent="0.2">
      <c r="AF4391" s="679"/>
    </row>
    <row r="4392" spans="32:32" x14ac:dyDescent="0.2">
      <c r="AF4392" s="679"/>
    </row>
    <row r="4393" spans="32:32" x14ac:dyDescent="0.2">
      <c r="AF4393" s="679"/>
    </row>
    <row r="4394" spans="32:32" x14ac:dyDescent="0.2">
      <c r="AF4394" s="679"/>
    </row>
    <row r="4395" spans="32:32" x14ac:dyDescent="0.2">
      <c r="AF4395" s="679"/>
    </row>
    <row r="4396" spans="32:32" x14ac:dyDescent="0.2">
      <c r="AF4396" s="679"/>
    </row>
    <row r="4397" spans="32:32" x14ac:dyDescent="0.2">
      <c r="AF4397" s="679"/>
    </row>
    <row r="4398" spans="32:32" x14ac:dyDescent="0.2">
      <c r="AF4398" s="679"/>
    </row>
    <row r="4399" spans="32:32" x14ac:dyDescent="0.2">
      <c r="AF4399" s="679"/>
    </row>
    <row r="4400" spans="32:32" x14ac:dyDescent="0.2">
      <c r="AF4400" s="679"/>
    </row>
    <row r="4401" spans="32:32" x14ac:dyDescent="0.2">
      <c r="AF4401" s="679"/>
    </row>
    <row r="4402" spans="32:32" x14ac:dyDescent="0.2">
      <c r="AF4402" s="679"/>
    </row>
    <row r="4403" spans="32:32" x14ac:dyDescent="0.2">
      <c r="AF4403" s="679"/>
    </row>
    <row r="4404" spans="32:32" x14ac:dyDescent="0.2">
      <c r="AF4404" s="679"/>
    </row>
    <row r="4405" spans="32:32" x14ac:dyDescent="0.2">
      <c r="AF4405" s="679"/>
    </row>
    <row r="4406" spans="32:32" x14ac:dyDescent="0.2">
      <c r="AF4406" s="679"/>
    </row>
    <row r="4407" spans="32:32" x14ac:dyDescent="0.2">
      <c r="AF4407" s="679"/>
    </row>
    <row r="4408" spans="32:32" x14ac:dyDescent="0.2">
      <c r="AF4408" s="679"/>
    </row>
    <row r="4409" spans="32:32" x14ac:dyDescent="0.2">
      <c r="AF4409" s="679"/>
    </row>
    <row r="4410" spans="32:32" x14ac:dyDescent="0.2">
      <c r="AF4410" s="679"/>
    </row>
    <row r="4411" spans="32:32" x14ac:dyDescent="0.2">
      <c r="AF4411" s="679"/>
    </row>
    <row r="4412" spans="32:32" x14ac:dyDescent="0.2">
      <c r="AF4412" s="679"/>
    </row>
    <row r="4413" spans="32:32" x14ac:dyDescent="0.2">
      <c r="AF4413" s="679"/>
    </row>
    <row r="4414" spans="32:32" x14ac:dyDescent="0.2">
      <c r="AF4414" s="679"/>
    </row>
    <row r="4415" spans="32:32" x14ac:dyDescent="0.2">
      <c r="AF4415" s="679"/>
    </row>
    <row r="4416" spans="32:32" x14ac:dyDescent="0.2">
      <c r="AF4416" s="679"/>
    </row>
    <row r="4417" spans="32:32" x14ac:dyDescent="0.2">
      <c r="AF4417" s="679"/>
    </row>
    <row r="4418" spans="32:32" x14ac:dyDescent="0.2">
      <c r="AF4418" s="679"/>
    </row>
    <row r="4419" spans="32:32" x14ac:dyDescent="0.2">
      <c r="AF4419" s="679"/>
    </row>
    <row r="4420" spans="32:32" x14ac:dyDescent="0.2">
      <c r="AF4420" s="679"/>
    </row>
    <row r="4421" spans="32:32" x14ac:dyDescent="0.2">
      <c r="AF4421" s="679"/>
    </row>
    <row r="4422" spans="32:32" x14ac:dyDescent="0.2">
      <c r="AF4422" s="679"/>
    </row>
    <row r="4423" spans="32:32" x14ac:dyDescent="0.2">
      <c r="AF4423" s="679"/>
    </row>
    <row r="4424" spans="32:32" x14ac:dyDescent="0.2">
      <c r="AF4424" s="679"/>
    </row>
    <row r="4425" spans="32:32" x14ac:dyDescent="0.2">
      <c r="AF4425" s="679"/>
    </row>
    <row r="4426" spans="32:32" x14ac:dyDescent="0.2">
      <c r="AF4426" s="679"/>
    </row>
    <row r="4427" spans="32:32" x14ac:dyDescent="0.2">
      <c r="AF4427" s="679"/>
    </row>
    <row r="4428" spans="32:32" x14ac:dyDescent="0.2">
      <c r="AF4428" s="679"/>
    </row>
    <row r="4429" spans="32:32" x14ac:dyDescent="0.2">
      <c r="AF4429" s="679"/>
    </row>
    <row r="4430" spans="32:32" x14ac:dyDescent="0.2">
      <c r="AF4430" s="679"/>
    </row>
    <row r="4431" spans="32:32" x14ac:dyDescent="0.2">
      <c r="AF4431" s="679"/>
    </row>
    <row r="4432" spans="32:32" x14ac:dyDescent="0.2">
      <c r="AF4432" s="679"/>
    </row>
    <row r="4433" spans="32:32" x14ac:dyDescent="0.2">
      <c r="AF4433" s="679"/>
    </row>
    <row r="4434" spans="32:32" x14ac:dyDescent="0.2">
      <c r="AF4434" s="679"/>
    </row>
    <row r="4435" spans="32:32" x14ac:dyDescent="0.2">
      <c r="AF4435" s="679"/>
    </row>
    <row r="4436" spans="32:32" x14ac:dyDescent="0.2">
      <c r="AF4436" s="679"/>
    </row>
    <row r="4437" spans="32:32" x14ac:dyDescent="0.2">
      <c r="AF4437" s="679"/>
    </row>
    <row r="4438" spans="32:32" x14ac:dyDescent="0.2">
      <c r="AF4438" s="679"/>
    </row>
    <row r="4439" spans="32:32" x14ac:dyDescent="0.2">
      <c r="AF4439" s="679"/>
    </row>
    <row r="4440" spans="32:32" x14ac:dyDescent="0.2">
      <c r="AF4440" s="679"/>
    </row>
    <row r="4441" spans="32:32" x14ac:dyDescent="0.2">
      <c r="AF4441" s="679"/>
    </row>
    <row r="4442" spans="32:32" x14ac:dyDescent="0.2">
      <c r="AF4442" s="679"/>
    </row>
    <row r="4443" spans="32:32" x14ac:dyDescent="0.2">
      <c r="AF4443" s="679"/>
    </row>
    <row r="4444" spans="32:32" x14ac:dyDescent="0.2">
      <c r="AF4444" s="679"/>
    </row>
    <row r="4445" spans="32:32" x14ac:dyDescent="0.2">
      <c r="AF4445" s="679"/>
    </row>
    <row r="4446" spans="32:32" x14ac:dyDescent="0.2">
      <c r="AF4446" s="679"/>
    </row>
    <row r="4447" spans="32:32" x14ac:dyDescent="0.2">
      <c r="AF4447" s="679"/>
    </row>
    <row r="4448" spans="32:32" x14ac:dyDescent="0.2">
      <c r="AF4448" s="679"/>
    </row>
    <row r="4449" spans="32:32" x14ac:dyDescent="0.2">
      <c r="AF4449" s="679"/>
    </row>
    <row r="4450" spans="32:32" x14ac:dyDescent="0.2">
      <c r="AF4450" s="679"/>
    </row>
    <row r="4451" spans="32:32" x14ac:dyDescent="0.2">
      <c r="AF4451" s="679"/>
    </row>
    <row r="4452" spans="32:32" x14ac:dyDescent="0.2">
      <c r="AF4452" s="679"/>
    </row>
    <row r="4453" spans="32:32" x14ac:dyDescent="0.2">
      <c r="AF4453" s="679"/>
    </row>
    <row r="4454" spans="32:32" x14ac:dyDescent="0.2">
      <c r="AF4454" s="679"/>
    </row>
    <row r="4455" spans="32:32" x14ac:dyDescent="0.2">
      <c r="AF4455" s="679"/>
    </row>
    <row r="4456" spans="32:32" x14ac:dyDescent="0.2">
      <c r="AF4456" s="679"/>
    </row>
    <row r="4457" spans="32:32" x14ac:dyDescent="0.2">
      <c r="AF4457" s="679"/>
    </row>
    <row r="4458" spans="32:32" x14ac:dyDescent="0.2">
      <c r="AF4458" s="679"/>
    </row>
    <row r="4459" spans="32:32" x14ac:dyDescent="0.2">
      <c r="AF4459" s="679"/>
    </row>
    <row r="4460" spans="32:32" x14ac:dyDescent="0.2">
      <c r="AF4460" s="679"/>
    </row>
    <row r="4461" spans="32:32" x14ac:dyDescent="0.2">
      <c r="AF4461" s="679"/>
    </row>
    <row r="4462" spans="32:32" x14ac:dyDescent="0.2">
      <c r="AF4462" s="679"/>
    </row>
    <row r="4463" spans="32:32" x14ac:dyDescent="0.2">
      <c r="AF4463" s="679"/>
    </row>
    <row r="4464" spans="32:32" x14ac:dyDescent="0.2">
      <c r="AF4464" s="679"/>
    </row>
    <row r="4465" spans="32:32" x14ac:dyDescent="0.2">
      <c r="AF4465" s="679"/>
    </row>
    <row r="4466" spans="32:32" x14ac:dyDescent="0.2">
      <c r="AF4466" s="679"/>
    </row>
    <row r="4467" spans="32:32" x14ac:dyDescent="0.2">
      <c r="AF4467" s="679"/>
    </row>
    <row r="4468" spans="32:32" x14ac:dyDescent="0.2">
      <c r="AF4468" s="679"/>
    </row>
    <row r="4469" spans="32:32" x14ac:dyDescent="0.2">
      <c r="AF4469" s="679"/>
    </row>
    <row r="4470" spans="32:32" x14ac:dyDescent="0.2">
      <c r="AF4470" s="679"/>
    </row>
    <row r="4471" spans="32:32" x14ac:dyDescent="0.2">
      <c r="AF4471" s="679"/>
    </row>
    <row r="4472" spans="32:32" x14ac:dyDescent="0.2">
      <c r="AF4472" s="679"/>
    </row>
    <row r="4473" spans="32:32" x14ac:dyDescent="0.2">
      <c r="AF4473" s="679"/>
    </row>
    <row r="4474" spans="32:32" x14ac:dyDescent="0.2">
      <c r="AF4474" s="679"/>
    </row>
    <row r="4475" spans="32:32" x14ac:dyDescent="0.2">
      <c r="AF4475" s="679"/>
    </row>
    <row r="4476" spans="32:32" x14ac:dyDescent="0.2">
      <c r="AF4476" s="679"/>
    </row>
    <row r="4477" spans="32:32" x14ac:dyDescent="0.2">
      <c r="AF4477" s="679"/>
    </row>
    <row r="4478" spans="32:32" x14ac:dyDescent="0.2">
      <c r="AF4478" s="679"/>
    </row>
    <row r="4479" spans="32:32" x14ac:dyDescent="0.2">
      <c r="AF4479" s="679"/>
    </row>
    <row r="4480" spans="32:32" x14ac:dyDescent="0.2">
      <c r="AF4480" s="679"/>
    </row>
    <row r="4481" spans="32:32" x14ac:dyDescent="0.2">
      <c r="AF4481" s="679"/>
    </row>
    <row r="4482" spans="32:32" x14ac:dyDescent="0.2">
      <c r="AF4482" s="679"/>
    </row>
    <row r="4483" spans="32:32" x14ac:dyDescent="0.2">
      <c r="AF4483" s="679"/>
    </row>
    <row r="4484" spans="32:32" x14ac:dyDescent="0.2">
      <c r="AF4484" s="679"/>
    </row>
    <row r="4485" spans="32:32" x14ac:dyDescent="0.2">
      <c r="AF4485" s="679"/>
    </row>
    <row r="4486" spans="32:32" x14ac:dyDescent="0.2">
      <c r="AF4486" s="679"/>
    </row>
    <row r="4487" spans="32:32" x14ac:dyDescent="0.2">
      <c r="AF4487" s="679"/>
    </row>
    <row r="4488" spans="32:32" x14ac:dyDescent="0.2">
      <c r="AF4488" s="679"/>
    </row>
    <row r="4489" spans="32:32" x14ac:dyDescent="0.2">
      <c r="AF4489" s="679"/>
    </row>
    <row r="4490" spans="32:32" x14ac:dyDescent="0.2">
      <c r="AF4490" s="679"/>
    </row>
    <row r="4491" spans="32:32" x14ac:dyDescent="0.2">
      <c r="AF4491" s="679"/>
    </row>
    <row r="4492" spans="32:32" x14ac:dyDescent="0.2">
      <c r="AF4492" s="679"/>
    </row>
    <row r="4493" spans="32:32" x14ac:dyDescent="0.2">
      <c r="AF4493" s="679"/>
    </row>
    <row r="4494" spans="32:32" x14ac:dyDescent="0.2">
      <c r="AF4494" s="679"/>
    </row>
    <row r="4495" spans="32:32" x14ac:dyDescent="0.2">
      <c r="AF4495" s="679"/>
    </row>
    <row r="4496" spans="32:32" x14ac:dyDescent="0.2">
      <c r="AF4496" s="679"/>
    </row>
    <row r="4497" spans="32:32" x14ac:dyDescent="0.2">
      <c r="AF4497" s="679"/>
    </row>
    <row r="4498" spans="32:32" x14ac:dyDescent="0.2">
      <c r="AF4498" s="679"/>
    </row>
    <row r="4499" spans="32:32" x14ac:dyDescent="0.2">
      <c r="AF4499" s="679"/>
    </row>
    <row r="4500" spans="32:32" x14ac:dyDescent="0.2">
      <c r="AF4500" s="679"/>
    </row>
    <row r="4501" spans="32:32" x14ac:dyDescent="0.2">
      <c r="AF4501" s="679"/>
    </row>
    <row r="4502" spans="32:32" x14ac:dyDescent="0.2">
      <c r="AF4502" s="679"/>
    </row>
    <row r="4503" spans="32:32" x14ac:dyDescent="0.2">
      <c r="AF4503" s="679"/>
    </row>
    <row r="4504" spans="32:32" x14ac:dyDescent="0.2">
      <c r="AF4504" s="679"/>
    </row>
    <row r="4505" spans="32:32" x14ac:dyDescent="0.2">
      <c r="AF4505" s="679"/>
    </row>
    <row r="4506" spans="32:32" x14ac:dyDescent="0.2">
      <c r="AF4506" s="679"/>
    </row>
    <row r="4507" spans="32:32" x14ac:dyDescent="0.2">
      <c r="AF4507" s="679"/>
    </row>
    <row r="4508" spans="32:32" x14ac:dyDescent="0.2">
      <c r="AF4508" s="679"/>
    </row>
    <row r="4509" spans="32:32" x14ac:dyDescent="0.2">
      <c r="AF4509" s="679"/>
    </row>
    <row r="4510" spans="32:32" x14ac:dyDescent="0.2">
      <c r="AF4510" s="679"/>
    </row>
    <row r="4511" spans="32:32" x14ac:dyDescent="0.2">
      <c r="AF4511" s="679"/>
    </row>
    <row r="4512" spans="32:32" x14ac:dyDescent="0.2">
      <c r="AF4512" s="679"/>
    </row>
    <row r="4513" spans="32:32" x14ac:dyDescent="0.2">
      <c r="AF4513" s="679"/>
    </row>
    <row r="4514" spans="32:32" x14ac:dyDescent="0.2">
      <c r="AF4514" s="679"/>
    </row>
    <row r="4515" spans="32:32" x14ac:dyDescent="0.2">
      <c r="AF4515" s="679"/>
    </row>
    <row r="4516" spans="32:32" x14ac:dyDescent="0.2">
      <c r="AF4516" s="679"/>
    </row>
    <row r="4517" spans="32:32" x14ac:dyDescent="0.2">
      <c r="AF4517" s="679"/>
    </row>
    <row r="4518" spans="32:32" x14ac:dyDescent="0.2">
      <c r="AF4518" s="679"/>
    </row>
    <row r="4519" spans="32:32" x14ac:dyDescent="0.2">
      <c r="AF4519" s="679"/>
    </row>
    <row r="4520" spans="32:32" x14ac:dyDescent="0.2">
      <c r="AF4520" s="679"/>
    </row>
    <row r="4521" spans="32:32" x14ac:dyDescent="0.2">
      <c r="AF4521" s="679"/>
    </row>
    <row r="4522" spans="32:32" x14ac:dyDescent="0.2">
      <c r="AF4522" s="679"/>
    </row>
    <row r="4523" spans="32:32" x14ac:dyDescent="0.2">
      <c r="AF4523" s="679"/>
    </row>
    <row r="4524" spans="32:32" x14ac:dyDescent="0.2">
      <c r="AF4524" s="679"/>
    </row>
    <row r="4525" spans="32:32" x14ac:dyDescent="0.2">
      <c r="AF4525" s="679"/>
    </row>
    <row r="4526" spans="32:32" x14ac:dyDescent="0.2">
      <c r="AF4526" s="679"/>
    </row>
    <row r="4527" spans="32:32" x14ac:dyDescent="0.2">
      <c r="AF4527" s="679"/>
    </row>
    <row r="4528" spans="32:32" x14ac:dyDescent="0.2">
      <c r="AF4528" s="679"/>
    </row>
    <row r="4529" spans="32:32" x14ac:dyDescent="0.2">
      <c r="AF4529" s="679"/>
    </row>
    <row r="4530" spans="32:32" x14ac:dyDescent="0.2">
      <c r="AF4530" s="679"/>
    </row>
    <row r="4531" spans="32:32" x14ac:dyDescent="0.2">
      <c r="AF4531" s="679"/>
    </row>
    <row r="4532" spans="32:32" x14ac:dyDescent="0.2">
      <c r="AF4532" s="679"/>
    </row>
    <row r="4533" spans="32:32" x14ac:dyDescent="0.2">
      <c r="AF4533" s="679"/>
    </row>
    <row r="4534" spans="32:32" x14ac:dyDescent="0.2">
      <c r="AF4534" s="679"/>
    </row>
    <row r="4535" spans="32:32" x14ac:dyDescent="0.2">
      <c r="AF4535" s="679"/>
    </row>
    <row r="4536" spans="32:32" x14ac:dyDescent="0.2">
      <c r="AF4536" s="679"/>
    </row>
    <row r="4537" spans="32:32" x14ac:dyDescent="0.2">
      <c r="AF4537" s="679"/>
    </row>
    <row r="4538" spans="32:32" x14ac:dyDescent="0.2">
      <c r="AF4538" s="679"/>
    </row>
    <row r="4539" spans="32:32" x14ac:dyDescent="0.2">
      <c r="AF4539" s="679"/>
    </row>
    <row r="4540" spans="32:32" x14ac:dyDescent="0.2">
      <c r="AF4540" s="679"/>
    </row>
    <row r="4541" spans="32:32" x14ac:dyDescent="0.2">
      <c r="AF4541" s="679"/>
    </row>
    <row r="4542" spans="32:32" x14ac:dyDescent="0.2">
      <c r="AF4542" s="679"/>
    </row>
    <row r="4543" spans="32:32" x14ac:dyDescent="0.2">
      <c r="AF4543" s="679"/>
    </row>
    <row r="4544" spans="32:32" x14ac:dyDescent="0.2">
      <c r="AF4544" s="679"/>
    </row>
    <row r="4545" spans="32:32" x14ac:dyDescent="0.2">
      <c r="AF4545" s="679"/>
    </row>
    <row r="4546" spans="32:32" x14ac:dyDescent="0.2">
      <c r="AF4546" s="679"/>
    </row>
    <row r="4547" spans="32:32" x14ac:dyDescent="0.2">
      <c r="AF4547" s="679"/>
    </row>
    <row r="4548" spans="32:32" x14ac:dyDescent="0.2">
      <c r="AF4548" s="679"/>
    </row>
    <row r="4549" spans="32:32" x14ac:dyDescent="0.2">
      <c r="AF4549" s="679"/>
    </row>
    <row r="4550" spans="32:32" x14ac:dyDescent="0.2">
      <c r="AF4550" s="679"/>
    </row>
    <row r="4551" spans="32:32" x14ac:dyDescent="0.2">
      <c r="AF4551" s="679"/>
    </row>
    <row r="4552" spans="32:32" x14ac:dyDescent="0.2">
      <c r="AF4552" s="679"/>
    </row>
    <row r="4553" spans="32:32" x14ac:dyDescent="0.2">
      <c r="AF4553" s="679"/>
    </row>
    <row r="4554" spans="32:32" x14ac:dyDescent="0.2">
      <c r="AF4554" s="679"/>
    </row>
    <row r="4555" spans="32:32" x14ac:dyDescent="0.2">
      <c r="AF4555" s="679"/>
    </row>
    <row r="4556" spans="32:32" x14ac:dyDescent="0.2">
      <c r="AF4556" s="679"/>
    </row>
    <row r="4557" spans="32:32" x14ac:dyDescent="0.2">
      <c r="AF4557" s="679"/>
    </row>
    <row r="4558" spans="32:32" x14ac:dyDescent="0.2">
      <c r="AF4558" s="679"/>
    </row>
    <row r="4559" spans="32:32" x14ac:dyDescent="0.2">
      <c r="AF4559" s="679"/>
    </row>
    <row r="4560" spans="32:32" x14ac:dyDescent="0.2">
      <c r="AF4560" s="679"/>
    </row>
    <row r="4561" spans="32:32" x14ac:dyDescent="0.2">
      <c r="AF4561" s="679"/>
    </row>
    <row r="4562" spans="32:32" x14ac:dyDescent="0.2">
      <c r="AF4562" s="679"/>
    </row>
    <row r="4563" spans="32:32" x14ac:dyDescent="0.2">
      <c r="AF4563" s="679"/>
    </row>
    <row r="4564" spans="32:32" x14ac:dyDescent="0.2">
      <c r="AF4564" s="679"/>
    </row>
    <row r="4565" spans="32:32" x14ac:dyDescent="0.2">
      <c r="AF4565" s="679"/>
    </row>
    <row r="4566" spans="32:32" x14ac:dyDescent="0.2">
      <c r="AF4566" s="679"/>
    </row>
    <row r="4567" spans="32:32" x14ac:dyDescent="0.2">
      <c r="AF4567" s="679"/>
    </row>
    <row r="4568" spans="32:32" x14ac:dyDescent="0.2">
      <c r="AF4568" s="679"/>
    </row>
    <row r="4569" spans="32:32" x14ac:dyDescent="0.2">
      <c r="AF4569" s="679"/>
    </row>
    <row r="4570" spans="32:32" x14ac:dyDescent="0.2">
      <c r="AF4570" s="679"/>
    </row>
    <row r="4571" spans="32:32" x14ac:dyDescent="0.2">
      <c r="AF4571" s="679"/>
    </row>
    <row r="4572" spans="32:32" x14ac:dyDescent="0.2">
      <c r="AF4572" s="679"/>
    </row>
    <row r="4573" spans="32:32" x14ac:dyDescent="0.2">
      <c r="AF4573" s="679"/>
    </row>
    <row r="4574" spans="32:32" x14ac:dyDescent="0.2">
      <c r="AF4574" s="679"/>
    </row>
    <row r="4575" spans="32:32" x14ac:dyDescent="0.2">
      <c r="AF4575" s="679"/>
    </row>
    <row r="4576" spans="32:32" x14ac:dyDescent="0.2">
      <c r="AF4576" s="679"/>
    </row>
    <row r="4577" spans="32:32" x14ac:dyDescent="0.2">
      <c r="AF4577" s="679"/>
    </row>
    <row r="4578" spans="32:32" x14ac:dyDescent="0.2">
      <c r="AF4578" s="679"/>
    </row>
    <row r="4579" spans="32:32" x14ac:dyDescent="0.2">
      <c r="AF4579" s="679"/>
    </row>
    <row r="4580" spans="32:32" x14ac:dyDescent="0.2">
      <c r="AF4580" s="679"/>
    </row>
    <row r="4581" spans="32:32" x14ac:dyDescent="0.2">
      <c r="AF4581" s="679"/>
    </row>
    <row r="4582" spans="32:32" x14ac:dyDescent="0.2">
      <c r="AF4582" s="679"/>
    </row>
    <row r="4583" spans="32:32" x14ac:dyDescent="0.2">
      <c r="AF4583" s="679"/>
    </row>
    <row r="4584" spans="32:32" x14ac:dyDescent="0.2">
      <c r="AF4584" s="679"/>
    </row>
    <row r="4585" spans="32:32" x14ac:dyDescent="0.2">
      <c r="AF4585" s="679"/>
    </row>
    <row r="4586" spans="32:32" x14ac:dyDescent="0.2">
      <c r="AF4586" s="679"/>
    </row>
    <row r="4587" spans="32:32" x14ac:dyDescent="0.2">
      <c r="AF4587" s="679"/>
    </row>
    <row r="4588" spans="32:32" x14ac:dyDescent="0.2">
      <c r="AF4588" s="679"/>
    </row>
    <row r="4589" spans="32:32" x14ac:dyDescent="0.2">
      <c r="AF4589" s="679"/>
    </row>
    <row r="4590" spans="32:32" x14ac:dyDescent="0.2">
      <c r="AF4590" s="679"/>
    </row>
    <row r="4591" spans="32:32" x14ac:dyDescent="0.2">
      <c r="AF4591" s="679"/>
    </row>
    <row r="4592" spans="32:32" x14ac:dyDescent="0.2">
      <c r="AF4592" s="679"/>
    </row>
    <row r="4593" spans="32:32" x14ac:dyDescent="0.2">
      <c r="AF4593" s="679"/>
    </row>
    <row r="4594" spans="32:32" x14ac:dyDescent="0.2">
      <c r="AF4594" s="679"/>
    </row>
    <row r="4595" spans="32:32" x14ac:dyDescent="0.2">
      <c r="AF4595" s="679"/>
    </row>
    <row r="4596" spans="32:32" x14ac:dyDescent="0.2">
      <c r="AF4596" s="679"/>
    </row>
    <row r="4597" spans="32:32" x14ac:dyDescent="0.2">
      <c r="AF4597" s="679"/>
    </row>
    <row r="4598" spans="32:32" x14ac:dyDescent="0.2">
      <c r="AF4598" s="679"/>
    </row>
    <row r="4599" spans="32:32" x14ac:dyDescent="0.2">
      <c r="AF4599" s="679"/>
    </row>
    <row r="4600" spans="32:32" x14ac:dyDescent="0.2">
      <c r="AF4600" s="679"/>
    </row>
    <row r="4601" spans="32:32" x14ac:dyDescent="0.2">
      <c r="AF4601" s="679"/>
    </row>
    <row r="4602" spans="32:32" x14ac:dyDescent="0.2">
      <c r="AF4602" s="679"/>
    </row>
    <row r="4603" spans="32:32" x14ac:dyDescent="0.2">
      <c r="AF4603" s="679"/>
    </row>
    <row r="4604" spans="32:32" x14ac:dyDescent="0.2">
      <c r="AF4604" s="679"/>
    </row>
    <row r="4605" spans="32:32" x14ac:dyDescent="0.2">
      <c r="AF4605" s="679"/>
    </row>
    <row r="4606" spans="32:32" x14ac:dyDescent="0.2">
      <c r="AF4606" s="679"/>
    </row>
    <row r="4607" spans="32:32" x14ac:dyDescent="0.2">
      <c r="AF4607" s="679"/>
    </row>
    <row r="4608" spans="32:32" x14ac:dyDescent="0.2">
      <c r="AF4608" s="679"/>
    </row>
    <row r="4609" spans="32:32" x14ac:dyDescent="0.2">
      <c r="AF4609" s="679"/>
    </row>
    <row r="4610" spans="32:32" x14ac:dyDescent="0.2">
      <c r="AF4610" s="679"/>
    </row>
    <row r="4611" spans="32:32" x14ac:dyDescent="0.2">
      <c r="AF4611" s="679"/>
    </row>
    <row r="4612" spans="32:32" x14ac:dyDescent="0.2">
      <c r="AF4612" s="679"/>
    </row>
    <row r="4613" spans="32:32" x14ac:dyDescent="0.2">
      <c r="AF4613" s="679"/>
    </row>
    <row r="4614" spans="32:32" x14ac:dyDescent="0.2">
      <c r="AF4614" s="679"/>
    </row>
    <row r="4615" spans="32:32" x14ac:dyDescent="0.2">
      <c r="AF4615" s="679"/>
    </row>
    <row r="4616" spans="32:32" x14ac:dyDescent="0.2">
      <c r="AF4616" s="679"/>
    </row>
    <row r="4617" spans="32:32" x14ac:dyDescent="0.2">
      <c r="AF4617" s="679"/>
    </row>
    <row r="4618" spans="32:32" x14ac:dyDescent="0.2">
      <c r="AF4618" s="679"/>
    </row>
    <row r="4619" spans="32:32" x14ac:dyDescent="0.2">
      <c r="AF4619" s="679"/>
    </row>
    <row r="4620" spans="32:32" x14ac:dyDescent="0.2">
      <c r="AF4620" s="679"/>
    </row>
    <row r="4621" spans="32:32" x14ac:dyDescent="0.2">
      <c r="AF4621" s="679"/>
    </row>
    <row r="4622" spans="32:32" x14ac:dyDescent="0.2">
      <c r="AF4622" s="679"/>
    </row>
    <row r="4623" spans="32:32" x14ac:dyDescent="0.2">
      <c r="AF4623" s="679"/>
    </row>
    <row r="4624" spans="32:32" x14ac:dyDescent="0.2">
      <c r="AF4624" s="679"/>
    </row>
    <row r="4625" spans="32:32" x14ac:dyDescent="0.2">
      <c r="AF4625" s="679"/>
    </row>
    <row r="4626" spans="32:32" x14ac:dyDescent="0.2">
      <c r="AF4626" s="679"/>
    </row>
    <row r="4627" spans="32:32" x14ac:dyDescent="0.2">
      <c r="AF4627" s="679"/>
    </row>
    <row r="4628" spans="32:32" x14ac:dyDescent="0.2">
      <c r="AF4628" s="679"/>
    </row>
    <row r="4629" spans="32:32" x14ac:dyDescent="0.2">
      <c r="AF4629" s="679"/>
    </row>
    <row r="4630" spans="32:32" x14ac:dyDescent="0.2">
      <c r="AF4630" s="679"/>
    </row>
    <row r="4631" spans="32:32" x14ac:dyDescent="0.2">
      <c r="AF4631" s="679"/>
    </row>
    <row r="4632" spans="32:32" x14ac:dyDescent="0.2">
      <c r="AF4632" s="679"/>
    </row>
    <row r="4633" spans="32:32" x14ac:dyDescent="0.2">
      <c r="AF4633" s="679"/>
    </row>
    <row r="4634" spans="32:32" x14ac:dyDescent="0.2">
      <c r="AF4634" s="679"/>
    </row>
    <row r="4635" spans="32:32" x14ac:dyDescent="0.2">
      <c r="AF4635" s="679"/>
    </row>
    <row r="4636" spans="32:32" x14ac:dyDescent="0.2">
      <c r="AF4636" s="679"/>
    </row>
    <row r="4637" spans="32:32" x14ac:dyDescent="0.2">
      <c r="AF4637" s="679"/>
    </row>
    <row r="4638" spans="32:32" x14ac:dyDescent="0.2">
      <c r="AF4638" s="679"/>
    </row>
    <row r="4639" spans="32:32" x14ac:dyDescent="0.2">
      <c r="AF4639" s="679"/>
    </row>
    <row r="4640" spans="32:32" x14ac:dyDescent="0.2">
      <c r="AF4640" s="679"/>
    </row>
    <row r="4641" spans="32:32" x14ac:dyDescent="0.2">
      <c r="AF4641" s="679"/>
    </row>
    <row r="4642" spans="32:32" x14ac:dyDescent="0.2">
      <c r="AF4642" s="679"/>
    </row>
    <row r="4643" spans="32:32" x14ac:dyDescent="0.2">
      <c r="AF4643" s="679"/>
    </row>
    <row r="4644" spans="32:32" x14ac:dyDescent="0.2">
      <c r="AF4644" s="679"/>
    </row>
    <row r="4645" spans="32:32" x14ac:dyDescent="0.2">
      <c r="AF4645" s="679"/>
    </row>
    <row r="4646" spans="32:32" x14ac:dyDescent="0.2">
      <c r="AF4646" s="679"/>
    </row>
    <row r="4647" spans="32:32" x14ac:dyDescent="0.2">
      <c r="AF4647" s="679"/>
    </row>
    <row r="4648" spans="32:32" x14ac:dyDescent="0.2">
      <c r="AF4648" s="679"/>
    </row>
    <row r="4649" spans="32:32" x14ac:dyDescent="0.2">
      <c r="AF4649" s="679"/>
    </row>
    <row r="4650" spans="32:32" x14ac:dyDescent="0.2">
      <c r="AF4650" s="679"/>
    </row>
    <row r="4651" spans="32:32" x14ac:dyDescent="0.2">
      <c r="AF4651" s="679"/>
    </row>
    <row r="4652" spans="32:32" x14ac:dyDescent="0.2">
      <c r="AF4652" s="679"/>
    </row>
    <row r="4653" spans="32:32" x14ac:dyDescent="0.2">
      <c r="AF4653" s="679"/>
    </row>
    <row r="4654" spans="32:32" x14ac:dyDescent="0.2">
      <c r="AF4654" s="679"/>
    </row>
    <row r="4655" spans="32:32" x14ac:dyDescent="0.2">
      <c r="AF4655" s="679"/>
    </row>
    <row r="4656" spans="32:32" x14ac:dyDescent="0.2">
      <c r="AF4656" s="679"/>
    </row>
    <row r="4657" spans="32:32" x14ac:dyDescent="0.2">
      <c r="AF4657" s="679"/>
    </row>
    <row r="4658" spans="32:32" x14ac:dyDescent="0.2">
      <c r="AF4658" s="679"/>
    </row>
    <row r="4659" spans="32:32" x14ac:dyDescent="0.2">
      <c r="AF4659" s="679"/>
    </row>
    <row r="4660" spans="32:32" x14ac:dyDescent="0.2">
      <c r="AF4660" s="679"/>
    </row>
    <row r="4661" spans="32:32" x14ac:dyDescent="0.2">
      <c r="AF4661" s="679"/>
    </row>
    <row r="4662" spans="32:32" x14ac:dyDescent="0.2">
      <c r="AF4662" s="679"/>
    </row>
    <row r="4663" spans="32:32" x14ac:dyDescent="0.2">
      <c r="AF4663" s="679"/>
    </row>
    <row r="4664" spans="32:32" x14ac:dyDescent="0.2">
      <c r="AF4664" s="679"/>
    </row>
    <row r="4665" spans="32:32" x14ac:dyDescent="0.2">
      <c r="AF4665" s="679"/>
    </row>
    <row r="4666" spans="32:32" x14ac:dyDescent="0.2">
      <c r="AF4666" s="679"/>
    </row>
    <row r="4667" spans="32:32" x14ac:dyDescent="0.2">
      <c r="AF4667" s="679"/>
    </row>
    <row r="4668" spans="32:32" x14ac:dyDescent="0.2">
      <c r="AF4668" s="679"/>
    </row>
    <row r="4669" spans="32:32" x14ac:dyDescent="0.2">
      <c r="AF4669" s="679"/>
    </row>
    <row r="4670" spans="32:32" x14ac:dyDescent="0.2">
      <c r="AF4670" s="679"/>
    </row>
    <row r="4671" spans="32:32" x14ac:dyDescent="0.2">
      <c r="AF4671" s="679"/>
    </row>
    <row r="4672" spans="32:32" x14ac:dyDescent="0.2">
      <c r="AF4672" s="679"/>
    </row>
    <row r="4673" spans="32:32" x14ac:dyDescent="0.2">
      <c r="AF4673" s="679"/>
    </row>
    <row r="4674" spans="32:32" x14ac:dyDescent="0.2">
      <c r="AF4674" s="679"/>
    </row>
    <row r="4675" spans="32:32" x14ac:dyDescent="0.2">
      <c r="AF4675" s="679"/>
    </row>
    <row r="4676" spans="32:32" x14ac:dyDescent="0.2">
      <c r="AF4676" s="679"/>
    </row>
    <row r="4677" spans="32:32" x14ac:dyDescent="0.2">
      <c r="AF4677" s="679"/>
    </row>
    <row r="4678" spans="32:32" x14ac:dyDescent="0.2">
      <c r="AF4678" s="679"/>
    </row>
    <row r="4679" spans="32:32" x14ac:dyDescent="0.2">
      <c r="AF4679" s="679"/>
    </row>
    <row r="4680" spans="32:32" x14ac:dyDescent="0.2">
      <c r="AF4680" s="679"/>
    </row>
    <row r="4681" spans="32:32" x14ac:dyDescent="0.2">
      <c r="AF4681" s="679"/>
    </row>
    <row r="4682" spans="32:32" x14ac:dyDescent="0.2">
      <c r="AF4682" s="679"/>
    </row>
    <row r="4683" spans="32:32" x14ac:dyDescent="0.2">
      <c r="AF4683" s="679"/>
    </row>
    <row r="4684" spans="32:32" x14ac:dyDescent="0.2">
      <c r="AF4684" s="679"/>
    </row>
    <row r="4685" spans="32:32" x14ac:dyDescent="0.2">
      <c r="AF4685" s="679"/>
    </row>
    <row r="4686" spans="32:32" x14ac:dyDescent="0.2">
      <c r="AF4686" s="679"/>
    </row>
    <row r="4687" spans="32:32" x14ac:dyDescent="0.2">
      <c r="AF4687" s="679"/>
    </row>
    <row r="4688" spans="32:32" x14ac:dyDescent="0.2">
      <c r="AF4688" s="679"/>
    </row>
    <row r="4689" spans="32:32" x14ac:dyDescent="0.2">
      <c r="AF4689" s="679"/>
    </row>
    <row r="4690" spans="32:32" x14ac:dyDescent="0.2">
      <c r="AF4690" s="679"/>
    </row>
    <row r="4691" spans="32:32" x14ac:dyDescent="0.2">
      <c r="AF4691" s="679"/>
    </row>
    <row r="4692" spans="32:32" x14ac:dyDescent="0.2">
      <c r="AF4692" s="679"/>
    </row>
    <row r="4693" spans="32:32" x14ac:dyDescent="0.2">
      <c r="AF4693" s="679"/>
    </row>
    <row r="4694" spans="32:32" x14ac:dyDescent="0.2">
      <c r="AF4694" s="679"/>
    </row>
    <row r="4695" spans="32:32" x14ac:dyDescent="0.2">
      <c r="AF4695" s="679"/>
    </row>
    <row r="4696" spans="32:32" x14ac:dyDescent="0.2">
      <c r="AF4696" s="679"/>
    </row>
    <row r="4697" spans="32:32" x14ac:dyDescent="0.2">
      <c r="AF4697" s="679"/>
    </row>
    <row r="4698" spans="32:32" x14ac:dyDescent="0.2">
      <c r="AF4698" s="679"/>
    </row>
    <row r="4699" spans="32:32" x14ac:dyDescent="0.2">
      <c r="AF4699" s="679"/>
    </row>
    <row r="4700" spans="32:32" x14ac:dyDescent="0.2">
      <c r="AF4700" s="679"/>
    </row>
    <row r="4701" spans="32:32" x14ac:dyDescent="0.2">
      <c r="AF4701" s="679"/>
    </row>
    <row r="4702" spans="32:32" x14ac:dyDescent="0.2">
      <c r="AF4702" s="679"/>
    </row>
    <row r="4703" spans="32:32" x14ac:dyDescent="0.2">
      <c r="AF4703" s="679"/>
    </row>
    <row r="4704" spans="32:32" x14ac:dyDescent="0.2">
      <c r="AF4704" s="679"/>
    </row>
    <row r="4705" spans="32:32" x14ac:dyDescent="0.2">
      <c r="AF4705" s="679"/>
    </row>
    <row r="4706" spans="32:32" x14ac:dyDescent="0.2">
      <c r="AF4706" s="679"/>
    </row>
    <row r="4707" spans="32:32" x14ac:dyDescent="0.2">
      <c r="AF4707" s="679"/>
    </row>
    <row r="4708" spans="32:32" x14ac:dyDescent="0.2">
      <c r="AF4708" s="679"/>
    </row>
    <row r="4709" spans="32:32" x14ac:dyDescent="0.2">
      <c r="AF4709" s="679"/>
    </row>
    <row r="4710" spans="32:32" x14ac:dyDescent="0.2">
      <c r="AF4710" s="679"/>
    </row>
    <row r="4711" spans="32:32" x14ac:dyDescent="0.2">
      <c r="AF4711" s="679"/>
    </row>
    <row r="4712" spans="32:32" x14ac:dyDescent="0.2">
      <c r="AF4712" s="679"/>
    </row>
    <row r="4713" spans="32:32" x14ac:dyDescent="0.2">
      <c r="AF4713" s="679"/>
    </row>
    <row r="4714" spans="32:32" x14ac:dyDescent="0.2">
      <c r="AF4714" s="679"/>
    </row>
    <row r="4715" spans="32:32" x14ac:dyDescent="0.2">
      <c r="AF4715" s="679"/>
    </row>
    <row r="4716" spans="32:32" x14ac:dyDescent="0.2">
      <c r="AF4716" s="679"/>
    </row>
    <row r="4717" spans="32:32" x14ac:dyDescent="0.2">
      <c r="AF4717" s="679"/>
    </row>
    <row r="4718" spans="32:32" x14ac:dyDescent="0.2">
      <c r="AF4718" s="679"/>
    </row>
    <row r="4719" spans="32:32" x14ac:dyDescent="0.2">
      <c r="AF4719" s="679"/>
    </row>
    <row r="4720" spans="32:32" x14ac:dyDescent="0.2">
      <c r="AF4720" s="679"/>
    </row>
    <row r="4721" spans="32:32" x14ac:dyDescent="0.2">
      <c r="AF4721" s="679"/>
    </row>
    <row r="4722" spans="32:32" x14ac:dyDescent="0.2">
      <c r="AF4722" s="679"/>
    </row>
    <row r="4723" spans="32:32" x14ac:dyDescent="0.2">
      <c r="AF4723" s="679"/>
    </row>
    <row r="4724" spans="32:32" x14ac:dyDescent="0.2">
      <c r="AF4724" s="679"/>
    </row>
    <row r="4725" spans="32:32" x14ac:dyDescent="0.2">
      <c r="AF4725" s="679"/>
    </row>
    <row r="4726" spans="32:32" x14ac:dyDescent="0.2">
      <c r="AF4726" s="679"/>
    </row>
    <row r="4727" spans="32:32" x14ac:dyDescent="0.2">
      <c r="AF4727" s="679"/>
    </row>
    <row r="4728" spans="32:32" x14ac:dyDescent="0.2">
      <c r="AF4728" s="679"/>
    </row>
    <row r="4729" spans="32:32" x14ac:dyDescent="0.2">
      <c r="AF4729" s="679"/>
    </row>
    <row r="4730" spans="32:32" x14ac:dyDescent="0.2">
      <c r="AF4730" s="679"/>
    </row>
    <row r="4731" spans="32:32" x14ac:dyDescent="0.2">
      <c r="AF4731" s="679"/>
    </row>
    <row r="4732" spans="32:32" x14ac:dyDescent="0.2">
      <c r="AF4732" s="679"/>
    </row>
    <row r="4733" spans="32:32" x14ac:dyDescent="0.2">
      <c r="AF4733" s="679"/>
    </row>
    <row r="4734" spans="32:32" x14ac:dyDescent="0.2">
      <c r="AF4734" s="679"/>
    </row>
    <row r="4735" spans="32:32" x14ac:dyDescent="0.2">
      <c r="AF4735" s="679"/>
    </row>
    <row r="4736" spans="32:32" x14ac:dyDescent="0.2">
      <c r="AF4736" s="679"/>
    </row>
    <row r="4737" spans="32:32" x14ac:dyDescent="0.2">
      <c r="AF4737" s="679"/>
    </row>
    <row r="4738" spans="32:32" x14ac:dyDescent="0.2">
      <c r="AF4738" s="679"/>
    </row>
    <row r="4739" spans="32:32" x14ac:dyDescent="0.2">
      <c r="AF4739" s="679"/>
    </row>
    <row r="4740" spans="32:32" x14ac:dyDescent="0.2">
      <c r="AF4740" s="679"/>
    </row>
    <row r="4741" spans="32:32" x14ac:dyDescent="0.2">
      <c r="AF4741" s="679"/>
    </row>
    <row r="4742" spans="32:32" x14ac:dyDescent="0.2">
      <c r="AF4742" s="679"/>
    </row>
    <row r="4743" spans="32:32" x14ac:dyDescent="0.2">
      <c r="AF4743" s="679"/>
    </row>
    <row r="4744" spans="32:32" x14ac:dyDescent="0.2">
      <c r="AF4744" s="679"/>
    </row>
    <row r="4745" spans="32:32" x14ac:dyDescent="0.2">
      <c r="AF4745" s="679"/>
    </row>
    <row r="4746" spans="32:32" x14ac:dyDescent="0.2">
      <c r="AF4746" s="679"/>
    </row>
    <row r="4747" spans="32:32" x14ac:dyDescent="0.2">
      <c r="AF4747" s="679"/>
    </row>
    <row r="4748" spans="32:32" x14ac:dyDescent="0.2">
      <c r="AF4748" s="679"/>
    </row>
    <row r="4749" spans="32:32" x14ac:dyDescent="0.2">
      <c r="AF4749" s="679"/>
    </row>
    <row r="4750" spans="32:32" x14ac:dyDescent="0.2">
      <c r="AF4750" s="679"/>
    </row>
    <row r="4751" spans="32:32" x14ac:dyDescent="0.2">
      <c r="AF4751" s="679"/>
    </row>
    <row r="4752" spans="32:32" x14ac:dyDescent="0.2">
      <c r="AF4752" s="679"/>
    </row>
    <row r="4753" spans="32:32" x14ac:dyDescent="0.2">
      <c r="AF4753" s="679"/>
    </row>
    <row r="4754" spans="32:32" x14ac:dyDescent="0.2">
      <c r="AF4754" s="679"/>
    </row>
    <row r="4755" spans="32:32" x14ac:dyDescent="0.2">
      <c r="AF4755" s="679"/>
    </row>
    <row r="4756" spans="32:32" x14ac:dyDescent="0.2">
      <c r="AF4756" s="679"/>
    </row>
    <row r="4757" spans="32:32" x14ac:dyDescent="0.2">
      <c r="AF4757" s="679"/>
    </row>
    <row r="4758" spans="32:32" x14ac:dyDescent="0.2">
      <c r="AF4758" s="679"/>
    </row>
    <row r="4759" spans="32:32" x14ac:dyDescent="0.2">
      <c r="AF4759" s="679"/>
    </row>
    <row r="4760" spans="32:32" x14ac:dyDescent="0.2">
      <c r="AF4760" s="679"/>
    </row>
    <row r="4761" spans="32:32" x14ac:dyDescent="0.2">
      <c r="AF4761" s="679"/>
    </row>
    <row r="4762" spans="32:32" x14ac:dyDescent="0.2">
      <c r="AF4762" s="679"/>
    </row>
    <row r="4763" spans="32:32" x14ac:dyDescent="0.2">
      <c r="AF4763" s="679"/>
    </row>
    <row r="4764" spans="32:32" x14ac:dyDescent="0.2">
      <c r="AF4764" s="679"/>
    </row>
    <row r="4765" spans="32:32" x14ac:dyDescent="0.2">
      <c r="AF4765" s="679"/>
    </row>
    <row r="4766" spans="32:32" x14ac:dyDescent="0.2">
      <c r="AF4766" s="679"/>
    </row>
    <row r="4767" spans="32:32" x14ac:dyDescent="0.2">
      <c r="AF4767" s="679"/>
    </row>
    <row r="4768" spans="32:32" x14ac:dyDescent="0.2">
      <c r="AF4768" s="679"/>
    </row>
    <row r="4769" spans="32:32" x14ac:dyDescent="0.2">
      <c r="AF4769" s="679"/>
    </row>
    <row r="4770" spans="32:32" x14ac:dyDescent="0.2">
      <c r="AF4770" s="679"/>
    </row>
    <row r="4771" spans="32:32" x14ac:dyDescent="0.2">
      <c r="AF4771" s="679"/>
    </row>
    <row r="4772" spans="32:32" x14ac:dyDescent="0.2">
      <c r="AF4772" s="679"/>
    </row>
    <row r="4773" spans="32:32" x14ac:dyDescent="0.2">
      <c r="AF4773" s="679"/>
    </row>
    <row r="4774" spans="32:32" x14ac:dyDescent="0.2">
      <c r="AF4774" s="679"/>
    </row>
    <row r="4775" spans="32:32" x14ac:dyDescent="0.2">
      <c r="AF4775" s="679"/>
    </row>
    <row r="4776" spans="32:32" x14ac:dyDescent="0.2">
      <c r="AF4776" s="679"/>
    </row>
    <row r="4777" spans="32:32" x14ac:dyDescent="0.2">
      <c r="AF4777" s="679"/>
    </row>
    <row r="4778" spans="32:32" x14ac:dyDescent="0.2">
      <c r="AF4778" s="679"/>
    </row>
    <row r="4779" spans="32:32" x14ac:dyDescent="0.2">
      <c r="AF4779" s="679"/>
    </row>
    <row r="4780" spans="32:32" x14ac:dyDescent="0.2">
      <c r="AF4780" s="679"/>
    </row>
    <row r="4781" spans="32:32" x14ac:dyDescent="0.2">
      <c r="AF4781" s="679"/>
    </row>
    <row r="4782" spans="32:32" x14ac:dyDescent="0.2">
      <c r="AF4782" s="679"/>
    </row>
    <row r="4783" spans="32:32" x14ac:dyDescent="0.2">
      <c r="AF4783" s="679"/>
    </row>
    <row r="4784" spans="32:32" x14ac:dyDescent="0.2">
      <c r="AF4784" s="679"/>
    </row>
    <row r="4785" spans="32:32" x14ac:dyDescent="0.2">
      <c r="AF4785" s="679"/>
    </row>
    <row r="4786" spans="32:32" x14ac:dyDescent="0.2">
      <c r="AF4786" s="679"/>
    </row>
    <row r="4787" spans="32:32" x14ac:dyDescent="0.2">
      <c r="AF4787" s="679"/>
    </row>
    <row r="4788" spans="32:32" x14ac:dyDescent="0.2">
      <c r="AF4788" s="679"/>
    </row>
    <row r="4789" spans="32:32" x14ac:dyDescent="0.2">
      <c r="AF4789" s="679"/>
    </row>
    <row r="4790" spans="32:32" x14ac:dyDescent="0.2">
      <c r="AF4790" s="679"/>
    </row>
    <row r="4791" spans="32:32" x14ac:dyDescent="0.2">
      <c r="AF4791" s="679"/>
    </row>
    <row r="4792" spans="32:32" x14ac:dyDescent="0.2">
      <c r="AF4792" s="679"/>
    </row>
    <row r="4793" spans="32:32" x14ac:dyDescent="0.2">
      <c r="AF4793" s="679"/>
    </row>
    <row r="4794" spans="32:32" x14ac:dyDescent="0.2">
      <c r="AF4794" s="679"/>
    </row>
    <row r="4795" spans="32:32" x14ac:dyDescent="0.2">
      <c r="AF4795" s="679"/>
    </row>
    <row r="4796" spans="32:32" x14ac:dyDescent="0.2">
      <c r="AF4796" s="679"/>
    </row>
    <row r="4797" spans="32:32" x14ac:dyDescent="0.2">
      <c r="AF4797" s="679"/>
    </row>
    <row r="4798" spans="32:32" x14ac:dyDescent="0.2">
      <c r="AF4798" s="679"/>
    </row>
    <row r="4799" spans="32:32" x14ac:dyDescent="0.2">
      <c r="AF4799" s="679"/>
    </row>
    <row r="4800" spans="32:32" x14ac:dyDescent="0.2">
      <c r="AF4800" s="679"/>
    </row>
    <row r="4801" spans="32:32" x14ac:dyDescent="0.2">
      <c r="AF4801" s="679"/>
    </row>
    <row r="4802" spans="32:32" x14ac:dyDescent="0.2">
      <c r="AF4802" s="679"/>
    </row>
    <row r="4803" spans="32:32" x14ac:dyDescent="0.2">
      <c r="AF4803" s="679"/>
    </row>
    <row r="4804" spans="32:32" x14ac:dyDescent="0.2">
      <c r="AF4804" s="679"/>
    </row>
    <row r="4805" spans="32:32" x14ac:dyDescent="0.2">
      <c r="AF4805" s="679"/>
    </row>
    <row r="4806" spans="32:32" x14ac:dyDescent="0.2">
      <c r="AF4806" s="679"/>
    </row>
    <row r="4807" spans="32:32" x14ac:dyDescent="0.2">
      <c r="AF4807" s="679"/>
    </row>
    <row r="4808" spans="32:32" x14ac:dyDescent="0.2">
      <c r="AF4808" s="679"/>
    </row>
    <row r="4809" spans="32:32" x14ac:dyDescent="0.2">
      <c r="AF4809" s="679"/>
    </row>
    <row r="4810" spans="32:32" x14ac:dyDescent="0.2">
      <c r="AF4810" s="679"/>
    </row>
    <row r="4811" spans="32:32" x14ac:dyDescent="0.2">
      <c r="AF4811" s="679"/>
    </row>
    <row r="4812" spans="32:32" x14ac:dyDescent="0.2">
      <c r="AF4812" s="679"/>
    </row>
    <row r="4813" spans="32:32" x14ac:dyDescent="0.2">
      <c r="AF4813" s="679"/>
    </row>
    <row r="4814" spans="32:32" x14ac:dyDescent="0.2">
      <c r="AF4814" s="679"/>
    </row>
    <row r="4815" spans="32:32" x14ac:dyDescent="0.2">
      <c r="AF4815" s="679"/>
    </row>
    <row r="4816" spans="32:32" x14ac:dyDescent="0.2">
      <c r="AF4816" s="679"/>
    </row>
    <row r="4817" spans="32:32" x14ac:dyDescent="0.2">
      <c r="AF4817" s="679"/>
    </row>
    <row r="4818" spans="32:32" x14ac:dyDescent="0.2">
      <c r="AF4818" s="679"/>
    </row>
    <row r="4819" spans="32:32" x14ac:dyDescent="0.2">
      <c r="AF4819" s="679"/>
    </row>
    <row r="4820" spans="32:32" x14ac:dyDescent="0.2">
      <c r="AF4820" s="679"/>
    </row>
    <row r="4821" spans="32:32" x14ac:dyDescent="0.2">
      <c r="AF4821" s="679"/>
    </row>
    <row r="4822" spans="32:32" x14ac:dyDescent="0.2">
      <c r="AF4822" s="679"/>
    </row>
    <row r="4823" spans="32:32" x14ac:dyDescent="0.2">
      <c r="AF4823" s="679"/>
    </row>
    <row r="4824" spans="32:32" x14ac:dyDescent="0.2">
      <c r="AF4824" s="679"/>
    </row>
    <row r="4825" spans="32:32" x14ac:dyDescent="0.2">
      <c r="AF4825" s="679"/>
    </row>
    <row r="4826" spans="32:32" x14ac:dyDescent="0.2">
      <c r="AF4826" s="679"/>
    </row>
    <row r="4827" spans="32:32" x14ac:dyDescent="0.2">
      <c r="AF4827" s="679"/>
    </row>
    <row r="4828" spans="32:32" x14ac:dyDescent="0.2">
      <c r="AF4828" s="679"/>
    </row>
    <row r="4829" spans="32:32" x14ac:dyDescent="0.2">
      <c r="AF4829" s="679"/>
    </row>
    <row r="4830" spans="32:32" x14ac:dyDescent="0.2">
      <c r="AF4830" s="679"/>
    </row>
    <row r="4831" spans="32:32" x14ac:dyDescent="0.2">
      <c r="AF4831" s="679"/>
    </row>
    <row r="4832" spans="32:32" x14ac:dyDescent="0.2">
      <c r="AF4832" s="679"/>
    </row>
    <row r="4833" spans="32:32" x14ac:dyDescent="0.2">
      <c r="AF4833" s="679"/>
    </row>
    <row r="4834" spans="32:32" x14ac:dyDescent="0.2">
      <c r="AF4834" s="679"/>
    </row>
    <row r="4835" spans="32:32" x14ac:dyDescent="0.2">
      <c r="AF4835" s="679"/>
    </row>
    <row r="4836" spans="32:32" x14ac:dyDescent="0.2">
      <c r="AF4836" s="679"/>
    </row>
    <row r="4837" spans="32:32" x14ac:dyDescent="0.2">
      <c r="AF4837" s="679"/>
    </row>
    <row r="4838" spans="32:32" x14ac:dyDescent="0.2">
      <c r="AF4838" s="679"/>
    </row>
    <row r="4839" spans="32:32" x14ac:dyDescent="0.2">
      <c r="AF4839" s="679"/>
    </row>
    <row r="4840" spans="32:32" x14ac:dyDescent="0.2">
      <c r="AF4840" s="679"/>
    </row>
    <row r="4841" spans="32:32" x14ac:dyDescent="0.2">
      <c r="AF4841" s="679"/>
    </row>
    <row r="4842" spans="32:32" x14ac:dyDescent="0.2">
      <c r="AF4842" s="679"/>
    </row>
    <row r="4843" spans="32:32" x14ac:dyDescent="0.2">
      <c r="AF4843" s="679"/>
    </row>
    <row r="4844" spans="32:32" x14ac:dyDescent="0.2">
      <c r="AF4844" s="679"/>
    </row>
    <row r="4845" spans="32:32" x14ac:dyDescent="0.2">
      <c r="AF4845" s="679"/>
    </row>
    <row r="4846" spans="32:32" x14ac:dyDescent="0.2">
      <c r="AF4846" s="679"/>
    </row>
    <row r="4847" spans="32:32" x14ac:dyDescent="0.2">
      <c r="AF4847" s="679"/>
    </row>
    <row r="4848" spans="32:32" x14ac:dyDescent="0.2">
      <c r="AF4848" s="679"/>
    </row>
    <row r="4849" spans="32:32" x14ac:dyDescent="0.2">
      <c r="AF4849" s="679"/>
    </row>
    <row r="4850" spans="32:32" x14ac:dyDescent="0.2">
      <c r="AF4850" s="679"/>
    </row>
    <row r="4851" spans="32:32" x14ac:dyDescent="0.2">
      <c r="AF4851" s="679"/>
    </row>
    <row r="4852" spans="32:32" x14ac:dyDescent="0.2">
      <c r="AF4852" s="679"/>
    </row>
    <row r="4853" spans="32:32" x14ac:dyDescent="0.2">
      <c r="AF4853" s="679"/>
    </row>
    <row r="4854" spans="32:32" x14ac:dyDescent="0.2">
      <c r="AF4854" s="679"/>
    </row>
    <row r="4855" spans="32:32" x14ac:dyDescent="0.2">
      <c r="AF4855" s="679"/>
    </row>
    <row r="4856" spans="32:32" x14ac:dyDescent="0.2">
      <c r="AF4856" s="679"/>
    </row>
    <row r="4857" spans="32:32" x14ac:dyDescent="0.2">
      <c r="AF4857" s="679"/>
    </row>
    <row r="4858" spans="32:32" x14ac:dyDescent="0.2">
      <c r="AF4858" s="679"/>
    </row>
    <row r="4859" spans="32:32" x14ac:dyDescent="0.2">
      <c r="AF4859" s="679"/>
    </row>
    <row r="4860" spans="32:32" x14ac:dyDescent="0.2">
      <c r="AF4860" s="679"/>
    </row>
    <row r="4861" spans="32:32" x14ac:dyDescent="0.2">
      <c r="AF4861" s="679"/>
    </row>
    <row r="4862" spans="32:32" x14ac:dyDescent="0.2">
      <c r="AF4862" s="679"/>
    </row>
    <row r="4863" spans="32:32" x14ac:dyDescent="0.2">
      <c r="AF4863" s="679"/>
    </row>
    <row r="4864" spans="32:32" x14ac:dyDescent="0.2">
      <c r="AF4864" s="679"/>
    </row>
    <row r="4865" spans="32:32" x14ac:dyDescent="0.2">
      <c r="AF4865" s="679"/>
    </row>
    <row r="4866" spans="32:32" x14ac:dyDescent="0.2">
      <c r="AF4866" s="679"/>
    </row>
    <row r="4867" spans="32:32" x14ac:dyDescent="0.2">
      <c r="AF4867" s="679"/>
    </row>
    <row r="4868" spans="32:32" x14ac:dyDescent="0.2">
      <c r="AF4868" s="679"/>
    </row>
    <row r="4869" spans="32:32" x14ac:dyDescent="0.2">
      <c r="AF4869" s="679"/>
    </row>
    <row r="4870" spans="32:32" x14ac:dyDescent="0.2">
      <c r="AF4870" s="679"/>
    </row>
    <row r="4871" spans="32:32" x14ac:dyDescent="0.2">
      <c r="AF4871" s="679"/>
    </row>
    <row r="4872" spans="32:32" x14ac:dyDescent="0.2">
      <c r="AF4872" s="679"/>
    </row>
    <row r="4873" spans="32:32" x14ac:dyDescent="0.2">
      <c r="AF4873" s="679"/>
    </row>
    <row r="4874" spans="32:32" x14ac:dyDescent="0.2">
      <c r="AF4874" s="679"/>
    </row>
    <row r="4875" spans="32:32" x14ac:dyDescent="0.2">
      <c r="AF4875" s="679"/>
    </row>
    <row r="4876" spans="32:32" x14ac:dyDescent="0.2">
      <c r="AF4876" s="679"/>
    </row>
    <row r="4877" spans="32:32" x14ac:dyDescent="0.2">
      <c r="AF4877" s="679"/>
    </row>
    <row r="4878" spans="32:32" x14ac:dyDescent="0.2">
      <c r="AF4878" s="679"/>
    </row>
    <row r="4879" spans="32:32" x14ac:dyDescent="0.2">
      <c r="AF4879" s="679"/>
    </row>
    <row r="4880" spans="32:32" x14ac:dyDescent="0.2">
      <c r="AF4880" s="679"/>
    </row>
    <row r="4881" spans="32:32" x14ac:dyDescent="0.2">
      <c r="AF4881" s="679"/>
    </row>
    <row r="4882" spans="32:32" x14ac:dyDescent="0.2">
      <c r="AF4882" s="679"/>
    </row>
    <row r="4883" spans="32:32" x14ac:dyDescent="0.2">
      <c r="AF4883" s="679"/>
    </row>
    <row r="4884" spans="32:32" x14ac:dyDescent="0.2">
      <c r="AF4884" s="679"/>
    </row>
    <row r="4885" spans="32:32" x14ac:dyDescent="0.2">
      <c r="AF4885" s="679"/>
    </row>
    <row r="4886" spans="32:32" x14ac:dyDescent="0.2">
      <c r="AF4886" s="679"/>
    </row>
    <row r="4887" spans="32:32" x14ac:dyDescent="0.2">
      <c r="AF4887" s="679"/>
    </row>
    <row r="4888" spans="32:32" x14ac:dyDescent="0.2">
      <c r="AF4888" s="679"/>
    </row>
    <row r="4889" spans="32:32" x14ac:dyDescent="0.2">
      <c r="AF4889" s="679"/>
    </row>
    <row r="4890" spans="32:32" x14ac:dyDescent="0.2">
      <c r="AF4890" s="679"/>
    </row>
    <row r="4891" spans="32:32" x14ac:dyDescent="0.2">
      <c r="AF4891" s="679"/>
    </row>
    <row r="4892" spans="32:32" x14ac:dyDescent="0.2">
      <c r="AF4892" s="679"/>
    </row>
    <row r="4893" spans="32:32" x14ac:dyDescent="0.2">
      <c r="AF4893" s="679"/>
    </row>
    <row r="4894" spans="32:32" x14ac:dyDescent="0.2">
      <c r="AF4894" s="679"/>
    </row>
    <row r="4895" spans="32:32" x14ac:dyDescent="0.2">
      <c r="AF4895" s="679"/>
    </row>
    <row r="4896" spans="32:32" x14ac:dyDescent="0.2">
      <c r="AF4896" s="679"/>
    </row>
    <row r="4897" spans="32:32" x14ac:dyDescent="0.2">
      <c r="AF4897" s="679"/>
    </row>
    <row r="4898" spans="32:32" x14ac:dyDescent="0.2">
      <c r="AF4898" s="679"/>
    </row>
    <row r="4899" spans="32:32" x14ac:dyDescent="0.2">
      <c r="AF4899" s="679"/>
    </row>
    <row r="4900" spans="32:32" x14ac:dyDescent="0.2">
      <c r="AF4900" s="679"/>
    </row>
    <row r="4901" spans="32:32" x14ac:dyDescent="0.2">
      <c r="AF4901" s="679"/>
    </row>
    <row r="4902" spans="32:32" x14ac:dyDescent="0.2">
      <c r="AF4902" s="679"/>
    </row>
    <row r="4903" spans="32:32" x14ac:dyDescent="0.2">
      <c r="AF4903" s="679"/>
    </row>
    <row r="4904" spans="32:32" x14ac:dyDescent="0.2">
      <c r="AF4904" s="679"/>
    </row>
    <row r="4905" spans="32:32" x14ac:dyDescent="0.2">
      <c r="AF4905" s="679"/>
    </row>
    <row r="4906" spans="32:32" x14ac:dyDescent="0.2">
      <c r="AF4906" s="679"/>
    </row>
    <row r="4907" spans="32:32" x14ac:dyDescent="0.2">
      <c r="AF4907" s="679"/>
    </row>
    <row r="4908" spans="32:32" x14ac:dyDescent="0.2">
      <c r="AF4908" s="679"/>
    </row>
    <row r="4909" spans="32:32" x14ac:dyDescent="0.2">
      <c r="AF4909" s="679"/>
    </row>
    <row r="4910" spans="32:32" x14ac:dyDescent="0.2">
      <c r="AF4910" s="679"/>
    </row>
    <row r="4911" spans="32:32" x14ac:dyDescent="0.2">
      <c r="AF4911" s="679"/>
    </row>
    <row r="4912" spans="32:32" x14ac:dyDescent="0.2">
      <c r="AF4912" s="679"/>
    </row>
    <row r="4913" spans="32:32" x14ac:dyDescent="0.2">
      <c r="AF4913" s="679"/>
    </row>
    <row r="4914" spans="32:32" x14ac:dyDescent="0.2">
      <c r="AF4914" s="679"/>
    </row>
    <row r="4915" spans="32:32" x14ac:dyDescent="0.2">
      <c r="AF4915" s="679"/>
    </row>
    <row r="4916" spans="32:32" x14ac:dyDescent="0.2">
      <c r="AF4916" s="679"/>
    </row>
    <row r="4917" spans="32:32" x14ac:dyDescent="0.2">
      <c r="AF4917" s="679"/>
    </row>
    <row r="4918" spans="32:32" x14ac:dyDescent="0.2">
      <c r="AF4918" s="679"/>
    </row>
    <row r="4919" spans="32:32" x14ac:dyDescent="0.2">
      <c r="AF4919" s="679"/>
    </row>
    <row r="4920" spans="32:32" x14ac:dyDescent="0.2">
      <c r="AF4920" s="679"/>
    </row>
    <row r="4921" spans="32:32" x14ac:dyDescent="0.2">
      <c r="AF4921" s="679"/>
    </row>
    <row r="4922" spans="32:32" x14ac:dyDescent="0.2">
      <c r="AF4922" s="679"/>
    </row>
    <row r="4923" spans="32:32" x14ac:dyDescent="0.2">
      <c r="AF4923" s="679"/>
    </row>
    <row r="4924" spans="32:32" x14ac:dyDescent="0.2">
      <c r="AF4924" s="679"/>
    </row>
    <row r="4925" spans="32:32" x14ac:dyDescent="0.2">
      <c r="AF4925" s="679"/>
    </row>
    <row r="4926" spans="32:32" x14ac:dyDescent="0.2">
      <c r="AF4926" s="679"/>
    </row>
    <row r="4927" spans="32:32" x14ac:dyDescent="0.2">
      <c r="AF4927" s="679"/>
    </row>
    <row r="4928" spans="32:32" x14ac:dyDescent="0.2">
      <c r="AF4928" s="679"/>
    </row>
    <row r="4929" spans="32:32" x14ac:dyDescent="0.2">
      <c r="AF4929" s="679"/>
    </row>
    <row r="4930" spans="32:32" x14ac:dyDescent="0.2">
      <c r="AF4930" s="679"/>
    </row>
    <row r="4931" spans="32:32" x14ac:dyDescent="0.2">
      <c r="AF4931" s="679"/>
    </row>
    <row r="4932" spans="32:32" x14ac:dyDescent="0.2">
      <c r="AF4932" s="679"/>
    </row>
    <row r="4933" spans="32:32" x14ac:dyDescent="0.2">
      <c r="AF4933" s="679"/>
    </row>
    <row r="4934" spans="32:32" x14ac:dyDescent="0.2">
      <c r="AF4934" s="679"/>
    </row>
    <row r="4935" spans="32:32" x14ac:dyDescent="0.2">
      <c r="AF4935" s="679"/>
    </row>
    <row r="4936" spans="32:32" x14ac:dyDescent="0.2">
      <c r="AF4936" s="679"/>
    </row>
    <row r="4937" spans="32:32" x14ac:dyDescent="0.2">
      <c r="AF4937" s="679"/>
    </row>
    <row r="4938" spans="32:32" x14ac:dyDescent="0.2">
      <c r="AF4938" s="679"/>
    </row>
    <row r="4939" spans="32:32" x14ac:dyDescent="0.2">
      <c r="AF4939" s="679"/>
    </row>
    <row r="4940" spans="32:32" x14ac:dyDescent="0.2">
      <c r="AF4940" s="679"/>
    </row>
    <row r="4941" spans="32:32" x14ac:dyDescent="0.2">
      <c r="AF4941" s="679"/>
    </row>
    <row r="4942" spans="32:32" x14ac:dyDescent="0.2">
      <c r="AF4942" s="679"/>
    </row>
    <row r="4943" spans="32:32" x14ac:dyDescent="0.2">
      <c r="AF4943" s="679"/>
    </row>
    <row r="4944" spans="32:32" x14ac:dyDescent="0.2">
      <c r="AF4944" s="679"/>
    </row>
    <row r="4945" spans="32:32" x14ac:dyDescent="0.2">
      <c r="AF4945" s="679"/>
    </row>
    <row r="4946" spans="32:32" x14ac:dyDescent="0.2">
      <c r="AF4946" s="679"/>
    </row>
    <row r="4947" spans="32:32" x14ac:dyDescent="0.2">
      <c r="AF4947" s="679"/>
    </row>
    <row r="4948" spans="32:32" x14ac:dyDescent="0.2">
      <c r="AF4948" s="679"/>
    </row>
    <row r="4949" spans="32:32" x14ac:dyDescent="0.2">
      <c r="AF4949" s="679"/>
    </row>
    <row r="4950" spans="32:32" x14ac:dyDescent="0.2">
      <c r="AF4950" s="679"/>
    </row>
    <row r="4951" spans="32:32" x14ac:dyDescent="0.2">
      <c r="AF4951" s="679"/>
    </row>
    <row r="4952" spans="32:32" x14ac:dyDescent="0.2">
      <c r="AF4952" s="679"/>
    </row>
    <row r="4953" spans="32:32" x14ac:dyDescent="0.2">
      <c r="AF4953" s="679"/>
    </row>
    <row r="4954" spans="32:32" x14ac:dyDescent="0.2">
      <c r="AF4954" s="679"/>
    </row>
    <row r="4955" spans="32:32" x14ac:dyDescent="0.2">
      <c r="AF4955" s="679"/>
    </row>
    <row r="4956" spans="32:32" x14ac:dyDescent="0.2">
      <c r="AF4956" s="679"/>
    </row>
    <row r="4957" spans="32:32" x14ac:dyDescent="0.2">
      <c r="AF4957" s="679"/>
    </row>
    <row r="4958" spans="32:32" x14ac:dyDescent="0.2">
      <c r="AF4958" s="679"/>
    </row>
    <row r="4959" spans="32:32" x14ac:dyDescent="0.2">
      <c r="AF4959" s="679"/>
    </row>
    <row r="4960" spans="32:32" x14ac:dyDescent="0.2">
      <c r="AF4960" s="679"/>
    </row>
    <row r="4961" spans="32:32" x14ac:dyDescent="0.2">
      <c r="AF4961" s="679"/>
    </row>
    <row r="4962" spans="32:32" x14ac:dyDescent="0.2">
      <c r="AF4962" s="679"/>
    </row>
    <row r="4963" spans="32:32" x14ac:dyDescent="0.2">
      <c r="AF4963" s="679"/>
    </row>
    <row r="4964" spans="32:32" x14ac:dyDescent="0.2">
      <c r="AF4964" s="679"/>
    </row>
    <row r="4965" spans="32:32" x14ac:dyDescent="0.2">
      <c r="AF4965" s="679"/>
    </row>
    <row r="4966" spans="32:32" x14ac:dyDescent="0.2">
      <c r="AF4966" s="679"/>
    </row>
    <row r="4967" spans="32:32" x14ac:dyDescent="0.2">
      <c r="AF4967" s="679"/>
    </row>
    <row r="4968" spans="32:32" x14ac:dyDescent="0.2">
      <c r="AF4968" s="679"/>
    </row>
    <row r="4969" spans="32:32" x14ac:dyDescent="0.2">
      <c r="AF4969" s="679"/>
    </row>
    <row r="4970" spans="32:32" x14ac:dyDescent="0.2">
      <c r="AF4970" s="679"/>
    </row>
    <row r="4971" spans="32:32" x14ac:dyDescent="0.2">
      <c r="AF4971" s="679"/>
    </row>
    <row r="4972" spans="32:32" x14ac:dyDescent="0.2">
      <c r="AF4972" s="679"/>
    </row>
    <row r="4973" spans="32:32" x14ac:dyDescent="0.2">
      <c r="AF4973" s="679"/>
    </row>
    <row r="4974" spans="32:32" x14ac:dyDescent="0.2">
      <c r="AF4974" s="679"/>
    </row>
    <row r="4975" spans="32:32" x14ac:dyDescent="0.2">
      <c r="AF4975" s="679"/>
    </row>
    <row r="4976" spans="32:32" x14ac:dyDescent="0.2">
      <c r="AF4976" s="679"/>
    </row>
    <row r="4977" spans="32:32" x14ac:dyDescent="0.2">
      <c r="AF4977" s="679"/>
    </row>
    <row r="4978" spans="32:32" x14ac:dyDescent="0.2">
      <c r="AF4978" s="679"/>
    </row>
    <row r="4979" spans="32:32" x14ac:dyDescent="0.2">
      <c r="AF4979" s="679"/>
    </row>
    <row r="4980" spans="32:32" x14ac:dyDescent="0.2">
      <c r="AF4980" s="679"/>
    </row>
    <row r="4981" spans="32:32" x14ac:dyDescent="0.2">
      <c r="AF4981" s="679"/>
    </row>
    <row r="4982" spans="32:32" x14ac:dyDescent="0.2">
      <c r="AF4982" s="679"/>
    </row>
    <row r="4983" spans="32:32" x14ac:dyDescent="0.2">
      <c r="AF4983" s="679"/>
    </row>
    <row r="4984" spans="32:32" x14ac:dyDescent="0.2">
      <c r="AF4984" s="679"/>
    </row>
    <row r="4985" spans="32:32" x14ac:dyDescent="0.2">
      <c r="AF4985" s="679"/>
    </row>
    <row r="4986" spans="32:32" x14ac:dyDescent="0.2">
      <c r="AF4986" s="679"/>
    </row>
    <row r="4987" spans="32:32" x14ac:dyDescent="0.2">
      <c r="AF4987" s="679"/>
    </row>
    <row r="4988" spans="32:32" x14ac:dyDescent="0.2">
      <c r="AF4988" s="679"/>
    </row>
    <row r="4989" spans="32:32" x14ac:dyDescent="0.2">
      <c r="AF4989" s="679"/>
    </row>
    <row r="4990" spans="32:32" x14ac:dyDescent="0.2">
      <c r="AF4990" s="679"/>
    </row>
    <row r="4991" spans="32:32" x14ac:dyDescent="0.2">
      <c r="AF4991" s="679"/>
    </row>
    <row r="4992" spans="32:32" x14ac:dyDescent="0.2">
      <c r="AF4992" s="679"/>
    </row>
    <row r="4993" spans="32:32" x14ac:dyDescent="0.2">
      <c r="AF4993" s="679"/>
    </row>
    <row r="4994" spans="32:32" x14ac:dyDescent="0.2">
      <c r="AF4994" s="679"/>
    </row>
    <row r="4995" spans="32:32" x14ac:dyDescent="0.2">
      <c r="AF4995" s="679"/>
    </row>
    <row r="4996" spans="32:32" x14ac:dyDescent="0.2">
      <c r="AF4996" s="679"/>
    </row>
    <row r="4997" spans="32:32" x14ac:dyDescent="0.2">
      <c r="AF4997" s="679"/>
    </row>
    <row r="4998" spans="32:32" x14ac:dyDescent="0.2">
      <c r="AF4998" s="679"/>
    </row>
    <row r="4999" spans="32:32" x14ac:dyDescent="0.2">
      <c r="AF4999" s="679"/>
    </row>
    <row r="5000" spans="32:32" x14ac:dyDescent="0.2">
      <c r="AF5000" s="679"/>
    </row>
    <row r="5001" spans="32:32" x14ac:dyDescent="0.2">
      <c r="AF5001" s="679"/>
    </row>
    <row r="5002" spans="32:32" x14ac:dyDescent="0.2">
      <c r="AF5002" s="679"/>
    </row>
    <row r="5003" spans="32:32" x14ac:dyDescent="0.2">
      <c r="AF5003" s="679"/>
    </row>
    <row r="5004" spans="32:32" x14ac:dyDescent="0.2">
      <c r="AF5004" s="679"/>
    </row>
    <row r="5005" spans="32:32" x14ac:dyDescent="0.2">
      <c r="AF5005" s="679"/>
    </row>
    <row r="5006" spans="32:32" x14ac:dyDescent="0.2">
      <c r="AF5006" s="679"/>
    </row>
    <row r="5007" spans="32:32" x14ac:dyDescent="0.2">
      <c r="AF5007" s="679"/>
    </row>
    <row r="5008" spans="32:32" x14ac:dyDescent="0.2">
      <c r="AF5008" s="679"/>
    </row>
    <row r="5009" spans="32:32" x14ac:dyDescent="0.2">
      <c r="AF5009" s="679"/>
    </row>
    <row r="5010" spans="32:32" x14ac:dyDescent="0.2">
      <c r="AF5010" s="679"/>
    </row>
    <row r="5011" spans="32:32" x14ac:dyDescent="0.2">
      <c r="AF5011" s="679"/>
    </row>
    <row r="5012" spans="32:32" x14ac:dyDescent="0.2">
      <c r="AF5012" s="679"/>
    </row>
    <row r="5013" spans="32:32" x14ac:dyDescent="0.2">
      <c r="AF5013" s="679"/>
    </row>
    <row r="5014" spans="32:32" x14ac:dyDescent="0.2">
      <c r="AF5014" s="679"/>
    </row>
    <row r="5015" spans="32:32" x14ac:dyDescent="0.2">
      <c r="AF5015" s="679"/>
    </row>
    <row r="5016" spans="32:32" x14ac:dyDescent="0.2">
      <c r="AF5016" s="679"/>
    </row>
    <row r="5017" spans="32:32" x14ac:dyDescent="0.2">
      <c r="AF5017" s="679"/>
    </row>
    <row r="5018" spans="32:32" x14ac:dyDescent="0.2">
      <c r="AF5018" s="679"/>
    </row>
    <row r="5019" spans="32:32" x14ac:dyDescent="0.2">
      <c r="AF5019" s="679"/>
    </row>
    <row r="5020" spans="32:32" x14ac:dyDescent="0.2">
      <c r="AF5020" s="679"/>
    </row>
    <row r="5021" spans="32:32" x14ac:dyDescent="0.2">
      <c r="AF5021" s="679"/>
    </row>
    <row r="5022" spans="32:32" x14ac:dyDescent="0.2">
      <c r="AF5022" s="679"/>
    </row>
    <row r="5023" spans="32:32" x14ac:dyDescent="0.2">
      <c r="AF5023" s="679"/>
    </row>
    <row r="5024" spans="32:32" x14ac:dyDescent="0.2">
      <c r="AF5024" s="679"/>
    </row>
    <row r="5025" spans="32:32" x14ac:dyDescent="0.2">
      <c r="AF5025" s="679"/>
    </row>
    <row r="5026" spans="32:32" x14ac:dyDescent="0.2">
      <c r="AF5026" s="679"/>
    </row>
    <row r="5027" spans="32:32" x14ac:dyDescent="0.2">
      <c r="AF5027" s="679"/>
    </row>
    <row r="5028" spans="32:32" x14ac:dyDescent="0.2">
      <c r="AF5028" s="679"/>
    </row>
    <row r="5029" spans="32:32" x14ac:dyDescent="0.2">
      <c r="AF5029" s="679"/>
    </row>
    <row r="5030" spans="32:32" x14ac:dyDescent="0.2">
      <c r="AF5030" s="679"/>
    </row>
    <row r="5031" spans="32:32" x14ac:dyDescent="0.2">
      <c r="AF5031" s="679"/>
    </row>
    <row r="5032" spans="32:32" x14ac:dyDescent="0.2">
      <c r="AF5032" s="679"/>
    </row>
    <row r="5033" spans="32:32" x14ac:dyDescent="0.2">
      <c r="AF5033" s="679"/>
    </row>
    <row r="5034" spans="32:32" x14ac:dyDescent="0.2">
      <c r="AF5034" s="679"/>
    </row>
    <row r="5035" spans="32:32" x14ac:dyDescent="0.2">
      <c r="AF5035" s="679"/>
    </row>
    <row r="5036" spans="32:32" x14ac:dyDescent="0.2">
      <c r="AF5036" s="679"/>
    </row>
    <row r="5037" spans="32:32" x14ac:dyDescent="0.2">
      <c r="AF5037" s="679"/>
    </row>
    <row r="5038" spans="32:32" x14ac:dyDescent="0.2">
      <c r="AF5038" s="679"/>
    </row>
    <row r="5039" spans="32:32" x14ac:dyDescent="0.2">
      <c r="AF5039" s="679"/>
    </row>
    <row r="5040" spans="32:32" x14ac:dyDescent="0.2">
      <c r="AF5040" s="679"/>
    </row>
    <row r="5041" spans="32:32" x14ac:dyDescent="0.2">
      <c r="AF5041" s="679"/>
    </row>
    <row r="5042" spans="32:32" x14ac:dyDescent="0.2">
      <c r="AF5042" s="679"/>
    </row>
    <row r="5043" spans="32:32" x14ac:dyDescent="0.2">
      <c r="AF5043" s="679"/>
    </row>
    <row r="5044" spans="32:32" x14ac:dyDescent="0.2">
      <c r="AF5044" s="679"/>
    </row>
    <row r="5045" spans="32:32" x14ac:dyDescent="0.2">
      <c r="AF5045" s="679"/>
    </row>
    <row r="5046" spans="32:32" x14ac:dyDescent="0.2">
      <c r="AF5046" s="679"/>
    </row>
    <row r="5047" spans="32:32" x14ac:dyDescent="0.2">
      <c r="AF5047" s="679"/>
    </row>
    <row r="5048" spans="32:32" x14ac:dyDescent="0.2">
      <c r="AF5048" s="679"/>
    </row>
    <row r="5049" spans="32:32" x14ac:dyDescent="0.2">
      <c r="AF5049" s="679"/>
    </row>
    <row r="5050" spans="32:32" x14ac:dyDescent="0.2">
      <c r="AF5050" s="679"/>
    </row>
    <row r="5051" spans="32:32" x14ac:dyDescent="0.2">
      <c r="AF5051" s="679"/>
    </row>
    <row r="5052" spans="32:32" x14ac:dyDescent="0.2">
      <c r="AF5052" s="679"/>
    </row>
    <row r="5053" spans="32:32" x14ac:dyDescent="0.2">
      <c r="AF5053" s="679"/>
    </row>
    <row r="5054" spans="32:32" x14ac:dyDescent="0.2">
      <c r="AF5054" s="679"/>
    </row>
    <row r="5055" spans="32:32" x14ac:dyDescent="0.2">
      <c r="AF5055" s="679"/>
    </row>
    <row r="5056" spans="32:32" x14ac:dyDescent="0.2">
      <c r="AF5056" s="679"/>
    </row>
    <row r="5057" spans="32:32" x14ac:dyDescent="0.2">
      <c r="AF5057" s="679"/>
    </row>
    <row r="5058" spans="32:32" x14ac:dyDescent="0.2">
      <c r="AF5058" s="679"/>
    </row>
    <row r="5059" spans="32:32" x14ac:dyDescent="0.2">
      <c r="AF5059" s="679"/>
    </row>
    <row r="5060" spans="32:32" x14ac:dyDescent="0.2">
      <c r="AF5060" s="679"/>
    </row>
    <row r="5061" spans="32:32" x14ac:dyDescent="0.2">
      <c r="AF5061" s="679"/>
    </row>
    <row r="5062" spans="32:32" x14ac:dyDescent="0.2">
      <c r="AF5062" s="679"/>
    </row>
    <row r="5063" spans="32:32" x14ac:dyDescent="0.2">
      <c r="AF5063" s="679"/>
    </row>
    <row r="5064" spans="32:32" x14ac:dyDescent="0.2">
      <c r="AF5064" s="679"/>
    </row>
    <row r="5065" spans="32:32" x14ac:dyDescent="0.2">
      <c r="AF5065" s="679"/>
    </row>
    <row r="5066" spans="32:32" x14ac:dyDescent="0.2">
      <c r="AF5066" s="679"/>
    </row>
    <row r="5067" spans="32:32" x14ac:dyDescent="0.2">
      <c r="AF5067" s="679"/>
    </row>
    <row r="5068" spans="32:32" x14ac:dyDescent="0.2">
      <c r="AF5068" s="679"/>
    </row>
    <row r="5069" spans="32:32" x14ac:dyDescent="0.2">
      <c r="AF5069" s="679"/>
    </row>
    <row r="5070" spans="32:32" x14ac:dyDescent="0.2">
      <c r="AF5070" s="679"/>
    </row>
    <row r="5071" spans="32:32" x14ac:dyDescent="0.2">
      <c r="AF5071" s="679"/>
    </row>
    <row r="5072" spans="32:32" x14ac:dyDescent="0.2">
      <c r="AF5072" s="679"/>
    </row>
    <row r="5073" spans="32:32" x14ac:dyDescent="0.2">
      <c r="AF5073" s="679"/>
    </row>
    <row r="5074" spans="32:32" x14ac:dyDescent="0.2">
      <c r="AF5074" s="679"/>
    </row>
    <row r="5075" spans="32:32" x14ac:dyDescent="0.2">
      <c r="AF5075" s="679"/>
    </row>
    <row r="5076" spans="32:32" x14ac:dyDescent="0.2">
      <c r="AF5076" s="679"/>
    </row>
    <row r="5077" spans="32:32" x14ac:dyDescent="0.2">
      <c r="AF5077" s="679"/>
    </row>
    <row r="5078" spans="32:32" x14ac:dyDescent="0.2">
      <c r="AF5078" s="679"/>
    </row>
    <row r="5079" spans="32:32" x14ac:dyDescent="0.2">
      <c r="AF5079" s="679"/>
    </row>
    <row r="5080" spans="32:32" x14ac:dyDescent="0.2">
      <c r="AF5080" s="679"/>
    </row>
    <row r="5081" spans="32:32" x14ac:dyDescent="0.2">
      <c r="AF5081" s="679"/>
    </row>
    <row r="5082" spans="32:32" x14ac:dyDescent="0.2">
      <c r="AF5082" s="679"/>
    </row>
    <row r="5083" spans="32:32" x14ac:dyDescent="0.2">
      <c r="AF5083" s="679"/>
    </row>
    <row r="5084" spans="32:32" x14ac:dyDescent="0.2">
      <c r="AF5084" s="679"/>
    </row>
    <row r="5085" spans="32:32" x14ac:dyDescent="0.2">
      <c r="AF5085" s="679"/>
    </row>
    <row r="5086" spans="32:32" x14ac:dyDescent="0.2">
      <c r="AF5086" s="679"/>
    </row>
    <row r="5087" spans="32:32" x14ac:dyDescent="0.2">
      <c r="AF5087" s="679"/>
    </row>
    <row r="5088" spans="32:32" x14ac:dyDescent="0.2">
      <c r="AF5088" s="679"/>
    </row>
    <row r="5089" spans="32:32" x14ac:dyDescent="0.2">
      <c r="AF5089" s="679"/>
    </row>
    <row r="5090" spans="32:32" x14ac:dyDescent="0.2">
      <c r="AF5090" s="679"/>
    </row>
    <row r="5091" spans="32:32" x14ac:dyDescent="0.2">
      <c r="AF5091" s="679"/>
    </row>
    <row r="5092" spans="32:32" x14ac:dyDescent="0.2">
      <c r="AF5092" s="679"/>
    </row>
    <row r="5093" spans="32:32" x14ac:dyDescent="0.2">
      <c r="AF5093" s="679"/>
    </row>
    <row r="5094" spans="32:32" x14ac:dyDescent="0.2">
      <c r="AF5094" s="679"/>
    </row>
    <row r="5095" spans="32:32" x14ac:dyDescent="0.2">
      <c r="AF5095" s="679"/>
    </row>
    <row r="5096" spans="32:32" x14ac:dyDescent="0.2">
      <c r="AF5096" s="679"/>
    </row>
    <row r="5097" spans="32:32" x14ac:dyDescent="0.2">
      <c r="AF5097" s="679"/>
    </row>
    <row r="5098" spans="32:32" x14ac:dyDescent="0.2">
      <c r="AF5098" s="679"/>
    </row>
    <row r="5099" spans="32:32" x14ac:dyDescent="0.2">
      <c r="AF5099" s="679"/>
    </row>
    <row r="5100" spans="32:32" x14ac:dyDescent="0.2">
      <c r="AF5100" s="679"/>
    </row>
    <row r="5101" spans="32:32" x14ac:dyDescent="0.2">
      <c r="AF5101" s="679"/>
    </row>
    <row r="5102" spans="32:32" x14ac:dyDescent="0.2">
      <c r="AF5102" s="679"/>
    </row>
    <row r="5103" spans="32:32" x14ac:dyDescent="0.2">
      <c r="AF5103" s="679"/>
    </row>
    <row r="5104" spans="32:32" x14ac:dyDescent="0.2">
      <c r="AF5104" s="679"/>
    </row>
    <row r="5105" spans="32:32" x14ac:dyDescent="0.2">
      <c r="AF5105" s="679"/>
    </row>
    <row r="5106" spans="32:32" x14ac:dyDescent="0.2">
      <c r="AF5106" s="679"/>
    </row>
    <row r="5107" spans="32:32" x14ac:dyDescent="0.2">
      <c r="AF5107" s="679"/>
    </row>
    <row r="5108" spans="32:32" x14ac:dyDescent="0.2">
      <c r="AF5108" s="679"/>
    </row>
    <row r="5109" spans="32:32" x14ac:dyDescent="0.2">
      <c r="AF5109" s="679"/>
    </row>
    <row r="5110" spans="32:32" x14ac:dyDescent="0.2">
      <c r="AF5110" s="679"/>
    </row>
    <row r="5111" spans="32:32" x14ac:dyDescent="0.2">
      <c r="AF5111" s="679"/>
    </row>
    <row r="5112" spans="32:32" x14ac:dyDescent="0.2">
      <c r="AF5112" s="679"/>
    </row>
    <row r="5113" spans="32:32" x14ac:dyDescent="0.2">
      <c r="AF5113" s="679"/>
    </row>
    <row r="5114" spans="32:32" x14ac:dyDescent="0.2">
      <c r="AF5114" s="679"/>
    </row>
    <row r="5115" spans="32:32" x14ac:dyDescent="0.2">
      <c r="AF5115" s="679"/>
    </row>
    <row r="5116" spans="32:32" x14ac:dyDescent="0.2">
      <c r="AF5116" s="679"/>
    </row>
    <row r="5117" spans="32:32" x14ac:dyDescent="0.2">
      <c r="AF5117" s="679"/>
    </row>
    <row r="5118" spans="32:32" x14ac:dyDescent="0.2">
      <c r="AF5118" s="679"/>
    </row>
    <row r="5119" spans="32:32" x14ac:dyDescent="0.2">
      <c r="AF5119" s="679"/>
    </row>
    <row r="5120" spans="32:32" x14ac:dyDescent="0.2">
      <c r="AF5120" s="679"/>
    </row>
    <row r="5121" spans="32:32" x14ac:dyDescent="0.2">
      <c r="AF5121" s="679"/>
    </row>
    <row r="5122" spans="32:32" x14ac:dyDescent="0.2">
      <c r="AF5122" s="679"/>
    </row>
    <row r="5123" spans="32:32" x14ac:dyDescent="0.2">
      <c r="AF5123" s="679"/>
    </row>
    <row r="5124" spans="32:32" x14ac:dyDescent="0.2">
      <c r="AF5124" s="679"/>
    </row>
    <row r="5125" spans="32:32" x14ac:dyDescent="0.2">
      <c r="AF5125" s="679"/>
    </row>
    <row r="5126" spans="32:32" x14ac:dyDescent="0.2">
      <c r="AF5126" s="679"/>
    </row>
    <row r="5127" spans="32:32" x14ac:dyDescent="0.2">
      <c r="AF5127" s="679"/>
    </row>
    <row r="5128" spans="32:32" x14ac:dyDescent="0.2">
      <c r="AF5128" s="679"/>
    </row>
    <row r="5129" spans="32:32" x14ac:dyDescent="0.2">
      <c r="AF5129" s="679"/>
    </row>
    <row r="5130" spans="32:32" x14ac:dyDescent="0.2">
      <c r="AF5130" s="679"/>
    </row>
    <row r="5131" spans="32:32" x14ac:dyDescent="0.2">
      <c r="AF5131" s="679"/>
    </row>
    <row r="5132" spans="32:32" x14ac:dyDescent="0.2">
      <c r="AF5132" s="679"/>
    </row>
    <row r="5133" spans="32:32" x14ac:dyDescent="0.2">
      <c r="AF5133" s="679"/>
    </row>
    <row r="5134" spans="32:32" x14ac:dyDescent="0.2">
      <c r="AF5134" s="679"/>
    </row>
    <row r="5135" spans="32:32" x14ac:dyDescent="0.2">
      <c r="AF5135" s="679"/>
    </row>
    <row r="5136" spans="32:32" x14ac:dyDescent="0.2">
      <c r="AF5136" s="679"/>
    </row>
    <row r="5137" spans="32:32" x14ac:dyDescent="0.2">
      <c r="AF5137" s="679"/>
    </row>
    <row r="5138" spans="32:32" x14ac:dyDescent="0.2">
      <c r="AF5138" s="679"/>
    </row>
    <row r="5139" spans="32:32" x14ac:dyDescent="0.2">
      <c r="AF5139" s="679"/>
    </row>
    <row r="5140" spans="32:32" x14ac:dyDescent="0.2">
      <c r="AF5140" s="679"/>
    </row>
    <row r="5141" spans="32:32" x14ac:dyDescent="0.2">
      <c r="AF5141" s="679"/>
    </row>
    <row r="5142" spans="32:32" x14ac:dyDescent="0.2">
      <c r="AF5142" s="679"/>
    </row>
    <row r="5143" spans="32:32" x14ac:dyDescent="0.2">
      <c r="AF5143" s="679"/>
    </row>
    <row r="5144" spans="32:32" x14ac:dyDescent="0.2">
      <c r="AF5144" s="679"/>
    </row>
    <row r="5145" spans="32:32" x14ac:dyDescent="0.2">
      <c r="AF5145" s="679"/>
    </row>
    <row r="5146" spans="32:32" x14ac:dyDescent="0.2">
      <c r="AF5146" s="679"/>
    </row>
    <row r="5147" spans="32:32" x14ac:dyDescent="0.2">
      <c r="AF5147" s="679"/>
    </row>
    <row r="5148" spans="32:32" x14ac:dyDescent="0.2">
      <c r="AF5148" s="679"/>
    </row>
    <row r="5149" spans="32:32" x14ac:dyDescent="0.2">
      <c r="AF5149" s="679"/>
    </row>
    <row r="5150" spans="32:32" x14ac:dyDescent="0.2">
      <c r="AF5150" s="679"/>
    </row>
    <row r="5151" spans="32:32" x14ac:dyDescent="0.2">
      <c r="AF5151" s="679"/>
    </row>
    <row r="5152" spans="32:32" x14ac:dyDescent="0.2">
      <c r="AF5152" s="679"/>
    </row>
    <row r="5153" spans="32:32" x14ac:dyDescent="0.2">
      <c r="AF5153" s="679"/>
    </row>
    <row r="5154" spans="32:32" x14ac:dyDescent="0.2">
      <c r="AF5154" s="679"/>
    </row>
    <row r="5155" spans="32:32" x14ac:dyDescent="0.2">
      <c r="AF5155" s="679"/>
    </row>
    <row r="5156" spans="32:32" x14ac:dyDescent="0.2">
      <c r="AF5156" s="679"/>
    </row>
    <row r="5157" spans="32:32" x14ac:dyDescent="0.2">
      <c r="AF5157" s="679"/>
    </row>
    <row r="5158" spans="32:32" x14ac:dyDescent="0.2">
      <c r="AF5158" s="679"/>
    </row>
    <row r="5159" spans="32:32" x14ac:dyDescent="0.2">
      <c r="AF5159" s="679"/>
    </row>
    <row r="5160" spans="32:32" x14ac:dyDescent="0.2">
      <c r="AF5160" s="679"/>
    </row>
    <row r="5161" spans="32:32" x14ac:dyDescent="0.2">
      <c r="AF5161" s="679"/>
    </row>
    <row r="5162" spans="32:32" x14ac:dyDescent="0.2">
      <c r="AF5162" s="679"/>
    </row>
    <row r="5163" spans="32:32" x14ac:dyDescent="0.2">
      <c r="AF5163" s="679"/>
    </row>
    <row r="5164" spans="32:32" x14ac:dyDescent="0.2">
      <c r="AF5164" s="679"/>
    </row>
    <row r="5165" spans="32:32" x14ac:dyDescent="0.2">
      <c r="AF5165" s="679"/>
    </row>
    <row r="5166" spans="32:32" x14ac:dyDescent="0.2">
      <c r="AF5166" s="679"/>
    </row>
    <row r="5167" spans="32:32" x14ac:dyDescent="0.2">
      <c r="AF5167" s="679"/>
    </row>
    <row r="5168" spans="32:32" x14ac:dyDescent="0.2">
      <c r="AF5168" s="679"/>
    </row>
    <row r="5169" spans="32:32" x14ac:dyDescent="0.2">
      <c r="AF5169" s="679"/>
    </row>
    <row r="5170" spans="32:32" x14ac:dyDescent="0.2">
      <c r="AF5170" s="679"/>
    </row>
    <row r="5171" spans="32:32" x14ac:dyDescent="0.2">
      <c r="AF5171" s="679"/>
    </row>
    <row r="5172" spans="32:32" x14ac:dyDescent="0.2">
      <c r="AF5172" s="679"/>
    </row>
    <row r="5173" spans="32:32" x14ac:dyDescent="0.2">
      <c r="AF5173" s="679"/>
    </row>
    <row r="5174" spans="32:32" x14ac:dyDescent="0.2">
      <c r="AF5174" s="679"/>
    </row>
    <row r="5175" spans="32:32" x14ac:dyDescent="0.2">
      <c r="AF5175" s="679"/>
    </row>
    <row r="5176" spans="32:32" x14ac:dyDescent="0.2">
      <c r="AF5176" s="679"/>
    </row>
    <row r="5177" spans="32:32" x14ac:dyDescent="0.2">
      <c r="AF5177" s="679"/>
    </row>
    <row r="5178" spans="32:32" x14ac:dyDescent="0.2">
      <c r="AF5178" s="679"/>
    </row>
    <row r="5179" spans="32:32" x14ac:dyDescent="0.2">
      <c r="AF5179" s="679"/>
    </row>
    <row r="5180" spans="32:32" x14ac:dyDescent="0.2">
      <c r="AF5180" s="679"/>
    </row>
    <row r="5181" spans="32:32" x14ac:dyDescent="0.2">
      <c r="AF5181" s="679"/>
    </row>
    <row r="5182" spans="32:32" x14ac:dyDescent="0.2">
      <c r="AF5182" s="679"/>
    </row>
    <row r="5183" spans="32:32" x14ac:dyDescent="0.2">
      <c r="AF5183" s="679"/>
    </row>
    <row r="5184" spans="32:32" x14ac:dyDescent="0.2">
      <c r="AF5184" s="679"/>
    </row>
    <row r="5185" spans="32:32" x14ac:dyDescent="0.2">
      <c r="AF5185" s="679"/>
    </row>
    <row r="5186" spans="32:32" x14ac:dyDescent="0.2">
      <c r="AF5186" s="679"/>
    </row>
    <row r="5187" spans="32:32" x14ac:dyDescent="0.2">
      <c r="AF5187" s="679"/>
    </row>
    <row r="5188" spans="32:32" x14ac:dyDescent="0.2">
      <c r="AF5188" s="679"/>
    </row>
    <row r="5189" spans="32:32" x14ac:dyDescent="0.2">
      <c r="AF5189" s="679"/>
    </row>
    <row r="5190" spans="32:32" x14ac:dyDescent="0.2">
      <c r="AF5190" s="679"/>
    </row>
    <row r="5191" spans="32:32" x14ac:dyDescent="0.2">
      <c r="AF5191" s="679"/>
    </row>
    <row r="5192" spans="32:32" x14ac:dyDescent="0.2">
      <c r="AF5192" s="679"/>
    </row>
    <row r="5193" spans="32:32" x14ac:dyDescent="0.2">
      <c r="AF5193" s="679"/>
    </row>
    <row r="5194" spans="32:32" x14ac:dyDescent="0.2">
      <c r="AF5194" s="679"/>
    </row>
    <row r="5195" spans="32:32" x14ac:dyDescent="0.2">
      <c r="AF5195" s="679"/>
    </row>
    <row r="5196" spans="32:32" x14ac:dyDescent="0.2">
      <c r="AF5196" s="679"/>
    </row>
    <row r="5197" spans="32:32" x14ac:dyDescent="0.2">
      <c r="AF5197" s="679"/>
    </row>
    <row r="5198" spans="32:32" x14ac:dyDescent="0.2">
      <c r="AF5198" s="679"/>
    </row>
    <row r="5199" spans="32:32" x14ac:dyDescent="0.2">
      <c r="AF5199" s="679"/>
    </row>
    <row r="5200" spans="32:32" x14ac:dyDescent="0.2">
      <c r="AF5200" s="679"/>
    </row>
    <row r="5201" spans="32:32" x14ac:dyDescent="0.2">
      <c r="AF5201" s="679"/>
    </row>
    <row r="5202" spans="32:32" x14ac:dyDescent="0.2">
      <c r="AF5202" s="679"/>
    </row>
    <row r="5203" spans="32:32" x14ac:dyDescent="0.2">
      <c r="AF5203" s="679"/>
    </row>
    <row r="5204" spans="32:32" x14ac:dyDescent="0.2">
      <c r="AF5204" s="679"/>
    </row>
    <row r="5205" spans="32:32" x14ac:dyDescent="0.2">
      <c r="AF5205" s="679"/>
    </row>
    <row r="5206" spans="32:32" x14ac:dyDescent="0.2">
      <c r="AF5206" s="679"/>
    </row>
    <row r="5207" spans="32:32" x14ac:dyDescent="0.2">
      <c r="AF5207" s="679"/>
    </row>
    <row r="5208" spans="32:32" x14ac:dyDescent="0.2">
      <c r="AF5208" s="679"/>
    </row>
    <row r="5209" spans="32:32" x14ac:dyDescent="0.2">
      <c r="AF5209" s="679"/>
    </row>
    <row r="5210" spans="32:32" x14ac:dyDescent="0.2">
      <c r="AF5210" s="679"/>
    </row>
    <row r="5211" spans="32:32" x14ac:dyDescent="0.2">
      <c r="AF5211" s="679"/>
    </row>
    <row r="5212" spans="32:32" x14ac:dyDescent="0.2">
      <c r="AF5212" s="679"/>
    </row>
    <row r="5213" spans="32:32" x14ac:dyDescent="0.2">
      <c r="AF5213" s="679"/>
    </row>
    <row r="5214" spans="32:32" x14ac:dyDescent="0.2">
      <c r="AF5214" s="679"/>
    </row>
    <row r="5215" spans="32:32" x14ac:dyDescent="0.2">
      <c r="AF5215" s="679"/>
    </row>
    <row r="5216" spans="32:32" x14ac:dyDescent="0.2">
      <c r="AF5216" s="679"/>
    </row>
    <row r="5217" spans="32:32" x14ac:dyDescent="0.2">
      <c r="AF5217" s="679"/>
    </row>
    <row r="5218" spans="32:32" x14ac:dyDescent="0.2">
      <c r="AF5218" s="679"/>
    </row>
    <row r="5219" spans="32:32" x14ac:dyDescent="0.2">
      <c r="AF5219" s="679"/>
    </row>
    <row r="5220" spans="32:32" x14ac:dyDescent="0.2">
      <c r="AF5220" s="679"/>
    </row>
    <row r="5221" spans="32:32" x14ac:dyDescent="0.2">
      <c r="AF5221" s="679"/>
    </row>
    <row r="5222" spans="32:32" x14ac:dyDescent="0.2">
      <c r="AF5222" s="679"/>
    </row>
    <row r="5223" spans="32:32" x14ac:dyDescent="0.2">
      <c r="AF5223" s="679"/>
    </row>
    <row r="5224" spans="32:32" x14ac:dyDescent="0.2">
      <c r="AF5224" s="679"/>
    </row>
    <row r="5225" spans="32:32" x14ac:dyDescent="0.2">
      <c r="AF5225" s="679"/>
    </row>
    <row r="5226" spans="32:32" x14ac:dyDescent="0.2">
      <c r="AF5226" s="679"/>
    </row>
    <row r="5227" spans="32:32" x14ac:dyDescent="0.2">
      <c r="AF5227" s="679"/>
    </row>
    <row r="5228" spans="32:32" x14ac:dyDescent="0.2">
      <c r="AF5228" s="679"/>
    </row>
    <row r="5229" spans="32:32" x14ac:dyDescent="0.2">
      <c r="AF5229" s="679"/>
    </row>
    <row r="5230" spans="32:32" x14ac:dyDescent="0.2">
      <c r="AF5230" s="679"/>
    </row>
    <row r="5231" spans="32:32" x14ac:dyDescent="0.2">
      <c r="AF5231" s="679"/>
    </row>
    <row r="5232" spans="32:32" x14ac:dyDescent="0.2">
      <c r="AF5232" s="679"/>
    </row>
    <row r="5233" spans="32:32" x14ac:dyDescent="0.2">
      <c r="AF5233" s="679"/>
    </row>
    <row r="5234" spans="32:32" x14ac:dyDescent="0.2">
      <c r="AF5234" s="679"/>
    </row>
    <row r="5235" spans="32:32" x14ac:dyDescent="0.2">
      <c r="AF5235" s="679"/>
    </row>
    <row r="5236" spans="32:32" x14ac:dyDescent="0.2">
      <c r="AF5236" s="679"/>
    </row>
    <row r="5237" spans="32:32" x14ac:dyDescent="0.2">
      <c r="AF5237" s="679"/>
    </row>
    <row r="5238" spans="32:32" x14ac:dyDescent="0.2">
      <c r="AF5238" s="679"/>
    </row>
    <row r="5239" spans="32:32" x14ac:dyDescent="0.2">
      <c r="AF5239" s="679"/>
    </row>
    <row r="5240" spans="32:32" x14ac:dyDescent="0.2">
      <c r="AF5240" s="679"/>
    </row>
    <row r="5241" spans="32:32" x14ac:dyDescent="0.2">
      <c r="AF5241" s="679"/>
    </row>
    <row r="5242" spans="32:32" x14ac:dyDescent="0.2">
      <c r="AF5242" s="679"/>
    </row>
    <row r="5243" spans="32:32" x14ac:dyDescent="0.2">
      <c r="AF5243" s="679"/>
    </row>
    <row r="5244" spans="32:32" x14ac:dyDescent="0.2">
      <c r="AF5244" s="679"/>
    </row>
    <row r="5245" spans="32:32" x14ac:dyDescent="0.2">
      <c r="AF5245" s="679"/>
    </row>
    <row r="5246" spans="32:32" x14ac:dyDescent="0.2">
      <c r="AF5246" s="679"/>
    </row>
    <row r="5247" spans="32:32" x14ac:dyDescent="0.2">
      <c r="AF5247" s="679"/>
    </row>
    <row r="5248" spans="32:32" x14ac:dyDescent="0.2">
      <c r="AF5248" s="679"/>
    </row>
    <row r="5249" spans="32:32" x14ac:dyDescent="0.2">
      <c r="AF5249" s="679"/>
    </row>
    <row r="5250" spans="32:32" x14ac:dyDescent="0.2">
      <c r="AF5250" s="679"/>
    </row>
    <row r="5251" spans="32:32" x14ac:dyDescent="0.2">
      <c r="AF5251" s="679"/>
    </row>
    <row r="5252" spans="32:32" x14ac:dyDescent="0.2">
      <c r="AF5252" s="679"/>
    </row>
    <row r="5253" spans="32:32" x14ac:dyDescent="0.2">
      <c r="AF5253" s="679"/>
    </row>
    <row r="5254" spans="32:32" x14ac:dyDescent="0.2">
      <c r="AF5254" s="679"/>
    </row>
    <row r="5255" spans="32:32" x14ac:dyDescent="0.2">
      <c r="AF5255" s="679"/>
    </row>
    <row r="5256" spans="32:32" x14ac:dyDescent="0.2">
      <c r="AF5256" s="679"/>
    </row>
    <row r="5257" spans="32:32" x14ac:dyDescent="0.2">
      <c r="AF5257" s="679"/>
    </row>
    <row r="5258" spans="32:32" x14ac:dyDescent="0.2">
      <c r="AF5258" s="679"/>
    </row>
    <row r="5259" spans="32:32" x14ac:dyDescent="0.2">
      <c r="AF5259" s="679"/>
    </row>
    <row r="5260" spans="32:32" x14ac:dyDescent="0.2">
      <c r="AF5260" s="679"/>
    </row>
    <row r="5261" spans="32:32" x14ac:dyDescent="0.2">
      <c r="AF5261" s="679"/>
    </row>
    <row r="5262" spans="32:32" x14ac:dyDescent="0.2">
      <c r="AF5262" s="679"/>
    </row>
    <row r="5263" spans="32:32" x14ac:dyDescent="0.2">
      <c r="AF5263" s="679"/>
    </row>
    <row r="5264" spans="32:32" x14ac:dyDescent="0.2">
      <c r="AF5264" s="679"/>
    </row>
    <row r="5265" spans="32:32" x14ac:dyDescent="0.2">
      <c r="AF5265" s="679"/>
    </row>
    <row r="5266" spans="32:32" x14ac:dyDescent="0.2">
      <c r="AF5266" s="679"/>
    </row>
    <row r="5267" spans="32:32" x14ac:dyDescent="0.2">
      <c r="AF5267" s="679"/>
    </row>
    <row r="5268" spans="32:32" x14ac:dyDescent="0.2">
      <c r="AF5268" s="679"/>
    </row>
    <row r="5269" spans="32:32" x14ac:dyDescent="0.2">
      <c r="AF5269" s="679"/>
    </row>
    <row r="5270" spans="32:32" x14ac:dyDescent="0.2">
      <c r="AF5270" s="679"/>
    </row>
    <row r="5271" spans="32:32" x14ac:dyDescent="0.2">
      <c r="AF5271" s="679"/>
    </row>
    <row r="5272" spans="32:32" x14ac:dyDescent="0.2">
      <c r="AF5272" s="679"/>
    </row>
    <row r="5273" spans="32:32" x14ac:dyDescent="0.2">
      <c r="AF5273" s="679"/>
    </row>
    <row r="5274" spans="32:32" x14ac:dyDescent="0.2">
      <c r="AF5274" s="679"/>
    </row>
    <row r="5275" spans="32:32" x14ac:dyDescent="0.2">
      <c r="AF5275" s="679"/>
    </row>
    <row r="5276" spans="32:32" x14ac:dyDescent="0.2">
      <c r="AF5276" s="679"/>
    </row>
    <row r="5277" spans="32:32" x14ac:dyDescent="0.2">
      <c r="AF5277" s="679"/>
    </row>
    <row r="5278" spans="32:32" x14ac:dyDescent="0.2">
      <c r="AF5278" s="679"/>
    </row>
    <row r="5279" spans="32:32" x14ac:dyDescent="0.2">
      <c r="AF5279" s="679"/>
    </row>
    <row r="5280" spans="32:32" x14ac:dyDescent="0.2">
      <c r="AF5280" s="679"/>
    </row>
    <row r="5281" spans="32:32" x14ac:dyDescent="0.2">
      <c r="AF5281" s="679"/>
    </row>
    <row r="5282" spans="32:32" x14ac:dyDescent="0.2">
      <c r="AF5282" s="679"/>
    </row>
    <row r="5283" spans="32:32" x14ac:dyDescent="0.2">
      <c r="AF5283" s="679"/>
    </row>
    <row r="5284" spans="32:32" x14ac:dyDescent="0.2">
      <c r="AF5284" s="679"/>
    </row>
    <row r="5285" spans="32:32" x14ac:dyDescent="0.2">
      <c r="AF5285" s="679"/>
    </row>
    <row r="5286" spans="32:32" x14ac:dyDescent="0.2">
      <c r="AF5286" s="679"/>
    </row>
    <row r="5287" spans="32:32" x14ac:dyDescent="0.2">
      <c r="AF5287" s="679"/>
    </row>
    <row r="5288" spans="32:32" x14ac:dyDescent="0.2">
      <c r="AF5288" s="679"/>
    </row>
    <row r="5289" spans="32:32" x14ac:dyDescent="0.2">
      <c r="AF5289" s="679"/>
    </row>
    <row r="5290" spans="32:32" x14ac:dyDescent="0.2">
      <c r="AF5290" s="679"/>
    </row>
    <row r="5291" spans="32:32" x14ac:dyDescent="0.2">
      <c r="AF5291" s="679"/>
    </row>
    <row r="5292" spans="32:32" x14ac:dyDescent="0.2">
      <c r="AF5292" s="679"/>
    </row>
    <row r="5293" spans="32:32" x14ac:dyDescent="0.2">
      <c r="AF5293" s="679"/>
    </row>
    <row r="5294" spans="32:32" x14ac:dyDescent="0.2">
      <c r="AF5294" s="679"/>
    </row>
    <row r="5295" spans="32:32" x14ac:dyDescent="0.2">
      <c r="AF5295" s="679"/>
    </row>
    <row r="5296" spans="32:32" x14ac:dyDescent="0.2">
      <c r="AF5296" s="679"/>
    </row>
    <row r="5297" spans="32:32" x14ac:dyDescent="0.2">
      <c r="AF5297" s="679"/>
    </row>
    <row r="5298" spans="32:32" x14ac:dyDescent="0.2">
      <c r="AF5298" s="679"/>
    </row>
    <row r="5299" spans="32:32" x14ac:dyDescent="0.2">
      <c r="AF5299" s="679"/>
    </row>
    <row r="5300" spans="32:32" x14ac:dyDescent="0.2">
      <c r="AF5300" s="679"/>
    </row>
    <row r="5301" spans="32:32" x14ac:dyDescent="0.2">
      <c r="AF5301" s="679"/>
    </row>
    <row r="5302" spans="32:32" x14ac:dyDescent="0.2">
      <c r="AF5302" s="679"/>
    </row>
    <row r="5303" spans="32:32" x14ac:dyDescent="0.2">
      <c r="AF5303" s="679"/>
    </row>
    <row r="5304" spans="32:32" x14ac:dyDescent="0.2">
      <c r="AF5304" s="679"/>
    </row>
    <row r="5305" spans="32:32" x14ac:dyDescent="0.2">
      <c r="AF5305" s="679"/>
    </row>
    <row r="5306" spans="32:32" x14ac:dyDescent="0.2">
      <c r="AF5306" s="679"/>
    </row>
    <row r="5307" spans="32:32" x14ac:dyDescent="0.2">
      <c r="AF5307" s="679"/>
    </row>
    <row r="5308" spans="32:32" x14ac:dyDescent="0.2">
      <c r="AF5308" s="679"/>
    </row>
    <row r="5309" spans="32:32" x14ac:dyDescent="0.2">
      <c r="AF5309" s="679"/>
    </row>
    <row r="5310" spans="32:32" x14ac:dyDescent="0.2">
      <c r="AF5310" s="679"/>
    </row>
    <row r="5311" spans="32:32" x14ac:dyDescent="0.2">
      <c r="AF5311" s="679"/>
    </row>
    <row r="5312" spans="32:32" x14ac:dyDescent="0.2">
      <c r="AF5312" s="679"/>
    </row>
    <row r="5313" spans="32:32" x14ac:dyDescent="0.2">
      <c r="AF5313" s="679"/>
    </row>
    <row r="5314" spans="32:32" x14ac:dyDescent="0.2">
      <c r="AF5314" s="679"/>
    </row>
    <row r="5315" spans="32:32" x14ac:dyDescent="0.2">
      <c r="AF5315" s="679"/>
    </row>
    <row r="5316" spans="32:32" x14ac:dyDescent="0.2">
      <c r="AF5316" s="679"/>
    </row>
    <row r="5317" spans="32:32" x14ac:dyDescent="0.2">
      <c r="AF5317" s="679"/>
    </row>
    <row r="5318" spans="32:32" x14ac:dyDescent="0.2">
      <c r="AF5318" s="679"/>
    </row>
    <row r="5319" spans="32:32" x14ac:dyDescent="0.2">
      <c r="AF5319" s="679"/>
    </row>
    <row r="5320" spans="32:32" x14ac:dyDescent="0.2">
      <c r="AF5320" s="679"/>
    </row>
    <row r="5321" spans="32:32" x14ac:dyDescent="0.2">
      <c r="AF5321" s="679"/>
    </row>
    <row r="5322" spans="32:32" x14ac:dyDescent="0.2">
      <c r="AF5322" s="679"/>
    </row>
    <row r="5323" spans="32:32" x14ac:dyDescent="0.2">
      <c r="AF5323" s="679"/>
    </row>
    <row r="5324" spans="32:32" x14ac:dyDescent="0.2">
      <c r="AF5324" s="679"/>
    </row>
    <row r="5325" spans="32:32" x14ac:dyDescent="0.2">
      <c r="AF5325" s="679"/>
    </row>
    <row r="5326" spans="32:32" x14ac:dyDescent="0.2">
      <c r="AF5326" s="679"/>
    </row>
    <row r="5327" spans="32:32" x14ac:dyDescent="0.2">
      <c r="AF5327" s="679"/>
    </row>
    <row r="5328" spans="32:32" x14ac:dyDescent="0.2">
      <c r="AF5328" s="679"/>
    </row>
    <row r="5329" spans="32:32" x14ac:dyDescent="0.2">
      <c r="AF5329" s="679"/>
    </row>
    <row r="5330" spans="32:32" x14ac:dyDescent="0.2">
      <c r="AF5330" s="679"/>
    </row>
    <row r="5331" spans="32:32" x14ac:dyDescent="0.2">
      <c r="AF5331" s="679"/>
    </row>
    <row r="5332" spans="32:32" x14ac:dyDescent="0.2">
      <c r="AF5332" s="679"/>
    </row>
    <row r="5333" spans="32:32" x14ac:dyDescent="0.2">
      <c r="AF5333" s="679"/>
    </row>
    <row r="5334" spans="32:32" x14ac:dyDescent="0.2">
      <c r="AF5334" s="679"/>
    </row>
    <row r="5335" spans="32:32" x14ac:dyDescent="0.2">
      <c r="AF5335" s="679"/>
    </row>
    <row r="5336" spans="32:32" x14ac:dyDescent="0.2">
      <c r="AF5336" s="679"/>
    </row>
    <row r="5337" spans="32:32" x14ac:dyDescent="0.2">
      <c r="AF5337" s="679"/>
    </row>
    <row r="5338" spans="32:32" x14ac:dyDescent="0.2">
      <c r="AF5338" s="679"/>
    </row>
    <row r="5339" spans="32:32" x14ac:dyDescent="0.2">
      <c r="AF5339" s="679"/>
    </row>
    <row r="5340" spans="32:32" x14ac:dyDescent="0.2">
      <c r="AF5340" s="679"/>
    </row>
    <row r="5341" spans="32:32" x14ac:dyDescent="0.2">
      <c r="AF5341" s="679"/>
    </row>
    <row r="5342" spans="32:32" x14ac:dyDescent="0.2">
      <c r="AF5342" s="679"/>
    </row>
    <row r="5343" spans="32:32" x14ac:dyDescent="0.2">
      <c r="AF5343" s="679"/>
    </row>
    <row r="5344" spans="32:32" x14ac:dyDescent="0.2">
      <c r="AF5344" s="679"/>
    </row>
    <row r="5345" spans="32:32" x14ac:dyDescent="0.2">
      <c r="AF5345" s="679"/>
    </row>
    <row r="5346" spans="32:32" x14ac:dyDescent="0.2">
      <c r="AF5346" s="679"/>
    </row>
    <row r="5347" spans="32:32" x14ac:dyDescent="0.2">
      <c r="AF5347" s="679"/>
    </row>
    <row r="5348" spans="32:32" x14ac:dyDescent="0.2">
      <c r="AF5348" s="679"/>
    </row>
    <row r="5349" spans="32:32" x14ac:dyDescent="0.2">
      <c r="AF5349" s="679"/>
    </row>
    <row r="5350" spans="32:32" x14ac:dyDescent="0.2">
      <c r="AF5350" s="679"/>
    </row>
    <row r="5351" spans="32:32" x14ac:dyDescent="0.2">
      <c r="AF5351" s="679"/>
    </row>
    <row r="5352" spans="32:32" x14ac:dyDescent="0.2">
      <c r="AF5352" s="679"/>
    </row>
    <row r="5353" spans="32:32" x14ac:dyDescent="0.2">
      <c r="AF5353" s="679"/>
    </row>
    <row r="5354" spans="32:32" x14ac:dyDescent="0.2">
      <c r="AF5354" s="679"/>
    </row>
    <row r="5355" spans="32:32" x14ac:dyDescent="0.2">
      <c r="AF5355" s="679"/>
    </row>
    <row r="5356" spans="32:32" x14ac:dyDescent="0.2">
      <c r="AF5356" s="679"/>
    </row>
    <row r="5357" spans="32:32" x14ac:dyDescent="0.2">
      <c r="AF5357" s="679"/>
    </row>
    <row r="5358" spans="32:32" x14ac:dyDescent="0.2">
      <c r="AF5358" s="679"/>
    </row>
    <row r="5359" spans="32:32" x14ac:dyDescent="0.2">
      <c r="AF5359" s="679"/>
    </row>
    <row r="5360" spans="32:32" x14ac:dyDescent="0.2">
      <c r="AF5360" s="679"/>
    </row>
    <row r="5361" spans="32:32" x14ac:dyDescent="0.2">
      <c r="AF5361" s="679"/>
    </row>
    <row r="5362" spans="32:32" x14ac:dyDescent="0.2">
      <c r="AF5362" s="679"/>
    </row>
    <row r="5363" spans="32:32" x14ac:dyDescent="0.2">
      <c r="AF5363" s="679"/>
    </row>
    <row r="5364" spans="32:32" x14ac:dyDescent="0.2">
      <c r="AF5364" s="679"/>
    </row>
    <row r="5365" spans="32:32" x14ac:dyDescent="0.2">
      <c r="AF5365" s="679"/>
    </row>
    <row r="5366" spans="32:32" x14ac:dyDescent="0.2">
      <c r="AF5366" s="679"/>
    </row>
    <row r="5367" spans="32:32" x14ac:dyDescent="0.2">
      <c r="AF5367" s="679"/>
    </row>
    <row r="5368" spans="32:32" x14ac:dyDescent="0.2">
      <c r="AF5368" s="679"/>
    </row>
    <row r="5369" spans="32:32" x14ac:dyDescent="0.2">
      <c r="AF5369" s="679"/>
    </row>
    <row r="5370" spans="32:32" x14ac:dyDescent="0.2">
      <c r="AF5370" s="679"/>
    </row>
    <row r="5371" spans="32:32" x14ac:dyDescent="0.2">
      <c r="AF5371" s="679"/>
    </row>
    <row r="5372" spans="32:32" x14ac:dyDescent="0.2">
      <c r="AF5372" s="679"/>
    </row>
    <row r="5373" spans="32:32" x14ac:dyDescent="0.2">
      <c r="AF5373" s="679"/>
    </row>
    <row r="5374" spans="32:32" x14ac:dyDescent="0.2">
      <c r="AF5374" s="679"/>
    </row>
    <row r="5375" spans="32:32" x14ac:dyDescent="0.2">
      <c r="AF5375" s="679"/>
    </row>
    <row r="5376" spans="32:32" x14ac:dyDescent="0.2">
      <c r="AF5376" s="679"/>
    </row>
    <row r="5377" spans="32:32" x14ac:dyDescent="0.2">
      <c r="AF5377" s="679"/>
    </row>
    <row r="5378" spans="32:32" x14ac:dyDescent="0.2">
      <c r="AF5378" s="679"/>
    </row>
    <row r="5379" spans="32:32" x14ac:dyDescent="0.2">
      <c r="AF5379" s="679"/>
    </row>
    <row r="5380" spans="32:32" x14ac:dyDescent="0.2">
      <c r="AF5380" s="679"/>
    </row>
    <row r="5381" spans="32:32" x14ac:dyDescent="0.2">
      <c r="AF5381" s="679"/>
    </row>
    <row r="5382" spans="32:32" x14ac:dyDescent="0.2">
      <c r="AF5382" s="679"/>
    </row>
    <row r="5383" spans="32:32" x14ac:dyDescent="0.2">
      <c r="AF5383" s="679"/>
    </row>
    <row r="5384" spans="32:32" x14ac:dyDescent="0.2">
      <c r="AF5384" s="679"/>
    </row>
    <row r="5385" spans="32:32" x14ac:dyDescent="0.2">
      <c r="AF5385" s="679"/>
    </row>
    <row r="5386" spans="32:32" x14ac:dyDescent="0.2">
      <c r="AF5386" s="679"/>
    </row>
    <row r="5387" spans="32:32" x14ac:dyDescent="0.2">
      <c r="AF5387" s="679"/>
    </row>
    <row r="5388" spans="32:32" x14ac:dyDescent="0.2">
      <c r="AF5388" s="679"/>
    </row>
    <row r="5389" spans="32:32" x14ac:dyDescent="0.2">
      <c r="AF5389" s="679"/>
    </row>
    <row r="5390" spans="32:32" x14ac:dyDescent="0.2">
      <c r="AF5390" s="679"/>
    </row>
    <row r="5391" spans="32:32" x14ac:dyDescent="0.2">
      <c r="AF5391" s="679"/>
    </row>
    <row r="5392" spans="32:32" x14ac:dyDescent="0.2">
      <c r="AF5392" s="679"/>
    </row>
    <row r="5393" spans="32:32" x14ac:dyDescent="0.2">
      <c r="AF5393" s="679"/>
    </row>
    <row r="5394" spans="32:32" x14ac:dyDescent="0.2">
      <c r="AF5394" s="679"/>
    </row>
    <row r="5395" spans="32:32" x14ac:dyDescent="0.2">
      <c r="AF5395" s="679"/>
    </row>
    <row r="5396" spans="32:32" x14ac:dyDescent="0.2">
      <c r="AF5396" s="679"/>
    </row>
    <row r="5397" spans="32:32" x14ac:dyDescent="0.2">
      <c r="AF5397" s="679"/>
    </row>
    <row r="5398" spans="32:32" x14ac:dyDescent="0.2">
      <c r="AF5398" s="679"/>
    </row>
    <row r="5399" spans="32:32" x14ac:dyDescent="0.2">
      <c r="AF5399" s="679"/>
    </row>
    <row r="5400" spans="32:32" x14ac:dyDescent="0.2">
      <c r="AF5400" s="679"/>
    </row>
    <row r="5401" spans="32:32" x14ac:dyDescent="0.2">
      <c r="AF5401" s="679"/>
    </row>
    <row r="5402" spans="32:32" x14ac:dyDescent="0.2">
      <c r="AF5402" s="679"/>
    </row>
    <row r="5403" spans="32:32" x14ac:dyDescent="0.2">
      <c r="AF5403" s="679"/>
    </row>
    <row r="5404" spans="32:32" x14ac:dyDescent="0.2">
      <c r="AF5404" s="679"/>
    </row>
    <row r="5405" spans="32:32" x14ac:dyDescent="0.2">
      <c r="AF5405" s="679"/>
    </row>
    <row r="5406" spans="32:32" x14ac:dyDescent="0.2">
      <c r="AF5406" s="679"/>
    </row>
    <row r="5407" spans="32:32" x14ac:dyDescent="0.2">
      <c r="AF5407" s="679"/>
    </row>
    <row r="5408" spans="32:32" x14ac:dyDescent="0.2">
      <c r="AF5408" s="679"/>
    </row>
    <row r="5409" spans="32:32" x14ac:dyDescent="0.2">
      <c r="AF5409" s="679"/>
    </row>
    <row r="5410" spans="32:32" x14ac:dyDescent="0.2">
      <c r="AF5410" s="679"/>
    </row>
    <row r="5411" spans="32:32" x14ac:dyDescent="0.2">
      <c r="AF5411" s="679"/>
    </row>
    <row r="5412" spans="32:32" x14ac:dyDescent="0.2">
      <c r="AF5412" s="679"/>
    </row>
    <row r="5413" spans="32:32" x14ac:dyDescent="0.2">
      <c r="AF5413" s="679"/>
    </row>
    <row r="5414" spans="32:32" x14ac:dyDescent="0.2">
      <c r="AF5414" s="679"/>
    </row>
    <row r="5415" spans="32:32" x14ac:dyDescent="0.2">
      <c r="AF5415" s="679"/>
    </row>
    <row r="5416" spans="32:32" x14ac:dyDescent="0.2">
      <c r="AF5416" s="679"/>
    </row>
    <row r="5417" spans="32:32" x14ac:dyDescent="0.2">
      <c r="AF5417" s="679"/>
    </row>
    <row r="5418" spans="32:32" x14ac:dyDescent="0.2">
      <c r="AF5418" s="679"/>
    </row>
    <row r="5419" spans="32:32" x14ac:dyDescent="0.2">
      <c r="AF5419" s="679"/>
    </row>
    <row r="5420" spans="32:32" x14ac:dyDescent="0.2">
      <c r="AF5420" s="679"/>
    </row>
    <row r="5421" spans="32:32" x14ac:dyDescent="0.2">
      <c r="AF5421" s="679"/>
    </row>
    <row r="5422" spans="32:32" x14ac:dyDescent="0.2">
      <c r="AF5422" s="679"/>
    </row>
    <row r="5423" spans="32:32" x14ac:dyDescent="0.2">
      <c r="AF5423" s="679"/>
    </row>
    <row r="5424" spans="32:32" x14ac:dyDescent="0.2">
      <c r="AF5424" s="679"/>
    </row>
    <row r="5425" spans="32:32" x14ac:dyDescent="0.2">
      <c r="AF5425" s="679"/>
    </row>
    <row r="5426" spans="32:32" x14ac:dyDescent="0.2">
      <c r="AF5426" s="679"/>
    </row>
    <row r="5427" spans="32:32" x14ac:dyDescent="0.2">
      <c r="AF5427" s="679"/>
    </row>
    <row r="5428" spans="32:32" x14ac:dyDescent="0.2">
      <c r="AF5428" s="679"/>
    </row>
    <row r="5429" spans="32:32" x14ac:dyDescent="0.2">
      <c r="AF5429" s="679"/>
    </row>
    <row r="5430" spans="32:32" x14ac:dyDescent="0.2">
      <c r="AF5430" s="679"/>
    </row>
    <row r="5431" spans="32:32" x14ac:dyDescent="0.2">
      <c r="AF5431" s="679"/>
    </row>
    <row r="5432" spans="32:32" x14ac:dyDescent="0.2">
      <c r="AF5432" s="679"/>
    </row>
    <row r="5433" spans="32:32" x14ac:dyDescent="0.2">
      <c r="AF5433" s="679"/>
    </row>
    <row r="5434" spans="32:32" x14ac:dyDescent="0.2">
      <c r="AF5434" s="679"/>
    </row>
    <row r="5435" spans="32:32" x14ac:dyDescent="0.2">
      <c r="AF5435" s="679"/>
    </row>
    <row r="5436" spans="32:32" x14ac:dyDescent="0.2">
      <c r="AF5436" s="679"/>
    </row>
    <row r="5437" spans="32:32" x14ac:dyDescent="0.2">
      <c r="AF5437" s="679"/>
    </row>
    <row r="5438" spans="32:32" x14ac:dyDescent="0.2">
      <c r="AF5438" s="679"/>
    </row>
    <row r="5439" spans="32:32" x14ac:dyDescent="0.2">
      <c r="AF5439" s="679"/>
    </row>
    <row r="5440" spans="32:32" x14ac:dyDescent="0.2">
      <c r="AF5440" s="679"/>
    </row>
    <row r="5441" spans="32:32" x14ac:dyDescent="0.2">
      <c r="AF5441" s="679"/>
    </row>
    <row r="5442" spans="32:32" x14ac:dyDescent="0.2">
      <c r="AF5442" s="679"/>
    </row>
    <row r="5443" spans="32:32" x14ac:dyDescent="0.2">
      <c r="AF5443" s="679"/>
    </row>
    <row r="5444" spans="32:32" x14ac:dyDescent="0.2">
      <c r="AF5444" s="679"/>
    </row>
    <row r="5445" spans="32:32" x14ac:dyDescent="0.2">
      <c r="AF5445" s="679"/>
    </row>
    <row r="5446" spans="32:32" x14ac:dyDescent="0.2">
      <c r="AF5446" s="679"/>
    </row>
    <row r="5447" spans="32:32" x14ac:dyDescent="0.2">
      <c r="AF5447" s="679"/>
    </row>
    <row r="5448" spans="32:32" x14ac:dyDescent="0.2">
      <c r="AF5448" s="679"/>
    </row>
    <row r="5449" spans="32:32" x14ac:dyDescent="0.2">
      <c r="AF5449" s="679"/>
    </row>
    <row r="5450" spans="32:32" x14ac:dyDescent="0.2">
      <c r="AF5450" s="679"/>
    </row>
    <row r="5451" spans="32:32" x14ac:dyDescent="0.2">
      <c r="AF5451" s="679"/>
    </row>
    <row r="5452" spans="32:32" x14ac:dyDescent="0.2">
      <c r="AF5452" s="679"/>
    </row>
    <row r="5453" spans="32:32" x14ac:dyDescent="0.2">
      <c r="AF5453" s="679"/>
    </row>
    <row r="5454" spans="32:32" x14ac:dyDescent="0.2">
      <c r="AF5454" s="679"/>
    </row>
    <row r="5455" spans="32:32" x14ac:dyDescent="0.2">
      <c r="AF5455" s="679"/>
    </row>
    <row r="5456" spans="32:32" x14ac:dyDescent="0.2">
      <c r="AF5456" s="679"/>
    </row>
    <row r="5457" spans="32:32" x14ac:dyDescent="0.2">
      <c r="AF5457" s="679"/>
    </row>
    <row r="5458" spans="32:32" x14ac:dyDescent="0.2">
      <c r="AF5458" s="679"/>
    </row>
    <row r="5459" spans="32:32" x14ac:dyDescent="0.2">
      <c r="AF5459" s="679"/>
    </row>
    <row r="5460" spans="32:32" x14ac:dyDescent="0.2">
      <c r="AF5460" s="679"/>
    </row>
    <row r="5461" spans="32:32" x14ac:dyDescent="0.2">
      <c r="AF5461" s="679"/>
    </row>
    <row r="5462" spans="32:32" x14ac:dyDescent="0.2">
      <c r="AF5462" s="679"/>
    </row>
    <row r="5463" spans="32:32" x14ac:dyDescent="0.2">
      <c r="AF5463" s="679"/>
    </row>
    <row r="5464" spans="32:32" x14ac:dyDescent="0.2">
      <c r="AF5464" s="679"/>
    </row>
    <row r="5465" spans="32:32" x14ac:dyDescent="0.2">
      <c r="AF5465" s="679"/>
    </row>
    <row r="5466" spans="32:32" x14ac:dyDescent="0.2">
      <c r="AF5466" s="679"/>
    </row>
    <row r="5467" spans="32:32" x14ac:dyDescent="0.2">
      <c r="AF5467" s="679"/>
    </row>
    <row r="5468" spans="32:32" x14ac:dyDescent="0.2">
      <c r="AF5468" s="679"/>
    </row>
    <row r="5469" spans="32:32" x14ac:dyDescent="0.2">
      <c r="AF5469" s="679"/>
    </row>
    <row r="5470" spans="32:32" x14ac:dyDescent="0.2">
      <c r="AF5470" s="679"/>
    </row>
    <row r="5471" spans="32:32" x14ac:dyDescent="0.2">
      <c r="AF5471" s="679"/>
    </row>
    <row r="5472" spans="32:32" x14ac:dyDescent="0.2">
      <c r="AF5472" s="679"/>
    </row>
    <row r="5473" spans="32:32" x14ac:dyDescent="0.2">
      <c r="AF5473" s="679"/>
    </row>
    <row r="5474" spans="32:32" x14ac:dyDescent="0.2">
      <c r="AF5474" s="679"/>
    </row>
    <row r="5475" spans="32:32" x14ac:dyDescent="0.2">
      <c r="AF5475" s="679"/>
    </row>
    <row r="5476" spans="32:32" x14ac:dyDescent="0.2">
      <c r="AF5476" s="679"/>
    </row>
    <row r="5477" spans="32:32" x14ac:dyDescent="0.2">
      <c r="AF5477" s="679"/>
    </row>
    <row r="5478" spans="32:32" x14ac:dyDescent="0.2">
      <c r="AF5478" s="679"/>
    </row>
    <row r="5479" spans="32:32" x14ac:dyDescent="0.2">
      <c r="AF5479" s="679"/>
    </row>
    <row r="5480" spans="32:32" x14ac:dyDescent="0.2">
      <c r="AF5480" s="679"/>
    </row>
    <row r="5481" spans="32:32" x14ac:dyDescent="0.2">
      <c r="AF5481" s="679"/>
    </row>
    <row r="5482" spans="32:32" x14ac:dyDescent="0.2">
      <c r="AF5482" s="679"/>
    </row>
    <row r="5483" spans="32:32" x14ac:dyDescent="0.2">
      <c r="AF5483" s="679"/>
    </row>
    <row r="5484" spans="32:32" x14ac:dyDescent="0.2">
      <c r="AF5484" s="679"/>
    </row>
    <row r="5485" spans="32:32" x14ac:dyDescent="0.2">
      <c r="AF5485" s="679"/>
    </row>
    <row r="5486" spans="32:32" x14ac:dyDescent="0.2">
      <c r="AF5486" s="679"/>
    </row>
    <row r="5487" spans="32:32" x14ac:dyDescent="0.2">
      <c r="AF5487" s="679"/>
    </row>
    <row r="5488" spans="32:32" x14ac:dyDescent="0.2">
      <c r="AF5488" s="679"/>
    </row>
    <row r="5489" spans="32:32" x14ac:dyDescent="0.2">
      <c r="AF5489" s="679"/>
    </row>
    <row r="5490" spans="32:32" x14ac:dyDescent="0.2">
      <c r="AF5490" s="679"/>
    </row>
    <row r="5491" spans="32:32" x14ac:dyDescent="0.2">
      <c r="AF5491" s="679"/>
    </row>
    <row r="5492" spans="32:32" x14ac:dyDescent="0.2">
      <c r="AF5492" s="679"/>
    </row>
    <row r="5493" spans="32:32" x14ac:dyDescent="0.2">
      <c r="AF5493" s="679"/>
    </row>
    <row r="5494" spans="32:32" x14ac:dyDescent="0.2">
      <c r="AF5494" s="679"/>
    </row>
    <row r="5495" spans="32:32" x14ac:dyDescent="0.2">
      <c r="AF5495" s="679"/>
    </row>
    <row r="5496" spans="32:32" x14ac:dyDescent="0.2">
      <c r="AF5496" s="679"/>
    </row>
    <row r="5497" spans="32:32" x14ac:dyDescent="0.2">
      <c r="AF5497" s="679"/>
    </row>
    <row r="5498" spans="32:32" x14ac:dyDescent="0.2">
      <c r="AF5498" s="679"/>
    </row>
    <row r="5499" spans="32:32" x14ac:dyDescent="0.2">
      <c r="AF5499" s="679"/>
    </row>
    <row r="5500" spans="32:32" x14ac:dyDescent="0.2">
      <c r="AF5500" s="679"/>
    </row>
    <row r="5501" spans="32:32" x14ac:dyDescent="0.2">
      <c r="AF5501" s="679"/>
    </row>
    <row r="5502" spans="32:32" x14ac:dyDescent="0.2">
      <c r="AF5502" s="679"/>
    </row>
    <row r="5503" spans="32:32" x14ac:dyDescent="0.2">
      <c r="AF5503" s="679"/>
    </row>
    <row r="5504" spans="32:32" x14ac:dyDescent="0.2">
      <c r="AF5504" s="679"/>
    </row>
    <row r="5505" spans="32:32" x14ac:dyDescent="0.2">
      <c r="AF5505" s="679"/>
    </row>
    <row r="5506" spans="32:32" x14ac:dyDescent="0.2">
      <c r="AF5506" s="679"/>
    </row>
    <row r="5507" spans="32:32" x14ac:dyDescent="0.2">
      <c r="AF5507" s="679"/>
    </row>
    <row r="5508" spans="32:32" x14ac:dyDescent="0.2">
      <c r="AF5508" s="679"/>
    </row>
    <row r="5509" spans="32:32" x14ac:dyDescent="0.2">
      <c r="AF5509" s="679"/>
    </row>
    <row r="5510" spans="32:32" x14ac:dyDescent="0.2">
      <c r="AF5510" s="679"/>
    </row>
    <row r="5511" spans="32:32" x14ac:dyDescent="0.2">
      <c r="AF5511" s="679"/>
    </row>
    <row r="5512" spans="32:32" x14ac:dyDescent="0.2">
      <c r="AF5512" s="679"/>
    </row>
    <row r="5513" spans="32:32" x14ac:dyDescent="0.2">
      <c r="AF5513" s="679"/>
    </row>
    <row r="5514" spans="32:32" x14ac:dyDescent="0.2">
      <c r="AF5514" s="679"/>
    </row>
    <row r="5515" spans="32:32" x14ac:dyDescent="0.2">
      <c r="AF5515" s="679"/>
    </row>
    <row r="5516" spans="32:32" x14ac:dyDescent="0.2">
      <c r="AF5516" s="679"/>
    </row>
    <row r="5517" spans="32:32" x14ac:dyDescent="0.2">
      <c r="AF5517" s="679"/>
    </row>
    <row r="5518" spans="32:32" x14ac:dyDescent="0.2">
      <c r="AF5518" s="679"/>
    </row>
    <row r="5519" spans="32:32" x14ac:dyDescent="0.2">
      <c r="AF5519" s="679"/>
    </row>
    <row r="5520" spans="32:32" x14ac:dyDescent="0.2">
      <c r="AF5520" s="679"/>
    </row>
    <row r="5521" spans="32:32" x14ac:dyDescent="0.2">
      <c r="AF5521" s="679"/>
    </row>
    <row r="5522" spans="32:32" x14ac:dyDescent="0.2">
      <c r="AF5522" s="679"/>
    </row>
    <row r="5523" spans="32:32" x14ac:dyDescent="0.2">
      <c r="AF5523" s="679"/>
    </row>
    <row r="5524" spans="32:32" x14ac:dyDescent="0.2">
      <c r="AF5524" s="679"/>
    </row>
    <row r="5525" spans="32:32" x14ac:dyDescent="0.2">
      <c r="AF5525" s="679"/>
    </row>
    <row r="5526" spans="32:32" x14ac:dyDescent="0.2">
      <c r="AF5526" s="679"/>
    </row>
    <row r="5527" spans="32:32" x14ac:dyDescent="0.2">
      <c r="AF5527" s="679"/>
    </row>
    <row r="5528" spans="32:32" x14ac:dyDescent="0.2">
      <c r="AF5528" s="679"/>
    </row>
    <row r="5529" spans="32:32" x14ac:dyDescent="0.2">
      <c r="AF5529" s="679"/>
    </row>
    <row r="5530" spans="32:32" x14ac:dyDescent="0.2">
      <c r="AF5530" s="679"/>
    </row>
    <row r="5531" spans="32:32" x14ac:dyDescent="0.2">
      <c r="AF5531" s="679"/>
    </row>
    <row r="5532" spans="32:32" x14ac:dyDescent="0.2">
      <c r="AF5532" s="679"/>
    </row>
    <row r="5533" spans="32:32" x14ac:dyDescent="0.2">
      <c r="AF5533" s="679"/>
    </row>
    <row r="5534" spans="32:32" x14ac:dyDescent="0.2">
      <c r="AF5534" s="679"/>
    </row>
    <row r="5535" spans="32:32" x14ac:dyDescent="0.2">
      <c r="AF5535" s="679"/>
    </row>
    <row r="5536" spans="32:32" x14ac:dyDescent="0.2">
      <c r="AF5536" s="679"/>
    </row>
    <row r="5537" spans="32:32" x14ac:dyDescent="0.2">
      <c r="AF5537" s="679"/>
    </row>
    <row r="5538" spans="32:32" x14ac:dyDescent="0.2">
      <c r="AF5538" s="679"/>
    </row>
    <row r="5539" spans="32:32" x14ac:dyDescent="0.2">
      <c r="AF5539" s="679"/>
    </row>
    <row r="5540" spans="32:32" x14ac:dyDescent="0.2">
      <c r="AF5540" s="679"/>
    </row>
    <row r="5541" spans="32:32" x14ac:dyDescent="0.2">
      <c r="AF5541" s="679"/>
    </row>
    <row r="5542" spans="32:32" x14ac:dyDescent="0.2">
      <c r="AF5542" s="679"/>
    </row>
    <row r="5543" spans="32:32" x14ac:dyDescent="0.2">
      <c r="AF5543" s="679"/>
    </row>
    <row r="5544" spans="32:32" x14ac:dyDescent="0.2">
      <c r="AF5544" s="679"/>
    </row>
    <row r="5545" spans="32:32" x14ac:dyDescent="0.2">
      <c r="AF5545" s="679"/>
    </row>
    <row r="5546" spans="32:32" x14ac:dyDescent="0.2">
      <c r="AF5546" s="679"/>
    </row>
    <row r="5547" spans="32:32" x14ac:dyDescent="0.2">
      <c r="AF5547" s="679"/>
    </row>
    <row r="5548" spans="32:32" x14ac:dyDescent="0.2">
      <c r="AF5548" s="679"/>
    </row>
    <row r="5549" spans="32:32" x14ac:dyDescent="0.2">
      <c r="AF5549" s="679"/>
    </row>
    <row r="5550" spans="32:32" x14ac:dyDescent="0.2">
      <c r="AF5550" s="679"/>
    </row>
    <row r="5551" spans="32:32" x14ac:dyDescent="0.2">
      <c r="AF5551" s="679"/>
    </row>
    <row r="5552" spans="32:32" x14ac:dyDescent="0.2">
      <c r="AF5552" s="679"/>
    </row>
    <row r="5553" spans="32:32" x14ac:dyDescent="0.2">
      <c r="AF5553" s="679"/>
    </row>
    <row r="5554" spans="32:32" x14ac:dyDescent="0.2">
      <c r="AF5554" s="679"/>
    </row>
    <row r="5555" spans="32:32" x14ac:dyDescent="0.2">
      <c r="AF5555" s="679"/>
    </row>
    <row r="5556" spans="32:32" x14ac:dyDescent="0.2">
      <c r="AF5556" s="679"/>
    </row>
    <row r="5557" spans="32:32" x14ac:dyDescent="0.2">
      <c r="AF5557" s="679"/>
    </row>
    <row r="5558" spans="32:32" x14ac:dyDescent="0.2">
      <c r="AF5558" s="679"/>
    </row>
    <row r="5559" spans="32:32" x14ac:dyDescent="0.2">
      <c r="AF5559" s="679"/>
    </row>
    <row r="5560" spans="32:32" x14ac:dyDescent="0.2">
      <c r="AF5560" s="679"/>
    </row>
    <row r="5561" spans="32:32" x14ac:dyDescent="0.2">
      <c r="AF5561" s="679"/>
    </row>
    <row r="5562" spans="32:32" x14ac:dyDescent="0.2">
      <c r="AF5562" s="679"/>
    </row>
    <row r="5563" spans="32:32" x14ac:dyDescent="0.2">
      <c r="AF5563" s="679"/>
    </row>
    <row r="5564" spans="32:32" x14ac:dyDescent="0.2">
      <c r="AF5564" s="679"/>
    </row>
    <row r="5565" spans="32:32" x14ac:dyDescent="0.2">
      <c r="AF5565" s="679"/>
    </row>
    <row r="5566" spans="32:32" x14ac:dyDescent="0.2">
      <c r="AF5566" s="679"/>
    </row>
    <row r="5567" spans="32:32" x14ac:dyDescent="0.2">
      <c r="AF5567" s="679"/>
    </row>
    <row r="5568" spans="32:32" x14ac:dyDescent="0.2">
      <c r="AF5568" s="679"/>
    </row>
    <row r="5569" spans="32:32" x14ac:dyDescent="0.2">
      <c r="AF5569" s="679"/>
    </row>
    <row r="5570" spans="32:32" x14ac:dyDescent="0.2">
      <c r="AF5570" s="679"/>
    </row>
    <row r="5571" spans="32:32" x14ac:dyDescent="0.2">
      <c r="AF5571" s="679"/>
    </row>
    <row r="5572" spans="32:32" x14ac:dyDescent="0.2">
      <c r="AF5572" s="679"/>
    </row>
    <row r="5573" spans="32:32" x14ac:dyDescent="0.2">
      <c r="AF5573" s="679"/>
    </row>
    <row r="5574" spans="32:32" x14ac:dyDescent="0.2">
      <c r="AF5574" s="679"/>
    </row>
    <row r="5575" spans="32:32" x14ac:dyDescent="0.2">
      <c r="AF5575" s="679"/>
    </row>
    <row r="5576" spans="32:32" x14ac:dyDescent="0.2">
      <c r="AF5576" s="679"/>
    </row>
    <row r="5577" spans="32:32" x14ac:dyDescent="0.2">
      <c r="AF5577" s="679"/>
    </row>
    <row r="5578" spans="32:32" x14ac:dyDescent="0.2">
      <c r="AF5578" s="679"/>
    </row>
    <row r="5579" spans="32:32" x14ac:dyDescent="0.2">
      <c r="AF5579" s="679"/>
    </row>
    <row r="5580" spans="32:32" x14ac:dyDescent="0.2">
      <c r="AF5580" s="679"/>
    </row>
    <row r="5581" spans="32:32" x14ac:dyDescent="0.2">
      <c r="AF5581" s="679"/>
    </row>
    <row r="5582" spans="32:32" x14ac:dyDescent="0.2">
      <c r="AF5582" s="679"/>
    </row>
    <row r="5583" spans="32:32" x14ac:dyDescent="0.2">
      <c r="AF5583" s="679"/>
    </row>
    <row r="5584" spans="32:32" x14ac:dyDescent="0.2">
      <c r="AF5584" s="679"/>
    </row>
    <row r="5585" spans="32:32" x14ac:dyDescent="0.2">
      <c r="AF5585" s="679"/>
    </row>
    <row r="5586" spans="32:32" x14ac:dyDescent="0.2">
      <c r="AF5586" s="679"/>
    </row>
    <row r="5587" spans="32:32" x14ac:dyDescent="0.2">
      <c r="AF5587" s="679"/>
    </row>
    <row r="5588" spans="32:32" x14ac:dyDescent="0.2">
      <c r="AF5588" s="679"/>
    </row>
    <row r="5589" spans="32:32" x14ac:dyDescent="0.2">
      <c r="AF5589" s="679"/>
    </row>
    <row r="5590" spans="32:32" x14ac:dyDescent="0.2">
      <c r="AF5590" s="679"/>
    </row>
    <row r="5591" spans="32:32" x14ac:dyDescent="0.2">
      <c r="AF5591" s="679"/>
    </row>
    <row r="5592" spans="32:32" x14ac:dyDescent="0.2">
      <c r="AF5592" s="679"/>
    </row>
    <row r="5593" spans="32:32" x14ac:dyDescent="0.2">
      <c r="AF5593" s="679"/>
    </row>
    <row r="5594" spans="32:32" x14ac:dyDescent="0.2">
      <c r="AF5594" s="679"/>
    </row>
    <row r="5595" spans="32:32" x14ac:dyDescent="0.2">
      <c r="AF5595" s="679"/>
    </row>
    <row r="5596" spans="32:32" x14ac:dyDescent="0.2">
      <c r="AF5596" s="679"/>
    </row>
    <row r="5597" spans="32:32" x14ac:dyDescent="0.2">
      <c r="AF5597" s="679"/>
    </row>
    <row r="5598" spans="32:32" x14ac:dyDescent="0.2">
      <c r="AF5598" s="679"/>
    </row>
    <row r="5599" spans="32:32" x14ac:dyDescent="0.2">
      <c r="AF5599" s="679"/>
    </row>
    <row r="5600" spans="32:32" x14ac:dyDescent="0.2">
      <c r="AF5600" s="679"/>
    </row>
    <row r="5601" spans="32:32" x14ac:dyDescent="0.2">
      <c r="AF5601" s="679"/>
    </row>
    <row r="5602" spans="32:32" x14ac:dyDescent="0.2">
      <c r="AF5602" s="679"/>
    </row>
    <row r="5603" spans="32:32" x14ac:dyDescent="0.2">
      <c r="AF5603" s="679"/>
    </row>
    <row r="5604" spans="32:32" x14ac:dyDescent="0.2">
      <c r="AF5604" s="679"/>
    </row>
    <row r="5605" spans="32:32" x14ac:dyDescent="0.2">
      <c r="AF5605" s="679"/>
    </row>
    <row r="5606" spans="32:32" x14ac:dyDescent="0.2">
      <c r="AF5606" s="679"/>
    </row>
    <row r="5607" spans="32:32" x14ac:dyDescent="0.2">
      <c r="AF5607" s="679"/>
    </row>
    <row r="5608" spans="32:32" x14ac:dyDescent="0.2">
      <c r="AF5608" s="679"/>
    </row>
    <row r="5609" spans="32:32" x14ac:dyDescent="0.2">
      <c r="AF5609" s="679"/>
    </row>
    <row r="5610" spans="32:32" x14ac:dyDescent="0.2">
      <c r="AF5610" s="679"/>
    </row>
    <row r="5611" spans="32:32" x14ac:dyDescent="0.2">
      <c r="AF5611" s="679"/>
    </row>
    <row r="5612" spans="32:32" x14ac:dyDescent="0.2">
      <c r="AF5612" s="679"/>
    </row>
    <row r="5613" spans="32:32" x14ac:dyDescent="0.2">
      <c r="AF5613" s="679"/>
    </row>
    <row r="5614" spans="32:32" x14ac:dyDescent="0.2">
      <c r="AF5614" s="679"/>
    </row>
    <row r="5615" spans="32:32" x14ac:dyDescent="0.2">
      <c r="AF5615" s="679"/>
    </row>
    <row r="5616" spans="32:32" x14ac:dyDescent="0.2">
      <c r="AF5616" s="679"/>
    </row>
    <row r="5617" spans="32:32" x14ac:dyDescent="0.2">
      <c r="AF5617" s="679"/>
    </row>
    <row r="5618" spans="32:32" x14ac:dyDescent="0.2">
      <c r="AF5618" s="679"/>
    </row>
    <row r="5619" spans="32:32" x14ac:dyDescent="0.2">
      <c r="AF5619" s="679"/>
    </row>
    <row r="5620" spans="32:32" x14ac:dyDescent="0.2">
      <c r="AF5620" s="679"/>
    </row>
    <row r="5621" spans="32:32" x14ac:dyDescent="0.2">
      <c r="AF5621" s="679"/>
    </row>
    <row r="5622" spans="32:32" x14ac:dyDescent="0.2">
      <c r="AF5622" s="679"/>
    </row>
    <row r="5623" spans="32:32" x14ac:dyDescent="0.2">
      <c r="AF5623" s="679"/>
    </row>
    <row r="5624" spans="32:32" x14ac:dyDescent="0.2">
      <c r="AF5624" s="679"/>
    </row>
    <row r="5625" spans="32:32" x14ac:dyDescent="0.2">
      <c r="AF5625" s="679"/>
    </row>
    <row r="5626" spans="32:32" x14ac:dyDescent="0.2">
      <c r="AF5626" s="679"/>
    </row>
    <row r="5627" spans="32:32" x14ac:dyDescent="0.2">
      <c r="AF5627" s="679"/>
    </row>
    <row r="5628" spans="32:32" x14ac:dyDescent="0.2">
      <c r="AF5628" s="679"/>
    </row>
    <row r="5629" spans="32:32" x14ac:dyDescent="0.2">
      <c r="AF5629" s="679"/>
    </row>
    <row r="5630" spans="32:32" x14ac:dyDescent="0.2">
      <c r="AF5630" s="679"/>
    </row>
    <row r="5631" spans="32:32" x14ac:dyDescent="0.2">
      <c r="AF5631" s="679"/>
    </row>
    <row r="5632" spans="32:32" x14ac:dyDescent="0.2">
      <c r="AF5632" s="679"/>
    </row>
    <row r="5633" spans="32:32" x14ac:dyDescent="0.2">
      <c r="AF5633" s="679"/>
    </row>
    <row r="5634" spans="32:32" x14ac:dyDescent="0.2">
      <c r="AF5634" s="679"/>
    </row>
    <row r="5635" spans="32:32" x14ac:dyDescent="0.2">
      <c r="AF5635" s="679"/>
    </row>
    <row r="5636" spans="32:32" x14ac:dyDescent="0.2">
      <c r="AF5636" s="679"/>
    </row>
    <row r="5637" spans="32:32" x14ac:dyDescent="0.2">
      <c r="AF5637" s="679"/>
    </row>
    <row r="5638" spans="32:32" x14ac:dyDescent="0.2">
      <c r="AF5638" s="679"/>
    </row>
    <row r="5639" spans="32:32" x14ac:dyDescent="0.2">
      <c r="AF5639" s="679"/>
    </row>
    <row r="5640" spans="32:32" x14ac:dyDescent="0.2">
      <c r="AF5640" s="679"/>
    </row>
    <row r="5641" spans="32:32" x14ac:dyDescent="0.2">
      <c r="AF5641" s="679"/>
    </row>
    <row r="5642" spans="32:32" x14ac:dyDescent="0.2">
      <c r="AF5642" s="679"/>
    </row>
    <row r="5643" spans="32:32" x14ac:dyDescent="0.2">
      <c r="AF5643" s="679"/>
    </row>
    <row r="5644" spans="32:32" x14ac:dyDescent="0.2">
      <c r="AF5644" s="679"/>
    </row>
    <row r="5645" spans="32:32" x14ac:dyDescent="0.2">
      <c r="AF5645" s="679"/>
    </row>
    <row r="5646" spans="32:32" x14ac:dyDescent="0.2">
      <c r="AF5646" s="679"/>
    </row>
    <row r="5647" spans="32:32" x14ac:dyDescent="0.2">
      <c r="AF5647" s="679"/>
    </row>
    <row r="5648" spans="32:32" x14ac:dyDescent="0.2">
      <c r="AF5648" s="679"/>
    </row>
    <row r="5649" spans="32:32" x14ac:dyDescent="0.2">
      <c r="AF5649" s="679"/>
    </row>
    <row r="5650" spans="32:32" x14ac:dyDescent="0.2">
      <c r="AF5650" s="679"/>
    </row>
    <row r="5651" spans="32:32" x14ac:dyDescent="0.2">
      <c r="AF5651" s="679"/>
    </row>
    <row r="5652" spans="32:32" x14ac:dyDescent="0.2">
      <c r="AF5652" s="679"/>
    </row>
    <row r="5653" spans="32:32" x14ac:dyDescent="0.2">
      <c r="AF5653" s="679"/>
    </row>
    <row r="5654" spans="32:32" x14ac:dyDescent="0.2">
      <c r="AF5654" s="679"/>
    </row>
    <row r="5655" spans="32:32" x14ac:dyDescent="0.2">
      <c r="AF5655" s="679"/>
    </row>
    <row r="5656" spans="32:32" x14ac:dyDescent="0.2">
      <c r="AF5656" s="679"/>
    </row>
    <row r="5657" spans="32:32" x14ac:dyDescent="0.2">
      <c r="AF5657" s="679"/>
    </row>
    <row r="5658" spans="32:32" x14ac:dyDescent="0.2">
      <c r="AF5658" s="679"/>
    </row>
    <row r="5659" spans="32:32" x14ac:dyDescent="0.2">
      <c r="AF5659" s="679"/>
    </row>
    <row r="5660" spans="32:32" x14ac:dyDescent="0.2">
      <c r="AF5660" s="679"/>
    </row>
    <row r="5661" spans="32:32" x14ac:dyDescent="0.2">
      <c r="AF5661" s="679"/>
    </row>
    <row r="5662" spans="32:32" x14ac:dyDescent="0.2">
      <c r="AF5662" s="679"/>
    </row>
    <row r="5663" spans="32:32" x14ac:dyDescent="0.2">
      <c r="AF5663" s="679"/>
    </row>
    <row r="5664" spans="32:32" x14ac:dyDescent="0.2">
      <c r="AF5664" s="679"/>
    </row>
    <row r="5665" spans="32:32" x14ac:dyDescent="0.2">
      <c r="AF5665" s="679"/>
    </row>
    <row r="5666" spans="32:32" x14ac:dyDescent="0.2">
      <c r="AF5666" s="679"/>
    </row>
    <row r="5667" spans="32:32" x14ac:dyDescent="0.2">
      <c r="AF5667" s="679"/>
    </row>
    <row r="5668" spans="32:32" x14ac:dyDescent="0.2">
      <c r="AF5668" s="679"/>
    </row>
    <row r="5669" spans="32:32" x14ac:dyDescent="0.2">
      <c r="AF5669" s="679"/>
    </row>
    <row r="5670" spans="32:32" x14ac:dyDescent="0.2">
      <c r="AF5670" s="679"/>
    </row>
    <row r="5671" spans="32:32" x14ac:dyDescent="0.2">
      <c r="AF5671" s="679"/>
    </row>
    <row r="5672" spans="32:32" x14ac:dyDescent="0.2">
      <c r="AF5672" s="679"/>
    </row>
    <row r="5673" spans="32:32" x14ac:dyDescent="0.2">
      <c r="AF5673" s="679"/>
    </row>
    <row r="5674" spans="32:32" x14ac:dyDescent="0.2">
      <c r="AF5674" s="679"/>
    </row>
    <row r="5675" spans="32:32" x14ac:dyDescent="0.2">
      <c r="AF5675" s="679"/>
    </row>
    <row r="5676" spans="32:32" x14ac:dyDescent="0.2">
      <c r="AF5676" s="679"/>
    </row>
    <row r="5677" spans="32:32" x14ac:dyDescent="0.2">
      <c r="AF5677" s="679"/>
    </row>
    <row r="5678" spans="32:32" x14ac:dyDescent="0.2">
      <c r="AF5678" s="679"/>
    </row>
    <row r="5679" spans="32:32" x14ac:dyDescent="0.2">
      <c r="AF5679" s="679"/>
    </row>
    <row r="5680" spans="32:32" x14ac:dyDescent="0.2">
      <c r="AF5680" s="679"/>
    </row>
    <row r="5681" spans="32:32" x14ac:dyDescent="0.2">
      <c r="AF5681" s="679"/>
    </row>
    <row r="5682" spans="32:32" x14ac:dyDescent="0.2">
      <c r="AF5682" s="679"/>
    </row>
    <row r="5683" spans="32:32" x14ac:dyDescent="0.2">
      <c r="AF5683" s="679"/>
    </row>
    <row r="5684" spans="32:32" x14ac:dyDescent="0.2">
      <c r="AF5684" s="679"/>
    </row>
    <row r="5685" spans="32:32" x14ac:dyDescent="0.2">
      <c r="AF5685" s="679"/>
    </row>
    <row r="5686" spans="32:32" x14ac:dyDescent="0.2">
      <c r="AF5686" s="679"/>
    </row>
    <row r="5687" spans="32:32" x14ac:dyDescent="0.2">
      <c r="AF5687" s="679"/>
    </row>
    <row r="5688" spans="32:32" x14ac:dyDescent="0.2">
      <c r="AF5688" s="679"/>
    </row>
    <row r="5689" spans="32:32" x14ac:dyDescent="0.2">
      <c r="AF5689" s="679"/>
    </row>
    <row r="5690" spans="32:32" x14ac:dyDescent="0.2">
      <c r="AF5690" s="679"/>
    </row>
    <row r="5691" spans="32:32" x14ac:dyDescent="0.2">
      <c r="AF5691" s="679"/>
    </row>
    <row r="5692" spans="32:32" x14ac:dyDescent="0.2">
      <c r="AF5692" s="679"/>
    </row>
    <row r="5693" spans="32:32" x14ac:dyDescent="0.2">
      <c r="AF5693" s="679"/>
    </row>
    <row r="5694" spans="32:32" x14ac:dyDescent="0.2">
      <c r="AF5694" s="679"/>
    </row>
    <row r="5695" spans="32:32" x14ac:dyDescent="0.2">
      <c r="AF5695" s="679"/>
    </row>
    <row r="5696" spans="32:32" x14ac:dyDescent="0.2">
      <c r="AF5696" s="679"/>
    </row>
    <row r="5697" spans="32:32" x14ac:dyDescent="0.2">
      <c r="AF5697" s="679"/>
    </row>
    <row r="5698" spans="32:32" x14ac:dyDescent="0.2">
      <c r="AF5698" s="679"/>
    </row>
    <row r="5699" spans="32:32" x14ac:dyDescent="0.2">
      <c r="AF5699" s="679"/>
    </row>
    <row r="5700" spans="32:32" x14ac:dyDescent="0.2">
      <c r="AF5700" s="679"/>
    </row>
    <row r="5701" spans="32:32" x14ac:dyDescent="0.2">
      <c r="AF5701" s="679"/>
    </row>
    <row r="5702" spans="32:32" x14ac:dyDescent="0.2">
      <c r="AF5702" s="679"/>
    </row>
    <row r="5703" spans="32:32" x14ac:dyDescent="0.2">
      <c r="AF5703" s="679"/>
    </row>
    <row r="5704" spans="32:32" x14ac:dyDescent="0.2">
      <c r="AF5704" s="679"/>
    </row>
    <row r="5705" spans="32:32" x14ac:dyDescent="0.2">
      <c r="AF5705" s="679"/>
    </row>
    <row r="5706" spans="32:32" x14ac:dyDescent="0.2">
      <c r="AF5706" s="679"/>
    </row>
    <row r="5707" spans="32:32" x14ac:dyDescent="0.2">
      <c r="AF5707" s="679"/>
    </row>
    <row r="5708" spans="32:32" x14ac:dyDescent="0.2">
      <c r="AF5708" s="679"/>
    </row>
    <row r="5709" spans="32:32" x14ac:dyDescent="0.2">
      <c r="AF5709" s="679"/>
    </row>
    <row r="5710" spans="32:32" x14ac:dyDescent="0.2">
      <c r="AF5710" s="679"/>
    </row>
    <row r="5711" spans="32:32" x14ac:dyDescent="0.2">
      <c r="AF5711" s="679"/>
    </row>
    <row r="5712" spans="32:32" x14ac:dyDescent="0.2">
      <c r="AF5712" s="679"/>
    </row>
    <row r="5713" spans="32:32" x14ac:dyDescent="0.2">
      <c r="AF5713" s="679"/>
    </row>
    <row r="5714" spans="32:32" x14ac:dyDescent="0.2">
      <c r="AF5714" s="679"/>
    </row>
    <row r="5715" spans="32:32" x14ac:dyDescent="0.2">
      <c r="AF5715" s="679"/>
    </row>
    <row r="5716" spans="32:32" x14ac:dyDescent="0.2">
      <c r="AF5716" s="679"/>
    </row>
    <row r="5717" spans="32:32" x14ac:dyDescent="0.2">
      <c r="AF5717" s="679"/>
    </row>
    <row r="5718" spans="32:32" x14ac:dyDescent="0.2">
      <c r="AF5718" s="679"/>
    </row>
    <row r="5719" spans="32:32" x14ac:dyDescent="0.2">
      <c r="AF5719" s="679"/>
    </row>
    <row r="5720" spans="32:32" x14ac:dyDescent="0.2">
      <c r="AF5720" s="679"/>
    </row>
    <row r="5721" spans="32:32" x14ac:dyDescent="0.2">
      <c r="AF5721" s="679"/>
    </row>
    <row r="5722" spans="32:32" x14ac:dyDescent="0.2">
      <c r="AF5722" s="679"/>
    </row>
    <row r="5723" spans="32:32" x14ac:dyDescent="0.2">
      <c r="AF5723" s="679"/>
    </row>
    <row r="5724" spans="32:32" x14ac:dyDescent="0.2">
      <c r="AF5724" s="679"/>
    </row>
    <row r="5725" spans="32:32" x14ac:dyDescent="0.2">
      <c r="AF5725" s="679"/>
    </row>
    <row r="5726" spans="32:32" x14ac:dyDescent="0.2">
      <c r="AF5726" s="679"/>
    </row>
    <row r="5727" spans="32:32" x14ac:dyDescent="0.2">
      <c r="AF5727" s="679"/>
    </row>
    <row r="5728" spans="32:32" x14ac:dyDescent="0.2">
      <c r="AF5728" s="679"/>
    </row>
    <row r="5729" spans="32:32" x14ac:dyDescent="0.2">
      <c r="AF5729" s="679"/>
    </row>
    <row r="5730" spans="32:32" x14ac:dyDescent="0.2">
      <c r="AF5730" s="679"/>
    </row>
    <row r="5731" spans="32:32" x14ac:dyDescent="0.2">
      <c r="AF5731" s="679"/>
    </row>
    <row r="5732" spans="32:32" x14ac:dyDescent="0.2">
      <c r="AF5732" s="679"/>
    </row>
    <row r="5733" spans="32:32" x14ac:dyDescent="0.2">
      <c r="AF5733" s="679"/>
    </row>
    <row r="5734" spans="32:32" x14ac:dyDescent="0.2">
      <c r="AF5734" s="679"/>
    </row>
    <row r="5735" spans="32:32" x14ac:dyDescent="0.2">
      <c r="AF5735" s="679"/>
    </row>
    <row r="5736" spans="32:32" x14ac:dyDescent="0.2">
      <c r="AF5736" s="679"/>
    </row>
    <row r="5737" spans="32:32" x14ac:dyDescent="0.2">
      <c r="AF5737" s="679"/>
    </row>
    <row r="5738" spans="32:32" x14ac:dyDescent="0.2">
      <c r="AF5738" s="679"/>
    </row>
    <row r="5739" spans="32:32" x14ac:dyDescent="0.2">
      <c r="AF5739" s="679"/>
    </row>
    <row r="5740" spans="32:32" x14ac:dyDescent="0.2">
      <c r="AF5740" s="679"/>
    </row>
    <row r="5741" spans="32:32" x14ac:dyDescent="0.2">
      <c r="AF5741" s="679"/>
    </row>
    <row r="5742" spans="32:32" x14ac:dyDescent="0.2">
      <c r="AF5742" s="679"/>
    </row>
    <row r="5743" spans="32:32" x14ac:dyDescent="0.2">
      <c r="AF5743" s="679"/>
    </row>
    <row r="5744" spans="32:32" x14ac:dyDescent="0.2">
      <c r="AF5744" s="679"/>
    </row>
    <row r="5745" spans="32:32" x14ac:dyDescent="0.2">
      <c r="AF5745" s="679"/>
    </row>
    <row r="5746" spans="32:32" x14ac:dyDescent="0.2">
      <c r="AF5746" s="679"/>
    </row>
    <row r="5747" spans="32:32" x14ac:dyDescent="0.2">
      <c r="AF5747" s="679"/>
    </row>
    <row r="5748" spans="32:32" x14ac:dyDescent="0.2">
      <c r="AF5748" s="679"/>
    </row>
    <row r="5749" spans="32:32" x14ac:dyDescent="0.2">
      <c r="AF5749" s="679"/>
    </row>
    <row r="5750" spans="32:32" x14ac:dyDescent="0.2">
      <c r="AF5750" s="679"/>
    </row>
    <row r="5751" spans="32:32" x14ac:dyDescent="0.2">
      <c r="AF5751" s="679"/>
    </row>
    <row r="5752" spans="32:32" x14ac:dyDescent="0.2">
      <c r="AF5752" s="679"/>
    </row>
    <row r="5753" spans="32:32" x14ac:dyDescent="0.2">
      <c r="AF5753" s="679"/>
    </row>
    <row r="5754" spans="32:32" x14ac:dyDescent="0.2">
      <c r="AF5754" s="679"/>
    </row>
    <row r="5755" spans="32:32" x14ac:dyDescent="0.2">
      <c r="AF5755" s="679"/>
    </row>
    <row r="5756" spans="32:32" x14ac:dyDescent="0.2">
      <c r="AF5756" s="679"/>
    </row>
    <row r="5757" spans="32:32" x14ac:dyDescent="0.2">
      <c r="AF5757" s="679"/>
    </row>
    <row r="5758" spans="32:32" x14ac:dyDescent="0.2">
      <c r="AF5758" s="679"/>
    </row>
    <row r="5759" spans="32:32" x14ac:dyDescent="0.2">
      <c r="AF5759" s="679"/>
    </row>
    <row r="5760" spans="32:32" x14ac:dyDescent="0.2">
      <c r="AF5760" s="679"/>
    </row>
    <row r="5761" spans="32:32" x14ac:dyDescent="0.2">
      <c r="AF5761" s="679"/>
    </row>
    <row r="5762" spans="32:32" x14ac:dyDescent="0.2">
      <c r="AF5762" s="679"/>
    </row>
    <row r="5763" spans="32:32" x14ac:dyDescent="0.2">
      <c r="AF5763" s="679"/>
    </row>
    <row r="5764" spans="32:32" x14ac:dyDescent="0.2">
      <c r="AF5764" s="679"/>
    </row>
    <row r="5765" spans="32:32" x14ac:dyDescent="0.2">
      <c r="AF5765" s="679"/>
    </row>
    <row r="5766" spans="32:32" x14ac:dyDescent="0.2">
      <c r="AF5766" s="679"/>
    </row>
    <row r="5767" spans="32:32" x14ac:dyDescent="0.2">
      <c r="AF5767" s="679"/>
    </row>
    <row r="5768" spans="32:32" x14ac:dyDescent="0.2">
      <c r="AF5768" s="679"/>
    </row>
    <row r="5769" spans="32:32" x14ac:dyDescent="0.2">
      <c r="AF5769" s="679"/>
    </row>
    <row r="5770" spans="32:32" x14ac:dyDescent="0.2">
      <c r="AF5770" s="679"/>
    </row>
    <row r="5771" spans="32:32" x14ac:dyDescent="0.2">
      <c r="AF5771" s="679"/>
    </row>
    <row r="5772" spans="32:32" x14ac:dyDescent="0.2">
      <c r="AF5772" s="679"/>
    </row>
    <row r="5773" spans="32:32" x14ac:dyDescent="0.2">
      <c r="AF5773" s="679"/>
    </row>
    <row r="5774" spans="32:32" x14ac:dyDescent="0.2">
      <c r="AF5774" s="679"/>
    </row>
    <row r="5775" spans="32:32" x14ac:dyDescent="0.2">
      <c r="AF5775" s="679"/>
    </row>
    <row r="5776" spans="32:32" x14ac:dyDescent="0.2">
      <c r="AF5776" s="679"/>
    </row>
    <row r="5777" spans="32:32" x14ac:dyDescent="0.2">
      <c r="AF5777" s="679"/>
    </row>
    <row r="5778" spans="32:32" x14ac:dyDescent="0.2">
      <c r="AF5778" s="679"/>
    </row>
    <row r="5779" spans="32:32" x14ac:dyDescent="0.2">
      <c r="AF5779" s="679"/>
    </row>
    <row r="5780" spans="32:32" x14ac:dyDescent="0.2">
      <c r="AF5780" s="679"/>
    </row>
    <row r="5781" spans="32:32" x14ac:dyDescent="0.2">
      <c r="AF5781" s="679"/>
    </row>
    <row r="5782" spans="32:32" x14ac:dyDescent="0.2">
      <c r="AF5782" s="679"/>
    </row>
    <row r="5783" spans="32:32" x14ac:dyDescent="0.2">
      <c r="AF5783" s="679"/>
    </row>
    <row r="5784" spans="32:32" x14ac:dyDescent="0.2">
      <c r="AF5784" s="679"/>
    </row>
    <row r="5785" spans="32:32" x14ac:dyDescent="0.2">
      <c r="AF5785" s="679"/>
    </row>
    <row r="5786" spans="32:32" x14ac:dyDescent="0.2">
      <c r="AF5786" s="679"/>
    </row>
    <row r="5787" spans="32:32" x14ac:dyDescent="0.2">
      <c r="AF5787" s="679"/>
    </row>
    <row r="5788" spans="32:32" x14ac:dyDescent="0.2">
      <c r="AF5788" s="679"/>
    </row>
    <row r="5789" spans="32:32" x14ac:dyDescent="0.2">
      <c r="AF5789" s="679"/>
    </row>
    <row r="5790" spans="32:32" x14ac:dyDescent="0.2">
      <c r="AF5790" s="679"/>
    </row>
    <row r="5791" spans="32:32" x14ac:dyDescent="0.2">
      <c r="AF5791" s="679"/>
    </row>
    <row r="5792" spans="32:32" x14ac:dyDescent="0.2">
      <c r="AF5792" s="679"/>
    </row>
    <row r="5793" spans="32:32" x14ac:dyDescent="0.2">
      <c r="AF5793" s="679"/>
    </row>
    <row r="5794" spans="32:32" x14ac:dyDescent="0.2">
      <c r="AF5794" s="679"/>
    </row>
    <row r="5795" spans="32:32" x14ac:dyDescent="0.2">
      <c r="AF5795" s="679"/>
    </row>
    <row r="5796" spans="32:32" x14ac:dyDescent="0.2">
      <c r="AF5796" s="679"/>
    </row>
    <row r="5797" spans="32:32" x14ac:dyDescent="0.2">
      <c r="AF5797" s="679"/>
    </row>
    <row r="5798" spans="32:32" x14ac:dyDescent="0.2">
      <c r="AF5798" s="679"/>
    </row>
    <row r="5799" spans="32:32" x14ac:dyDescent="0.2">
      <c r="AF5799" s="679"/>
    </row>
    <row r="5800" spans="32:32" x14ac:dyDescent="0.2">
      <c r="AF5800" s="679"/>
    </row>
    <row r="5801" spans="32:32" x14ac:dyDescent="0.2">
      <c r="AF5801" s="679"/>
    </row>
    <row r="5802" spans="32:32" x14ac:dyDescent="0.2">
      <c r="AF5802" s="679"/>
    </row>
    <row r="5803" spans="32:32" x14ac:dyDescent="0.2">
      <c r="AF5803" s="679"/>
    </row>
    <row r="5804" spans="32:32" x14ac:dyDescent="0.2">
      <c r="AF5804" s="679"/>
    </row>
    <row r="5805" spans="32:32" x14ac:dyDescent="0.2">
      <c r="AF5805" s="679"/>
    </row>
    <row r="5806" spans="32:32" x14ac:dyDescent="0.2">
      <c r="AF5806" s="679"/>
    </row>
    <row r="5807" spans="32:32" x14ac:dyDescent="0.2">
      <c r="AF5807" s="679"/>
    </row>
    <row r="5808" spans="32:32" x14ac:dyDescent="0.2">
      <c r="AF5808" s="679"/>
    </row>
    <row r="5809" spans="32:32" x14ac:dyDescent="0.2">
      <c r="AF5809" s="679"/>
    </row>
    <row r="5810" spans="32:32" x14ac:dyDescent="0.2">
      <c r="AF5810" s="679"/>
    </row>
    <row r="5811" spans="32:32" x14ac:dyDescent="0.2">
      <c r="AF5811" s="679"/>
    </row>
    <row r="5812" spans="32:32" x14ac:dyDescent="0.2">
      <c r="AF5812" s="679"/>
    </row>
    <row r="5813" spans="32:32" x14ac:dyDescent="0.2">
      <c r="AF5813" s="679"/>
    </row>
    <row r="5814" spans="32:32" x14ac:dyDescent="0.2">
      <c r="AF5814" s="679"/>
    </row>
    <row r="5815" spans="32:32" x14ac:dyDescent="0.2">
      <c r="AF5815" s="679"/>
    </row>
    <row r="5816" spans="32:32" x14ac:dyDescent="0.2">
      <c r="AF5816" s="679"/>
    </row>
    <row r="5817" spans="32:32" x14ac:dyDescent="0.2">
      <c r="AF5817" s="679"/>
    </row>
    <row r="5818" spans="32:32" x14ac:dyDescent="0.2">
      <c r="AF5818" s="679"/>
    </row>
    <row r="5819" spans="32:32" x14ac:dyDescent="0.2">
      <c r="AF5819" s="679"/>
    </row>
    <row r="5820" spans="32:32" x14ac:dyDescent="0.2">
      <c r="AF5820" s="679"/>
    </row>
    <row r="5821" spans="32:32" x14ac:dyDescent="0.2">
      <c r="AF5821" s="679"/>
    </row>
    <row r="5822" spans="32:32" x14ac:dyDescent="0.2">
      <c r="AF5822" s="679"/>
    </row>
    <row r="5823" spans="32:32" x14ac:dyDescent="0.2">
      <c r="AF5823" s="679"/>
    </row>
    <row r="5824" spans="32:32" x14ac:dyDescent="0.2">
      <c r="AF5824" s="679"/>
    </row>
    <row r="5825" spans="32:32" x14ac:dyDescent="0.2">
      <c r="AF5825" s="679"/>
    </row>
    <row r="5826" spans="32:32" x14ac:dyDescent="0.2">
      <c r="AF5826" s="679"/>
    </row>
    <row r="5827" spans="32:32" x14ac:dyDescent="0.2">
      <c r="AF5827" s="679"/>
    </row>
    <row r="5828" spans="32:32" x14ac:dyDescent="0.2">
      <c r="AF5828" s="679"/>
    </row>
    <row r="5829" spans="32:32" x14ac:dyDescent="0.2">
      <c r="AF5829" s="679"/>
    </row>
    <row r="5830" spans="32:32" x14ac:dyDescent="0.2">
      <c r="AF5830" s="679"/>
    </row>
    <row r="5831" spans="32:32" x14ac:dyDescent="0.2">
      <c r="AF5831" s="679"/>
    </row>
    <row r="5832" spans="32:32" x14ac:dyDescent="0.2">
      <c r="AF5832" s="679"/>
    </row>
    <row r="5833" spans="32:32" x14ac:dyDescent="0.2">
      <c r="AF5833" s="679"/>
    </row>
    <row r="5834" spans="32:32" x14ac:dyDescent="0.2">
      <c r="AF5834" s="679"/>
    </row>
    <row r="5835" spans="32:32" x14ac:dyDescent="0.2">
      <c r="AF5835" s="679"/>
    </row>
    <row r="5836" spans="32:32" x14ac:dyDescent="0.2">
      <c r="AF5836" s="679"/>
    </row>
    <row r="5837" spans="32:32" x14ac:dyDescent="0.2">
      <c r="AF5837" s="679"/>
    </row>
    <row r="5838" spans="32:32" x14ac:dyDescent="0.2">
      <c r="AF5838" s="679"/>
    </row>
    <row r="5839" spans="32:32" x14ac:dyDescent="0.2">
      <c r="AF5839" s="679"/>
    </row>
    <row r="5840" spans="32:32" x14ac:dyDescent="0.2">
      <c r="AF5840" s="679"/>
    </row>
    <row r="5841" spans="32:32" x14ac:dyDescent="0.2">
      <c r="AF5841" s="679"/>
    </row>
    <row r="5842" spans="32:32" x14ac:dyDescent="0.2">
      <c r="AF5842" s="679"/>
    </row>
    <row r="5843" spans="32:32" x14ac:dyDescent="0.2">
      <c r="AF5843" s="679"/>
    </row>
    <row r="5844" spans="32:32" x14ac:dyDescent="0.2">
      <c r="AF5844" s="679"/>
    </row>
    <row r="5845" spans="32:32" x14ac:dyDescent="0.2">
      <c r="AF5845" s="679"/>
    </row>
    <row r="5846" spans="32:32" x14ac:dyDescent="0.2">
      <c r="AF5846" s="679"/>
    </row>
    <row r="5847" spans="32:32" x14ac:dyDescent="0.2">
      <c r="AF5847" s="679"/>
    </row>
    <row r="5848" spans="32:32" x14ac:dyDescent="0.2">
      <c r="AF5848" s="679"/>
    </row>
    <row r="5849" spans="32:32" x14ac:dyDescent="0.2">
      <c r="AF5849" s="679"/>
    </row>
    <row r="5850" spans="32:32" x14ac:dyDescent="0.2">
      <c r="AF5850" s="679"/>
    </row>
    <row r="5851" spans="32:32" x14ac:dyDescent="0.2">
      <c r="AF5851" s="679"/>
    </row>
    <row r="5852" spans="32:32" x14ac:dyDescent="0.2">
      <c r="AF5852" s="679"/>
    </row>
    <row r="5853" spans="32:32" x14ac:dyDescent="0.2">
      <c r="AF5853" s="679"/>
    </row>
    <row r="5854" spans="32:32" x14ac:dyDescent="0.2">
      <c r="AF5854" s="679"/>
    </row>
    <row r="5855" spans="32:32" x14ac:dyDescent="0.2">
      <c r="AF5855" s="679"/>
    </row>
    <row r="5856" spans="32:32" x14ac:dyDescent="0.2">
      <c r="AF5856" s="679"/>
    </row>
    <row r="5857" spans="32:32" x14ac:dyDescent="0.2">
      <c r="AF5857" s="679"/>
    </row>
    <row r="5858" spans="32:32" x14ac:dyDescent="0.2">
      <c r="AF5858" s="679"/>
    </row>
    <row r="5859" spans="32:32" x14ac:dyDescent="0.2">
      <c r="AF5859" s="679"/>
    </row>
    <row r="5860" spans="32:32" x14ac:dyDescent="0.2">
      <c r="AF5860" s="679"/>
    </row>
    <row r="5861" spans="32:32" x14ac:dyDescent="0.2">
      <c r="AF5861" s="679"/>
    </row>
    <row r="5862" spans="32:32" x14ac:dyDescent="0.2">
      <c r="AF5862" s="679"/>
    </row>
    <row r="5863" spans="32:32" x14ac:dyDescent="0.2">
      <c r="AF5863" s="679"/>
    </row>
    <row r="5864" spans="32:32" x14ac:dyDescent="0.2">
      <c r="AF5864" s="679"/>
    </row>
    <row r="5865" spans="32:32" x14ac:dyDescent="0.2">
      <c r="AF5865" s="679"/>
    </row>
    <row r="5866" spans="32:32" x14ac:dyDescent="0.2">
      <c r="AF5866" s="679"/>
    </row>
    <row r="5867" spans="32:32" x14ac:dyDescent="0.2">
      <c r="AF5867" s="679"/>
    </row>
    <row r="5868" spans="32:32" x14ac:dyDescent="0.2">
      <c r="AF5868" s="679"/>
    </row>
    <row r="5869" spans="32:32" x14ac:dyDescent="0.2">
      <c r="AF5869" s="679"/>
    </row>
    <row r="5870" spans="32:32" x14ac:dyDescent="0.2">
      <c r="AF5870" s="679"/>
    </row>
    <row r="5871" spans="32:32" x14ac:dyDescent="0.2">
      <c r="AF5871" s="679"/>
    </row>
    <row r="5872" spans="32:32" x14ac:dyDescent="0.2">
      <c r="AF5872" s="679"/>
    </row>
    <row r="5873" spans="32:32" x14ac:dyDescent="0.2">
      <c r="AF5873" s="679"/>
    </row>
    <row r="5874" spans="32:32" x14ac:dyDescent="0.2">
      <c r="AF5874" s="679"/>
    </row>
    <row r="5875" spans="32:32" x14ac:dyDescent="0.2">
      <c r="AF5875" s="679"/>
    </row>
    <row r="5876" spans="32:32" x14ac:dyDescent="0.2">
      <c r="AF5876" s="679"/>
    </row>
    <row r="5877" spans="32:32" x14ac:dyDescent="0.2">
      <c r="AF5877" s="679"/>
    </row>
    <row r="5878" spans="32:32" x14ac:dyDescent="0.2">
      <c r="AF5878" s="679"/>
    </row>
    <row r="5879" spans="32:32" x14ac:dyDescent="0.2">
      <c r="AF5879" s="679"/>
    </row>
    <row r="5880" spans="32:32" x14ac:dyDescent="0.2">
      <c r="AF5880" s="679"/>
    </row>
    <row r="5881" spans="32:32" x14ac:dyDescent="0.2">
      <c r="AF5881" s="679"/>
    </row>
    <row r="5882" spans="32:32" x14ac:dyDescent="0.2">
      <c r="AF5882" s="679"/>
    </row>
    <row r="5883" spans="32:32" x14ac:dyDescent="0.2">
      <c r="AF5883" s="679"/>
    </row>
    <row r="5884" spans="32:32" x14ac:dyDescent="0.2">
      <c r="AF5884" s="679"/>
    </row>
    <row r="5885" spans="32:32" x14ac:dyDescent="0.2">
      <c r="AF5885" s="679"/>
    </row>
    <row r="5886" spans="32:32" x14ac:dyDescent="0.2">
      <c r="AF5886" s="679"/>
    </row>
    <row r="5887" spans="32:32" x14ac:dyDescent="0.2">
      <c r="AF5887" s="679"/>
    </row>
    <row r="5888" spans="32:32" x14ac:dyDescent="0.2">
      <c r="AF5888" s="679"/>
    </row>
    <row r="5889" spans="32:32" x14ac:dyDescent="0.2">
      <c r="AF5889" s="679"/>
    </row>
    <row r="5890" spans="32:32" x14ac:dyDescent="0.2">
      <c r="AF5890" s="679"/>
    </row>
    <row r="5891" spans="32:32" x14ac:dyDescent="0.2">
      <c r="AF5891" s="679"/>
    </row>
    <row r="5892" spans="32:32" x14ac:dyDescent="0.2">
      <c r="AF5892" s="679"/>
    </row>
    <row r="5893" spans="32:32" x14ac:dyDescent="0.2">
      <c r="AF5893" s="679"/>
    </row>
    <row r="5894" spans="32:32" x14ac:dyDescent="0.2">
      <c r="AF5894" s="679"/>
    </row>
    <row r="5895" spans="32:32" x14ac:dyDescent="0.2">
      <c r="AF5895" s="679"/>
    </row>
    <row r="5896" spans="32:32" x14ac:dyDescent="0.2">
      <c r="AF5896" s="679"/>
    </row>
    <row r="5897" spans="32:32" x14ac:dyDescent="0.2">
      <c r="AF5897" s="679"/>
    </row>
    <row r="5898" spans="32:32" x14ac:dyDescent="0.2">
      <c r="AF5898" s="679"/>
    </row>
    <row r="5899" spans="32:32" x14ac:dyDescent="0.2">
      <c r="AF5899" s="679"/>
    </row>
    <row r="5900" spans="32:32" x14ac:dyDescent="0.2">
      <c r="AF5900" s="679"/>
    </row>
    <row r="5901" spans="32:32" x14ac:dyDescent="0.2">
      <c r="AF5901" s="679"/>
    </row>
    <row r="5902" spans="32:32" x14ac:dyDescent="0.2">
      <c r="AF5902" s="679"/>
    </row>
    <row r="5903" spans="32:32" x14ac:dyDescent="0.2">
      <c r="AF5903" s="679"/>
    </row>
    <row r="5904" spans="32:32" x14ac:dyDescent="0.2">
      <c r="AF5904" s="679"/>
    </row>
    <row r="5905" spans="32:32" x14ac:dyDescent="0.2">
      <c r="AF5905" s="679"/>
    </row>
    <row r="5906" spans="32:32" x14ac:dyDescent="0.2">
      <c r="AF5906" s="679"/>
    </row>
    <row r="5907" spans="32:32" x14ac:dyDescent="0.2">
      <c r="AF5907" s="679"/>
    </row>
    <row r="5908" spans="32:32" x14ac:dyDescent="0.2">
      <c r="AF5908" s="679"/>
    </row>
    <row r="5909" spans="32:32" x14ac:dyDescent="0.2">
      <c r="AF5909" s="679"/>
    </row>
    <row r="5910" spans="32:32" x14ac:dyDescent="0.2">
      <c r="AF5910" s="679"/>
    </row>
    <row r="5911" spans="32:32" x14ac:dyDescent="0.2">
      <c r="AF5911" s="679"/>
    </row>
    <row r="5912" spans="32:32" x14ac:dyDescent="0.2">
      <c r="AF5912" s="679"/>
    </row>
    <row r="5913" spans="32:32" x14ac:dyDescent="0.2">
      <c r="AF5913" s="679"/>
    </row>
    <row r="5914" spans="32:32" x14ac:dyDescent="0.2">
      <c r="AF5914" s="679"/>
    </row>
    <row r="5915" spans="32:32" x14ac:dyDescent="0.2">
      <c r="AF5915" s="679"/>
    </row>
    <row r="5916" spans="32:32" x14ac:dyDescent="0.2">
      <c r="AF5916" s="679"/>
    </row>
    <row r="5917" spans="32:32" x14ac:dyDescent="0.2">
      <c r="AF5917" s="679"/>
    </row>
    <row r="5918" spans="32:32" x14ac:dyDescent="0.2">
      <c r="AF5918" s="679"/>
    </row>
    <row r="5919" spans="32:32" x14ac:dyDescent="0.2">
      <c r="AF5919" s="679"/>
    </row>
    <row r="5920" spans="32:32" x14ac:dyDescent="0.2">
      <c r="AF5920" s="679"/>
    </row>
    <row r="5921" spans="32:32" x14ac:dyDescent="0.2">
      <c r="AF5921" s="679"/>
    </row>
    <row r="5922" spans="32:32" x14ac:dyDescent="0.2">
      <c r="AF5922" s="679"/>
    </row>
    <row r="5923" spans="32:32" x14ac:dyDescent="0.2">
      <c r="AF5923" s="679"/>
    </row>
    <row r="5924" spans="32:32" x14ac:dyDescent="0.2">
      <c r="AF5924" s="679"/>
    </row>
    <row r="5925" spans="32:32" x14ac:dyDescent="0.2">
      <c r="AF5925" s="679"/>
    </row>
    <row r="5926" spans="32:32" x14ac:dyDescent="0.2">
      <c r="AF5926" s="679"/>
    </row>
    <row r="5927" spans="32:32" x14ac:dyDescent="0.2">
      <c r="AF5927" s="679"/>
    </row>
    <row r="5928" spans="32:32" x14ac:dyDescent="0.2">
      <c r="AF5928" s="679"/>
    </row>
    <row r="5929" spans="32:32" x14ac:dyDescent="0.2">
      <c r="AF5929" s="679"/>
    </row>
    <row r="5930" spans="32:32" x14ac:dyDescent="0.2">
      <c r="AF5930" s="679"/>
    </row>
    <row r="5931" spans="32:32" x14ac:dyDescent="0.2">
      <c r="AF5931" s="679"/>
    </row>
    <row r="5932" spans="32:32" x14ac:dyDescent="0.2">
      <c r="AF5932" s="679"/>
    </row>
    <row r="5933" spans="32:32" x14ac:dyDescent="0.2">
      <c r="AF5933" s="679"/>
    </row>
    <row r="5934" spans="32:32" x14ac:dyDescent="0.2">
      <c r="AF5934" s="679"/>
    </row>
    <row r="5935" spans="32:32" x14ac:dyDescent="0.2">
      <c r="AF5935" s="679"/>
    </row>
    <row r="5936" spans="32:32" x14ac:dyDescent="0.2">
      <c r="AF5936" s="679"/>
    </row>
    <row r="5937" spans="32:32" x14ac:dyDescent="0.2">
      <c r="AF5937" s="679"/>
    </row>
    <row r="5938" spans="32:32" x14ac:dyDescent="0.2">
      <c r="AF5938" s="679"/>
    </row>
    <row r="5939" spans="32:32" x14ac:dyDescent="0.2">
      <c r="AF5939" s="679"/>
    </row>
    <row r="5940" spans="32:32" x14ac:dyDescent="0.2">
      <c r="AF5940" s="679"/>
    </row>
    <row r="5941" spans="32:32" x14ac:dyDescent="0.2">
      <c r="AF5941" s="679"/>
    </row>
    <row r="5942" spans="32:32" x14ac:dyDescent="0.2">
      <c r="AF5942" s="679"/>
    </row>
    <row r="5943" spans="32:32" x14ac:dyDescent="0.2">
      <c r="AF5943" s="679"/>
    </row>
    <row r="5944" spans="32:32" x14ac:dyDescent="0.2">
      <c r="AF5944" s="679"/>
    </row>
    <row r="5945" spans="32:32" x14ac:dyDescent="0.2">
      <c r="AF5945" s="679"/>
    </row>
    <row r="5946" spans="32:32" x14ac:dyDescent="0.2">
      <c r="AF5946" s="679"/>
    </row>
    <row r="5947" spans="32:32" x14ac:dyDescent="0.2">
      <c r="AF5947" s="679"/>
    </row>
    <row r="5948" spans="32:32" x14ac:dyDescent="0.2">
      <c r="AF5948" s="679"/>
    </row>
    <row r="5949" spans="32:32" x14ac:dyDescent="0.2">
      <c r="AF5949" s="679"/>
    </row>
    <row r="5950" spans="32:32" x14ac:dyDescent="0.2">
      <c r="AF5950" s="679"/>
    </row>
    <row r="5951" spans="32:32" x14ac:dyDescent="0.2">
      <c r="AF5951" s="679"/>
    </row>
    <row r="5952" spans="32:32" x14ac:dyDescent="0.2">
      <c r="AF5952" s="679"/>
    </row>
    <row r="5953" spans="32:32" x14ac:dyDescent="0.2">
      <c r="AF5953" s="679"/>
    </row>
    <row r="5954" spans="32:32" x14ac:dyDescent="0.2">
      <c r="AF5954" s="679"/>
    </row>
    <row r="5955" spans="32:32" x14ac:dyDescent="0.2">
      <c r="AF5955" s="679"/>
    </row>
    <row r="5956" spans="32:32" x14ac:dyDescent="0.2">
      <c r="AF5956" s="679"/>
    </row>
    <row r="5957" spans="32:32" x14ac:dyDescent="0.2">
      <c r="AF5957" s="679"/>
    </row>
    <row r="5958" spans="32:32" x14ac:dyDescent="0.2">
      <c r="AF5958" s="679"/>
    </row>
    <row r="5959" spans="32:32" x14ac:dyDescent="0.2">
      <c r="AF5959" s="679"/>
    </row>
    <row r="5960" spans="32:32" x14ac:dyDescent="0.2">
      <c r="AF5960" s="679"/>
    </row>
    <row r="5961" spans="32:32" x14ac:dyDescent="0.2">
      <c r="AF5961" s="679"/>
    </row>
    <row r="5962" spans="32:32" x14ac:dyDescent="0.2">
      <c r="AF5962" s="679"/>
    </row>
    <row r="5963" spans="32:32" x14ac:dyDescent="0.2">
      <c r="AF5963" s="679"/>
    </row>
    <row r="5964" spans="32:32" x14ac:dyDescent="0.2">
      <c r="AF5964" s="679"/>
    </row>
    <row r="5965" spans="32:32" x14ac:dyDescent="0.2">
      <c r="AF5965" s="679"/>
    </row>
    <row r="5966" spans="32:32" x14ac:dyDescent="0.2">
      <c r="AF5966" s="679"/>
    </row>
    <row r="5967" spans="32:32" x14ac:dyDescent="0.2">
      <c r="AF5967" s="679"/>
    </row>
    <row r="5968" spans="32:32" x14ac:dyDescent="0.2">
      <c r="AF5968" s="679"/>
    </row>
    <row r="5969" spans="32:32" x14ac:dyDescent="0.2">
      <c r="AF5969" s="679"/>
    </row>
    <row r="5970" spans="32:32" x14ac:dyDescent="0.2">
      <c r="AF5970" s="679"/>
    </row>
    <row r="5971" spans="32:32" x14ac:dyDescent="0.2">
      <c r="AF5971" s="679"/>
    </row>
    <row r="5972" spans="32:32" x14ac:dyDescent="0.2">
      <c r="AF5972" s="679"/>
    </row>
    <row r="5973" spans="32:32" x14ac:dyDescent="0.2">
      <c r="AF5973" s="679"/>
    </row>
    <row r="5974" spans="32:32" x14ac:dyDescent="0.2">
      <c r="AF5974" s="679"/>
    </row>
    <row r="5975" spans="32:32" x14ac:dyDescent="0.2">
      <c r="AF5975" s="679"/>
    </row>
    <row r="5976" spans="32:32" x14ac:dyDescent="0.2">
      <c r="AF5976" s="679"/>
    </row>
    <row r="5977" spans="32:32" x14ac:dyDescent="0.2">
      <c r="AF5977" s="679"/>
    </row>
    <row r="5978" spans="32:32" x14ac:dyDescent="0.2">
      <c r="AF5978" s="679"/>
    </row>
    <row r="5979" spans="32:32" x14ac:dyDescent="0.2">
      <c r="AF5979" s="679"/>
    </row>
    <row r="5980" spans="32:32" x14ac:dyDescent="0.2">
      <c r="AF5980" s="679"/>
    </row>
    <row r="5981" spans="32:32" x14ac:dyDescent="0.2">
      <c r="AF5981" s="679"/>
    </row>
    <row r="5982" spans="32:32" x14ac:dyDescent="0.2">
      <c r="AF5982" s="679"/>
    </row>
    <row r="5983" spans="32:32" x14ac:dyDescent="0.2">
      <c r="AF5983" s="679"/>
    </row>
    <row r="5984" spans="32:32" x14ac:dyDescent="0.2">
      <c r="AF5984" s="679"/>
    </row>
    <row r="5985" spans="32:32" x14ac:dyDescent="0.2">
      <c r="AF5985" s="679"/>
    </row>
    <row r="5986" spans="32:32" x14ac:dyDescent="0.2">
      <c r="AF5986" s="679"/>
    </row>
    <row r="5987" spans="32:32" x14ac:dyDescent="0.2">
      <c r="AF5987" s="679"/>
    </row>
    <row r="5988" spans="32:32" x14ac:dyDescent="0.2">
      <c r="AF5988" s="679"/>
    </row>
    <row r="5989" spans="32:32" x14ac:dyDescent="0.2">
      <c r="AF5989" s="679"/>
    </row>
    <row r="5990" spans="32:32" x14ac:dyDescent="0.2">
      <c r="AF5990" s="679"/>
    </row>
    <row r="5991" spans="32:32" x14ac:dyDescent="0.2">
      <c r="AF5991" s="679"/>
    </row>
    <row r="5992" spans="32:32" x14ac:dyDescent="0.2">
      <c r="AF5992" s="679"/>
    </row>
    <row r="5993" spans="32:32" x14ac:dyDescent="0.2">
      <c r="AF5993" s="679"/>
    </row>
    <row r="5994" spans="32:32" x14ac:dyDescent="0.2">
      <c r="AF5994" s="679"/>
    </row>
    <row r="5995" spans="32:32" x14ac:dyDescent="0.2">
      <c r="AF5995" s="679"/>
    </row>
    <row r="5996" spans="32:32" x14ac:dyDescent="0.2">
      <c r="AF5996" s="679"/>
    </row>
    <row r="5997" spans="32:32" x14ac:dyDescent="0.2">
      <c r="AF5997" s="679"/>
    </row>
    <row r="5998" spans="32:32" x14ac:dyDescent="0.2">
      <c r="AF5998" s="679"/>
    </row>
    <row r="5999" spans="32:32" x14ac:dyDescent="0.2">
      <c r="AF5999" s="679"/>
    </row>
    <row r="6000" spans="32:32" x14ac:dyDescent="0.2">
      <c r="AF6000" s="679"/>
    </row>
    <row r="6001" spans="32:32" x14ac:dyDescent="0.2">
      <c r="AF6001" s="679"/>
    </row>
    <row r="6002" spans="32:32" x14ac:dyDescent="0.2">
      <c r="AF6002" s="679"/>
    </row>
    <row r="6003" spans="32:32" x14ac:dyDescent="0.2">
      <c r="AF6003" s="679"/>
    </row>
    <row r="6004" spans="32:32" x14ac:dyDescent="0.2">
      <c r="AF6004" s="679"/>
    </row>
    <row r="6005" spans="32:32" x14ac:dyDescent="0.2">
      <c r="AF6005" s="679"/>
    </row>
    <row r="6006" spans="32:32" x14ac:dyDescent="0.2">
      <c r="AF6006" s="679"/>
    </row>
    <row r="6007" spans="32:32" x14ac:dyDescent="0.2">
      <c r="AF6007" s="679"/>
    </row>
    <row r="6008" spans="32:32" x14ac:dyDescent="0.2">
      <c r="AF6008" s="679"/>
    </row>
    <row r="6009" spans="32:32" x14ac:dyDescent="0.2">
      <c r="AF6009" s="679"/>
    </row>
    <row r="6010" spans="32:32" x14ac:dyDescent="0.2">
      <c r="AF6010" s="679"/>
    </row>
    <row r="6011" spans="32:32" x14ac:dyDescent="0.2">
      <c r="AF6011" s="679"/>
    </row>
    <row r="6012" spans="32:32" x14ac:dyDescent="0.2">
      <c r="AF6012" s="679"/>
    </row>
    <row r="6013" spans="32:32" x14ac:dyDescent="0.2">
      <c r="AF6013" s="679"/>
    </row>
    <row r="6014" spans="32:32" x14ac:dyDescent="0.2">
      <c r="AF6014" s="679"/>
    </row>
    <row r="6015" spans="32:32" x14ac:dyDescent="0.2">
      <c r="AF6015" s="679"/>
    </row>
    <row r="6016" spans="32:32" x14ac:dyDescent="0.2">
      <c r="AF6016" s="679"/>
    </row>
    <row r="6017" spans="32:32" x14ac:dyDescent="0.2">
      <c r="AF6017" s="679"/>
    </row>
    <row r="6018" spans="32:32" x14ac:dyDescent="0.2">
      <c r="AF6018" s="679"/>
    </row>
    <row r="6019" spans="32:32" x14ac:dyDescent="0.2">
      <c r="AF6019" s="679"/>
    </row>
    <row r="6020" spans="32:32" x14ac:dyDescent="0.2">
      <c r="AF6020" s="679"/>
    </row>
    <row r="6021" spans="32:32" x14ac:dyDescent="0.2">
      <c r="AF6021" s="679"/>
    </row>
    <row r="6022" spans="32:32" x14ac:dyDescent="0.2">
      <c r="AF6022" s="679"/>
    </row>
    <row r="6023" spans="32:32" x14ac:dyDescent="0.2">
      <c r="AF6023" s="679"/>
    </row>
    <row r="6024" spans="32:32" x14ac:dyDescent="0.2">
      <c r="AF6024" s="679"/>
    </row>
    <row r="6025" spans="32:32" x14ac:dyDescent="0.2">
      <c r="AF6025" s="679"/>
    </row>
    <row r="6026" spans="32:32" x14ac:dyDescent="0.2">
      <c r="AF6026" s="679"/>
    </row>
    <row r="6027" spans="32:32" x14ac:dyDescent="0.2">
      <c r="AF6027" s="679"/>
    </row>
    <row r="6028" spans="32:32" x14ac:dyDescent="0.2">
      <c r="AF6028" s="679"/>
    </row>
    <row r="6029" spans="32:32" x14ac:dyDescent="0.2">
      <c r="AF6029" s="679"/>
    </row>
    <row r="6030" spans="32:32" x14ac:dyDescent="0.2">
      <c r="AF6030" s="679"/>
    </row>
    <row r="6031" spans="32:32" x14ac:dyDescent="0.2">
      <c r="AF6031" s="679"/>
    </row>
    <row r="6032" spans="32:32" x14ac:dyDescent="0.2">
      <c r="AF6032" s="679"/>
    </row>
    <row r="6033" spans="32:32" x14ac:dyDescent="0.2">
      <c r="AF6033" s="679"/>
    </row>
    <row r="6034" spans="32:32" x14ac:dyDescent="0.2">
      <c r="AF6034" s="679"/>
    </row>
    <row r="6035" spans="32:32" x14ac:dyDescent="0.2">
      <c r="AF6035" s="679"/>
    </row>
    <row r="6036" spans="32:32" x14ac:dyDescent="0.2">
      <c r="AF6036" s="679"/>
    </row>
    <row r="6037" spans="32:32" x14ac:dyDescent="0.2">
      <c r="AF6037" s="679"/>
    </row>
    <row r="6038" spans="32:32" x14ac:dyDescent="0.2">
      <c r="AF6038" s="679"/>
    </row>
    <row r="6039" spans="32:32" x14ac:dyDescent="0.2">
      <c r="AF6039" s="679"/>
    </row>
    <row r="6040" spans="32:32" x14ac:dyDescent="0.2">
      <c r="AF6040" s="679"/>
    </row>
    <row r="6041" spans="32:32" x14ac:dyDescent="0.2">
      <c r="AF6041" s="679"/>
    </row>
    <row r="6042" spans="32:32" x14ac:dyDescent="0.2">
      <c r="AF6042" s="679"/>
    </row>
    <row r="6043" spans="32:32" x14ac:dyDescent="0.2">
      <c r="AF6043" s="679"/>
    </row>
    <row r="6044" spans="32:32" x14ac:dyDescent="0.2">
      <c r="AF6044" s="679"/>
    </row>
    <row r="6045" spans="32:32" x14ac:dyDescent="0.2">
      <c r="AF6045" s="679"/>
    </row>
    <row r="6046" spans="32:32" x14ac:dyDescent="0.2">
      <c r="AF6046" s="679"/>
    </row>
    <row r="6047" spans="32:32" x14ac:dyDescent="0.2">
      <c r="AF6047" s="679"/>
    </row>
    <row r="6048" spans="32:32" x14ac:dyDescent="0.2">
      <c r="AF6048" s="679"/>
    </row>
    <row r="6049" spans="32:32" x14ac:dyDescent="0.2">
      <c r="AF6049" s="679"/>
    </row>
    <row r="6050" spans="32:32" x14ac:dyDescent="0.2">
      <c r="AF6050" s="679"/>
    </row>
    <row r="6051" spans="32:32" x14ac:dyDescent="0.2">
      <c r="AF6051" s="679"/>
    </row>
    <row r="6052" spans="32:32" x14ac:dyDescent="0.2">
      <c r="AF6052" s="679"/>
    </row>
    <row r="6053" spans="32:32" x14ac:dyDescent="0.2">
      <c r="AF6053" s="679"/>
    </row>
    <row r="6054" spans="32:32" x14ac:dyDescent="0.2">
      <c r="AF6054" s="679"/>
    </row>
    <row r="6055" spans="32:32" x14ac:dyDescent="0.2">
      <c r="AF6055" s="679"/>
    </row>
    <row r="6056" spans="32:32" x14ac:dyDescent="0.2">
      <c r="AF6056" s="679"/>
    </row>
    <row r="6057" spans="32:32" x14ac:dyDescent="0.2">
      <c r="AF6057" s="679"/>
    </row>
    <row r="6058" spans="32:32" x14ac:dyDescent="0.2">
      <c r="AF6058" s="679"/>
    </row>
    <row r="6059" spans="32:32" x14ac:dyDescent="0.2">
      <c r="AF6059" s="679"/>
    </row>
    <row r="6060" spans="32:32" x14ac:dyDescent="0.2">
      <c r="AF6060" s="679"/>
    </row>
    <row r="6061" spans="32:32" x14ac:dyDescent="0.2">
      <c r="AF6061" s="679"/>
    </row>
    <row r="6062" spans="32:32" x14ac:dyDescent="0.2">
      <c r="AF6062" s="679"/>
    </row>
    <row r="6063" spans="32:32" x14ac:dyDescent="0.2">
      <c r="AF6063" s="679"/>
    </row>
    <row r="6064" spans="32:32" x14ac:dyDescent="0.2">
      <c r="AF6064" s="679"/>
    </row>
    <row r="6065" spans="32:32" x14ac:dyDescent="0.2">
      <c r="AF6065" s="679"/>
    </row>
    <row r="6066" spans="32:32" x14ac:dyDescent="0.2">
      <c r="AF6066" s="679"/>
    </row>
    <row r="6067" spans="32:32" x14ac:dyDescent="0.2">
      <c r="AF6067" s="679"/>
    </row>
    <row r="6068" spans="32:32" x14ac:dyDescent="0.2">
      <c r="AF6068" s="679"/>
    </row>
    <row r="6069" spans="32:32" x14ac:dyDescent="0.2">
      <c r="AF6069" s="679"/>
    </row>
    <row r="6070" spans="32:32" x14ac:dyDescent="0.2">
      <c r="AF6070" s="679"/>
    </row>
    <row r="6071" spans="32:32" x14ac:dyDescent="0.2">
      <c r="AF6071" s="679"/>
    </row>
    <row r="6072" spans="32:32" x14ac:dyDescent="0.2">
      <c r="AF6072" s="679"/>
    </row>
    <row r="6073" spans="32:32" x14ac:dyDescent="0.2">
      <c r="AF6073" s="679"/>
    </row>
    <row r="6074" spans="32:32" x14ac:dyDescent="0.2">
      <c r="AF6074" s="679"/>
    </row>
    <row r="6075" spans="32:32" x14ac:dyDescent="0.2">
      <c r="AF6075" s="679"/>
    </row>
    <row r="6076" spans="32:32" x14ac:dyDescent="0.2">
      <c r="AF6076" s="679"/>
    </row>
    <row r="6077" spans="32:32" x14ac:dyDescent="0.2">
      <c r="AF6077" s="679"/>
    </row>
    <row r="6078" spans="32:32" x14ac:dyDescent="0.2">
      <c r="AF6078" s="679"/>
    </row>
    <row r="6079" spans="32:32" x14ac:dyDescent="0.2">
      <c r="AF6079" s="679"/>
    </row>
    <row r="6080" spans="32:32" x14ac:dyDescent="0.2">
      <c r="AF6080" s="679"/>
    </row>
    <row r="6081" spans="32:32" x14ac:dyDescent="0.2">
      <c r="AF6081" s="679"/>
    </row>
    <row r="6082" spans="32:32" x14ac:dyDescent="0.2">
      <c r="AF6082" s="679"/>
    </row>
    <row r="6083" spans="32:32" x14ac:dyDescent="0.2">
      <c r="AF6083" s="679"/>
    </row>
    <row r="6084" spans="32:32" x14ac:dyDescent="0.2">
      <c r="AF6084" s="679"/>
    </row>
    <row r="6085" spans="32:32" x14ac:dyDescent="0.2">
      <c r="AF6085" s="679"/>
    </row>
    <row r="6086" spans="32:32" x14ac:dyDescent="0.2">
      <c r="AF6086" s="679"/>
    </row>
    <row r="6087" spans="32:32" x14ac:dyDescent="0.2">
      <c r="AF6087" s="679"/>
    </row>
    <row r="6088" spans="32:32" x14ac:dyDescent="0.2">
      <c r="AF6088" s="679"/>
    </row>
    <row r="6089" spans="32:32" x14ac:dyDescent="0.2">
      <c r="AF6089" s="679"/>
    </row>
    <row r="6090" spans="32:32" x14ac:dyDescent="0.2">
      <c r="AF6090" s="679"/>
    </row>
    <row r="6091" spans="32:32" x14ac:dyDescent="0.2">
      <c r="AF6091" s="679"/>
    </row>
    <row r="6092" spans="32:32" x14ac:dyDescent="0.2">
      <c r="AF6092" s="679"/>
    </row>
    <row r="6093" spans="32:32" x14ac:dyDescent="0.2">
      <c r="AF6093" s="679"/>
    </row>
    <row r="6094" spans="32:32" x14ac:dyDescent="0.2">
      <c r="AF6094" s="679"/>
    </row>
    <row r="6095" spans="32:32" x14ac:dyDescent="0.2">
      <c r="AF6095" s="679"/>
    </row>
    <row r="6096" spans="32:32" x14ac:dyDescent="0.2">
      <c r="AF6096" s="679"/>
    </row>
    <row r="6097" spans="32:32" x14ac:dyDescent="0.2">
      <c r="AF6097" s="679"/>
    </row>
    <row r="6098" spans="32:32" x14ac:dyDescent="0.2">
      <c r="AF6098" s="679"/>
    </row>
    <row r="6099" spans="32:32" x14ac:dyDescent="0.2">
      <c r="AF6099" s="679"/>
    </row>
    <row r="6100" spans="32:32" x14ac:dyDescent="0.2">
      <c r="AF6100" s="679"/>
    </row>
    <row r="6101" spans="32:32" x14ac:dyDescent="0.2">
      <c r="AF6101" s="679"/>
    </row>
    <row r="6102" spans="32:32" x14ac:dyDescent="0.2">
      <c r="AF6102" s="679"/>
    </row>
    <row r="6103" spans="32:32" x14ac:dyDescent="0.2">
      <c r="AF6103" s="679"/>
    </row>
    <row r="6104" spans="32:32" x14ac:dyDescent="0.2">
      <c r="AF6104" s="679"/>
    </row>
    <row r="6105" spans="32:32" x14ac:dyDescent="0.2">
      <c r="AF6105" s="679"/>
    </row>
    <row r="6106" spans="32:32" x14ac:dyDescent="0.2">
      <c r="AF6106" s="679"/>
    </row>
    <row r="6107" spans="32:32" x14ac:dyDescent="0.2">
      <c r="AF6107" s="679"/>
    </row>
    <row r="6108" spans="32:32" x14ac:dyDescent="0.2">
      <c r="AF6108" s="679"/>
    </row>
    <row r="6109" spans="32:32" x14ac:dyDescent="0.2">
      <c r="AF6109" s="679"/>
    </row>
    <row r="6110" spans="32:32" x14ac:dyDescent="0.2">
      <c r="AF6110" s="679"/>
    </row>
    <row r="6111" spans="32:32" x14ac:dyDescent="0.2">
      <c r="AF6111" s="679"/>
    </row>
    <row r="6112" spans="32:32" x14ac:dyDescent="0.2">
      <c r="AF6112" s="679"/>
    </row>
    <row r="6113" spans="32:32" x14ac:dyDescent="0.2">
      <c r="AF6113" s="679"/>
    </row>
    <row r="6114" spans="32:32" x14ac:dyDescent="0.2">
      <c r="AF6114" s="679"/>
    </row>
    <row r="6115" spans="32:32" x14ac:dyDescent="0.2">
      <c r="AF6115" s="679"/>
    </row>
    <row r="6116" spans="32:32" x14ac:dyDescent="0.2">
      <c r="AF6116" s="679"/>
    </row>
    <row r="6117" spans="32:32" x14ac:dyDescent="0.2">
      <c r="AF6117" s="679"/>
    </row>
    <row r="6118" spans="32:32" x14ac:dyDescent="0.2">
      <c r="AF6118" s="679"/>
    </row>
    <row r="6119" spans="32:32" x14ac:dyDescent="0.2">
      <c r="AF6119" s="679"/>
    </row>
    <row r="6120" spans="32:32" x14ac:dyDescent="0.2">
      <c r="AF6120" s="679"/>
    </row>
    <row r="6121" spans="32:32" x14ac:dyDescent="0.2">
      <c r="AF6121" s="679"/>
    </row>
    <row r="6122" spans="32:32" x14ac:dyDescent="0.2">
      <c r="AF6122" s="679"/>
    </row>
    <row r="6123" spans="32:32" x14ac:dyDescent="0.2">
      <c r="AF6123" s="679"/>
    </row>
    <row r="6124" spans="32:32" x14ac:dyDescent="0.2">
      <c r="AF6124" s="679"/>
    </row>
    <row r="6125" spans="32:32" x14ac:dyDescent="0.2">
      <c r="AF6125" s="679"/>
    </row>
    <row r="6126" spans="32:32" x14ac:dyDescent="0.2">
      <c r="AF6126" s="679"/>
    </row>
    <row r="6127" spans="32:32" x14ac:dyDescent="0.2">
      <c r="AF6127" s="679"/>
    </row>
    <row r="6128" spans="32:32" x14ac:dyDescent="0.2">
      <c r="AF6128" s="679"/>
    </row>
    <row r="6129" spans="32:32" x14ac:dyDescent="0.2">
      <c r="AF6129" s="679"/>
    </row>
    <row r="6130" spans="32:32" x14ac:dyDescent="0.2">
      <c r="AF6130" s="679"/>
    </row>
    <row r="6131" spans="32:32" x14ac:dyDescent="0.2">
      <c r="AF6131" s="679"/>
    </row>
    <row r="6132" spans="32:32" x14ac:dyDescent="0.2">
      <c r="AF6132" s="679"/>
    </row>
    <row r="6133" spans="32:32" x14ac:dyDescent="0.2">
      <c r="AF6133" s="679"/>
    </row>
    <row r="6134" spans="32:32" x14ac:dyDescent="0.2">
      <c r="AF6134" s="679"/>
    </row>
    <row r="6135" spans="32:32" x14ac:dyDescent="0.2">
      <c r="AF6135" s="679"/>
    </row>
    <row r="6136" spans="32:32" x14ac:dyDescent="0.2">
      <c r="AF6136" s="679"/>
    </row>
    <row r="6137" spans="32:32" x14ac:dyDescent="0.2">
      <c r="AF6137" s="679"/>
    </row>
    <row r="6138" spans="32:32" x14ac:dyDescent="0.2">
      <c r="AF6138" s="679"/>
    </row>
    <row r="6139" spans="32:32" x14ac:dyDescent="0.2">
      <c r="AF6139" s="679"/>
    </row>
    <row r="6140" spans="32:32" x14ac:dyDescent="0.2">
      <c r="AF6140" s="679"/>
    </row>
    <row r="6141" spans="32:32" x14ac:dyDescent="0.2">
      <c r="AF6141" s="679"/>
    </row>
    <row r="6142" spans="32:32" x14ac:dyDescent="0.2">
      <c r="AF6142" s="679"/>
    </row>
    <row r="6143" spans="32:32" x14ac:dyDescent="0.2">
      <c r="AF6143" s="679"/>
    </row>
    <row r="6144" spans="32:32" x14ac:dyDescent="0.2">
      <c r="AF6144" s="679"/>
    </row>
    <row r="6145" spans="32:32" x14ac:dyDescent="0.2">
      <c r="AF6145" s="679"/>
    </row>
    <row r="6146" spans="32:32" x14ac:dyDescent="0.2">
      <c r="AF6146" s="679"/>
    </row>
    <row r="6147" spans="32:32" x14ac:dyDescent="0.2">
      <c r="AF6147" s="679"/>
    </row>
    <row r="6148" spans="32:32" x14ac:dyDescent="0.2">
      <c r="AF6148" s="679"/>
    </row>
    <row r="6149" spans="32:32" x14ac:dyDescent="0.2">
      <c r="AF6149" s="679"/>
    </row>
    <row r="6150" spans="32:32" x14ac:dyDescent="0.2">
      <c r="AF6150" s="679"/>
    </row>
    <row r="6151" spans="32:32" x14ac:dyDescent="0.2">
      <c r="AF6151" s="679"/>
    </row>
    <row r="6152" spans="32:32" x14ac:dyDescent="0.2">
      <c r="AF6152" s="679"/>
    </row>
    <row r="6153" spans="32:32" x14ac:dyDescent="0.2">
      <c r="AF6153" s="679"/>
    </row>
    <row r="6154" spans="32:32" x14ac:dyDescent="0.2">
      <c r="AF6154" s="679"/>
    </row>
    <row r="6155" spans="32:32" x14ac:dyDescent="0.2">
      <c r="AF6155" s="679"/>
    </row>
    <row r="6156" spans="32:32" x14ac:dyDescent="0.2">
      <c r="AF6156" s="679"/>
    </row>
    <row r="6157" spans="32:32" x14ac:dyDescent="0.2">
      <c r="AF6157" s="679"/>
    </row>
    <row r="6158" spans="32:32" x14ac:dyDescent="0.2">
      <c r="AF6158" s="679"/>
    </row>
    <row r="6159" spans="32:32" x14ac:dyDescent="0.2">
      <c r="AF6159" s="679"/>
    </row>
    <row r="6160" spans="32:32" x14ac:dyDescent="0.2">
      <c r="AF6160" s="679"/>
    </row>
    <row r="6161" spans="32:32" x14ac:dyDescent="0.2">
      <c r="AF6161" s="679"/>
    </row>
    <row r="6162" spans="32:32" x14ac:dyDescent="0.2">
      <c r="AF6162" s="679"/>
    </row>
    <row r="6163" spans="32:32" x14ac:dyDescent="0.2">
      <c r="AF6163" s="679"/>
    </row>
    <row r="6164" spans="32:32" x14ac:dyDescent="0.2">
      <c r="AF6164" s="679"/>
    </row>
    <row r="6165" spans="32:32" x14ac:dyDescent="0.2">
      <c r="AF6165" s="679"/>
    </row>
    <row r="6166" spans="32:32" x14ac:dyDescent="0.2">
      <c r="AF6166" s="679"/>
    </row>
    <row r="6167" spans="32:32" x14ac:dyDescent="0.2">
      <c r="AF6167" s="679"/>
    </row>
    <row r="6168" spans="32:32" x14ac:dyDescent="0.2">
      <c r="AF6168" s="679"/>
    </row>
    <row r="6169" spans="32:32" x14ac:dyDescent="0.2">
      <c r="AF6169" s="679"/>
    </row>
    <row r="6170" spans="32:32" x14ac:dyDescent="0.2">
      <c r="AF6170" s="679"/>
    </row>
    <row r="6171" spans="32:32" x14ac:dyDescent="0.2">
      <c r="AF6171" s="679"/>
    </row>
    <row r="6172" spans="32:32" x14ac:dyDescent="0.2">
      <c r="AF6172" s="679"/>
    </row>
    <row r="6173" spans="32:32" x14ac:dyDescent="0.2">
      <c r="AF6173" s="679"/>
    </row>
    <row r="6174" spans="32:32" x14ac:dyDescent="0.2">
      <c r="AF6174" s="679"/>
    </row>
    <row r="6175" spans="32:32" x14ac:dyDescent="0.2">
      <c r="AF6175" s="679"/>
    </row>
    <row r="6176" spans="32:32" x14ac:dyDescent="0.2">
      <c r="AF6176" s="679"/>
    </row>
    <row r="6177" spans="32:32" x14ac:dyDescent="0.2">
      <c r="AF6177" s="679"/>
    </row>
    <row r="6178" spans="32:32" x14ac:dyDescent="0.2">
      <c r="AF6178" s="679"/>
    </row>
    <row r="6179" spans="32:32" x14ac:dyDescent="0.2">
      <c r="AF6179" s="679"/>
    </row>
    <row r="6180" spans="32:32" x14ac:dyDescent="0.2">
      <c r="AF6180" s="679"/>
    </row>
    <row r="6181" spans="32:32" x14ac:dyDescent="0.2">
      <c r="AF6181" s="679"/>
    </row>
    <row r="6182" spans="32:32" x14ac:dyDescent="0.2">
      <c r="AF6182" s="679"/>
    </row>
    <row r="6183" spans="32:32" x14ac:dyDescent="0.2">
      <c r="AF6183" s="679"/>
    </row>
    <row r="6184" spans="32:32" x14ac:dyDescent="0.2">
      <c r="AF6184" s="679"/>
    </row>
    <row r="6185" spans="32:32" x14ac:dyDescent="0.2">
      <c r="AF6185" s="679"/>
    </row>
    <row r="6186" spans="32:32" x14ac:dyDescent="0.2">
      <c r="AF6186" s="679"/>
    </row>
    <row r="6187" spans="32:32" x14ac:dyDescent="0.2">
      <c r="AF6187" s="679"/>
    </row>
    <row r="6188" spans="32:32" x14ac:dyDescent="0.2">
      <c r="AF6188" s="679"/>
    </row>
    <row r="6189" spans="32:32" x14ac:dyDescent="0.2">
      <c r="AF6189" s="679"/>
    </row>
    <row r="6190" spans="32:32" x14ac:dyDescent="0.2">
      <c r="AF6190" s="679"/>
    </row>
    <row r="6191" spans="32:32" x14ac:dyDescent="0.2">
      <c r="AF6191" s="679"/>
    </row>
    <row r="6192" spans="32:32" x14ac:dyDescent="0.2">
      <c r="AF6192" s="679"/>
    </row>
    <row r="6193" spans="32:32" x14ac:dyDescent="0.2">
      <c r="AF6193" s="679"/>
    </row>
    <row r="6194" spans="32:32" x14ac:dyDescent="0.2">
      <c r="AF6194" s="679"/>
    </row>
    <row r="6195" spans="32:32" x14ac:dyDescent="0.2">
      <c r="AF6195" s="679"/>
    </row>
    <row r="6196" spans="32:32" x14ac:dyDescent="0.2">
      <c r="AF6196" s="679"/>
    </row>
    <row r="6197" spans="32:32" x14ac:dyDescent="0.2">
      <c r="AF6197" s="679"/>
    </row>
    <row r="6198" spans="32:32" x14ac:dyDescent="0.2">
      <c r="AF6198" s="679"/>
    </row>
    <row r="6199" spans="32:32" x14ac:dyDescent="0.2">
      <c r="AF6199" s="679"/>
    </row>
    <row r="6200" spans="32:32" x14ac:dyDescent="0.2">
      <c r="AF6200" s="679"/>
    </row>
    <row r="6201" spans="32:32" x14ac:dyDescent="0.2">
      <c r="AF6201" s="679"/>
    </row>
    <row r="6202" spans="32:32" x14ac:dyDescent="0.2">
      <c r="AF6202" s="679"/>
    </row>
    <row r="6203" spans="32:32" x14ac:dyDescent="0.2">
      <c r="AF6203" s="679"/>
    </row>
    <row r="6204" spans="32:32" x14ac:dyDescent="0.2">
      <c r="AF6204" s="679"/>
    </row>
    <row r="6205" spans="32:32" x14ac:dyDescent="0.2">
      <c r="AF6205" s="679"/>
    </row>
    <row r="6206" spans="32:32" x14ac:dyDescent="0.2">
      <c r="AF6206" s="679"/>
    </row>
    <row r="6207" spans="32:32" x14ac:dyDescent="0.2">
      <c r="AF6207" s="679"/>
    </row>
    <row r="6208" spans="32:32" x14ac:dyDescent="0.2">
      <c r="AF6208" s="679"/>
    </row>
    <row r="6209" spans="32:32" x14ac:dyDescent="0.2">
      <c r="AF6209" s="679"/>
    </row>
    <row r="6210" spans="32:32" x14ac:dyDescent="0.2">
      <c r="AF6210" s="679"/>
    </row>
    <row r="6211" spans="32:32" x14ac:dyDescent="0.2">
      <c r="AF6211" s="679"/>
    </row>
    <row r="6212" spans="32:32" x14ac:dyDescent="0.2">
      <c r="AF6212" s="679"/>
    </row>
    <row r="6213" spans="32:32" x14ac:dyDescent="0.2">
      <c r="AF6213" s="679"/>
    </row>
    <row r="6214" spans="32:32" x14ac:dyDescent="0.2">
      <c r="AF6214" s="679"/>
    </row>
    <row r="6215" spans="32:32" x14ac:dyDescent="0.2">
      <c r="AF6215" s="679"/>
    </row>
    <row r="6216" spans="32:32" x14ac:dyDescent="0.2">
      <c r="AF6216" s="679"/>
    </row>
    <row r="6217" spans="32:32" x14ac:dyDescent="0.2">
      <c r="AF6217" s="679"/>
    </row>
    <row r="6218" spans="32:32" x14ac:dyDescent="0.2">
      <c r="AF6218" s="679"/>
    </row>
    <row r="6219" spans="32:32" x14ac:dyDescent="0.2">
      <c r="AF6219" s="679"/>
    </row>
    <row r="6220" spans="32:32" x14ac:dyDescent="0.2">
      <c r="AF6220" s="679"/>
    </row>
    <row r="6221" spans="32:32" x14ac:dyDescent="0.2">
      <c r="AF6221" s="679"/>
    </row>
    <row r="6222" spans="32:32" x14ac:dyDescent="0.2">
      <c r="AF6222" s="679"/>
    </row>
    <row r="6223" spans="32:32" x14ac:dyDescent="0.2">
      <c r="AF6223" s="679"/>
    </row>
    <row r="6224" spans="32:32" x14ac:dyDescent="0.2">
      <c r="AF6224" s="679"/>
    </row>
    <row r="6225" spans="32:32" x14ac:dyDescent="0.2">
      <c r="AF6225" s="679"/>
    </row>
    <row r="6226" spans="32:32" x14ac:dyDescent="0.2">
      <c r="AF6226" s="679"/>
    </row>
    <row r="6227" spans="32:32" x14ac:dyDescent="0.2">
      <c r="AF6227" s="679"/>
    </row>
    <row r="6228" spans="32:32" x14ac:dyDescent="0.2">
      <c r="AF6228" s="679"/>
    </row>
    <row r="6229" spans="32:32" x14ac:dyDescent="0.2">
      <c r="AF6229" s="679"/>
    </row>
    <row r="6230" spans="32:32" x14ac:dyDescent="0.2">
      <c r="AF6230" s="679"/>
    </row>
    <row r="6231" spans="32:32" x14ac:dyDescent="0.2">
      <c r="AF6231" s="679"/>
    </row>
    <row r="6232" spans="32:32" x14ac:dyDescent="0.2">
      <c r="AF6232" s="679"/>
    </row>
    <row r="6233" spans="32:32" x14ac:dyDescent="0.2">
      <c r="AF6233" s="679"/>
    </row>
    <row r="6234" spans="32:32" x14ac:dyDescent="0.2">
      <c r="AF6234" s="679"/>
    </row>
    <row r="6235" spans="32:32" x14ac:dyDescent="0.2">
      <c r="AF6235" s="679"/>
    </row>
    <row r="6236" spans="32:32" x14ac:dyDescent="0.2">
      <c r="AF6236" s="679"/>
    </row>
    <row r="6237" spans="32:32" x14ac:dyDescent="0.2">
      <c r="AF6237" s="679"/>
    </row>
    <row r="6238" spans="32:32" x14ac:dyDescent="0.2">
      <c r="AF6238" s="679"/>
    </row>
    <row r="6239" spans="32:32" x14ac:dyDescent="0.2">
      <c r="AF6239" s="679"/>
    </row>
    <row r="6240" spans="32:32" x14ac:dyDescent="0.2">
      <c r="AF6240" s="679"/>
    </row>
    <row r="6241" spans="32:32" x14ac:dyDescent="0.2">
      <c r="AF6241" s="679"/>
    </row>
    <row r="6242" spans="32:32" x14ac:dyDescent="0.2">
      <c r="AF6242" s="679"/>
    </row>
    <row r="6243" spans="32:32" x14ac:dyDescent="0.2">
      <c r="AF6243" s="679"/>
    </row>
    <row r="6244" spans="32:32" x14ac:dyDescent="0.2">
      <c r="AF6244" s="679"/>
    </row>
    <row r="6245" spans="32:32" x14ac:dyDescent="0.2">
      <c r="AF6245" s="679"/>
    </row>
    <row r="6246" spans="32:32" x14ac:dyDescent="0.2">
      <c r="AF6246" s="679"/>
    </row>
    <row r="6247" spans="32:32" x14ac:dyDescent="0.2">
      <c r="AF6247" s="679"/>
    </row>
    <row r="6248" spans="32:32" x14ac:dyDescent="0.2">
      <c r="AF6248" s="679"/>
    </row>
    <row r="6249" spans="32:32" x14ac:dyDescent="0.2">
      <c r="AF6249" s="679"/>
    </row>
    <row r="6250" spans="32:32" x14ac:dyDescent="0.2">
      <c r="AF6250" s="679"/>
    </row>
    <row r="6251" spans="32:32" x14ac:dyDescent="0.2">
      <c r="AF6251" s="679"/>
    </row>
    <row r="6252" spans="32:32" x14ac:dyDescent="0.2">
      <c r="AF6252" s="679"/>
    </row>
    <row r="6253" spans="32:32" x14ac:dyDescent="0.2">
      <c r="AF6253" s="679"/>
    </row>
    <row r="6254" spans="32:32" x14ac:dyDescent="0.2">
      <c r="AF6254" s="679"/>
    </row>
    <row r="6255" spans="32:32" x14ac:dyDescent="0.2">
      <c r="AF6255" s="679"/>
    </row>
    <row r="6256" spans="32:32" x14ac:dyDescent="0.2">
      <c r="AF6256" s="679"/>
    </row>
    <row r="6257" spans="32:32" x14ac:dyDescent="0.2">
      <c r="AF6257" s="679"/>
    </row>
    <row r="6258" spans="32:32" x14ac:dyDescent="0.2">
      <c r="AF6258" s="679"/>
    </row>
    <row r="6259" spans="32:32" x14ac:dyDescent="0.2">
      <c r="AF6259" s="679"/>
    </row>
    <row r="6260" spans="32:32" x14ac:dyDescent="0.2">
      <c r="AF6260" s="679"/>
    </row>
    <row r="6261" spans="32:32" x14ac:dyDescent="0.2">
      <c r="AF6261" s="679"/>
    </row>
    <row r="6262" spans="32:32" x14ac:dyDescent="0.2">
      <c r="AF6262" s="679"/>
    </row>
    <row r="6263" spans="32:32" x14ac:dyDescent="0.2">
      <c r="AF6263" s="679"/>
    </row>
    <row r="6264" spans="32:32" x14ac:dyDescent="0.2">
      <c r="AF6264" s="679"/>
    </row>
    <row r="6265" spans="32:32" x14ac:dyDescent="0.2">
      <c r="AF6265" s="679"/>
    </row>
    <row r="6266" spans="32:32" x14ac:dyDescent="0.2">
      <c r="AF6266" s="679"/>
    </row>
    <row r="6267" spans="32:32" x14ac:dyDescent="0.2">
      <c r="AF6267" s="679"/>
    </row>
    <row r="6268" spans="32:32" x14ac:dyDescent="0.2">
      <c r="AF6268" s="679"/>
    </row>
    <row r="6269" spans="32:32" x14ac:dyDescent="0.2">
      <c r="AF6269" s="679"/>
    </row>
    <row r="6270" spans="32:32" x14ac:dyDescent="0.2">
      <c r="AF6270" s="679"/>
    </row>
    <row r="6271" spans="32:32" x14ac:dyDescent="0.2">
      <c r="AF6271" s="679"/>
    </row>
    <row r="6272" spans="32:32" x14ac:dyDescent="0.2">
      <c r="AF6272" s="679"/>
    </row>
    <row r="6273" spans="32:32" x14ac:dyDescent="0.2">
      <c r="AF6273" s="679"/>
    </row>
    <row r="6274" spans="32:32" x14ac:dyDescent="0.2">
      <c r="AF6274" s="679"/>
    </row>
    <row r="6275" spans="32:32" x14ac:dyDescent="0.2">
      <c r="AF6275" s="679"/>
    </row>
    <row r="6276" spans="32:32" x14ac:dyDescent="0.2">
      <c r="AF6276" s="679"/>
    </row>
    <row r="6277" spans="32:32" x14ac:dyDescent="0.2">
      <c r="AF6277" s="679"/>
    </row>
    <row r="6278" spans="32:32" x14ac:dyDescent="0.2">
      <c r="AF6278" s="679"/>
    </row>
    <row r="6279" spans="32:32" x14ac:dyDescent="0.2">
      <c r="AF6279" s="679"/>
    </row>
    <row r="6280" spans="32:32" x14ac:dyDescent="0.2">
      <c r="AF6280" s="679"/>
    </row>
    <row r="6281" spans="32:32" x14ac:dyDescent="0.2">
      <c r="AF6281" s="679"/>
    </row>
    <row r="6282" spans="32:32" x14ac:dyDescent="0.2">
      <c r="AF6282" s="679"/>
    </row>
    <row r="6283" spans="32:32" x14ac:dyDescent="0.2">
      <c r="AF6283" s="679"/>
    </row>
    <row r="6284" spans="32:32" x14ac:dyDescent="0.2">
      <c r="AF6284" s="679"/>
    </row>
    <row r="6285" spans="32:32" x14ac:dyDescent="0.2">
      <c r="AF6285" s="679"/>
    </row>
    <row r="6286" spans="32:32" x14ac:dyDescent="0.2">
      <c r="AF6286" s="679"/>
    </row>
    <row r="6287" spans="32:32" x14ac:dyDescent="0.2">
      <c r="AF6287" s="679"/>
    </row>
    <row r="6288" spans="32:32" x14ac:dyDescent="0.2">
      <c r="AF6288" s="679"/>
    </row>
    <row r="6289" spans="32:32" x14ac:dyDescent="0.2">
      <c r="AF6289" s="679"/>
    </row>
    <row r="6290" spans="32:32" x14ac:dyDescent="0.2">
      <c r="AF6290" s="679"/>
    </row>
    <row r="6291" spans="32:32" x14ac:dyDescent="0.2">
      <c r="AF6291" s="679"/>
    </row>
    <row r="6292" spans="32:32" x14ac:dyDescent="0.2">
      <c r="AF6292" s="679"/>
    </row>
    <row r="6293" spans="32:32" x14ac:dyDescent="0.2">
      <c r="AF6293" s="679"/>
    </row>
    <row r="6294" spans="32:32" x14ac:dyDescent="0.2">
      <c r="AF6294" s="679"/>
    </row>
    <row r="6295" spans="32:32" x14ac:dyDescent="0.2">
      <c r="AF6295" s="679"/>
    </row>
    <row r="6296" spans="32:32" x14ac:dyDescent="0.2">
      <c r="AF6296" s="679"/>
    </row>
    <row r="6297" spans="32:32" x14ac:dyDescent="0.2">
      <c r="AF6297" s="679"/>
    </row>
    <row r="6298" spans="32:32" x14ac:dyDescent="0.2">
      <c r="AF6298" s="679"/>
    </row>
    <row r="6299" spans="32:32" x14ac:dyDescent="0.2">
      <c r="AF6299" s="679"/>
    </row>
    <row r="6300" spans="32:32" x14ac:dyDescent="0.2">
      <c r="AF6300" s="679"/>
    </row>
    <row r="6301" spans="32:32" x14ac:dyDescent="0.2">
      <c r="AF6301" s="679"/>
    </row>
    <row r="6302" spans="32:32" x14ac:dyDescent="0.2">
      <c r="AF6302" s="679"/>
    </row>
    <row r="6303" spans="32:32" x14ac:dyDescent="0.2">
      <c r="AF6303" s="679"/>
    </row>
    <row r="6304" spans="32:32" x14ac:dyDescent="0.2">
      <c r="AF6304" s="679"/>
    </row>
    <row r="6305" spans="32:32" x14ac:dyDescent="0.2">
      <c r="AF6305" s="679"/>
    </row>
    <row r="6306" spans="32:32" x14ac:dyDescent="0.2">
      <c r="AF6306" s="679"/>
    </row>
    <row r="6307" spans="32:32" x14ac:dyDescent="0.2">
      <c r="AF6307" s="679"/>
    </row>
    <row r="6308" spans="32:32" x14ac:dyDescent="0.2">
      <c r="AF6308" s="679"/>
    </row>
    <row r="6309" spans="32:32" x14ac:dyDescent="0.2">
      <c r="AF6309" s="679"/>
    </row>
    <row r="6310" spans="32:32" x14ac:dyDescent="0.2">
      <c r="AF6310" s="679"/>
    </row>
    <row r="6311" spans="32:32" x14ac:dyDescent="0.2">
      <c r="AF6311" s="679"/>
    </row>
    <row r="6312" spans="32:32" x14ac:dyDescent="0.2">
      <c r="AF6312" s="679"/>
    </row>
    <row r="6313" spans="32:32" x14ac:dyDescent="0.2">
      <c r="AF6313" s="679"/>
    </row>
    <row r="6314" spans="32:32" x14ac:dyDescent="0.2">
      <c r="AF6314" s="679"/>
    </row>
    <row r="6315" spans="32:32" x14ac:dyDescent="0.2">
      <c r="AF6315" s="679"/>
    </row>
    <row r="6316" spans="32:32" x14ac:dyDescent="0.2">
      <c r="AF6316" s="679"/>
    </row>
    <row r="6317" spans="32:32" x14ac:dyDescent="0.2">
      <c r="AF6317" s="679"/>
    </row>
    <row r="6318" spans="32:32" x14ac:dyDescent="0.2">
      <c r="AF6318" s="679"/>
    </row>
    <row r="6319" spans="32:32" x14ac:dyDescent="0.2">
      <c r="AF6319" s="679"/>
    </row>
    <row r="6320" spans="32:32" x14ac:dyDescent="0.2">
      <c r="AF6320" s="679"/>
    </row>
    <row r="6321" spans="32:32" x14ac:dyDescent="0.2">
      <c r="AF6321" s="679"/>
    </row>
    <row r="6322" spans="32:32" x14ac:dyDescent="0.2">
      <c r="AF6322" s="679"/>
    </row>
    <row r="6323" spans="32:32" x14ac:dyDescent="0.2">
      <c r="AF6323" s="679"/>
    </row>
    <row r="6324" spans="32:32" x14ac:dyDescent="0.2">
      <c r="AF6324" s="679"/>
    </row>
    <row r="6325" spans="32:32" x14ac:dyDescent="0.2">
      <c r="AF6325" s="679"/>
    </row>
    <row r="6326" spans="32:32" x14ac:dyDescent="0.2">
      <c r="AF6326" s="679"/>
    </row>
    <row r="6327" spans="32:32" x14ac:dyDescent="0.2">
      <c r="AF6327" s="679"/>
    </row>
    <row r="6328" spans="32:32" x14ac:dyDescent="0.2">
      <c r="AF6328" s="679"/>
    </row>
    <row r="6329" spans="32:32" x14ac:dyDescent="0.2">
      <c r="AF6329" s="679"/>
    </row>
    <row r="6330" spans="32:32" x14ac:dyDescent="0.2">
      <c r="AF6330" s="679"/>
    </row>
    <row r="6331" spans="32:32" x14ac:dyDescent="0.2">
      <c r="AF6331" s="679"/>
    </row>
    <row r="6332" spans="32:32" x14ac:dyDescent="0.2">
      <c r="AF6332" s="679"/>
    </row>
    <row r="6333" spans="32:32" x14ac:dyDescent="0.2">
      <c r="AF6333" s="679"/>
    </row>
    <row r="6334" spans="32:32" x14ac:dyDescent="0.2">
      <c r="AF6334" s="679"/>
    </row>
    <row r="6335" spans="32:32" x14ac:dyDescent="0.2">
      <c r="AF6335" s="679"/>
    </row>
    <row r="6336" spans="32:32" x14ac:dyDescent="0.2">
      <c r="AF6336" s="679"/>
    </row>
    <row r="6337" spans="32:32" x14ac:dyDescent="0.2">
      <c r="AF6337" s="679"/>
    </row>
    <row r="6338" spans="32:32" x14ac:dyDescent="0.2">
      <c r="AF6338" s="679"/>
    </row>
    <row r="6339" spans="32:32" x14ac:dyDescent="0.2">
      <c r="AF6339" s="679"/>
    </row>
    <row r="6340" spans="32:32" x14ac:dyDescent="0.2">
      <c r="AF6340" s="679"/>
    </row>
    <row r="6341" spans="32:32" x14ac:dyDescent="0.2">
      <c r="AF6341" s="679"/>
    </row>
    <row r="6342" spans="32:32" x14ac:dyDescent="0.2">
      <c r="AF6342" s="679"/>
    </row>
    <row r="6343" spans="32:32" x14ac:dyDescent="0.2">
      <c r="AF6343" s="679"/>
    </row>
    <row r="6344" spans="32:32" x14ac:dyDescent="0.2">
      <c r="AF6344" s="679"/>
    </row>
    <row r="6345" spans="32:32" x14ac:dyDescent="0.2">
      <c r="AF6345" s="679"/>
    </row>
    <row r="6346" spans="32:32" x14ac:dyDescent="0.2">
      <c r="AF6346" s="679"/>
    </row>
    <row r="6347" spans="32:32" x14ac:dyDescent="0.2">
      <c r="AF6347" s="679"/>
    </row>
    <row r="6348" spans="32:32" x14ac:dyDescent="0.2">
      <c r="AF6348" s="679"/>
    </row>
    <row r="6349" spans="32:32" x14ac:dyDescent="0.2">
      <c r="AF6349" s="679"/>
    </row>
    <row r="6350" spans="32:32" x14ac:dyDescent="0.2">
      <c r="AF6350" s="679"/>
    </row>
    <row r="6351" spans="32:32" x14ac:dyDescent="0.2">
      <c r="AF6351" s="679"/>
    </row>
    <row r="6352" spans="32:32" x14ac:dyDescent="0.2">
      <c r="AF6352" s="679"/>
    </row>
    <row r="6353" spans="32:32" x14ac:dyDescent="0.2">
      <c r="AF6353" s="679"/>
    </row>
    <row r="6354" spans="32:32" x14ac:dyDescent="0.2">
      <c r="AF6354" s="679"/>
    </row>
    <row r="6355" spans="32:32" x14ac:dyDescent="0.2">
      <c r="AF6355" s="679"/>
    </row>
    <row r="6356" spans="32:32" x14ac:dyDescent="0.2">
      <c r="AF6356" s="679"/>
    </row>
    <row r="6357" spans="32:32" x14ac:dyDescent="0.2">
      <c r="AF6357" s="679"/>
    </row>
    <row r="6358" spans="32:32" x14ac:dyDescent="0.2">
      <c r="AF6358" s="679"/>
    </row>
    <row r="6359" spans="32:32" x14ac:dyDescent="0.2">
      <c r="AF6359" s="679"/>
    </row>
    <row r="6360" spans="32:32" x14ac:dyDescent="0.2">
      <c r="AF6360" s="679"/>
    </row>
    <row r="6361" spans="32:32" x14ac:dyDescent="0.2">
      <c r="AF6361" s="679"/>
    </row>
    <row r="6362" spans="32:32" x14ac:dyDescent="0.2">
      <c r="AF6362" s="679"/>
    </row>
    <row r="6363" spans="32:32" x14ac:dyDescent="0.2">
      <c r="AF6363" s="679"/>
    </row>
    <row r="6364" spans="32:32" x14ac:dyDescent="0.2">
      <c r="AF6364" s="679"/>
    </row>
    <row r="6365" spans="32:32" x14ac:dyDescent="0.2">
      <c r="AF6365" s="679"/>
    </row>
    <row r="6366" spans="32:32" x14ac:dyDescent="0.2">
      <c r="AF6366" s="679"/>
    </row>
    <row r="6367" spans="32:32" x14ac:dyDescent="0.2">
      <c r="AF6367" s="679"/>
    </row>
    <row r="6368" spans="32:32" x14ac:dyDescent="0.2">
      <c r="AF6368" s="679"/>
    </row>
    <row r="6369" spans="32:32" x14ac:dyDescent="0.2">
      <c r="AF6369" s="679"/>
    </row>
    <row r="6370" spans="32:32" x14ac:dyDescent="0.2">
      <c r="AF6370" s="679"/>
    </row>
    <row r="6371" spans="32:32" x14ac:dyDescent="0.2">
      <c r="AF6371" s="679"/>
    </row>
    <row r="6372" spans="32:32" x14ac:dyDescent="0.2">
      <c r="AF6372" s="679"/>
    </row>
    <row r="6373" spans="32:32" x14ac:dyDescent="0.2">
      <c r="AF6373" s="679"/>
    </row>
    <row r="6374" spans="32:32" x14ac:dyDescent="0.2">
      <c r="AF6374" s="679"/>
    </row>
    <row r="6375" spans="32:32" x14ac:dyDescent="0.2">
      <c r="AF6375" s="679"/>
    </row>
    <row r="6376" spans="32:32" x14ac:dyDescent="0.2">
      <c r="AF6376" s="679"/>
    </row>
    <row r="6377" spans="32:32" x14ac:dyDescent="0.2">
      <c r="AF6377" s="679"/>
    </row>
    <row r="6378" spans="32:32" x14ac:dyDescent="0.2">
      <c r="AF6378" s="679"/>
    </row>
    <row r="6379" spans="32:32" x14ac:dyDescent="0.2">
      <c r="AF6379" s="679"/>
    </row>
    <row r="6380" spans="32:32" x14ac:dyDescent="0.2">
      <c r="AF6380" s="679"/>
    </row>
    <row r="6381" spans="32:32" x14ac:dyDescent="0.2">
      <c r="AF6381" s="679"/>
    </row>
    <row r="6382" spans="32:32" x14ac:dyDescent="0.2">
      <c r="AF6382" s="679"/>
    </row>
    <row r="6383" spans="32:32" x14ac:dyDescent="0.2">
      <c r="AF6383" s="679"/>
    </row>
    <row r="6384" spans="32:32" x14ac:dyDescent="0.2">
      <c r="AF6384" s="679"/>
    </row>
    <row r="6385" spans="32:32" x14ac:dyDescent="0.2">
      <c r="AF6385" s="679"/>
    </row>
    <row r="6386" spans="32:32" x14ac:dyDescent="0.2">
      <c r="AF6386" s="679"/>
    </row>
    <row r="6387" spans="32:32" x14ac:dyDescent="0.2">
      <c r="AF6387" s="679"/>
    </row>
    <row r="6388" spans="32:32" x14ac:dyDescent="0.2">
      <c r="AF6388" s="679"/>
    </row>
    <row r="6389" spans="32:32" x14ac:dyDescent="0.2">
      <c r="AF6389" s="679"/>
    </row>
    <row r="6390" spans="32:32" x14ac:dyDescent="0.2">
      <c r="AF6390" s="679"/>
    </row>
    <row r="6391" spans="32:32" x14ac:dyDescent="0.2">
      <c r="AF6391" s="679"/>
    </row>
    <row r="6392" spans="32:32" x14ac:dyDescent="0.2">
      <c r="AF6392" s="679"/>
    </row>
    <row r="6393" spans="32:32" x14ac:dyDescent="0.2">
      <c r="AF6393" s="679"/>
    </row>
    <row r="6394" spans="32:32" x14ac:dyDescent="0.2">
      <c r="AF6394" s="679"/>
    </row>
    <row r="6395" spans="32:32" x14ac:dyDescent="0.2">
      <c r="AF6395" s="679"/>
    </row>
    <row r="6396" spans="32:32" x14ac:dyDescent="0.2">
      <c r="AF6396" s="679"/>
    </row>
    <row r="6397" spans="32:32" x14ac:dyDescent="0.2">
      <c r="AF6397" s="679"/>
    </row>
    <row r="6398" spans="32:32" x14ac:dyDescent="0.2">
      <c r="AF6398" s="679"/>
    </row>
    <row r="6399" spans="32:32" x14ac:dyDescent="0.2">
      <c r="AF6399" s="679"/>
    </row>
    <row r="6400" spans="32:32" x14ac:dyDescent="0.2">
      <c r="AF6400" s="679"/>
    </row>
    <row r="6401" spans="32:32" x14ac:dyDescent="0.2">
      <c r="AF6401" s="679"/>
    </row>
    <row r="6402" spans="32:32" x14ac:dyDescent="0.2">
      <c r="AF6402" s="679"/>
    </row>
    <row r="6403" spans="32:32" x14ac:dyDescent="0.2">
      <c r="AF6403" s="679"/>
    </row>
    <row r="6404" spans="32:32" x14ac:dyDescent="0.2">
      <c r="AF6404" s="679"/>
    </row>
    <row r="6405" spans="32:32" x14ac:dyDescent="0.2">
      <c r="AF6405" s="679"/>
    </row>
    <row r="6406" spans="32:32" x14ac:dyDescent="0.2">
      <c r="AF6406" s="679"/>
    </row>
    <row r="6407" spans="32:32" x14ac:dyDescent="0.2">
      <c r="AF6407" s="679"/>
    </row>
    <row r="6408" spans="32:32" x14ac:dyDescent="0.2">
      <c r="AF6408" s="679"/>
    </row>
    <row r="6409" spans="32:32" x14ac:dyDescent="0.2">
      <c r="AF6409" s="679"/>
    </row>
    <row r="6410" spans="32:32" x14ac:dyDescent="0.2">
      <c r="AF6410" s="679"/>
    </row>
    <row r="6411" spans="32:32" x14ac:dyDescent="0.2">
      <c r="AF6411" s="679"/>
    </row>
    <row r="6412" spans="32:32" x14ac:dyDescent="0.2">
      <c r="AF6412" s="679"/>
    </row>
    <row r="6413" spans="32:32" x14ac:dyDescent="0.2">
      <c r="AF6413" s="679"/>
    </row>
    <row r="6414" spans="32:32" x14ac:dyDescent="0.2">
      <c r="AF6414" s="679"/>
    </row>
    <row r="6415" spans="32:32" x14ac:dyDescent="0.2">
      <c r="AF6415" s="679"/>
    </row>
    <row r="6416" spans="32:32" x14ac:dyDescent="0.2">
      <c r="AF6416" s="679"/>
    </row>
    <row r="6417" spans="32:32" x14ac:dyDescent="0.2">
      <c r="AF6417" s="679"/>
    </row>
    <row r="6418" spans="32:32" x14ac:dyDescent="0.2">
      <c r="AF6418" s="679"/>
    </row>
    <row r="6419" spans="32:32" x14ac:dyDescent="0.2">
      <c r="AF6419" s="679"/>
    </row>
    <row r="6420" spans="32:32" x14ac:dyDescent="0.2">
      <c r="AF6420" s="679"/>
    </row>
    <row r="6421" spans="32:32" x14ac:dyDescent="0.2">
      <c r="AF6421" s="679"/>
    </row>
    <row r="6422" spans="32:32" x14ac:dyDescent="0.2">
      <c r="AF6422" s="679"/>
    </row>
    <row r="6423" spans="32:32" x14ac:dyDescent="0.2">
      <c r="AF6423" s="679"/>
    </row>
    <row r="6424" spans="32:32" x14ac:dyDescent="0.2">
      <c r="AF6424" s="679"/>
    </row>
    <row r="6425" spans="32:32" x14ac:dyDescent="0.2">
      <c r="AF6425" s="679"/>
    </row>
    <row r="6426" spans="32:32" x14ac:dyDescent="0.2">
      <c r="AF6426" s="679"/>
    </row>
    <row r="6427" spans="32:32" x14ac:dyDescent="0.2">
      <c r="AF6427" s="679"/>
    </row>
    <row r="6428" spans="32:32" x14ac:dyDescent="0.2">
      <c r="AF6428" s="679"/>
    </row>
    <row r="6429" spans="32:32" x14ac:dyDescent="0.2">
      <c r="AF6429" s="679"/>
    </row>
    <row r="6430" spans="32:32" x14ac:dyDescent="0.2">
      <c r="AF6430" s="679"/>
    </row>
    <row r="6431" spans="32:32" x14ac:dyDescent="0.2">
      <c r="AF6431" s="679"/>
    </row>
    <row r="6432" spans="32:32" x14ac:dyDescent="0.2">
      <c r="AF6432" s="679"/>
    </row>
    <row r="6433" spans="32:32" x14ac:dyDescent="0.2">
      <c r="AF6433" s="679"/>
    </row>
    <row r="6434" spans="32:32" x14ac:dyDescent="0.2">
      <c r="AF6434" s="679"/>
    </row>
    <row r="6435" spans="32:32" x14ac:dyDescent="0.2">
      <c r="AF6435" s="679"/>
    </row>
    <row r="6436" spans="32:32" x14ac:dyDescent="0.2">
      <c r="AF6436" s="679"/>
    </row>
    <row r="6437" spans="32:32" x14ac:dyDescent="0.2">
      <c r="AF6437" s="679"/>
    </row>
    <row r="6438" spans="32:32" x14ac:dyDescent="0.2">
      <c r="AF6438" s="679"/>
    </row>
    <row r="6439" spans="32:32" x14ac:dyDescent="0.2">
      <c r="AF6439" s="679"/>
    </row>
    <row r="6440" spans="32:32" x14ac:dyDescent="0.2">
      <c r="AF6440" s="679"/>
    </row>
    <row r="6441" spans="32:32" x14ac:dyDescent="0.2">
      <c r="AF6441" s="679"/>
    </row>
    <row r="6442" spans="32:32" x14ac:dyDescent="0.2">
      <c r="AF6442" s="679"/>
    </row>
    <row r="6443" spans="32:32" x14ac:dyDescent="0.2">
      <c r="AF6443" s="679"/>
    </row>
    <row r="6444" spans="32:32" x14ac:dyDescent="0.2">
      <c r="AF6444" s="679"/>
    </row>
    <row r="6445" spans="32:32" x14ac:dyDescent="0.2">
      <c r="AF6445" s="679"/>
    </row>
    <row r="6446" spans="32:32" x14ac:dyDescent="0.2">
      <c r="AF6446" s="679"/>
    </row>
    <row r="6447" spans="32:32" x14ac:dyDescent="0.2">
      <c r="AF6447" s="679"/>
    </row>
    <row r="6448" spans="32:32" x14ac:dyDescent="0.2">
      <c r="AF6448" s="679"/>
    </row>
    <row r="6449" spans="32:32" x14ac:dyDescent="0.2">
      <c r="AF6449" s="679"/>
    </row>
    <row r="6450" spans="32:32" x14ac:dyDescent="0.2">
      <c r="AF6450" s="679"/>
    </row>
    <row r="6451" spans="32:32" x14ac:dyDescent="0.2">
      <c r="AF6451" s="679"/>
    </row>
    <row r="6452" spans="32:32" x14ac:dyDescent="0.2">
      <c r="AF6452" s="679"/>
    </row>
    <row r="6453" spans="32:32" x14ac:dyDescent="0.2">
      <c r="AF6453" s="679"/>
    </row>
    <row r="6454" spans="32:32" x14ac:dyDescent="0.2">
      <c r="AF6454" s="679"/>
    </row>
    <row r="6455" spans="32:32" x14ac:dyDescent="0.2">
      <c r="AF6455" s="679"/>
    </row>
    <row r="6456" spans="32:32" x14ac:dyDescent="0.2">
      <c r="AF6456" s="679"/>
    </row>
    <row r="6457" spans="32:32" x14ac:dyDescent="0.2">
      <c r="AF6457" s="679"/>
    </row>
    <row r="6458" spans="32:32" x14ac:dyDescent="0.2">
      <c r="AF6458" s="679"/>
    </row>
    <row r="6459" spans="32:32" x14ac:dyDescent="0.2">
      <c r="AF6459" s="679"/>
    </row>
    <row r="6460" spans="32:32" x14ac:dyDescent="0.2">
      <c r="AF6460" s="679"/>
    </row>
    <row r="6461" spans="32:32" x14ac:dyDescent="0.2">
      <c r="AF6461" s="679"/>
    </row>
    <row r="6462" spans="32:32" x14ac:dyDescent="0.2">
      <c r="AF6462" s="679"/>
    </row>
    <row r="6463" spans="32:32" x14ac:dyDescent="0.2">
      <c r="AF6463" s="679"/>
    </row>
    <row r="6464" spans="32:32" x14ac:dyDescent="0.2">
      <c r="AF6464" s="679"/>
    </row>
    <row r="6465" spans="32:32" x14ac:dyDescent="0.2">
      <c r="AF6465" s="679"/>
    </row>
    <row r="6466" spans="32:32" x14ac:dyDescent="0.2">
      <c r="AF6466" s="679"/>
    </row>
    <row r="6467" spans="32:32" x14ac:dyDescent="0.2">
      <c r="AF6467" s="679"/>
    </row>
    <row r="6468" spans="32:32" x14ac:dyDescent="0.2">
      <c r="AF6468" s="679"/>
    </row>
    <row r="6469" spans="32:32" x14ac:dyDescent="0.2">
      <c r="AF6469" s="679"/>
    </row>
    <row r="6470" spans="32:32" x14ac:dyDescent="0.2">
      <c r="AF6470" s="679"/>
    </row>
    <row r="6471" spans="32:32" x14ac:dyDescent="0.2">
      <c r="AF6471" s="679"/>
    </row>
    <row r="6472" spans="32:32" x14ac:dyDescent="0.2">
      <c r="AF6472" s="679"/>
    </row>
    <row r="6473" spans="32:32" x14ac:dyDescent="0.2">
      <c r="AF6473" s="679"/>
    </row>
    <row r="6474" spans="32:32" x14ac:dyDescent="0.2">
      <c r="AF6474" s="679"/>
    </row>
    <row r="6475" spans="32:32" x14ac:dyDescent="0.2">
      <c r="AF6475" s="679"/>
    </row>
    <row r="6476" spans="32:32" x14ac:dyDescent="0.2">
      <c r="AF6476" s="679"/>
    </row>
    <row r="6477" spans="32:32" x14ac:dyDescent="0.2">
      <c r="AF6477" s="679"/>
    </row>
    <row r="6478" spans="32:32" x14ac:dyDescent="0.2">
      <c r="AF6478" s="679"/>
    </row>
    <row r="6479" spans="32:32" x14ac:dyDescent="0.2">
      <c r="AF6479" s="679"/>
    </row>
    <row r="6480" spans="32:32" x14ac:dyDescent="0.2">
      <c r="AF6480" s="679"/>
    </row>
    <row r="6481" spans="32:32" x14ac:dyDescent="0.2">
      <c r="AF6481" s="679"/>
    </row>
    <row r="6482" spans="32:32" x14ac:dyDescent="0.2">
      <c r="AF6482" s="679"/>
    </row>
    <row r="6483" spans="32:32" x14ac:dyDescent="0.2">
      <c r="AF6483" s="679"/>
    </row>
    <row r="6484" spans="32:32" x14ac:dyDescent="0.2">
      <c r="AF6484" s="679"/>
    </row>
    <row r="6485" spans="32:32" x14ac:dyDescent="0.2">
      <c r="AF6485" s="679"/>
    </row>
    <row r="6486" spans="32:32" x14ac:dyDescent="0.2">
      <c r="AF6486" s="679"/>
    </row>
    <row r="6487" spans="32:32" x14ac:dyDescent="0.2">
      <c r="AF6487" s="679"/>
    </row>
    <row r="6488" spans="32:32" x14ac:dyDescent="0.2">
      <c r="AF6488" s="679"/>
    </row>
    <row r="6489" spans="32:32" x14ac:dyDescent="0.2">
      <c r="AF6489" s="679"/>
    </row>
    <row r="6490" spans="32:32" x14ac:dyDescent="0.2">
      <c r="AF6490" s="679"/>
    </row>
    <row r="6491" spans="32:32" x14ac:dyDescent="0.2">
      <c r="AF6491" s="679"/>
    </row>
    <row r="6492" spans="32:32" x14ac:dyDescent="0.2">
      <c r="AF6492" s="679"/>
    </row>
    <row r="6493" spans="32:32" x14ac:dyDescent="0.2">
      <c r="AF6493" s="679"/>
    </row>
    <row r="6494" spans="32:32" x14ac:dyDescent="0.2">
      <c r="AF6494" s="679"/>
    </row>
    <row r="6495" spans="32:32" x14ac:dyDescent="0.2">
      <c r="AF6495" s="679"/>
    </row>
    <row r="6496" spans="32:32" x14ac:dyDescent="0.2">
      <c r="AF6496" s="679"/>
    </row>
    <row r="6497" spans="32:32" x14ac:dyDescent="0.2">
      <c r="AF6497" s="679"/>
    </row>
    <row r="6498" spans="32:32" x14ac:dyDescent="0.2">
      <c r="AF6498" s="679"/>
    </row>
    <row r="6499" spans="32:32" x14ac:dyDescent="0.2">
      <c r="AF6499" s="679"/>
    </row>
    <row r="6500" spans="32:32" x14ac:dyDescent="0.2">
      <c r="AF6500" s="679"/>
    </row>
    <row r="6501" spans="32:32" x14ac:dyDescent="0.2">
      <c r="AF6501" s="679"/>
    </row>
    <row r="6502" spans="32:32" x14ac:dyDescent="0.2">
      <c r="AF6502" s="679"/>
    </row>
    <row r="6503" spans="32:32" x14ac:dyDescent="0.2">
      <c r="AF6503" s="679"/>
    </row>
    <row r="6504" spans="32:32" x14ac:dyDescent="0.2">
      <c r="AF6504" s="679"/>
    </row>
    <row r="6505" spans="32:32" x14ac:dyDescent="0.2">
      <c r="AF6505" s="679"/>
    </row>
    <row r="6506" spans="32:32" x14ac:dyDescent="0.2">
      <c r="AF6506" s="679"/>
    </row>
    <row r="6507" spans="32:32" x14ac:dyDescent="0.2">
      <c r="AF6507" s="679"/>
    </row>
    <row r="6508" spans="32:32" x14ac:dyDescent="0.2">
      <c r="AF6508" s="679"/>
    </row>
    <row r="6509" spans="32:32" x14ac:dyDescent="0.2">
      <c r="AF6509" s="679"/>
    </row>
    <row r="6510" spans="32:32" x14ac:dyDescent="0.2">
      <c r="AF6510" s="679"/>
    </row>
    <row r="6511" spans="32:32" x14ac:dyDescent="0.2">
      <c r="AF6511" s="679"/>
    </row>
    <row r="6512" spans="32:32" x14ac:dyDescent="0.2">
      <c r="AF6512" s="679"/>
    </row>
    <row r="6513" spans="32:32" x14ac:dyDescent="0.2">
      <c r="AF6513" s="679"/>
    </row>
    <row r="6514" spans="32:32" x14ac:dyDescent="0.2">
      <c r="AF6514" s="679"/>
    </row>
    <row r="6515" spans="32:32" x14ac:dyDescent="0.2">
      <c r="AF6515" s="679"/>
    </row>
    <row r="6516" spans="32:32" x14ac:dyDescent="0.2">
      <c r="AF6516" s="679"/>
    </row>
    <row r="6517" spans="32:32" x14ac:dyDescent="0.2">
      <c r="AF6517" s="679"/>
    </row>
    <row r="6518" spans="32:32" x14ac:dyDescent="0.2">
      <c r="AF6518" s="679"/>
    </row>
    <row r="6519" spans="32:32" x14ac:dyDescent="0.2">
      <c r="AF6519" s="679"/>
    </row>
    <row r="6520" spans="32:32" x14ac:dyDescent="0.2">
      <c r="AF6520" s="679"/>
    </row>
    <row r="6521" spans="32:32" x14ac:dyDescent="0.2">
      <c r="AF6521" s="679"/>
    </row>
    <row r="6522" spans="32:32" x14ac:dyDescent="0.2">
      <c r="AF6522" s="679"/>
    </row>
    <row r="6523" spans="32:32" x14ac:dyDescent="0.2">
      <c r="AF6523" s="679"/>
    </row>
    <row r="6524" spans="32:32" x14ac:dyDescent="0.2">
      <c r="AF6524" s="679"/>
    </row>
    <row r="6525" spans="32:32" x14ac:dyDescent="0.2">
      <c r="AF6525" s="679"/>
    </row>
    <row r="6526" spans="32:32" x14ac:dyDescent="0.2">
      <c r="AF6526" s="679"/>
    </row>
    <row r="6527" spans="32:32" x14ac:dyDescent="0.2">
      <c r="AF6527" s="679"/>
    </row>
    <row r="6528" spans="32:32" x14ac:dyDescent="0.2">
      <c r="AF6528" s="679"/>
    </row>
    <row r="6529" spans="32:32" x14ac:dyDescent="0.2">
      <c r="AF6529" s="679"/>
    </row>
    <row r="6530" spans="32:32" x14ac:dyDescent="0.2">
      <c r="AF6530" s="679"/>
    </row>
    <row r="6531" spans="32:32" x14ac:dyDescent="0.2">
      <c r="AF6531" s="679"/>
    </row>
    <row r="6532" spans="32:32" x14ac:dyDescent="0.2">
      <c r="AF6532" s="679"/>
    </row>
    <row r="6533" spans="32:32" x14ac:dyDescent="0.2">
      <c r="AF6533" s="679"/>
    </row>
    <row r="6534" spans="32:32" x14ac:dyDescent="0.2">
      <c r="AF6534" s="679"/>
    </row>
    <row r="6535" spans="32:32" x14ac:dyDescent="0.2">
      <c r="AF6535" s="679"/>
    </row>
    <row r="6536" spans="32:32" x14ac:dyDescent="0.2">
      <c r="AF6536" s="679"/>
    </row>
    <row r="6537" spans="32:32" x14ac:dyDescent="0.2">
      <c r="AF6537" s="679"/>
    </row>
    <row r="6538" spans="32:32" x14ac:dyDescent="0.2">
      <c r="AF6538" s="679"/>
    </row>
    <row r="6539" spans="32:32" x14ac:dyDescent="0.2">
      <c r="AF6539" s="679"/>
    </row>
    <row r="6540" spans="32:32" x14ac:dyDescent="0.2">
      <c r="AF6540" s="679"/>
    </row>
    <row r="6541" spans="32:32" x14ac:dyDescent="0.2">
      <c r="AF6541" s="679"/>
    </row>
    <row r="6542" spans="32:32" x14ac:dyDescent="0.2">
      <c r="AF6542" s="679"/>
    </row>
    <row r="6543" spans="32:32" x14ac:dyDescent="0.2">
      <c r="AF6543" s="679"/>
    </row>
    <row r="6544" spans="32:32" x14ac:dyDescent="0.2">
      <c r="AF6544" s="679"/>
    </row>
    <row r="6545" spans="32:32" x14ac:dyDescent="0.2">
      <c r="AF6545" s="679"/>
    </row>
    <row r="6546" spans="32:32" x14ac:dyDescent="0.2">
      <c r="AF6546" s="679"/>
    </row>
    <row r="6547" spans="32:32" x14ac:dyDescent="0.2">
      <c r="AF6547" s="679"/>
    </row>
    <row r="6548" spans="32:32" x14ac:dyDescent="0.2">
      <c r="AF6548" s="679"/>
    </row>
    <row r="6549" spans="32:32" x14ac:dyDescent="0.2">
      <c r="AF6549" s="679"/>
    </row>
    <row r="6550" spans="32:32" x14ac:dyDescent="0.2">
      <c r="AF6550" s="679"/>
    </row>
    <row r="6551" spans="32:32" x14ac:dyDescent="0.2">
      <c r="AF6551" s="679"/>
    </row>
    <row r="6552" spans="32:32" x14ac:dyDescent="0.2">
      <c r="AF6552" s="679"/>
    </row>
    <row r="6553" spans="32:32" x14ac:dyDescent="0.2">
      <c r="AF6553" s="679"/>
    </row>
    <row r="6554" spans="32:32" x14ac:dyDescent="0.2">
      <c r="AF6554" s="679"/>
    </row>
    <row r="6555" spans="32:32" x14ac:dyDescent="0.2">
      <c r="AF6555" s="679"/>
    </row>
    <row r="6556" spans="32:32" x14ac:dyDescent="0.2">
      <c r="AF6556" s="679"/>
    </row>
    <row r="6557" spans="32:32" x14ac:dyDescent="0.2">
      <c r="AF6557" s="679"/>
    </row>
    <row r="6558" spans="32:32" x14ac:dyDescent="0.2">
      <c r="AF6558" s="679"/>
    </row>
    <row r="6559" spans="32:32" x14ac:dyDescent="0.2">
      <c r="AF6559" s="679"/>
    </row>
    <row r="6560" spans="32:32" x14ac:dyDescent="0.2">
      <c r="AF6560" s="679"/>
    </row>
    <row r="6561" spans="32:32" x14ac:dyDescent="0.2">
      <c r="AF6561" s="679"/>
    </row>
    <row r="6562" spans="32:32" x14ac:dyDescent="0.2">
      <c r="AF6562" s="679"/>
    </row>
    <row r="6563" spans="32:32" x14ac:dyDescent="0.2">
      <c r="AF6563" s="679"/>
    </row>
    <row r="6564" spans="32:32" x14ac:dyDescent="0.2">
      <c r="AF6564" s="679"/>
    </row>
    <row r="6565" spans="32:32" x14ac:dyDescent="0.2">
      <c r="AF6565" s="679"/>
    </row>
    <row r="6566" spans="32:32" x14ac:dyDescent="0.2">
      <c r="AF6566" s="679"/>
    </row>
    <row r="6567" spans="32:32" x14ac:dyDescent="0.2">
      <c r="AF6567" s="679"/>
    </row>
    <row r="6568" spans="32:32" x14ac:dyDescent="0.2">
      <c r="AF6568" s="679"/>
    </row>
    <row r="6569" spans="32:32" x14ac:dyDescent="0.2">
      <c r="AF6569" s="679"/>
    </row>
    <row r="6570" spans="32:32" x14ac:dyDescent="0.2">
      <c r="AF6570" s="679"/>
    </row>
    <row r="6571" spans="32:32" x14ac:dyDescent="0.2">
      <c r="AF6571" s="679"/>
    </row>
    <row r="6572" spans="32:32" x14ac:dyDescent="0.2">
      <c r="AF6572" s="679"/>
    </row>
    <row r="6573" spans="32:32" x14ac:dyDescent="0.2">
      <c r="AF6573" s="679"/>
    </row>
    <row r="6574" spans="32:32" x14ac:dyDescent="0.2">
      <c r="AF6574" s="679"/>
    </row>
    <row r="6575" spans="32:32" x14ac:dyDescent="0.2">
      <c r="AF6575" s="679"/>
    </row>
    <row r="6576" spans="32:32" x14ac:dyDescent="0.2">
      <c r="AF6576" s="679"/>
    </row>
    <row r="6577" spans="32:32" x14ac:dyDescent="0.2">
      <c r="AF6577" s="679"/>
    </row>
    <row r="6578" spans="32:32" x14ac:dyDescent="0.2">
      <c r="AF6578" s="679"/>
    </row>
    <row r="6579" spans="32:32" x14ac:dyDescent="0.2">
      <c r="AF6579" s="679"/>
    </row>
    <row r="6580" spans="32:32" x14ac:dyDescent="0.2">
      <c r="AF6580" s="679"/>
    </row>
    <row r="6581" spans="32:32" x14ac:dyDescent="0.2">
      <c r="AF6581" s="679"/>
    </row>
    <row r="6582" spans="32:32" x14ac:dyDescent="0.2">
      <c r="AF6582" s="679"/>
    </row>
    <row r="6583" spans="32:32" x14ac:dyDescent="0.2">
      <c r="AF6583" s="679"/>
    </row>
    <row r="6584" spans="32:32" x14ac:dyDescent="0.2">
      <c r="AF6584" s="679"/>
    </row>
    <row r="6585" spans="32:32" x14ac:dyDescent="0.2">
      <c r="AF6585" s="679"/>
    </row>
    <row r="6586" spans="32:32" x14ac:dyDescent="0.2">
      <c r="AF6586" s="679"/>
    </row>
    <row r="6587" spans="32:32" x14ac:dyDescent="0.2">
      <c r="AF6587" s="679"/>
    </row>
    <row r="6588" spans="32:32" x14ac:dyDescent="0.2">
      <c r="AF6588" s="679"/>
    </row>
    <row r="6589" spans="32:32" x14ac:dyDescent="0.2">
      <c r="AF6589" s="679"/>
    </row>
    <row r="6590" spans="32:32" x14ac:dyDescent="0.2">
      <c r="AF6590" s="679"/>
    </row>
    <row r="6591" spans="32:32" x14ac:dyDescent="0.2">
      <c r="AF6591" s="679"/>
    </row>
    <row r="6592" spans="32:32" x14ac:dyDescent="0.2">
      <c r="AF6592" s="679"/>
    </row>
    <row r="6593" spans="32:32" x14ac:dyDescent="0.2">
      <c r="AF6593" s="679"/>
    </row>
    <row r="6594" spans="32:32" x14ac:dyDescent="0.2">
      <c r="AF6594" s="679"/>
    </row>
    <row r="6595" spans="32:32" x14ac:dyDescent="0.2">
      <c r="AF6595" s="679"/>
    </row>
    <row r="6596" spans="32:32" x14ac:dyDescent="0.2">
      <c r="AF6596" s="679"/>
    </row>
    <row r="6597" spans="32:32" x14ac:dyDescent="0.2">
      <c r="AF6597" s="679"/>
    </row>
    <row r="6598" spans="32:32" x14ac:dyDescent="0.2">
      <c r="AF6598" s="679"/>
    </row>
    <row r="6599" spans="32:32" x14ac:dyDescent="0.2">
      <c r="AF6599" s="679"/>
    </row>
    <row r="6600" spans="32:32" x14ac:dyDescent="0.2">
      <c r="AF6600" s="679"/>
    </row>
    <row r="6601" spans="32:32" x14ac:dyDescent="0.2">
      <c r="AF6601" s="679"/>
    </row>
    <row r="6602" spans="32:32" x14ac:dyDescent="0.2">
      <c r="AF6602" s="679"/>
    </row>
    <row r="6603" spans="32:32" x14ac:dyDescent="0.2">
      <c r="AF6603" s="679"/>
    </row>
    <row r="6604" spans="32:32" x14ac:dyDescent="0.2">
      <c r="AF6604" s="679"/>
    </row>
    <row r="6605" spans="32:32" x14ac:dyDescent="0.2">
      <c r="AF6605" s="679"/>
    </row>
    <row r="6606" spans="32:32" x14ac:dyDescent="0.2">
      <c r="AF6606" s="679"/>
    </row>
    <row r="6607" spans="32:32" x14ac:dyDescent="0.2">
      <c r="AF6607" s="679"/>
    </row>
    <row r="6608" spans="32:32" x14ac:dyDescent="0.2">
      <c r="AF6608" s="679"/>
    </row>
    <row r="6609" spans="32:32" x14ac:dyDescent="0.2">
      <c r="AF6609" s="679"/>
    </row>
    <row r="6610" spans="32:32" x14ac:dyDescent="0.2">
      <c r="AF6610" s="679"/>
    </row>
    <row r="6611" spans="32:32" x14ac:dyDescent="0.2">
      <c r="AF6611" s="679"/>
    </row>
    <row r="6612" spans="32:32" x14ac:dyDescent="0.2">
      <c r="AF6612" s="679"/>
    </row>
    <row r="6613" spans="32:32" x14ac:dyDescent="0.2">
      <c r="AF6613" s="679"/>
    </row>
    <row r="6614" spans="32:32" x14ac:dyDescent="0.2">
      <c r="AF6614" s="679"/>
    </row>
    <row r="6615" spans="32:32" x14ac:dyDescent="0.2">
      <c r="AF6615" s="679"/>
    </row>
    <row r="6616" spans="32:32" x14ac:dyDescent="0.2">
      <c r="AF6616" s="679"/>
    </row>
    <row r="6617" spans="32:32" x14ac:dyDescent="0.2">
      <c r="AF6617" s="679"/>
    </row>
    <row r="6618" spans="32:32" x14ac:dyDescent="0.2">
      <c r="AF6618" s="679"/>
    </row>
    <row r="6619" spans="32:32" x14ac:dyDescent="0.2">
      <c r="AF6619" s="679"/>
    </row>
    <row r="6620" spans="32:32" x14ac:dyDescent="0.2">
      <c r="AF6620" s="679"/>
    </row>
    <row r="6621" spans="32:32" x14ac:dyDescent="0.2">
      <c r="AF6621" s="679"/>
    </row>
    <row r="6622" spans="32:32" x14ac:dyDescent="0.2">
      <c r="AF6622" s="679"/>
    </row>
    <row r="6623" spans="32:32" x14ac:dyDescent="0.2">
      <c r="AF6623" s="679"/>
    </row>
    <row r="6624" spans="32:32" x14ac:dyDescent="0.2">
      <c r="AF6624" s="679"/>
    </row>
    <row r="6625" spans="32:32" x14ac:dyDescent="0.2">
      <c r="AF6625" s="679"/>
    </row>
    <row r="6626" spans="32:32" x14ac:dyDescent="0.2">
      <c r="AF6626" s="679"/>
    </row>
    <row r="6627" spans="32:32" x14ac:dyDescent="0.2">
      <c r="AF6627" s="679"/>
    </row>
    <row r="6628" spans="32:32" x14ac:dyDescent="0.2">
      <c r="AF6628" s="679"/>
    </row>
    <row r="6629" spans="32:32" x14ac:dyDescent="0.2">
      <c r="AF6629" s="679"/>
    </row>
    <row r="6630" spans="32:32" x14ac:dyDescent="0.2">
      <c r="AF6630" s="679"/>
    </row>
    <row r="6631" spans="32:32" x14ac:dyDescent="0.2">
      <c r="AF6631" s="679"/>
    </row>
    <row r="6632" spans="32:32" x14ac:dyDescent="0.2">
      <c r="AF6632" s="679"/>
    </row>
    <row r="6633" spans="32:32" x14ac:dyDescent="0.2">
      <c r="AF6633" s="679"/>
    </row>
    <row r="6634" spans="32:32" x14ac:dyDescent="0.2">
      <c r="AF6634" s="679"/>
    </row>
    <row r="6635" spans="32:32" x14ac:dyDescent="0.2">
      <c r="AF6635" s="679"/>
    </row>
    <row r="6636" spans="32:32" x14ac:dyDescent="0.2">
      <c r="AF6636" s="679"/>
    </row>
    <row r="6637" spans="32:32" x14ac:dyDescent="0.2">
      <c r="AF6637" s="679"/>
    </row>
    <row r="6638" spans="32:32" x14ac:dyDescent="0.2">
      <c r="AF6638" s="679"/>
    </row>
    <row r="6639" spans="32:32" x14ac:dyDescent="0.2">
      <c r="AF6639" s="679"/>
    </row>
    <row r="6640" spans="32:32" x14ac:dyDescent="0.2">
      <c r="AF6640" s="679"/>
    </row>
    <row r="6641" spans="32:32" x14ac:dyDescent="0.2">
      <c r="AF6641" s="679"/>
    </row>
    <row r="6642" spans="32:32" x14ac:dyDescent="0.2">
      <c r="AF6642" s="679"/>
    </row>
    <row r="6643" spans="32:32" x14ac:dyDescent="0.2">
      <c r="AF6643" s="679"/>
    </row>
    <row r="6644" spans="32:32" x14ac:dyDescent="0.2">
      <c r="AF6644" s="679"/>
    </row>
    <row r="6645" spans="32:32" x14ac:dyDescent="0.2">
      <c r="AF6645" s="679"/>
    </row>
    <row r="6646" spans="32:32" x14ac:dyDescent="0.2">
      <c r="AF6646" s="679"/>
    </row>
    <row r="6647" spans="32:32" x14ac:dyDescent="0.2">
      <c r="AF6647" s="679"/>
    </row>
    <row r="6648" spans="32:32" x14ac:dyDescent="0.2">
      <c r="AF6648" s="679"/>
    </row>
    <row r="6649" spans="32:32" x14ac:dyDescent="0.2">
      <c r="AF6649" s="679"/>
    </row>
    <row r="6650" spans="32:32" x14ac:dyDescent="0.2">
      <c r="AF6650" s="679"/>
    </row>
    <row r="6651" spans="32:32" x14ac:dyDescent="0.2">
      <c r="AF6651" s="679"/>
    </row>
    <row r="6652" spans="32:32" x14ac:dyDescent="0.2">
      <c r="AF6652" s="679"/>
    </row>
    <row r="6653" spans="32:32" x14ac:dyDescent="0.2">
      <c r="AF6653" s="679"/>
    </row>
    <row r="6654" spans="32:32" x14ac:dyDescent="0.2">
      <c r="AF6654" s="679"/>
    </row>
    <row r="6655" spans="32:32" x14ac:dyDescent="0.2">
      <c r="AF6655" s="679"/>
    </row>
    <row r="6656" spans="32:32" x14ac:dyDescent="0.2">
      <c r="AF6656" s="679"/>
    </row>
    <row r="6657" spans="32:32" x14ac:dyDescent="0.2">
      <c r="AF6657" s="679"/>
    </row>
    <row r="6658" spans="32:32" x14ac:dyDescent="0.2">
      <c r="AF6658" s="679"/>
    </row>
    <row r="6659" spans="32:32" x14ac:dyDescent="0.2">
      <c r="AF6659" s="679"/>
    </row>
    <row r="6660" spans="32:32" x14ac:dyDescent="0.2">
      <c r="AF6660" s="679"/>
    </row>
    <row r="6661" spans="32:32" x14ac:dyDescent="0.2">
      <c r="AF6661" s="679"/>
    </row>
    <row r="6662" spans="32:32" x14ac:dyDescent="0.2">
      <c r="AF6662" s="679"/>
    </row>
    <row r="6663" spans="32:32" x14ac:dyDescent="0.2">
      <c r="AF6663" s="679"/>
    </row>
    <row r="6664" spans="32:32" x14ac:dyDescent="0.2">
      <c r="AF6664" s="679"/>
    </row>
    <row r="6665" spans="32:32" x14ac:dyDescent="0.2">
      <c r="AF6665" s="679"/>
    </row>
    <row r="6666" spans="32:32" x14ac:dyDescent="0.2">
      <c r="AF6666" s="679"/>
    </row>
    <row r="6667" spans="32:32" x14ac:dyDescent="0.2">
      <c r="AF6667" s="679"/>
    </row>
    <row r="6668" spans="32:32" x14ac:dyDescent="0.2">
      <c r="AF6668" s="679"/>
    </row>
    <row r="6669" spans="32:32" x14ac:dyDescent="0.2">
      <c r="AF6669" s="679"/>
    </row>
    <row r="6670" spans="32:32" x14ac:dyDescent="0.2">
      <c r="AF6670" s="679"/>
    </row>
    <row r="6671" spans="32:32" x14ac:dyDescent="0.2">
      <c r="AF6671" s="679"/>
    </row>
    <row r="6672" spans="32:32" x14ac:dyDescent="0.2">
      <c r="AF6672" s="679"/>
    </row>
    <row r="6673" spans="32:32" x14ac:dyDescent="0.2">
      <c r="AF6673" s="679"/>
    </row>
    <row r="6674" spans="32:32" x14ac:dyDescent="0.2">
      <c r="AF6674" s="679"/>
    </row>
    <row r="6675" spans="32:32" x14ac:dyDescent="0.2">
      <c r="AF6675" s="679"/>
    </row>
    <row r="6676" spans="32:32" x14ac:dyDescent="0.2">
      <c r="AF6676" s="679"/>
    </row>
    <row r="6677" spans="32:32" x14ac:dyDescent="0.2">
      <c r="AF6677" s="679"/>
    </row>
    <row r="6678" spans="32:32" x14ac:dyDescent="0.2">
      <c r="AF6678" s="679"/>
    </row>
    <row r="6679" spans="32:32" x14ac:dyDescent="0.2">
      <c r="AF6679" s="679"/>
    </row>
    <row r="6680" spans="32:32" x14ac:dyDescent="0.2">
      <c r="AF6680" s="679"/>
    </row>
    <row r="6681" spans="32:32" x14ac:dyDescent="0.2">
      <c r="AF6681" s="679"/>
    </row>
    <row r="6682" spans="32:32" x14ac:dyDescent="0.2">
      <c r="AF6682" s="679"/>
    </row>
    <row r="6683" spans="32:32" x14ac:dyDescent="0.2">
      <c r="AF6683" s="679"/>
    </row>
    <row r="6684" spans="32:32" x14ac:dyDescent="0.2">
      <c r="AF6684" s="679"/>
    </row>
    <row r="6685" spans="32:32" x14ac:dyDescent="0.2">
      <c r="AF6685" s="679"/>
    </row>
    <row r="6686" spans="32:32" x14ac:dyDescent="0.2">
      <c r="AF6686" s="679"/>
    </row>
    <row r="6687" spans="32:32" x14ac:dyDescent="0.2">
      <c r="AF6687" s="679"/>
    </row>
    <row r="6688" spans="32:32" x14ac:dyDescent="0.2">
      <c r="AF6688" s="679"/>
    </row>
    <row r="6689" spans="32:32" x14ac:dyDescent="0.2">
      <c r="AF6689" s="679"/>
    </row>
    <row r="6690" spans="32:32" x14ac:dyDescent="0.2">
      <c r="AF6690" s="679"/>
    </row>
    <row r="6691" spans="32:32" x14ac:dyDescent="0.2">
      <c r="AF6691" s="679"/>
    </row>
    <row r="6692" spans="32:32" x14ac:dyDescent="0.2">
      <c r="AF6692" s="679"/>
    </row>
    <row r="6693" spans="32:32" x14ac:dyDescent="0.2">
      <c r="AF6693" s="679"/>
    </row>
    <row r="6694" spans="32:32" x14ac:dyDescent="0.2">
      <c r="AF6694" s="679"/>
    </row>
    <row r="6695" spans="32:32" x14ac:dyDescent="0.2">
      <c r="AF6695" s="679"/>
    </row>
    <row r="6696" spans="32:32" x14ac:dyDescent="0.2">
      <c r="AF6696" s="679"/>
    </row>
    <row r="6697" spans="32:32" x14ac:dyDescent="0.2">
      <c r="AF6697" s="679"/>
    </row>
    <row r="6698" spans="32:32" x14ac:dyDescent="0.2">
      <c r="AF6698" s="679"/>
    </row>
    <row r="6699" spans="32:32" x14ac:dyDescent="0.2">
      <c r="AF6699" s="679"/>
    </row>
    <row r="6700" spans="32:32" x14ac:dyDescent="0.2">
      <c r="AF6700" s="679"/>
    </row>
    <row r="6701" spans="32:32" x14ac:dyDescent="0.2">
      <c r="AF6701" s="679"/>
    </row>
    <row r="6702" spans="32:32" x14ac:dyDescent="0.2">
      <c r="AF6702" s="679"/>
    </row>
    <row r="6703" spans="32:32" x14ac:dyDescent="0.2">
      <c r="AF6703" s="679"/>
    </row>
    <row r="6704" spans="32:32" x14ac:dyDescent="0.2">
      <c r="AF6704" s="679"/>
    </row>
    <row r="6705" spans="32:32" x14ac:dyDescent="0.2">
      <c r="AF6705" s="679"/>
    </row>
    <row r="6706" spans="32:32" x14ac:dyDescent="0.2">
      <c r="AF6706" s="679"/>
    </row>
    <row r="6707" spans="32:32" x14ac:dyDescent="0.2">
      <c r="AF6707" s="679"/>
    </row>
    <row r="6708" spans="32:32" x14ac:dyDescent="0.2">
      <c r="AF6708" s="679"/>
    </row>
    <row r="6709" spans="32:32" x14ac:dyDescent="0.2">
      <c r="AF6709" s="679"/>
    </row>
    <row r="6710" spans="32:32" x14ac:dyDescent="0.2">
      <c r="AF6710" s="679"/>
    </row>
    <row r="6711" spans="32:32" x14ac:dyDescent="0.2">
      <c r="AF6711" s="679"/>
    </row>
    <row r="6712" spans="32:32" x14ac:dyDescent="0.2">
      <c r="AF6712" s="679"/>
    </row>
    <row r="6713" spans="32:32" x14ac:dyDescent="0.2">
      <c r="AF6713" s="679"/>
    </row>
    <row r="6714" spans="32:32" x14ac:dyDescent="0.2">
      <c r="AF6714" s="679"/>
    </row>
    <row r="6715" spans="32:32" x14ac:dyDescent="0.2">
      <c r="AF6715" s="679"/>
    </row>
    <row r="6716" spans="32:32" x14ac:dyDescent="0.2">
      <c r="AF6716" s="679"/>
    </row>
    <row r="6717" spans="32:32" x14ac:dyDescent="0.2">
      <c r="AF6717" s="679"/>
    </row>
    <row r="6718" spans="32:32" x14ac:dyDescent="0.2">
      <c r="AF6718" s="679"/>
    </row>
    <row r="6719" spans="32:32" x14ac:dyDescent="0.2">
      <c r="AF6719" s="679"/>
    </row>
    <row r="6720" spans="32:32" x14ac:dyDescent="0.2">
      <c r="AF6720" s="679"/>
    </row>
    <row r="6721" spans="32:32" x14ac:dyDescent="0.2">
      <c r="AF6721" s="679"/>
    </row>
    <row r="6722" spans="32:32" x14ac:dyDescent="0.2">
      <c r="AF6722" s="679"/>
    </row>
    <row r="6723" spans="32:32" x14ac:dyDescent="0.2">
      <c r="AF6723" s="679"/>
    </row>
    <row r="6724" spans="32:32" x14ac:dyDescent="0.2">
      <c r="AF6724" s="679"/>
    </row>
    <row r="6725" spans="32:32" x14ac:dyDescent="0.2">
      <c r="AF6725" s="679"/>
    </row>
    <row r="6726" spans="32:32" x14ac:dyDescent="0.2">
      <c r="AF6726" s="679"/>
    </row>
    <row r="6727" spans="32:32" x14ac:dyDescent="0.2">
      <c r="AF6727" s="679"/>
    </row>
    <row r="6728" spans="32:32" x14ac:dyDescent="0.2">
      <c r="AF6728" s="679"/>
    </row>
    <row r="6729" spans="32:32" x14ac:dyDescent="0.2">
      <c r="AF6729" s="679"/>
    </row>
    <row r="6730" spans="32:32" x14ac:dyDescent="0.2">
      <c r="AF6730" s="679"/>
    </row>
    <row r="6731" spans="32:32" x14ac:dyDescent="0.2">
      <c r="AF6731" s="679"/>
    </row>
    <row r="6732" spans="32:32" x14ac:dyDescent="0.2">
      <c r="AF6732" s="679"/>
    </row>
    <row r="6733" spans="32:32" x14ac:dyDescent="0.2">
      <c r="AF6733" s="679"/>
    </row>
    <row r="6734" spans="32:32" x14ac:dyDescent="0.2">
      <c r="AF6734" s="679"/>
    </row>
    <row r="6735" spans="32:32" x14ac:dyDescent="0.2">
      <c r="AF6735" s="679"/>
    </row>
    <row r="6736" spans="32:32" x14ac:dyDescent="0.2">
      <c r="AF6736" s="679"/>
    </row>
    <row r="6737" spans="32:32" x14ac:dyDescent="0.2">
      <c r="AF6737" s="679"/>
    </row>
    <row r="6738" spans="32:32" x14ac:dyDescent="0.2">
      <c r="AF6738" s="679"/>
    </row>
    <row r="6739" spans="32:32" x14ac:dyDescent="0.2">
      <c r="AF6739" s="679"/>
    </row>
    <row r="6740" spans="32:32" x14ac:dyDescent="0.2">
      <c r="AF6740" s="679"/>
    </row>
    <row r="6741" spans="32:32" x14ac:dyDescent="0.2">
      <c r="AF6741" s="679"/>
    </row>
    <row r="6742" spans="32:32" x14ac:dyDescent="0.2">
      <c r="AF6742" s="679"/>
    </row>
    <row r="6743" spans="32:32" x14ac:dyDescent="0.2">
      <c r="AF6743" s="679"/>
    </row>
    <row r="6744" spans="32:32" x14ac:dyDescent="0.2">
      <c r="AF6744" s="679"/>
    </row>
    <row r="6745" spans="32:32" x14ac:dyDescent="0.2">
      <c r="AF6745" s="679"/>
    </row>
    <row r="6746" spans="32:32" x14ac:dyDescent="0.2">
      <c r="AF6746" s="679"/>
    </row>
    <row r="6747" spans="32:32" x14ac:dyDescent="0.2">
      <c r="AF6747" s="679"/>
    </row>
    <row r="6748" spans="32:32" x14ac:dyDescent="0.2">
      <c r="AF6748" s="679"/>
    </row>
    <row r="6749" spans="32:32" x14ac:dyDescent="0.2">
      <c r="AF6749" s="679"/>
    </row>
    <row r="6750" spans="32:32" x14ac:dyDescent="0.2">
      <c r="AF6750" s="679"/>
    </row>
    <row r="6751" spans="32:32" x14ac:dyDescent="0.2">
      <c r="AF6751" s="679"/>
    </row>
    <row r="6752" spans="32:32" x14ac:dyDescent="0.2">
      <c r="AF6752" s="679"/>
    </row>
    <row r="6753" spans="32:32" x14ac:dyDescent="0.2">
      <c r="AF6753" s="679"/>
    </row>
    <row r="6754" spans="32:32" x14ac:dyDescent="0.2">
      <c r="AF6754" s="679"/>
    </row>
    <row r="6755" spans="32:32" x14ac:dyDescent="0.2">
      <c r="AF6755" s="679"/>
    </row>
    <row r="6756" spans="32:32" x14ac:dyDescent="0.2">
      <c r="AF6756" s="679"/>
    </row>
    <row r="6757" spans="32:32" x14ac:dyDescent="0.2">
      <c r="AF6757" s="679"/>
    </row>
    <row r="6758" spans="32:32" x14ac:dyDescent="0.2">
      <c r="AF6758" s="679"/>
    </row>
    <row r="6759" spans="32:32" x14ac:dyDescent="0.2">
      <c r="AF6759" s="679"/>
    </row>
    <row r="6760" spans="32:32" x14ac:dyDescent="0.2">
      <c r="AF6760" s="679"/>
    </row>
    <row r="6761" spans="32:32" x14ac:dyDescent="0.2">
      <c r="AF6761" s="679"/>
    </row>
    <row r="6762" spans="32:32" x14ac:dyDescent="0.2">
      <c r="AF6762" s="679"/>
    </row>
    <row r="6763" spans="32:32" x14ac:dyDescent="0.2">
      <c r="AF6763" s="679"/>
    </row>
    <row r="6764" spans="32:32" x14ac:dyDescent="0.2">
      <c r="AF6764" s="679"/>
    </row>
    <row r="6765" spans="32:32" x14ac:dyDescent="0.2">
      <c r="AF6765" s="679"/>
    </row>
    <row r="6766" spans="32:32" x14ac:dyDescent="0.2">
      <c r="AF6766" s="679"/>
    </row>
    <row r="6767" spans="32:32" x14ac:dyDescent="0.2">
      <c r="AF6767" s="679"/>
    </row>
    <row r="6768" spans="32:32" x14ac:dyDescent="0.2">
      <c r="AF6768" s="679"/>
    </row>
    <row r="6769" spans="32:32" x14ac:dyDescent="0.2">
      <c r="AF6769" s="679"/>
    </row>
    <row r="6770" spans="32:32" x14ac:dyDescent="0.2">
      <c r="AF6770" s="679"/>
    </row>
    <row r="6771" spans="32:32" x14ac:dyDescent="0.2">
      <c r="AF6771" s="679"/>
    </row>
    <row r="6772" spans="32:32" x14ac:dyDescent="0.2">
      <c r="AF6772" s="679"/>
    </row>
    <row r="6773" spans="32:32" x14ac:dyDescent="0.2">
      <c r="AF6773" s="679"/>
    </row>
    <row r="6774" spans="32:32" x14ac:dyDescent="0.2">
      <c r="AF6774" s="679"/>
    </row>
    <row r="6775" spans="32:32" x14ac:dyDescent="0.2">
      <c r="AF6775" s="679"/>
    </row>
    <row r="6776" spans="32:32" x14ac:dyDescent="0.2">
      <c r="AF6776" s="679"/>
    </row>
    <row r="6777" spans="32:32" x14ac:dyDescent="0.2">
      <c r="AF6777" s="679"/>
    </row>
    <row r="6778" spans="32:32" x14ac:dyDescent="0.2">
      <c r="AF6778" s="679"/>
    </row>
    <row r="6779" spans="32:32" x14ac:dyDescent="0.2">
      <c r="AF6779" s="679"/>
    </row>
    <row r="6780" spans="32:32" x14ac:dyDescent="0.2">
      <c r="AF6780" s="679"/>
    </row>
    <row r="6781" spans="32:32" x14ac:dyDescent="0.2">
      <c r="AF6781" s="679"/>
    </row>
    <row r="6782" spans="32:32" x14ac:dyDescent="0.2">
      <c r="AF6782" s="679"/>
    </row>
    <row r="6783" spans="32:32" x14ac:dyDescent="0.2">
      <c r="AF6783" s="679"/>
    </row>
    <row r="6784" spans="32:32" x14ac:dyDescent="0.2">
      <c r="AF6784" s="679"/>
    </row>
    <row r="6785" spans="32:32" x14ac:dyDescent="0.2">
      <c r="AF6785" s="679"/>
    </row>
    <row r="6786" spans="32:32" x14ac:dyDescent="0.2">
      <c r="AF6786" s="679"/>
    </row>
    <row r="6787" spans="32:32" x14ac:dyDescent="0.2">
      <c r="AF6787" s="679"/>
    </row>
    <row r="6788" spans="32:32" x14ac:dyDescent="0.2">
      <c r="AF6788" s="679"/>
    </row>
    <row r="6789" spans="32:32" x14ac:dyDescent="0.2">
      <c r="AF6789" s="679"/>
    </row>
    <row r="6790" spans="32:32" x14ac:dyDescent="0.2">
      <c r="AF6790" s="679"/>
    </row>
    <row r="6791" spans="32:32" x14ac:dyDescent="0.2">
      <c r="AF6791" s="679"/>
    </row>
    <row r="6792" spans="32:32" x14ac:dyDescent="0.2">
      <c r="AF6792" s="679"/>
    </row>
    <row r="6793" spans="32:32" x14ac:dyDescent="0.2">
      <c r="AF6793" s="679"/>
    </row>
    <row r="6794" spans="32:32" x14ac:dyDescent="0.2">
      <c r="AF6794" s="679"/>
    </row>
    <row r="6795" spans="32:32" x14ac:dyDescent="0.2">
      <c r="AF6795" s="679"/>
    </row>
    <row r="6796" spans="32:32" x14ac:dyDescent="0.2">
      <c r="AF6796" s="679"/>
    </row>
    <row r="6797" spans="32:32" x14ac:dyDescent="0.2">
      <c r="AF6797" s="679"/>
    </row>
    <row r="6798" spans="32:32" x14ac:dyDescent="0.2">
      <c r="AF6798" s="679"/>
    </row>
    <row r="6799" spans="32:32" x14ac:dyDescent="0.2">
      <c r="AF6799" s="679"/>
    </row>
    <row r="6800" spans="32:32" x14ac:dyDescent="0.2">
      <c r="AF6800" s="679"/>
    </row>
    <row r="6801" spans="32:32" x14ac:dyDescent="0.2">
      <c r="AF6801" s="679"/>
    </row>
    <row r="6802" spans="32:32" x14ac:dyDescent="0.2">
      <c r="AF6802" s="679"/>
    </row>
    <row r="6803" spans="32:32" x14ac:dyDescent="0.2">
      <c r="AF6803" s="679"/>
    </row>
    <row r="6804" spans="32:32" x14ac:dyDescent="0.2">
      <c r="AF6804" s="679"/>
    </row>
    <row r="6805" spans="32:32" x14ac:dyDescent="0.2">
      <c r="AF6805" s="679"/>
    </row>
    <row r="6806" spans="32:32" x14ac:dyDescent="0.2">
      <c r="AF6806" s="679"/>
    </row>
    <row r="6807" spans="32:32" x14ac:dyDescent="0.2">
      <c r="AF6807" s="679"/>
    </row>
    <row r="6808" spans="32:32" x14ac:dyDescent="0.2">
      <c r="AF6808" s="679"/>
    </row>
    <row r="6809" spans="32:32" x14ac:dyDescent="0.2">
      <c r="AF6809" s="679"/>
    </row>
    <row r="6810" spans="32:32" x14ac:dyDescent="0.2">
      <c r="AF6810" s="679"/>
    </row>
    <row r="6811" spans="32:32" x14ac:dyDescent="0.2">
      <c r="AF6811" s="679"/>
    </row>
    <row r="6812" spans="32:32" x14ac:dyDescent="0.2">
      <c r="AF6812" s="679"/>
    </row>
    <row r="6813" spans="32:32" x14ac:dyDescent="0.2">
      <c r="AF6813" s="679"/>
    </row>
    <row r="6814" spans="32:32" x14ac:dyDescent="0.2">
      <c r="AF6814" s="679"/>
    </row>
    <row r="6815" spans="32:32" x14ac:dyDescent="0.2">
      <c r="AF6815" s="679"/>
    </row>
    <row r="6816" spans="32:32" x14ac:dyDescent="0.2">
      <c r="AF6816" s="679"/>
    </row>
    <row r="6817" spans="32:32" x14ac:dyDescent="0.2">
      <c r="AF6817" s="679"/>
    </row>
    <row r="6818" spans="32:32" x14ac:dyDescent="0.2">
      <c r="AF6818" s="679"/>
    </row>
    <row r="6819" spans="32:32" x14ac:dyDescent="0.2">
      <c r="AF6819" s="679"/>
    </row>
    <row r="6820" spans="32:32" x14ac:dyDescent="0.2">
      <c r="AF6820" s="679"/>
    </row>
    <row r="6821" spans="32:32" x14ac:dyDescent="0.2">
      <c r="AF6821" s="679"/>
    </row>
    <row r="6822" spans="32:32" x14ac:dyDescent="0.2">
      <c r="AF6822" s="679"/>
    </row>
    <row r="6823" spans="32:32" x14ac:dyDescent="0.2">
      <c r="AF6823" s="679"/>
    </row>
    <row r="6824" spans="32:32" x14ac:dyDescent="0.2">
      <c r="AF6824" s="679"/>
    </row>
    <row r="6825" spans="32:32" x14ac:dyDescent="0.2">
      <c r="AF6825" s="679"/>
    </row>
    <row r="6826" spans="32:32" x14ac:dyDescent="0.2">
      <c r="AF6826" s="679"/>
    </row>
    <row r="6827" spans="32:32" x14ac:dyDescent="0.2">
      <c r="AF6827" s="679"/>
    </row>
    <row r="6828" spans="32:32" x14ac:dyDescent="0.2">
      <c r="AF6828" s="679"/>
    </row>
    <row r="6829" spans="32:32" x14ac:dyDescent="0.2">
      <c r="AF6829" s="679"/>
    </row>
    <row r="6830" spans="32:32" x14ac:dyDescent="0.2">
      <c r="AF6830" s="679"/>
    </row>
    <row r="6831" spans="32:32" x14ac:dyDescent="0.2">
      <c r="AF6831" s="679"/>
    </row>
    <row r="6832" spans="32:32" x14ac:dyDescent="0.2">
      <c r="AF6832" s="679"/>
    </row>
    <row r="6833" spans="32:32" x14ac:dyDescent="0.2">
      <c r="AF6833" s="679"/>
    </row>
    <row r="6834" spans="32:32" x14ac:dyDescent="0.2">
      <c r="AF6834" s="679"/>
    </row>
    <row r="6835" spans="32:32" x14ac:dyDescent="0.2">
      <c r="AF6835" s="679"/>
    </row>
    <row r="6836" spans="32:32" x14ac:dyDescent="0.2">
      <c r="AF6836" s="679"/>
    </row>
    <row r="6837" spans="32:32" x14ac:dyDescent="0.2">
      <c r="AF6837" s="679"/>
    </row>
    <row r="6838" spans="32:32" x14ac:dyDescent="0.2">
      <c r="AF6838" s="679"/>
    </row>
    <row r="6839" spans="32:32" x14ac:dyDescent="0.2">
      <c r="AF6839" s="679"/>
    </row>
    <row r="6840" spans="32:32" x14ac:dyDescent="0.2">
      <c r="AF6840" s="679"/>
    </row>
    <row r="6841" spans="32:32" x14ac:dyDescent="0.2">
      <c r="AF6841" s="679"/>
    </row>
    <row r="6842" spans="32:32" x14ac:dyDescent="0.2">
      <c r="AF6842" s="679"/>
    </row>
    <row r="6843" spans="32:32" x14ac:dyDescent="0.2">
      <c r="AF6843" s="679"/>
    </row>
    <row r="6844" spans="32:32" x14ac:dyDescent="0.2">
      <c r="AF6844" s="679"/>
    </row>
    <row r="6845" spans="32:32" x14ac:dyDescent="0.2">
      <c r="AF6845" s="679"/>
    </row>
    <row r="6846" spans="32:32" x14ac:dyDescent="0.2">
      <c r="AF6846" s="679"/>
    </row>
    <row r="6847" spans="32:32" x14ac:dyDescent="0.2">
      <c r="AF6847" s="679"/>
    </row>
    <row r="6848" spans="32:32" x14ac:dyDescent="0.2">
      <c r="AF6848" s="679"/>
    </row>
    <row r="6849" spans="32:32" x14ac:dyDescent="0.2">
      <c r="AF6849" s="679"/>
    </row>
    <row r="6850" spans="32:32" x14ac:dyDescent="0.2">
      <c r="AF6850" s="679"/>
    </row>
    <row r="6851" spans="32:32" x14ac:dyDescent="0.2">
      <c r="AF6851" s="679"/>
    </row>
    <row r="6852" spans="32:32" x14ac:dyDescent="0.2">
      <c r="AF6852" s="679"/>
    </row>
    <row r="6853" spans="32:32" x14ac:dyDescent="0.2">
      <c r="AF6853" s="679"/>
    </row>
    <row r="6854" spans="32:32" x14ac:dyDescent="0.2">
      <c r="AF6854" s="679"/>
    </row>
    <row r="6855" spans="32:32" x14ac:dyDescent="0.2">
      <c r="AF6855" s="679"/>
    </row>
    <row r="6856" spans="32:32" x14ac:dyDescent="0.2">
      <c r="AF6856" s="679"/>
    </row>
    <row r="6857" spans="32:32" x14ac:dyDescent="0.2">
      <c r="AF6857" s="679"/>
    </row>
    <row r="6858" spans="32:32" x14ac:dyDescent="0.2">
      <c r="AF6858" s="679"/>
    </row>
    <row r="6859" spans="32:32" x14ac:dyDescent="0.2">
      <c r="AF6859" s="679"/>
    </row>
    <row r="6860" spans="32:32" x14ac:dyDescent="0.2">
      <c r="AF6860" s="679"/>
    </row>
    <row r="6861" spans="32:32" x14ac:dyDescent="0.2">
      <c r="AF6861" s="679"/>
    </row>
    <row r="6862" spans="32:32" x14ac:dyDescent="0.2">
      <c r="AF6862" s="679"/>
    </row>
    <row r="6863" spans="32:32" x14ac:dyDescent="0.2">
      <c r="AF6863" s="679"/>
    </row>
    <row r="6864" spans="32:32" x14ac:dyDescent="0.2">
      <c r="AF6864" s="679"/>
    </row>
    <row r="6865" spans="32:32" x14ac:dyDescent="0.2">
      <c r="AF6865" s="679"/>
    </row>
    <row r="6866" spans="32:32" x14ac:dyDescent="0.2">
      <c r="AF6866" s="679"/>
    </row>
    <row r="6867" spans="32:32" x14ac:dyDescent="0.2">
      <c r="AF6867" s="679"/>
    </row>
    <row r="6868" spans="32:32" x14ac:dyDescent="0.2">
      <c r="AF6868" s="679"/>
    </row>
    <row r="6869" spans="32:32" x14ac:dyDescent="0.2">
      <c r="AF6869" s="679"/>
    </row>
    <row r="6870" spans="32:32" x14ac:dyDescent="0.2">
      <c r="AF6870" s="679"/>
    </row>
    <row r="6871" spans="32:32" x14ac:dyDescent="0.2">
      <c r="AF6871" s="679"/>
    </row>
    <row r="6872" spans="32:32" x14ac:dyDescent="0.2">
      <c r="AF6872" s="679"/>
    </row>
    <row r="6873" spans="32:32" x14ac:dyDescent="0.2">
      <c r="AF6873" s="679"/>
    </row>
    <row r="6874" spans="32:32" x14ac:dyDescent="0.2">
      <c r="AF6874" s="679"/>
    </row>
    <row r="6875" spans="32:32" x14ac:dyDescent="0.2">
      <c r="AF6875" s="679"/>
    </row>
    <row r="6876" spans="32:32" x14ac:dyDescent="0.2">
      <c r="AF6876" s="679"/>
    </row>
    <row r="6877" spans="32:32" x14ac:dyDescent="0.2">
      <c r="AF6877" s="679"/>
    </row>
    <row r="6878" spans="32:32" x14ac:dyDescent="0.2">
      <c r="AF6878" s="679"/>
    </row>
    <row r="6879" spans="32:32" x14ac:dyDescent="0.2">
      <c r="AF6879" s="679"/>
    </row>
    <row r="6880" spans="32:32" x14ac:dyDescent="0.2">
      <c r="AF6880" s="679"/>
    </row>
    <row r="6881" spans="32:32" x14ac:dyDescent="0.2">
      <c r="AF6881" s="679"/>
    </row>
    <row r="6882" spans="32:32" x14ac:dyDescent="0.2">
      <c r="AF6882" s="679"/>
    </row>
    <row r="6883" spans="32:32" x14ac:dyDescent="0.2">
      <c r="AF6883" s="679"/>
    </row>
    <row r="6884" spans="32:32" x14ac:dyDescent="0.2">
      <c r="AF6884" s="679"/>
    </row>
    <row r="6885" spans="32:32" x14ac:dyDescent="0.2">
      <c r="AF6885" s="679"/>
    </row>
    <row r="6886" spans="32:32" x14ac:dyDescent="0.2">
      <c r="AF6886" s="679"/>
    </row>
    <row r="6887" spans="32:32" x14ac:dyDescent="0.2">
      <c r="AF6887" s="679"/>
    </row>
    <row r="6888" spans="32:32" x14ac:dyDescent="0.2">
      <c r="AF6888" s="679"/>
    </row>
    <row r="6889" spans="32:32" x14ac:dyDescent="0.2">
      <c r="AF6889" s="679"/>
    </row>
    <row r="6890" spans="32:32" x14ac:dyDescent="0.2">
      <c r="AF6890" s="679"/>
    </row>
    <row r="6891" spans="32:32" x14ac:dyDescent="0.2">
      <c r="AF6891" s="679"/>
    </row>
    <row r="6892" spans="32:32" x14ac:dyDescent="0.2">
      <c r="AF6892" s="679"/>
    </row>
    <row r="6893" spans="32:32" x14ac:dyDescent="0.2">
      <c r="AF6893" s="679"/>
    </row>
    <row r="6894" spans="32:32" x14ac:dyDescent="0.2">
      <c r="AF6894" s="679"/>
    </row>
    <row r="6895" spans="32:32" x14ac:dyDescent="0.2">
      <c r="AF6895" s="679"/>
    </row>
    <row r="6896" spans="32:32" x14ac:dyDescent="0.2">
      <c r="AF6896" s="679"/>
    </row>
    <row r="6897" spans="32:32" x14ac:dyDescent="0.2">
      <c r="AF6897" s="679"/>
    </row>
    <row r="6898" spans="32:32" x14ac:dyDescent="0.2">
      <c r="AF6898" s="679"/>
    </row>
    <row r="6899" spans="32:32" x14ac:dyDescent="0.2">
      <c r="AF6899" s="679"/>
    </row>
    <row r="6900" spans="32:32" x14ac:dyDescent="0.2">
      <c r="AF6900" s="679"/>
    </row>
    <row r="6901" spans="32:32" x14ac:dyDescent="0.2">
      <c r="AF6901" s="679"/>
    </row>
    <row r="6902" spans="32:32" x14ac:dyDescent="0.2">
      <c r="AF6902" s="679"/>
    </row>
    <row r="6903" spans="32:32" x14ac:dyDescent="0.2">
      <c r="AF6903" s="679"/>
    </row>
    <row r="6904" spans="32:32" x14ac:dyDescent="0.2">
      <c r="AF6904" s="679"/>
    </row>
    <row r="6905" spans="32:32" x14ac:dyDescent="0.2">
      <c r="AF6905" s="679"/>
    </row>
    <row r="6906" spans="32:32" x14ac:dyDescent="0.2">
      <c r="AF6906" s="679"/>
    </row>
    <row r="6907" spans="32:32" x14ac:dyDescent="0.2">
      <c r="AF6907" s="679"/>
    </row>
    <row r="6908" spans="32:32" x14ac:dyDescent="0.2">
      <c r="AF6908" s="679"/>
    </row>
    <row r="6909" spans="32:32" x14ac:dyDescent="0.2">
      <c r="AF6909" s="679"/>
    </row>
    <row r="6910" spans="32:32" x14ac:dyDescent="0.2">
      <c r="AF6910" s="679"/>
    </row>
    <row r="6911" spans="32:32" x14ac:dyDescent="0.2">
      <c r="AF6911" s="679"/>
    </row>
    <row r="6912" spans="32:32" x14ac:dyDescent="0.2">
      <c r="AF6912" s="679"/>
    </row>
    <row r="6913" spans="32:32" x14ac:dyDescent="0.2">
      <c r="AF6913" s="679"/>
    </row>
    <row r="6914" spans="32:32" x14ac:dyDescent="0.2">
      <c r="AF6914" s="679"/>
    </row>
    <row r="6915" spans="32:32" x14ac:dyDescent="0.2">
      <c r="AF6915" s="679"/>
    </row>
    <row r="6916" spans="32:32" x14ac:dyDescent="0.2">
      <c r="AF6916" s="679"/>
    </row>
    <row r="6917" spans="32:32" x14ac:dyDescent="0.2">
      <c r="AF6917" s="679"/>
    </row>
    <row r="6918" spans="32:32" x14ac:dyDescent="0.2">
      <c r="AF6918" s="679"/>
    </row>
    <row r="6919" spans="32:32" x14ac:dyDescent="0.2">
      <c r="AF6919" s="679"/>
    </row>
    <row r="6920" spans="32:32" x14ac:dyDescent="0.2">
      <c r="AF6920" s="679"/>
    </row>
    <row r="6921" spans="32:32" x14ac:dyDescent="0.2">
      <c r="AF6921" s="679"/>
    </row>
    <row r="6922" spans="32:32" x14ac:dyDescent="0.2">
      <c r="AF6922" s="679"/>
    </row>
    <row r="6923" spans="32:32" x14ac:dyDescent="0.2">
      <c r="AF6923" s="679"/>
    </row>
    <row r="6924" spans="32:32" x14ac:dyDescent="0.2">
      <c r="AF6924" s="679"/>
    </row>
    <row r="6925" spans="32:32" x14ac:dyDescent="0.2">
      <c r="AF6925" s="679"/>
    </row>
    <row r="6926" spans="32:32" x14ac:dyDescent="0.2">
      <c r="AF6926" s="679"/>
    </row>
    <row r="6927" spans="32:32" x14ac:dyDescent="0.2">
      <c r="AF6927" s="679"/>
    </row>
    <row r="6928" spans="32:32" x14ac:dyDescent="0.2">
      <c r="AF6928" s="679"/>
    </row>
    <row r="6929" spans="32:32" x14ac:dyDescent="0.2">
      <c r="AF6929" s="679"/>
    </row>
    <row r="6930" spans="32:32" x14ac:dyDescent="0.2">
      <c r="AF6930" s="679"/>
    </row>
    <row r="6931" spans="32:32" x14ac:dyDescent="0.2">
      <c r="AF6931" s="679"/>
    </row>
    <row r="6932" spans="32:32" x14ac:dyDescent="0.2">
      <c r="AF6932" s="679"/>
    </row>
    <row r="6933" spans="32:32" x14ac:dyDescent="0.2">
      <c r="AF6933" s="679"/>
    </row>
    <row r="6934" spans="32:32" x14ac:dyDescent="0.2">
      <c r="AF6934" s="679"/>
    </row>
    <row r="6935" spans="32:32" x14ac:dyDescent="0.2">
      <c r="AF6935" s="679"/>
    </row>
    <row r="6936" spans="32:32" x14ac:dyDescent="0.2">
      <c r="AF6936" s="679"/>
    </row>
    <row r="6937" spans="32:32" x14ac:dyDescent="0.2">
      <c r="AF6937" s="679"/>
    </row>
    <row r="6938" spans="32:32" x14ac:dyDescent="0.2">
      <c r="AF6938" s="679"/>
    </row>
    <row r="6939" spans="32:32" x14ac:dyDescent="0.2">
      <c r="AF6939" s="679"/>
    </row>
    <row r="6940" spans="32:32" x14ac:dyDescent="0.2">
      <c r="AF6940" s="679"/>
    </row>
    <row r="6941" spans="32:32" x14ac:dyDescent="0.2">
      <c r="AF6941" s="679"/>
    </row>
    <row r="6942" spans="32:32" x14ac:dyDescent="0.2">
      <c r="AF6942" s="679"/>
    </row>
    <row r="6943" spans="32:32" x14ac:dyDescent="0.2">
      <c r="AF6943" s="679"/>
    </row>
    <row r="6944" spans="32:32" x14ac:dyDescent="0.2">
      <c r="AF6944" s="679"/>
    </row>
    <row r="6945" spans="32:32" x14ac:dyDescent="0.2">
      <c r="AF6945" s="679"/>
    </row>
    <row r="6946" spans="32:32" x14ac:dyDescent="0.2">
      <c r="AF6946" s="679"/>
    </row>
    <row r="6947" spans="32:32" x14ac:dyDescent="0.2">
      <c r="AF6947" s="679"/>
    </row>
    <row r="6948" spans="32:32" x14ac:dyDescent="0.2">
      <c r="AF6948" s="679"/>
    </row>
    <row r="6949" spans="32:32" x14ac:dyDescent="0.2">
      <c r="AF6949" s="679"/>
    </row>
    <row r="6950" spans="32:32" x14ac:dyDescent="0.2">
      <c r="AF6950" s="679"/>
    </row>
    <row r="6951" spans="32:32" x14ac:dyDescent="0.2">
      <c r="AF6951" s="679"/>
    </row>
    <row r="6952" spans="32:32" x14ac:dyDescent="0.2">
      <c r="AF6952" s="679"/>
    </row>
    <row r="6953" spans="32:32" x14ac:dyDescent="0.2">
      <c r="AF6953" s="679"/>
    </row>
    <row r="6954" spans="32:32" x14ac:dyDescent="0.2">
      <c r="AF6954" s="679"/>
    </row>
    <row r="6955" spans="32:32" x14ac:dyDescent="0.2">
      <c r="AF6955" s="679"/>
    </row>
    <row r="6956" spans="32:32" x14ac:dyDescent="0.2">
      <c r="AF6956" s="679"/>
    </row>
    <row r="6957" spans="32:32" x14ac:dyDescent="0.2">
      <c r="AF6957" s="679"/>
    </row>
    <row r="6958" spans="32:32" x14ac:dyDescent="0.2">
      <c r="AF6958" s="679"/>
    </row>
    <row r="6959" spans="32:32" x14ac:dyDescent="0.2">
      <c r="AF6959" s="679"/>
    </row>
    <row r="6960" spans="32:32" x14ac:dyDescent="0.2">
      <c r="AF6960" s="679"/>
    </row>
    <row r="6961" spans="32:32" x14ac:dyDescent="0.2">
      <c r="AF6961" s="679"/>
    </row>
    <row r="6962" spans="32:32" x14ac:dyDescent="0.2">
      <c r="AF6962" s="679"/>
    </row>
    <row r="6963" spans="32:32" x14ac:dyDescent="0.2">
      <c r="AF6963" s="679"/>
    </row>
    <row r="6964" spans="32:32" x14ac:dyDescent="0.2">
      <c r="AF6964" s="679"/>
    </row>
    <row r="6965" spans="32:32" x14ac:dyDescent="0.2">
      <c r="AF6965" s="679"/>
    </row>
    <row r="6966" spans="32:32" x14ac:dyDescent="0.2">
      <c r="AF6966" s="679"/>
    </row>
    <row r="6967" spans="32:32" x14ac:dyDescent="0.2">
      <c r="AF6967" s="679"/>
    </row>
    <row r="6968" spans="32:32" x14ac:dyDescent="0.2">
      <c r="AF6968" s="679"/>
    </row>
    <row r="6969" spans="32:32" x14ac:dyDescent="0.2">
      <c r="AF6969" s="679"/>
    </row>
    <row r="6970" spans="32:32" x14ac:dyDescent="0.2">
      <c r="AF6970" s="679"/>
    </row>
    <row r="6971" spans="32:32" x14ac:dyDescent="0.2">
      <c r="AF6971" s="679"/>
    </row>
    <row r="6972" spans="32:32" x14ac:dyDescent="0.2">
      <c r="AF6972" s="679"/>
    </row>
    <row r="6973" spans="32:32" x14ac:dyDescent="0.2">
      <c r="AF6973" s="679"/>
    </row>
    <row r="6974" spans="32:32" x14ac:dyDescent="0.2">
      <c r="AF6974" s="679"/>
    </row>
    <row r="6975" spans="32:32" x14ac:dyDescent="0.2">
      <c r="AF6975" s="679"/>
    </row>
    <row r="6976" spans="32:32" x14ac:dyDescent="0.2">
      <c r="AF6976" s="679"/>
    </row>
    <row r="6977" spans="32:32" x14ac:dyDescent="0.2">
      <c r="AF6977" s="679"/>
    </row>
    <row r="6978" spans="32:32" x14ac:dyDescent="0.2">
      <c r="AF6978" s="679"/>
    </row>
    <row r="6979" spans="32:32" x14ac:dyDescent="0.2">
      <c r="AF6979" s="679"/>
    </row>
    <row r="6980" spans="32:32" x14ac:dyDescent="0.2">
      <c r="AF6980" s="679"/>
    </row>
    <row r="6981" spans="32:32" x14ac:dyDescent="0.2">
      <c r="AF6981" s="679"/>
    </row>
    <row r="6982" spans="32:32" x14ac:dyDescent="0.2">
      <c r="AF6982" s="679"/>
    </row>
    <row r="6983" spans="32:32" x14ac:dyDescent="0.2">
      <c r="AF6983" s="679"/>
    </row>
    <row r="6984" spans="32:32" x14ac:dyDescent="0.2">
      <c r="AF6984" s="679"/>
    </row>
    <row r="6985" spans="32:32" x14ac:dyDescent="0.2">
      <c r="AF6985" s="679"/>
    </row>
    <row r="6986" spans="32:32" x14ac:dyDescent="0.2">
      <c r="AF6986" s="679"/>
    </row>
    <row r="6987" spans="32:32" x14ac:dyDescent="0.2">
      <c r="AF6987" s="679"/>
    </row>
    <row r="6988" spans="32:32" x14ac:dyDescent="0.2">
      <c r="AF6988" s="679"/>
    </row>
    <row r="6989" spans="32:32" x14ac:dyDescent="0.2">
      <c r="AF6989" s="679"/>
    </row>
    <row r="6990" spans="32:32" x14ac:dyDescent="0.2">
      <c r="AF6990" s="679"/>
    </row>
    <row r="6991" spans="32:32" x14ac:dyDescent="0.2">
      <c r="AF6991" s="679"/>
    </row>
    <row r="6992" spans="32:32" x14ac:dyDescent="0.2">
      <c r="AF6992" s="679"/>
    </row>
    <row r="6993" spans="32:32" x14ac:dyDescent="0.2">
      <c r="AF6993" s="679"/>
    </row>
    <row r="6994" spans="32:32" x14ac:dyDescent="0.2">
      <c r="AF6994" s="679"/>
    </row>
    <row r="6995" spans="32:32" x14ac:dyDescent="0.2">
      <c r="AF6995" s="679"/>
    </row>
    <row r="6996" spans="32:32" x14ac:dyDescent="0.2">
      <c r="AF6996" s="679"/>
    </row>
    <row r="6997" spans="32:32" x14ac:dyDescent="0.2">
      <c r="AF6997" s="679"/>
    </row>
    <row r="6998" spans="32:32" x14ac:dyDescent="0.2">
      <c r="AF6998" s="679"/>
    </row>
    <row r="6999" spans="32:32" x14ac:dyDescent="0.2">
      <c r="AF6999" s="679"/>
    </row>
    <row r="7000" spans="32:32" x14ac:dyDescent="0.2">
      <c r="AF7000" s="679"/>
    </row>
    <row r="7001" spans="32:32" x14ac:dyDescent="0.2">
      <c r="AF7001" s="679"/>
    </row>
    <row r="7002" spans="32:32" x14ac:dyDescent="0.2">
      <c r="AF7002" s="679"/>
    </row>
    <row r="7003" spans="32:32" x14ac:dyDescent="0.2">
      <c r="AF7003" s="679"/>
    </row>
    <row r="7004" spans="32:32" x14ac:dyDescent="0.2">
      <c r="AF7004" s="679"/>
    </row>
    <row r="7005" spans="32:32" x14ac:dyDescent="0.2">
      <c r="AF7005" s="679"/>
    </row>
    <row r="7006" spans="32:32" x14ac:dyDescent="0.2">
      <c r="AF7006" s="679"/>
    </row>
    <row r="7007" spans="32:32" x14ac:dyDescent="0.2">
      <c r="AF7007" s="679"/>
    </row>
    <row r="7008" spans="32:32" x14ac:dyDescent="0.2">
      <c r="AF7008" s="679"/>
    </row>
    <row r="7009" spans="32:32" x14ac:dyDescent="0.2">
      <c r="AF7009" s="679"/>
    </row>
    <row r="7010" spans="32:32" x14ac:dyDescent="0.2">
      <c r="AF7010" s="679"/>
    </row>
    <row r="7011" spans="32:32" x14ac:dyDescent="0.2">
      <c r="AF7011" s="679"/>
    </row>
    <row r="7012" spans="32:32" x14ac:dyDescent="0.2">
      <c r="AF7012" s="679"/>
    </row>
    <row r="7013" spans="32:32" x14ac:dyDescent="0.2">
      <c r="AF7013" s="679"/>
    </row>
    <row r="7014" spans="32:32" x14ac:dyDescent="0.2">
      <c r="AF7014" s="679"/>
    </row>
    <row r="7015" spans="32:32" x14ac:dyDescent="0.2">
      <c r="AF7015" s="679"/>
    </row>
    <row r="7016" spans="32:32" x14ac:dyDescent="0.2">
      <c r="AF7016" s="679"/>
    </row>
    <row r="7017" spans="32:32" x14ac:dyDescent="0.2">
      <c r="AF7017" s="679"/>
    </row>
    <row r="7018" spans="32:32" x14ac:dyDescent="0.2">
      <c r="AF7018" s="679"/>
    </row>
    <row r="7019" spans="32:32" x14ac:dyDescent="0.2">
      <c r="AF7019" s="679"/>
    </row>
    <row r="7020" spans="32:32" x14ac:dyDescent="0.2">
      <c r="AF7020" s="679"/>
    </row>
    <row r="7021" spans="32:32" x14ac:dyDescent="0.2">
      <c r="AF7021" s="679"/>
    </row>
    <row r="7022" spans="32:32" x14ac:dyDescent="0.2">
      <c r="AF7022" s="679"/>
    </row>
    <row r="7023" spans="32:32" x14ac:dyDescent="0.2">
      <c r="AF7023" s="679"/>
    </row>
    <row r="7024" spans="32:32" x14ac:dyDescent="0.2">
      <c r="AF7024" s="679"/>
    </row>
    <row r="7025" spans="32:32" x14ac:dyDescent="0.2">
      <c r="AF7025" s="679"/>
    </row>
    <row r="7026" spans="32:32" x14ac:dyDescent="0.2">
      <c r="AF7026" s="679"/>
    </row>
    <row r="7027" spans="32:32" x14ac:dyDescent="0.2">
      <c r="AF7027" s="679"/>
    </row>
    <row r="7028" spans="32:32" x14ac:dyDescent="0.2">
      <c r="AF7028" s="679"/>
    </row>
    <row r="7029" spans="32:32" x14ac:dyDescent="0.2">
      <c r="AF7029" s="679"/>
    </row>
    <row r="7030" spans="32:32" x14ac:dyDescent="0.2">
      <c r="AF7030" s="679"/>
    </row>
    <row r="7031" spans="32:32" x14ac:dyDescent="0.2">
      <c r="AF7031" s="679"/>
    </row>
    <row r="7032" spans="32:32" x14ac:dyDescent="0.2">
      <c r="AF7032" s="679"/>
    </row>
    <row r="7033" spans="32:32" x14ac:dyDescent="0.2">
      <c r="AF7033" s="679"/>
    </row>
    <row r="7034" spans="32:32" x14ac:dyDescent="0.2">
      <c r="AF7034" s="679"/>
    </row>
    <row r="7035" spans="32:32" x14ac:dyDescent="0.2">
      <c r="AF7035" s="679"/>
    </row>
    <row r="7036" spans="32:32" x14ac:dyDescent="0.2">
      <c r="AF7036" s="679"/>
    </row>
    <row r="7037" spans="32:32" x14ac:dyDescent="0.2">
      <c r="AF7037" s="679"/>
    </row>
    <row r="7038" spans="32:32" x14ac:dyDescent="0.2">
      <c r="AF7038" s="679"/>
    </row>
    <row r="7039" spans="32:32" x14ac:dyDescent="0.2">
      <c r="AF7039" s="679"/>
    </row>
    <row r="7040" spans="32:32" x14ac:dyDescent="0.2">
      <c r="AF7040" s="679"/>
    </row>
    <row r="7041" spans="32:32" x14ac:dyDescent="0.2">
      <c r="AF7041" s="679"/>
    </row>
    <row r="7042" spans="32:32" x14ac:dyDescent="0.2">
      <c r="AF7042" s="679"/>
    </row>
    <row r="7043" spans="32:32" x14ac:dyDescent="0.2">
      <c r="AF7043" s="679"/>
    </row>
    <row r="7044" spans="32:32" x14ac:dyDescent="0.2">
      <c r="AF7044" s="679"/>
    </row>
    <row r="7045" spans="32:32" x14ac:dyDescent="0.2">
      <c r="AF7045" s="679"/>
    </row>
    <row r="7046" spans="32:32" x14ac:dyDescent="0.2">
      <c r="AF7046" s="679"/>
    </row>
    <row r="7047" spans="32:32" x14ac:dyDescent="0.2">
      <c r="AF7047" s="679"/>
    </row>
    <row r="7048" spans="32:32" x14ac:dyDescent="0.2">
      <c r="AF7048" s="679"/>
    </row>
    <row r="7049" spans="32:32" x14ac:dyDescent="0.2">
      <c r="AF7049" s="679"/>
    </row>
    <row r="7050" spans="32:32" x14ac:dyDescent="0.2">
      <c r="AF7050" s="679"/>
    </row>
    <row r="7051" spans="32:32" x14ac:dyDescent="0.2">
      <c r="AF7051" s="679"/>
    </row>
    <row r="7052" spans="32:32" x14ac:dyDescent="0.2">
      <c r="AF7052" s="679"/>
    </row>
    <row r="7053" spans="32:32" x14ac:dyDescent="0.2">
      <c r="AF7053" s="679"/>
    </row>
    <row r="7054" spans="32:32" x14ac:dyDescent="0.2">
      <c r="AF7054" s="679"/>
    </row>
    <row r="7055" spans="32:32" x14ac:dyDescent="0.2">
      <c r="AF7055" s="679"/>
    </row>
    <row r="7056" spans="32:32" x14ac:dyDescent="0.2">
      <c r="AF7056" s="679"/>
    </row>
    <row r="7057" spans="32:32" x14ac:dyDescent="0.2">
      <c r="AF7057" s="679"/>
    </row>
    <row r="7058" spans="32:32" x14ac:dyDescent="0.2">
      <c r="AF7058" s="679"/>
    </row>
    <row r="7059" spans="32:32" x14ac:dyDescent="0.2">
      <c r="AF7059" s="679"/>
    </row>
    <row r="7060" spans="32:32" x14ac:dyDescent="0.2">
      <c r="AF7060" s="679"/>
    </row>
    <row r="7061" spans="32:32" x14ac:dyDescent="0.2">
      <c r="AF7061" s="679"/>
    </row>
    <row r="7062" spans="32:32" x14ac:dyDescent="0.2">
      <c r="AF7062" s="679"/>
    </row>
    <row r="7063" spans="32:32" x14ac:dyDescent="0.2">
      <c r="AF7063" s="679"/>
    </row>
    <row r="7064" spans="32:32" x14ac:dyDescent="0.2">
      <c r="AF7064" s="679"/>
    </row>
    <row r="7065" spans="32:32" x14ac:dyDescent="0.2">
      <c r="AF7065" s="679"/>
    </row>
    <row r="7066" spans="32:32" x14ac:dyDescent="0.2">
      <c r="AF7066" s="679"/>
    </row>
    <row r="7067" spans="32:32" x14ac:dyDescent="0.2">
      <c r="AF7067" s="679"/>
    </row>
    <row r="7068" spans="32:32" x14ac:dyDescent="0.2">
      <c r="AF7068" s="679"/>
    </row>
    <row r="7069" spans="32:32" x14ac:dyDescent="0.2">
      <c r="AF7069" s="679"/>
    </row>
    <row r="7070" spans="32:32" x14ac:dyDescent="0.2">
      <c r="AF7070" s="679"/>
    </row>
    <row r="7071" spans="32:32" x14ac:dyDescent="0.2">
      <c r="AF7071" s="679"/>
    </row>
    <row r="7072" spans="32:32" x14ac:dyDescent="0.2">
      <c r="AF7072" s="679"/>
    </row>
    <row r="7073" spans="32:32" x14ac:dyDescent="0.2">
      <c r="AF7073" s="679"/>
    </row>
    <row r="7074" spans="32:32" x14ac:dyDescent="0.2">
      <c r="AF7074" s="679"/>
    </row>
    <row r="7075" spans="32:32" x14ac:dyDescent="0.2">
      <c r="AF7075" s="679"/>
    </row>
    <row r="7076" spans="32:32" x14ac:dyDescent="0.2">
      <c r="AF7076" s="679"/>
    </row>
    <row r="7077" spans="32:32" x14ac:dyDescent="0.2">
      <c r="AF7077" s="679"/>
    </row>
    <row r="7078" spans="32:32" x14ac:dyDescent="0.2">
      <c r="AF7078" s="679"/>
    </row>
    <row r="7079" spans="32:32" x14ac:dyDescent="0.2">
      <c r="AF7079" s="679"/>
    </row>
    <row r="7080" spans="32:32" x14ac:dyDescent="0.2">
      <c r="AF7080" s="679"/>
    </row>
    <row r="7081" spans="32:32" x14ac:dyDescent="0.2">
      <c r="AF7081" s="679"/>
    </row>
    <row r="7082" spans="32:32" x14ac:dyDescent="0.2">
      <c r="AF7082" s="679"/>
    </row>
    <row r="7083" spans="32:32" x14ac:dyDescent="0.2">
      <c r="AF7083" s="679"/>
    </row>
    <row r="7084" spans="32:32" x14ac:dyDescent="0.2">
      <c r="AF7084" s="679"/>
    </row>
    <row r="7085" spans="32:32" x14ac:dyDescent="0.2">
      <c r="AF7085" s="679"/>
    </row>
    <row r="7086" spans="32:32" x14ac:dyDescent="0.2">
      <c r="AF7086" s="679"/>
    </row>
    <row r="7087" spans="32:32" x14ac:dyDescent="0.2">
      <c r="AF7087" s="679"/>
    </row>
    <row r="7088" spans="32:32" x14ac:dyDescent="0.2">
      <c r="AF7088" s="679"/>
    </row>
    <row r="7089" spans="32:32" x14ac:dyDescent="0.2">
      <c r="AF7089" s="679"/>
    </row>
    <row r="7090" spans="32:32" x14ac:dyDescent="0.2">
      <c r="AF7090" s="679"/>
    </row>
    <row r="7091" spans="32:32" x14ac:dyDescent="0.2">
      <c r="AF7091" s="679"/>
    </row>
    <row r="7092" spans="32:32" x14ac:dyDescent="0.2">
      <c r="AF7092" s="679"/>
    </row>
    <row r="7093" spans="32:32" x14ac:dyDescent="0.2">
      <c r="AF7093" s="679"/>
    </row>
    <row r="7094" spans="32:32" x14ac:dyDescent="0.2">
      <c r="AF7094" s="679"/>
    </row>
    <row r="7095" spans="32:32" x14ac:dyDescent="0.2">
      <c r="AF7095" s="679"/>
    </row>
    <row r="7096" spans="32:32" x14ac:dyDescent="0.2">
      <c r="AF7096" s="679"/>
    </row>
    <row r="7097" spans="32:32" x14ac:dyDescent="0.2">
      <c r="AF7097" s="679"/>
    </row>
    <row r="7098" spans="32:32" x14ac:dyDescent="0.2">
      <c r="AF7098" s="679"/>
    </row>
    <row r="7099" spans="32:32" x14ac:dyDescent="0.2">
      <c r="AF7099" s="679"/>
    </row>
    <row r="7100" spans="32:32" x14ac:dyDescent="0.2">
      <c r="AF7100" s="679"/>
    </row>
    <row r="7101" spans="32:32" x14ac:dyDescent="0.2">
      <c r="AF7101" s="679"/>
    </row>
    <row r="7102" spans="32:32" x14ac:dyDescent="0.2">
      <c r="AF7102" s="679"/>
    </row>
    <row r="7103" spans="32:32" x14ac:dyDescent="0.2">
      <c r="AF7103" s="679"/>
    </row>
    <row r="7104" spans="32:32" x14ac:dyDescent="0.2">
      <c r="AF7104" s="679"/>
    </row>
    <row r="7105" spans="32:32" x14ac:dyDescent="0.2">
      <c r="AF7105" s="679"/>
    </row>
    <row r="7106" spans="32:32" x14ac:dyDescent="0.2">
      <c r="AF7106" s="679"/>
    </row>
    <row r="7107" spans="32:32" x14ac:dyDescent="0.2">
      <c r="AF7107" s="679"/>
    </row>
    <row r="7108" spans="32:32" x14ac:dyDescent="0.2">
      <c r="AF7108" s="679"/>
    </row>
    <row r="7109" spans="32:32" x14ac:dyDescent="0.2">
      <c r="AF7109" s="679"/>
    </row>
    <row r="7110" spans="32:32" x14ac:dyDescent="0.2">
      <c r="AF7110" s="679"/>
    </row>
    <row r="7111" spans="32:32" x14ac:dyDescent="0.2">
      <c r="AF7111" s="679"/>
    </row>
    <row r="7112" spans="32:32" x14ac:dyDescent="0.2">
      <c r="AF7112" s="679"/>
    </row>
    <row r="7113" spans="32:32" x14ac:dyDescent="0.2">
      <c r="AF7113" s="679"/>
    </row>
    <row r="7114" spans="32:32" x14ac:dyDescent="0.2">
      <c r="AF7114" s="679"/>
    </row>
    <row r="7115" spans="32:32" x14ac:dyDescent="0.2">
      <c r="AF7115" s="679"/>
    </row>
    <row r="7116" spans="32:32" x14ac:dyDescent="0.2">
      <c r="AF7116" s="679"/>
    </row>
    <row r="7117" spans="32:32" x14ac:dyDescent="0.2">
      <c r="AF7117" s="679"/>
    </row>
    <row r="7118" spans="32:32" x14ac:dyDescent="0.2">
      <c r="AF7118" s="679"/>
    </row>
    <row r="7119" spans="32:32" x14ac:dyDescent="0.2">
      <c r="AF7119" s="679"/>
    </row>
    <row r="7120" spans="32:32" x14ac:dyDescent="0.2">
      <c r="AF7120" s="679"/>
    </row>
    <row r="7121" spans="32:32" x14ac:dyDescent="0.2">
      <c r="AF7121" s="679"/>
    </row>
    <row r="7122" spans="32:32" x14ac:dyDescent="0.2">
      <c r="AF7122" s="679"/>
    </row>
    <row r="7123" spans="32:32" x14ac:dyDescent="0.2">
      <c r="AF7123" s="679"/>
    </row>
    <row r="7124" spans="32:32" x14ac:dyDescent="0.2">
      <c r="AF7124" s="679"/>
    </row>
    <row r="7125" spans="32:32" x14ac:dyDescent="0.2">
      <c r="AF7125" s="679"/>
    </row>
    <row r="7126" spans="32:32" x14ac:dyDescent="0.2">
      <c r="AF7126" s="679"/>
    </row>
    <row r="7127" spans="32:32" x14ac:dyDescent="0.2">
      <c r="AF7127" s="679"/>
    </row>
    <row r="7128" spans="32:32" x14ac:dyDescent="0.2">
      <c r="AF7128" s="679"/>
    </row>
    <row r="7129" spans="32:32" x14ac:dyDescent="0.2">
      <c r="AF7129" s="679"/>
    </row>
    <row r="7130" spans="32:32" x14ac:dyDescent="0.2">
      <c r="AF7130" s="679"/>
    </row>
    <row r="7131" spans="32:32" x14ac:dyDescent="0.2">
      <c r="AF7131" s="679"/>
    </row>
    <row r="7132" spans="32:32" x14ac:dyDescent="0.2">
      <c r="AF7132" s="679"/>
    </row>
    <row r="7133" spans="32:32" x14ac:dyDescent="0.2">
      <c r="AF7133" s="679"/>
    </row>
    <row r="7134" spans="32:32" x14ac:dyDescent="0.2">
      <c r="AF7134" s="679"/>
    </row>
    <row r="7135" spans="32:32" x14ac:dyDescent="0.2">
      <c r="AF7135" s="679"/>
    </row>
    <row r="7136" spans="32:32" x14ac:dyDescent="0.2">
      <c r="AF7136" s="679"/>
    </row>
    <row r="7137" spans="32:32" x14ac:dyDescent="0.2">
      <c r="AF7137" s="679"/>
    </row>
    <row r="7138" spans="32:32" x14ac:dyDescent="0.2">
      <c r="AF7138" s="679"/>
    </row>
    <row r="7139" spans="32:32" x14ac:dyDescent="0.2">
      <c r="AF7139" s="679"/>
    </row>
    <row r="7140" spans="32:32" x14ac:dyDescent="0.2">
      <c r="AF7140" s="679"/>
    </row>
    <row r="7141" spans="32:32" x14ac:dyDescent="0.2">
      <c r="AF7141" s="679"/>
    </row>
    <row r="7142" spans="32:32" x14ac:dyDescent="0.2">
      <c r="AF7142" s="679"/>
    </row>
    <row r="7143" spans="32:32" x14ac:dyDescent="0.2">
      <c r="AF7143" s="679"/>
    </row>
    <row r="7144" spans="32:32" x14ac:dyDescent="0.2">
      <c r="AF7144" s="679"/>
    </row>
    <row r="7145" spans="32:32" x14ac:dyDescent="0.2">
      <c r="AF7145" s="679"/>
    </row>
    <row r="7146" spans="32:32" x14ac:dyDescent="0.2">
      <c r="AF7146" s="679"/>
    </row>
    <row r="7147" spans="32:32" x14ac:dyDescent="0.2">
      <c r="AF7147" s="679"/>
    </row>
    <row r="7148" spans="32:32" x14ac:dyDescent="0.2">
      <c r="AF7148" s="679"/>
    </row>
    <row r="7149" spans="32:32" x14ac:dyDescent="0.2">
      <c r="AF7149" s="679"/>
    </row>
    <row r="7150" spans="32:32" x14ac:dyDescent="0.2">
      <c r="AF7150" s="679"/>
    </row>
    <row r="7151" spans="32:32" x14ac:dyDescent="0.2">
      <c r="AF7151" s="679"/>
    </row>
    <row r="7152" spans="32:32" x14ac:dyDescent="0.2">
      <c r="AF7152" s="679"/>
    </row>
    <row r="7153" spans="32:32" x14ac:dyDescent="0.2">
      <c r="AF7153" s="679"/>
    </row>
    <row r="7154" spans="32:32" x14ac:dyDescent="0.2">
      <c r="AF7154" s="679"/>
    </row>
    <row r="7155" spans="32:32" x14ac:dyDescent="0.2">
      <c r="AF7155" s="679"/>
    </row>
    <row r="7156" spans="32:32" x14ac:dyDescent="0.2">
      <c r="AF7156" s="679"/>
    </row>
    <row r="7157" spans="32:32" x14ac:dyDescent="0.2">
      <c r="AF7157" s="679"/>
    </row>
    <row r="7158" spans="32:32" x14ac:dyDescent="0.2">
      <c r="AF7158" s="679"/>
    </row>
    <row r="7159" spans="32:32" x14ac:dyDescent="0.2">
      <c r="AF7159" s="679"/>
    </row>
    <row r="7160" spans="32:32" x14ac:dyDescent="0.2">
      <c r="AF7160" s="679"/>
    </row>
    <row r="7161" spans="32:32" x14ac:dyDescent="0.2">
      <c r="AF7161" s="679"/>
    </row>
    <row r="7162" spans="32:32" x14ac:dyDescent="0.2">
      <c r="AF7162" s="679"/>
    </row>
    <row r="7163" spans="32:32" x14ac:dyDescent="0.2">
      <c r="AF7163" s="679"/>
    </row>
    <row r="7164" spans="32:32" x14ac:dyDescent="0.2">
      <c r="AF7164" s="679"/>
    </row>
    <row r="7165" spans="32:32" x14ac:dyDescent="0.2">
      <c r="AF7165" s="679"/>
    </row>
    <row r="7166" spans="32:32" x14ac:dyDescent="0.2">
      <c r="AF7166" s="679"/>
    </row>
    <row r="7167" spans="32:32" x14ac:dyDescent="0.2">
      <c r="AF7167" s="679"/>
    </row>
    <row r="7168" spans="32:32" x14ac:dyDescent="0.2">
      <c r="AF7168" s="679"/>
    </row>
    <row r="7169" spans="32:32" x14ac:dyDescent="0.2">
      <c r="AF7169" s="679"/>
    </row>
    <row r="7170" spans="32:32" x14ac:dyDescent="0.2">
      <c r="AF7170" s="679"/>
    </row>
    <row r="7171" spans="32:32" x14ac:dyDescent="0.2">
      <c r="AF7171" s="679"/>
    </row>
    <row r="7172" spans="32:32" x14ac:dyDescent="0.2">
      <c r="AF7172" s="679"/>
    </row>
    <row r="7173" spans="32:32" x14ac:dyDescent="0.2">
      <c r="AF7173" s="679"/>
    </row>
    <row r="7174" spans="32:32" x14ac:dyDescent="0.2">
      <c r="AF7174" s="679"/>
    </row>
    <row r="7175" spans="32:32" x14ac:dyDescent="0.2">
      <c r="AF7175" s="679"/>
    </row>
    <row r="7176" spans="32:32" x14ac:dyDescent="0.2">
      <c r="AF7176" s="679"/>
    </row>
    <row r="7177" spans="32:32" x14ac:dyDescent="0.2">
      <c r="AF7177" s="679"/>
    </row>
    <row r="7178" spans="32:32" x14ac:dyDescent="0.2">
      <c r="AF7178" s="679"/>
    </row>
    <row r="7179" spans="32:32" x14ac:dyDescent="0.2">
      <c r="AF7179" s="679"/>
    </row>
    <row r="7180" spans="32:32" x14ac:dyDescent="0.2">
      <c r="AF7180" s="679"/>
    </row>
    <row r="7181" spans="32:32" x14ac:dyDescent="0.2">
      <c r="AF7181" s="679"/>
    </row>
    <row r="7182" spans="32:32" x14ac:dyDescent="0.2">
      <c r="AF7182" s="679"/>
    </row>
    <row r="7183" spans="32:32" x14ac:dyDescent="0.2">
      <c r="AF7183" s="679"/>
    </row>
    <row r="7184" spans="32:32" x14ac:dyDescent="0.2">
      <c r="AF7184" s="679"/>
    </row>
    <row r="7185" spans="32:32" x14ac:dyDescent="0.2">
      <c r="AF7185" s="679"/>
    </row>
    <row r="7186" spans="32:32" x14ac:dyDescent="0.2">
      <c r="AF7186" s="679"/>
    </row>
    <row r="7187" spans="32:32" x14ac:dyDescent="0.2">
      <c r="AF7187" s="679"/>
    </row>
    <row r="7188" spans="32:32" x14ac:dyDescent="0.2">
      <c r="AF7188" s="679"/>
    </row>
    <row r="7189" spans="32:32" x14ac:dyDescent="0.2">
      <c r="AF7189" s="679"/>
    </row>
    <row r="7190" spans="32:32" x14ac:dyDescent="0.2">
      <c r="AF7190" s="679"/>
    </row>
    <row r="7191" spans="32:32" x14ac:dyDescent="0.2">
      <c r="AF7191" s="679"/>
    </row>
    <row r="7192" spans="32:32" x14ac:dyDescent="0.2">
      <c r="AF7192" s="679"/>
    </row>
    <row r="7193" spans="32:32" x14ac:dyDescent="0.2">
      <c r="AF7193" s="679"/>
    </row>
    <row r="7194" spans="32:32" x14ac:dyDescent="0.2">
      <c r="AF7194" s="679"/>
    </row>
    <row r="7195" spans="32:32" x14ac:dyDescent="0.2">
      <c r="AF7195" s="679"/>
    </row>
    <row r="7196" spans="32:32" x14ac:dyDescent="0.2">
      <c r="AF7196" s="679"/>
    </row>
    <row r="7197" spans="32:32" x14ac:dyDescent="0.2">
      <c r="AF7197" s="679"/>
    </row>
    <row r="7198" spans="32:32" x14ac:dyDescent="0.2">
      <c r="AF7198" s="679"/>
    </row>
    <row r="7199" spans="32:32" x14ac:dyDescent="0.2">
      <c r="AF7199" s="679"/>
    </row>
    <row r="7200" spans="32:32" x14ac:dyDescent="0.2">
      <c r="AF7200" s="679"/>
    </row>
    <row r="7201" spans="32:32" x14ac:dyDescent="0.2">
      <c r="AF7201" s="679"/>
    </row>
    <row r="7202" spans="32:32" x14ac:dyDescent="0.2">
      <c r="AF7202" s="679"/>
    </row>
    <row r="7203" spans="32:32" x14ac:dyDescent="0.2">
      <c r="AF7203" s="679"/>
    </row>
    <row r="7204" spans="32:32" x14ac:dyDescent="0.2">
      <c r="AF7204" s="679"/>
    </row>
    <row r="7205" spans="32:32" x14ac:dyDescent="0.2">
      <c r="AF7205" s="679"/>
    </row>
    <row r="7206" spans="32:32" x14ac:dyDescent="0.2">
      <c r="AF7206" s="679"/>
    </row>
    <row r="7207" spans="32:32" x14ac:dyDescent="0.2">
      <c r="AF7207" s="679"/>
    </row>
    <row r="7208" spans="32:32" x14ac:dyDescent="0.2">
      <c r="AF7208" s="679"/>
    </row>
    <row r="7209" spans="32:32" x14ac:dyDescent="0.2">
      <c r="AF7209" s="679"/>
    </row>
    <row r="7210" spans="32:32" x14ac:dyDescent="0.2">
      <c r="AF7210" s="679"/>
    </row>
    <row r="7211" spans="32:32" x14ac:dyDescent="0.2">
      <c r="AF7211" s="679"/>
    </row>
    <row r="7212" spans="32:32" x14ac:dyDescent="0.2">
      <c r="AF7212" s="679"/>
    </row>
    <row r="7213" spans="32:32" x14ac:dyDescent="0.2">
      <c r="AF7213" s="679"/>
    </row>
    <row r="7214" spans="32:32" x14ac:dyDescent="0.2">
      <c r="AF7214" s="679"/>
    </row>
    <row r="7215" spans="32:32" x14ac:dyDescent="0.2">
      <c r="AF7215" s="679"/>
    </row>
    <row r="7216" spans="32:32" x14ac:dyDescent="0.2">
      <c r="AF7216" s="679"/>
    </row>
    <row r="7217" spans="32:32" x14ac:dyDescent="0.2">
      <c r="AF7217" s="679"/>
    </row>
    <row r="7218" spans="32:32" x14ac:dyDescent="0.2">
      <c r="AF7218" s="679"/>
    </row>
    <row r="7219" spans="32:32" x14ac:dyDescent="0.2">
      <c r="AF7219" s="679"/>
    </row>
    <row r="7220" spans="32:32" x14ac:dyDescent="0.2">
      <c r="AF7220" s="679"/>
    </row>
    <row r="7221" spans="32:32" x14ac:dyDescent="0.2">
      <c r="AF7221" s="679"/>
    </row>
    <row r="7222" spans="32:32" x14ac:dyDescent="0.2">
      <c r="AF7222" s="679"/>
    </row>
    <row r="7223" spans="32:32" x14ac:dyDescent="0.2">
      <c r="AF7223" s="679"/>
    </row>
    <row r="7224" spans="32:32" x14ac:dyDescent="0.2">
      <c r="AF7224" s="679"/>
    </row>
    <row r="7225" spans="32:32" x14ac:dyDescent="0.2">
      <c r="AF7225" s="679"/>
    </row>
    <row r="7226" spans="32:32" x14ac:dyDescent="0.2">
      <c r="AF7226" s="679"/>
    </row>
    <row r="7227" spans="32:32" x14ac:dyDescent="0.2">
      <c r="AF7227" s="679"/>
    </row>
    <row r="7228" spans="32:32" x14ac:dyDescent="0.2">
      <c r="AF7228" s="679"/>
    </row>
    <row r="7229" spans="32:32" x14ac:dyDescent="0.2">
      <c r="AF7229" s="679"/>
    </row>
    <row r="7230" spans="32:32" x14ac:dyDescent="0.2">
      <c r="AF7230" s="679"/>
    </row>
    <row r="7231" spans="32:32" x14ac:dyDescent="0.2">
      <c r="AF7231" s="679"/>
    </row>
    <row r="7232" spans="32:32" x14ac:dyDescent="0.2">
      <c r="AF7232" s="679"/>
    </row>
    <row r="7233" spans="32:32" x14ac:dyDescent="0.2">
      <c r="AF7233" s="679"/>
    </row>
    <row r="7234" spans="32:32" x14ac:dyDescent="0.2">
      <c r="AF7234" s="679"/>
    </row>
    <row r="7235" spans="32:32" x14ac:dyDescent="0.2">
      <c r="AF7235" s="679"/>
    </row>
    <row r="7236" spans="32:32" x14ac:dyDescent="0.2">
      <c r="AF7236" s="679"/>
    </row>
    <row r="7237" spans="32:32" x14ac:dyDescent="0.2">
      <c r="AF7237" s="679"/>
    </row>
    <row r="7238" spans="32:32" x14ac:dyDescent="0.2">
      <c r="AF7238" s="679"/>
    </row>
    <row r="7239" spans="32:32" x14ac:dyDescent="0.2">
      <c r="AF7239" s="679"/>
    </row>
    <row r="7240" spans="32:32" x14ac:dyDescent="0.2">
      <c r="AF7240" s="679"/>
    </row>
    <row r="7241" spans="32:32" x14ac:dyDescent="0.2">
      <c r="AF7241" s="679"/>
    </row>
    <row r="7242" spans="32:32" x14ac:dyDescent="0.2">
      <c r="AF7242" s="679"/>
    </row>
    <row r="7243" spans="32:32" x14ac:dyDescent="0.2">
      <c r="AF7243" s="679"/>
    </row>
    <row r="7244" spans="32:32" x14ac:dyDescent="0.2">
      <c r="AF7244" s="679"/>
    </row>
    <row r="7245" spans="32:32" x14ac:dyDescent="0.2">
      <c r="AF7245" s="679"/>
    </row>
    <row r="7246" spans="32:32" x14ac:dyDescent="0.2">
      <c r="AF7246" s="679"/>
    </row>
    <row r="7247" spans="32:32" x14ac:dyDescent="0.2">
      <c r="AF7247" s="679"/>
    </row>
    <row r="7248" spans="32:32" x14ac:dyDescent="0.2">
      <c r="AF7248" s="679"/>
    </row>
    <row r="7249" spans="32:32" x14ac:dyDescent="0.2">
      <c r="AF7249" s="679"/>
    </row>
    <row r="7250" spans="32:32" x14ac:dyDescent="0.2">
      <c r="AF7250" s="679"/>
    </row>
    <row r="7251" spans="32:32" x14ac:dyDescent="0.2">
      <c r="AF7251" s="679"/>
    </row>
    <row r="7252" spans="32:32" x14ac:dyDescent="0.2">
      <c r="AF7252" s="679"/>
    </row>
    <row r="7253" spans="32:32" x14ac:dyDescent="0.2">
      <c r="AF7253" s="679"/>
    </row>
    <row r="7254" spans="32:32" x14ac:dyDescent="0.2">
      <c r="AF7254" s="679"/>
    </row>
    <row r="7255" spans="32:32" x14ac:dyDescent="0.2">
      <c r="AF7255" s="679"/>
    </row>
    <row r="7256" spans="32:32" x14ac:dyDescent="0.2">
      <c r="AF7256" s="679"/>
    </row>
    <row r="7257" spans="32:32" x14ac:dyDescent="0.2">
      <c r="AF7257" s="679"/>
    </row>
    <row r="7258" spans="32:32" x14ac:dyDescent="0.2">
      <c r="AF7258" s="679"/>
    </row>
    <row r="7259" spans="32:32" x14ac:dyDescent="0.2">
      <c r="AF7259" s="679"/>
    </row>
    <row r="7260" spans="32:32" x14ac:dyDescent="0.2">
      <c r="AF7260" s="679"/>
    </row>
    <row r="7261" spans="32:32" x14ac:dyDescent="0.2">
      <c r="AF7261" s="679"/>
    </row>
    <row r="7262" spans="32:32" x14ac:dyDescent="0.2">
      <c r="AF7262" s="679"/>
    </row>
    <row r="7263" spans="32:32" x14ac:dyDescent="0.2">
      <c r="AF7263" s="679"/>
    </row>
    <row r="7264" spans="32:32" x14ac:dyDescent="0.2">
      <c r="AF7264" s="679"/>
    </row>
    <row r="7265" spans="32:32" x14ac:dyDescent="0.2">
      <c r="AF7265" s="679"/>
    </row>
    <row r="7266" spans="32:32" x14ac:dyDescent="0.2">
      <c r="AF7266" s="679"/>
    </row>
    <row r="7267" spans="32:32" x14ac:dyDescent="0.2">
      <c r="AF7267" s="679"/>
    </row>
    <row r="7268" spans="32:32" x14ac:dyDescent="0.2">
      <c r="AF7268" s="679"/>
    </row>
    <row r="7269" spans="32:32" x14ac:dyDescent="0.2">
      <c r="AF7269" s="679"/>
    </row>
    <row r="7270" spans="32:32" x14ac:dyDescent="0.2">
      <c r="AF7270" s="679"/>
    </row>
    <row r="7271" spans="32:32" x14ac:dyDescent="0.2">
      <c r="AF7271" s="679"/>
    </row>
    <row r="7272" spans="32:32" x14ac:dyDescent="0.2">
      <c r="AF7272" s="679"/>
    </row>
    <row r="7273" spans="32:32" x14ac:dyDescent="0.2">
      <c r="AF7273" s="679"/>
    </row>
    <row r="7274" spans="32:32" x14ac:dyDescent="0.2">
      <c r="AF7274" s="679"/>
    </row>
    <row r="7275" spans="32:32" x14ac:dyDescent="0.2">
      <c r="AF7275" s="679"/>
    </row>
    <row r="7276" spans="32:32" x14ac:dyDescent="0.2">
      <c r="AF7276" s="679"/>
    </row>
    <row r="7277" spans="32:32" x14ac:dyDescent="0.2">
      <c r="AF7277" s="679"/>
    </row>
    <row r="7278" spans="32:32" x14ac:dyDescent="0.2">
      <c r="AF7278" s="679"/>
    </row>
    <row r="7279" spans="32:32" x14ac:dyDescent="0.2">
      <c r="AF7279" s="679"/>
    </row>
    <row r="7280" spans="32:32" x14ac:dyDescent="0.2">
      <c r="AF7280" s="679"/>
    </row>
    <row r="7281" spans="32:32" x14ac:dyDescent="0.2">
      <c r="AF7281" s="679"/>
    </row>
    <row r="7282" spans="32:32" x14ac:dyDescent="0.2">
      <c r="AF7282" s="679"/>
    </row>
    <row r="7283" spans="32:32" x14ac:dyDescent="0.2">
      <c r="AF7283" s="679"/>
    </row>
    <row r="7284" spans="32:32" x14ac:dyDescent="0.2">
      <c r="AF7284" s="679"/>
    </row>
    <row r="7285" spans="32:32" x14ac:dyDescent="0.2">
      <c r="AF7285" s="679"/>
    </row>
    <row r="7286" spans="32:32" x14ac:dyDescent="0.2">
      <c r="AF7286" s="679"/>
    </row>
    <row r="7287" spans="32:32" x14ac:dyDescent="0.2">
      <c r="AF7287" s="679"/>
    </row>
    <row r="7288" spans="32:32" x14ac:dyDescent="0.2">
      <c r="AF7288" s="679"/>
    </row>
    <row r="7289" spans="32:32" x14ac:dyDescent="0.2">
      <c r="AF7289" s="679"/>
    </row>
    <row r="7290" spans="32:32" x14ac:dyDescent="0.2">
      <c r="AF7290" s="679"/>
    </row>
    <row r="7291" spans="32:32" x14ac:dyDescent="0.2">
      <c r="AF7291" s="679"/>
    </row>
    <row r="7292" spans="32:32" x14ac:dyDescent="0.2">
      <c r="AF7292" s="679"/>
    </row>
    <row r="7293" spans="32:32" x14ac:dyDescent="0.2">
      <c r="AF7293" s="679"/>
    </row>
    <row r="7294" spans="32:32" x14ac:dyDescent="0.2">
      <c r="AF7294" s="679"/>
    </row>
    <row r="7295" spans="32:32" x14ac:dyDescent="0.2">
      <c r="AF7295" s="679"/>
    </row>
    <row r="7296" spans="32:32" x14ac:dyDescent="0.2">
      <c r="AF7296" s="679"/>
    </row>
    <row r="7297" spans="32:32" x14ac:dyDescent="0.2">
      <c r="AF7297" s="679"/>
    </row>
    <row r="7298" spans="32:32" x14ac:dyDescent="0.2">
      <c r="AF7298" s="679"/>
    </row>
    <row r="7299" spans="32:32" x14ac:dyDescent="0.2">
      <c r="AF7299" s="679"/>
    </row>
    <row r="7300" spans="32:32" x14ac:dyDescent="0.2">
      <c r="AF7300" s="679"/>
    </row>
    <row r="7301" spans="32:32" x14ac:dyDescent="0.2">
      <c r="AF7301" s="679"/>
    </row>
    <row r="7302" spans="32:32" x14ac:dyDescent="0.2">
      <c r="AF7302" s="679"/>
    </row>
    <row r="7303" spans="32:32" x14ac:dyDescent="0.2">
      <c r="AF7303" s="679"/>
    </row>
    <row r="7304" spans="32:32" x14ac:dyDescent="0.2">
      <c r="AF7304" s="679"/>
    </row>
    <row r="7305" spans="32:32" x14ac:dyDescent="0.2">
      <c r="AF7305" s="679"/>
    </row>
    <row r="7306" spans="32:32" x14ac:dyDescent="0.2">
      <c r="AF7306" s="679"/>
    </row>
    <row r="7307" spans="32:32" x14ac:dyDescent="0.2">
      <c r="AF7307" s="679"/>
    </row>
    <row r="7308" spans="32:32" x14ac:dyDescent="0.2">
      <c r="AF7308" s="679"/>
    </row>
    <row r="7309" spans="32:32" x14ac:dyDescent="0.2">
      <c r="AF7309" s="679"/>
    </row>
    <row r="7310" spans="32:32" x14ac:dyDescent="0.2">
      <c r="AF7310" s="679"/>
    </row>
    <row r="7311" spans="32:32" x14ac:dyDescent="0.2">
      <c r="AF7311" s="679"/>
    </row>
    <row r="7312" spans="32:32" x14ac:dyDescent="0.2">
      <c r="AF7312" s="679"/>
    </row>
    <row r="7313" spans="32:32" x14ac:dyDescent="0.2">
      <c r="AF7313" s="679"/>
    </row>
    <row r="7314" spans="32:32" x14ac:dyDescent="0.2">
      <c r="AF7314" s="679"/>
    </row>
    <row r="7315" spans="32:32" x14ac:dyDescent="0.2">
      <c r="AF7315" s="679"/>
    </row>
    <row r="7316" spans="32:32" x14ac:dyDescent="0.2">
      <c r="AF7316" s="679"/>
    </row>
    <row r="7317" spans="32:32" x14ac:dyDescent="0.2">
      <c r="AF7317" s="679"/>
    </row>
    <row r="7318" spans="32:32" x14ac:dyDescent="0.2">
      <c r="AF7318" s="679"/>
    </row>
    <row r="7319" spans="32:32" x14ac:dyDescent="0.2">
      <c r="AF7319" s="679"/>
    </row>
    <row r="7320" spans="32:32" x14ac:dyDescent="0.2">
      <c r="AF7320" s="679"/>
    </row>
    <row r="7321" spans="32:32" x14ac:dyDescent="0.2">
      <c r="AF7321" s="679"/>
    </row>
    <row r="7322" spans="32:32" x14ac:dyDescent="0.2">
      <c r="AF7322" s="679"/>
    </row>
    <row r="7323" spans="32:32" x14ac:dyDescent="0.2">
      <c r="AF7323" s="679"/>
    </row>
    <row r="7324" spans="32:32" x14ac:dyDescent="0.2">
      <c r="AF7324" s="679"/>
    </row>
    <row r="7325" spans="32:32" x14ac:dyDescent="0.2">
      <c r="AF7325" s="679"/>
    </row>
    <row r="7326" spans="32:32" x14ac:dyDescent="0.2">
      <c r="AF7326" s="679"/>
    </row>
    <row r="7327" spans="32:32" x14ac:dyDescent="0.2">
      <c r="AF7327" s="679"/>
    </row>
    <row r="7328" spans="32:32" x14ac:dyDescent="0.2">
      <c r="AF7328" s="679"/>
    </row>
    <row r="7329" spans="32:32" x14ac:dyDescent="0.2">
      <c r="AF7329" s="679"/>
    </row>
    <row r="7330" spans="32:32" x14ac:dyDescent="0.2">
      <c r="AF7330" s="679"/>
    </row>
    <row r="7331" spans="32:32" x14ac:dyDescent="0.2">
      <c r="AF7331" s="679"/>
    </row>
    <row r="7332" spans="32:32" x14ac:dyDescent="0.2">
      <c r="AF7332" s="679"/>
    </row>
    <row r="7333" spans="32:32" x14ac:dyDescent="0.2">
      <c r="AF7333" s="679"/>
    </row>
    <row r="7334" spans="32:32" x14ac:dyDescent="0.2">
      <c r="AF7334" s="679"/>
    </row>
    <row r="7335" spans="32:32" x14ac:dyDescent="0.2">
      <c r="AF7335" s="679"/>
    </row>
    <row r="7336" spans="32:32" x14ac:dyDescent="0.2">
      <c r="AF7336" s="679"/>
    </row>
    <row r="7337" spans="32:32" x14ac:dyDescent="0.2">
      <c r="AF7337" s="679"/>
    </row>
    <row r="7338" spans="32:32" x14ac:dyDescent="0.2">
      <c r="AF7338" s="679"/>
    </row>
    <row r="7339" spans="32:32" x14ac:dyDescent="0.2">
      <c r="AF7339" s="679"/>
    </row>
    <row r="7340" spans="32:32" x14ac:dyDescent="0.2">
      <c r="AF7340" s="679"/>
    </row>
    <row r="7341" spans="32:32" x14ac:dyDescent="0.2">
      <c r="AF7341" s="679"/>
    </row>
    <row r="7342" spans="32:32" x14ac:dyDescent="0.2">
      <c r="AF7342" s="679"/>
    </row>
    <row r="7343" spans="32:32" x14ac:dyDescent="0.2">
      <c r="AF7343" s="679"/>
    </row>
    <row r="7344" spans="32:32" x14ac:dyDescent="0.2">
      <c r="AF7344" s="679"/>
    </row>
    <row r="7345" spans="32:32" x14ac:dyDescent="0.2">
      <c r="AF7345" s="679"/>
    </row>
    <row r="7346" spans="32:32" x14ac:dyDescent="0.2">
      <c r="AF7346" s="679"/>
    </row>
    <row r="7347" spans="32:32" x14ac:dyDescent="0.2">
      <c r="AF7347" s="679"/>
    </row>
    <row r="7348" spans="32:32" x14ac:dyDescent="0.2">
      <c r="AF7348" s="679"/>
    </row>
    <row r="7349" spans="32:32" x14ac:dyDescent="0.2">
      <c r="AF7349" s="679"/>
    </row>
    <row r="7350" spans="32:32" x14ac:dyDescent="0.2">
      <c r="AF7350" s="679"/>
    </row>
    <row r="7351" spans="32:32" x14ac:dyDescent="0.2">
      <c r="AF7351" s="679"/>
    </row>
    <row r="7352" spans="32:32" x14ac:dyDescent="0.2">
      <c r="AF7352" s="679"/>
    </row>
    <row r="7353" spans="32:32" x14ac:dyDescent="0.2">
      <c r="AF7353" s="679"/>
    </row>
    <row r="7354" spans="32:32" x14ac:dyDescent="0.2">
      <c r="AF7354" s="679"/>
    </row>
    <row r="7355" spans="32:32" x14ac:dyDescent="0.2">
      <c r="AF7355" s="679"/>
    </row>
    <row r="7356" spans="32:32" x14ac:dyDescent="0.2">
      <c r="AF7356" s="679"/>
    </row>
    <row r="7357" spans="32:32" x14ac:dyDescent="0.2">
      <c r="AF7357" s="679"/>
    </row>
    <row r="7358" spans="32:32" x14ac:dyDescent="0.2">
      <c r="AF7358" s="679"/>
    </row>
    <row r="7359" spans="32:32" x14ac:dyDescent="0.2">
      <c r="AF7359" s="679"/>
    </row>
    <row r="7360" spans="32:32" x14ac:dyDescent="0.2">
      <c r="AF7360" s="679"/>
    </row>
    <row r="7361" spans="32:32" x14ac:dyDescent="0.2">
      <c r="AF7361" s="679"/>
    </row>
    <row r="7362" spans="32:32" x14ac:dyDescent="0.2">
      <c r="AF7362" s="679"/>
    </row>
    <row r="7363" spans="32:32" x14ac:dyDescent="0.2">
      <c r="AF7363" s="679"/>
    </row>
    <row r="7364" spans="32:32" x14ac:dyDescent="0.2">
      <c r="AF7364" s="679"/>
    </row>
    <row r="7365" spans="32:32" x14ac:dyDescent="0.2">
      <c r="AF7365" s="679"/>
    </row>
    <row r="7366" spans="32:32" x14ac:dyDescent="0.2">
      <c r="AF7366" s="679"/>
    </row>
    <row r="7367" spans="32:32" x14ac:dyDescent="0.2">
      <c r="AF7367" s="679"/>
    </row>
    <row r="7368" spans="32:32" x14ac:dyDescent="0.2">
      <c r="AF7368" s="679"/>
    </row>
    <row r="7369" spans="32:32" x14ac:dyDescent="0.2">
      <c r="AF7369" s="679"/>
    </row>
    <row r="7370" spans="32:32" x14ac:dyDescent="0.2">
      <c r="AF7370" s="679"/>
    </row>
    <row r="7371" spans="32:32" x14ac:dyDescent="0.2">
      <c r="AF7371" s="679"/>
    </row>
    <row r="7372" spans="32:32" x14ac:dyDescent="0.2">
      <c r="AF7372" s="679"/>
    </row>
    <row r="7373" spans="32:32" x14ac:dyDescent="0.2">
      <c r="AF7373" s="679"/>
    </row>
    <row r="7374" spans="32:32" x14ac:dyDescent="0.2">
      <c r="AF7374" s="679"/>
    </row>
    <row r="7375" spans="32:32" x14ac:dyDescent="0.2">
      <c r="AF7375" s="679"/>
    </row>
    <row r="7376" spans="32:32" x14ac:dyDescent="0.2">
      <c r="AF7376" s="679"/>
    </row>
    <row r="7377" spans="32:32" x14ac:dyDescent="0.2">
      <c r="AF7377" s="679"/>
    </row>
    <row r="7378" spans="32:32" x14ac:dyDescent="0.2">
      <c r="AF7378" s="679"/>
    </row>
    <row r="7379" spans="32:32" x14ac:dyDescent="0.2">
      <c r="AF7379" s="679"/>
    </row>
    <row r="7380" spans="32:32" x14ac:dyDescent="0.2">
      <c r="AF7380" s="679"/>
    </row>
    <row r="7381" spans="32:32" x14ac:dyDescent="0.2">
      <c r="AF7381" s="679"/>
    </row>
    <row r="7382" spans="32:32" x14ac:dyDescent="0.2">
      <c r="AF7382" s="679"/>
    </row>
    <row r="7383" spans="32:32" x14ac:dyDescent="0.2">
      <c r="AF7383" s="679"/>
    </row>
    <row r="7384" spans="32:32" x14ac:dyDescent="0.2">
      <c r="AF7384" s="679"/>
    </row>
    <row r="7385" spans="32:32" x14ac:dyDescent="0.2">
      <c r="AF7385" s="679"/>
    </row>
    <row r="7386" spans="32:32" x14ac:dyDescent="0.2">
      <c r="AF7386" s="679"/>
    </row>
    <row r="7387" spans="32:32" x14ac:dyDescent="0.2">
      <c r="AF7387" s="679"/>
    </row>
    <row r="7388" spans="32:32" x14ac:dyDescent="0.2">
      <c r="AF7388" s="679"/>
    </row>
    <row r="7389" spans="32:32" x14ac:dyDescent="0.2">
      <c r="AF7389" s="679"/>
    </row>
    <row r="7390" spans="32:32" x14ac:dyDescent="0.2">
      <c r="AF7390" s="679"/>
    </row>
    <row r="7391" spans="32:32" x14ac:dyDescent="0.2">
      <c r="AF7391" s="679"/>
    </row>
    <row r="7392" spans="32:32" x14ac:dyDescent="0.2">
      <c r="AF7392" s="679"/>
    </row>
    <row r="7393" spans="32:32" x14ac:dyDescent="0.2">
      <c r="AF7393" s="679"/>
    </row>
    <row r="7394" spans="32:32" x14ac:dyDescent="0.2">
      <c r="AF7394" s="679"/>
    </row>
    <row r="7395" spans="32:32" x14ac:dyDescent="0.2">
      <c r="AF7395" s="679"/>
    </row>
    <row r="7396" spans="32:32" x14ac:dyDescent="0.2">
      <c r="AF7396" s="679"/>
    </row>
    <row r="7397" spans="32:32" x14ac:dyDescent="0.2">
      <c r="AF7397" s="679"/>
    </row>
    <row r="7398" spans="32:32" x14ac:dyDescent="0.2">
      <c r="AF7398" s="679"/>
    </row>
    <row r="7399" spans="32:32" x14ac:dyDescent="0.2">
      <c r="AF7399" s="679"/>
    </row>
    <row r="7400" spans="32:32" x14ac:dyDescent="0.2">
      <c r="AF7400" s="679"/>
    </row>
    <row r="7401" spans="32:32" x14ac:dyDescent="0.2">
      <c r="AF7401" s="679"/>
    </row>
    <row r="7402" spans="32:32" x14ac:dyDescent="0.2">
      <c r="AF7402" s="679"/>
    </row>
    <row r="7403" spans="32:32" x14ac:dyDescent="0.2">
      <c r="AF7403" s="679"/>
    </row>
    <row r="7404" spans="32:32" x14ac:dyDescent="0.2">
      <c r="AF7404" s="679"/>
    </row>
    <row r="7405" spans="32:32" x14ac:dyDescent="0.2">
      <c r="AF7405" s="679"/>
    </row>
    <row r="7406" spans="32:32" x14ac:dyDescent="0.2">
      <c r="AF7406" s="679"/>
    </row>
    <row r="7407" spans="32:32" x14ac:dyDescent="0.2">
      <c r="AF7407" s="679"/>
    </row>
    <row r="7408" spans="32:32" x14ac:dyDescent="0.2">
      <c r="AF7408" s="679"/>
    </row>
    <row r="7409" spans="32:32" x14ac:dyDescent="0.2">
      <c r="AF7409" s="679"/>
    </row>
    <row r="7410" spans="32:32" x14ac:dyDescent="0.2">
      <c r="AF7410" s="679"/>
    </row>
    <row r="7411" spans="32:32" x14ac:dyDescent="0.2">
      <c r="AF7411" s="679"/>
    </row>
    <row r="7412" spans="32:32" x14ac:dyDescent="0.2">
      <c r="AF7412" s="679"/>
    </row>
    <row r="7413" spans="32:32" x14ac:dyDescent="0.2">
      <c r="AF7413" s="679"/>
    </row>
    <row r="7414" spans="32:32" x14ac:dyDescent="0.2">
      <c r="AF7414" s="679"/>
    </row>
    <row r="7415" spans="32:32" x14ac:dyDescent="0.2">
      <c r="AF7415" s="679"/>
    </row>
    <row r="7416" spans="32:32" x14ac:dyDescent="0.2">
      <c r="AF7416" s="679"/>
    </row>
    <row r="7417" spans="32:32" x14ac:dyDescent="0.2">
      <c r="AF7417" s="679"/>
    </row>
    <row r="7418" spans="32:32" x14ac:dyDescent="0.2">
      <c r="AF7418" s="679"/>
    </row>
    <row r="7419" spans="32:32" x14ac:dyDescent="0.2">
      <c r="AF7419" s="679"/>
    </row>
    <row r="7420" spans="32:32" x14ac:dyDescent="0.2">
      <c r="AF7420" s="679"/>
    </row>
    <row r="7421" spans="32:32" x14ac:dyDescent="0.2">
      <c r="AF7421" s="679"/>
    </row>
    <row r="7422" spans="32:32" x14ac:dyDescent="0.2">
      <c r="AF7422" s="679"/>
    </row>
    <row r="7423" spans="32:32" x14ac:dyDescent="0.2">
      <c r="AF7423" s="679"/>
    </row>
    <row r="7424" spans="32:32" x14ac:dyDescent="0.2">
      <c r="AF7424" s="679"/>
    </row>
    <row r="7425" spans="32:32" x14ac:dyDescent="0.2">
      <c r="AF7425" s="679"/>
    </row>
    <row r="7426" spans="32:32" x14ac:dyDescent="0.2">
      <c r="AF7426" s="679"/>
    </row>
    <row r="7427" spans="32:32" x14ac:dyDescent="0.2">
      <c r="AF7427" s="679"/>
    </row>
    <row r="7428" spans="32:32" x14ac:dyDescent="0.2">
      <c r="AF7428" s="679"/>
    </row>
    <row r="7429" spans="32:32" x14ac:dyDescent="0.2">
      <c r="AF7429" s="679"/>
    </row>
    <row r="7430" spans="32:32" x14ac:dyDescent="0.2">
      <c r="AF7430" s="679"/>
    </row>
    <row r="7431" spans="32:32" x14ac:dyDescent="0.2">
      <c r="AF7431" s="679"/>
    </row>
    <row r="7432" spans="32:32" x14ac:dyDescent="0.2">
      <c r="AF7432" s="679"/>
    </row>
    <row r="7433" spans="32:32" x14ac:dyDescent="0.2">
      <c r="AF7433" s="679"/>
    </row>
    <row r="7434" spans="32:32" x14ac:dyDescent="0.2">
      <c r="AF7434" s="679"/>
    </row>
    <row r="7435" spans="32:32" x14ac:dyDescent="0.2">
      <c r="AF7435" s="679"/>
    </row>
    <row r="7436" spans="32:32" x14ac:dyDescent="0.2">
      <c r="AF7436" s="679"/>
    </row>
    <row r="7437" spans="32:32" x14ac:dyDescent="0.2">
      <c r="AF7437" s="679"/>
    </row>
    <row r="7438" spans="32:32" x14ac:dyDescent="0.2">
      <c r="AF7438" s="679"/>
    </row>
    <row r="7439" spans="32:32" x14ac:dyDescent="0.2">
      <c r="AF7439" s="679"/>
    </row>
    <row r="7440" spans="32:32" x14ac:dyDescent="0.2">
      <c r="AF7440" s="679"/>
    </row>
    <row r="7441" spans="32:32" x14ac:dyDescent="0.2">
      <c r="AF7441" s="679"/>
    </row>
    <row r="7442" spans="32:32" x14ac:dyDescent="0.2">
      <c r="AF7442" s="679"/>
    </row>
    <row r="7443" spans="32:32" x14ac:dyDescent="0.2">
      <c r="AF7443" s="679"/>
    </row>
    <row r="7444" spans="32:32" x14ac:dyDescent="0.2">
      <c r="AF7444" s="679"/>
    </row>
    <row r="7445" spans="32:32" x14ac:dyDescent="0.2">
      <c r="AF7445" s="679"/>
    </row>
    <row r="7446" spans="32:32" x14ac:dyDescent="0.2">
      <c r="AF7446" s="679"/>
    </row>
    <row r="7447" spans="32:32" x14ac:dyDescent="0.2">
      <c r="AF7447" s="679"/>
    </row>
    <row r="7448" spans="32:32" x14ac:dyDescent="0.2">
      <c r="AF7448" s="679"/>
    </row>
    <row r="7449" spans="32:32" x14ac:dyDescent="0.2">
      <c r="AF7449" s="679"/>
    </row>
    <row r="7450" spans="32:32" x14ac:dyDescent="0.2">
      <c r="AF7450" s="679"/>
    </row>
    <row r="7451" spans="32:32" x14ac:dyDescent="0.2">
      <c r="AF7451" s="679"/>
    </row>
    <row r="7452" spans="32:32" x14ac:dyDescent="0.2">
      <c r="AF7452" s="679"/>
    </row>
    <row r="7453" spans="32:32" x14ac:dyDescent="0.2">
      <c r="AF7453" s="679"/>
    </row>
    <row r="7454" spans="32:32" x14ac:dyDescent="0.2">
      <c r="AF7454" s="679"/>
    </row>
    <row r="7455" spans="32:32" x14ac:dyDescent="0.2">
      <c r="AF7455" s="679"/>
    </row>
    <row r="7456" spans="32:32" x14ac:dyDescent="0.2">
      <c r="AF7456" s="679"/>
    </row>
    <row r="7457" spans="32:32" x14ac:dyDescent="0.2">
      <c r="AF7457" s="679"/>
    </row>
    <row r="7458" spans="32:32" x14ac:dyDescent="0.2">
      <c r="AF7458" s="679"/>
    </row>
    <row r="7459" spans="32:32" x14ac:dyDescent="0.2">
      <c r="AF7459" s="679"/>
    </row>
    <row r="7460" spans="32:32" x14ac:dyDescent="0.2">
      <c r="AF7460" s="679"/>
    </row>
    <row r="7461" spans="32:32" x14ac:dyDescent="0.2">
      <c r="AF7461" s="679"/>
    </row>
    <row r="7462" spans="32:32" x14ac:dyDescent="0.2">
      <c r="AF7462" s="679"/>
    </row>
    <row r="7463" spans="32:32" x14ac:dyDescent="0.2">
      <c r="AF7463" s="679"/>
    </row>
    <row r="7464" spans="32:32" x14ac:dyDescent="0.2">
      <c r="AF7464" s="679"/>
    </row>
    <row r="7465" spans="32:32" x14ac:dyDescent="0.2">
      <c r="AF7465" s="679"/>
    </row>
    <row r="7466" spans="32:32" x14ac:dyDescent="0.2">
      <c r="AF7466" s="679"/>
    </row>
    <row r="7467" spans="32:32" x14ac:dyDescent="0.2">
      <c r="AF7467" s="679"/>
    </row>
    <row r="7468" spans="32:32" x14ac:dyDescent="0.2">
      <c r="AF7468" s="679"/>
    </row>
    <row r="7469" spans="32:32" x14ac:dyDescent="0.2">
      <c r="AF7469" s="679"/>
    </row>
    <row r="7470" spans="32:32" x14ac:dyDescent="0.2">
      <c r="AF7470" s="679"/>
    </row>
    <row r="7471" spans="32:32" x14ac:dyDescent="0.2">
      <c r="AF7471" s="679"/>
    </row>
    <row r="7472" spans="32:32" x14ac:dyDescent="0.2">
      <c r="AF7472" s="679"/>
    </row>
    <row r="7473" spans="32:32" x14ac:dyDescent="0.2">
      <c r="AF7473" s="679"/>
    </row>
    <row r="7474" spans="32:32" x14ac:dyDescent="0.2">
      <c r="AF7474" s="679"/>
    </row>
    <row r="7475" spans="32:32" x14ac:dyDescent="0.2">
      <c r="AF7475" s="679"/>
    </row>
    <row r="7476" spans="32:32" x14ac:dyDescent="0.2">
      <c r="AF7476" s="679"/>
    </row>
    <row r="7477" spans="32:32" x14ac:dyDescent="0.2">
      <c r="AF7477" s="679"/>
    </row>
    <row r="7478" spans="32:32" x14ac:dyDescent="0.2">
      <c r="AF7478" s="679"/>
    </row>
    <row r="7479" spans="32:32" x14ac:dyDescent="0.2">
      <c r="AF7479" s="679"/>
    </row>
    <row r="7480" spans="32:32" x14ac:dyDescent="0.2">
      <c r="AF7480" s="679"/>
    </row>
    <row r="7481" spans="32:32" x14ac:dyDescent="0.2">
      <c r="AF7481" s="679"/>
    </row>
    <row r="7482" spans="32:32" x14ac:dyDescent="0.2">
      <c r="AF7482" s="679"/>
    </row>
    <row r="7483" spans="32:32" x14ac:dyDescent="0.2">
      <c r="AF7483" s="679"/>
    </row>
    <row r="7484" spans="32:32" x14ac:dyDescent="0.2">
      <c r="AF7484" s="679"/>
    </row>
    <row r="7485" spans="32:32" x14ac:dyDescent="0.2">
      <c r="AF7485" s="679"/>
    </row>
    <row r="7486" spans="32:32" x14ac:dyDescent="0.2">
      <c r="AF7486" s="679"/>
    </row>
    <row r="7487" spans="32:32" x14ac:dyDescent="0.2">
      <c r="AF7487" s="679"/>
    </row>
    <row r="7488" spans="32:32" x14ac:dyDescent="0.2">
      <c r="AF7488" s="679"/>
    </row>
    <row r="7489" spans="32:32" x14ac:dyDescent="0.2">
      <c r="AF7489" s="679"/>
    </row>
    <row r="7490" spans="32:32" x14ac:dyDescent="0.2">
      <c r="AF7490" s="679"/>
    </row>
    <row r="7491" spans="32:32" x14ac:dyDescent="0.2">
      <c r="AF7491" s="679"/>
    </row>
    <row r="7492" spans="32:32" x14ac:dyDescent="0.2">
      <c r="AF7492" s="679"/>
    </row>
    <row r="7493" spans="32:32" x14ac:dyDescent="0.2">
      <c r="AF7493" s="679"/>
    </row>
    <row r="7494" spans="32:32" x14ac:dyDescent="0.2">
      <c r="AF7494" s="679"/>
    </row>
    <row r="7495" spans="32:32" x14ac:dyDescent="0.2">
      <c r="AF7495" s="679"/>
    </row>
    <row r="7496" spans="32:32" x14ac:dyDescent="0.2">
      <c r="AF7496" s="679"/>
    </row>
    <row r="7497" spans="32:32" x14ac:dyDescent="0.2">
      <c r="AF7497" s="679"/>
    </row>
    <row r="7498" spans="32:32" x14ac:dyDescent="0.2">
      <c r="AF7498" s="679"/>
    </row>
    <row r="7499" spans="32:32" x14ac:dyDescent="0.2">
      <c r="AF7499" s="679"/>
    </row>
    <row r="7500" spans="32:32" x14ac:dyDescent="0.2">
      <c r="AF7500" s="679"/>
    </row>
    <row r="7501" spans="32:32" x14ac:dyDescent="0.2">
      <c r="AF7501" s="679"/>
    </row>
    <row r="7502" spans="32:32" x14ac:dyDescent="0.2">
      <c r="AF7502" s="679"/>
    </row>
    <row r="7503" spans="32:32" x14ac:dyDescent="0.2">
      <c r="AF7503" s="679"/>
    </row>
    <row r="7504" spans="32:32" x14ac:dyDescent="0.2">
      <c r="AF7504" s="679"/>
    </row>
    <row r="7505" spans="32:32" x14ac:dyDescent="0.2">
      <c r="AF7505" s="679"/>
    </row>
    <row r="7506" spans="32:32" x14ac:dyDescent="0.2">
      <c r="AF7506" s="679"/>
    </row>
    <row r="7507" spans="32:32" x14ac:dyDescent="0.2">
      <c r="AF7507" s="679"/>
    </row>
    <row r="7508" spans="32:32" x14ac:dyDescent="0.2">
      <c r="AF7508" s="679"/>
    </row>
    <row r="7509" spans="32:32" x14ac:dyDescent="0.2">
      <c r="AF7509" s="679"/>
    </row>
    <row r="7510" spans="32:32" x14ac:dyDescent="0.2">
      <c r="AF7510" s="679"/>
    </row>
    <row r="7511" spans="32:32" x14ac:dyDescent="0.2">
      <c r="AF7511" s="679"/>
    </row>
    <row r="7512" spans="32:32" x14ac:dyDescent="0.2">
      <c r="AF7512" s="679"/>
    </row>
    <row r="7513" spans="32:32" x14ac:dyDescent="0.2">
      <c r="AF7513" s="679"/>
    </row>
    <row r="7514" spans="32:32" x14ac:dyDescent="0.2">
      <c r="AF7514" s="679"/>
    </row>
    <row r="7515" spans="32:32" x14ac:dyDescent="0.2">
      <c r="AF7515" s="679"/>
    </row>
    <row r="7516" spans="32:32" x14ac:dyDescent="0.2">
      <c r="AF7516" s="679"/>
    </row>
    <row r="7517" spans="32:32" x14ac:dyDescent="0.2">
      <c r="AF7517" s="679"/>
    </row>
    <row r="7518" spans="32:32" x14ac:dyDescent="0.2">
      <c r="AF7518" s="679"/>
    </row>
    <row r="7519" spans="32:32" x14ac:dyDescent="0.2">
      <c r="AF7519" s="679"/>
    </row>
    <row r="7520" spans="32:32" x14ac:dyDescent="0.2">
      <c r="AF7520" s="679"/>
    </row>
    <row r="7521" spans="32:32" x14ac:dyDescent="0.2">
      <c r="AF7521" s="679"/>
    </row>
    <row r="7522" spans="32:32" x14ac:dyDescent="0.2">
      <c r="AF7522" s="679"/>
    </row>
    <row r="7523" spans="32:32" x14ac:dyDescent="0.2">
      <c r="AF7523" s="679"/>
    </row>
    <row r="7524" spans="32:32" x14ac:dyDescent="0.2">
      <c r="AF7524" s="679"/>
    </row>
    <row r="7525" spans="32:32" x14ac:dyDescent="0.2">
      <c r="AF7525" s="679"/>
    </row>
    <row r="7526" spans="32:32" x14ac:dyDescent="0.2">
      <c r="AF7526" s="679"/>
    </row>
    <row r="7527" spans="32:32" x14ac:dyDescent="0.2">
      <c r="AF7527" s="679"/>
    </row>
    <row r="7528" spans="32:32" x14ac:dyDescent="0.2">
      <c r="AF7528" s="679"/>
    </row>
    <row r="7529" spans="32:32" x14ac:dyDescent="0.2">
      <c r="AF7529" s="679"/>
    </row>
    <row r="7530" spans="32:32" x14ac:dyDescent="0.2">
      <c r="AF7530" s="679"/>
    </row>
    <row r="7531" spans="32:32" x14ac:dyDescent="0.2">
      <c r="AF7531" s="679"/>
    </row>
    <row r="7532" spans="32:32" x14ac:dyDescent="0.2">
      <c r="AF7532" s="679"/>
    </row>
    <row r="7533" spans="32:32" x14ac:dyDescent="0.2">
      <c r="AF7533" s="679"/>
    </row>
    <row r="7534" spans="32:32" x14ac:dyDescent="0.2">
      <c r="AF7534" s="679"/>
    </row>
    <row r="7535" spans="32:32" x14ac:dyDescent="0.2">
      <c r="AF7535" s="679"/>
    </row>
    <row r="7536" spans="32:32" x14ac:dyDescent="0.2">
      <c r="AF7536" s="679"/>
    </row>
    <row r="7537" spans="32:32" x14ac:dyDescent="0.2">
      <c r="AF7537" s="679"/>
    </row>
    <row r="7538" spans="32:32" x14ac:dyDescent="0.2">
      <c r="AF7538" s="679"/>
    </row>
    <row r="7539" spans="32:32" x14ac:dyDescent="0.2">
      <c r="AF7539" s="679"/>
    </row>
    <row r="7540" spans="32:32" x14ac:dyDescent="0.2">
      <c r="AF7540" s="679"/>
    </row>
    <row r="7541" spans="32:32" x14ac:dyDescent="0.2">
      <c r="AF7541" s="679"/>
    </row>
    <row r="7542" spans="32:32" x14ac:dyDescent="0.2">
      <c r="AF7542" s="679"/>
    </row>
    <row r="7543" spans="32:32" x14ac:dyDescent="0.2">
      <c r="AF7543" s="679"/>
    </row>
    <row r="7544" spans="32:32" x14ac:dyDescent="0.2">
      <c r="AF7544" s="679"/>
    </row>
    <row r="7545" spans="32:32" x14ac:dyDescent="0.2">
      <c r="AF7545" s="679"/>
    </row>
    <row r="7546" spans="32:32" x14ac:dyDescent="0.2">
      <c r="AF7546" s="679"/>
    </row>
    <row r="7547" spans="32:32" x14ac:dyDescent="0.2">
      <c r="AF7547" s="679"/>
    </row>
    <row r="7548" spans="32:32" x14ac:dyDescent="0.2">
      <c r="AF7548" s="679"/>
    </row>
    <row r="7549" spans="32:32" x14ac:dyDescent="0.2">
      <c r="AF7549" s="679"/>
    </row>
    <row r="7550" spans="32:32" x14ac:dyDescent="0.2">
      <c r="AF7550" s="679"/>
    </row>
    <row r="7551" spans="32:32" x14ac:dyDescent="0.2">
      <c r="AF7551" s="679"/>
    </row>
    <row r="7552" spans="32:32" x14ac:dyDescent="0.2">
      <c r="AF7552" s="679"/>
    </row>
    <row r="7553" spans="32:32" x14ac:dyDescent="0.2">
      <c r="AF7553" s="679"/>
    </row>
    <row r="7554" spans="32:32" x14ac:dyDescent="0.2">
      <c r="AF7554" s="679"/>
    </row>
    <row r="7555" spans="32:32" x14ac:dyDescent="0.2">
      <c r="AF7555" s="679"/>
    </row>
    <row r="7556" spans="32:32" x14ac:dyDescent="0.2">
      <c r="AF7556" s="679"/>
    </row>
    <row r="7557" spans="32:32" x14ac:dyDescent="0.2">
      <c r="AF7557" s="679"/>
    </row>
    <row r="7558" spans="32:32" x14ac:dyDescent="0.2">
      <c r="AF7558" s="679"/>
    </row>
    <row r="7559" spans="32:32" x14ac:dyDescent="0.2">
      <c r="AF7559" s="679"/>
    </row>
    <row r="7560" spans="32:32" x14ac:dyDescent="0.2">
      <c r="AF7560" s="679"/>
    </row>
    <row r="7561" spans="32:32" x14ac:dyDescent="0.2">
      <c r="AF7561" s="679"/>
    </row>
    <row r="7562" spans="32:32" x14ac:dyDescent="0.2">
      <c r="AF7562" s="679"/>
    </row>
    <row r="7563" spans="32:32" x14ac:dyDescent="0.2">
      <c r="AF7563" s="679"/>
    </row>
    <row r="7564" spans="32:32" x14ac:dyDescent="0.2">
      <c r="AF7564" s="679"/>
    </row>
    <row r="7565" spans="32:32" x14ac:dyDescent="0.2">
      <c r="AF7565" s="679"/>
    </row>
    <row r="7566" spans="32:32" x14ac:dyDescent="0.2">
      <c r="AF7566" s="679"/>
    </row>
    <row r="7567" spans="32:32" x14ac:dyDescent="0.2">
      <c r="AF7567" s="679"/>
    </row>
    <row r="7568" spans="32:32" x14ac:dyDescent="0.2">
      <c r="AF7568" s="679"/>
    </row>
    <row r="7569" spans="32:32" x14ac:dyDescent="0.2">
      <c r="AF7569" s="679"/>
    </row>
    <row r="7570" spans="32:32" x14ac:dyDescent="0.2">
      <c r="AF7570" s="679"/>
    </row>
    <row r="7571" spans="32:32" x14ac:dyDescent="0.2">
      <c r="AF7571" s="679"/>
    </row>
    <row r="7572" spans="32:32" x14ac:dyDescent="0.2">
      <c r="AF7572" s="679"/>
    </row>
    <row r="7573" spans="32:32" x14ac:dyDescent="0.2">
      <c r="AF7573" s="679"/>
    </row>
    <row r="7574" spans="32:32" x14ac:dyDescent="0.2">
      <c r="AF7574" s="679"/>
    </row>
    <row r="7575" spans="32:32" x14ac:dyDescent="0.2">
      <c r="AF7575" s="679"/>
    </row>
    <row r="7576" spans="32:32" x14ac:dyDescent="0.2">
      <c r="AF7576" s="679"/>
    </row>
    <row r="7577" spans="32:32" x14ac:dyDescent="0.2">
      <c r="AF7577" s="679"/>
    </row>
    <row r="7578" spans="32:32" x14ac:dyDescent="0.2">
      <c r="AF7578" s="679"/>
    </row>
    <row r="7579" spans="32:32" x14ac:dyDescent="0.2">
      <c r="AF7579" s="679"/>
    </row>
    <row r="7580" spans="32:32" x14ac:dyDescent="0.2">
      <c r="AF7580" s="679"/>
    </row>
    <row r="7581" spans="32:32" x14ac:dyDescent="0.2">
      <c r="AF7581" s="679"/>
    </row>
    <row r="7582" spans="32:32" x14ac:dyDescent="0.2">
      <c r="AF7582" s="679"/>
    </row>
    <row r="7583" spans="32:32" x14ac:dyDescent="0.2">
      <c r="AF7583" s="679"/>
    </row>
    <row r="7584" spans="32:32" x14ac:dyDescent="0.2">
      <c r="AF7584" s="679"/>
    </row>
    <row r="7585" spans="32:32" x14ac:dyDescent="0.2">
      <c r="AF7585" s="679"/>
    </row>
    <row r="7586" spans="32:32" x14ac:dyDescent="0.2">
      <c r="AF7586" s="679"/>
    </row>
    <row r="7587" spans="32:32" x14ac:dyDescent="0.2">
      <c r="AF7587" s="679"/>
    </row>
    <row r="7588" spans="32:32" x14ac:dyDescent="0.2">
      <c r="AF7588" s="679"/>
    </row>
    <row r="7589" spans="32:32" x14ac:dyDescent="0.2">
      <c r="AF7589" s="679"/>
    </row>
    <row r="7590" spans="32:32" x14ac:dyDescent="0.2">
      <c r="AF7590" s="679"/>
    </row>
    <row r="7591" spans="32:32" x14ac:dyDescent="0.2">
      <c r="AF7591" s="679"/>
    </row>
    <row r="7592" spans="32:32" x14ac:dyDescent="0.2">
      <c r="AF7592" s="679"/>
    </row>
    <row r="7593" spans="32:32" x14ac:dyDescent="0.2">
      <c r="AF7593" s="679"/>
    </row>
    <row r="7594" spans="32:32" x14ac:dyDescent="0.2">
      <c r="AF7594" s="679"/>
    </row>
    <row r="7595" spans="32:32" x14ac:dyDescent="0.2">
      <c r="AF7595" s="679"/>
    </row>
    <row r="7596" spans="32:32" x14ac:dyDescent="0.2">
      <c r="AF7596" s="679"/>
    </row>
    <row r="7597" spans="32:32" x14ac:dyDescent="0.2">
      <c r="AF7597" s="679"/>
    </row>
    <row r="7598" spans="32:32" x14ac:dyDescent="0.2">
      <c r="AF7598" s="679"/>
    </row>
    <row r="7599" spans="32:32" x14ac:dyDescent="0.2">
      <c r="AF7599" s="679"/>
    </row>
    <row r="7600" spans="32:32" x14ac:dyDescent="0.2">
      <c r="AF7600" s="679"/>
    </row>
    <row r="7601" spans="32:32" x14ac:dyDescent="0.2">
      <c r="AF7601" s="679"/>
    </row>
    <row r="7602" spans="32:32" x14ac:dyDescent="0.2">
      <c r="AF7602" s="679"/>
    </row>
    <row r="7603" spans="32:32" x14ac:dyDescent="0.2">
      <c r="AF7603" s="679"/>
    </row>
    <row r="7604" spans="32:32" x14ac:dyDescent="0.2">
      <c r="AF7604" s="679"/>
    </row>
    <row r="7605" spans="32:32" x14ac:dyDescent="0.2">
      <c r="AF7605" s="679"/>
    </row>
    <row r="7606" spans="32:32" x14ac:dyDescent="0.2">
      <c r="AF7606" s="679"/>
    </row>
    <row r="7607" spans="32:32" x14ac:dyDescent="0.2">
      <c r="AF7607" s="679"/>
    </row>
    <row r="7608" spans="32:32" x14ac:dyDescent="0.2">
      <c r="AF7608" s="679"/>
    </row>
    <row r="7609" spans="32:32" x14ac:dyDescent="0.2">
      <c r="AF7609" s="679"/>
    </row>
    <row r="7610" spans="32:32" x14ac:dyDescent="0.2">
      <c r="AF7610" s="679"/>
    </row>
    <row r="7611" spans="32:32" x14ac:dyDescent="0.2">
      <c r="AF7611" s="679"/>
    </row>
    <row r="7612" spans="32:32" x14ac:dyDescent="0.2">
      <c r="AF7612" s="679"/>
    </row>
    <row r="7613" spans="32:32" x14ac:dyDescent="0.2">
      <c r="AF7613" s="679"/>
    </row>
    <row r="7614" spans="32:32" x14ac:dyDescent="0.2">
      <c r="AF7614" s="679"/>
    </row>
    <row r="7615" spans="32:32" x14ac:dyDescent="0.2">
      <c r="AF7615" s="679"/>
    </row>
    <row r="7616" spans="32:32" x14ac:dyDescent="0.2">
      <c r="AF7616" s="679"/>
    </row>
    <row r="7617" spans="32:32" x14ac:dyDescent="0.2">
      <c r="AF7617" s="679"/>
    </row>
    <row r="7618" spans="32:32" x14ac:dyDescent="0.2">
      <c r="AF7618" s="679"/>
    </row>
    <row r="7619" spans="32:32" x14ac:dyDescent="0.2">
      <c r="AF7619" s="679"/>
    </row>
    <row r="7620" spans="32:32" x14ac:dyDescent="0.2">
      <c r="AF7620" s="679"/>
    </row>
    <row r="7621" spans="32:32" x14ac:dyDescent="0.2">
      <c r="AF7621" s="679"/>
    </row>
    <row r="7622" spans="32:32" x14ac:dyDescent="0.2">
      <c r="AF7622" s="679"/>
    </row>
    <row r="7623" spans="32:32" x14ac:dyDescent="0.2">
      <c r="AF7623" s="679"/>
    </row>
    <row r="7624" spans="32:32" x14ac:dyDescent="0.2">
      <c r="AF7624" s="679"/>
    </row>
    <row r="7625" spans="32:32" x14ac:dyDescent="0.2">
      <c r="AF7625" s="679"/>
    </row>
    <row r="7626" spans="32:32" x14ac:dyDescent="0.2">
      <c r="AF7626" s="679"/>
    </row>
    <row r="7627" spans="32:32" x14ac:dyDescent="0.2">
      <c r="AF7627" s="679"/>
    </row>
    <row r="7628" spans="32:32" x14ac:dyDescent="0.2">
      <c r="AF7628" s="679"/>
    </row>
    <row r="7629" spans="32:32" x14ac:dyDescent="0.2">
      <c r="AF7629" s="679"/>
    </row>
    <row r="7630" spans="32:32" x14ac:dyDescent="0.2">
      <c r="AF7630" s="679"/>
    </row>
    <row r="7631" spans="32:32" x14ac:dyDescent="0.2">
      <c r="AF7631" s="679"/>
    </row>
    <row r="7632" spans="32:32" x14ac:dyDescent="0.2">
      <c r="AF7632" s="679"/>
    </row>
    <row r="7633" spans="32:32" x14ac:dyDescent="0.2">
      <c r="AF7633" s="679"/>
    </row>
    <row r="7634" spans="32:32" x14ac:dyDescent="0.2">
      <c r="AF7634" s="679"/>
    </row>
    <row r="7635" spans="32:32" x14ac:dyDescent="0.2">
      <c r="AF7635" s="679"/>
    </row>
    <row r="7636" spans="32:32" x14ac:dyDescent="0.2">
      <c r="AF7636" s="679"/>
    </row>
    <row r="7637" spans="32:32" x14ac:dyDescent="0.2">
      <c r="AF7637" s="679"/>
    </row>
    <row r="7638" spans="32:32" x14ac:dyDescent="0.2">
      <c r="AF7638" s="679"/>
    </row>
    <row r="7639" spans="32:32" x14ac:dyDescent="0.2">
      <c r="AF7639" s="679"/>
    </row>
    <row r="7640" spans="32:32" x14ac:dyDescent="0.2">
      <c r="AF7640" s="679"/>
    </row>
    <row r="7641" spans="32:32" x14ac:dyDescent="0.2">
      <c r="AF7641" s="679"/>
    </row>
    <row r="7642" spans="32:32" x14ac:dyDescent="0.2">
      <c r="AF7642" s="679"/>
    </row>
    <row r="7643" spans="32:32" x14ac:dyDescent="0.2">
      <c r="AF7643" s="679"/>
    </row>
    <row r="7644" spans="32:32" x14ac:dyDescent="0.2">
      <c r="AF7644" s="679"/>
    </row>
    <row r="7645" spans="32:32" x14ac:dyDescent="0.2">
      <c r="AF7645" s="679"/>
    </row>
    <row r="7646" spans="32:32" x14ac:dyDescent="0.2">
      <c r="AF7646" s="679"/>
    </row>
    <row r="7647" spans="32:32" x14ac:dyDescent="0.2">
      <c r="AF7647" s="679"/>
    </row>
    <row r="7648" spans="32:32" x14ac:dyDescent="0.2">
      <c r="AF7648" s="679"/>
    </row>
    <row r="7649" spans="32:32" x14ac:dyDescent="0.2">
      <c r="AF7649" s="679"/>
    </row>
    <row r="7650" spans="32:32" x14ac:dyDescent="0.2">
      <c r="AF7650" s="679"/>
    </row>
    <row r="7651" spans="32:32" x14ac:dyDescent="0.2">
      <c r="AF7651" s="679"/>
    </row>
    <row r="7652" spans="32:32" x14ac:dyDescent="0.2">
      <c r="AF7652" s="679"/>
    </row>
    <row r="7653" spans="32:32" x14ac:dyDescent="0.2">
      <c r="AF7653" s="679"/>
    </row>
    <row r="7654" spans="32:32" x14ac:dyDescent="0.2">
      <c r="AF7654" s="679"/>
    </row>
    <row r="7655" spans="32:32" x14ac:dyDescent="0.2">
      <c r="AF7655" s="679"/>
    </row>
    <row r="7656" spans="32:32" x14ac:dyDescent="0.2">
      <c r="AF7656" s="679"/>
    </row>
    <row r="7657" spans="32:32" x14ac:dyDescent="0.2">
      <c r="AF7657" s="679"/>
    </row>
    <row r="7658" spans="32:32" x14ac:dyDescent="0.2">
      <c r="AF7658" s="679"/>
    </row>
    <row r="7659" spans="32:32" x14ac:dyDescent="0.2">
      <c r="AF7659" s="679"/>
    </row>
    <row r="7660" spans="32:32" x14ac:dyDescent="0.2">
      <c r="AF7660" s="679"/>
    </row>
    <row r="7661" spans="32:32" x14ac:dyDescent="0.2">
      <c r="AF7661" s="679"/>
    </row>
    <row r="7662" spans="32:32" x14ac:dyDescent="0.2">
      <c r="AF7662" s="679"/>
    </row>
    <row r="7663" spans="32:32" x14ac:dyDescent="0.2">
      <c r="AF7663" s="679"/>
    </row>
    <row r="7664" spans="32:32" x14ac:dyDescent="0.2">
      <c r="AF7664" s="679"/>
    </row>
    <row r="7665" spans="32:32" x14ac:dyDescent="0.2">
      <c r="AF7665" s="679"/>
    </row>
    <row r="7666" spans="32:32" x14ac:dyDescent="0.2">
      <c r="AF7666" s="679"/>
    </row>
    <row r="7667" spans="32:32" x14ac:dyDescent="0.2">
      <c r="AF7667" s="679"/>
    </row>
    <row r="7668" spans="32:32" x14ac:dyDescent="0.2">
      <c r="AF7668" s="679"/>
    </row>
    <row r="7669" spans="32:32" x14ac:dyDescent="0.2">
      <c r="AF7669" s="679"/>
    </row>
    <row r="7670" spans="32:32" x14ac:dyDescent="0.2">
      <c r="AF7670" s="679"/>
    </row>
    <row r="7671" spans="32:32" x14ac:dyDescent="0.2">
      <c r="AF7671" s="679"/>
    </row>
    <row r="7672" spans="32:32" x14ac:dyDescent="0.2">
      <c r="AF7672" s="679"/>
    </row>
    <row r="7673" spans="32:32" x14ac:dyDescent="0.2">
      <c r="AF7673" s="679"/>
    </row>
    <row r="7674" spans="32:32" x14ac:dyDescent="0.2">
      <c r="AF7674" s="679"/>
    </row>
    <row r="7675" spans="32:32" x14ac:dyDescent="0.2">
      <c r="AF7675" s="679"/>
    </row>
    <row r="7676" spans="32:32" x14ac:dyDescent="0.2">
      <c r="AF7676" s="679"/>
    </row>
    <row r="7677" spans="32:32" x14ac:dyDescent="0.2">
      <c r="AF7677" s="679"/>
    </row>
    <row r="7678" spans="32:32" x14ac:dyDescent="0.2">
      <c r="AF7678" s="679"/>
    </row>
    <row r="7679" spans="32:32" x14ac:dyDescent="0.2">
      <c r="AF7679" s="679"/>
    </row>
    <row r="7680" spans="32:32" x14ac:dyDescent="0.2">
      <c r="AF7680" s="679"/>
    </row>
    <row r="7681" spans="32:32" x14ac:dyDescent="0.2">
      <c r="AF7681" s="679"/>
    </row>
    <row r="7682" spans="32:32" x14ac:dyDescent="0.2">
      <c r="AF7682" s="679"/>
    </row>
    <row r="7683" spans="32:32" x14ac:dyDescent="0.2">
      <c r="AF7683" s="679"/>
    </row>
    <row r="7684" spans="32:32" x14ac:dyDescent="0.2">
      <c r="AF7684" s="679"/>
    </row>
    <row r="7685" spans="32:32" x14ac:dyDescent="0.2">
      <c r="AF7685" s="679"/>
    </row>
    <row r="7686" spans="32:32" x14ac:dyDescent="0.2">
      <c r="AF7686" s="679"/>
    </row>
    <row r="7687" spans="32:32" x14ac:dyDescent="0.2">
      <c r="AF7687" s="679"/>
    </row>
    <row r="7688" spans="32:32" x14ac:dyDescent="0.2">
      <c r="AF7688" s="679"/>
    </row>
    <row r="7689" spans="32:32" x14ac:dyDescent="0.2">
      <c r="AF7689" s="679"/>
    </row>
    <row r="7690" spans="32:32" x14ac:dyDescent="0.2">
      <c r="AF7690" s="679"/>
    </row>
    <row r="7691" spans="32:32" x14ac:dyDescent="0.2">
      <c r="AF7691" s="679"/>
    </row>
    <row r="7692" spans="32:32" x14ac:dyDescent="0.2">
      <c r="AF7692" s="679"/>
    </row>
    <row r="7693" spans="32:32" x14ac:dyDescent="0.2">
      <c r="AF7693" s="679"/>
    </row>
    <row r="7694" spans="32:32" x14ac:dyDescent="0.2">
      <c r="AF7694" s="679"/>
    </row>
    <row r="7695" spans="32:32" x14ac:dyDescent="0.2">
      <c r="AF7695" s="679"/>
    </row>
    <row r="7696" spans="32:32" x14ac:dyDescent="0.2">
      <c r="AF7696" s="679"/>
    </row>
    <row r="7697" spans="32:32" x14ac:dyDescent="0.2">
      <c r="AF7697" s="679"/>
    </row>
    <row r="7698" spans="32:32" x14ac:dyDescent="0.2">
      <c r="AF7698" s="679"/>
    </row>
    <row r="7699" spans="32:32" x14ac:dyDescent="0.2">
      <c r="AF7699" s="679"/>
    </row>
    <row r="7700" spans="32:32" x14ac:dyDescent="0.2">
      <c r="AF7700" s="679"/>
    </row>
    <row r="7701" spans="32:32" x14ac:dyDescent="0.2">
      <c r="AF7701" s="679"/>
    </row>
    <row r="7702" spans="32:32" x14ac:dyDescent="0.2">
      <c r="AF7702" s="679"/>
    </row>
    <row r="7703" spans="32:32" x14ac:dyDescent="0.2">
      <c r="AF7703" s="679"/>
    </row>
    <row r="7704" spans="32:32" x14ac:dyDescent="0.2">
      <c r="AF7704" s="679"/>
    </row>
    <row r="7705" spans="32:32" x14ac:dyDescent="0.2">
      <c r="AF7705" s="679"/>
    </row>
    <row r="7706" spans="32:32" x14ac:dyDescent="0.2">
      <c r="AF7706" s="679"/>
    </row>
    <row r="7707" spans="32:32" x14ac:dyDescent="0.2">
      <c r="AF7707" s="679"/>
    </row>
    <row r="7708" spans="32:32" x14ac:dyDescent="0.2">
      <c r="AF7708" s="679"/>
    </row>
    <row r="7709" spans="32:32" x14ac:dyDescent="0.2">
      <c r="AF7709" s="679"/>
    </row>
    <row r="7710" spans="32:32" x14ac:dyDescent="0.2">
      <c r="AF7710" s="679"/>
    </row>
    <row r="7711" spans="32:32" x14ac:dyDescent="0.2">
      <c r="AF7711" s="679"/>
    </row>
    <row r="7712" spans="32:32" x14ac:dyDescent="0.2">
      <c r="AF7712" s="679"/>
    </row>
    <row r="7713" spans="32:32" x14ac:dyDescent="0.2">
      <c r="AF7713" s="679"/>
    </row>
    <row r="7714" spans="32:32" x14ac:dyDescent="0.2">
      <c r="AF7714" s="679"/>
    </row>
    <row r="7715" spans="32:32" x14ac:dyDescent="0.2">
      <c r="AF7715" s="679"/>
    </row>
    <row r="7716" spans="32:32" x14ac:dyDescent="0.2">
      <c r="AF7716" s="679"/>
    </row>
    <row r="7717" spans="32:32" x14ac:dyDescent="0.2">
      <c r="AF7717" s="679"/>
    </row>
    <row r="7718" spans="32:32" x14ac:dyDescent="0.2">
      <c r="AF7718" s="679"/>
    </row>
    <row r="7719" spans="32:32" x14ac:dyDescent="0.2">
      <c r="AF7719" s="679"/>
    </row>
    <row r="7720" spans="32:32" x14ac:dyDescent="0.2">
      <c r="AF7720" s="679"/>
    </row>
    <row r="7721" spans="32:32" x14ac:dyDescent="0.2">
      <c r="AF7721" s="679"/>
    </row>
    <row r="7722" spans="32:32" x14ac:dyDescent="0.2">
      <c r="AF7722" s="679"/>
    </row>
    <row r="7723" spans="32:32" x14ac:dyDescent="0.2">
      <c r="AF7723" s="679"/>
    </row>
    <row r="7724" spans="32:32" x14ac:dyDescent="0.2">
      <c r="AF7724" s="679"/>
    </row>
    <row r="7725" spans="32:32" x14ac:dyDescent="0.2">
      <c r="AF7725" s="679"/>
    </row>
    <row r="7726" spans="32:32" x14ac:dyDescent="0.2">
      <c r="AF7726" s="679"/>
    </row>
    <row r="7727" spans="32:32" x14ac:dyDescent="0.2">
      <c r="AF7727" s="679"/>
    </row>
    <row r="7728" spans="32:32" x14ac:dyDescent="0.2">
      <c r="AF7728" s="679"/>
    </row>
    <row r="7729" spans="32:32" x14ac:dyDescent="0.2">
      <c r="AF7729" s="679"/>
    </row>
    <row r="7730" spans="32:32" x14ac:dyDescent="0.2">
      <c r="AF7730" s="679"/>
    </row>
    <row r="7731" spans="32:32" x14ac:dyDescent="0.2">
      <c r="AF7731" s="679"/>
    </row>
    <row r="7732" spans="32:32" x14ac:dyDescent="0.2">
      <c r="AF7732" s="679"/>
    </row>
    <row r="7733" spans="32:32" x14ac:dyDescent="0.2">
      <c r="AF7733" s="679"/>
    </row>
    <row r="7734" spans="32:32" x14ac:dyDescent="0.2">
      <c r="AF7734" s="679"/>
    </row>
    <row r="7735" spans="32:32" x14ac:dyDescent="0.2">
      <c r="AF7735" s="679"/>
    </row>
    <row r="7736" spans="32:32" x14ac:dyDescent="0.2">
      <c r="AF7736" s="679"/>
    </row>
    <row r="7737" spans="32:32" x14ac:dyDescent="0.2">
      <c r="AF7737" s="679"/>
    </row>
    <row r="7738" spans="32:32" x14ac:dyDescent="0.2">
      <c r="AF7738" s="679"/>
    </row>
    <row r="7739" spans="32:32" x14ac:dyDescent="0.2">
      <c r="AF7739" s="679"/>
    </row>
    <row r="7740" spans="32:32" x14ac:dyDescent="0.2">
      <c r="AF7740" s="679"/>
    </row>
    <row r="7741" spans="32:32" x14ac:dyDescent="0.2">
      <c r="AF7741" s="679"/>
    </row>
    <row r="7742" spans="32:32" x14ac:dyDescent="0.2">
      <c r="AF7742" s="679"/>
    </row>
    <row r="7743" spans="32:32" x14ac:dyDescent="0.2">
      <c r="AF7743" s="679"/>
    </row>
    <row r="7744" spans="32:32" x14ac:dyDescent="0.2">
      <c r="AF7744" s="679"/>
    </row>
    <row r="7745" spans="32:32" x14ac:dyDescent="0.2">
      <c r="AF7745" s="679"/>
    </row>
    <row r="7746" spans="32:32" x14ac:dyDescent="0.2">
      <c r="AF7746" s="679"/>
    </row>
    <row r="7747" spans="32:32" x14ac:dyDescent="0.2">
      <c r="AF7747" s="679"/>
    </row>
    <row r="7748" spans="32:32" x14ac:dyDescent="0.2">
      <c r="AF7748" s="679"/>
    </row>
    <row r="7749" spans="32:32" x14ac:dyDescent="0.2">
      <c r="AF7749" s="679"/>
    </row>
    <row r="7750" spans="32:32" x14ac:dyDescent="0.2">
      <c r="AF7750" s="679"/>
    </row>
    <row r="7751" spans="32:32" x14ac:dyDescent="0.2">
      <c r="AF7751" s="679"/>
    </row>
    <row r="7752" spans="32:32" x14ac:dyDescent="0.2">
      <c r="AF7752" s="679"/>
    </row>
    <row r="7753" spans="32:32" x14ac:dyDescent="0.2">
      <c r="AF7753" s="679"/>
    </row>
    <row r="7754" spans="32:32" x14ac:dyDescent="0.2">
      <c r="AF7754" s="679"/>
    </row>
    <row r="7755" spans="32:32" x14ac:dyDescent="0.2">
      <c r="AF7755" s="679"/>
    </row>
    <row r="7756" spans="32:32" x14ac:dyDescent="0.2">
      <c r="AF7756" s="679"/>
    </row>
    <row r="7757" spans="32:32" x14ac:dyDescent="0.2">
      <c r="AF7757" s="679"/>
    </row>
    <row r="7758" spans="32:32" x14ac:dyDescent="0.2">
      <c r="AF7758" s="679"/>
    </row>
    <row r="7759" spans="32:32" x14ac:dyDescent="0.2">
      <c r="AF7759" s="679"/>
    </row>
    <row r="7760" spans="32:32" x14ac:dyDescent="0.2">
      <c r="AF7760" s="679"/>
    </row>
    <row r="7761" spans="32:32" x14ac:dyDescent="0.2">
      <c r="AF7761" s="679"/>
    </row>
    <row r="7762" spans="32:32" x14ac:dyDescent="0.2">
      <c r="AF7762" s="679"/>
    </row>
    <row r="7763" spans="32:32" x14ac:dyDescent="0.2">
      <c r="AF7763" s="679"/>
    </row>
    <row r="7764" spans="32:32" x14ac:dyDescent="0.2">
      <c r="AF7764" s="679"/>
    </row>
    <row r="7765" spans="32:32" x14ac:dyDescent="0.2">
      <c r="AF7765" s="679"/>
    </row>
    <row r="7766" spans="32:32" x14ac:dyDescent="0.2">
      <c r="AF7766" s="679"/>
    </row>
    <row r="7767" spans="32:32" x14ac:dyDescent="0.2">
      <c r="AF7767" s="679"/>
    </row>
    <row r="7768" spans="32:32" x14ac:dyDescent="0.2">
      <c r="AF7768" s="679"/>
    </row>
    <row r="7769" spans="32:32" x14ac:dyDescent="0.2">
      <c r="AF7769" s="679"/>
    </row>
    <row r="7770" spans="32:32" x14ac:dyDescent="0.2">
      <c r="AF7770" s="679"/>
    </row>
    <row r="7771" spans="32:32" x14ac:dyDescent="0.2">
      <c r="AF7771" s="679"/>
    </row>
    <row r="7772" spans="32:32" x14ac:dyDescent="0.2">
      <c r="AF7772" s="679"/>
    </row>
    <row r="7773" spans="32:32" x14ac:dyDescent="0.2">
      <c r="AF7773" s="679"/>
    </row>
    <row r="7774" spans="32:32" x14ac:dyDescent="0.2">
      <c r="AF7774" s="679"/>
    </row>
    <row r="7775" spans="32:32" x14ac:dyDescent="0.2">
      <c r="AF7775" s="679"/>
    </row>
    <row r="7776" spans="32:32" x14ac:dyDescent="0.2">
      <c r="AF7776" s="679"/>
    </row>
    <row r="7777" spans="32:32" x14ac:dyDescent="0.2">
      <c r="AF7777" s="679"/>
    </row>
    <row r="7778" spans="32:32" x14ac:dyDescent="0.2">
      <c r="AF7778" s="679"/>
    </row>
    <row r="7779" spans="32:32" x14ac:dyDescent="0.2">
      <c r="AF7779" s="679"/>
    </row>
    <row r="7780" spans="32:32" x14ac:dyDescent="0.2">
      <c r="AF7780" s="679"/>
    </row>
    <row r="7781" spans="32:32" x14ac:dyDescent="0.2">
      <c r="AF7781" s="679"/>
    </row>
    <row r="7782" spans="32:32" x14ac:dyDescent="0.2">
      <c r="AF7782" s="679"/>
    </row>
    <row r="7783" spans="32:32" x14ac:dyDescent="0.2">
      <c r="AF7783" s="679"/>
    </row>
    <row r="7784" spans="32:32" x14ac:dyDescent="0.2">
      <c r="AF7784" s="679"/>
    </row>
    <row r="7785" spans="32:32" x14ac:dyDescent="0.2">
      <c r="AF7785" s="679"/>
    </row>
    <row r="7786" spans="32:32" x14ac:dyDescent="0.2">
      <c r="AF7786" s="679"/>
    </row>
    <row r="7787" spans="32:32" x14ac:dyDescent="0.2">
      <c r="AF7787" s="679"/>
    </row>
    <row r="7788" spans="32:32" x14ac:dyDescent="0.2">
      <c r="AF7788" s="679"/>
    </row>
    <row r="7789" spans="32:32" x14ac:dyDescent="0.2">
      <c r="AF7789" s="679"/>
    </row>
    <row r="7790" spans="32:32" x14ac:dyDescent="0.2">
      <c r="AF7790" s="679"/>
    </row>
    <row r="7791" spans="32:32" x14ac:dyDescent="0.2">
      <c r="AF7791" s="679"/>
    </row>
    <row r="7792" spans="32:32" x14ac:dyDescent="0.2">
      <c r="AF7792" s="679"/>
    </row>
    <row r="7793" spans="32:32" x14ac:dyDescent="0.2">
      <c r="AF7793" s="679"/>
    </row>
    <row r="7794" spans="32:32" x14ac:dyDescent="0.2">
      <c r="AF7794" s="679"/>
    </row>
    <row r="7795" spans="32:32" x14ac:dyDescent="0.2">
      <c r="AF7795" s="679"/>
    </row>
    <row r="7796" spans="32:32" x14ac:dyDescent="0.2">
      <c r="AF7796" s="679"/>
    </row>
    <row r="7797" spans="32:32" x14ac:dyDescent="0.2">
      <c r="AF7797" s="679"/>
    </row>
    <row r="7798" spans="32:32" x14ac:dyDescent="0.2">
      <c r="AF7798" s="679"/>
    </row>
    <row r="7799" spans="32:32" x14ac:dyDescent="0.2">
      <c r="AF7799" s="679"/>
    </row>
    <row r="7800" spans="32:32" x14ac:dyDescent="0.2">
      <c r="AF7800" s="679"/>
    </row>
    <row r="7801" spans="32:32" x14ac:dyDescent="0.2">
      <c r="AF7801" s="679"/>
    </row>
    <row r="7802" spans="32:32" x14ac:dyDescent="0.2">
      <c r="AF7802" s="679"/>
    </row>
    <row r="7803" spans="32:32" x14ac:dyDescent="0.2">
      <c r="AF7803" s="679"/>
    </row>
    <row r="7804" spans="32:32" x14ac:dyDescent="0.2">
      <c r="AF7804" s="679"/>
    </row>
    <row r="7805" spans="32:32" x14ac:dyDescent="0.2">
      <c r="AF7805" s="679"/>
    </row>
    <row r="7806" spans="32:32" x14ac:dyDescent="0.2">
      <c r="AF7806" s="679"/>
    </row>
    <row r="7807" spans="32:32" x14ac:dyDescent="0.2">
      <c r="AF7807" s="679"/>
    </row>
    <row r="7808" spans="32:32" x14ac:dyDescent="0.2">
      <c r="AF7808" s="679"/>
    </row>
    <row r="7809" spans="32:32" x14ac:dyDescent="0.2">
      <c r="AF7809" s="679"/>
    </row>
    <row r="7810" spans="32:32" x14ac:dyDescent="0.2">
      <c r="AF7810" s="679"/>
    </row>
    <row r="7811" spans="32:32" x14ac:dyDescent="0.2">
      <c r="AF7811" s="679"/>
    </row>
    <row r="7812" spans="32:32" x14ac:dyDescent="0.2">
      <c r="AF7812" s="679"/>
    </row>
    <row r="7813" spans="32:32" x14ac:dyDescent="0.2">
      <c r="AF7813" s="679"/>
    </row>
    <row r="7814" spans="32:32" x14ac:dyDescent="0.2">
      <c r="AF7814" s="679"/>
    </row>
    <row r="7815" spans="32:32" x14ac:dyDescent="0.2">
      <c r="AF7815" s="679"/>
    </row>
    <row r="7816" spans="32:32" x14ac:dyDescent="0.2">
      <c r="AF7816" s="679"/>
    </row>
    <row r="7817" spans="32:32" x14ac:dyDescent="0.2">
      <c r="AF7817" s="679"/>
    </row>
    <row r="7818" spans="32:32" x14ac:dyDescent="0.2">
      <c r="AF7818" s="679"/>
    </row>
    <row r="7819" spans="32:32" x14ac:dyDescent="0.2">
      <c r="AF7819" s="679"/>
    </row>
    <row r="7820" spans="32:32" x14ac:dyDescent="0.2">
      <c r="AF7820" s="679"/>
    </row>
    <row r="7821" spans="32:32" x14ac:dyDescent="0.2">
      <c r="AF7821" s="679"/>
    </row>
    <row r="7822" spans="32:32" x14ac:dyDescent="0.2">
      <c r="AF7822" s="679"/>
    </row>
    <row r="7823" spans="32:32" x14ac:dyDescent="0.2">
      <c r="AF7823" s="679"/>
    </row>
    <row r="7824" spans="32:32" x14ac:dyDescent="0.2">
      <c r="AF7824" s="679"/>
    </row>
    <row r="7825" spans="32:32" x14ac:dyDescent="0.2">
      <c r="AF7825" s="679"/>
    </row>
    <row r="7826" spans="32:32" x14ac:dyDescent="0.2">
      <c r="AF7826" s="679"/>
    </row>
    <row r="7827" spans="32:32" x14ac:dyDescent="0.2">
      <c r="AF7827" s="679"/>
    </row>
    <row r="7828" spans="32:32" x14ac:dyDescent="0.2">
      <c r="AF7828" s="679"/>
    </row>
    <row r="7829" spans="32:32" x14ac:dyDescent="0.2">
      <c r="AF7829" s="679"/>
    </row>
    <row r="7830" spans="32:32" x14ac:dyDescent="0.2">
      <c r="AF7830" s="679"/>
    </row>
    <row r="7831" spans="32:32" x14ac:dyDescent="0.2">
      <c r="AF7831" s="679"/>
    </row>
    <row r="7832" spans="32:32" x14ac:dyDescent="0.2">
      <c r="AF7832" s="679"/>
    </row>
    <row r="7833" spans="32:32" x14ac:dyDescent="0.2">
      <c r="AF7833" s="679"/>
    </row>
    <row r="7834" spans="32:32" x14ac:dyDescent="0.2">
      <c r="AF7834" s="679"/>
    </row>
    <row r="7835" spans="32:32" x14ac:dyDescent="0.2">
      <c r="AF7835" s="679"/>
    </row>
    <row r="7836" spans="32:32" x14ac:dyDescent="0.2">
      <c r="AF7836" s="679"/>
    </row>
    <row r="7837" spans="32:32" x14ac:dyDescent="0.2">
      <c r="AF7837" s="679"/>
    </row>
    <row r="7838" spans="32:32" x14ac:dyDescent="0.2">
      <c r="AF7838" s="679"/>
    </row>
    <row r="7839" spans="32:32" x14ac:dyDescent="0.2">
      <c r="AF7839" s="679"/>
    </row>
    <row r="7840" spans="32:32" x14ac:dyDescent="0.2">
      <c r="AF7840" s="679"/>
    </row>
    <row r="7841" spans="32:32" x14ac:dyDescent="0.2">
      <c r="AF7841" s="679"/>
    </row>
    <row r="7842" spans="32:32" x14ac:dyDescent="0.2">
      <c r="AF7842" s="679"/>
    </row>
    <row r="7843" spans="32:32" x14ac:dyDescent="0.2">
      <c r="AF7843" s="679"/>
    </row>
    <row r="7844" spans="32:32" x14ac:dyDescent="0.2">
      <c r="AF7844" s="679"/>
    </row>
    <row r="7845" spans="32:32" x14ac:dyDescent="0.2">
      <c r="AF7845" s="679"/>
    </row>
    <row r="7846" spans="32:32" x14ac:dyDescent="0.2">
      <c r="AF7846" s="679"/>
    </row>
    <row r="7847" spans="32:32" x14ac:dyDescent="0.2">
      <c r="AF7847" s="679"/>
    </row>
    <row r="7848" spans="32:32" x14ac:dyDescent="0.2">
      <c r="AF7848" s="679"/>
    </row>
    <row r="7849" spans="32:32" x14ac:dyDescent="0.2">
      <c r="AF7849" s="679"/>
    </row>
    <row r="7850" spans="32:32" x14ac:dyDescent="0.2">
      <c r="AF7850" s="679"/>
    </row>
    <row r="7851" spans="32:32" x14ac:dyDescent="0.2">
      <c r="AF7851" s="679"/>
    </row>
    <row r="7852" spans="32:32" x14ac:dyDescent="0.2">
      <c r="AF7852" s="679"/>
    </row>
    <row r="7853" spans="32:32" x14ac:dyDescent="0.2">
      <c r="AF7853" s="679"/>
    </row>
    <row r="7854" spans="32:32" x14ac:dyDescent="0.2">
      <c r="AF7854" s="679"/>
    </row>
    <row r="7855" spans="32:32" x14ac:dyDescent="0.2">
      <c r="AF7855" s="679"/>
    </row>
    <row r="7856" spans="32:32" x14ac:dyDescent="0.2">
      <c r="AF7856" s="679"/>
    </row>
    <row r="7857" spans="32:32" x14ac:dyDescent="0.2">
      <c r="AF7857" s="679"/>
    </row>
    <row r="7858" spans="32:32" x14ac:dyDescent="0.2">
      <c r="AF7858" s="679"/>
    </row>
    <row r="7859" spans="32:32" x14ac:dyDescent="0.2">
      <c r="AF7859" s="679"/>
    </row>
    <row r="7860" spans="32:32" x14ac:dyDescent="0.2">
      <c r="AF7860" s="679"/>
    </row>
    <row r="7861" spans="32:32" x14ac:dyDescent="0.2">
      <c r="AF7861" s="679"/>
    </row>
    <row r="7862" spans="32:32" x14ac:dyDescent="0.2">
      <c r="AF7862" s="679"/>
    </row>
    <row r="7863" spans="32:32" x14ac:dyDescent="0.2">
      <c r="AF7863" s="679"/>
    </row>
    <row r="7864" spans="32:32" x14ac:dyDescent="0.2">
      <c r="AF7864" s="679"/>
    </row>
    <row r="7865" spans="32:32" x14ac:dyDescent="0.2">
      <c r="AF7865" s="679"/>
    </row>
    <row r="7866" spans="32:32" x14ac:dyDescent="0.2">
      <c r="AF7866" s="679"/>
    </row>
    <row r="7867" spans="32:32" x14ac:dyDescent="0.2">
      <c r="AF7867" s="679"/>
    </row>
    <row r="7868" spans="32:32" x14ac:dyDescent="0.2">
      <c r="AF7868" s="679"/>
    </row>
    <row r="7869" spans="32:32" x14ac:dyDescent="0.2">
      <c r="AF7869" s="679"/>
    </row>
    <row r="7870" spans="32:32" x14ac:dyDescent="0.2">
      <c r="AF7870" s="679"/>
    </row>
    <row r="7871" spans="32:32" x14ac:dyDescent="0.2">
      <c r="AF7871" s="679"/>
    </row>
    <row r="7872" spans="32:32" x14ac:dyDescent="0.2">
      <c r="AF7872" s="679"/>
    </row>
    <row r="7873" spans="32:32" x14ac:dyDescent="0.2">
      <c r="AF7873" s="679"/>
    </row>
    <row r="7874" spans="32:32" x14ac:dyDescent="0.2">
      <c r="AF7874" s="679"/>
    </row>
    <row r="7875" spans="32:32" x14ac:dyDescent="0.2">
      <c r="AF7875" s="679"/>
    </row>
    <row r="7876" spans="32:32" x14ac:dyDescent="0.2">
      <c r="AF7876" s="679"/>
    </row>
    <row r="7877" spans="32:32" x14ac:dyDescent="0.2">
      <c r="AF7877" s="679"/>
    </row>
    <row r="7878" spans="32:32" x14ac:dyDescent="0.2">
      <c r="AF7878" s="679"/>
    </row>
    <row r="7879" spans="32:32" x14ac:dyDescent="0.2">
      <c r="AF7879" s="679"/>
    </row>
    <row r="7880" spans="32:32" x14ac:dyDescent="0.2">
      <c r="AF7880" s="679"/>
    </row>
    <row r="7881" spans="32:32" x14ac:dyDescent="0.2">
      <c r="AF7881" s="679"/>
    </row>
    <row r="7882" spans="32:32" x14ac:dyDescent="0.2">
      <c r="AF7882" s="679"/>
    </row>
    <row r="7883" spans="32:32" x14ac:dyDescent="0.2">
      <c r="AF7883" s="679"/>
    </row>
    <row r="7884" spans="32:32" x14ac:dyDescent="0.2">
      <c r="AF7884" s="679"/>
    </row>
    <row r="7885" spans="32:32" x14ac:dyDescent="0.2">
      <c r="AF7885" s="679"/>
    </row>
    <row r="7886" spans="32:32" x14ac:dyDescent="0.2">
      <c r="AF7886" s="679"/>
    </row>
    <row r="7887" spans="32:32" x14ac:dyDescent="0.2">
      <c r="AF7887" s="679"/>
    </row>
    <row r="7888" spans="32:32" x14ac:dyDescent="0.2">
      <c r="AF7888" s="679"/>
    </row>
    <row r="7889" spans="32:32" x14ac:dyDescent="0.2">
      <c r="AF7889" s="679"/>
    </row>
    <row r="7890" spans="32:32" x14ac:dyDescent="0.2">
      <c r="AF7890" s="679"/>
    </row>
    <row r="7891" spans="32:32" x14ac:dyDescent="0.2">
      <c r="AF7891" s="679"/>
    </row>
    <row r="7892" spans="32:32" x14ac:dyDescent="0.2">
      <c r="AF7892" s="679"/>
    </row>
    <row r="7893" spans="32:32" x14ac:dyDescent="0.2">
      <c r="AF7893" s="679"/>
    </row>
    <row r="7894" spans="32:32" x14ac:dyDescent="0.2">
      <c r="AF7894" s="679"/>
    </row>
    <row r="7895" spans="32:32" x14ac:dyDescent="0.2">
      <c r="AF7895" s="679"/>
    </row>
    <row r="7896" spans="32:32" x14ac:dyDescent="0.2">
      <c r="AF7896" s="679"/>
    </row>
    <row r="7897" spans="32:32" x14ac:dyDescent="0.2">
      <c r="AF7897" s="679"/>
    </row>
    <row r="7898" spans="32:32" x14ac:dyDescent="0.2">
      <c r="AF7898" s="679"/>
    </row>
    <row r="7899" spans="32:32" x14ac:dyDescent="0.2">
      <c r="AF7899" s="679"/>
    </row>
    <row r="7900" spans="32:32" x14ac:dyDescent="0.2">
      <c r="AF7900" s="679"/>
    </row>
    <row r="7901" spans="32:32" x14ac:dyDescent="0.2">
      <c r="AF7901" s="679"/>
    </row>
    <row r="7902" spans="32:32" x14ac:dyDescent="0.2">
      <c r="AF7902" s="679"/>
    </row>
    <row r="7903" spans="32:32" x14ac:dyDescent="0.2">
      <c r="AF7903" s="679"/>
    </row>
    <row r="7904" spans="32:32" x14ac:dyDescent="0.2">
      <c r="AF7904" s="679"/>
    </row>
    <row r="7905" spans="32:32" x14ac:dyDescent="0.2">
      <c r="AF7905" s="679"/>
    </row>
    <row r="7906" spans="32:32" x14ac:dyDescent="0.2">
      <c r="AF7906" s="679"/>
    </row>
    <row r="7907" spans="32:32" x14ac:dyDescent="0.2">
      <c r="AF7907" s="679"/>
    </row>
    <row r="7908" spans="32:32" x14ac:dyDescent="0.2">
      <c r="AF7908" s="679"/>
    </row>
    <row r="7909" spans="32:32" x14ac:dyDescent="0.2">
      <c r="AF7909" s="679"/>
    </row>
    <row r="7910" spans="32:32" x14ac:dyDescent="0.2">
      <c r="AF7910" s="679"/>
    </row>
    <row r="7911" spans="32:32" x14ac:dyDescent="0.2">
      <c r="AF7911" s="679"/>
    </row>
    <row r="7912" spans="32:32" x14ac:dyDescent="0.2">
      <c r="AF7912" s="679"/>
    </row>
    <row r="7913" spans="32:32" x14ac:dyDescent="0.2">
      <c r="AF7913" s="679"/>
    </row>
    <row r="7914" spans="32:32" x14ac:dyDescent="0.2">
      <c r="AF7914" s="679"/>
    </row>
    <row r="7915" spans="32:32" x14ac:dyDescent="0.2">
      <c r="AF7915" s="679"/>
    </row>
    <row r="7916" spans="32:32" x14ac:dyDescent="0.2">
      <c r="AF7916" s="679"/>
    </row>
    <row r="7917" spans="32:32" x14ac:dyDescent="0.2">
      <c r="AF7917" s="679"/>
    </row>
    <row r="7918" spans="32:32" x14ac:dyDescent="0.2">
      <c r="AF7918" s="679"/>
    </row>
    <row r="7919" spans="32:32" x14ac:dyDescent="0.2">
      <c r="AF7919" s="679"/>
    </row>
    <row r="7920" spans="32:32" x14ac:dyDescent="0.2">
      <c r="AF7920" s="679"/>
    </row>
    <row r="7921" spans="32:32" x14ac:dyDescent="0.2">
      <c r="AF7921" s="679"/>
    </row>
    <row r="7922" spans="32:32" x14ac:dyDescent="0.2">
      <c r="AF7922" s="679"/>
    </row>
    <row r="7923" spans="32:32" x14ac:dyDescent="0.2">
      <c r="AF7923" s="679"/>
    </row>
    <row r="7924" spans="32:32" x14ac:dyDescent="0.2">
      <c r="AF7924" s="679"/>
    </row>
    <row r="7925" spans="32:32" x14ac:dyDescent="0.2">
      <c r="AF7925" s="679"/>
    </row>
    <row r="7926" spans="32:32" x14ac:dyDescent="0.2">
      <c r="AF7926" s="679"/>
    </row>
    <row r="7927" spans="32:32" x14ac:dyDescent="0.2">
      <c r="AF7927" s="679"/>
    </row>
    <row r="7928" spans="32:32" x14ac:dyDescent="0.2">
      <c r="AF7928" s="679"/>
    </row>
    <row r="7929" spans="32:32" x14ac:dyDescent="0.2">
      <c r="AF7929" s="679"/>
    </row>
    <row r="7930" spans="32:32" x14ac:dyDescent="0.2">
      <c r="AF7930" s="679"/>
    </row>
    <row r="7931" spans="32:32" x14ac:dyDescent="0.2">
      <c r="AF7931" s="679"/>
    </row>
    <row r="7932" spans="32:32" x14ac:dyDescent="0.2">
      <c r="AF7932" s="679"/>
    </row>
    <row r="7933" spans="32:32" x14ac:dyDescent="0.2">
      <c r="AF7933" s="679"/>
    </row>
    <row r="7934" spans="32:32" x14ac:dyDescent="0.2">
      <c r="AF7934" s="679"/>
    </row>
    <row r="7935" spans="32:32" x14ac:dyDescent="0.2">
      <c r="AF7935" s="679"/>
    </row>
    <row r="7936" spans="32:32" x14ac:dyDescent="0.2">
      <c r="AF7936" s="679"/>
    </row>
    <row r="7937" spans="32:32" x14ac:dyDescent="0.2">
      <c r="AF7937" s="679"/>
    </row>
    <row r="7938" spans="32:32" x14ac:dyDescent="0.2">
      <c r="AF7938" s="679"/>
    </row>
    <row r="7939" spans="32:32" x14ac:dyDescent="0.2">
      <c r="AF7939" s="679"/>
    </row>
    <row r="7940" spans="32:32" x14ac:dyDescent="0.2">
      <c r="AF7940" s="679"/>
    </row>
    <row r="7941" spans="32:32" x14ac:dyDescent="0.2">
      <c r="AF7941" s="679"/>
    </row>
    <row r="7942" spans="32:32" x14ac:dyDescent="0.2">
      <c r="AF7942" s="679"/>
    </row>
    <row r="7943" spans="32:32" x14ac:dyDescent="0.2">
      <c r="AF7943" s="679"/>
    </row>
    <row r="7944" spans="32:32" x14ac:dyDescent="0.2">
      <c r="AF7944" s="679"/>
    </row>
    <row r="7945" spans="32:32" x14ac:dyDescent="0.2">
      <c r="AF7945" s="679"/>
    </row>
    <row r="7946" spans="32:32" x14ac:dyDescent="0.2">
      <c r="AF7946" s="679"/>
    </row>
    <row r="7947" spans="32:32" x14ac:dyDescent="0.2">
      <c r="AF7947" s="679"/>
    </row>
    <row r="7948" spans="32:32" x14ac:dyDescent="0.2">
      <c r="AF7948" s="679"/>
    </row>
    <row r="7949" spans="32:32" x14ac:dyDescent="0.2">
      <c r="AF7949" s="679"/>
    </row>
    <row r="7950" spans="32:32" x14ac:dyDescent="0.2">
      <c r="AF7950" s="679"/>
    </row>
    <row r="7951" spans="32:32" x14ac:dyDescent="0.2">
      <c r="AF7951" s="679"/>
    </row>
    <row r="7952" spans="32:32" x14ac:dyDescent="0.2">
      <c r="AF7952" s="679"/>
    </row>
    <row r="7953" spans="32:32" x14ac:dyDescent="0.2">
      <c r="AF7953" s="679"/>
    </row>
    <row r="7954" spans="32:32" x14ac:dyDescent="0.2">
      <c r="AF7954" s="679"/>
    </row>
    <row r="7955" spans="32:32" x14ac:dyDescent="0.2">
      <c r="AF7955" s="679"/>
    </row>
    <row r="7956" spans="32:32" x14ac:dyDescent="0.2">
      <c r="AF7956" s="679"/>
    </row>
    <row r="7957" spans="32:32" x14ac:dyDescent="0.2">
      <c r="AF7957" s="679"/>
    </row>
    <row r="7958" spans="32:32" x14ac:dyDescent="0.2">
      <c r="AF7958" s="679"/>
    </row>
    <row r="7959" spans="32:32" x14ac:dyDescent="0.2">
      <c r="AF7959" s="679"/>
    </row>
    <row r="7960" spans="32:32" x14ac:dyDescent="0.2">
      <c r="AF7960" s="679"/>
    </row>
    <row r="7961" spans="32:32" x14ac:dyDescent="0.2">
      <c r="AF7961" s="679"/>
    </row>
    <row r="7962" spans="32:32" x14ac:dyDescent="0.2">
      <c r="AF7962" s="679"/>
    </row>
    <row r="7963" spans="32:32" x14ac:dyDescent="0.2">
      <c r="AF7963" s="679"/>
    </row>
    <row r="7964" spans="32:32" x14ac:dyDescent="0.2">
      <c r="AF7964" s="679"/>
    </row>
    <row r="7965" spans="32:32" x14ac:dyDescent="0.2">
      <c r="AF7965" s="679"/>
    </row>
    <row r="7966" spans="32:32" x14ac:dyDescent="0.2">
      <c r="AF7966" s="679"/>
    </row>
    <row r="7967" spans="32:32" x14ac:dyDescent="0.2">
      <c r="AF7967" s="679"/>
    </row>
    <row r="7968" spans="32:32" x14ac:dyDescent="0.2">
      <c r="AF7968" s="679"/>
    </row>
    <row r="7969" spans="32:32" x14ac:dyDescent="0.2">
      <c r="AF7969" s="679"/>
    </row>
    <row r="7970" spans="32:32" x14ac:dyDescent="0.2">
      <c r="AF7970" s="679"/>
    </row>
    <row r="7971" spans="32:32" x14ac:dyDescent="0.2">
      <c r="AF7971" s="679"/>
    </row>
    <row r="7972" spans="32:32" x14ac:dyDescent="0.2">
      <c r="AF7972" s="679"/>
    </row>
    <row r="7973" spans="32:32" x14ac:dyDescent="0.2">
      <c r="AF7973" s="679"/>
    </row>
    <row r="7974" spans="32:32" x14ac:dyDescent="0.2">
      <c r="AF7974" s="679"/>
    </row>
    <row r="7975" spans="32:32" x14ac:dyDescent="0.2">
      <c r="AF7975" s="679"/>
    </row>
    <row r="7976" spans="32:32" x14ac:dyDescent="0.2">
      <c r="AF7976" s="679"/>
    </row>
    <row r="7977" spans="32:32" x14ac:dyDescent="0.2">
      <c r="AF7977" s="679"/>
    </row>
    <row r="7978" spans="32:32" x14ac:dyDescent="0.2">
      <c r="AF7978" s="679"/>
    </row>
    <row r="7979" spans="32:32" x14ac:dyDescent="0.2">
      <c r="AF7979" s="679"/>
    </row>
    <row r="7980" spans="32:32" x14ac:dyDescent="0.2">
      <c r="AF7980" s="679"/>
    </row>
    <row r="7981" spans="32:32" x14ac:dyDescent="0.2">
      <c r="AF7981" s="679"/>
    </row>
    <row r="7982" spans="32:32" x14ac:dyDescent="0.2">
      <c r="AF7982" s="679"/>
    </row>
    <row r="7983" spans="32:32" x14ac:dyDescent="0.2">
      <c r="AF7983" s="679"/>
    </row>
    <row r="7984" spans="32:32" x14ac:dyDescent="0.2">
      <c r="AF7984" s="679"/>
    </row>
    <row r="7985" spans="32:32" x14ac:dyDescent="0.2">
      <c r="AF7985" s="679"/>
    </row>
    <row r="7986" spans="32:32" x14ac:dyDescent="0.2">
      <c r="AF7986" s="679"/>
    </row>
    <row r="7987" spans="32:32" x14ac:dyDescent="0.2">
      <c r="AF7987" s="679"/>
    </row>
    <row r="7988" spans="32:32" x14ac:dyDescent="0.2">
      <c r="AF7988" s="679"/>
    </row>
    <row r="7989" spans="32:32" x14ac:dyDescent="0.2">
      <c r="AF7989" s="679"/>
    </row>
    <row r="7990" spans="32:32" x14ac:dyDescent="0.2">
      <c r="AF7990" s="679"/>
    </row>
    <row r="7991" spans="32:32" x14ac:dyDescent="0.2">
      <c r="AF7991" s="679"/>
    </row>
    <row r="7992" spans="32:32" x14ac:dyDescent="0.2">
      <c r="AF7992" s="679"/>
    </row>
    <row r="7993" spans="32:32" x14ac:dyDescent="0.2">
      <c r="AF7993" s="679"/>
    </row>
    <row r="7994" spans="32:32" x14ac:dyDescent="0.2">
      <c r="AF7994" s="679"/>
    </row>
    <row r="7995" spans="32:32" x14ac:dyDescent="0.2">
      <c r="AF7995" s="679"/>
    </row>
    <row r="7996" spans="32:32" x14ac:dyDescent="0.2">
      <c r="AF7996" s="679"/>
    </row>
    <row r="7997" spans="32:32" x14ac:dyDescent="0.2">
      <c r="AF7997" s="679"/>
    </row>
    <row r="7998" spans="32:32" x14ac:dyDescent="0.2">
      <c r="AF7998" s="679"/>
    </row>
    <row r="7999" spans="32:32" x14ac:dyDescent="0.2">
      <c r="AF7999" s="679"/>
    </row>
    <row r="8000" spans="32:32" x14ac:dyDescent="0.2">
      <c r="AF8000" s="679"/>
    </row>
    <row r="8001" spans="32:32" x14ac:dyDescent="0.2">
      <c r="AF8001" s="679"/>
    </row>
    <row r="8002" spans="32:32" x14ac:dyDescent="0.2">
      <c r="AF8002" s="679"/>
    </row>
    <row r="8003" spans="32:32" x14ac:dyDescent="0.2">
      <c r="AF8003" s="679"/>
    </row>
    <row r="8004" spans="32:32" x14ac:dyDescent="0.2">
      <c r="AF8004" s="679"/>
    </row>
    <row r="8005" spans="32:32" x14ac:dyDescent="0.2">
      <c r="AF8005" s="679"/>
    </row>
    <row r="8006" spans="32:32" x14ac:dyDescent="0.2">
      <c r="AF8006" s="679"/>
    </row>
    <row r="8007" spans="32:32" x14ac:dyDescent="0.2">
      <c r="AF8007" s="679"/>
    </row>
    <row r="8008" spans="32:32" x14ac:dyDescent="0.2">
      <c r="AF8008" s="679"/>
    </row>
    <row r="8009" spans="32:32" x14ac:dyDescent="0.2">
      <c r="AF8009" s="679"/>
    </row>
    <row r="8010" spans="32:32" x14ac:dyDescent="0.2">
      <c r="AF8010" s="679"/>
    </row>
    <row r="8011" spans="32:32" x14ac:dyDescent="0.2">
      <c r="AF8011" s="679"/>
    </row>
    <row r="8012" spans="32:32" x14ac:dyDescent="0.2">
      <c r="AF8012" s="679"/>
    </row>
    <row r="8013" spans="32:32" x14ac:dyDescent="0.2">
      <c r="AF8013" s="679"/>
    </row>
    <row r="8014" spans="32:32" x14ac:dyDescent="0.2">
      <c r="AF8014" s="679"/>
    </row>
    <row r="8015" spans="32:32" x14ac:dyDescent="0.2">
      <c r="AF8015" s="679"/>
    </row>
    <row r="8016" spans="32:32" x14ac:dyDescent="0.2">
      <c r="AF8016" s="679"/>
    </row>
    <row r="8017" spans="32:32" x14ac:dyDescent="0.2">
      <c r="AF8017" s="679"/>
    </row>
    <row r="8018" spans="32:32" x14ac:dyDescent="0.2">
      <c r="AF8018" s="679"/>
    </row>
    <row r="8019" spans="32:32" x14ac:dyDescent="0.2">
      <c r="AF8019" s="679"/>
    </row>
    <row r="8020" spans="32:32" x14ac:dyDescent="0.2">
      <c r="AF8020" s="679"/>
    </row>
    <row r="8021" spans="32:32" x14ac:dyDescent="0.2">
      <c r="AF8021" s="679"/>
    </row>
    <row r="8022" spans="32:32" x14ac:dyDescent="0.2">
      <c r="AF8022" s="679"/>
    </row>
    <row r="8023" spans="32:32" x14ac:dyDescent="0.2">
      <c r="AF8023" s="679"/>
    </row>
    <row r="8024" spans="32:32" x14ac:dyDescent="0.2">
      <c r="AF8024" s="679"/>
    </row>
    <row r="8025" spans="32:32" x14ac:dyDescent="0.2">
      <c r="AF8025" s="679"/>
    </row>
    <row r="8026" spans="32:32" x14ac:dyDescent="0.2">
      <c r="AF8026" s="679"/>
    </row>
    <row r="8027" spans="32:32" x14ac:dyDescent="0.2">
      <c r="AF8027" s="679"/>
    </row>
    <row r="8028" spans="32:32" x14ac:dyDescent="0.2">
      <c r="AF8028" s="679"/>
    </row>
    <row r="8029" spans="32:32" x14ac:dyDescent="0.2">
      <c r="AF8029" s="679"/>
    </row>
    <row r="8030" spans="32:32" x14ac:dyDescent="0.2">
      <c r="AF8030" s="679"/>
    </row>
    <row r="8031" spans="32:32" x14ac:dyDescent="0.2">
      <c r="AF8031" s="679"/>
    </row>
    <row r="8032" spans="32:32" x14ac:dyDescent="0.2">
      <c r="AF8032" s="679"/>
    </row>
    <row r="8033" spans="32:32" x14ac:dyDescent="0.2">
      <c r="AF8033" s="679"/>
    </row>
    <row r="8034" spans="32:32" x14ac:dyDescent="0.2">
      <c r="AF8034" s="679"/>
    </row>
    <row r="8035" spans="32:32" x14ac:dyDescent="0.2">
      <c r="AF8035" s="679"/>
    </row>
    <row r="8036" spans="32:32" x14ac:dyDescent="0.2">
      <c r="AF8036" s="679"/>
    </row>
    <row r="8037" spans="32:32" x14ac:dyDescent="0.2">
      <c r="AF8037" s="679"/>
    </row>
    <row r="8038" spans="32:32" x14ac:dyDescent="0.2">
      <c r="AF8038" s="679"/>
    </row>
    <row r="8039" spans="32:32" x14ac:dyDescent="0.2">
      <c r="AF8039" s="679"/>
    </row>
    <row r="8040" spans="32:32" x14ac:dyDescent="0.2">
      <c r="AF8040" s="679"/>
    </row>
    <row r="8041" spans="32:32" x14ac:dyDescent="0.2">
      <c r="AF8041" s="679"/>
    </row>
    <row r="8042" spans="32:32" x14ac:dyDescent="0.2">
      <c r="AF8042" s="679"/>
    </row>
    <row r="8043" spans="32:32" x14ac:dyDescent="0.2">
      <c r="AF8043" s="679"/>
    </row>
    <row r="8044" spans="32:32" x14ac:dyDescent="0.2">
      <c r="AF8044" s="679"/>
    </row>
    <row r="8045" spans="32:32" x14ac:dyDescent="0.2">
      <c r="AF8045" s="679"/>
    </row>
    <row r="8046" spans="32:32" x14ac:dyDescent="0.2">
      <c r="AF8046" s="679"/>
    </row>
    <row r="8047" spans="32:32" x14ac:dyDescent="0.2">
      <c r="AF8047" s="679"/>
    </row>
    <row r="8048" spans="32:32" x14ac:dyDescent="0.2">
      <c r="AF8048" s="679"/>
    </row>
    <row r="8049" spans="32:32" x14ac:dyDescent="0.2">
      <c r="AF8049" s="679"/>
    </row>
    <row r="8050" spans="32:32" x14ac:dyDescent="0.2">
      <c r="AF8050" s="679"/>
    </row>
    <row r="8051" spans="32:32" x14ac:dyDescent="0.2">
      <c r="AF8051" s="679"/>
    </row>
    <row r="8052" spans="32:32" x14ac:dyDescent="0.2">
      <c r="AF8052" s="679"/>
    </row>
    <row r="8053" spans="32:32" x14ac:dyDescent="0.2">
      <c r="AF8053" s="679"/>
    </row>
    <row r="8054" spans="32:32" x14ac:dyDescent="0.2">
      <c r="AF8054" s="679"/>
    </row>
    <row r="8055" spans="32:32" x14ac:dyDescent="0.2">
      <c r="AF8055" s="679"/>
    </row>
    <row r="8056" spans="32:32" x14ac:dyDescent="0.2">
      <c r="AF8056" s="679"/>
    </row>
    <row r="8057" spans="32:32" x14ac:dyDescent="0.2">
      <c r="AF8057" s="679"/>
    </row>
    <row r="8058" spans="32:32" x14ac:dyDescent="0.2">
      <c r="AF8058" s="679"/>
    </row>
    <row r="8059" spans="32:32" x14ac:dyDescent="0.2">
      <c r="AF8059" s="679"/>
    </row>
    <row r="8060" spans="32:32" x14ac:dyDescent="0.2">
      <c r="AF8060" s="679"/>
    </row>
    <row r="8061" spans="32:32" x14ac:dyDescent="0.2">
      <c r="AF8061" s="679"/>
    </row>
    <row r="8062" spans="32:32" x14ac:dyDescent="0.2">
      <c r="AF8062" s="679"/>
    </row>
    <row r="8063" spans="32:32" x14ac:dyDescent="0.2">
      <c r="AF8063" s="679"/>
    </row>
    <row r="8064" spans="32:32" x14ac:dyDescent="0.2">
      <c r="AF8064" s="679"/>
    </row>
    <row r="8065" spans="32:32" x14ac:dyDescent="0.2">
      <c r="AF8065" s="679"/>
    </row>
    <row r="8066" spans="32:32" x14ac:dyDescent="0.2">
      <c r="AF8066" s="679"/>
    </row>
    <row r="8067" spans="32:32" x14ac:dyDescent="0.2">
      <c r="AF8067" s="679"/>
    </row>
    <row r="8068" spans="32:32" x14ac:dyDescent="0.2">
      <c r="AF8068" s="679"/>
    </row>
    <row r="8069" spans="32:32" x14ac:dyDescent="0.2">
      <c r="AF8069" s="679"/>
    </row>
    <row r="8070" spans="32:32" x14ac:dyDescent="0.2">
      <c r="AF8070" s="679"/>
    </row>
    <row r="8071" spans="32:32" x14ac:dyDescent="0.2">
      <c r="AF8071" s="679"/>
    </row>
    <row r="8072" spans="32:32" x14ac:dyDescent="0.2">
      <c r="AF8072" s="679"/>
    </row>
    <row r="8073" spans="32:32" x14ac:dyDescent="0.2">
      <c r="AF8073" s="679"/>
    </row>
    <row r="8074" spans="32:32" x14ac:dyDescent="0.2">
      <c r="AF8074" s="679"/>
    </row>
    <row r="8075" spans="32:32" x14ac:dyDescent="0.2">
      <c r="AF8075" s="679"/>
    </row>
    <row r="8076" spans="32:32" x14ac:dyDescent="0.2">
      <c r="AF8076" s="679"/>
    </row>
    <row r="8077" spans="32:32" x14ac:dyDescent="0.2">
      <c r="AF8077" s="679"/>
    </row>
    <row r="8078" spans="32:32" x14ac:dyDescent="0.2">
      <c r="AF8078" s="679"/>
    </row>
    <row r="8079" spans="32:32" x14ac:dyDescent="0.2">
      <c r="AF8079" s="679"/>
    </row>
    <row r="8080" spans="32:32" x14ac:dyDescent="0.2">
      <c r="AF8080" s="679"/>
    </row>
    <row r="8081" spans="32:32" x14ac:dyDescent="0.2">
      <c r="AF8081" s="679"/>
    </row>
    <row r="8082" spans="32:32" x14ac:dyDescent="0.2">
      <c r="AF8082" s="679"/>
    </row>
    <row r="8083" spans="32:32" x14ac:dyDescent="0.2">
      <c r="AF8083" s="679"/>
    </row>
    <row r="8084" spans="32:32" x14ac:dyDescent="0.2">
      <c r="AF8084" s="679"/>
    </row>
    <row r="8085" spans="32:32" x14ac:dyDescent="0.2">
      <c r="AF8085" s="679"/>
    </row>
    <row r="8086" spans="32:32" x14ac:dyDescent="0.2">
      <c r="AF8086" s="679"/>
    </row>
    <row r="8087" spans="32:32" x14ac:dyDescent="0.2">
      <c r="AF8087" s="679"/>
    </row>
    <row r="8088" spans="32:32" x14ac:dyDescent="0.2">
      <c r="AF8088" s="679"/>
    </row>
    <row r="8089" spans="32:32" x14ac:dyDescent="0.2">
      <c r="AF8089" s="679"/>
    </row>
    <row r="8090" spans="32:32" x14ac:dyDescent="0.2">
      <c r="AF8090" s="679"/>
    </row>
    <row r="8091" spans="32:32" x14ac:dyDescent="0.2">
      <c r="AF8091" s="679"/>
    </row>
    <row r="8092" spans="32:32" x14ac:dyDescent="0.2">
      <c r="AF8092" s="679"/>
    </row>
    <row r="8093" spans="32:32" x14ac:dyDescent="0.2">
      <c r="AF8093" s="679"/>
    </row>
    <row r="8094" spans="32:32" x14ac:dyDescent="0.2">
      <c r="AF8094" s="679"/>
    </row>
    <row r="8095" spans="32:32" x14ac:dyDescent="0.2">
      <c r="AF8095" s="679"/>
    </row>
    <row r="8096" spans="32:32" x14ac:dyDescent="0.2">
      <c r="AF8096" s="679"/>
    </row>
    <row r="8097" spans="32:32" x14ac:dyDescent="0.2">
      <c r="AF8097" s="679"/>
    </row>
    <row r="8098" spans="32:32" x14ac:dyDescent="0.2">
      <c r="AF8098" s="679"/>
    </row>
    <row r="8099" spans="32:32" x14ac:dyDescent="0.2">
      <c r="AF8099" s="679"/>
    </row>
    <row r="8100" spans="32:32" x14ac:dyDescent="0.2">
      <c r="AF8100" s="679"/>
    </row>
    <row r="8101" spans="32:32" x14ac:dyDescent="0.2">
      <c r="AF8101" s="679"/>
    </row>
    <row r="8102" spans="32:32" x14ac:dyDescent="0.2">
      <c r="AF8102" s="679"/>
    </row>
    <row r="8103" spans="32:32" x14ac:dyDescent="0.2">
      <c r="AF8103" s="679"/>
    </row>
    <row r="8104" spans="32:32" x14ac:dyDescent="0.2">
      <c r="AF8104" s="679"/>
    </row>
    <row r="8105" spans="32:32" x14ac:dyDescent="0.2">
      <c r="AF8105" s="679"/>
    </row>
    <row r="8106" spans="32:32" x14ac:dyDescent="0.2">
      <c r="AF8106" s="679"/>
    </row>
    <row r="8107" spans="32:32" x14ac:dyDescent="0.2">
      <c r="AF8107" s="679"/>
    </row>
    <row r="8108" spans="32:32" x14ac:dyDescent="0.2">
      <c r="AF8108" s="679"/>
    </row>
    <row r="8109" spans="32:32" x14ac:dyDescent="0.2">
      <c r="AF8109" s="679"/>
    </row>
    <row r="8110" spans="32:32" x14ac:dyDescent="0.2">
      <c r="AF8110" s="679"/>
    </row>
    <row r="8111" spans="32:32" x14ac:dyDescent="0.2">
      <c r="AF8111" s="679"/>
    </row>
    <row r="8112" spans="32:32" x14ac:dyDescent="0.2">
      <c r="AF8112" s="679"/>
    </row>
    <row r="8113" spans="32:32" x14ac:dyDescent="0.2">
      <c r="AF8113" s="679"/>
    </row>
    <row r="8114" spans="32:32" x14ac:dyDescent="0.2">
      <c r="AF8114" s="679"/>
    </row>
    <row r="8115" spans="32:32" x14ac:dyDescent="0.2">
      <c r="AF8115" s="679"/>
    </row>
    <row r="8116" spans="32:32" x14ac:dyDescent="0.2">
      <c r="AF8116" s="679"/>
    </row>
    <row r="8117" spans="32:32" x14ac:dyDescent="0.2">
      <c r="AF8117" s="679"/>
    </row>
    <row r="8118" spans="32:32" x14ac:dyDescent="0.2">
      <c r="AF8118" s="679"/>
    </row>
    <row r="8119" spans="32:32" x14ac:dyDescent="0.2">
      <c r="AF8119" s="679"/>
    </row>
    <row r="8120" spans="32:32" x14ac:dyDescent="0.2">
      <c r="AF8120" s="679"/>
    </row>
    <row r="8121" spans="32:32" x14ac:dyDescent="0.2">
      <c r="AF8121" s="679"/>
    </row>
    <row r="8122" spans="32:32" x14ac:dyDescent="0.2">
      <c r="AF8122" s="679"/>
    </row>
    <row r="8123" spans="32:32" x14ac:dyDescent="0.2">
      <c r="AF8123" s="679"/>
    </row>
    <row r="8124" spans="32:32" x14ac:dyDescent="0.2">
      <c r="AF8124" s="679"/>
    </row>
    <row r="8125" spans="32:32" x14ac:dyDescent="0.2">
      <c r="AF8125" s="679"/>
    </row>
    <row r="8126" spans="32:32" x14ac:dyDescent="0.2">
      <c r="AF8126" s="679"/>
    </row>
    <row r="8127" spans="32:32" x14ac:dyDescent="0.2">
      <c r="AF8127" s="679"/>
    </row>
    <row r="8128" spans="32:32" x14ac:dyDescent="0.2">
      <c r="AF8128" s="679"/>
    </row>
    <row r="8129" spans="32:32" x14ac:dyDescent="0.2">
      <c r="AF8129" s="679"/>
    </row>
    <row r="8130" spans="32:32" x14ac:dyDescent="0.2">
      <c r="AF8130" s="679"/>
    </row>
    <row r="8131" spans="32:32" x14ac:dyDescent="0.2">
      <c r="AF8131" s="679"/>
    </row>
    <row r="8132" spans="32:32" x14ac:dyDescent="0.2">
      <c r="AF8132" s="679"/>
    </row>
    <row r="8133" spans="32:32" x14ac:dyDescent="0.2">
      <c r="AF8133" s="679"/>
    </row>
    <row r="8134" spans="32:32" x14ac:dyDescent="0.2">
      <c r="AF8134" s="679"/>
    </row>
    <row r="8135" spans="32:32" x14ac:dyDescent="0.2">
      <c r="AF8135" s="679"/>
    </row>
    <row r="8136" spans="32:32" x14ac:dyDescent="0.2">
      <c r="AF8136" s="679"/>
    </row>
    <row r="8137" spans="32:32" x14ac:dyDescent="0.2">
      <c r="AF8137" s="679"/>
    </row>
    <row r="8138" spans="32:32" x14ac:dyDescent="0.2">
      <c r="AF8138" s="679"/>
    </row>
    <row r="8139" spans="32:32" x14ac:dyDescent="0.2">
      <c r="AF8139" s="679"/>
    </row>
    <row r="8140" spans="32:32" x14ac:dyDescent="0.2">
      <c r="AF8140" s="679"/>
    </row>
    <row r="8141" spans="32:32" x14ac:dyDescent="0.2">
      <c r="AF8141" s="679"/>
    </row>
    <row r="8142" spans="32:32" x14ac:dyDescent="0.2">
      <c r="AF8142" s="679"/>
    </row>
    <row r="8143" spans="32:32" x14ac:dyDescent="0.2">
      <c r="AF8143" s="679"/>
    </row>
    <row r="8144" spans="32:32" x14ac:dyDescent="0.2">
      <c r="AF8144" s="679"/>
    </row>
    <row r="8145" spans="32:32" x14ac:dyDescent="0.2">
      <c r="AF8145" s="679"/>
    </row>
    <row r="8146" spans="32:32" x14ac:dyDescent="0.2">
      <c r="AF8146" s="679"/>
    </row>
    <row r="8147" spans="32:32" x14ac:dyDescent="0.2">
      <c r="AF8147" s="679"/>
    </row>
    <row r="8148" spans="32:32" x14ac:dyDescent="0.2">
      <c r="AF8148" s="679"/>
    </row>
    <row r="8149" spans="32:32" x14ac:dyDescent="0.2">
      <c r="AF8149" s="679"/>
    </row>
    <row r="8150" spans="32:32" x14ac:dyDescent="0.2">
      <c r="AF8150" s="679"/>
    </row>
    <row r="8151" spans="32:32" x14ac:dyDescent="0.2">
      <c r="AF8151" s="679"/>
    </row>
    <row r="8152" spans="32:32" x14ac:dyDescent="0.2">
      <c r="AF8152" s="679"/>
    </row>
    <row r="8153" spans="32:32" x14ac:dyDescent="0.2">
      <c r="AF8153" s="679"/>
    </row>
    <row r="8154" spans="32:32" x14ac:dyDescent="0.2">
      <c r="AF8154" s="679"/>
    </row>
    <row r="8155" spans="32:32" x14ac:dyDescent="0.2">
      <c r="AF8155" s="679"/>
    </row>
    <row r="8156" spans="32:32" x14ac:dyDescent="0.2">
      <c r="AF8156" s="679"/>
    </row>
    <row r="8157" spans="32:32" x14ac:dyDescent="0.2">
      <c r="AF8157" s="679"/>
    </row>
    <row r="8158" spans="32:32" x14ac:dyDescent="0.2">
      <c r="AF8158" s="679"/>
    </row>
    <row r="8159" spans="32:32" x14ac:dyDescent="0.2">
      <c r="AF8159" s="679"/>
    </row>
    <row r="8160" spans="32:32" x14ac:dyDescent="0.2">
      <c r="AF8160" s="679"/>
    </row>
    <row r="8161" spans="32:32" x14ac:dyDescent="0.2">
      <c r="AF8161" s="679"/>
    </row>
    <row r="8162" spans="32:32" x14ac:dyDescent="0.2">
      <c r="AF8162" s="679"/>
    </row>
    <row r="8163" spans="32:32" x14ac:dyDescent="0.2">
      <c r="AF8163" s="679"/>
    </row>
    <row r="8164" spans="32:32" x14ac:dyDescent="0.2">
      <c r="AF8164" s="679"/>
    </row>
    <row r="8165" spans="32:32" x14ac:dyDescent="0.2">
      <c r="AF8165" s="679"/>
    </row>
    <row r="8166" spans="32:32" x14ac:dyDescent="0.2">
      <c r="AF8166" s="679"/>
    </row>
    <row r="8167" spans="32:32" x14ac:dyDescent="0.2">
      <c r="AF8167" s="679"/>
    </row>
    <row r="8168" spans="32:32" x14ac:dyDescent="0.2">
      <c r="AF8168" s="679"/>
    </row>
    <row r="8169" spans="32:32" x14ac:dyDescent="0.2">
      <c r="AF8169" s="679"/>
    </row>
    <row r="8170" spans="32:32" x14ac:dyDescent="0.2">
      <c r="AF8170" s="679"/>
    </row>
    <row r="8171" spans="32:32" x14ac:dyDescent="0.2">
      <c r="AF8171" s="679"/>
    </row>
    <row r="8172" spans="32:32" x14ac:dyDescent="0.2">
      <c r="AF8172" s="679"/>
    </row>
    <row r="8173" spans="32:32" x14ac:dyDescent="0.2">
      <c r="AF8173" s="679"/>
    </row>
    <row r="8174" spans="32:32" x14ac:dyDescent="0.2">
      <c r="AF8174" s="679"/>
    </row>
    <row r="8175" spans="32:32" x14ac:dyDescent="0.2">
      <c r="AF8175" s="679"/>
    </row>
    <row r="8176" spans="32:32" x14ac:dyDescent="0.2">
      <c r="AF8176" s="679"/>
    </row>
    <row r="8177" spans="32:32" x14ac:dyDescent="0.2">
      <c r="AF8177" s="679"/>
    </row>
    <row r="8178" spans="32:32" x14ac:dyDescent="0.2">
      <c r="AF8178" s="679"/>
    </row>
    <row r="8179" spans="32:32" x14ac:dyDescent="0.2">
      <c r="AF8179" s="679"/>
    </row>
    <row r="8180" spans="32:32" x14ac:dyDescent="0.2">
      <c r="AF8180" s="679"/>
    </row>
    <row r="8181" spans="32:32" x14ac:dyDescent="0.2">
      <c r="AF8181" s="679"/>
    </row>
    <row r="8182" spans="32:32" x14ac:dyDescent="0.2">
      <c r="AF8182" s="679"/>
    </row>
    <row r="8183" spans="32:32" x14ac:dyDescent="0.2">
      <c r="AF8183" s="679"/>
    </row>
    <row r="8184" spans="32:32" x14ac:dyDescent="0.2">
      <c r="AF8184" s="679"/>
    </row>
    <row r="8185" spans="32:32" x14ac:dyDescent="0.2">
      <c r="AF8185" s="679"/>
    </row>
    <row r="8186" spans="32:32" x14ac:dyDescent="0.2">
      <c r="AF8186" s="679"/>
    </row>
    <row r="8187" spans="32:32" x14ac:dyDescent="0.2">
      <c r="AF8187" s="679"/>
    </row>
    <row r="8188" spans="32:32" x14ac:dyDescent="0.2">
      <c r="AF8188" s="679"/>
    </row>
    <row r="8189" spans="32:32" x14ac:dyDescent="0.2">
      <c r="AF8189" s="679"/>
    </row>
    <row r="8190" spans="32:32" x14ac:dyDescent="0.2">
      <c r="AF8190" s="679"/>
    </row>
    <row r="8191" spans="32:32" x14ac:dyDescent="0.2">
      <c r="AF8191" s="679"/>
    </row>
    <row r="8192" spans="32:32" x14ac:dyDescent="0.2">
      <c r="AF8192" s="679"/>
    </row>
    <row r="8193" spans="32:32" x14ac:dyDescent="0.2">
      <c r="AF8193" s="679"/>
    </row>
    <row r="8194" spans="32:32" x14ac:dyDescent="0.2">
      <c r="AF8194" s="679"/>
    </row>
    <row r="8195" spans="32:32" x14ac:dyDescent="0.2">
      <c r="AF8195" s="679"/>
    </row>
    <row r="8196" spans="32:32" x14ac:dyDescent="0.2">
      <c r="AF8196" s="679"/>
    </row>
    <row r="8197" spans="32:32" x14ac:dyDescent="0.2">
      <c r="AF8197" s="679"/>
    </row>
    <row r="8198" spans="32:32" x14ac:dyDescent="0.2">
      <c r="AF8198" s="679"/>
    </row>
    <row r="8199" spans="32:32" x14ac:dyDescent="0.2">
      <c r="AF8199" s="679"/>
    </row>
    <row r="8200" spans="32:32" x14ac:dyDescent="0.2">
      <c r="AF8200" s="679"/>
    </row>
    <row r="8201" spans="32:32" x14ac:dyDescent="0.2">
      <c r="AF8201" s="679"/>
    </row>
    <row r="8202" spans="32:32" x14ac:dyDescent="0.2">
      <c r="AF8202" s="679"/>
    </row>
    <row r="8203" spans="32:32" x14ac:dyDescent="0.2">
      <c r="AF8203" s="679"/>
    </row>
    <row r="8204" spans="32:32" x14ac:dyDescent="0.2">
      <c r="AF8204" s="679"/>
    </row>
    <row r="8205" spans="32:32" x14ac:dyDescent="0.2">
      <c r="AF8205" s="679"/>
    </row>
    <row r="8206" spans="32:32" x14ac:dyDescent="0.2">
      <c r="AF8206" s="679"/>
    </row>
    <row r="8207" spans="32:32" x14ac:dyDescent="0.2">
      <c r="AF8207" s="679"/>
    </row>
    <row r="8208" spans="32:32" x14ac:dyDescent="0.2">
      <c r="AF8208" s="679"/>
    </row>
    <row r="8209" spans="32:32" x14ac:dyDescent="0.2">
      <c r="AF8209" s="679"/>
    </row>
    <row r="8210" spans="32:32" x14ac:dyDescent="0.2">
      <c r="AF8210" s="679"/>
    </row>
    <row r="8211" spans="32:32" x14ac:dyDescent="0.2">
      <c r="AF8211" s="679"/>
    </row>
    <row r="8212" spans="32:32" x14ac:dyDescent="0.2">
      <c r="AF8212" s="679"/>
    </row>
    <row r="8213" spans="32:32" x14ac:dyDescent="0.2">
      <c r="AF8213" s="679"/>
    </row>
    <row r="8214" spans="32:32" x14ac:dyDescent="0.2">
      <c r="AF8214" s="679"/>
    </row>
    <row r="8215" spans="32:32" x14ac:dyDescent="0.2">
      <c r="AF8215" s="679"/>
    </row>
    <row r="8216" spans="32:32" x14ac:dyDescent="0.2">
      <c r="AF8216" s="679"/>
    </row>
    <row r="8217" spans="32:32" x14ac:dyDescent="0.2">
      <c r="AF8217" s="679"/>
    </row>
    <row r="8218" spans="32:32" x14ac:dyDescent="0.2">
      <c r="AF8218" s="679"/>
    </row>
    <row r="8219" spans="32:32" x14ac:dyDescent="0.2">
      <c r="AF8219" s="679"/>
    </row>
    <row r="8220" spans="32:32" x14ac:dyDescent="0.2">
      <c r="AF8220" s="679"/>
    </row>
    <row r="8221" spans="32:32" x14ac:dyDescent="0.2">
      <c r="AF8221" s="679"/>
    </row>
    <row r="8222" spans="32:32" x14ac:dyDescent="0.2">
      <c r="AF8222" s="679"/>
    </row>
    <row r="8223" spans="32:32" x14ac:dyDescent="0.2">
      <c r="AF8223" s="679"/>
    </row>
    <row r="8224" spans="32:32" x14ac:dyDescent="0.2">
      <c r="AF8224" s="679"/>
    </row>
    <row r="8225" spans="32:32" x14ac:dyDescent="0.2">
      <c r="AF8225" s="679"/>
    </row>
    <row r="8226" spans="32:32" x14ac:dyDescent="0.2">
      <c r="AF8226" s="679"/>
    </row>
    <row r="8227" spans="32:32" x14ac:dyDescent="0.2">
      <c r="AF8227" s="679"/>
    </row>
    <row r="8228" spans="32:32" x14ac:dyDescent="0.2">
      <c r="AF8228" s="679"/>
    </row>
    <row r="8229" spans="32:32" x14ac:dyDescent="0.2">
      <c r="AF8229" s="679"/>
    </row>
    <row r="8230" spans="32:32" x14ac:dyDescent="0.2">
      <c r="AF8230" s="679"/>
    </row>
    <row r="8231" spans="32:32" x14ac:dyDescent="0.2">
      <c r="AF8231" s="679"/>
    </row>
    <row r="8232" spans="32:32" x14ac:dyDescent="0.2">
      <c r="AF8232" s="679"/>
    </row>
    <row r="8233" spans="32:32" x14ac:dyDescent="0.2">
      <c r="AF8233" s="679"/>
    </row>
    <row r="8234" spans="32:32" x14ac:dyDescent="0.2">
      <c r="AF8234" s="679"/>
    </row>
    <row r="8235" spans="32:32" x14ac:dyDescent="0.2">
      <c r="AF8235" s="679"/>
    </row>
    <row r="8236" spans="32:32" x14ac:dyDescent="0.2">
      <c r="AF8236" s="679"/>
    </row>
    <row r="8237" spans="32:32" x14ac:dyDescent="0.2">
      <c r="AF8237" s="679"/>
    </row>
    <row r="8238" spans="32:32" x14ac:dyDescent="0.2">
      <c r="AF8238" s="679"/>
    </row>
    <row r="8239" spans="32:32" x14ac:dyDescent="0.2">
      <c r="AF8239" s="679"/>
    </row>
    <row r="8240" spans="32:32" x14ac:dyDescent="0.2">
      <c r="AF8240" s="679"/>
    </row>
    <row r="8241" spans="32:32" x14ac:dyDescent="0.2">
      <c r="AF8241" s="679"/>
    </row>
    <row r="8242" spans="32:32" x14ac:dyDescent="0.2">
      <c r="AF8242" s="679"/>
    </row>
    <row r="8243" spans="32:32" x14ac:dyDescent="0.2">
      <c r="AF8243" s="679"/>
    </row>
    <row r="8244" spans="32:32" x14ac:dyDescent="0.2">
      <c r="AF8244" s="679"/>
    </row>
    <row r="8245" spans="32:32" x14ac:dyDescent="0.2">
      <c r="AF8245" s="679"/>
    </row>
    <row r="8246" spans="32:32" x14ac:dyDescent="0.2">
      <c r="AF8246" s="679"/>
    </row>
    <row r="8247" spans="32:32" x14ac:dyDescent="0.2">
      <c r="AF8247" s="679"/>
    </row>
    <row r="8248" spans="32:32" x14ac:dyDescent="0.2">
      <c r="AF8248" s="679"/>
    </row>
    <row r="8249" spans="32:32" x14ac:dyDescent="0.2">
      <c r="AF8249" s="679"/>
    </row>
    <row r="8250" spans="32:32" x14ac:dyDescent="0.2">
      <c r="AF8250" s="679"/>
    </row>
    <row r="8251" spans="32:32" x14ac:dyDescent="0.2">
      <c r="AF8251" s="679"/>
    </row>
    <row r="8252" spans="32:32" x14ac:dyDescent="0.2">
      <c r="AF8252" s="679"/>
    </row>
    <row r="8253" spans="32:32" x14ac:dyDescent="0.2">
      <c r="AF8253" s="679"/>
    </row>
    <row r="8254" spans="32:32" x14ac:dyDescent="0.2">
      <c r="AF8254" s="679"/>
    </row>
    <row r="8255" spans="32:32" x14ac:dyDescent="0.2">
      <c r="AF8255" s="679"/>
    </row>
    <row r="8256" spans="32:32" x14ac:dyDescent="0.2">
      <c r="AF8256" s="679"/>
    </row>
    <row r="8257" spans="32:32" x14ac:dyDescent="0.2">
      <c r="AF8257" s="679"/>
    </row>
    <row r="8258" spans="32:32" x14ac:dyDescent="0.2">
      <c r="AF8258" s="679"/>
    </row>
    <row r="8259" spans="32:32" x14ac:dyDescent="0.2">
      <c r="AF8259" s="679"/>
    </row>
    <row r="8260" spans="32:32" x14ac:dyDescent="0.2">
      <c r="AF8260" s="679"/>
    </row>
    <row r="8261" spans="32:32" x14ac:dyDescent="0.2">
      <c r="AF8261" s="679"/>
    </row>
    <row r="8262" spans="32:32" x14ac:dyDescent="0.2">
      <c r="AF8262" s="679"/>
    </row>
    <row r="8263" spans="32:32" x14ac:dyDescent="0.2">
      <c r="AF8263" s="679"/>
    </row>
    <row r="8264" spans="32:32" x14ac:dyDescent="0.2">
      <c r="AF8264" s="679"/>
    </row>
    <row r="8265" spans="32:32" x14ac:dyDescent="0.2">
      <c r="AF8265" s="679"/>
    </row>
    <row r="8266" spans="32:32" x14ac:dyDescent="0.2">
      <c r="AF8266" s="679"/>
    </row>
    <row r="8267" spans="32:32" x14ac:dyDescent="0.2">
      <c r="AF8267" s="679"/>
    </row>
    <row r="8268" spans="32:32" x14ac:dyDescent="0.2">
      <c r="AF8268" s="679"/>
    </row>
    <row r="8269" spans="32:32" x14ac:dyDescent="0.2">
      <c r="AF8269" s="679"/>
    </row>
    <row r="8270" spans="32:32" x14ac:dyDescent="0.2">
      <c r="AF8270" s="679"/>
    </row>
    <row r="8271" spans="32:32" x14ac:dyDescent="0.2">
      <c r="AF8271" s="679"/>
    </row>
    <row r="8272" spans="32:32" x14ac:dyDescent="0.2">
      <c r="AF8272" s="679"/>
    </row>
    <row r="8273" spans="32:32" x14ac:dyDescent="0.2">
      <c r="AF8273" s="679"/>
    </row>
    <row r="8274" spans="32:32" x14ac:dyDescent="0.2">
      <c r="AF8274" s="679"/>
    </row>
    <row r="8275" spans="32:32" x14ac:dyDescent="0.2">
      <c r="AF8275" s="679"/>
    </row>
    <row r="8276" spans="32:32" x14ac:dyDescent="0.2">
      <c r="AF8276" s="679"/>
    </row>
    <row r="8277" spans="32:32" x14ac:dyDescent="0.2">
      <c r="AF8277" s="679"/>
    </row>
    <row r="8278" spans="32:32" x14ac:dyDescent="0.2">
      <c r="AF8278" s="679"/>
    </row>
    <row r="8279" spans="32:32" x14ac:dyDescent="0.2">
      <c r="AF8279" s="679"/>
    </row>
    <row r="8280" spans="32:32" x14ac:dyDescent="0.2">
      <c r="AF8280" s="679"/>
    </row>
    <row r="8281" spans="32:32" x14ac:dyDescent="0.2">
      <c r="AF8281" s="679"/>
    </row>
    <row r="8282" spans="32:32" x14ac:dyDescent="0.2">
      <c r="AF8282" s="679"/>
    </row>
    <row r="8283" spans="32:32" x14ac:dyDescent="0.2">
      <c r="AF8283" s="679"/>
    </row>
    <row r="8284" spans="32:32" x14ac:dyDescent="0.2">
      <c r="AF8284" s="679"/>
    </row>
    <row r="8285" spans="32:32" x14ac:dyDescent="0.2">
      <c r="AF8285" s="679"/>
    </row>
    <row r="8286" spans="32:32" x14ac:dyDescent="0.2">
      <c r="AF8286" s="679"/>
    </row>
    <row r="8287" spans="32:32" x14ac:dyDescent="0.2">
      <c r="AF8287" s="679"/>
    </row>
    <row r="8288" spans="32:32" x14ac:dyDescent="0.2">
      <c r="AF8288" s="679"/>
    </row>
    <row r="8289" spans="32:32" x14ac:dyDescent="0.2">
      <c r="AF8289" s="679"/>
    </row>
    <row r="8290" spans="32:32" x14ac:dyDescent="0.2">
      <c r="AF8290" s="679"/>
    </row>
    <row r="8291" spans="32:32" x14ac:dyDescent="0.2">
      <c r="AF8291" s="679"/>
    </row>
    <row r="8292" spans="32:32" x14ac:dyDescent="0.2">
      <c r="AF8292" s="679"/>
    </row>
    <row r="8293" spans="32:32" x14ac:dyDescent="0.2">
      <c r="AF8293" s="679"/>
    </row>
    <row r="8294" spans="32:32" x14ac:dyDescent="0.2">
      <c r="AF8294" s="679"/>
    </row>
    <row r="8295" spans="32:32" x14ac:dyDescent="0.2">
      <c r="AF8295" s="679"/>
    </row>
    <row r="8296" spans="32:32" x14ac:dyDescent="0.2">
      <c r="AF8296" s="679"/>
    </row>
    <row r="8297" spans="32:32" x14ac:dyDescent="0.2">
      <c r="AF8297" s="679"/>
    </row>
    <row r="8298" spans="32:32" x14ac:dyDescent="0.2">
      <c r="AF8298" s="679"/>
    </row>
    <row r="8299" spans="32:32" x14ac:dyDescent="0.2">
      <c r="AF8299" s="679"/>
    </row>
    <row r="8300" spans="32:32" x14ac:dyDescent="0.2">
      <c r="AF8300" s="679"/>
    </row>
    <row r="8301" spans="32:32" x14ac:dyDescent="0.2">
      <c r="AF8301" s="679"/>
    </row>
    <row r="8302" spans="32:32" x14ac:dyDescent="0.2">
      <c r="AF8302" s="679"/>
    </row>
    <row r="8303" spans="32:32" x14ac:dyDescent="0.2">
      <c r="AF8303" s="679"/>
    </row>
    <row r="8304" spans="32:32" x14ac:dyDescent="0.2">
      <c r="AF8304" s="679"/>
    </row>
    <row r="8305" spans="32:32" x14ac:dyDescent="0.2">
      <c r="AF8305" s="679"/>
    </row>
    <row r="8306" spans="32:32" x14ac:dyDescent="0.2">
      <c r="AF8306" s="679"/>
    </row>
    <row r="8307" spans="32:32" x14ac:dyDescent="0.2">
      <c r="AF8307" s="679"/>
    </row>
    <row r="8308" spans="32:32" x14ac:dyDescent="0.2">
      <c r="AF8308" s="679"/>
    </row>
    <row r="8309" spans="32:32" x14ac:dyDescent="0.2">
      <c r="AF8309" s="679"/>
    </row>
    <row r="8310" spans="32:32" x14ac:dyDescent="0.2">
      <c r="AF8310" s="679"/>
    </row>
    <row r="8311" spans="32:32" x14ac:dyDescent="0.2">
      <c r="AF8311" s="679"/>
    </row>
    <row r="8312" spans="32:32" x14ac:dyDescent="0.2">
      <c r="AF8312" s="679"/>
    </row>
    <row r="8313" spans="32:32" x14ac:dyDescent="0.2">
      <c r="AF8313" s="679"/>
    </row>
    <row r="8314" spans="32:32" x14ac:dyDescent="0.2">
      <c r="AF8314" s="679"/>
    </row>
    <row r="8315" spans="32:32" x14ac:dyDescent="0.2">
      <c r="AF8315" s="679"/>
    </row>
    <row r="8316" spans="32:32" x14ac:dyDescent="0.2">
      <c r="AF8316" s="679"/>
    </row>
    <row r="8317" spans="32:32" x14ac:dyDescent="0.2">
      <c r="AF8317" s="679"/>
    </row>
    <row r="8318" spans="32:32" x14ac:dyDescent="0.2">
      <c r="AF8318" s="679"/>
    </row>
    <row r="8319" spans="32:32" x14ac:dyDescent="0.2">
      <c r="AF8319" s="679"/>
    </row>
    <row r="8320" spans="32:32" x14ac:dyDescent="0.2">
      <c r="AF8320" s="679"/>
    </row>
    <row r="8321" spans="32:32" x14ac:dyDescent="0.2">
      <c r="AF8321" s="679"/>
    </row>
    <row r="8322" spans="32:32" x14ac:dyDescent="0.2">
      <c r="AF8322" s="679"/>
    </row>
    <row r="8323" spans="32:32" x14ac:dyDescent="0.2">
      <c r="AF8323" s="679"/>
    </row>
    <row r="8324" spans="32:32" x14ac:dyDescent="0.2">
      <c r="AF8324" s="679"/>
    </row>
    <row r="8325" spans="32:32" x14ac:dyDescent="0.2">
      <c r="AF8325" s="679"/>
    </row>
    <row r="8326" spans="32:32" x14ac:dyDescent="0.2">
      <c r="AF8326" s="679"/>
    </row>
    <row r="8327" spans="32:32" x14ac:dyDescent="0.2">
      <c r="AF8327" s="679"/>
    </row>
    <row r="8328" spans="32:32" x14ac:dyDescent="0.2">
      <c r="AF8328" s="679"/>
    </row>
    <row r="8329" spans="32:32" x14ac:dyDescent="0.2">
      <c r="AF8329" s="679"/>
    </row>
    <row r="8330" spans="32:32" x14ac:dyDescent="0.2">
      <c r="AF8330" s="679"/>
    </row>
    <row r="8331" spans="32:32" x14ac:dyDescent="0.2">
      <c r="AF8331" s="679"/>
    </row>
    <row r="8332" spans="32:32" x14ac:dyDescent="0.2">
      <c r="AF8332" s="679"/>
    </row>
    <row r="8333" spans="32:32" x14ac:dyDescent="0.2">
      <c r="AF8333" s="679"/>
    </row>
    <row r="8334" spans="32:32" x14ac:dyDescent="0.2">
      <c r="AF8334" s="679"/>
    </row>
    <row r="8335" spans="32:32" x14ac:dyDescent="0.2">
      <c r="AF8335" s="679"/>
    </row>
    <row r="8336" spans="32:32" x14ac:dyDescent="0.2">
      <c r="AF8336" s="679"/>
    </row>
    <row r="8337" spans="32:32" x14ac:dyDescent="0.2">
      <c r="AF8337" s="679"/>
    </row>
    <row r="8338" spans="32:32" x14ac:dyDescent="0.2">
      <c r="AF8338" s="679"/>
    </row>
    <row r="8339" spans="32:32" x14ac:dyDescent="0.2">
      <c r="AF8339" s="679"/>
    </row>
    <row r="8340" spans="32:32" x14ac:dyDescent="0.2">
      <c r="AF8340" s="679"/>
    </row>
    <row r="8341" spans="32:32" x14ac:dyDescent="0.2">
      <c r="AF8341" s="679"/>
    </row>
    <row r="8342" spans="32:32" x14ac:dyDescent="0.2">
      <c r="AF8342" s="679"/>
    </row>
    <row r="8343" spans="32:32" x14ac:dyDescent="0.2">
      <c r="AF8343" s="679"/>
    </row>
    <row r="8344" spans="32:32" x14ac:dyDescent="0.2">
      <c r="AF8344" s="679"/>
    </row>
    <row r="8345" spans="32:32" x14ac:dyDescent="0.2">
      <c r="AF8345" s="679"/>
    </row>
    <row r="8346" spans="32:32" x14ac:dyDescent="0.2">
      <c r="AF8346" s="679"/>
    </row>
    <row r="8347" spans="32:32" x14ac:dyDescent="0.2">
      <c r="AF8347" s="679"/>
    </row>
    <row r="8348" spans="32:32" x14ac:dyDescent="0.2">
      <c r="AF8348" s="679"/>
    </row>
    <row r="8349" spans="32:32" x14ac:dyDescent="0.2">
      <c r="AF8349" s="679"/>
    </row>
    <row r="8350" spans="32:32" x14ac:dyDescent="0.2">
      <c r="AF8350" s="679"/>
    </row>
    <row r="8351" spans="32:32" x14ac:dyDescent="0.2">
      <c r="AF8351" s="679"/>
    </row>
    <row r="8352" spans="32:32" x14ac:dyDescent="0.2">
      <c r="AF8352" s="679"/>
    </row>
    <row r="8353" spans="32:32" x14ac:dyDescent="0.2">
      <c r="AF8353" s="679"/>
    </row>
    <row r="8354" spans="32:32" x14ac:dyDescent="0.2">
      <c r="AF8354" s="679"/>
    </row>
    <row r="8355" spans="32:32" x14ac:dyDescent="0.2">
      <c r="AF8355" s="679"/>
    </row>
    <row r="8356" spans="32:32" x14ac:dyDescent="0.2">
      <c r="AF8356" s="679"/>
    </row>
    <row r="8357" spans="32:32" x14ac:dyDescent="0.2">
      <c r="AF8357" s="679"/>
    </row>
    <row r="8358" spans="32:32" x14ac:dyDescent="0.2">
      <c r="AF8358" s="679"/>
    </row>
    <row r="8359" spans="32:32" x14ac:dyDescent="0.2">
      <c r="AF8359" s="679"/>
    </row>
    <row r="8360" spans="32:32" x14ac:dyDescent="0.2">
      <c r="AF8360" s="679"/>
    </row>
    <row r="8361" spans="32:32" x14ac:dyDescent="0.2">
      <c r="AF8361" s="679"/>
    </row>
    <row r="8362" spans="32:32" x14ac:dyDescent="0.2">
      <c r="AF8362" s="679"/>
    </row>
    <row r="8363" spans="32:32" x14ac:dyDescent="0.2">
      <c r="AF8363" s="679"/>
    </row>
    <row r="8364" spans="32:32" x14ac:dyDescent="0.2">
      <c r="AF8364" s="679"/>
    </row>
    <row r="8365" spans="32:32" x14ac:dyDescent="0.2">
      <c r="AF8365" s="679"/>
    </row>
    <row r="8366" spans="32:32" x14ac:dyDescent="0.2">
      <c r="AF8366" s="679"/>
    </row>
    <row r="8367" spans="32:32" x14ac:dyDescent="0.2">
      <c r="AF8367" s="679"/>
    </row>
    <row r="8368" spans="32:32" x14ac:dyDescent="0.2">
      <c r="AF8368" s="679"/>
    </row>
    <row r="8369" spans="32:32" x14ac:dyDescent="0.2">
      <c r="AF8369" s="679"/>
    </row>
    <row r="8370" spans="32:32" x14ac:dyDescent="0.2">
      <c r="AF8370" s="679"/>
    </row>
    <row r="8371" spans="32:32" x14ac:dyDescent="0.2">
      <c r="AF8371" s="679"/>
    </row>
    <row r="8372" spans="32:32" x14ac:dyDescent="0.2">
      <c r="AF8372" s="679"/>
    </row>
    <row r="8373" spans="32:32" x14ac:dyDescent="0.2">
      <c r="AF8373" s="679"/>
    </row>
    <row r="8374" spans="32:32" x14ac:dyDescent="0.2">
      <c r="AF8374" s="679"/>
    </row>
    <row r="8375" spans="32:32" x14ac:dyDescent="0.2">
      <c r="AF8375" s="679"/>
    </row>
    <row r="8376" spans="32:32" x14ac:dyDescent="0.2">
      <c r="AF8376" s="679"/>
    </row>
    <row r="8377" spans="32:32" x14ac:dyDescent="0.2">
      <c r="AF8377" s="679"/>
    </row>
    <row r="8378" spans="32:32" x14ac:dyDescent="0.2">
      <c r="AF8378" s="679"/>
    </row>
    <row r="8379" spans="32:32" x14ac:dyDescent="0.2">
      <c r="AF8379" s="679"/>
    </row>
    <row r="8380" spans="32:32" x14ac:dyDescent="0.2">
      <c r="AF8380" s="679"/>
    </row>
    <row r="8381" spans="32:32" x14ac:dyDescent="0.2">
      <c r="AF8381" s="679"/>
    </row>
    <row r="8382" spans="32:32" x14ac:dyDescent="0.2">
      <c r="AF8382" s="679"/>
    </row>
    <row r="8383" spans="32:32" x14ac:dyDescent="0.2">
      <c r="AF8383" s="679"/>
    </row>
    <row r="8384" spans="32:32" x14ac:dyDescent="0.2">
      <c r="AF8384" s="679"/>
    </row>
    <row r="8385" spans="32:32" x14ac:dyDescent="0.2">
      <c r="AF8385" s="679"/>
    </row>
    <row r="8386" spans="32:32" x14ac:dyDescent="0.2">
      <c r="AF8386" s="679"/>
    </row>
    <row r="8387" spans="32:32" x14ac:dyDescent="0.2">
      <c r="AF8387" s="679"/>
    </row>
    <row r="8388" spans="32:32" x14ac:dyDescent="0.2">
      <c r="AF8388" s="679"/>
    </row>
    <row r="8389" spans="32:32" x14ac:dyDescent="0.2">
      <c r="AF8389" s="679"/>
    </row>
    <row r="8390" spans="32:32" x14ac:dyDescent="0.2">
      <c r="AF8390" s="679"/>
    </row>
    <row r="8391" spans="32:32" x14ac:dyDescent="0.2">
      <c r="AF8391" s="679"/>
    </row>
    <row r="8392" spans="32:32" x14ac:dyDescent="0.2">
      <c r="AF8392" s="679"/>
    </row>
    <row r="8393" spans="32:32" x14ac:dyDescent="0.2">
      <c r="AF8393" s="679"/>
    </row>
    <row r="8394" spans="32:32" x14ac:dyDescent="0.2">
      <c r="AF8394" s="679"/>
    </row>
    <row r="8395" spans="32:32" x14ac:dyDescent="0.2">
      <c r="AF8395" s="679"/>
    </row>
    <row r="8396" spans="32:32" x14ac:dyDescent="0.2">
      <c r="AF8396" s="679"/>
    </row>
    <row r="8397" spans="32:32" x14ac:dyDescent="0.2">
      <c r="AF8397" s="679"/>
    </row>
    <row r="8398" spans="32:32" x14ac:dyDescent="0.2">
      <c r="AF8398" s="679"/>
    </row>
    <row r="8399" spans="32:32" x14ac:dyDescent="0.2">
      <c r="AF8399" s="679"/>
    </row>
    <row r="8400" spans="32:32" x14ac:dyDescent="0.2">
      <c r="AF8400" s="679"/>
    </row>
    <row r="8401" spans="32:32" x14ac:dyDescent="0.2">
      <c r="AF8401" s="679"/>
    </row>
    <row r="8402" spans="32:32" x14ac:dyDescent="0.2">
      <c r="AF8402" s="679"/>
    </row>
    <row r="8403" spans="32:32" x14ac:dyDescent="0.2">
      <c r="AF8403" s="679"/>
    </row>
    <row r="8404" spans="32:32" x14ac:dyDescent="0.2">
      <c r="AF8404" s="679"/>
    </row>
    <row r="8405" spans="32:32" x14ac:dyDescent="0.2">
      <c r="AF8405" s="679"/>
    </row>
    <row r="8406" spans="32:32" x14ac:dyDescent="0.2">
      <c r="AF8406" s="679"/>
    </row>
    <row r="8407" spans="32:32" x14ac:dyDescent="0.2">
      <c r="AF8407" s="679"/>
    </row>
    <row r="8408" spans="32:32" x14ac:dyDescent="0.2">
      <c r="AF8408" s="679"/>
    </row>
    <row r="8409" spans="32:32" x14ac:dyDescent="0.2">
      <c r="AF8409" s="679"/>
    </row>
    <row r="8410" spans="32:32" x14ac:dyDescent="0.2">
      <c r="AF8410" s="679"/>
    </row>
    <row r="8411" spans="32:32" x14ac:dyDescent="0.2">
      <c r="AF8411" s="679"/>
    </row>
    <row r="8412" spans="32:32" x14ac:dyDescent="0.2">
      <c r="AF8412" s="679"/>
    </row>
    <row r="8413" spans="32:32" x14ac:dyDescent="0.2">
      <c r="AF8413" s="679"/>
    </row>
    <row r="8414" spans="32:32" x14ac:dyDescent="0.2">
      <c r="AF8414" s="679"/>
    </row>
    <row r="8415" spans="32:32" x14ac:dyDescent="0.2">
      <c r="AF8415" s="679"/>
    </row>
    <row r="8416" spans="32:32" x14ac:dyDescent="0.2">
      <c r="AF8416" s="679"/>
    </row>
    <row r="8417" spans="32:32" x14ac:dyDescent="0.2">
      <c r="AF8417" s="679"/>
    </row>
    <row r="8418" spans="32:32" x14ac:dyDescent="0.2">
      <c r="AF8418" s="679"/>
    </row>
    <row r="8419" spans="32:32" x14ac:dyDescent="0.2">
      <c r="AF8419" s="679"/>
    </row>
    <row r="8420" spans="32:32" x14ac:dyDescent="0.2">
      <c r="AF8420" s="679"/>
    </row>
    <row r="8421" spans="32:32" x14ac:dyDescent="0.2">
      <c r="AF8421" s="679"/>
    </row>
    <row r="8422" spans="32:32" x14ac:dyDescent="0.2">
      <c r="AF8422" s="679"/>
    </row>
    <row r="8423" spans="32:32" x14ac:dyDescent="0.2">
      <c r="AF8423" s="679"/>
    </row>
    <row r="8424" spans="32:32" x14ac:dyDescent="0.2">
      <c r="AF8424" s="679"/>
    </row>
    <row r="8425" spans="32:32" x14ac:dyDescent="0.2">
      <c r="AF8425" s="679"/>
    </row>
    <row r="8426" spans="32:32" x14ac:dyDescent="0.2">
      <c r="AF8426" s="679"/>
    </row>
    <row r="8427" spans="32:32" x14ac:dyDescent="0.2">
      <c r="AF8427" s="679"/>
    </row>
    <row r="8428" spans="32:32" x14ac:dyDescent="0.2">
      <c r="AF8428" s="679"/>
    </row>
    <row r="8429" spans="32:32" x14ac:dyDescent="0.2">
      <c r="AF8429" s="679"/>
    </row>
    <row r="8430" spans="32:32" x14ac:dyDescent="0.2">
      <c r="AF8430" s="679"/>
    </row>
    <row r="8431" spans="32:32" x14ac:dyDescent="0.2">
      <c r="AF8431" s="679"/>
    </row>
    <row r="8432" spans="32:32" x14ac:dyDescent="0.2">
      <c r="AF8432" s="679"/>
    </row>
    <row r="8433" spans="32:32" x14ac:dyDescent="0.2">
      <c r="AF8433" s="679"/>
    </row>
    <row r="8434" spans="32:32" x14ac:dyDescent="0.2">
      <c r="AF8434" s="679"/>
    </row>
    <row r="8435" spans="32:32" x14ac:dyDescent="0.2">
      <c r="AF8435" s="679"/>
    </row>
    <row r="8436" spans="32:32" x14ac:dyDescent="0.2">
      <c r="AF8436" s="679"/>
    </row>
    <row r="8437" spans="32:32" x14ac:dyDescent="0.2">
      <c r="AF8437" s="679"/>
    </row>
    <row r="8438" spans="32:32" x14ac:dyDescent="0.2">
      <c r="AF8438" s="679"/>
    </row>
    <row r="8439" spans="32:32" x14ac:dyDescent="0.2">
      <c r="AF8439" s="679"/>
    </row>
    <row r="8440" spans="32:32" x14ac:dyDescent="0.2">
      <c r="AF8440" s="679"/>
    </row>
    <row r="8441" spans="32:32" x14ac:dyDescent="0.2">
      <c r="AF8441" s="679"/>
    </row>
    <row r="8442" spans="32:32" x14ac:dyDescent="0.2">
      <c r="AF8442" s="679"/>
    </row>
    <row r="8443" spans="32:32" x14ac:dyDescent="0.2">
      <c r="AF8443" s="679"/>
    </row>
    <row r="8444" spans="32:32" x14ac:dyDescent="0.2">
      <c r="AF8444" s="679"/>
    </row>
    <row r="8445" spans="32:32" x14ac:dyDescent="0.2">
      <c r="AF8445" s="679"/>
    </row>
    <row r="8446" spans="32:32" x14ac:dyDescent="0.2">
      <c r="AF8446" s="679"/>
    </row>
    <row r="8447" spans="32:32" x14ac:dyDescent="0.2">
      <c r="AF8447" s="679"/>
    </row>
    <row r="8448" spans="32:32" x14ac:dyDescent="0.2">
      <c r="AF8448" s="679"/>
    </row>
    <row r="8449" spans="32:32" x14ac:dyDescent="0.2">
      <c r="AF8449" s="679"/>
    </row>
    <row r="8450" spans="32:32" x14ac:dyDescent="0.2">
      <c r="AF8450" s="679"/>
    </row>
    <row r="8451" spans="32:32" x14ac:dyDescent="0.2">
      <c r="AF8451" s="679"/>
    </row>
    <row r="8452" spans="32:32" x14ac:dyDescent="0.2">
      <c r="AF8452" s="679"/>
    </row>
    <row r="8453" spans="32:32" x14ac:dyDescent="0.2">
      <c r="AF8453" s="679"/>
    </row>
    <row r="8454" spans="32:32" x14ac:dyDescent="0.2">
      <c r="AF8454" s="679"/>
    </row>
    <row r="8455" spans="32:32" x14ac:dyDescent="0.2">
      <c r="AF8455" s="679"/>
    </row>
    <row r="8456" spans="32:32" x14ac:dyDescent="0.2">
      <c r="AF8456" s="679"/>
    </row>
    <row r="8457" spans="32:32" x14ac:dyDescent="0.2">
      <c r="AF8457" s="679"/>
    </row>
    <row r="8458" spans="32:32" x14ac:dyDescent="0.2">
      <c r="AF8458" s="679"/>
    </row>
    <row r="8459" spans="32:32" x14ac:dyDescent="0.2">
      <c r="AF8459" s="679"/>
    </row>
    <row r="8460" spans="32:32" x14ac:dyDescent="0.2">
      <c r="AF8460" s="679"/>
    </row>
    <row r="8461" spans="32:32" x14ac:dyDescent="0.2">
      <c r="AF8461" s="679"/>
    </row>
    <row r="8462" spans="32:32" x14ac:dyDescent="0.2">
      <c r="AF8462" s="679"/>
    </row>
    <row r="8463" spans="32:32" x14ac:dyDescent="0.2">
      <c r="AF8463" s="679"/>
    </row>
    <row r="8464" spans="32:32" x14ac:dyDescent="0.2">
      <c r="AF8464" s="679"/>
    </row>
    <row r="8465" spans="32:32" x14ac:dyDescent="0.2">
      <c r="AF8465" s="679"/>
    </row>
    <row r="8466" spans="32:32" x14ac:dyDescent="0.2">
      <c r="AF8466" s="679"/>
    </row>
    <row r="8467" spans="32:32" x14ac:dyDescent="0.2">
      <c r="AF8467" s="679"/>
    </row>
    <row r="8468" spans="32:32" x14ac:dyDescent="0.2">
      <c r="AF8468" s="679"/>
    </row>
    <row r="8469" spans="32:32" x14ac:dyDescent="0.2">
      <c r="AF8469" s="679"/>
    </row>
    <row r="8470" spans="32:32" x14ac:dyDescent="0.2">
      <c r="AF8470" s="679"/>
    </row>
    <row r="8471" spans="32:32" x14ac:dyDescent="0.2">
      <c r="AF8471" s="679"/>
    </row>
    <row r="8472" spans="32:32" x14ac:dyDescent="0.2">
      <c r="AF8472" s="679"/>
    </row>
    <row r="8473" spans="32:32" x14ac:dyDescent="0.2">
      <c r="AF8473" s="679"/>
    </row>
    <row r="8474" spans="32:32" x14ac:dyDescent="0.2">
      <c r="AF8474" s="679"/>
    </row>
    <row r="8475" spans="32:32" x14ac:dyDescent="0.2">
      <c r="AF8475" s="679"/>
    </row>
    <row r="8476" spans="32:32" x14ac:dyDescent="0.2">
      <c r="AF8476" s="679"/>
    </row>
    <row r="8477" spans="32:32" x14ac:dyDescent="0.2">
      <c r="AF8477" s="679"/>
    </row>
    <row r="8478" spans="32:32" x14ac:dyDescent="0.2">
      <c r="AF8478" s="679"/>
    </row>
    <row r="8479" spans="32:32" x14ac:dyDescent="0.2">
      <c r="AF8479" s="679"/>
    </row>
    <row r="8480" spans="32:32" x14ac:dyDescent="0.2">
      <c r="AF8480" s="679"/>
    </row>
    <row r="8481" spans="32:32" x14ac:dyDescent="0.2">
      <c r="AF8481" s="679"/>
    </row>
    <row r="8482" spans="32:32" x14ac:dyDescent="0.2">
      <c r="AF8482" s="679"/>
    </row>
    <row r="8483" spans="32:32" x14ac:dyDescent="0.2">
      <c r="AF8483" s="679"/>
    </row>
    <row r="8484" spans="32:32" x14ac:dyDescent="0.2">
      <c r="AF8484" s="679"/>
    </row>
    <row r="8485" spans="32:32" x14ac:dyDescent="0.2">
      <c r="AF8485" s="679"/>
    </row>
    <row r="8486" spans="32:32" x14ac:dyDescent="0.2">
      <c r="AF8486" s="679"/>
    </row>
    <row r="8487" spans="32:32" x14ac:dyDescent="0.2">
      <c r="AF8487" s="679"/>
    </row>
    <row r="8488" spans="32:32" x14ac:dyDescent="0.2">
      <c r="AF8488" s="679"/>
    </row>
    <row r="8489" spans="32:32" x14ac:dyDescent="0.2">
      <c r="AF8489" s="679"/>
    </row>
    <row r="8490" spans="32:32" x14ac:dyDescent="0.2">
      <c r="AF8490" s="679"/>
    </row>
    <row r="8491" spans="32:32" x14ac:dyDescent="0.2">
      <c r="AF8491" s="679"/>
    </row>
    <row r="8492" spans="32:32" x14ac:dyDescent="0.2">
      <c r="AF8492" s="679"/>
    </row>
    <row r="8493" spans="32:32" x14ac:dyDescent="0.2">
      <c r="AF8493" s="679"/>
    </row>
    <row r="8494" spans="32:32" x14ac:dyDescent="0.2">
      <c r="AF8494" s="679"/>
    </row>
    <row r="8495" spans="32:32" x14ac:dyDescent="0.2">
      <c r="AF8495" s="679"/>
    </row>
    <row r="8496" spans="32:32" x14ac:dyDescent="0.2">
      <c r="AF8496" s="679"/>
    </row>
    <row r="8497" spans="32:32" x14ac:dyDescent="0.2">
      <c r="AF8497" s="679"/>
    </row>
    <row r="8498" spans="32:32" x14ac:dyDescent="0.2">
      <c r="AF8498" s="679"/>
    </row>
    <row r="8499" spans="32:32" x14ac:dyDescent="0.2">
      <c r="AF8499" s="679"/>
    </row>
    <row r="8500" spans="32:32" x14ac:dyDescent="0.2">
      <c r="AF8500" s="679"/>
    </row>
    <row r="8501" spans="32:32" x14ac:dyDescent="0.2">
      <c r="AF8501" s="679"/>
    </row>
    <row r="8502" spans="32:32" x14ac:dyDescent="0.2">
      <c r="AF8502" s="679"/>
    </row>
    <row r="8503" spans="32:32" x14ac:dyDescent="0.2">
      <c r="AF8503" s="679"/>
    </row>
    <row r="8504" spans="32:32" x14ac:dyDescent="0.2">
      <c r="AF8504" s="679"/>
    </row>
    <row r="8505" spans="32:32" x14ac:dyDescent="0.2">
      <c r="AF8505" s="679"/>
    </row>
    <row r="8506" spans="32:32" x14ac:dyDescent="0.2">
      <c r="AF8506" s="679"/>
    </row>
    <row r="8507" spans="32:32" x14ac:dyDescent="0.2">
      <c r="AF8507" s="679"/>
    </row>
    <row r="8508" spans="32:32" x14ac:dyDescent="0.2">
      <c r="AF8508" s="679"/>
    </row>
    <row r="8509" spans="32:32" x14ac:dyDescent="0.2">
      <c r="AF8509" s="679"/>
    </row>
    <row r="8510" spans="32:32" x14ac:dyDescent="0.2">
      <c r="AF8510" s="679"/>
    </row>
    <row r="8511" spans="32:32" x14ac:dyDescent="0.2">
      <c r="AF8511" s="679"/>
    </row>
    <row r="8512" spans="32:32" x14ac:dyDescent="0.2">
      <c r="AF8512" s="679"/>
    </row>
    <row r="8513" spans="32:32" x14ac:dyDescent="0.2">
      <c r="AF8513" s="679"/>
    </row>
    <row r="8514" spans="32:32" x14ac:dyDescent="0.2">
      <c r="AF8514" s="679"/>
    </row>
    <row r="8515" spans="32:32" x14ac:dyDescent="0.2">
      <c r="AF8515" s="679"/>
    </row>
    <row r="8516" spans="32:32" x14ac:dyDescent="0.2">
      <c r="AF8516" s="679"/>
    </row>
    <row r="8517" spans="32:32" x14ac:dyDescent="0.2">
      <c r="AF8517" s="679"/>
    </row>
    <row r="8518" spans="32:32" x14ac:dyDescent="0.2">
      <c r="AF8518" s="679"/>
    </row>
    <row r="8519" spans="32:32" x14ac:dyDescent="0.2">
      <c r="AF8519" s="679"/>
    </row>
    <row r="8520" spans="32:32" x14ac:dyDescent="0.2">
      <c r="AF8520" s="679"/>
    </row>
    <row r="8521" spans="32:32" x14ac:dyDescent="0.2">
      <c r="AF8521" s="679"/>
    </row>
    <row r="8522" spans="32:32" x14ac:dyDescent="0.2">
      <c r="AF8522" s="679"/>
    </row>
    <row r="8523" spans="32:32" x14ac:dyDescent="0.2">
      <c r="AF8523" s="679"/>
    </row>
    <row r="8524" spans="32:32" x14ac:dyDescent="0.2">
      <c r="AF8524" s="679"/>
    </row>
    <row r="8525" spans="32:32" x14ac:dyDescent="0.2">
      <c r="AF8525" s="679"/>
    </row>
    <row r="8526" spans="32:32" x14ac:dyDescent="0.2">
      <c r="AF8526" s="679"/>
    </row>
    <row r="8527" spans="32:32" x14ac:dyDescent="0.2">
      <c r="AF8527" s="679"/>
    </row>
    <row r="8528" spans="32:32" x14ac:dyDescent="0.2">
      <c r="AF8528" s="679"/>
    </row>
    <row r="8529" spans="32:32" x14ac:dyDescent="0.2">
      <c r="AF8529" s="679"/>
    </row>
    <row r="8530" spans="32:32" x14ac:dyDescent="0.2">
      <c r="AF8530" s="679"/>
    </row>
    <row r="8531" spans="32:32" x14ac:dyDescent="0.2">
      <c r="AF8531" s="679"/>
    </row>
    <row r="8532" spans="32:32" x14ac:dyDescent="0.2">
      <c r="AF8532" s="679"/>
    </row>
    <row r="8533" spans="32:32" x14ac:dyDescent="0.2">
      <c r="AF8533" s="679"/>
    </row>
    <row r="8534" spans="32:32" x14ac:dyDescent="0.2">
      <c r="AF8534" s="679"/>
    </row>
    <row r="8535" spans="32:32" x14ac:dyDescent="0.2">
      <c r="AF8535" s="679"/>
    </row>
    <row r="8536" spans="32:32" x14ac:dyDescent="0.2">
      <c r="AF8536" s="679"/>
    </row>
    <row r="8537" spans="32:32" x14ac:dyDescent="0.2">
      <c r="AF8537" s="679"/>
    </row>
    <row r="8538" spans="32:32" x14ac:dyDescent="0.2">
      <c r="AF8538" s="679"/>
    </row>
    <row r="8539" spans="32:32" x14ac:dyDescent="0.2">
      <c r="AF8539" s="679"/>
    </row>
    <row r="8540" spans="32:32" x14ac:dyDescent="0.2">
      <c r="AF8540" s="679"/>
    </row>
    <row r="8541" spans="32:32" x14ac:dyDescent="0.2">
      <c r="AF8541" s="679"/>
    </row>
    <row r="8542" spans="32:32" x14ac:dyDescent="0.2">
      <c r="AF8542" s="679"/>
    </row>
    <row r="8543" spans="32:32" x14ac:dyDescent="0.2">
      <c r="AF8543" s="679"/>
    </row>
    <row r="8544" spans="32:32" x14ac:dyDescent="0.2">
      <c r="AF8544" s="679"/>
    </row>
    <row r="8545" spans="32:32" x14ac:dyDescent="0.2">
      <c r="AF8545" s="679"/>
    </row>
    <row r="8546" spans="32:32" x14ac:dyDescent="0.2">
      <c r="AF8546" s="679"/>
    </row>
    <row r="8547" spans="32:32" x14ac:dyDescent="0.2">
      <c r="AF8547" s="679"/>
    </row>
    <row r="8548" spans="32:32" x14ac:dyDescent="0.2">
      <c r="AF8548" s="679"/>
    </row>
    <row r="8549" spans="32:32" x14ac:dyDescent="0.2">
      <c r="AF8549" s="679"/>
    </row>
    <row r="8550" spans="32:32" x14ac:dyDescent="0.2">
      <c r="AF8550" s="679"/>
    </row>
    <row r="8551" spans="32:32" x14ac:dyDescent="0.2">
      <c r="AF8551" s="679"/>
    </row>
    <row r="8552" spans="32:32" x14ac:dyDescent="0.2">
      <c r="AF8552" s="679"/>
    </row>
    <row r="8553" spans="32:32" x14ac:dyDescent="0.2">
      <c r="AF8553" s="679"/>
    </row>
    <row r="8554" spans="32:32" x14ac:dyDescent="0.2">
      <c r="AF8554" s="679"/>
    </row>
    <row r="8555" spans="32:32" x14ac:dyDescent="0.2">
      <c r="AF8555" s="679"/>
    </row>
    <row r="8556" spans="32:32" x14ac:dyDescent="0.2">
      <c r="AF8556" s="679"/>
    </row>
    <row r="8557" spans="32:32" x14ac:dyDescent="0.2">
      <c r="AF8557" s="679"/>
    </row>
    <row r="8558" spans="32:32" x14ac:dyDescent="0.2">
      <c r="AF8558" s="679"/>
    </row>
    <row r="8559" spans="32:32" x14ac:dyDescent="0.2">
      <c r="AF8559" s="679"/>
    </row>
    <row r="8560" spans="32:32" x14ac:dyDescent="0.2">
      <c r="AF8560" s="679"/>
    </row>
    <row r="8561" spans="32:32" x14ac:dyDescent="0.2">
      <c r="AF8561" s="679"/>
    </row>
    <row r="8562" spans="32:32" x14ac:dyDescent="0.2">
      <c r="AF8562" s="679"/>
    </row>
    <row r="8563" spans="32:32" x14ac:dyDescent="0.2">
      <c r="AF8563" s="679"/>
    </row>
    <row r="8564" spans="32:32" x14ac:dyDescent="0.2">
      <c r="AF8564" s="679"/>
    </row>
    <row r="8565" spans="32:32" x14ac:dyDescent="0.2">
      <c r="AF8565" s="679"/>
    </row>
    <row r="8566" spans="32:32" x14ac:dyDescent="0.2">
      <c r="AF8566" s="679"/>
    </row>
    <row r="8567" spans="32:32" x14ac:dyDescent="0.2">
      <c r="AF8567" s="679"/>
    </row>
    <row r="8568" spans="32:32" x14ac:dyDescent="0.2">
      <c r="AF8568" s="679"/>
    </row>
    <row r="8569" spans="32:32" x14ac:dyDescent="0.2">
      <c r="AF8569" s="679"/>
    </row>
    <row r="8570" spans="32:32" x14ac:dyDescent="0.2">
      <c r="AF8570" s="679"/>
    </row>
    <row r="8571" spans="32:32" x14ac:dyDescent="0.2">
      <c r="AF8571" s="679"/>
    </row>
    <row r="8572" spans="32:32" x14ac:dyDescent="0.2">
      <c r="AF8572" s="679"/>
    </row>
    <row r="8573" spans="32:32" x14ac:dyDescent="0.2">
      <c r="AF8573" s="679"/>
    </row>
    <row r="8574" spans="32:32" x14ac:dyDescent="0.2">
      <c r="AF8574" s="679"/>
    </row>
    <row r="8575" spans="32:32" x14ac:dyDescent="0.2">
      <c r="AF8575" s="679"/>
    </row>
    <row r="8576" spans="32:32" x14ac:dyDescent="0.2">
      <c r="AF8576" s="679"/>
    </row>
    <row r="8577" spans="32:32" x14ac:dyDescent="0.2">
      <c r="AF8577" s="679"/>
    </row>
    <row r="8578" spans="32:32" x14ac:dyDescent="0.2">
      <c r="AF8578" s="679"/>
    </row>
    <row r="8579" spans="32:32" x14ac:dyDescent="0.2">
      <c r="AF8579" s="679"/>
    </row>
    <row r="8580" spans="32:32" x14ac:dyDescent="0.2">
      <c r="AF8580" s="679"/>
    </row>
    <row r="8581" spans="32:32" x14ac:dyDescent="0.2">
      <c r="AF8581" s="679"/>
    </row>
    <row r="8582" spans="32:32" x14ac:dyDescent="0.2">
      <c r="AF8582" s="679"/>
    </row>
    <row r="8583" spans="32:32" x14ac:dyDescent="0.2">
      <c r="AF8583" s="679"/>
    </row>
    <row r="8584" spans="32:32" x14ac:dyDescent="0.2">
      <c r="AF8584" s="679"/>
    </row>
    <row r="8585" spans="32:32" x14ac:dyDescent="0.2">
      <c r="AF8585" s="679"/>
    </row>
    <row r="8586" spans="32:32" x14ac:dyDescent="0.2">
      <c r="AF8586" s="679"/>
    </row>
    <row r="8587" spans="32:32" x14ac:dyDescent="0.2">
      <c r="AF8587" s="679"/>
    </row>
    <row r="8588" spans="32:32" x14ac:dyDescent="0.2">
      <c r="AF8588" s="679"/>
    </row>
    <row r="8589" spans="32:32" x14ac:dyDescent="0.2">
      <c r="AF8589" s="679"/>
    </row>
    <row r="8590" spans="32:32" x14ac:dyDescent="0.2">
      <c r="AF8590" s="679"/>
    </row>
    <row r="8591" spans="32:32" x14ac:dyDescent="0.2">
      <c r="AF8591" s="679"/>
    </row>
    <row r="8592" spans="32:32" x14ac:dyDescent="0.2">
      <c r="AF8592" s="679"/>
    </row>
    <row r="8593" spans="32:32" x14ac:dyDescent="0.2">
      <c r="AF8593" s="679"/>
    </row>
    <row r="8594" spans="32:32" x14ac:dyDescent="0.2">
      <c r="AF8594" s="679"/>
    </row>
    <row r="8595" spans="32:32" x14ac:dyDescent="0.2">
      <c r="AF8595" s="679"/>
    </row>
    <row r="8596" spans="32:32" x14ac:dyDescent="0.2">
      <c r="AF8596" s="679"/>
    </row>
    <row r="8597" spans="32:32" x14ac:dyDescent="0.2">
      <c r="AF8597" s="679"/>
    </row>
    <row r="8598" spans="32:32" x14ac:dyDescent="0.2">
      <c r="AF8598" s="679"/>
    </row>
    <row r="8599" spans="32:32" x14ac:dyDescent="0.2">
      <c r="AF8599" s="679"/>
    </row>
    <row r="8600" spans="32:32" x14ac:dyDescent="0.2">
      <c r="AF8600" s="679"/>
    </row>
    <row r="8601" spans="32:32" x14ac:dyDescent="0.2">
      <c r="AF8601" s="679"/>
    </row>
    <row r="8602" spans="32:32" x14ac:dyDescent="0.2">
      <c r="AF8602" s="679"/>
    </row>
    <row r="8603" spans="32:32" x14ac:dyDescent="0.2">
      <c r="AF8603" s="679"/>
    </row>
    <row r="8604" spans="32:32" x14ac:dyDescent="0.2">
      <c r="AF8604" s="679"/>
    </row>
    <row r="8605" spans="32:32" x14ac:dyDescent="0.2">
      <c r="AF8605" s="679"/>
    </row>
    <row r="8606" spans="32:32" x14ac:dyDescent="0.2">
      <c r="AF8606" s="679"/>
    </row>
    <row r="8607" spans="32:32" x14ac:dyDescent="0.2">
      <c r="AF8607" s="679"/>
    </row>
    <row r="8608" spans="32:32" x14ac:dyDescent="0.2">
      <c r="AF8608" s="679"/>
    </row>
    <row r="8609" spans="32:32" x14ac:dyDescent="0.2">
      <c r="AF8609" s="679"/>
    </row>
    <row r="8610" spans="32:32" x14ac:dyDescent="0.2">
      <c r="AF8610" s="679"/>
    </row>
    <row r="8611" spans="32:32" x14ac:dyDescent="0.2">
      <c r="AF8611" s="679"/>
    </row>
    <row r="8612" spans="32:32" x14ac:dyDescent="0.2">
      <c r="AF8612" s="679"/>
    </row>
    <row r="8613" spans="32:32" x14ac:dyDescent="0.2">
      <c r="AF8613" s="679"/>
    </row>
    <row r="8614" spans="32:32" x14ac:dyDescent="0.2">
      <c r="AF8614" s="679"/>
    </row>
    <row r="8615" spans="32:32" x14ac:dyDescent="0.2">
      <c r="AF8615" s="679"/>
    </row>
    <row r="8616" spans="32:32" x14ac:dyDescent="0.2">
      <c r="AF8616" s="679"/>
    </row>
    <row r="8617" spans="32:32" x14ac:dyDescent="0.2">
      <c r="AF8617" s="679"/>
    </row>
    <row r="8618" spans="32:32" x14ac:dyDescent="0.2">
      <c r="AF8618" s="679"/>
    </row>
    <row r="8619" spans="32:32" x14ac:dyDescent="0.2">
      <c r="AF8619" s="679"/>
    </row>
    <row r="8620" spans="32:32" x14ac:dyDescent="0.2">
      <c r="AF8620" s="679"/>
    </row>
    <row r="8621" spans="32:32" x14ac:dyDescent="0.2">
      <c r="AF8621" s="679"/>
    </row>
    <row r="8622" spans="32:32" x14ac:dyDescent="0.2">
      <c r="AF8622" s="679"/>
    </row>
    <row r="8623" spans="32:32" x14ac:dyDescent="0.2">
      <c r="AF8623" s="679"/>
    </row>
    <row r="8624" spans="32:32" x14ac:dyDescent="0.2">
      <c r="AF8624" s="679"/>
    </row>
    <row r="8625" spans="32:32" x14ac:dyDescent="0.2">
      <c r="AF8625" s="679"/>
    </row>
    <row r="8626" spans="32:32" x14ac:dyDescent="0.2">
      <c r="AF8626" s="679"/>
    </row>
    <row r="8627" spans="32:32" x14ac:dyDescent="0.2">
      <c r="AF8627" s="679"/>
    </row>
    <row r="8628" spans="32:32" x14ac:dyDescent="0.2">
      <c r="AF8628" s="679"/>
    </row>
    <row r="8629" spans="32:32" x14ac:dyDescent="0.2">
      <c r="AF8629" s="679"/>
    </row>
    <row r="8630" spans="32:32" x14ac:dyDescent="0.2">
      <c r="AF8630" s="679"/>
    </row>
    <row r="8631" spans="32:32" x14ac:dyDescent="0.2">
      <c r="AF8631" s="679"/>
    </row>
    <row r="8632" spans="32:32" x14ac:dyDescent="0.2">
      <c r="AF8632" s="679"/>
    </row>
    <row r="8633" spans="32:32" x14ac:dyDescent="0.2">
      <c r="AF8633" s="679"/>
    </row>
    <row r="8634" spans="32:32" x14ac:dyDescent="0.2">
      <c r="AF8634" s="679"/>
    </row>
    <row r="8635" spans="32:32" x14ac:dyDescent="0.2">
      <c r="AF8635" s="679"/>
    </row>
    <row r="8636" spans="32:32" x14ac:dyDescent="0.2">
      <c r="AF8636" s="679"/>
    </row>
    <row r="8637" spans="32:32" x14ac:dyDescent="0.2">
      <c r="AF8637" s="679"/>
    </row>
    <row r="8638" spans="32:32" x14ac:dyDescent="0.2">
      <c r="AF8638" s="679"/>
    </row>
    <row r="8639" spans="32:32" x14ac:dyDescent="0.2">
      <c r="AF8639" s="679"/>
    </row>
    <row r="8640" spans="32:32" x14ac:dyDescent="0.2">
      <c r="AF8640" s="679"/>
    </row>
    <row r="8641" spans="32:32" x14ac:dyDescent="0.2">
      <c r="AF8641" s="679"/>
    </row>
    <row r="8642" spans="32:32" x14ac:dyDescent="0.2">
      <c r="AF8642" s="679"/>
    </row>
    <row r="8643" spans="32:32" x14ac:dyDescent="0.2">
      <c r="AF8643" s="679"/>
    </row>
    <row r="8644" spans="32:32" x14ac:dyDescent="0.2">
      <c r="AF8644" s="679"/>
    </row>
    <row r="8645" spans="32:32" x14ac:dyDescent="0.2">
      <c r="AF8645" s="679"/>
    </row>
    <row r="8646" spans="32:32" x14ac:dyDescent="0.2">
      <c r="AF8646" s="679"/>
    </row>
    <row r="8647" spans="32:32" x14ac:dyDescent="0.2">
      <c r="AF8647" s="679"/>
    </row>
    <row r="8648" spans="32:32" x14ac:dyDescent="0.2">
      <c r="AF8648" s="679"/>
    </row>
    <row r="8649" spans="32:32" x14ac:dyDescent="0.2">
      <c r="AF8649" s="679"/>
    </row>
    <row r="8650" spans="32:32" x14ac:dyDescent="0.2">
      <c r="AF8650" s="679"/>
    </row>
    <row r="8651" spans="32:32" x14ac:dyDescent="0.2">
      <c r="AF8651" s="679"/>
    </row>
    <row r="8652" spans="32:32" x14ac:dyDescent="0.2">
      <c r="AF8652" s="679"/>
    </row>
    <row r="8653" spans="32:32" x14ac:dyDescent="0.2">
      <c r="AF8653" s="679"/>
    </row>
    <row r="8654" spans="32:32" x14ac:dyDescent="0.2">
      <c r="AF8654" s="679"/>
    </row>
    <row r="8655" spans="32:32" x14ac:dyDescent="0.2">
      <c r="AF8655" s="679"/>
    </row>
    <row r="8656" spans="32:32" x14ac:dyDescent="0.2">
      <c r="AF8656" s="679"/>
    </row>
    <row r="8657" spans="32:32" x14ac:dyDescent="0.2">
      <c r="AF8657" s="679"/>
    </row>
    <row r="8658" spans="32:32" x14ac:dyDescent="0.2">
      <c r="AF8658" s="679"/>
    </row>
    <row r="8659" spans="32:32" x14ac:dyDescent="0.2">
      <c r="AF8659" s="679"/>
    </row>
    <row r="8660" spans="32:32" x14ac:dyDescent="0.2">
      <c r="AF8660" s="679"/>
    </row>
    <row r="8661" spans="32:32" x14ac:dyDescent="0.2">
      <c r="AF8661" s="679"/>
    </row>
    <row r="8662" spans="32:32" x14ac:dyDescent="0.2">
      <c r="AF8662" s="679"/>
    </row>
    <row r="8663" spans="32:32" x14ac:dyDescent="0.2">
      <c r="AF8663" s="679"/>
    </row>
    <row r="8664" spans="32:32" x14ac:dyDescent="0.2">
      <c r="AF8664" s="679"/>
    </row>
    <row r="8665" spans="32:32" x14ac:dyDescent="0.2">
      <c r="AF8665" s="679"/>
    </row>
    <row r="8666" spans="32:32" x14ac:dyDescent="0.2">
      <c r="AF8666" s="679"/>
    </row>
    <row r="8667" spans="32:32" x14ac:dyDescent="0.2">
      <c r="AF8667" s="679"/>
    </row>
    <row r="8668" spans="32:32" x14ac:dyDescent="0.2">
      <c r="AF8668" s="679"/>
    </row>
    <row r="8669" spans="32:32" x14ac:dyDescent="0.2">
      <c r="AF8669" s="679"/>
    </row>
    <row r="8670" spans="32:32" x14ac:dyDescent="0.2">
      <c r="AF8670" s="679"/>
    </row>
    <row r="8671" spans="32:32" x14ac:dyDescent="0.2">
      <c r="AF8671" s="679"/>
    </row>
    <row r="8672" spans="32:32" x14ac:dyDescent="0.2">
      <c r="AF8672" s="679"/>
    </row>
    <row r="8673" spans="32:32" x14ac:dyDescent="0.2">
      <c r="AF8673" s="679"/>
    </row>
    <row r="8674" spans="32:32" x14ac:dyDescent="0.2">
      <c r="AF8674" s="679"/>
    </row>
    <row r="8675" spans="32:32" x14ac:dyDescent="0.2">
      <c r="AF8675" s="679"/>
    </row>
    <row r="8676" spans="32:32" x14ac:dyDescent="0.2">
      <c r="AF8676" s="679"/>
    </row>
    <row r="8677" spans="32:32" x14ac:dyDescent="0.2">
      <c r="AF8677" s="679"/>
    </row>
    <row r="8678" spans="32:32" x14ac:dyDescent="0.2">
      <c r="AF8678" s="679"/>
    </row>
    <row r="8679" spans="32:32" x14ac:dyDescent="0.2">
      <c r="AF8679" s="679"/>
    </row>
    <row r="8680" spans="32:32" x14ac:dyDescent="0.2">
      <c r="AF8680" s="679"/>
    </row>
    <row r="8681" spans="32:32" x14ac:dyDescent="0.2">
      <c r="AF8681" s="679"/>
    </row>
    <row r="8682" spans="32:32" x14ac:dyDescent="0.2">
      <c r="AF8682" s="679"/>
    </row>
    <row r="8683" spans="32:32" x14ac:dyDescent="0.2">
      <c r="AF8683" s="679"/>
    </row>
    <row r="8684" spans="32:32" x14ac:dyDescent="0.2">
      <c r="AF8684" s="679"/>
    </row>
    <row r="8685" spans="32:32" x14ac:dyDescent="0.2">
      <c r="AF8685" s="679"/>
    </row>
    <row r="8686" spans="32:32" x14ac:dyDescent="0.2">
      <c r="AF8686" s="679"/>
    </row>
    <row r="8687" spans="32:32" x14ac:dyDescent="0.2">
      <c r="AF8687" s="679"/>
    </row>
    <row r="8688" spans="32:32" x14ac:dyDescent="0.2">
      <c r="AF8688" s="679"/>
    </row>
    <row r="8689" spans="32:32" x14ac:dyDescent="0.2">
      <c r="AF8689" s="679"/>
    </row>
    <row r="8690" spans="32:32" x14ac:dyDescent="0.2">
      <c r="AF8690" s="679"/>
    </row>
    <row r="8691" spans="32:32" x14ac:dyDescent="0.2">
      <c r="AF8691" s="679"/>
    </row>
    <row r="8692" spans="32:32" x14ac:dyDescent="0.2">
      <c r="AF8692" s="679"/>
    </row>
    <row r="8693" spans="32:32" x14ac:dyDescent="0.2">
      <c r="AF8693" s="679"/>
    </row>
    <row r="8694" spans="32:32" x14ac:dyDescent="0.2">
      <c r="AF8694" s="679"/>
    </row>
    <row r="8695" spans="32:32" x14ac:dyDescent="0.2">
      <c r="AF8695" s="679"/>
    </row>
    <row r="8696" spans="32:32" x14ac:dyDescent="0.2">
      <c r="AF8696" s="679"/>
    </row>
    <row r="8697" spans="32:32" x14ac:dyDescent="0.2">
      <c r="AF8697" s="679"/>
    </row>
    <row r="8698" spans="32:32" x14ac:dyDescent="0.2">
      <c r="AF8698" s="679"/>
    </row>
    <row r="8699" spans="32:32" x14ac:dyDescent="0.2">
      <c r="AF8699" s="679"/>
    </row>
    <row r="8700" spans="32:32" x14ac:dyDescent="0.2">
      <c r="AF8700" s="679"/>
    </row>
    <row r="8701" spans="32:32" x14ac:dyDescent="0.2">
      <c r="AF8701" s="679"/>
    </row>
    <row r="8702" spans="32:32" x14ac:dyDescent="0.2">
      <c r="AF8702" s="679"/>
    </row>
    <row r="8703" spans="32:32" x14ac:dyDescent="0.2">
      <c r="AF8703" s="679"/>
    </row>
    <row r="8704" spans="32:32" x14ac:dyDescent="0.2">
      <c r="AF8704" s="679"/>
    </row>
    <row r="8705" spans="32:32" x14ac:dyDescent="0.2">
      <c r="AF8705" s="679"/>
    </row>
    <row r="8706" spans="32:32" x14ac:dyDescent="0.2">
      <c r="AF8706" s="679"/>
    </row>
    <row r="8707" spans="32:32" x14ac:dyDescent="0.2">
      <c r="AF8707" s="679"/>
    </row>
    <row r="8708" spans="32:32" x14ac:dyDescent="0.2">
      <c r="AF8708" s="679"/>
    </row>
    <row r="8709" spans="32:32" x14ac:dyDescent="0.2">
      <c r="AF8709" s="679"/>
    </row>
    <row r="8710" spans="32:32" x14ac:dyDescent="0.2">
      <c r="AF8710" s="679"/>
    </row>
    <row r="8711" spans="32:32" x14ac:dyDescent="0.2">
      <c r="AF8711" s="679"/>
    </row>
    <row r="8712" spans="32:32" x14ac:dyDescent="0.2">
      <c r="AF8712" s="679"/>
    </row>
    <row r="8713" spans="32:32" x14ac:dyDescent="0.2">
      <c r="AF8713" s="679"/>
    </row>
    <row r="8714" spans="32:32" x14ac:dyDescent="0.2">
      <c r="AF8714" s="679"/>
    </row>
    <row r="8715" spans="32:32" x14ac:dyDescent="0.2">
      <c r="AF8715" s="679"/>
    </row>
    <row r="8716" spans="32:32" x14ac:dyDescent="0.2">
      <c r="AF8716" s="679"/>
    </row>
    <row r="8717" spans="32:32" x14ac:dyDescent="0.2">
      <c r="AF8717" s="679"/>
    </row>
    <row r="8718" spans="32:32" x14ac:dyDescent="0.2">
      <c r="AF8718" s="679"/>
    </row>
    <row r="8719" spans="32:32" x14ac:dyDescent="0.2">
      <c r="AF8719" s="679"/>
    </row>
    <row r="8720" spans="32:32" x14ac:dyDescent="0.2">
      <c r="AF8720" s="679"/>
    </row>
    <row r="8721" spans="32:32" x14ac:dyDescent="0.2">
      <c r="AF8721" s="679"/>
    </row>
    <row r="8722" spans="32:32" x14ac:dyDescent="0.2">
      <c r="AF8722" s="679"/>
    </row>
    <row r="8723" spans="32:32" x14ac:dyDescent="0.2">
      <c r="AF8723" s="679"/>
    </row>
    <row r="8724" spans="32:32" x14ac:dyDescent="0.2">
      <c r="AF8724" s="679"/>
    </row>
    <row r="8725" spans="32:32" x14ac:dyDescent="0.2">
      <c r="AF8725" s="679"/>
    </row>
    <row r="8726" spans="32:32" x14ac:dyDescent="0.2">
      <c r="AF8726" s="679"/>
    </row>
    <row r="8727" spans="32:32" x14ac:dyDescent="0.2">
      <c r="AF8727" s="679"/>
    </row>
    <row r="8728" spans="32:32" x14ac:dyDescent="0.2">
      <c r="AF8728" s="679"/>
    </row>
    <row r="8729" spans="32:32" x14ac:dyDescent="0.2">
      <c r="AF8729" s="679"/>
    </row>
    <row r="8730" spans="32:32" x14ac:dyDescent="0.2">
      <c r="AF8730" s="679"/>
    </row>
    <row r="8731" spans="32:32" x14ac:dyDescent="0.2">
      <c r="AF8731" s="679"/>
    </row>
    <row r="8732" spans="32:32" x14ac:dyDescent="0.2">
      <c r="AF8732" s="679"/>
    </row>
    <row r="8733" spans="32:32" x14ac:dyDescent="0.2">
      <c r="AF8733" s="679"/>
    </row>
    <row r="8734" spans="32:32" x14ac:dyDescent="0.2">
      <c r="AF8734" s="679"/>
    </row>
    <row r="8735" spans="32:32" x14ac:dyDescent="0.2">
      <c r="AF8735" s="679"/>
    </row>
    <row r="8736" spans="32:32" x14ac:dyDescent="0.2">
      <c r="AF8736" s="679"/>
    </row>
    <row r="8737" spans="32:32" x14ac:dyDescent="0.2">
      <c r="AF8737" s="679"/>
    </row>
    <row r="8738" spans="32:32" x14ac:dyDescent="0.2">
      <c r="AF8738" s="679"/>
    </row>
    <row r="8739" spans="32:32" x14ac:dyDescent="0.2">
      <c r="AF8739" s="679"/>
    </row>
    <row r="8740" spans="32:32" x14ac:dyDescent="0.2">
      <c r="AF8740" s="679"/>
    </row>
    <row r="8741" spans="32:32" x14ac:dyDescent="0.2">
      <c r="AF8741" s="679"/>
    </row>
    <row r="8742" spans="32:32" x14ac:dyDescent="0.2">
      <c r="AF8742" s="679"/>
    </row>
    <row r="8743" spans="32:32" x14ac:dyDescent="0.2">
      <c r="AF8743" s="679"/>
    </row>
    <row r="8744" spans="32:32" x14ac:dyDescent="0.2">
      <c r="AF8744" s="679"/>
    </row>
    <row r="8745" spans="32:32" x14ac:dyDescent="0.2">
      <c r="AF8745" s="679"/>
    </row>
    <row r="8746" spans="32:32" x14ac:dyDescent="0.2">
      <c r="AF8746" s="679"/>
    </row>
    <row r="8747" spans="32:32" x14ac:dyDescent="0.2">
      <c r="AF8747" s="679"/>
    </row>
    <row r="8748" spans="32:32" x14ac:dyDescent="0.2">
      <c r="AF8748" s="679"/>
    </row>
    <row r="8749" spans="32:32" x14ac:dyDescent="0.2">
      <c r="AF8749" s="679"/>
    </row>
    <row r="8750" spans="32:32" x14ac:dyDescent="0.2">
      <c r="AF8750" s="679"/>
    </row>
    <row r="8751" spans="32:32" x14ac:dyDescent="0.2">
      <c r="AF8751" s="679"/>
    </row>
    <row r="8752" spans="32:32" x14ac:dyDescent="0.2">
      <c r="AF8752" s="679"/>
    </row>
    <row r="8753" spans="32:32" x14ac:dyDescent="0.2">
      <c r="AF8753" s="679"/>
    </row>
    <row r="8754" spans="32:32" x14ac:dyDescent="0.2">
      <c r="AF8754" s="679"/>
    </row>
    <row r="8755" spans="32:32" x14ac:dyDescent="0.2">
      <c r="AF8755" s="679"/>
    </row>
    <row r="8756" spans="32:32" x14ac:dyDescent="0.2">
      <c r="AF8756" s="679"/>
    </row>
    <row r="8757" spans="32:32" x14ac:dyDescent="0.2">
      <c r="AF8757" s="679"/>
    </row>
    <row r="8758" spans="32:32" x14ac:dyDescent="0.2">
      <c r="AF8758" s="679"/>
    </row>
    <row r="8759" spans="32:32" x14ac:dyDescent="0.2">
      <c r="AF8759" s="679"/>
    </row>
    <row r="8760" spans="32:32" x14ac:dyDescent="0.2">
      <c r="AF8760" s="679"/>
    </row>
    <row r="8761" spans="32:32" x14ac:dyDescent="0.2">
      <c r="AF8761" s="679"/>
    </row>
    <row r="8762" spans="32:32" x14ac:dyDescent="0.2">
      <c r="AF8762" s="679"/>
    </row>
    <row r="8763" spans="32:32" x14ac:dyDescent="0.2">
      <c r="AF8763" s="679"/>
    </row>
    <row r="8764" spans="32:32" x14ac:dyDescent="0.2">
      <c r="AF8764" s="679"/>
    </row>
    <row r="8765" spans="32:32" x14ac:dyDescent="0.2">
      <c r="AF8765" s="679"/>
    </row>
    <row r="8766" spans="32:32" x14ac:dyDescent="0.2">
      <c r="AF8766" s="679"/>
    </row>
    <row r="8767" spans="32:32" x14ac:dyDescent="0.2">
      <c r="AF8767" s="679"/>
    </row>
    <row r="8768" spans="32:32" x14ac:dyDescent="0.2">
      <c r="AF8768" s="679"/>
    </row>
    <row r="8769" spans="32:32" x14ac:dyDescent="0.2">
      <c r="AF8769" s="679"/>
    </row>
    <row r="8770" spans="32:32" x14ac:dyDescent="0.2">
      <c r="AF8770" s="679"/>
    </row>
    <row r="8771" spans="32:32" x14ac:dyDescent="0.2">
      <c r="AF8771" s="679"/>
    </row>
    <row r="8772" spans="32:32" x14ac:dyDescent="0.2">
      <c r="AF8772" s="679"/>
    </row>
    <row r="8773" spans="32:32" x14ac:dyDescent="0.2">
      <c r="AF8773" s="679"/>
    </row>
    <row r="8774" spans="32:32" x14ac:dyDescent="0.2">
      <c r="AF8774" s="679"/>
    </row>
    <row r="8775" spans="32:32" x14ac:dyDescent="0.2">
      <c r="AF8775" s="679"/>
    </row>
    <row r="8776" spans="32:32" x14ac:dyDescent="0.2">
      <c r="AF8776" s="679"/>
    </row>
    <row r="8777" spans="32:32" x14ac:dyDescent="0.2">
      <c r="AF8777" s="679"/>
    </row>
    <row r="8778" spans="32:32" x14ac:dyDescent="0.2">
      <c r="AF8778" s="679"/>
    </row>
    <row r="8779" spans="32:32" x14ac:dyDescent="0.2">
      <c r="AF8779" s="679"/>
    </row>
    <row r="8780" spans="32:32" x14ac:dyDescent="0.2">
      <c r="AF8780" s="679"/>
    </row>
    <row r="8781" spans="32:32" x14ac:dyDescent="0.2">
      <c r="AF8781" s="679"/>
    </row>
    <row r="8782" spans="32:32" x14ac:dyDescent="0.2">
      <c r="AF8782" s="679"/>
    </row>
    <row r="8783" spans="32:32" x14ac:dyDescent="0.2">
      <c r="AF8783" s="679"/>
    </row>
    <row r="8784" spans="32:32" x14ac:dyDescent="0.2">
      <c r="AF8784" s="679"/>
    </row>
    <row r="8785" spans="32:32" x14ac:dyDescent="0.2">
      <c r="AF8785" s="679"/>
    </row>
    <row r="8786" spans="32:32" x14ac:dyDescent="0.2">
      <c r="AF8786" s="679"/>
    </row>
    <row r="8787" spans="32:32" x14ac:dyDescent="0.2">
      <c r="AF8787" s="679"/>
    </row>
    <row r="8788" spans="32:32" x14ac:dyDescent="0.2">
      <c r="AF8788" s="679"/>
    </row>
    <row r="8789" spans="32:32" x14ac:dyDescent="0.2">
      <c r="AF8789" s="679"/>
    </row>
    <row r="8790" spans="32:32" x14ac:dyDescent="0.2">
      <c r="AF8790" s="679"/>
    </row>
    <row r="8791" spans="32:32" x14ac:dyDescent="0.2">
      <c r="AF8791" s="679"/>
    </row>
    <row r="8792" spans="32:32" x14ac:dyDescent="0.2">
      <c r="AF8792" s="679"/>
    </row>
    <row r="8793" spans="32:32" x14ac:dyDescent="0.2">
      <c r="AF8793" s="679"/>
    </row>
    <row r="8794" spans="32:32" x14ac:dyDescent="0.2">
      <c r="AF8794" s="679"/>
    </row>
    <row r="8795" spans="32:32" x14ac:dyDescent="0.2">
      <c r="AF8795" s="679"/>
    </row>
    <row r="8796" spans="32:32" x14ac:dyDescent="0.2">
      <c r="AF8796" s="679"/>
    </row>
    <row r="8797" spans="32:32" x14ac:dyDescent="0.2">
      <c r="AF8797" s="679"/>
    </row>
    <row r="8798" spans="32:32" x14ac:dyDescent="0.2">
      <c r="AF8798" s="679"/>
    </row>
    <row r="8799" spans="32:32" x14ac:dyDescent="0.2">
      <c r="AF8799" s="679"/>
    </row>
    <row r="8800" spans="32:32" x14ac:dyDescent="0.2">
      <c r="AF8800" s="679"/>
    </row>
    <row r="8801" spans="32:32" x14ac:dyDescent="0.2">
      <c r="AF8801" s="679"/>
    </row>
    <row r="8802" spans="32:32" x14ac:dyDescent="0.2">
      <c r="AF8802" s="679"/>
    </row>
    <row r="8803" spans="32:32" x14ac:dyDescent="0.2">
      <c r="AF8803" s="679"/>
    </row>
    <row r="8804" spans="32:32" x14ac:dyDescent="0.2">
      <c r="AF8804" s="679"/>
    </row>
    <row r="8805" spans="32:32" x14ac:dyDescent="0.2">
      <c r="AF8805" s="679"/>
    </row>
    <row r="8806" spans="32:32" x14ac:dyDescent="0.2">
      <c r="AF8806" s="679"/>
    </row>
    <row r="8807" spans="32:32" x14ac:dyDescent="0.2">
      <c r="AF8807" s="679"/>
    </row>
    <row r="8808" spans="32:32" x14ac:dyDescent="0.2">
      <c r="AF8808" s="679"/>
    </row>
    <row r="8809" spans="32:32" x14ac:dyDescent="0.2">
      <c r="AF8809" s="679"/>
    </row>
    <row r="8810" spans="32:32" x14ac:dyDescent="0.2">
      <c r="AF8810" s="679"/>
    </row>
    <row r="8811" spans="32:32" x14ac:dyDescent="0.2">
      <c r="AF8811" s="679"/>
    </row>
    <row r="8812" spans="32:32" x14ac:dyDescent="0.2">
      <c r="AF8812" s="679"/>
    </row>
    <row r="8813" spans="32:32" x14ac:dyDescent="0.2">
      <c r="AF8813" s="679"/>
    </row>
    <row r="8814" spans="32:32" x14ac:dyDescent="0.2">
      <c r="AF8814" s="679"/>
    </row>
    <row r="8815" spans="32:32" x14ac:dyDescent="0.2">
      <c r="AF8815" s="679"/>
    </row>
    <row r="8816" spans="32:32" x14ac:dyDescent="0.2">
      <c r="AF8816" s="679"/>
    </row>
    <row r="8817" spans="32:32" x14ac:dyDescent="0.2">
      <c r="AF8817" s="679"/>
    </row>
    <row r="8818" spans="32:32" x14ac:dyDescent="0.2">
      <c r="AF8818" s="679"/>
    </row>
    <row r="8819" spans="32:32" x14ac:dyDescent="0.2">
      <c r="AF8819" s="679"/>
    </row>
    <row r="8820" spans="32:32" x14ac:dyDescent="0.2">
      <c r="AF8820" s="679"/>
    </row>
    <row r="8821" spans="32:32" x14ac:dyDescent="0.2">
      <c r="AF8821" s="679"/>
    </row>
    <row r="8822" spans="32:32" x14ac:dyDescent="0.2">
      <c r="AF8822" s="679"/>
    </row>
    <row r="8823" spans="32:32" x14ac:dyDescent="0.2">
      <c r="AF8823" s="679"/>
    </row>
    <row r="8824" spans="32:32" x14ac:dyDescent="0.2">
      <c r="AF8824" s="679"/>
    </row>
    <row r="8825" spans="32:32" x14ac:dyDescent="0.2">
      <c r="AF8825" s="679"/>
    </row>
    <row r="8826" spans="32:32" x14ac:dyDescent="0.2">
      <c r="AF8826" s="679"/>
    </row>
    <row r="8827" spans="32:32" x14ac:dyDescent="0.2">
      <c r="AF8827" s="679"/>
    </row>
    <row r="8828" spans="32:32" x14ac:dyDescent="0.2">
      <c r="AF8828" s="679"/>
    </row>
    <row r="8829" spans="32:32" x14ac:dyDescent="0.2">
      <c r="AF8829" s="679"/>
    </row>
    <row r="8830" spans="32:32" x14ac:dyDescent="0.2">
      <c r="AF8830" s="679"/>
    </row>
    <row r="8831" spans="32:32" x14ac:dyDescent="0.2">
      <c r="AF8831" s="679"/>
    </row>
    <row r="8832" spans="32:32" x14ac:dyDescent="0.2">
      <c r="AF8832" s="679"/>
    </row>
    <row r="8833" spans="32:32" x14ac:dyDescent="0.2">
      <c r="AF8833" s="679"/>
    </row>
    <row r="8834" spans="32:32" x14ac:dyDescent="0.2">
      <c r="AF8834" s="679"/>
    </row>
    <row r="8835" spans="32:32" x14ac:dyDescent="0.2">
      <c r="AF8835" s="679"/>
    </row>
    <row r="8836" spans="32:32" x14ac:dyDescent="0.2">
      <c r="AF8836" s="679"/>
    </row>
    <row r="8837" spans="32:32" x14ac:dyDescent="0.2">
      <c r="AF8837" s="679"/>
    </row>
    <row r="8838" spans="32:32" x14ac:dyDescent="0.2">
      <c r="AF8838" s="679"/>
    </row>
    <row r="8839" spans="32:32" x14ac:dyDescent="0.2">
      <c r="AF8839" s="679"/>
    </row>
    <row r="8840" spans="32:32" x14ac:dyDescent="0.2">
      <c r="AF8840" s="679"/>
    </row>
    <row r="8841" spans="32:32" x14ac:dyDescent="0.2">
      <c r="AF8841" s="679"/>
    </row>
    <row r="8842" spans="32:32" x14ac:dyDescent="0.2">
      <c r="AF8842" s="679"/>
    </row>
    <row r="8843" spans="32:32" x14ac:dyDescent="0.2">
      <c r="AF8843" s="679"/>
    </row>
    <row r="8844" spans="32:32" x14ac:dyDescent="0.2">
      <c r="AF8844" s="679"/>
    </row>
    <row r="8845" spans="32:32" x14ac:dyDescent="0.2">
      <c r="AF8845" s="679"/>
    </row>
    <row r="8846" spans="32:32" x14ac:dyDescent="0.2">
      <c r="AF8846" s="679"/>
    </row>
    <row r="8847" spans="32:32" x14ac:dyDescent="0.2">
      <c r="AF8847" s="679"/>
    </row>
    <row r="8848" spans="32:32" x14ac:dyDescent="0.2">
      <c r="AF8848" s="679"/>
    </row>
    <row r="8849" spans="32:32" x14ac:dyDescent="0.2">
      <c r="AF8849" s="679"/>
    </row>
    <row r="8850" spans="32:32" x14ac:dyDescent="0.2">
      <c r="AF8850" s="679"/>
    </row>
    <row r="8851" spans="32:32" x14ac:dyDescent="0.2">
      <c r="AF8851" s="679"/>
    </row>
    <row r="8852" spans="32:32" x14ac:dyDescent="0.2">
      <c r="AF8852" s="679"/>
    </row>
    <row r="8853" spans="32:32" x14ac:dyDescent="0.2">
      <c r="AF8853" s="679"/>
    </row>
    <row r="8854" spans="32:32" x14ac:dyDescent="0.2">
      <c r="AF8854" s="679"/>
    </row>
    <row r="8855" spans="32:32" x14ac:dyDescent="0.2">
      <c r="AF8855" s="679"/>
    </row>
    <row r="8856" spans="32:32" x14ac:dyDescent="0.2">
      <c r="AF8856" s="679"/>
    </row>
    <row r="8857" spans="32:32" x14ac:dyDescent="0.2">
      <c r="AF8857" s="679"/>
    </row>
    <row r="8858" spans="32:32" x14ac:dyDescent="0.2">
      <c r="AF8858" s="679"/>
    </row>
    <row r="8859" spans="32:32" x14ac:dyDescent="0.2">
      <c r="AF8859" s="679"/>
    </row>
    <row r="8860" spans="32:32" x14ac:dyDescent="0.2">
      <c r="AF8860" s="679"/>
    </row>
    <row r="8861" spans="32:32" x14ac:dyDescent="0.2">
      <c r="AF8861" s="679"/>
    </row>
    <row r="8862" spans="32:32" x14ac:dyDescent="0.2">
      <c r="AF8862" s="679"/>
    </row>
    <row r="8863" spans="32:32" x14ac:dyDescent="0.2">
      <c r="AF8863" s="679"/>
    </row>
    <row r="8864" spans="32:32" x14ac:dyDescent="0.2">
      <c r="AF8864" s="679"/>
    </row>
    <row r="8865" spans="32:32" x14ac:dyDescent="0.2">
      <c r="AF8865" s="679"/>
    </row>
    <row r="8866" spans="32:32" x14ac:dyDescent="0.2">
      <c r="AF8866" s="679"/>
    </row>
    <row r="8867" spans="32:32" x14ac:dyDescent="0.2">
      <c r="AF8867" s="679"/>
    </row>
    <row r="8868" spans="32:32" x14ac:dyDescent="0.2">
      <c r="AF8868" s="679"/>
    </row>
    <row r="8869" spans="32:32" x14ac:dyDescent="0.2">
      <c r="AF8869" s="679"/>
    </row>
    <row r="8870" spans="32:32" x14ac:dyDescent="0.2">
      <c r="AF8870" s="679"/>
    </row>
    <row r="8871" spans="32:32" x14ac:dyDescent="0.2">
      <c r="AF8871" s="679"/>
    </row>
    <row r="8872" spans="32:32" x14ac:dyDescent="0.2">
      <c r="AF8872" s="679"/>
    </row>
    <row r="8873" spans="32:32" x14ac:dyDescent="0.2">
      <c r="AF8873" s="679"/>
    </row>
    <row r="8874" spans="32:32" x14ac:dyDescent="0.2">
      <c r="AF8874" s="679"/>
    </row>
    <row r="8875" spans="32:32" x14ac:dyDescent="0.2">
      <c r="AF8875" s="679"/>
    </row>
    <row r="8876" spans="32:32" x14ac:dyDescent="0.2">
      <c r="AF8876" s="679"/>
    </row>
    <row r="8877" spans="32:32" x14ac:dyDescent="0.2">
      <c r="AF8877" s="679"/>
    </row>
    <row r="8878" spans="32:32" x14ac:dyDescent="0.2">
      <c r="AF8878" s="679"/>
    </row>
    <row r="8879" spans="32:32" x14ac:dyDescent="0.2">
      <c r="AF8879" s="679"/>
    </row>
    <row r="8880" spans="32:32" x14ac:dyDescent="0.2">
      <c r="AF8880" s="679"/>
    </row>
    <row r="8881" spans="32:32" x14ac:dyDescent="0.2">
      <c r="AF8881" s="679"/>
    </row>
    <row r="8882" spans="32:32" x14ac:dyDescent="0.2">
      <c r="AF8882" s="679"/>
    </row>
    <row r="8883" spans="32:32" x14ac:dyDescent="0.2">
      <c r="AF8883" s="679"/>
    </row>
    <row r="8884" spans="32:32" x14ac:dyDescent="0.2">
      <c r="AF8884" s="679"/>
    </row>
    <row r="8885" spans="32:32" x14ac:dyDescent="0.2">
      <c r="AF8885" s="679"/>
    </row>
    <row r="8886" spans="32:32" x14ac:dyDescent="0.2">
      <c r="AF8886" s="679"/>
    </row>
    <row r="8887" spans="32:32" x14ac:dyDescent="0.2">
      <c r="AF8887" s="679"/>
    </row>
    <row r="8888" spans="32:32" x14ac:dyDescent="0.2">
      <c r="AF8888" s="679"/>
    </row>
    <row r="8889" spans="32:32" x14ac:dyDescent="0.2">
      <c r="AF8889" s="679"/>
    </row>
    <row r="8890" spans="32:32" x14ac:dyDescent="0.2">
      <c r="AF8890" s="679"/>
    </row>
    <row r="8891" spans="32:32" x14ac:dyDescent="0.2">
      <c r="AF8891" s="679"/>
    </row>
    <row r="8892" spans="32:32" x14ac:dyDescent="0.2">
      <c r="AF8892" s="679"/>
    </row>
    <row r="8893" spans="32:32" x14ac:dyDescent="0.2">
      <c r="AF8893" s="679"/>
    </row>
    <row r="8894" spans="32:32" x14ac:dyDescent="0.2">
      <c r="AF8894" s="679"/>
    </row>
    <row r="8895" spans="32:32" x14ac:dyDescent="0.2">
      <c r="AF8895" s="679"/>
    </row>
    <row r="8896" spans="32:32" x14ac:dyDescent="0.2">
      <c r="AF8896" s="679"/>
    </row>
    <row r="8897" spans="32:32" x14ac:dyDescent="0.2">
      <c r="AF8897" s="679"/>
    </row>
    <row r="8898" spans="32:32" x14ac:dyDescent="0.2">
      <c r="AF8898" s="679"/>
    </row>
    <row r="8899" spans="32:32" x14ac:dyDescent="0.2">
      <c r="AF8899" s="679"/>
    </row>
    <row r="8900" spans="32:32" x14ac:dyDescent="0.2">
      <c r="AF8900" s="679"/>
    </row>
    <row r="8901" spans="32:32" x14ac:dyDescent="0.2">
      <c r="AF8901" s="679"/>
    </row>
    <row r="8902" spans="32:32" x14ac:dyDescent="0.2">
      <c r="AF8902" s="679"/>
    </row>
    <row r="8903" spans="32:32" x14ac:dyDescent="0.2">
      <c r="AF8903" s="679"/>
    </row>
    <row r="8904" spans="32:32" x14ac:dyDescent="0.2">
      <c r="AF8904" s="679"/>
    </row>
    <row r="8905" spans="32:32" x14ac:dyDescent="0.2">
      <c r="AF8905" s="679"/>
    </row>
    <row r="8906" spans="32:32" x14ac:dyDescent="0.2">
      <c r="AF8906" s="679"/>
    </row>
    <row r="8907" spans="32:32" x14ac:dyDescent="0.2">
      <c r="AF8907" s="679"/>
    </row>
    <row r="8908" spans="32:32" x14ac:dyDescent="0.2">
      <c r="AF8908" s="679"/>
    </row>
    <row r="8909" spans="32:32" x14ac:dyDescent="0.2">
      <c r="AF8909" s="679"/>
    </row>
    <row r="8910" spans="32:32" x14ac:dyDescent="0.2">
      <c r="AF8910" s="679"/>
    </row>
    <row r="8911" spans="32:32" x14ac:dyDescent="0.2">
      <c r="AF8911" s="679"/>
    </row>
    <row r="8912" spans="32:32" x14ac:dyDescent="0.2">
      <c r="AF8912" s="679"/>
    </row>
    <row r="8913" spans="32:32" x14ac:dyDescent="0.2">
      <c r="AF8913" s="679"/>
    </row>
    <row r="8914" spans="32:32" x14ac:dyDescent="0.2">
      <c r="AF8914" s="679"/>
    </row>
    <row r="8915" spans="32:32" x14ac:dyDescent="0.2">
      <c r="AF8915" s="679"/>
    </row>
    <row r="8916" spans="32:32" x14ac:dyDescent="0.2">
      <c r="AF8916" s="679"/>
    </row>
    <row r="8917" spans="32:32" x14ac:dyDescent="0.2">
      <c r="AF8917" s="679"/>
    </row>
    <row r="8918" spans="32:32" x14ac:dyDescent="0.2">
      <c r="AF8918" s="679"/>
    </row>
    <row r="8919" spans="32:32" x14ac:dyDescent="0.2">
      <c r="AF8919" s="679"/>
    </row>
    <row r="8920" spans="32:32" x14ac:dyDescent="0.2">
      <c r="AF8920" s="679"/>
    </row>
    <row r="8921" spans="32:32" x14ac:dyDescent="0.2">
      <c r="AF8921" s="679"/>
    </row>
    <row r="8922" spans="32:32" x14ac:dyDescent="0.2">
      <c r="AF8922" s="679"/>
    </row>
    <row r="8923" spans="32:32" x14ac:dyDescent="0.2">
      <c r="AF8923" s="679"/>
    </row>
    <row r="8924" spans="32:32" x14ac:dyDescent="0.2">
      <c r="AF8924" s="679"/>
    </row>
    <row r="8925" spans="32:32" x14ac:dyDescent="0.2">
      <c r="AF8925" s="679"/>
    </row>
    <row r="8926" spans="32:32" x14ac:dyDescent="0.2">
      <c r="AF8926" s="679"/>
    </row>
    <row r="8927" spans="32:32" x14ac:dyDescent="0.2">
      <c r="AF8927" s="679"/>
    </row>
    <row r="8928" spans="32:32" x14ac:dyDescent="0.2">
      <c r="AF8928" s="679"/>
    </row>
    <row r="8929" spans="32:32" x14ac:dyDescent="0.2">
      <c r="AF8929" s="679"/>
    </row>
    <row r="8930" spans="32:32" x14ac:dyDescent="0.2">
      <c r="AF8930" s="679"/>
    </row>
    <row r="8931" spans="32:32" x14ac:dyDescent="0.2">
      <c r="AF8931" s="679"/>
    </row>
    <row r="8932" spans="32:32" x14ac:dyDescent="0.2">
      <c r="AF8932" s="679"/>
    </row>
    <row r="8933" spans="32:32" x14ac:dyDescent="0.2">
      <c r="AF8933" s="679"/>
    </row>
    <row r="8934" spans="32:32" x14ac:dyDescent="0.2">
      <c r="AF8934" s="679"/>
    </row>
    <row r="8935" spans="32:32" x14ac:dyDescent="0.2">
      <c r="AF8935" s="679"/>
    </row>
    <row r="8936" spans="32:32" x14ac:dyDescent="0.2">
      <c r="AF8936" s="679"/>
    </row>
    <row r="8937" spans="32:32" x14ac:dyDescent="0.2">
      <c r="AF8937" s="679"/>
    </row>
    <row r="8938" spans="32:32" x14ac:dyDescent="0.2">
      <c r="AF8938" s="679"/>
    </row>
    <row r="8939" spans="32:32" x14ac:dyDescent="0.2">
      <c r="AF8939" s="679"/>
    </row>
    <row r="8940" spans="32:32" x14ac:dyDescent="0.2">
      <c r="AF8940" s="679"/>
    </row>
    <row r="8941" spans="32:32" x14ac:dyDescent="0.2">
      <c r="AF8941" s="679"/>
    </row>
    <row r="8942" spans="32:32" x14ac:dyDescent="0.2">
      <c r="AF8942" s="679"/>
    </row>
    <row r="8943" spans="32:32" x14ac:dyDescent="0.2">
      <c r="AF8943" s="679"/>
    </row>
    <row r="8944" spans="32:32" x14ac:dyDescent="0.2">
      <c r="AF8944" s="679"/>
    </row>
    <row r="8945" spans="32:32" x14ac:dyDescent="0.2">
      <c r="AF8945" s="679"/>
    </row>
    <row r="8946" spans="32:32" x14ac:dyDescent="0.2">
      <c r="AF8946" s="679"/>
    </row>
    <row r="8947" spans="32:32" x14ac:dyDescent="0.2">
      <c r="AF8947" s="679"/>
    </row>
    <row r="8948" spans="32:32" x14ac:dyDescent="0.2">
      <c r="AF8948" s="679"/>
    </row>
    <row r="8949" spans="32:32" x14ac:dyDescent="0.2">
      <c r="AF8949" s="679"/>
    </row>
    <row r="8950" spans="32:32" x14ac:dyDescent="0.2">
      <c r="AF8950" s="679"/>
    </row>
    <row r="8951" spans="32:32" x14ac:dyDescent="0.2">
      <c r="AF8951" s="679"/>
    </row>
    <row r="8952" spans="32:32" x14ac:dyDescent="0.2">
      <c r="AF8952" s="679"/>
    </row>
    <row r="8953" spans="32:32" x14ac:dyDescent="0.2">
      <c r="AF8953" s="679"/>
    </row>
    <row r="8954" spans="32:32" x14ac:dyDescent="0.2">
      <c r="AF8954" s="679"/>
    </row>
    <row r="8955" spans="32:32" x14ac:dyDescent="0.2">
      <c r="AF8955" s="679"/>
    </row>
    <row r="8956" spans="32:32" x14ac:dyDescent="0.2">
      <c r="AF8956" s="679"/>
    </row>
    <row r="8957" spans="32:32" x14ac:dyDescent="0.2">
      <c r="AF8957" s="679"/>
    </row>
    <row r="8958" spans="32:32" x14ac:dyDescent="0.2">
      <c r="AF8958" s="679"/>
    </row>
    <row r="8959" spans="32:32" x14ac:dyDescent="0.2">
      <c r="AF8959" s="679"/>
    </row>
    <row r="8960" spans="32:32" x14ac:dyDescent="0.2">
      <c r="AF8960" s="679"/>
    </row>
    <row r="8961" spans="32:32" x14ac:dyDescent="0.2">
      <c r="AF8961" s="679"/>
    </row>
    <row r="8962" spans="32:32" x14ac:dyDescent="0.2">
      <c r="AF8962" s="679"/>
    </row>
    <row r="8963" spans="32:32" x14ac:dyDescent="0.2">
      <c r="AF8963" s="679"/>
    </row>
    <row r="8964" spans="32:32" x14ac:dyDescent="0.2">
      <c r="AF8964" s="679"/>
    </row>
    <row r="8965" spans="32:32" x14ac:dyDescent="0.2">
      <c r="AF8965" s="679"/>
    </row>
    <row r="8966" spans="32:32" x14ac:dyDescent="0.2">
      <c r="AF8966" s="679"/>
    </row>
    <row r="8967" spans="32:32" x14ac:dyDescent="0.2">
      <c r="AF8967" s="679"/>
    </row>
    <row r="8968" spans="32:32" x14ac:dyDescent="0.2">
      <c r="AF8968" s="679"/>
    </row>
    <row r="8969" spans="32:32" x14ac:dyDescent="0.2">
      <c r="AF8969" s="679"/>
    </row>
    <row r="8970" spans="32:32" x14ac:dyDescent="0.2">
      <c r="AF8970" s="679"/>
    </row>
    <row r="8971" spans="32:32" x14ac:dyDescent="0.2">
      <c r="AF8971" s="679"/>
    </row>
    <row r="8972" spans="32:32" x14ac:dyDescent="0.2">
      <c r="AF8972" s="679"/>
    </row>
    <row r="8973" spans="32:32" x14ac:dyDescent="0.2">
      <c r="AF8973" s="679"/>
    </row>
    <row r="8974" spans="32:32" x14ac:dyDescent="0.2">
      <c r="AF8974" s="679"/>
    </row>
    <row r="8975" spans="32:32" x14ac:dyDescent="0.2">
      <c r="AF8975" s="679"/>
    </row>
    <row r="8976" spans="32:32" x14ac:dyDescent="0.2">
      <c r="AF8976" s="679"/>
    </row>
    <row r="8977" spans="32:32" x14ac:dyDescent="0.2">
      <c r="AF8977" s="679"/>
    </row>
    <row r="8978" spans="32:32" x14ac:dyDescent="0.2">
      <c r="AF8978" s="679"/>
    </row>
    <row r="8979" spans="32:32" x14ac:dyDescent="0.2">
      <c r="AF8979" s="679"/>
    </row>
    <row r="8980" spans="32:32" x14ac:dyDescent="0.2">
      <c r="AF8980" s="679"/>
    </row>
    <row r="8981" spans="32:32" x14ac:dyDescent="0.2">
      <c r="AF8981" s="679"/>
    </row>
    <row r="8982" spans="32:32" x14ac:dyDescent="0.2">
      <c r="AF8982" s="679"/>
    </row>
    <row r="8983" spans="32:32" x14ac:dyDescent="0.2">
      <c r="AF8983" s="679"/>
    </row>
    <row r="8984" spans="32:32" x14ac:dyDescent="0.2">
      <c r="AF8984" s="679"/>
    </row>
    <row r="8985" spans="32:32" x14ac:dyDescent="0.2">
      <c r="AF8985" s="679"/>
    </row>
    <row r="8986" spans="32:32" x14ac:dyDescent="0.2">
      <c r="AF8986" s="679"/>
    </row>
    <row r="8987" spans="32:32" x14ac:dyDescent="0.2">
      <c r="AF8987" s="679"/>
    </row>
    <row r="8988" spans="32:32" x14ac:dyDescent="0.2">
      <c r="AF8988" s="679"/>
    </row>
    <row r="8989" spans="32:32" x14ac:dyDescent="0.2">
      <c r="AF8989" s="679"/>
    </row>
    <row r="8990" spans="32:32" x14ac:dyDescent="0.2">
      <c r="AF8990" s="679"/>
    </row>
    <row r="8991" spans="32:32" x14ac:dyDescent="0.2">
      <c r="AF8991" s="679"/>
    </row>
    <row r="8992" spans="32:32" x14ac:dyDescent="0.2">
      <c r="AF8992" s="679"/>
    </row>
    <row r="8993" spans="32:32" x14ac:dyDescent="0.2">
      <c r="AF8993" s="679"/>
    </row>
    <row r="8994" spans="32:32" x14ac:dyDescent="0.2">
      <c r="AF8994" s="679"/>
    </row>
    <row r="8995" spans="32:32" x14ac:dyDescent="0.2">
      <c r="AF8995" s="679"/>
    </row>
    <row r="8996" spans="32:32" x14ac:dyDescent="0.2">
      <c r="AF8996" s="679"/>
    </row>
    <row r="8997" spans="32:32" x14ac:dyDescent="0.2">
      <c r="AF8997" s="679"/>
    </row>
    <row r="8998" spans="32:32" x14ac:dyDescent="0.2">
      <c r="AF8998" s="679"/>
    </row>
    <row r="8999" spans="32:32" x14ac:dyDescent="0.2">
      <c r="AF8999" s="679"/>
    </row>
    <row r="9000" spans="32:32" x14ac:dyDescent="0.2">
      <c r="AF9000" s="679"/>
    </row>
    <row r="9001" spans="32:32" x14ac:dyDescent="0.2">
      <c r="AF9001" s="679"/>
    </row>
    <row r="9002" spans="32:32" x14ac:dyDescent="0.2">
      <c r="AF9002" s="679"/>
    </row>
    <row r="9003" spans="32:32" x14ac:dyDescent="0.2">
      <c r="AF9003" s="679"/>
    </row>
    <row r="9004" spans="32:32" x14ac:dyDescent="0.2">
      <c r="AF9004" s="679"/>
    </row>
    <row r="9005" spans="32:32" x14ac:dyDescent="0.2">
      <c r="AF9005" s="679"/>
    </row>
    <row r="9006" spans="32:32" x14ac:dyDescent="0.2">
      <c r="AF9006" s="679"/>
    </row>
    <row r="9007" spans="32:32" x14ac:dyDescent="0.2">
      <c r="AF9007" s="679"/>
    </row>
    <row r="9008" spans="32:32" x14ac:dyDescent="0.2">
      <c r="AF9008" s="679"/>
    </row>
    <row r="9009" spans="32:32" x14ac:dyDescent="0.2">
      <c r="AF9009" s="679"/>
    </row>
    <row r="9010" spans="32:32" x14ac:dyDescent="0.2">
      <c r="AF9010" s="679"/>
    </row>
    <row r="9011" spans="32:32" x14ac:dyDescent="0.2">
      <c r="AF9011" s="679"/>
    </row>
    <row r="9012" spans="32:32" x14ac:dyDescent="0.2">
      <c r="AF9012" s="679"/>
    </row>
    <row r="9013" spans="32:32" x14ac:dyDescent="0.2">
      <c r="AF9013" s="679"/>
    </row>
    <row r="9014" spans="32:32" x14ac:dyDescent="0.2">
      <c r="AF9014" s="679"/>
    </row>
    <row r="9015" spans="32:32" x14ac:dyDescent="0.2">
      <c r="AF9015" s="679"/>
    </row>
    <row r="9016" spans="32:32" x14ac:dyDescent="0.2">
      <c r="AF9016" s="679"/>
    </row>
    <row r="9017" spans="32:32" x14ac:dyDescent="0.2">
      <c r="AF9017" s="679"/>
    </row>
    <row r="9018" spans="32:32" x14ac:dyDescent="0.2">
      <c r="AF9018" s="679"/>
    </row>
    <row r="9019" spans="32:32" x14ac:dyDescent="0.2">
      <c r="AF9019" s="679"/>
    </row>
    <row r="9020" spans="32:32" x14ac:dyDescent="0.2">
      <c r="AF9020" s="679"/>
    </row>
    <row r="9021" spans="32:32" x14ac:dyDescent="0.2">
      <c r="AF9021" s="679"/>
    </row>
    <row r="9022" spans="32:32" x14ac:dyDescent="0.2">
      <c r="AF9022" s="679"/>
    </row>
    <row r="9023" spans="32:32" x14ac:dyDescent="0.2">
      <c r="AF9023" s="679"/>
    </row>
    <row r="9024" spans="32:32" x14ac:dyDescent="0.2">
      <c r="AF9024" s="679"/>
    </row>
    <row r="9025" spans="32:32" x14ac:dyDescent="0.2">
      <c r="AF9025" s="679"/>
    </row>
    <row r="9026" spans="32:32" x14ac:dyDescent="0.2">
      <c r="AF9026" s="679"/>
    </row>
    <row r="9027" spans="32:32" x14ac:dyDescent="0.2">
      <c r="AF9027" s="679"/>
    </row>
    <row r="9028" spans="32:32" x14ac:dyDescent="0.2">
      <c r="AF9028" s="679"/>
    </row>
    <row r="9029" spans="32:32" x14ac:dyDescent="0.2">
      <c r="AF9029" s="679"/>
    </row>
    <row r="9030" spans="32:32" x14ac:dyDescent="0.2">
      <c r="AF9030" s="679"/>
    </row>
    <row r="9031" spans="32:32" x14ac:dyDescent="0.2">
      <c r="AF9031" s="679"/>
    </row>
    <row r="9032" spans="32:32" x14ac:dyDescent="0.2">
      <c r="AF9032" s="679"/>
    </row>
    <row r="9033" spans="32:32" x14ac:dyDescent="0.2">
      <c r="AF9033" s="679"/>
    </row>
    <row r="9034" spans="32:32" x14ac:dyDescent="0.2">
      <c r="AF9034" s="679"/>
    </row>
    <row r="9035" spans="32:32" x14ac:dyDescent="0.2">
      <c r="AF9035" s="679"/>
    </row>
    <row r="9036" spans="32:32" x14ac:dyDescent="0.2">
      <c r="AF9036" s="679"/>
    </row>
    <row r="9037" spans="32:32" x14ac:dyDescent="0.2">
      <c r="AF9037" s="679"/>
    </row>
    <row r="9038" spans="32:32" x14ac:dyDescent="0.2">
      <c r="AF9038" s="679"/>
    </row>
    <row r="9039" spans="32:32" x14ac:dyDescent="0.2">
      <c r="AF9039" s="679"/>
    </row>
    <row r="9040" spans="32:32" x14ac:dyDescent="0.2">
      <c r="AF9040" s="679"/>
    </row>
    <row r="9041" spans="32:32" x14ac:dyDescent="0.2">
      <c r="AF9041" s="679"/>
    </row>
    <row r="9042" spans="32:32" x14ac:dyDescent="0.2">
      <c r="AF9042" s="679"/>
    </row>
    <row r="9043" spans="32:32" x14ac:dyDescent="0.2">
      <c r="AF9043" s="679"/>
    </row>
    <row r="9044" spans="32:32" x14ac:dyDescent="0.2">
      <c r="AF9044" s="679"/>
    </row>
    <row r="9045" spans="32:32" x14ac:dyDescent="0.2">
      <c r="AF9045" s="679"/>
    </row>
    <row r="9046" spans="32:32" x14ac:dyDescent="0.2">
      <c r="AF9046" s="679"/>
    </row>
    <row r="9047" spans="32:32" x14ac:dyDescent="0.2">
      <c r="AF9047" s="679"/>
    </row>
    <row r="9048" spans="32:32" x14ac:dyDescent="0.2">
      <c r="AF9048" s="679"/>
    </row>
    <row r="9049" spans="32:32" x14ac:dyDescent="0.2">
      <c r="AF9049" s="679"/>
    </row>
    <row r="9050" spans="32:32" x14ac:dyDescent="0.2">
      <c r="AF9050" s="679"/>
    </row>
    <row r="9051" spans="32:32" x14ac:dyDescent="0.2">
      <c r="AF9051" s="679"/>
    </row>
    <row r="9052" spans="32:32" x14ac:dyDescent="0.2">
      <c r="AF9052" s="679"/>
    </row>
    <row r="9053" spans="32:32" x14ac:dyDescent="0.2">
      <c r="AF9053" s="679"/>
    </row>
    <row r="9054" spans="32:32" x14ac:dyDescent="0.2">
      <c r="AF9054" s="679"/>
    </row>
    <row r="9055" spans="32:32" x14ac:dyDescent="0.2">
      <c r="AF9055" s="679"/>
    </row>
    <row r="9056" spans="32:32" x14ac:dyDescent="0.2">
      <c r="AF9056" s="679"/>
    </row>
    <row r="9057" spans="32:32" x14ac:dyDescent="0.2">
      <c r="AF9057" s="679"/>
    </row>
    <row r="9058" spans="32:32" x14ac:dyDescent="0.2">
      <c r="AF9058" s="679"/>
    </row>
    <row r="9059" spans="32:32" x14ac:dyDescent="0.2">
      <c r="AF9059" s="679"/>
    </row>
    <row r="9060" spans="32:32" x14ac:dyDescent="0.2">
      <c r="AF9060" s="679"/>
    </row>
    <row r="9061" spans="32:32" x14ac:dyDescent="0.2">
      <c r="AF9061" s="679"/>
    </row>
    <row r="9062" spans="32:32" x14ac:dyDescent="0.2">
      <c r="AF9062" s="679"/>
    </row>
    <row r="9063" spans="32:32" x14ac:dyDescent="0.2">
      <c r="AF9063" s="679"/>
    </row>
    <row r="9064" spans="32:32" x14ac:dyDescent="0.2">
      <c r="AF9064" s="679"/>
    </row>
    <row r="9065" spans="32:32" x14ac:dyDescent="0.2">
      <c r="AF9065" s="679"/>
    </row>
    <row r="9066" spans="32:32" x14ac:dyDescent="0.2">
      <c r="AF9066" s="679"/>
    </row>
    <row r="9067" spans="32:32" x14ac:dyDescent="0.2">
      <c r="AF9067" s="679"/>
    </row>
    <row r="9068" spans="32:32" x14ac:dyDescent="0.2">
      <c r="AF9068" s="679"/>
    </row>
    <row r="9069" spans="32:32" x14ac:dyDescent="0.2">
      <c r="AF9069" s="679"/>
    </row>
    <row r="9070" spans="32:32" x14ac:dyDescent="0.2">
      <c r="AF9070" s="679"/>
    </row>
    <row r="9071" spans="32:32" x14ac:dyDescent="0.2">
      <c r="AF9071" s="679"/>
    </row>
    <row r="9072" spans="32:32" x14ac:dyDescent="0.2">
      <c r="AF9072" s="679"/>
    </row>
    <row r="9073" spans="32:32" x14ac:dyDescent="0.2">
      <c r="AF9073" s="679"/>
    </row>
    <row r="9074" spans="32:32" x14ac:dyDescent="0.2">
      <c r="AF9074" s="679"/>
    </row>
    <row r="9075" spans="32:32" x14ac:dyDescent="0.2">
      <c r="AF9075" s="679"/>
    </row>
    <row r="9076" spans="32:32" x14ac:dyDescent="0.2">
      <c r="AF9076" s="679"/>
    </row>
    <row r="9077" spans="32:32" x14ac:dyDescent="0.2">
      <c r="AF9077" s="679"/>
    </row>
    <row r="9078" spans="32:32" x14ac:dyDescent="0.2">
      <c r="AF9078" s="679"/>
    </row>
    <row r="9079" spans="32:32" x14ac:dyDescent="0.2">
      <c r="AF9079" s="679"/>
    </row>
    <row r="9080" spans="32:32" x14ac:dyDescent="0.2">
      <c r="AF9080" s="679"/>
    </row>
    <row r="9081" spans="32:32" x14ac:dyDescent="0.2">
      <c r="AF9081" s="679"/>
    </row>
    <row r="9082" spans="32:32" x14ac:dyDescent="0.2">
      <c r="AF9082" s="679"/>
    </row>
    <row r="9083" spans="32:32" x14ac:dyDescent="0.2">
      <c r="AF9083" s="679"/>
    </row>
    <row r="9084" spans="32:32" x14ac:dyDescent="0.2">
      <c r="AF9084" s="679"/>
    </row>
    <row r="9085" spans="32:32" x14ac:dyDescent="0.2">
      <c r="AF9085" s="679"/>
    </row>
    <row r="9086" spans="32:32" x14ac:dyDescent="0.2">
      <c r="AF9086" s="679"/>
    </row>
    <row r="9087" spans="32:32" x14ac:dyDescent="0.2">
      <c r="AF9087" s="679"/>
    </row>
    <row r="9088" spans="32:32" x14ac:dyDescent="0.2">
      <c r="AF9088" s="679"/>
    </row>
    <row r="9089" spans="32:32" x14ac:dyDescent="0.2">
      <c r="AF9089" s="679"/>
    </row>
    <row r="9090" spans="32:32" x14ac:dyDescent="0.2">
      <c r="AF9090" s="679"/>
    </row>
    <row r="9091" spans="32:32" x14ac:dyDescent="0.2">
      <c r="AF9091" s="679"/>
    </row>
    <row r="9092" spans="32:32" x14ac:dyDescent="0.2">
      <c r="AF9092" s="679"/>
    </row>
    <row r="9093" spans="32:32" x14ac:dyDescent="0.2">
      <c r="AF9093" s="679"/>
    </row>
    <row r="9094" spans="32:32" x14ac:dyDescent="0.2">
      <c r="AF9094" s="679"/>
    </row>
    <row r="9095" spans="32:32" x14ac:dyDescent="0.2">
      <c r="AF9095" s="679"/>
    </row>
    <row r="9096" spans="32:32" x14ac:dyDescent="0.2">
      <c r="AF9096" s="679"/>
    </row>
    <row r="9097" spans="32:32" x14ac:dyDescent="0.2">
      <c r="AF9097" s="679"/>
    </row>
    <row r="9098" spans="32:32" x14ac:dyDescent="0.2">
      <c r="AF9098" s="679"/>
    </row>
    <row r="9099" spans="32:32" x14ac:dyDescent="0.2">
      <c r="AF9099" s="679"/>
    </row>
    <row r="9100" spans="32:32" x14ac:dyDescent="0.2">
      <c r="AF9100" s="679"/>
    </row>
    <row r="9101" spans="32:32" x14ac:dyDescent="0.2">
      <c r="AF9101" s="679"/>
    </row>
    <row r="9102" spans="32:32" x14ac:dyDescent="0.2">
      <c r="AF9102" s="679"/>
    </row>
    <row r="9103" spans="32:32" x14ac:dyDescent="0.2">
      <c r="AF9103" s="679"/>
    </row>
    <row r="9104" spans="32:32" x14ac:dyDescent="0.2">
      <c r="AF9104" s="679"/>
    </row>
    <row r="9105" spans="32:32" x14ac:dyDescent="0.2">
      <c r="AF9105" s="679"/>
    </row>
    <row r="9106" spans="32:32" x14ac:dyDescent="0.2">
      <c r="AF9106" s="679"/>
    </row>
    <row r="9107" spans="32:32" x14ac:dyDescent="0.2">
      <c r="AF9107" s="679"/>
    </row>
    <row r="9108" spans="32:32" x14ac:dyDescent="0.2">
      <c r="AF9108" s="679"/>
    </row>
    <row r="9109" spans="32:32" x14ac:dyDescent="0.2">
      <c r="AF9109" s="679"/>
    </row>
    <row r="9110" spans="32:32" x14ac:dyDescent="0.2">
      <c r="AF9110" s="679"/>
    </row>
    <row r="9111" spans="32:32" x14ac:dyDescent="0.2">
      <c r="AF9111" s="679"/>
    </row>
    <row r="9112" spans="32:32" x14ac:dyDescent="0.2">
      <c r="AF9112" s="679"/>
    </row>
    <row r="9113" spans="32:32" x14ac:dyDescent="0.2">
      <c r="AF9113" s="679"/>
    </row>
    <row r="9114" spans="32:32" x14ac:dyDescent="0.2">
      <c r="AF9114" s="679"/>
    </row>
    <row r="9115" spans="32:32" x14ac:dyDescent="0.2">
      <c r="AF9115" s="679"/>
    </row>
    <row r="9116" spans="32:32" x14ac:dyDescent="0.2">
      <c r="AF9116" s="679"/>
    </row>
    <row r="9117" spans="32:32" x14ac:dyDescent="0.2">
      <c r="AF9117" s="679"/>
    </row>
    <row r="9118" spans="32:32" x14ac:dyDescent="0.2">
      <c r="AF9118" s="679"/>
    </row>
    <row r="9119" spans="32:32" x14ac:dyDescent="0.2">
      <c r="AF9119" s="679"/>
    </row>
    <row r="9120" spans="32:32" x14ac:dyDescent="0.2">
      <c r="AF9120" s="679"/>
    </row>
    <row r="9121" spans="32:32" x14ac:dyDescent="0.2">
      <c r="AF9121" s="679"/>
    </row>
    <row r="9122" spans="32:32" x14ac:dyDescent="0.2">
      <c r="AF9122" s="679"/>
    </row>
    <row r="9123" spans="32:32" x14ac:dyDescent="0.2">
      <c r="AF9123" s="679"/>
    </row>
    <row r="9124" spans="32:32" x14ac:dyDescent="0.2">
      <c r="AF9124" s="679"/>
    </row>
    <row r="9125" spans="32:32" x14ac:dyDescent="0.2">
      <c r="AF9125" s="679"/>
    </row>
    <row r="9126" spans="32:32" x14ac:dyDescent="0.2">
      <c r="AF9126" s="679"/>
    </row>
    <row r="9127" spans="32:32" x14ac:dyDescent="0.2">
      <c r="AF9127" s="679"/>
    </row>
    <row r="9128" spans="32:32" x14ac:dyDescent="0.2">
      <c r="AF9128" s="679"/>
    </row>
    <row r="9129" spans="32:32" x14ac:dyDescent="0.2">
      <c r="AF9129" s="679"/>
    </row>
    <row r="9130" spans="32:32" x14ac:dyDescent="0.2">
      <c r="AF9130" s="679"/>
    </row>
    <row r="9131" spans="32:32" x14ac:dyDescent="0.2">
      <c r="AF9131" s="679"/>
    </row>
    <row r="9132" spans="32:32" x14ac:dyDescent="0.2">
      <c r="AF9132" s="679"/>
    </row>
    <row r="9133" spans="32:32" x14ac:dyDescent="0.2">
      <c r="AF9133" s="679"/>
    </row>
    <row r="9134" spans="32:32" x14ac:dyDescent="0.2">
      <c r="AF9134" s="679"/>
    </row>
    <row r="9135" spans="32:32" x14ac:dyDescent="0.2">
      <c r="AF9135" s="679"/>
    </row>
    <row r="9136" spans="32:32" x14ac:dyDescent="0.2">
      <c r="AF9136" s="679"/>
    </row>
    <row r="9137" spans="32:32" x14ac:dyDescent="0.2">
      <c r="AF9137" s="679"/>
    </row>
    <row r="9138" spans="32:32" x14ac:dyDescent="0.2">
      <c r="AF9138" s="679"/>
    </row>
    <row r="9139" spans="32:32" x14ac:dyDescent="0.2">
      <c r="AF9139" s="679"/>
    </row>
    <row r="9140" spans="32:32" x14ac:dyDescent="0.2">
      <c r="AF9140" s="679"/>
    </row>
    <row r="9141" spans="32:32" x14ac:dyDescent="0.2">
      <c r="AF9141" s="679"/>
    </row>
    <row r="9142" spans="32:32" x14ac:dyDescent="0.2">
      <c r="AF9142" s="679"/>
    </row>
    <row r="9143" spans="32:32" x14ac:dyDescent="0.2">
      <c r="AF9143" s="679"/>
    </row>
    <row r="9144" spans="32:32" x14ac:dyDescent="0.2">
      <c r="AF9144" s="679"/>
    </row>
    <row r="9145" spans="32:32" x14ac:dyDescent="0.2">
      <c r="AF9145" s="679"/>
    </row>
    <row r="9146" spans="32:32" x14ac:dyDescent="0.2">
      <c r="AF9146" s="679"/>
    </row>
    <row r="9147" spans="32:32" x14ac:dyDescent="0.2">
      <c r="AF9147" s="679"/>
    </row>
    <row r="9148" spans="32:32" x14ac:dyDescent="0.2">
      <c r="AF9148" s="679"/>
    </row>
    <row r="9149" spans="32:32" x14ac:dyDescent="0.2">
      <c r="AF9149" s="679"/>
    </row>
    <row r="9150" spans="32:32" x14ac:dyDescent="0.2">
      <c r="AF9150" s="679"/>
    </row>
    <row r="9151" spans="32:32" x14ac:dyDescent="0.2">
      <c r="AF9151" s="679"/>
    </row>
    <row r="9152" spans="32:32" x14ac:dyDescent="0.2">
      <c r="AF9152" s="679"/>
    </row>
    <row r="9153" spans="32:32" x14ac:dyDescent="0.2">
      <c r="AF9153" s="679"/>
    </row>
    <row r="9154" spans="32:32" x14ac:dyDescent="0.2">
      <c r="AF9154" s="679"/>
    </row>
    <row r="9155" spans="32:32" x14ac:dyDescent="0.2">
      <c r="AF9155" s="679"/>
    </row>
    <row r="9156" spans="32:32" x14ac:dyDescent="0.2">
      <c r="AF9156" s="679"/>
    </row>
    <row r="9157" spans="32:32" x14ac:dyDescent="0.2">
      <c r="AF9157" s="679"/>
    </row>
    <row r="9158" spans="32:32" x14ac:dyDescent="0.2">
      <c r="AF9158" s="679"/>
    </row>
    <row r="9159" spans="32:32" x14ac:dyDescent="0.2">
      <c r="AF9159" s="679"/>
    </row>
    <row r="9160" spans="32:32" x14ac:dyDescent="0.2">
      <c r="AF9160" s="679"/>
    </row>
    <row r="9161" spans="32:32" x14ac:dyDescent="0.2">
      <c r="AF9161" s="679"/>
    </row>
    <row r="9162" spans="32:32" x14ac:dyDescent="0.2">
      <c r="AF9162" s="679"/>
    </row>
    <row r="9163" spans="32:32" x14ac:dyDescent="0.2">
      <c r="AF9163" s="679"/>
    </row>
    <row r="9164" spans="32:32" x14ac:dyDescent="0.2">
      <c r="AF9164" s="679"/>
    </row>
    <row r="9165" spans="32:32" x14ac:dyDescent="0.2">
      <c r="AF9165" s="679"/>
    </row>
    <row r="9166" spans="32:32" x14ac:dyDescent="0.2">
      <c r="AF9166" s="679"/>
    </row>
    <row r="9167" spans="32:32" x14ac:dyDescent="0.2">
      <c r="AF9167" s="679"/>
    </row>
    <row r="9168" spans="32:32" x14ac:dyDescent="0.2">
      <c r="AF9168" s="679"/>
    </row>
    <row r="9169" spans="32:32" x14ac:dyDescent="0.2">
      <c r="AF9169" s="679"/>
    </row>
    <row r="9170" spans="32:32" x14ac:dyDescent="0.2">
      <c r="AF9170" s="679"/>
    </row>
    <row r="9171" spans="32:32" x14ac:dyDescent="0.2">
      <c r="AF9171" s="679"/>
    </row>
    <row r="9172" spans="32:32" x14ac:dyDescent="0.2">
      <c r="AF9172" s="679"/>
    </row>
    <row r="9173" spans="32:32" x14ac:dyDescent="0.2">
      <c r="AF9173" s="679"/>
    </row>
    <row r="9174" spans="32:32" x14ac:dyDescent="0.2">
      <c r="AF9174" s="679"/>
    </row>
    <row r="9175" spans="32:32" x14ac:dyDescent="0.2">
      <c r="AF9175" s="679"/>
    </row>
    <row r="9176" spans="32:32" x14ac:dyDescent="0.2">
      <c r="AF9176" s="679"/>
    </row>
    <row r="9177" spans="32:32" x14ac:dyDescent="0.2">
      <c r="AF9177" s="679"/>
    </row>
    <row r="9178" spans="32:32" x14ac:dyDescent="0.2">
      <c r="AF9178" s="679"/>
    </row>
    <row r="9179" spans="32:32" x14ac:dyDescent="0.2">
      <c r="AF9179" s="679"/>
    </row>
    <row r="9180" spans="32:32" x14ac:dyDescent="0.2">
      <c r="AF9180" s="679"/>
    </row>
    <row r="9181" spans="32:32" x14ac:dyDescent="0.2">
      <c r="AF9181" s="679"/>
    </row>
    <row r="9182" spans="32:32" x14ac:dyDescent="0.2">
      <c r="AF9182" s="679"/>
    </row>
    <row r="9183" spans="32:32" x14ac:dyDescent="0.2">
      <c r="AF9183" s="679"/>
    </row>
    <row r="9184" spans="32:32" x14ac:dyDescent="0.2">
      <c r="AF9184" s="679"/>
    </row>
    <row r="9185" spans="32:32" x14ac:dyDescent="0.2">
      <c r="AF9185" s="679"/>
    </row>
    <row r="9186" spans="32:32" x14ac:dyDescent="0.2">
      <c r="AF9186" s="679"/>
    </row>
    <row r="9187" spans="32:32" x14ac:dyDescent="0.2">
      <c r="AF9187" s="679"/>
    </row>
    <row r="9188" spans="32:32" x14ac:dyDescent="0.2">
      <c r="AF9188" s="679"/>
    </row>
    <row r="9189" spans="32:32" x14ac:dyDescent="0.2">
      <c r="AF9189" s="679"/>
    </row>
    <row r="9190" spans="32:32" x14ac:dyDescent="0.2">
      <c r="AF9190" s="679"/>
    </row>
    <row r="9191" spans="32:32" x14ac:dyDescent="0.2">
      <c r="AF9191" s="679"/>
    </row>
    <row r="9192" spans="32:32" x14ac:dyDescent="0.2">
      <c r="AF9192" s="679"/>
    </row>
    <row r="9193" spans="32:32" x14ac:dyDescent="0.2">
      <c r="AF9193" s="679"/>
    </row>
    <row r="9194" spans="32:32" x14ac:dyDescent="0.2">
      <c r="AF9194" s="679"/>
    </row>
    <row r="9195" spans="32:32" x14ac:dyDescent="0.2">
      <c r="AF9195" s="679"/>
    </row>
    <row r="9196" spans="32:32" x14ac:dyDescent="0.2">
      <c r="AF9196" s="679"/>
    </row>
    <row r="9197" spans="32:32" x14ac:dyDescent="0.2">
      <c r="AF9197" s="679"/>
    </row>
    <row r="9198" spans="32:32" x14ac:dyDescent="0.2">
      <c r="AF9198" s="679"/>
    </row>
    <row r="9199" spans="32:32" x14ac:dyDescent="0.2">
      <c r="AF9199" s="679"/>
    </row>
    <row r="9200" spans="32:32" x14ac:dyDescent="0.2">
      <c r="AF9200" s="679"/>
    </row>
    <row r="9201" spans="32:32" x14ac:dyDescent="0.2">
      <c r="AF9201" s="679"/>
    </row>
    <row r="9202" spans="32:32" x14ac:dyDescent="0.2">
      <c r="AF9202" s="679"/>
    </row>
    <row r="9203" spans="32:32" x14ac:dyDescent="0.2">
      <c r="AF9203" s="679"/>
    </row>
    <row r="9204" spans="32:32" x14ac:dyDescent="0.2">
      <c r="AF9204" s="679"/>
    </row>
    <row r="9205" spans="32:32" x14ac:dyDescent="0.2">
      <c r="AF9205" s="679"/>
    </row>
    <row r="9206" spans="32:32" x14ac:dyDescent="0.2">
      <c r="AF9206" s="679"/>
    </row>
    <row r="9207" spans="32:32" x14ac:dyDescent="0.2">
      <c r="AF9207" s="679"/>
    </row>
    <row r="9208" spans="32:32" x14ac:dyDescent="0.2">
      <c r="AF9208" s="679"/>
    </row>
    <row r="9209" spans="32:32" x14ac:dyDescent="0.2">
      <c r="AF9209" s="679"/>
    </row>
    <row r="9210" spans="32:32" x14ac:dyDescent="0.2">
      <c r="AF9210" s="679"/>
    </row>
    <row r="9211" spans="32:32" x14ac:dyDescent="0.2">
      <c r="AF9211" s="679"/>
    </row>
    <row r="9212" spans="32:32" x14ac:dyDescent="0.2">
      <c r="AF9212" s="679"/>
    </row>
    <row r="9213" spans="32:32" x14ac:dyDescent="0.2">
      <c r="AF9213" s="679"/>
    </row>
    <row r="9214" spans="32:32" x14ac:dyDescent="0.2">
      <c r="AF9214" s="679"/>
    </row>
    <row r="9215" spans="32:32" x14ac:dyDescent="0.2">
      <c r="AF9215" s="679"/>
    </row>
    <row r="9216" spans="32:32" x14ac:dyDescent="0.2">
      <c r="AF9216" s="679"/>
    </row>
    <row r="9217" spans="32:32" x14ac:dyDescent="0.2">
      <c r="AF9217" s="679"/>
    </row>
    <row r="9218" spans="32:32" x14ac:dyDescent="0.2">
      <c r="AF9218" s="679"/>
    </row>
    <row r="9219" spans="32:32" x14ac:dyDescent="0.2">
      <c r="AF9219" s="679"/>
    </row>
    <row r="9220" spans="32:32" x14ac:dyDescent="0.2">
      <c r="AF9220" s="679"/>
    </row>
    <row r="9221" spans="32:32" x14ac:dyDescent="0.2">
      <c r="AF9221" s="679"/>
    </row>
    <row r="9222" spans="32:32" x14ac:dyDescent="0.2">
      <c r="AF9222" s="679"/>
    </row>
    <row r="9223" spans="32:32" x14ac:dyDescent="0.2">
      <c r="AF9223" s="679"/>
    </row>
    <row r="9224" spans="32:32" x14ac:dyDescent="0.2">
      <c r="AF9224" s="679"/>
    </row>
    <row r="9225" spans="32:32" x14ac:dyDescent="0.2">
      <c r="AF9225" s="679"/>
    </row>
    <row r="9226" spans="32:32" x14ac:dyDescent="0.2">
      <c r="AF9226" s="679"/>
    </row>
    <row r="9227" spans="32:32" x14ac:dyDescent="0.2">
      <c r="AF9227" s="679"/>
    </row>
    <row r="9228" spans="32:32" x14ac:dyDescent="0.2">
      <c r="AF9228" s="679"/>
    </row>
    <row r="9229" spans="32:32" x14ac:dyDescent="0.2">
      <c r="AF9229" s="679"/>
    </row>
    <row r="9230" spans="32:32" x14ac:dyDescent="0.2">
      <c r="AF9230" s="679"/>
    </row>
    <row r="9231" spans="32:32" x14ac:dyDescent="0.2">
      <c r="AF9231" s="679"/>
    </row>
    <row r="9232" spans="32:32" x14ac:dyDescent="0.2">
      <c r="AF9232" s="679"/>
    </row>
    <row r="9233" spans="32:32" x14ac:dyDescent="0.2">
      <c r="AF9233" s="679"/>
    </row>
    <row r="9234" spans="32:32" x14ac:dyDescent="0.2">
      <c r="AF9234" s="679"/>
    </row>
    <row r="9235" spans="32:32" x14ac:dyDescent="0.2">
      <c r="AF9235" s="679"/>
    </row>
    <row r="9236" spans="32:32" x14ac:dyDescent="0.2">
      <c r="AF9236" s="679"/>
    </row>
    <row r="9237" spans="32:32" x14ac:dyDescent="0.2">
      <c r="AF9237" s="679"/>
    </row>
    <row r="9238" spans="32:32" x14ac:dyDescent="0.2">
      <c r="AF9238" s="679"/>
    </row>
    <row r="9239" spans="32:32" x14ac:dyDescent="0.2">
      <c r="AF9239" s="679"/>
    </row>
    <row r="9240" spans="32:32" x14ac:dyDescent="0.2">
      <c r="AF9240" s="679"/>
    </row>
    <row r="9241" spans="32:32" x14ac:dyDescent="0.2">
      <c r="AF9241" s="679"/>
    </row>
    <row r="9242" spans="32:32" x14ac:dyDescent="0.2">
      <c r="AF9242" s="679"/>
    </row>
    <row r="9243" spans="32:32" x14ac:dyDescent="0.2">
      <c r="AF9243" s="679"/>
    </row>
    <row r="9244" spans="32:32" x14ac:dyDescent="0.2">
      <c r="AF9244" s="679"/>
    </row>
    <row r="9245" spans="32:32" x14ac:dyDescent="0.2">
      <c r="AF9245" s="679"/>
    </row>
    <row r="9246" spans="32:32" x14ac:dyDescent="0.2">
      <c r="AF9246" s="679"/>
    </row>
    <row r="9247" spans="32:32" x14ac:dyDescent="0.2">
      <c r="AF9247" s="679"/>
    </row>
    <row r="9248" spans="32:32" x14ac:dyDescent="0.2">
      <c r="AF9248" s="679"/>
    </row>
    <row r="9249" spans="32:32" x14ac:dyDescent="0.2">
      <c r="AF9249" s="679"/>
    </row>
    <row r="9250" spans="32:32" x14ac:dyDescent="0.2">
      <c r="AF9250" s="679"/>
    </row>
    <row r="9251" spans="32:32" x14ac:dyDescent="0.2">
      <c r="AF9251" s="679"/>
    </row>
    <row r="9252" spans="32:32" x14ac:dyDescent="0.2">
      <c r="AF9252" s="679"/>
    </row>
    <row r="9253" spans="32:32" x14ac:dyDescent="0.2">
      <c r="AF9253" s="679"/>
    </row>
    <row r="9254" spans="32:32" x14ac:dyDescent="0.2">
      <c r="AF9254" s="679"/>
    </row>
    <row r="9255" spans="32:32" x14ac:dyDescent="0.2">
      <c r="AF9255" s="679"/>
    </row>
    <row r="9256" spans="32:32" x14ac:dyDescent="0.2">
      <c r="AF9256" s="679"/>
    </row>
    <row r="9257" spans="32:32" x14ac:dyDescent="0.2">
      <c r="AF9257" s="679"/>
    </row>
    <row r="9258" spans="32:32" x14ac:dyDescent="0.2">
      <c r="AF9258" s="679"/>
    </row>
    <row r="9259" spans="32:32" x14ac:dyDescent="0.2">
      <c r="AF9259" s="679"/>
    </row>
    <row r="9260" spans="32:32" x14ac:dyDescent="0.2">
      <c r="AF9260" s="679"/>
    </row>
    <row r="9261" spans="32:32" x14ac:dyDescent="0.2">
      <c r="AF9261" s="679"/>
    </row>
    <row r="9262" spans="32:32" x14ac:dyDescent="0.2">
      <c r="AF9262" s="679"/>
    </row>
    <row r="9263" spans="32:32" x14ac:dyDescent="0.2">
      <c r="AF9263" s="679"/>
    </row>
    <row r="9264" spans="32:32" x14ac:dyDescent="0.2">
      <c r="AF9264" s="679"/>
    </row>
    <row r="9265" spans="32:32" x14ac:dyDescent="0.2">
      <c r="AF9265" s="679"/>
    </row>
    <row r="9266" spans="32:32" x14ac:dyDescent="0.2">
      <c r="AF9266" s="679"/>
    </row>
    <row r="9267" spans="32:32" x14ac:dyDescent="0.2">
      <c r="AF9267" s="679"/>
    </row>
    <row r="9268" spans="32:32" x14ac:dyDescent="0.2">
      <c r="AF9268" s="679"/>
    </row>
    <row r="9269" spans="32:32" x14ac:dyDescent="0.2">
      <c r="AF9269" s="679"/>
    </row>
    <row r="9270" spans="32:32" x14ac:dyDescent="0.2">
      <c r="AF9270" s="679"/>
    </row>
    <row r="9271" spans="32:32" x14ac:dyDescent="0.2">
      <c r="AF9271" s="679"/>
    </row>
    <row r="9272" spans="32:32" x14ac:dyDescent="0.2">
      <c r="AF9272" s="679"/>
    </row>
    <row r="9273" spans="32:32" x14ac:dyDescent="0.2">
      <c r="AF9273" s="679"/>
    </row>
    <row r="9274" spans="32:32" x14ac:dyDescent="0.2">
      <c r="AF9274" s="679"/>
    </row>
    <row r="9275" spans="32:32" x14ac:dyDescent="0.2">
      <c r="AF9275" s="679"/>
    </row>
    <row r="9276" spans="32:32" x14ac:dyDescent="0.2">
      <c r="AF9276" s="679"/>
    </row>
    <row r="9277" spans="32:32" x14ac:dyDescent="0.2">
      <c r="AF9277" s="679"/>
    </row>
    <row r="9278" spans="32:32" x14ac:dyDescent="0.2">
      <c r="AF9278" s="679"/>
    </row>
    <row r="9279" spans="32:32" x14ac:dyDescent="0.2">
      <c r="AF9279" s="679"/>
    </row>
    <row r="9280" spans="32:32" x14ac:dyDescent="0.2">
      <c r="AF9280" s="679"/>
    </row>
    <row r="9281" spans="32:32" x14ac:dyDescent="0.2">
      <c r="AF9281" s="679"/>
    </row>
    <row r="9282" spans="32:32" x14ac:dyDescent="0.2">
      <c r="AF9282" s="679"/>
    </row>
    <row r="9283" spans="32:32" x14ac:dyDescent="0.2">
      <c r="AF9283" s="679"/>
    </row>
    <row r="9284" spans="32:32" x14ac:dyDescent="0.2">
      <c r="AF9284" s="679"/>
    </row>
    <row r="9285" spans="32:32" x14ac:dyDescent="0.2">
      <c r="AF9285" s="679"/>
    </row>
    <row r="9286" spans="32:32" x14ac:dyDescent="0.2">
      <c r="AF9286" s="679"/>
    </row>
    <row r="9287" spans="32:32" x14ac:dyDescent="0.2">
      <c r="AF9287" s="679"/>
    </row>
    <row r="9288" spans="32:32" x14ac:dyDescent="0.2">
      <c r="AF9288" s="679"/>
    </row>
    <row r="9289" spans="32:32" x14ac:dyDescent="0.2">
      <c r="AF9289" s="679"/>
    </row>
    <row r="9290" spans="32:32" x14ac:dyDescent="0.2">
      <c r="AF9290" s="679"/>
    </row>
    <row r="9291" spans="32:32" x14ac:dyDescent="0.2">
      <c r="AF9291" s="679"/>
    </row>
    <row r="9292" spans="32:32" x14ac:dyDescent="0.2">
      <c r="AF9292" s="679"/>
    </row>
    <row r="9293" spans="32:32" x14ac:dyDescent="0.2">
      <c r="AF9293" s="679"/>
    </row>
    <row r="9294" spans="32:32" x14ac:dyDescent="0.2">
      <c r="AF9294" s="679"/>
    </row>
    <row r="9295" spans="32:32" x14ac:dyDescent="0.2">
      <c r="AF9295" s="679"/>
    </row>
    <row r="9296" spans="32:32" x14ac:dyDescent="0.2">
      <c r="AF9296" s="679"/>
    </row>
    <row r="9297" spans="32:32" x14ac:dyDescent="0.2">
      <c r="AF9297" s="679"/>
    </row>
    <row r="9298" spans="32:32" x14ac:dyDescent="0.2">
      <c r="AF9298" s="679"/>
    </row>
    <row r="9299" spans="32:32" x14ac:dyDescent="0.2">
      <c r="AF9299" s="679"/>
    </row>
    <row r="9300" spans="32:32" x14ac:dyDescent="0.2">
      <c r="AF9300" s="679"/>
    </row>
    <row r="9301" spans="32:32" x14ac:dyDescent="0.2">
      <c r="AF9301" s="679"/>
    </row>
    <row r="9302" spans="32:32" x14ac:dyDescent="0.2">
      <c r="AF9302" s="679"/>
    </row>
    <row r="9303" spans="32:32" x14ac:dyDescent="0.2">
      <c r="AF9303" s="679"/>
    </row>
    <row r="9304" spans="32:32" x14ac:dyDescent="0.2">
      <c r="AF9304" s="679"/>
    </row>
    <row r="9305" spans="32:32" x14ac:dyDescent="0.2">
      <c r="AF9305" s="679"/>
    </row>
    <row r="9306" spans="32:32" x14ac:dyDescent="0.2">
      <c r="AF9306" s="679"/>
    </row>
    <row r="9307" spans="32:32" x14ac:dyDescent="0.2">
      <c r="AF9307" s="679"/>
    </row>
    <row r="9308" spans="32:32" x14ac:dyDescent="0.2">
      <c r="AF9308" s="679"/>
    </row>
    <row r="9309" spans="32:32" x14ac:dyDescent="0.2">
      <c r="AF9309" s="679"/>
    </row>
    <row r="9310" spans="32:32" x14ac:dyDescent="0.2">
      <c r="AF9310" s="679"/>
    </row>
    <row r="9311" spans="32:32" x14ac:dyDescent="0.2">
      <c r="AF9311" s="679"/>
    </row>
    <row r="9312" spans="32:32" x14ac:dyDescent="0.2">
      <c r="AF9312" s="679"/>
    </row>
    <row r="9313" spans="32:32" x14ac:dyDescent="0.2">
      <c r="AF9313" s="679"/>
    </row>
    <row r="9314" spans="32:32" x14ac:dyDescent="0.2">
      <c r="AF9314" s="679"/>
    </row>
    <row r="9315" spans="32:32" x14ac:dyDescent="0.2">
      <c r="AF9315" s="679"/>
    </row>
    <row r="9316" spans="32:32" x14ac:dyDescent="0.2">
      <c r="AF9316" s="679"/>
    </row>
    <row r="9317" spans="32:32" x14ac:dyDescent="0.2">
      <c r="AF9317" s="679"/>
    </row>
    <row r="9318" spans="32:32" x14ac:dyDescent="0.2">
      <c r="AF9318" s="679"/>
    </row>
    <row r="9319" spans="32:32" x14ac:dyDescent="0.2">
      <c r="AF9319" s="679"/>
    </row>
    <row r="9320" spans="32:32" x14ac:dyDescent="0.2">
      <c r="AF9320" s="679"/>
    </row>
    <row r="9321" spans="32:32" x14ac:dyDescent="0.2">
      <c r="AF9321" s="679"/>
    </row>
    <row r="9322" spans="32:32" x14ac:dyDescent="0.2">
      <c r="AF9322" s="679"/>
    </row>
    <row r="9323" spans="32:32" x14ac:dyDescent="0.2">
      <c r="AF9323" s="679"/>
    </row>
    <row r="9324" spans="32:32" x14ac:dyDescent="0.2">
      <c r="AF9324" s="679"/>
    </row>
    <row r="9325" spans="32:32" x14ac:dyDescent="0.2">
      <c r="AF9325" s="679"/>
    </row>
    <row r="9326" spans="32:32" x14ac:dyDescent="0.2">
      <c r="AF9326" s="679"/>
    </row>
    <row r="9327" spans="32:32" x14ac:dyDescent="0.2">
      <c r="AF9327" s="679"/>
    </row>
    <row r="9328" spans="32:32" x14ac:dyDescent="0.2">
      <c r="AF9328" s="679"/>
    </row>
    <row r="9329" spans="32:32" x14ac:dyDescent="0.2">
      <c r="AF9329" s="679"/>
    </row>
    <row r="9330" spans="32:32" x14ac:dyDescent="0.2">
      <c r="AF9330" s="679"/>
    </row>
    <row r="9331" spans="32:32" x14ac:dyDescent="0.2">
      <c r="AF9331" s="679"/>
    </row>
    <row r="9332" spans="32:32" x14ac:dyDescent="0.2">
      <c r="AF9332" s="679"/>
    </row>
    <row r="9333" spans="32:32" x14ac:dyDescent="0.2">
      <c r="AF9333" s="679"/>
    </row>
    <row r="9334" spans="32:32" x14ac:dyDescent="0.2">
      <c r="AF9334" s="679"/>
    </row>
    <row r="9335" spans="32:32" x14ac:dyDescent="0.2">
      <c r="AF9335" s="679"/>
    </row>
    <row r="9336" spans="32:32" x14ac:dyDescent="0.2">
      <c r="AF9336" s="679"/>
    </row>
    <row r="9337" spans="32:32" x14ac:dyDescent="0.2">
      <c r="AF9337" s="679"/>
    </row>
    <row r="9338" spans="32:32" x14ac:dyDescent="0.2">
      <c r="AF9338" s="679"/>
    </row>
    <row r="9339" spans="32:32" x14ac:dyDescent="0.2">
      <c r="AF9339" s="679"/>
    </row>
    <row r="9340" spans="32:32" x14ac:dyDescent="0.2">
      <c r="AF9340" s="679"/>
    </row>
    <row r="9341" spans="32:32" x14ac:dyDescent="0.2">
      <c r="AF9341" s="679"/>
    </row>
    <row r="9342" spans="32:32" x14ac:dyDescent="0.2">
      <c r="AF9342" s="679"/>
    </row>
    <row r="9343" spans="32:32" x14ac:dyDescent="0.2">
      <c r="AF9343" s="679"/>
    </row>
    <row r="9344" spans="32:32" x14ac:dyDescent="0.2">
      <c r="AF9344" s="679"/>
    </row>
    <row r="9345" spans="32:32" x14ac:dyDescent="0.2">
      <c r="AF9345" s="679"/>
    </row>
    <row r="9346" spans="32:32" x14ac:dyDescent="0.2">
      <c r="AF9346" s="679"/>
    </row>
    <row r="9347" spans="32:32" x14ac:dyDescent="0.2">
      <c r="AF9347" s="679"/>
    </row>
    <row r="9348" spans="32:32" x14ac:dyDescent="0.2">
      <c r="AF9348" s="679"/>
    </row>
    <row r="9349" spans="32:32" x14ac:dyDescent="0.2">
      <c r="AF9349" s="679"/>
    </row>
    <row r="9350" spans="32:32" x14ac:dyDescent="0.2">
      <c r="AF9350" s="679"/>
    </row>
    <row r="9351" spans="32:32" x14ac:dyDescent="0.2">
      <c r="AF9351" s="679"/>
    </row>
    <row r="9352" spans="32:32" x14ac:dyDescent="0.2">
      <c r="AF9352" s="679"/>
    </row>
    <row r="9353" spans="32:32" x14ac:dyDescent="0.2">
      <c r="AF9353" s="679"/>
    </row>
    <row r="9354" spans="32:32" x14ac:dyDescent="0.2">
      <c r="AF9354" s="679"/>
    </row>
    <row r="9355" spans="32:32" x14ac:dyDescent="0.2">
      <c r="AF9355" s="679"/>
    </row>
    <row r="9356" spans="32:32" x14ac:dyDescent="0.2">
      <c r="AF9356" s="679"/>
    </row>
    <row r="9357" spans="32:32" x14ac:dyDescent="0.2">
      <c r="AF9357" s="679"/>
    </row>
    <row r="9358" spans="32:32" x14ac:dyDescent="0.2">
      <c r="AF9358" s="679"/>
    </row>
    <row r="9359" spans="32:32" x14ac:dyDescent="0.2">
      <c r="AF9359" s="679"/>
    </row>
    <row r="9360" spans="32:32" x14ac:dyDescent="0.2">
      <c r="AF9360" s="679"/>
    </row>
    <row r="9361" spans="32:32" x14ac:dyDescent="0.2">
      <c r="AF9361" s="679"/>
    </row>
    <row r="9362" spans="32:32" x14ac:dyDescent="0.2">
      <c r="AF9362" s="679"/>
    </row>
    <row r="9363" spans="32:32" x14ac:dyDescent="0.2">
      <c r="AF9363" s="679"/>
    </row>
    <row r="9364" spans="32:32" x14ac:dyDescent="0.2">
      <c r="AF9364" s="679"/>
    </row>
    <row r="9365" spans="32:32" x14ac:dyDescent="0.2">
      <c r="AF9365" s="679"/>
    </row>
    <row r="9366" spans="32:32" x14ac:dyDescent="0.2">
      <c r="AF9366" s="679"/>
    </row>
    <row r="9367" spans="32:32" x14ac:dyDescent="0.2">
      <c r="AF9367" s="679"/>
    </row>
    <row r="9368" spans="32:32" x14ac:dyDescent="0.2">
      <c r="AF9368" s="679"/>
    </row>
    <row r="9369" spans="32:32" x14ac:dyDescent="0.2">
      <c r="AF9369" s="679"/>
    </row>
    <row r="9370" spans="32:32" x14ac:dyDescent="0.2">
      <c r="AF9370" s="679"/>
    </row>
    <row r="9371" spans="32:32" x14ac:dyDescent="0.2">
      <c r="AF9371" s="679"/>
    </row>
    <row r="9372" spans="32:32" x14ac:dyDescent="0.2">
      <c r="AF9372" s="679"/>
    </row>
    <row r="9373" spans="32:32" x14ac:dyDescent="0.2">
      <c r="AF9373" s="679"/>
    </row>
    <row r="9374" spans="32:32" x14ac:dyDescent="0.2">
      <c r="AF9374" s="679"/>
    </row>
    <row r="9375" spans="32:32" x14ac:dyDescent="0.2">
      <c r="AF9375" s="679"/>
    </row>
    <row r="9376" spans="32:32" x14ac:dyDescent="0.2">
      <c r="AF9376" s="679"/>
    </row>
    <row r="9377" spans="32:32" x14ac:dyDescent="0.2">
      <c r="AF9377" s="679"/>
    </row>
    <row r="9378" spans="32:32" x14ac:dyDescent="0.2">
      <c r="AF9378" s="679"/>
    </row>
    <row r="9379" spans="32:32" x14ac:dyDescent="0.2">
      <c r="AF9379" s="679"/>
    </row>
    <row r="9380" spans="32:32" x14ac:dyDescent="0.2">
      <c r="AF9380" s="679"/>
    </row>
    <row r="9381" spans="32:32" x14ac:dyDescent="0.2">
      <c r="AF9381" s="679"/>
    </row>
    <row r="9382" spans="32:32" x14ac:dyDescent="0.2">
      <c r="AF9382" s="679"/>
    </row>
    <row r="9383" spans="32:32" x14ac:dyDescent="0.2">
      <c r="AF9383" s="679"/>
    </row>
    <row r="9384" spans="32:32" x14ac:dyDescent="0.2">
      <c r="AF9384" s="679"/>
    </row>
    <row r="9385" spans="32:32" x14ac:dyDescent="0.2">
      <c r="AF9385" s="679"/>
    </row>
    <row r="9386" spans="32:32" x14ac:dyDescent="0.2">
      <c r="AF9386" s="679"/>
    </row>
    <row r="9387" spans="32:32" x14ac:dyDescent="0.2">
      <c r="AF9387" s="679"/>
    </row>
    <row r="9388" spans="32:32" x14ac:dyDescent="0.2">
      <c r="AF9388" s="679"/>
    </row>
    <row r="9389" spans="32:32" x14ac:dyDescent="0.2">
      <c r="AF9389" s="679"/>
    </row>
    <row r="9390" spans="32:32" x14ac:dyDescent="0.2">
      <c r="AF9390" s="679"/>
    </row>
    <row r="9391" spans="32:32" x14ac:dyDescent="0.2">
      <c r="AF9391" s="679"/>
    </row>
    <row r="9392" spans="32:32" x14ac:dyDescent="0.2">
      <c r="AF9392" s="679"/>
    </row>
    <row r="9393" spans="32:32" x14ac:dyDescent="0.2">
      <c r="AF9393" s="679"/>
    </row>
    <row r="9394" spans="32:32" x14ac:dyDescent="0.2">
      <c r="AF9394" s="679"/>
    </row>
    <row r="9395" spans="32:32" x14ac:dyDescent="0.2">
      <c r="AF9395" s="679"/>
    </row>
    <row r="9396" spans="32:32" x14ac:dyDescent="0.2">
      <c r="AF9396" s="679"/>
    </row>
    <row r="9397" spans="32:32" x14ac:dyDescent="0.2">
      <c r="AF9397" s="679"/>
    </row>
    <row r="9398" spans="32:32" x14ac:dyDescent="0.2">
      <c r="AF9398" s="679"/>
    </row>
    <row r="9399" spans="32:32" x14ac:dyDescent="0.2">
      <c r="AF9399" s="679"/>
    </row>
    <row r="9400" spans="32:32" x14ac:dyDescent="0.2">
      <c r="AF9400" s="679"/>
    </row>
    <row r="9401" spans="32:32" x14ac:dyDescent="0.2">
      <c r="AF9401" s="679"/>
    </row>
    <row r="9402" spans="32:32" x14ac:dyDescent="0.2">
      <c r="AF9402" s="679"/>
    </row>
    <row r="9403" spans="32:32" x14ac:dyDescent="0.2">
      <c r="AF9403" s="679"/>
    </row>
    <row r="9404" spans="32:32" x14ac:dyDescent="0.2">
      <c r="AF9404" s="679"/>
    </row>
    <row r="9405" spans="32:32" x14ac:dyDescent="0.2">
      <c r="AF9405" s="679"/>
    </row>
    <row r="9406" spans="32:32" x14ac:dyDescent="0.2">
      <c r="AF9406" s="679"/>
    </row>
    <row r="9407" spans="32:32" x14ac:dyDescent="0.2">
      <c r="AF9407" s="679"/>
    </row>
    <row r="9408" spans="32:32" x14ac:dyDescent="0.2">
      <c r="AF9408" s="679"/>
    </row>
    <row r="9409" spans="32:32" x14ac:dyDescent="0.2">
      <c r="AF9409" s="679"/>
    </row>
    <row r="9410" spans="32:32" x14ac:dyDescent="0.2">
      <c r="AF9410" s="679"/>
    </row>
    <row r="9411" spans="32:32" x14ac:dyDescent="0.2">
      <c r="AF9411" s="679"/>
    </row>
    <row r="9412" spans="32:32" x14ac:dyDescent="0.2">
      <c r="AF9412" s="679"/>
    </row>
    <row r="9413" spans="32:32" x14ac:dyDescent="0.2">
      <c r="AF9413" s="679"/>
    </row>
    <row r="9414" spans="32:32" x14ac:dyDescent="0.2">
      <c r="AF9414" s="679"/>
    </row>
    <row r="9415" spans="32:32" x14ac:dyDescent="0.2">
      <c r="AF9415" s="679"/>
    </row>
    <row r="9416" spans="32:32" x14ac:dyDescent="0.2">
      <c r="AF9416" s="679"/>
    </row>
    <row r="9417" spans="32:32" x14ac:dyDescent="0.2">
      <c r="AF9417" s="679"/>
    </row>
    <row r="9418" spans="32:32" x14ac:dyDescent="0.2">
      <c r="AF9418" s="679"/>
    </row>
    <row r="9419" spans="32:32" x14ac:dyDescent="0.2">
      <c r="AF9419" s="679"/>
    </row>
    <row r="9420" spans="32:32" x14ac:dyDescent="0.2">
      <c r="AF9420" s="679"/>
    </row>
    <row r="9421" spans="32:32" x14ac:dyDescent="0.2">
      <c r="AF9421" s="679"/>
    </row>
    <row r="9422" spans="32:32" x14ac:dyDescent="0.2">
      <c r="AF9422" s="679"/>
    </row>
    <row r="9423" spans="32:32" x14ac:dyDescent="0.2">
      <c r="AF9423" s="679"/>
    </row>
    <row r="9424" spans="32:32" x14ac:dyDescent="0.2">
      <c r="AF9424" s="679"/>
    </row>
    <row r="9425" spans="32:32" x14ac:dyDescent="0.2">
      <c r="AF9425" s="679"/>
    </row>
    <row r="9426" spans="32:32" x14ac:dyDescent="0.2">
      <c r="AF9426" s="679"/>
    </row>
    <row r="9427" spans="32:32" x14ac:dyDescent="0.2">
      <c r="AF9427" s="679"/>
    </row>
    <row r="9428" spans="32:32" x14ac:dyDescent="0.2">
      <c r="AF9428" s="679"/>
    </row>
    <row r="9429" spans="32:32" x14ac:dyDescent="0.2">
      <c r="AF9429" s="679"/>
    </row>
    <row r="9430" spans="32:32" x14ac:dyDescent="0.2">
      <c r="AF9430" s="679"/>
    </row>
    <row r="9431" spans="32:32" x14ac:dyDescent="0.2">
      <c r="AF9431" s="679"/>
    </row>
    <row r="9432" spans="32:32" x14ac:dyDescent="0.2">
      <c r="AF9432" s="679"/>
    </row>
    <row r="9433" spans="32:32" x14ac:dyDescent="0.2">
      <c r="AF9433" s="679"/>
    </row>
    <row r="9434" spans="32:32" x14ac:dyDescent="0.2">
      <c r="AF9434" s="679"/>
    </row>
    <row r="9435" spans="32:32" x14ac:dyDescent="0.2">
      <c r="AF9435" s="679"/>
    </row>
    <row r="9436" spans="32:32" x14ac:dyDescent="0.2">
      <c r="AF9436" s="679"/>
    </row>
    <row r="9437" spans="32:32" x14ac:dyDescent="0.2">
      <c r="AF9437" s="679"/>
    </row>
    <row r="9438" spans="32:32" x14ac:dyDescent="0.2">
      <c r="AF9438" s="679"/>
    </row>
    <row r="9439" spans="32:32" x14ac:dyDescent="0.2">
      <c r="AF9439" s="679"/>
    </row>
    <row r="9440" spans="32:32" x14ac:dyDescent="0.2">
      <c r="AF9440" s="679"/>
    </row>
    <row r="9441" spans="32:32" x14ac:dyDescent="0.2">
      <c r="AF9441" s="679"/>
    </row>
    <row r="9442" spans="32:32" x14ac:dyDescent="0.2">
      <c r="AF9442" s="679"/>
    </row>
    <row r="9443" spans="32:32" x14ac:dyDescent="0.2">
      <c r="AF9443" s="679"/>
    </row>
    <row r="9444" spans="32:32" x14ac:dyDescent="0.2">
      <c r="AF9444" s="679"/>
    </row>
    <row r="9445" spans="32:32" x14ac:dyDescent="0.2">
      <c r="AF9445" s="679"/>
    </row>
    <row r="9446" spans="32:32" x14ac:dyDescent="0.2">
      <c r="AF9446" s="679"/>
    </row>
    <row r="9447" spans="32:32" x14ac:dyDescent="0.2">
      <c r="AF9447" s="679"/>
    </row>
    <row r="9448" spans="32:32" x14ac:dyDescent="0.2">
      <c r="AF9448" s="679"/>
    </row>
    <row r="9449" spans="32:32" x14ac:dyDescent="0.2">
      <c r="AF9449" s="679"/>
    </row>
    <row r="9450" spans="32:32" x14ac:dyDescent="0.2">
      <c r="AF9450" s="679"/>
    </row>
    <row r="9451" spans="32:32" x14ac:dyDescent="0.2">
      <c r="AF9451" s="679"/>
    </row>
    <row r="9452" spans="32:32" x14ac:dyDescent="0.2">
      <c r="AF9452" s="679"/>
    </row>
    <row r="9453" spans="32:32" x14ac:dyDescent="0.2">
      <c r="AF9453" s="679"/>
    </row>
    <row r="9454" spans="32:32" x14ac:dyDescent="0.2">
      <c r="AF9454" s="679"/>
    </row>
    <row r="9455" spans="32:32" x14ac:dyDescent="0.2">
      <c r="AF9455" s="679"/>
    </row>
    <row r="9456" spans="32:32" x14ac:dyDescent="0.2">
      <c r="AF9456" s="679"/>
    </row>
    <row r="9457" spans="32:32" x14ac:dyDescent="0.2">
      <c r="AF9457" s="679"/>
    </row>
    <row r="9458" spans="32:32" x14ac:dyDescent="0.2">
      <c r="AF9458" s="679"/>
    </row>
    <row r="9459" spans="32:32" x14ac:dyDescent="0.2">
      <c r="AF9459" s="679"/>
    </row>
    <row r="9460" spans="32:32" x14ac:dyDescent="0.2">
      <c r="AF9460" s="679"/>
    </row>
    <row r="9461" spans="32:32" x14ac:dyDescent="0.2">
      <c r="AF9461" s="679"/>
    </row>
    <row r="9462" spans="32:32" x14ac:dyDescent="0.2">
      <c r="AF9462" s="679"/>
    </row>
    <row r="9463" spans="32:32" x14ac:dyDescent="0.2">
      <c r="AF9463" s="679"/>
    </row>
    <row r="9464" spans="32:32" x14ac:dyDescent="0.2">
      <c r="AF9464" s="679"/>
    </row>
    <row r="9465" spans="32:32" x14ac:dyDescent="0.2">
      <c r="AF9465" s="679"/>
    </row>
    <row r="9466" spans="32:32" x14ac:dyDescent="0.2">
      <c r="AF9466" s="679"/>
    </row>
    <row r="9467" spans="32:32" x14ac:dyDescent="0.2">
      <c r="AF9467" s="679"/>
    </row>
    <row r="9468" spans="32:32" x14ac:dyDescent="0.2">
      <c r="AF9468" s="679"/>
    </row>
    <row r="9469" spans="32:32" x14ac:dyDescent="0.2">
      <c r="AF9469" s="679"/>
    </row>
    <row r="9470" spans="32:32" x14ac:dyDescent="0.2">
      <c r="AF9470" s="679"/>
    </row>
    <row r="9471" spans="32:32" x14ac:dyDescent="0.2">
      <c r="AF9471" s="679"/>
    </row>
    <row r="9472" spans="32:32" x14ac:dyDescent="0.2">
      <c r="AF9472" s="679"/>
    </row>
    <row r="9473" spans="32:32" x14ac:dyDescent="0.2">
      <c r="AF9473" s="679"/>
    </row>
    <row r="9474" spans="32:32" x14ac:dyDescent="0.2">
      <c r="AF9474" s="679"/>
    </row>
    <row r="9475" spans="32:32" x14ac:dyDescent="0.2">
      <c r="AF9475" s="679"/>
    </row>
    <row r="9476" spans="32:32" x14ac:dyDescent="0.2">
      <c r="AF9476" s="679"/>
    </row>
    <row r="9477" spans="32:32" x14ac:dyDescent="0.2">
      <c r="AF9477" s="679"/>
    </row>
    <row r="9478" spans="32:32" x14ac:dyDescent="0.2">
      <c r="AF9478" s="679"/>
    </row>
    <row r="9479" spans="32:32" x14ac:dyDescent="0.2">
      <c r="AF9479" s="679"/>
    </row>
    <row r="9480" spans="32:32" x14ac:dyDescent="0.2">
      <c r="AF9480" s="679"/>
    </row>
    <row r="9481" spans="32:32" x14ac:dyDescent="0.2">
      <c r="AF9481" s="679"/>
    </row>
    <row r="9482" spans="32:32" x14ac:dyDescent="0.2">
      <c r="AF9482" s="679"/>
    </row>
    <row r="9483" spans="32:32" x14ac:dyDescent="0.2">
      <c r="AF9483" s="679"/>
    </row>
    <row r="9484" spans="32:32" x14ac:dyDescent="0.2">
      <c r="AF9484" s="679"/>
    </row>
    <row r="9485" spans="32:32" x14ac:dyDescent="0.2">
      <c r="AF9485" s="679"/>
    </row>
    <row r="9486" spans="32:32" x14ac:dyDescent="0.2">
      <c r="AF9486" s="679"/>
    </row>
    <row r="9487" spans="32:32" x14ac:dyDescent="0.2">
      <c r="AF9487" s="679"/>
    </row>
    <row r="9488" spans="32:32" x14ac:dyDescent="0.2">
      <c r="AF9488" s="679"/>
    </row>
    <row r="9489" spans="32:32" x14ac:dyDescent="0.2">
      <c r="AF9489" s="679"/>
    </row>
    <row r="9490" spans="32:32" x14ac:dyDescent="0.2">
      <c r="AF9490" s="679"/>
    </row>
    <row r="9491" spans="32:32" x14ac:dyDescent="0.2">
      <c r="AF9491" s="679"/>
    </row>
    <row r="9492" spans="32:32" x14ac:dyDescent="0.2">
      <c r="AF9492" s="679"/>
    </row>
    <row r="9493" spans="32:32" x14ac:dyDescent="0.2">
      <c r="AF9493" s="679"/>
    </row>
    <row r="9494" spans="32:32" x14ac:dyDescent="0.2">
      <c r="AF9494" s="679"/>
    </row>
    <row r="9495" spans="32:32" x14ac:dyDescent="0.2">
      <c r="AF9495" s="679"/>
    </row>
    <row r="9496" spans="32:32" x14ac:dyDescent="0.2">
      <c r="AF9496" s="679"/>
    </row>
    <row r="9497" spans="32:32" x14ac:dyDescent="0.2">
      <c r="AF9497" s="679"/>
    </row>
    <row r="9498" spans="32:32" x14ac:dyDescent="0.2">
      <c r="AF9498" s="679"/>
    </row>
    <row r="9499" spans="32:32" x14ac:dyDescent="0.2">
      <c r="AF9499" s="679"/>
    </row>
    <row r="9500" spans="32:32" x14ac:dyDescent="0.2">
      <c r="AF9500" s="679"/>
    </row>
    <row r="9501" spans="32:32" x14ac:dyDescent="0.2">
      <c r="AF9501" s="679"/>
    </row>
    <row r="9502" spans="32:32" x14ac:dyDescent="0.2">
      <c r="AF9502" s="679"/>
    </row>
    <row r="9503" spans="32:32" x14ac:dyDescent="0.2">
      <c r="AF9503" s="679"/>
    </row>
    <row r="9504" spans="32:32" x14ac:dyDescent="0.2">
      <c r="AF9504" s="679"/>
    </row>
    <row r="9505" spans="32:32" x14ac:dyDescent="0.2">
      <c r="AF9505" s="679"/>
    </row>
    <row r="9506" spans="32:32" x14ac:dyDescent="0.2">
      <c r="AF9506" s="679"/>
    </row>
    <row r="9507" spans="32:32" x14ac:dyDescent="0.2">
      <c r="AF9507" s="679"/>
    </row>
    <row r="9508" spans="32:32" x14ac:dyDescent="0.2">
      <c r="AF9508" s="679"/>
    </row>
    <row r="9509" spans="32:32" x14ac:dyDescent="0.2">
      <c r="AF9509" s="679"/>
    </row>
    <row r="9510" spans="32:32" x14ac:dyDescent="0.2">
      <c r="AF9510" s="679"/>
    </row>
    <row r="9511" spans="32:32" x14ac:dyDescent="0.2">
      <c r="AF9511" s="679"/>
    </row>
    <row r="9512" spans="32:32" x14ac:dyDescent="0.2">
      <c r="AF9512" s="679"/>
    </row>
    <row r="9513" spans="32:32" x14ac:dyDescent="0.2">
      <c r="AF9513" s="679"/>
    </row>
    <row r="9514" spans="32:32" x14ac:dyDescent="0.2">
      <c r="AF9514" s="679"/>
    </row>
    <row r="9515" spans="32:32" x14ac:dyDescent="0.2">
      <c r="AF9515" s="679"/>
    </row>
    <row r="9516" spans="32:32" x14ac:dyDescent="0.2">
      <c r="AF9516" s="679"/>
    </row>
    <row r="9517" spans="32:32" x14ac:dyDescent="0.2">
      <c r="AF9517" s="679"/>
    </row>
    <row r="9518" spans="32:32" x14ac:dyDescent="0.2">
      <c r="AF9518" s="679"/>
    </row>
    <row r="9519" spans="32:32" x14ac:dyDescent="0.2">
      <c r="AF9519" s="679"/>
    </row>
    <row r="9520" spans="32:32" x14ac:dyDescent="0.2">
      <c r="AF9520" s="679"/>
    </row>
    <row r="9521" spans="32:32" x14ac:dyDescent="0.2">
      <c r="AF9521" s="679"/>
    </row>
    <row r="9522" spans="32:32" x14ac:dyDescent="0.2">
      <c r="AF9522" s="679"/>
    </row>
    <row r="9523" spans="32:32" x14ac:dyDescent="0.2">
      <c r="AF9523" s="679"/>
    </row>
    <row r="9524" spans="32:32" x14ac:dyDescent="0.2">
      <c r="AF9524" s="679"/>
    </row>
    <row r="9525" spans="32:32" x14ac:dyDescent="0.2">
      <c r="AF9525" s="679"/>
    </row>
    <row r="9526" spans="32:32" x14ac:dyDescent="0.2">
      <c r="AF9526" s="679"/>
    </row>
    <row r="9527" spans="32:32" x14ac:dyDescent="0.2">
      <c r="AF9527" s="679"/>
    </row>
    <row r="9528" spans="32:32" x14ac:dyDescent="0.2">
      <c r="AF9528" s="679"/>
    </row>
    <row r="9529" spans="32:32" x14ac:dyDescent="0.2">
      <c r="AF9529" s="679"/>
    </row>
    <row r="9530" spans="32:32" x14ac:dyDescent="0.2">
      <c r="AF9530" s="679"/>
    </row>
    <row r="9531" spans="32:32" x14ac:dyDescent="0.2">
      <c r="AF9531" s="679"/>
    </row>
    <row r="9532" spans="32:32" x14ac:dyDescent="0.2">
      <c r="AF9532" s="679"/>
    </row>
    <row r="9533" spans="32:32" x14ac:dyDescent="0.2">
      <c r="AF9533" s="679"/>
    </row>
    <row r="9534" spans="32:32" x14ac:dyDescent="0.2">
      <c r="AF9534" s="679"/>
    </row>
    <row r="9535" spans="32:32" x14ac:dyDescent="0.2">
      <c r="AF9535" s="679"/>
    </row>
    <row r="9536" spans="32:32" x14ac:dyDescent="0.2">
      <c r="AF9536" s="679"/>
    </row>
    <row r="9537" spans="32:32" x14ac:dyDescent="0.2">
      <c r="AF9537" s="679"/>
    </row>
    <row r="9538" spans="32:32" x14ac:dyDescent="0.2">
      <c r="AF9538" s="679"/>
    </row>
    <row r="9539" spans="32:32" x14ac:dyDescent="0.2">
      <c r="AF9539" s="679"/>
    </row>
    <row r="9540" spans="32:32" x14ac:dyDescent="0.2">
      <c r="AF9540" s="679"/>
    </row>
    <row r="9541" spans="32:32" x14ac:dyDescent="0.2">
      <c r="AF9541" s="679"/>
    </row>
    <row r="9542" spans="32:32" x14ac:dyDescent="0.2">
      <c r="AF9542" s="679"/>
    </row>
    <row r="9543" spans="32:32" x14ac:dyDescent="0.2">
      <c r="AF9543" s="679"/>
    </row>
    <row r="9544" spans="32:32" x14ac:dyDescent="0.2">
      <c r="AF9544" s="679"/>
    </row>
    <row r="9545" spans="32:32" x14ac:dyDescent="0.2">
      <c r="AF9545" s="679"/>
    </row>
    <row r="9546" spans="32:32" x14ac:dyDescent="0.2">
      <c r="AF9546" s="679"/>
    </row>
    <row r="9547" spans="32:32" x14ac:dyDescent="0.2">
      <c r="AF9547" s="679"/>
    </row>
    <row r="9548" spans="32:32" x14ac:dyDescent="0.2">
      <c r="AF9548" s="679"/>
    </row>
    <row r="9549" spans="32:32" x14ac:dyDescent="0.2">
      <c r="AF9549" s="679"/>
    </row>
    <row r="9550" spans="32:32" x14ac:dyDescent="0.2">
      <c r="AF9550" s="679"/>
    </row>
    <row r="9551" spans="32:32" x14ac:dyDescent="0.2">
      <c r="AF9551" s="679"/>
    </row>
    <row r="9552" spans="32:32" x14ac:dyDescent="0.2">
      <c r="AF9552" s="679"/>
    </row>
    <row r="9553" spans="32:32" x14ac:dyDescent="0.2">
      <c r="AF9553" s="679"/>
    </row>
    <row r="9554" spans="32:32" x14ac:dyDescent="0.2">
      <c r="AF9554" s="679"/>
    </row>
    <row r="9555" spans="32:32" x14ac:dyDescent="0.2">
      <c r="AF9555" s="679"/>
    </row>
    <row r="9556" spans="32:32" x14ac:dyDescent="0.2">
      <c r="AF9556" s="679"/>
    </row>
    <row r="9557" spans="32:32" x14ac:dyDescent="0.2">
      <c r="AF9557" s="679"/>
    </row>
    <row r="9558" spans="32:32" x14ac:dyDescent="0.2">
      <c r="AF9558" s="679"/>
    </row>
    <row r="9559" spans="32:32" x14ac:dyDescent="0.2">
      <c r="AF9559" s="679"/>
    </row>
    <row r="9560" spans="32:32" x14ac:dyDescent="0.2">
      <c r="AF9560" s="679"/>
    </row>
    <row r="9561" spans="32:32" x14ac:dyDescent="0.2">
      <c r="AF9561" s="679"/>
    </row>
    <row r="9562" spans="32:32" x14ac:dyDescent="0.2">
      <c r="AF9562" s="679"/>
    </row>
    <row r="9563" spans="32:32" x14ac:dyDescent="0.2">
      <c r="AF9563" s="679"/>
    </row>
    <row r="9564" spans="32:32" x14ac:dyDescent="0.2">
      <c r="AF9564" s="679"/>
    </row>
    <row r="9565" spans="32:32" x14ac:dyDescent="0.2">
      <c r="AF9565" s="679"/>
    </row>
    <row r="9566" spans="32:32" x14ac:dyDescent="0.2">
      <c r="AF9566" s="679"/>
    </row>
    <row r="9567" spans="32:32" x14ac:dyDescent="0.2">
      <c r="AF9567" s="679"/>
    </row>
    <row r="9568" spans="32:32" x14ac:dyDescent="0.2">
      <c r="AF9568" s="679"/>
    </row>
    <row r="9569" spans="32:32" x14ac:dyDescent="0.2">
      <c r="AF9569" s="679"/>
    </row>
    <row r="9570" spans="32:32" x14ac:dyDescent="0.2">
      <c r="AF9570" s="679"/>
    </row>
    <row r="9571" spans="32:32" x14ac:dyDescent="0.2">
      <c r="AF9571" s="679"/>
    </row>
    <row r="9572" spans="32:32" x14ac:dyDescent="0.2">
      <c r="AF9572" s="679"/>
    </row>
    <row r="9573" spans="32:32" x14ac:dyDescent="0.2">
      <c r="AF9573" s="679"/>
    </row>
    <row r="9574" spans="32:32" x14ac:dyDescent="0.2">
      <c r="AF9574" s="679"/>
    </row>
    <row r="9575" spans="32:32" x14ac:dyDescent="0.2">
      <c r="AF9575" s="679"/>
    </row>
    <row r="9576" spans="32:32" x14ac:dyDescent="0.2">
      <c r="AF9576" s="679"/>
    </row>
    <row r="9577" spans="32:32" x14ac:dyDescent="0.2">
      <c r="AF9577" s="679"/>
    </row>
    <row r="9578" spans="32:32" x14ac:dyDescent="0.2">
      <c r="AF9578" s="679"/>
    </row>
    <row r="9579" spans="32:32" x14ac:dyDescent="0.2">
      <c r="AF9579" s="679"/>
    </row>
    <row r="9580" spans="32:32" x14ac:dyDescent="0.2">
      <c r="AF9580" s="679"/>
    </row>
    <row r="9581" spans="32:32" x14ac:dyDescent="0.2">
      <c r="AF9581" s="679"/>
    </row>
    <row r="9582" spans="32:32" x14ac:dyDescent="0.2">
      <c r="AF9582" s="679"/>
    </row>
    <row r="9583" spans="32:32" x14ac:dyDescent="0.2">
      <c r="AF9583" s="679"/>
    </row>
    <row r="9584" spans="32:32" x14ac:dyDescent="0.2">
      <c r="AF9584" s="679"/>
    </row>
    <row r="9585" spans="32:32" x14ac:dyDescent="0.2">
      <c r="AF9585" s="679"/>
    </row>
    <row r="9586" spans="32:32" x14ac:dyDescent="0.2">
      <c r="AF9586" s="679"/>
    </row>
    <row r="9587" spans="32:32" x14ac:dyDescent="0.2">
      <c r="AF9587" s="679"/>
    </row>
    <row r="9588" spans="32:32" x14ac:dyDescent="0.2">
      <c r="AF9588" s="679"/>
    </row>
    <row r="9589" spans="32:32" x14ac:dyDescent="0.2">
      <c r="AF9589" s="679"/>
    </row>
    <row r="9590" spans="32:32" x14ac:dyDescent="0.2">
      <c r="AF9590" s="679"/>
    </row>
    <row r="9591" spans="32:32" x14ac:dyDescent="0.2">
      <c r="AF9591" s="679"/>
    </row>
    <row r="9592" spans="32:32" x14ac:dyDescent="0.2">
      <c r="AF9592" s="679"/>
    </row>
    <row r="9593" spans="32:32" x14ac:dyDescent="0.2">
      <c r="AF9593" s="679"/>
    </row>
    <row r="9594" spans="32:32" x14ac:dyDescent="0.2">
      <c r="AF9594" s="679"/>
    </row>
    <row r="9595" spans="32:32" x14ac:dyDescent="0.2">
      <c r="AF9595" s="679"/>
    </row>
    <row r="9596" spans="32:32" x14ac:dyDescent="0.2">
      <c r="AF9596" s="679"/>
    </row>
    <row r="9597" spans="32:32" x14ac:dyDescent="0.2">
      <c r="AF9597" s="679"/>
    </row>
    <row r="9598" spans="32:32" x14ac:dyDescent="0.2">
      <c r="AF9598" s="679"/>
    </row>
    <row r="9599" spans="32:32" x14ac:dyDescent="0.2">
      <c r="AF9599" s="679"/>
    </row>
    <row r="9600" spans="32:32" x14ac:dyDescent="0.2">
      <c r="AF9600" s="679"/>
    </row>
    <row r="9601" spans="32:32" x14ac:dyDescent="0.2">
      <c r="AF9601" s="679"/>
    </row>
    <row r="9602" spans="32:32" x14ac:dyDescent="0.2">
      <c r="AF9602" s="679"/>
    </row>
    <row r="9603" spans="32:32" x14ac:dyDescent="0.2">
      <c r="AF9603" s="679"/>
    </row>
    <row r="9604" spans="32:32" x14ac:dyDescent="0.2">
      <c r="AF9604" s="679"/>
    </row>
    <row r="9605" spans="32:32" x14ac:dyDescent="0.2">
      <c r="AF9605" s="679"/>
    </row>
    <row r="9606" spans="32:32" x14ac:dyDescent="0.2">
      <c r="AF9606" s="679"/>
    </row>
    <row r="9607" spans="32:32" x14ac:dyDescent="0.2">
      <c r="AF9607" s="679"/>
    </row>
    <row r="9608" spans="32:32" x14ac:dyDescent="0.2">
      <c r="AF9608" s="679"/>
    </row>
    <row r="9609" spans="32:32" x14ac:dyDescent="0.2">
      <c r="AF9609" s="679"/>
    </row>
    <row r="9610" spans="32:32" x14ac:dyDescent="0.2">
      <c r="AF9610" s="679"/>
    </row>
    <row r="9611" spans="32:32" x14ac:dyDescent="0.2">
      <c r="AF9611" s="679"/>
    </row>
    <row r="9612" spans="32:32" x14ac:dyDescent="0.2">
      <c r="AF9612" s="679"/>
    </row>
    <row r="9613" spans="32:32" x14ac:dyDescent="0.2">
      <c r="AF9613" s="679"/>
    </row>
    <row r="9614" spans="32:32" x14ac:dyDescent="0.2">
      <c r="AF9614" s="679"/>
    </row>
    <row r="9615" spans="32:32" x14ac:dyDescent="0.2">
      <c r="AF9615" s="679"/>
    </row>
    <row r="9616" spans="32:32" x14ac:dyDescent="0.2">
      <c r="AF9616" s="679"/>
    </row>
    <row r="9617" spans="32:32" x14ac:dyDescent="0.2">
      <c r="AF9617" s="679"/>
    </row>
    <row r="9618" spans="32:32" x14ac:dyDescent="0.2">
      <c r="AF9618" s="679"/>
    </row>
    <row r="9619" spans="32:32" x14ac:dyDescent="0.2">
      <c r="AF9619" s="679"/>
    </row>
    <row r="9620" spans="32:32" x14ac:dyDescent="0.2">
      <c r="AF9620" s="679"/>
    </row>
    <row r="9621" spans="32:32" x14ac:dyDescent="0.2">
      <c r="AF9621" s="679"/>
    </row>
    <row r="9622" spans="32:32" x14ac:dyDescent="0.2">
      <c r="AF9622" s="679"/>
    </row>
    <row r="9623" spans="32:32" x14ac:dyDescent="0.2">
      <c r="AF9623" s="679"/>
    </row>
    <row r="9624" spans="32:32" x14ac:dyDescent="0.2">
      <c r="AF9624" s="679"/>
    </row>
    <row r="9625" spans="32:32" x14ac:dyDescent="0.2">
      <c r="AF9625" s="679"/>
    </row>
    <row r="9626" spans="32:32" x14ac:dyDescent="0.2">
      <c r="AF9626" s="679"/>
    </row>
    <row r="9627" spans="32:32" x14ac:dyDescent="0.2">
      <c r="AF9627" s="679"/>
    </row>
    <row r="9628" spans="32:32" x14ac:dyDescent="0.2">
      <c r="AF9628" s="679"/>
    </row>
    <row r="9629" spans="32:32" x14ac:dyDescent="0.2">
      <c r="AF9629" s="679"/>
    </row>
    <row r="9630" spans="32:32" x14ac:dyDescent="0.2">
      <c r="AF9630" s="679"/>
    </row>
    <row r="9631" spans="32:32" x14ac:dyDescent="0.2">
      <c r="AF9631" s="679"/>
    </row>
    <row r="9632" spans="32:32" x14ac:dyDescent="0.2">
      <c r="AF9632" s="679"/>
    </row>
    <row r="9633" spans="32:32" x14ac:dyDescent="0.2">
      <c r="AF9633" s="679"/>
    </row>
    <row r="9634" spans="32:32" x14ac:dyDescent="0.2">
      <c r="AF9634" s="679"/>
    </row>
    <row r="9635" spans="32:32" x14ac:dyDescent="0.2">
      <c r="AF9635" s="679"/>
    </row>
    <row r="9636" spans="32:32" x14ac:dyDescent="0.2">
      <c r="AF9636" s="679"/>
    </row>
    <row r="9637" spans="32:32" x14ac:dyDescent="0.2">
      <c r="AF9637" s="679"/>
    </row>
    <row r="9638" spans="32:32" x14ac:dyDescent="0.2">
      <c r="AF9638" s="679"/>
    </row>
    <row r="9639" spans="32:32" x14ac:dyDescent="0.2">
      <c r="AF9639" s="679"/>
    </row>
    <row r="9640" spans="32:32" x14ac:dyDescent="0.2">
      <c r="AF9640" s="679"/>
    </row>
    <row r="9641" spans="32:32" x14ac:dyDescent="0.2">
      <c r="AF9641" s="679"/>
    </row>
    <row r="9642" spans="32:32" x14ac:dyDescent="0.2">
      <c r="AF9642" s="679"/>
    </row>
    <row r="9643" spans="32:32" x14ac:dyDescent="0.2">
      <c r="AF9643" s="679"/>
    </row>
    <row r="9644" spans="32:32" x14ac:dyDescent="0.2">
      <c r="AF9644" s="679"/>
    </row>
    <row r="9645" spans="32:32" x14ac:dyDescent="0.2">
      <c r="AF9645" s="679"/>
    </row>
    <row r="9646" spans="32:32" x14ac:dyDescent="0.2">
      <c r="AF9646" s="679"/>
    </row>
    <row r="9647" spans="32:32" x14ac:dyDescent="0.2">
      <c r="AF9647" s="679"/>
    </row>
    <row r="9648" spans="32:32" x14ac:dyDescent="0.2">
      <c r="AF9648" s="679"/>
    </row>
    <row r="9649" spans="32:32" x14ac:dyDescent="0.2">
      <c r="AF9649" s="679"/>
    </row>
    <row r="9650" spans="32:32" x14ac:dyDescent="0.2">
      <c r="AF9650" s="679"/>
    </row>
    <row r="9651" spans="32:32" x14ac:dyDescent="0.2">
      <c r="AF9651" s="679"/>
    </row>
    <row r="9652" spans="32:32" x14ac:dyDescent="0.2">
      <c r="AF9652" s="679"/>
    </row>
    <row r="9653" spans="32:32" x14ac:dyDescent="0.2">
      <c r="AF9653" s="679"/>
    </row>
    <row r="9654" spans="32:32" x14ac:dyDescent="0.2">
      <c r="AF9654" s="679"/>
    </row>
    <row r="9655" spans="32:32" x14ac:dyDescent="0.2">
      <c r="AF9655" s="679"/>
    </row>
    <row r="9656" spans="32:32" x14ac:dyDescent="0.2">
      <c r="AF9656" s="679"/>
    </row>
    <row r="9657" spans="32:32" x14ac:dyDescent="0.2">
      <c r="AF9657" s="679"/>
    </row>
    <row r="9658" spans="32:32" x14ac:dyDescent="0.2">
      <c r="AF9658" s="679"/>
    </row>
    <row r="9659" spans="32:32" x14ac:dyDescent="0.2">
      <c r="AF9659" s="679"/>
    </row>
    <row r="9660" spans="32:32" x14ac:dyDescent="0.2">
      <c r="AF9660" s="679"/>
    </row>
    <row r="9661" spans="32:32" x14ac:dyDescent="0.2">
      <c r="AF9661" s="679"/>
    </row>
    <row r="9662" spans="32:32" x14ac:dyDescent="0.2">
      <c r="AF9662" s="679"/>
    </row>
    <row r="9663" spans="32:32" x14ac:dyDescent="0.2">
      <c r="AF9663" s="679"/>
    </row>
    <row r="9664" spans="32:32" x14ac:dyDescent="0.2">
      <c r="AF9664" s="679"/>
    </row>
    <row r="9665" spans="32:32" x14ac:dyDescent="0.2">
      <c r="AF9665" s="679"/>
    </row>
    <row r="9666" spans="32:32" x14ac:dyDescent="0.2">
      <c r="AF9666" s="679"/>
    </row>
    <row r="9667" spans="32:32" x14ac:dyDescent="0.2">
      <c r="AF9667" s="679"/>
    </row>
    <row r="9668" spans="32:32" x14ac:dyDescent="0.2">
      <c r="AF9668" s="679"/>
    </row>
    <row r="9669" spans="32:32" x14ac:dyDescent="0.2">
      <c r="AF9669" s="679"/>
    </row>
    <row r="9670" spans="32:32" x14ac:dyDescent="0.2">
      <c r="AF9670" s="679"/>
    </row>
    <row r="9671" spans="32:32" x14ac:dyDescent="0.2">
      <c r="AF9671" s="679"/>
    </row>
    <row r="9672" spans="32:32" x14ac:dyDescent="0.2">
      <c r="AF9672" s="679"/>
    </row>
    <row r="9673" spans="32:32" x14ac:dyDescent="0.2">
      <c r="AF9673" s="679"/>
    </row>
    <row r="9674" spans="32:32" x14ac:dyDescent="0.2">
      <c r="AF9674" s="679"/>
    </row>
    <row r="9675" spans="32:32" x14ac:dyDescent="0.2">
      <c r="AF9675" s="679"/>
    </row>
    <row r="9676" spans="32:32" x14ac:dyDescent="0.2">
      <c r="AF9676" s="679"/>
    </row>
    <row r="9677" spans="32:32" x14ac:dyDescent="0.2">
      <c r="AF9677" s="679"/>
    </row>
    <row r="9678" spans="32:32" x14ac:dyDescent="0.2">
      <c r="AF9678" s="679"/>
    </row>
    <row r="9679" spans="32:32" x14ac:dyDescent="0.2">
      <c r="AF9679" s="679"/>
    </row>
    <row r="9680" spans="32:32" x14ac:dyDescent="0.2">
      <c r="AF9680" s="679"/>
    </row>
    <row r="9681" spans="32:32" x14ac:dyDescent="0.2">
      <c r="AF9681" s="679"/>
    </row>
    <row r="9682" spans="32:32" x14ac:dyDescent="0.2">
      <c r="AF9682" s="679"/>
    </row>
    <row r="9683" spans="32:32" x14ac:dyDescent="0.2">
      <c r="AF9683" s="679"/>
    </row>
    <row r="9684" spans="32:32" x14ac:dyDescent="0.2">
      <c r="AF9684" s="679"/>
    </row>
    <row r="9685" spans="32:32" x14ac:dyDescent="0.2">
      <c r="AF9685" s="679"/>
    </row>
    <row r="9686" spans="32:32" x14ac:dyDescent="0.2">
      <c r="AF9686" s="679"/>
    </row>
    <row r="9687" spans="32:32" x14ac:dyDescent="0.2">
      <c r="AF9687" s="679"/>
    </row>
    <row r="9688" spans="32:32" x14ac:dyDescent="0.2">
      <c r="AF9688" s="679"/>
    </row>
    <row r="9689" spans="32:32" x14ac:dyDescent="0.2">
      <c r="AF9689" s="679"/>
    </row>
    <row r="9690" spans="32:32" x14ac:dyDescent="0.2">
      <c r="AF9690" s="679"/>
    </row>
    <row r="9691" spans="32:32" x14ac:dyDescent="0.2">
      <c r="AF9691" s="679"/>
    </row>
    <row r="9692" spans="32:32" x14ac:dyDescent="0.2">
      <c r="AF9692" s="679"/>
    </row>
    <row r="9693" spans="32:32" x14ac:dyDescent="0.2">
      <c r="AF9693" s="679"/>
    </row>
    <row r="9694" spans="32:32" x14ac:dyDescent="0.2">
      <c r="AF9694" s="679"/>
    </row>
    <row r="9695" spans="32:32" x14ac:dyDescent="0.2">
      <c r="AF9695" s="679"/>
    </row>
    <row r="9696" spans="32:32" x14ac:dyDescent="0.2">
      <c r="AF9696" s="679"/>
    </row>
    <row r="9697" spans="32:32" x14ac:dyDescent="0.2">
      <c r="AF9697" s="679"/>
    </row>
    <row r="9698" spans="32:32" x14ac:dyDescent="0.2">
      <c r="AF9698" s="679"/>
    </row>
    <row r="9699" spans="32:32" x14ac:dyDescent="0.2">
      <c r="AF9699" s="679"/>
    </row>
    <row r="9700" spans="32:32" x14ac:dyDescent="0.2">
      <c r="AF9700" s="679"/>
    </row>
    <row r="9701" spans="32:32" x14ac:dyDescent="0.2">
      <c r="AF9701" s="679"/>
    </row>
    <row r="9702" spans="32:32" x14ac:dyDescent="0.2">
      <c r="AF9702" s="679"/>
    </row>
    <row r="9703" spans="32:32" x14ac:dyDescent="0.2">
      <c r="AF9703" s="679"/>
    </row>
    <row r="9704" spans="32:32" x14ac:dyDescent="0.2">
      <c r="AF9704" s="679"/>
    </row>
    <row r="9705" spans="32:32" x14ac:dyDescent="0.2">
      <c r="AF9705" s="679"/>
    </row>
    <row r="9706" spans="32:32" x14ac:dyDescent="0.2">
      <c r="AF9706" s="679"/>
    </row>
    <row r="9707" spans="32:32" x14ac:dyDescent="0.2">
      <c r="AF9707" s="679"/>
    </row>
    <row r="9708" spans="32:32" x14ac:dyDescent="0.2">
      <c r="AF9708" s="679"/>
    </row>
    <row r="9709" spans="32:32" x14ac:dyDescent="0.2">
      <c r="AF9709" s="679"/>
    </row>
    <row r="9710" spans="32:32" x14ac:dyDescent="0.2">
      <c r="AF9710" s="679"/>
    </row>
    <row r="9711" spans="32:32" x14ac:dyDescent="0.2">
      <c r="AF9711" s="679"/>
    </row>
    <row r="9712" spans="32:32" x14ac:dyDescent="0.2">
      <c r="AF9712" s="679"/>
    </row>
    <row r="9713" spans="32:32" x14ac:dyDescent="0.2">
      <c r="AF9713" s="679"/>
    </row>
    <row r="9714" spans="32:32" x14ac:dyDescent="0.2">
      <c r="AF9714" s="679"/>
    </row>
    <row r="9715" spans="32:32" x14ac:dyDescent="0.2">
      <c r="AF9715" s="679"/>
    </row>
    <row r="9716" spans="32:32" x14ac:dyDescent="0.2">
      <c r="AF9716" s="679"/>
    </row>
    <row r="9717" spans="32:32" x14ac:dyDescent="0.2">
      <c r="AF9717" s="679"/>
    </row>
    <row r="9718" spans="32:32" x14ac:dyDescent="0.2">
      <c r="AF9718" s="679"/>
    </row>
    <row r="9719" spans="32:32" x14ac:dyDescent="0.2">
      <c r="AF9719" s="679"/>
    </row>
    <row r="9720" spans="32:32" x14ac:dyDescent="0.2">
      <c r="AF9720" s="679"/>
    </row>
    <row r="9721" spans="32:32" x14ac:dyDescent="0.2">
      <c r="AF9721" s="679"/>
    </row>
    <row r="9722" spans="32:32" x14ac:dyDescent="0.2">
      <c r="AF9722" s="679"/>
    </row>
    <row r="9723" spans="32:32" x14ac:dyDescent="0.2">
      <c r="AF9723" s="679"/>
    </row>
    <row r="9724" spans="32:32" x14ac:dyDescent="0.2">
      <c r="AF9724" s="679"/>
    </row>
    <row r="9725" spans="32:32" x14ac:dyDescent="0.2">
      <c r="AF9725" s="679"/>
    </row>
    <row r="9726" spans="32:32" x14ac:dyDescent="0.2">
      <c r="AF9726" s="679"/>
    </row>
    <row r="9727" spans="32:32" x14ac:dyDescent="0.2">
      <c r="AF9727" s="679"/>
    </row>
    <row r="9728" spans="32:32" x14ac:dyDescent="0.2">
      <c r="AF9728" s="679"/>
    </row>
    <row r="9729" spans="32:32" x14ac:dyDescent="0.2">
      <c r="AF9729" s="679"/>
    </row>
    <row r="9730" spans="32:32" x14ac:dyDescent="0.2">
      <c r="AF9730" s="679"/>
    </row>
    <row r="9731" spans="32:32" x14ac:dyDescent="0.2">
      <c r="AF9731" s="679"/>
    </row>
    <row r="9732" spans="32:32" x14ac:dyDescent="0.2">
      <c r="AF9732" s="679"/>
    </row>
    <row r="9733" spans="32:32" x14ac:dyDescent="0.2">
      <c r="AF9733" s="679"/>
    </row>
    <row r="9734" spans="32:32" x14ac:dyDescent="0.2">
      <c r="AF9734" s="679"/>
    </row>
    <row r="9735" spans="32:32" x14ac:dyDescent="0.2">
      <c r="AF9735" s="679"/>
    </row>
    <row r="9736" spans="32:32" x14ac:dyDescent="0.2">
      <c r="AF9736" s="679"/>
    </row>
    <row r="9737" spans="32:32" x14ac:dyDescent="0.2">
      <c r="AF9737" s="679"/>
    </row>
    <row r="9738" spans="32:32" x14ac:dyDescent="0.2">
      <c r="AF9738" s="679"/>
    </row>
    <row r="9739" spans="32:32" x14ac:dyDescent="0.2">
      <c r="AF9739" s="679"/>
    </row>
    <row r="9740" spans="32:32" x14ac:dyDescent="0.2">
      <c r="AF9740" s="679"/>
    </row>
    <row r="9741" spans="32:32" x14ac:dyDescent="0.2">
      <c r="AF9741" s="679"/>
    </row>
    <row r="9742" spans="32:32" x14ac:dyDescent="0.2">
      <c r="AF9742" s="679"/>
    </row>
    <row r="9743" spans="32:32" x14ac:dyDescent="0.2">
      <c r="AF9743" s="679"/>
    </row>
    <row r="9744" spans="32:32" x14ac:dyDescent="0.2">
      <c r="AF9744" s="679"/>
    </row>
    <row r="9745" spans="32:32" x14ac:dyDescent="0.2">
      <c r="AF9745" s="679"/>
    </row>
    <row r="9746" spans="32:32" x14ac:dyDescent="0.2">
      <c r="AF9746" s="679"/>
    </row>
    <row r="9747" spans="32:32" x14ac:dyDescent="0.2">
      <c r="AF9747" s="679"/>
    </row>
    <row r="9748" spans="32:32" x14ac:dyDescent="0.2">
      <c r="AF9748" s="679"/>
    </row>
    <row r="9749" spans="32:32" x14ac:dyDescent="0.2">
      <c r="AF9749" s="679"/>
    </row>
    <row r="9750" spans="32:32" x14ac:dyDescent="0.2">
      <c r="AF9750" s="679"/>
    </row>
    <row r="9751" spans="32:32" x14ac:dyDescent="0.2">
      <c r="AF9751" s="679"/>
    </row>
    <row r="9752" spans="32:32" x14ac:dyDescent="0.2">
      <c r="AF9752" s="679"/>
    </row>
    <row r="9753" spans="32:32" x14ac:dyDescent="0.2">
      <c r="AF9753" s="679"/>
    </row>
    <row r="9754" spans="32:32" x14ac:dyDescent="0.2">
      <c r="AF9754" s="679"/>
    </row>
    <row r="9755" spans="32:32" x14ac:dyDescent="0.2">
      <c r="AF9755" s="679"/>
    </row>
    <row r="9756" spans="32:32" x14ac:dyDescent="0.2">
      <c r="AF9756" s="679"/>
    </row>
    <row r="9757" spans="32:32" x14ac:dyDescent="0.2">
      <c r="AF9757" s="679"/>
    </row>
    <row r="9758" spans="32:32" x14ac:dyDescent="0.2">
      <c r="AF9758" s="679"/>
    </row>
    <row r="9759" spans="32:32" x14ac:dyDescent="0.2">
      <c r="AF9759" s="679"/>
    </row>
    <row r="9760" spans="32:32" x14ac:dyDescent="0.2">
      <c r="AF9760" s="679"/>
    </row>
    <row r="9761" spans="32:32" x14ac:dyDescent="0.2">
      <c r="AF9761" s="679"/>
    </row>
    <row r="9762" spans="32:32" x14ac:dyDescent="0.2">
      <c r="AF9762" s="679"/>
    </row>
    <row r="9763" spans="32:32" x14ac:dyDescent="0.2">
      <c r="AF9763" s="679"/>
    </row>
    <row r="9764" spans="32:32" x14ac:dyDescent="0.2">
      <c r="AF9764" s="679"/>
    </row>
    <row r="9765" spans="32:32" x14ac:dyDescent="0.2">
      <c r="AF9765" s="679"/>
    </row>
    <row r="9766" spans="32:32" x14ac:dyDescent="0.2">
      <c r="AF9766" s="679"/>
    </row>
    <row r="9767" spans="32:32" x14ac:dyDescent="0.2">
      <c r="AF9767" s="679"/>
    </row>
    <row r="9768" spans="32:32" x14ac:dyDescent="0.2">
      <c r="AF9768" s="679"/>
    </row>
    <row r="9769" spans="32:32" x14ac:dyDescent="0.2">
      <c r="AF9769" s="679"/>
    </row>
    <row r="9770" spans="32:32" x14ac:dyDescent="0.2">
      <c r="AF9770" s="679"/>
    </row>
    <row r="9771" spans="32:32" x14ac:dyDescent="0.2">
      <c r="AF9771" s="679"/>
    </row>
    <row r="9772" spans="32:32" x14ac:dyDescent="0.2">
      <c r="AF9772" s="679"/>
    </row>
    <row r="9773" spans="32:32" x14ac:dyDescent="0.2">
      <c r="AF9773" s="679"/>
    </row>
    <row r="9774" spans="32:32" x14ac:dyDescent="0.2">
      <c r="AF9774" s="679"/>
    </row>
    <row r="9775" spans="32:32" x14ac:dyDescent="0.2">
      <c r="AF9775" s="679"/>
    </row>
    <row r="9776" spans="32:32" x14ac:dyDescent="0.2">
      <c r="AF9776" s="679"/>
    </row>
    <row r="9777" spans="32:32" x14ac:dyDescent="0.2">
      <c r="AF9777" s="679"/>
    </row>
    <row r="9778" spans="32:32" x14ac:dyDescent="0.2">
      <c r="AF9778" s="679"/>
    </row>
    <row r="9779" spans="32:32" x14ac:dyDescent="0.2">
      <c r="AF9779" s="679"/>
    </row>
    <row r="9780" spans="32:32" x14ac:dyDescent="0.2">
      <c r="AF9780" s="679"/>
    </row>
    <row r="9781" spans="32:32" x14ac:dyDescent="0.2">
      <c r="AF9781" s="679"/>
    </row>
    <row r="9782" spans="32:32" x14ac:dyDescent="0.2">
      <c r="AF9782" s="679"/>
    </row>
    <row r="9783" spans="32:32" x14ac:dyDescent="0.2">
      <c r="AF9783" s="679"/>
    </row>
    <row r="9784" spans="32:32" x14ac:dyDescent="0.2">
      <c r="AF9784" s="679"/>
    </row>
    <row r="9785" spans="32:32" x14ac:dyDescent="0.2">
      <c r="AF9785" s="679"/>
    </row>
    <row r="9786" spans="32:32" x14ac:dyDescent="0.2">
      <c r="AF9786" s="679"/>
    </row>
    <row r="9787" spans="32:32" x14ac:dyDescent="0.2">
      <c r="AF9787" s="679"/>
    </row>
    <row r="9788" spans="32:32" x14ac:dyDescent="0.2">
      <c r="AF9788" s="679"/>
    </row>
    <row r="9789" spans="32:32" x14ac:dyDescent="0.2">
      <c r="AF9789" s="679"/>
    </row>
    <row r="9790" spans="32:32" x14ac:dyDescent="0.2">
      <c r="AF9790" s="679"/>
    </row>
    <row r="9791" spans="32:32" x14ac:dyDescent="0.2">
      <c r="AF9791" s="679"/>
    </row>
    <row r="9792" spans="32:32" x14ac:dyDescent="0.2">
      <c r="AF9792" s="679"/>
    </row>
    <row r="9793" spans="32:32" x14ac:dyDescent="0.2">
      <c r="AF9793" s="679"/>
    </row>
    <row r="9794" spans="32:32" x14ac:dyDescent="0.2">
      <c r="AF9794" s="679"/>
    </row>
    <row r="9795" spans="32:32" x14ac:dyDescent="0.2">
      <c r="AF9795" s="679"/>
    </row>
    <row r="9796" spans="32:32" x14ac:dyDescent="0.2">
      <c r="AF9796" s="679"/>
    </row>
    <row r="9797" spans="32:32" x14ac:dyDescent="0.2">
      <c r="AF9797" s="679"/>
    </row>
    <row r="9798" spans="32:32" x14ac:dyDescent="0.2">
      <c r="AF9798" s="679"/>
    </row>
    <row r="9799" spans="32:32" x14ac:dyDescent="0.2">
      <c r="AF9799" s="679"/>
    </row>
    <row r="9800" spans="32:32" x14ac:dyDescent="0.2">
      <c r="AF9800" s="679"/>
    </row>
    <row r="9801" spans="32:32" x14ac:dyDescent="0.2">
      <c r="AF9801" s="679"/>
    </row>
    <row r="9802" spans="32:32" x14ac:dyDescent="0.2">
      <c r="AF9802" s="679"/>
    </row>
    <row r="9803" spans="32:32" x14ac:dyDescent="0.2">
      <c r="AF9803" s="679"/>
    </row>
    <row r="9804" spans="32:32" x14ac:dyDescent="0.2">
      <c r="AF9804" s="679"/>
    </row>
    <row r="9805" spans="32:32" x14ac:dyDescent="0.2">
      <c r="AF9805" s="679"/>
    </row>
    <row r="9806" spans="32:32" x14ac:dyDescent="0.2">
      <c r="AF9806" s="679"/>
    </row>
    <row r="9807" spans="32:32" x14ac:dyDescent="0.2">
      <c r="AF9807" s="679"/>
    </row>
    <row r="9808" spans="32:32" x14ac:dyDescent="0.2">
      <c r="AF9808" s="679"/>
    </row>
    <row r="9809" spans="32:32" x14ac:dyDescent="0.2">
      <c r="AF9809" s="679"/>
    </row>
    <row r="9810" spans="32:32" x14ac:dyDescent="0.2">
      <c r="AF9810" s="679"/>
    </row>
    <row r="9811" spans="32:32" x14ac:dyDescent="0.2">
      <c r="AF9811" s="679"/>
    </row>
    <row r="9812" spans="32:32" x14ac:dyDescent="0.2">
      <c r="AF9812" s="679"/>
    </row>
    <row r="9813" spans="32:32" x14ac:dyDescent="0.2">
      <c r="AF9813" s="679"/>
    </row>
    <row r="9814" spans="32:32" x14ac:dyDescent="0.2">
      <c r="AF9814" s="679"/>
    </row>
    <row r="9815" spans="32:32" x14ac:dyDescent="0.2">
      <c r="AF9815" s="679"/>
    </row>
    <row r="9816" spans="32:32" x14ac:dyDescent="0.2">
      <c r="AF9816" s="679"/>
    </row>
    <row r="9817" spans="32:32" x14ac:dyDescent="0.2">
      <c r="AF9817" s="679"/>
    </row>
    <row r="9818" spans="32:32" x14ac:dyDescent="0.2">
      <c r="AF9818" s="679"/>
    </row>
    <row r="9819" spans="32:32" x14ac:dyDescent="0.2">
      <c r="AF9819" s="679"/>
    </row>
    <row r="9820" spans="32:32" x14ac:dyDescent="0.2">
      <c r="AF9820" s="679"/>
    </row>
    <row r="9821" spans="32:32" x14ac:dyDescent="0.2">
      <c r="AF9821" s="679"/>
    </row>
    <row r="9822" spans="32:32" x14ac:dyDescent="0.2">
      <c r="AF9822" s="679"/>
    </row>
    <row r="9823" spans="32:32" x14ac:dyDescent="0.2">
      <c r="AF9823" s="679"/>
    </row>
    <row r="9824" spans="32:32" x14ac:dyDescent="0.2">
      <c r="AF9824" s="679"/>
    </row>
    <row r="9825" spans="32:32" x14ac:dyDescent="0.2">
      <c r="AF9825" s="679"/>
    </row>
    <row r="9826" spans="32:32" x14ac:dyDescent="0.2">
      <c r="AF9826" s="679"/>
    </row>
    <row r="9827" spans="32:32" x14ac:dyDescent="0.2">
      <c r="AF9827" s="679"/>
    </row>
    <row r="9828" spans="32:32" x14ac:dyDescent="0.2">
      <c r="AF9828" s="679"/>
    </row>
    <row r="9829" spans="32:32" x14ac:dyDescent="0.2">
      <c r="AF9829" s="679"/>
    </row>
    <row r="9830" spans="32:32" x14ac:dyDescent="0.2">
      <c r="AF9830" s="679"/>
    </row>
    <row r="9831" spans="32:32" x14ac:dyDescent="0.2">
      <c r="AF9831" s="679"/>
    </row>
    <row r="9832" spans="32:32" x14ac:dyDescent="0.2">
      <c r="AF9832" s="679"/>
    </row>
    <row r="9833" spans="32:32" x14ac:dyDescent="0.2">
      <c r="AF9833" s="679"/>
    </row>
    <row r="9834" spans="32:32" x14ac:dyDescent="0.2">
      <c r="AF9834" s="679"/>
    </row>
    <row r="9835" spans="32:32" x14ac:dyDescent="0.2">
      <c r="AF9835" s="679"/>
    </row>
    <row r="9836" spans="32:32" x14ac:dyDescent="0.2">
      <c r="AF9836" s="679"/>
    </row>
    <row r="9837" spans="32:32" x14ac:dyDescent="0.2">
      <c r="AF9837" s="679"/>
    </row>
    <row r="9838" spans="32:32" x14ac:dyDescent="0.2">
      <c r="AF9838" s="679"/>
    </row>
    <row r="9839" spans="32:32" x14ac:dyDescent="0.2">
      <c r="AF9839" s="679"/>
    </row>
    <row r="9840" spans="32:32" x14ac:dyDescent="0.2">
      <c r="AF9840" s="679"/>
    </row>
    <row r="9841" spans="32:32" x14ac:dyDescent="0.2">
      <c r="AF9841" s="679"/>
    </row>
    <row r="9842" spans="32:32" x14ac:dyDescent="0.2">
      <c r="AF9842" s="679"/>
    </row>
    <row r="9843" spans="32:32" x14ac:dyDescent="0.2">
      <c r="AF9843" s="679"/>
    </row>
    <row r="9844" spans="32:32" x14ac:dyDescent="0.2">
      <c r="AF9844" s="679"/>
    </row>
    <row r="9845" spans="32:32" x14ac:dyDescent="0.2">
      <c r="AF9845" s="679"/>
    </row>
    <row r="9846" spans="32:32" x14ac:dyDescent="0.2">
      <c r="AF9846" s="679"/>
    </row>
    <row r="9847" spans="32:32" x14ac:dyDescent="0.2">
      <c r="AF9847" s="679"/>
    </row>
    <row r="9848" spans="32:32" x14ac:dyDescent="0.2">
      <c r="AF9848" s="679"/>
    </row>
    <row r="9849" spans="32:32" x14ac:dyDescent="0.2">
      <c r="AF9849" s="679"/>
    </row>
    <row r="9850" spans="32:32" x14ac:dyDescent="0.2">
      <c r="AF9850" s="679"/>
    </row>
    <row r="9851" spans="32:32" x14ac:dyDescent="0.2">
      <c r="AF9851" s="679"/>
    </row>
    <row r="9852" spans="32:32" x14ac:dyDescent="0.2">
      <c r="AF9852" s="679"/>
    </row>
    <row r="9853" spans="32:32" x14ac:dyDescent="0.2">
      <c r="AF9853" s="679"/>
    </row>
    <row r="9854" spans="32:32" x14ac:dyDescent="0.2">
      <c r="AF9854" s="679"/>
    </row>
    <row r="9855" spans="32:32" x14ac:dyDescent="0.2">
      <c r="AF9855" s="679"/>
    </row>
    <row r="9856" spans="32:32" x14ac:dyDescent="0.2">
      <c r="AF9856" s="679"/>
    </row>
    <row r="9857" spans="32:32" x14ac:dyDescent="0.2">
      <c r="AF9857" s="679"/>
    </row>
    <row r="9858" spans="32:32" x14ac:dyDescent="0.2">
      <c r="AF9858" s="679"/>
    </row>
    <row r="9859" spans="32:32" x14ac:dyDescent="0.2">
      <c r="AF9859" s="679"/>
    </row>
    <row r="9860" spans="32:32" x14ac:dyDescent="0.2">
      <c r="AF9860" s="679"/>
    </row>
    <row r="9861" spans="32:32" x14ac:dyDescent="0.2">
      <c r="AF9861" s="679"/>
    </row>
    <row r="9862" spans="32:32" x14ac:dyDescent="0.2">
      <c r="AF9862" s="679"/>
    </row>
    <row r="9863" spans="32:32" x14ac:dyDescent="0.2">
      <c r="AF9863" s="679"/>
    </row>
    <row r="9864" spans="32:32" x14ac:dyDescent="0.2">
      <c r="AF9864" s="679"/>
    </row>
    <row r="9865" spans="32:32" x14ac:dyDescent="0.2">
      <c r="AF9865" s="679"/>
    </row>
    <row r="9866" spans="32:32" x14ac:dyDescent="0.2">
      <c r="AF9866" s="679"/>
    </row>
    <row r="9867" spans="32:32" x14ac:dyDescent="0.2">
      <c r="AF9867" s="679"/>
    </row>
    <row r="9868" spans="32:32" x14ac:dyDescent="0.2">
      <c r="AF9868" s="679"/>
    </row>
    <row r="9869" spans="32:32" x14ac:dyDescent="0.2">
      <c r="AF9869" s="679"/>
    </row>
    <row r="9870" spans="32:32" x14ac:dyDescent="0.2">
      <c r="AF9870" s="679"/>
    </row>
    <row r="9871" spans="32:32" x14ac:dyDescent="0.2">
      <c r="AF9871" s="679"/>
    </row>
    <row r="9872" spans="32:32" x14ac:dyDescent="0.2">
      <c r="AF9872" s="679"/>
    </row>
    <row r="9873" spans="32:32" x14ac:dyDescent="0.2">
      <c r="AF9873" s="679"/>
    </row>
    <row r="9874" spans="32:32" x14ac:dyDescent="0.2">
      <c r="AF9874" s="679"/>
    </row>
    <row r="9875" spans="32:32" x14ac:dyDescent="0.2">
      <c r="AF9875" s="679"/>
    </row>
    <row r="9876" spans="32:32" x14ac:dyDescent="0.2">
      <c r="AF9876" s="679"/>
    </row>
    <row r="9877" spans="32:32" x14ac:dyDescent="0.2">
      <c r="AF9877" s="679"/>
    </row>
    <row r="9878" spans="32:32" x14ac:dyDescent="0.2">
      <c r="AF9878" s="679"/>
    </row>
    <row r="9879" spans="32:32" x14ac:dyDescent="0.2">
      <c r="AF9879" s="679"/>
    </row>
    <row r="9880" spans="32:32" x14ac:dyDescent="0.2">
      <c r="AF9880" s="679"/>
    </row>
    <row r="9881" spans="32:32" x14ac:dyDescent="0.2">
      <c r="AF9881" s="679"/>
    </row>
    <row r="9882" spans="32:32" x14ac:dyDescent="0.2">
      <c r="AF9882" s="679"/>
    </row>
    <row r="9883" spans="32:32" x14ac:dyDescent="0.2">
      <c r="AF9883" s="679"/>
    </row>
    <row r="9884" spans="32:32" x14ac:dyDescent="0.2">
      <c r="AF9884" s="679"/>
    </row>
    <row r="9885" spans="32:32" x14ac:dyDescent="0.2">
      <c r="AF9885" s="679"/>
    </row>
    <row r="9886" spans="32:32" x14ac:dyDescent="0.2">
      <c r="AF9886" s="679"/>
    </row>
    <row r="9887" spans="32:32" x14ac:dyDescent="0.2">
      <c r="AF9887" s="679"/>
    </row>
    <row r="9888" spans="32:32" x14ac:dyDescent="0.2">
      <c r="AF9888" s="679"/>
    </row>
    <row r="9889" spans="32:32" x14ac:dyDescent="0.2">
      <c r="AF9889" s="679"/>
    </row>
    <row r="9890" spans="32:32" x14ac:dyDescent="0.2">
      <c r="AF9890" s="679"/>
    </row>
    <row r="9891" spans="32:32" x14ac:dyDescent="0.2">
      <c r="AF9891" s="679"/>
    </row>
    <row r="9892" spans="32:32" x14ac:dyDescent="0.2">
      <c r="AF9892" s="679"/>
    </row>
    <row r="9893" spans="32:32" x14ac:dyDescent="0.2">
      <c r="AF9893" s="679"/>
    </row>
    <row r="9894" spans="32:32" x14ac:dyDescent="0.2">
      <c r="AF9894" s="679"/>
    </row>
    <row r="9895" spans="32:32" x14ac:dyDescent="0.2">
      <c r="AF9895" s="679"/>
    </row>
    <row r="9896" spans="32:32" x14ac:dyDescent="0.2">
      <c r="AF9896" s="679"/>
    </row>
    <row r="9897" spans="32:32" x14ac:dyDescent="0.2">
      <c r="AF9897" s="679"/>
    </row>
    <row r="9898" spans="32:32" x14ac:dyDescent="0.2">
      <c r="AF9898" s="679"/>
    </row>
    <row r="9899" spans="32:32" x14ac:dyDescent="0.2">
      <c r="AF9899" s="679"/>
    </row>
    <row r="9900" spans="32:32" x14ac:dyDescent="0.2">
      <c r="AF9900" s="679"/>
    </row>
    <row r="9901" spans="32:32" x14ac:dyDescent="0.2">
      <c r="AF9901" s="679"/>
    </row>
    <row r="9902" spans="32:32" x14ac:dyDescent="0.2">
      <c r="AF9902" s="679"/>
    </row>
    <row r="9903" spans="32:32" x14ac:dyDescent="0.2">
      <c r="AF9903" s="679"/>
    </row>
    <row r="9904" spans="32:32" x14ac:dyDescent="0.2">
      <c r="AF9904" s="679"/>
    </row>
    <row r="9905" spans="32:32" x14ac:dyDescent="0.2">
      <c r="AF9905" s="679"/>
    </row>
    <row r="9906" spans="32:32" x14ac:dyDescent="0.2">
      <c r="AF9906" s="679"/>
    </row>
    <row r="9907" spans="32:32" x14ac:dyDescent="0.2">
      <c r="AF9907" s="679"/>
    </row>
    <row r="9908" spans="32:32" x14ac:dyDescent="0.2">
      <c r="AF9908" s="679"/>
    </row>
    <row r="9909" spans="32:32" x14ac:dyDescent="0.2">
      <c r="AF9909" s="679"/>
    </row>
    <row r="9910" spans="32:32" x14ac:dyDescent="0.2">
      <c r="AF9910" s="679"/>
    </row>
    <row r="9911" spans="32:32" x14ac:dyDescent="0.2">
      <c r="AF9911" s="679"/>
    </row>
    <row r="9912" spans="32:32" x14ac:dyDescent="0.2">
      <c r="AF9912" s="679"/>
    </row>
    <row r="9913" spans="32:32" x14ac:dyDescent="0.2">
      <c r="AF9913" s="679"/>
    </row>
    <row r="9914" spans="32:32" x14ac:dyDescent="0.2">
      <c r="AF9914" s="679"/>
    </row>
    <row r="9915" spans="32:32" x14ac:dyDescent="0.2">
      <c r="AF9915" s="679"/>
    </row>
    <row r="9916" spans="32:32" x14ac:dyDescent="0.2">
      <c r="AF9916" s="679"/>
    </row>
    <row r="9917" spans="32:32" x14ac:dyDescent="0.2">
      <c r="AF9917" s="679"/>
    </row>
    <row r="9918" spans="32:32" x14ac:dyDescent="0.2">
      <c r="AF9918" s="679"/>
    </row>
    <row r="9919" spans="32:32" x14ac:dyDescent="0.2">
      <c r="AF9919" s="679"/>
    </row>
    <row r="9920" spans="32:32" x14ac:dyDescent="0.2">
      <c r="AF9920" s="679"/>
    </row>
    <row r="9921" spans="32:32" x14ac:dyDescent="0.2">
      <c r="AF9921" s="679"/>
    </row>
    <row r="9922" spans="32:32" x14ac:dyDescent="0.2">
      <c r="AF9922" s="679"/>
    </row>
    <row r="9923" spans="32:32" x14ac:dyDescent="0.2">
      <c r="AF9923" s="679"/>
    </row>
    <row r="9924" spans="32:32" x14ac:dyDescent="0.2">
      <c r="AF9924" s="679"/>
    </row>
    <row r="9925" spans="32:32" x14ac:dyDescent="0.2">
      <c r="AF9925" s="679"/>
    </row>
    <row r="9926" spans="32:32" x14ac:dyDescent="0.2">
      <c r="AF9926" s="679"/>
    </row>
    <row r="9927" spans="32:32" x14ac:dyDescent="0.2">
      <c r="AF9927" s="679"/>
    </row>
    <row r="9928" spans="32:32" x14ac:dyDescent="0.2">
      <c r="AF9928" s="679"/>
    </row>
    <row r="9929" spans="32:32" x14ac:dyDescent="0.2">
      <c r="AF9929" s="679"/>
    </row>
    <row r="9930" spans="32:32" x14ac:dyDescent="0.2">
      <c r="AF9930" s="679"/>
    </row>
    <row r="9931" spans="32:32" x14ac:dyDescent="0.2">
      <c r="AF9931" s="679"/>
    </row>
    <row r="9932" spans="32:32" x14ac:dyDescent="0.2">
      <c r="AF9932" s="679"/>
    </row>
    <row r="9933" spans="32:32" x14ac:dyDescent="0.2">
      <c r="AF9933" s="679"/>
    </row>
    <row r="9934" spans="32:32" x14ac:dyDescent="0.2">
      <c r="AF9934" s="679"/>
    </row>
    <row r="9935" spans="32:32" x14ac:dyDescent="0.2">
      <c r="AF9935" s="679"/>
    </row>
    <row r="9936" spans="32:32" x14ac:dyDescent="0.2">
      <c r="AF9936" s="679"/>
    </row>
    <row r="9937" spans="32:32" x14ac:dyDescent="0.2">
      <c r="AF9937" s="679"/>
    </row>
    <row r="9938" spans="32:32" x14ac:dyDescent="0.2">
      <c r="AF9938" s="679"/>
    </row>
    <row r="9939" spans="32:32" x14ac:dyDescent="0.2">
      <c r="AF9939" s="679"/>
    </row>
    <row r="9940" spans="32:32" x14ac:dyDescent="0.2">
      <c r="AF9940" s="679"/>
    </row>
    <row r="9941" spans="32:32" x14ac:dyDescent="0.2">
      <c r="AF9941" s="679"/>
    </row>
    <row r="9942" spans="32:32" x14ac:dyDescent="0.2">
      <c r="AF9942" s="679"/>
    </row>
    <row r="9943" spans="32:32" x14ac:dyDescent="0.2">
      <c r="AF9943" s="679"/>
    </row>
    <row r="9944" spans="32:32" x14ac:dyDescent="0.2">
      <c r="AF9944" s="679"/>
    </row>
    <row r="9945" spans="32:32" x14ac:dyDescent="0.2">
      <c r="AF9945" s="679"/>
    </row>
    <row r="9946" spans="32:32" x14ac:dyDescent="0.2">
      <c r="AF9946" s="679"/>
    </row>
    <row r="9947" spans="32:32" x14ac:dyDescent="0.2">
      <c r="AF9947" s="679"/>
    </row>
    <row r="9948" spans="32:32" x14ac:dyDescent="0.2">
      <c r="AF9948" s="679"/>
    </row>
    <row r="9949" spans="32:32" x14ac:dyDescent="0.2">
      <c r="AF9949" s="679"/>
    </row>
    <row r="9950" spans="32:32" x14ac:dyDescent="0.2">
      <c r="AF9950" s="679"/>
    </row>
    <row r="9951" spans="32:32" x14ac:dyDescent="0.2">
      <c r="AF9951" s="679"/>
    </row>
    <row r="9952" spans="32:32" x14ac:dyDescent="0.2">
      <c r="AF9952" s="679"/>
    </row>
    <row r="9953" spans="32:32" x14ac:dyDescent="0.2">
      <c r="AF9953" s="679"/>
    </row>
    <row r="9954" spans="32:32" x14ac:dyDescent="0.2">
      <c r="AF9954" s="679"/>
    </row>
    <row r="9955" spans="32:32" x14ac:dyDescent="0.2">
      <c r="AF9955" s="679"/>
    </row>
    <row r="9956" spans="32:32" x14ac:dyDescent="0.2">
      <c r="AF9956" s="679"/>
    </row>
    <row r="9957" spans="32:32" x14ac:dyDescent="0.2">
      <c r="AF9957" s="679"/>
    </row>
    <row r="9958" spans="32:32" x14ac:dyDescent="0.2">
      <c r="AF9958" s="679"/>
    </row>
    <row r="9959" spans="32:32" x14ac:dyDescent="0.2">
      <c r="AF9959" s="679"/>
    </row>
    <row r="9960" spans="32:32" x14ac:dyDescent="0.2">
      <c r="AF9960" s="679"/>
    </row>
    <row r="9961" spans="32:32" x14ac:dyDescent="0.2">
      <c r="AF9961" s="679"/>
    </row>
    <row r="9962" spans="32:32" x14ac:dyDescent="0.2">
      <c r="AF9962" s="679"/>
    </row>
    <row r="9963" spans="32:32" x14ac:dyDescent="0.2">
      <c r="AF9963" s="679"/>
    </row>
    <row r="9964" spans="32:32" x14ac:dyDescent="0.2">
      <c r="AF9964" s="679"/>
    </row>
    <row r="9965" spans="32:32" x14ac:dyDescent="0.2">
      <c r="AF9965" s="679"/>
    </row>
    <row r="9966" spans="32:32" x14ac:dyDescent="0.2">
      <c r="AF9966" s="679"/>
    </row>
    <row r="9967" spans="32:32" x14ac:dyDescent="0.2">
      <c r="AF9967" s="679"/>
    </row>
    <row r="9968" spans="32:32" x14ac:dyDescent="0.2">
      <c r="AF9968" s="679"/>
    </row>
    <row r="9969" spans="32:32" x14ac:dyDescent="0.2">
      <c r="AF9969" s="679"/>
    </row>
    <row r="9970" spans="32:32" x14ac:dyDescent="0.2">
      <c r="AF9970" s="679"/>
    </row>
    <row r="9971" spans="32:32" x14ac:dyDescent="0.2">
      <c r="AF9971" s="679"/>
    </row>
    <row r="9972" spans="32:32" x14ac:dyDescent="0.2">
      <c r="AF9972" s="679"/>
    </row>
    <row r="9973" spans="32:32" x14ac:dyDescent="0.2">
      <c r="AF9973" s="679"/>
    </row>
    <row r="9974" spans="32:32" x14ac:dyDescent="0.2">
      <c r="AF9974" s="679"/>
    </row>
    <row r="9975" spans="32:32" x14ac:dyDescent="0.2">
      <c r="AF9975" s="679"/>
    </row>
    <row r="9976" spans="32:32" x14ac:dyDescent="0.2">
      <c r="AF9976" s="679"/>
    </row>
    <row r="9977" spans="32:32" x14ac:dyDescent="0.2">
      <c r="AF9977" s="679"/>
    </row>
    <row r="9978" spans="32:32" x14ac:dyDescent="0.2">
      <c r="AF9978" s="679"/>
    </row>
    <row r="9979" spans="32:32" x14ac:dyDescent="0.2">
      <c r="AF9979" s="679"/>
    </row>
    <row r="9980" spans="32:32" x14ac:dyDescent="0.2">
      <c r="AF9980" s="679"/>
    </row>
    <row r="9981" spans="32:32" x14ac:dyDescent="0.2">
      <c r="AF9981" s="679"/>
    </row>
    <row r="9982" spans="32:32" x14ac:dyDescent="0.2">
      <c r="AF9982" s="679"/>
    </row>
    <row r="9983" spans="32:32" x14ac:dyDescent="0.2">
      <c r="AF9983" s="679"/>
    </row>
    <row r="9984" spans="32:32" x14ac:dyDescent="0.2">
      <c r="AF9984" s="679"/>
    </row>
    <row r="9985" spans="32:32" x14ac:dyDescent="0.2">
      <c r="AF9985" s="679"/>
    </row>
    <row r="9986" spans="32:32" x14ac:dyDescent="0.2">
      <c r="AF9986" s="679"/>
    </row>
    <row r="9987" spans="32:32" x14ac:dyDescent="0.2">
      <c r="AF9987" s="679"/>
    </row>
    <row r="9988" spans="32:32" x14ac:dyDescent="0.2">
      <c r="AF9988" s="679"/>
    </row>
    <row r="9989" spans="32:32" x14ac:dyDescent="0.2">
      <c r="AF9989" s="679"/>
    </row>
    <row r="9990" spans="32:32" x14ac:dyDescent="0.2">
      <c r="AF9990" s="679"/>
    </row>
    <row r="9991" spans="32:32" x14ac:dyDescent="0.2">
      <c r="AF9991" s="679"/>
    </row>
    <row r="9992" spans="32:32" x14ac:dyDescent="0.2">
      <c r="AF9992" s="679"/>
    </row>
    <row r="9993" spans="32:32" x14ac:dyDescent="0.2">
      <c r="AF9993" s="679"/>
    </row>
    <row r="9994" spans="32:32" x14ac:dyDescent="0.2">
      <c r="AF9994" s="679"/>
    </row>
    <row r="9995" spans="32:32" x14ac:dyDescent="0.2">
      <c r="AF9995" s="679"/>
    </row>
    <row r="9996" spans="32:32" x14ac:dyDescent="0.2">
      <c r="AF9996" s="679"/>
    </row>
    <row r="9997" spans="32:32" x14ac:dyDescent="0.2">
      <c r="AF9997" s="679"/>
    </row>
    <row r="9998" spans="32:32" x14ac:dyDescent="0.2">
      <c r="AF9998" s="679"/>
    </row>
    <row r="9999" spans="32:32" x14ac:dyDescent="0.2">
      <c r="AF9999" s="679"/>
    </row>
    <row r="10000" spans="32:32" x14ac:dyDescent="0.2">
      <c r="AF10000" s="679"/>
    </row>
    <row r="10001" spans="32:32" x14ac:dyDescent="0.2">
      <c r="AF10001" s="679"/>
    </row>
    <row r="10002" spans="32:32" x14ac:dyDescent="0.2">
      <c r="AF10002" s="679"/>
    </row>
    <row r="10003" spans="32:32" x14ac:dyDescent="0.2">
      <c r="AF10003" s="679"/>
    </row>
    <row r="10004" spans="32:32" x14ac:dyDescent="0.2">
      <c r="AF10004" s="679"/>
    </row>
    <row r="10005" spans="32:32" x14ac:dyDescent="0.2">
      <c r="AF10005" s="679"/>
    </row>
    <row r="10006" spans="32:32" x14ac:dyDescent="0.2">
      <c r="AF10006" s="679"/>
    </row>
    <row r="10007" spans="32:32" x14ac:dyDescent="0.2">
      <c r="AF10007" s="679"/>
    </row>
    <row r="10008" spans="32:32" x14ac:dyDescent="0.2">
      <c r="AF10008" s="679"/>
    </row>
    <row r="10009" spans="32:32" x14ac:dyDescent="0.2">
      <c r="AF10009" s="679"/>
    </row>
    <row r="10010" spans="32:32" x14ac:dyDescent="0.2">
      <c r="AF10010" s="679"/>
    </row>
    <row r="10011" spans="32:32" x14ac:dyDescent="0.2">
      <c r="AF10011" s="679"/>
    </row>
    <row r="10012" spans="32:32" x14ac:dyDescent="0.2">
      <c r="AF10012" s="679"/>
    </row>
    <row r="10013" spans="32:32" x14ac:dyDescent="0.2">
      <c r="AF10013" s="679"/>
    </row>
    <row r="10014" spans="32:32" x14ac:dyDescent="0.2">
      <c r="AF10014" s="679"/>
    </row>
    <row r="10015" spans="32:32" x14ac:dyDescent="0.2">
      <c r="AF10015" s="679"/>
    </row>
    <row r="10016" spans="32:32" x14ac:dyDescent="0.2">
      <c r="AF10016" s="679"/>
    </row>
    <row r="10017" spans="32:32" x14ac:dyDescent="0.2">
      <c r="AF10017" s="679"/>
    </row>
    <row r="10018" spans="32:32" x14ac:dyDescent="0.2">
      <c r="AF10018" s="679"/>
    </row>
    <row r="10019" spans="32:32" x14ac:dyDescent="0.2">
      <c r="AF10019" s="679"/>
    </row>
    <row r="10020" spans="32:32" x14ac:dyDescent="0.2">
      <c r="AF10020" s="679"/>
    </row>
    <row r="10021" spans="32:32" x14ac:dyDescent="0.2">
      <c r="AF10021" s="679"/>
    </row>
    <row r="10022" spans="32:32" x14ac:dyDescent="0.2">
      <c r="AF10022" s="679"/>
    </row>
    <row r="10023" spans="32:32" x14ac:dyDescent="0.2">
      <c r="AF10023" s="679"/>
    </row>
    <row r="10024" spans="32:32" x14ac:dyDescent="0.2">
      <c r="AF10024" s="679"/>
    </row>
    <row r="10025" spans="32:32" x14ac:dyDescent="0.2">
      <c r="AF10025" s="679"/>
    </row>
    <row r="10026" spans="32:32" x14ac:dyDescent="0.2">
      <c r="AF10026" s="679"/>
    </row>
    <row r="10027" spans="32:32" x14ac:dyDescent="0.2">
      <c r="AF10027" s="679"/>
    </row>
    <row r="10028" spans="32:32" x14ac:dyDescent="0.2">
      <c r="AF10028" s="679"/>
    </row>
    <row r="10029" spans="32:32" x14ac:dyDescent="0.2">
      <c r="AF10029" s="679"/>
    </row>
    <row r="10030" spans="32:32" x14ac:dyDescent="0.2">
      <c r="AF10030" s="679"/>
    </row>
    <row r="10031" spans="32:32" x14ac:dyDescent="0.2">
      <c r="AF10031" s="679"/>
    </row>
    <row r="10032" spans="32:32" x14ac:dyDescent="0.2">
      <c r="AF10032" s="679"/>
    </row>
    <row r="10033" spans="32:32" x14ac:dyDescent="0.2">
      <c r="AF10033" s="679"/>
    </row>
    <row r="10034" spans="32:32" x14ac:dyDescent="0.2">
      <c r="AF10034" s="679"/>
    </row>
    <row r="10035" spans="32:32" x14ac:dyDescent="0.2">
      <c r="AF10035" s="679"/>
    </row>
    <row r="10036" spans="32:32" x14ac:dyDescent="0.2">
      <c r="AF10036" s="679"/>
    </row>
    <row r="10037" spans="32:32" x14ac:dyDescent="0.2">
      <c r="AF10037" s="679"/>
    </row>
    <row r="10038" spans="32:32" x14ac:dyDescent="0.2">
      <c r="AF10038" s="679"/>
    </row>
    <row r="10039" spans="32:32" x14ac:dyDescent="0.2">
      <c r="AF10039" s="679"/>
    </row>
    <row r="10040" spans="32:32" x14ac:dyDescent="0.2">
      <c r="AF10040" s="679"/>
    </row>
    <row r="10041" spans="32:32" x14ac:dyDescent="0.2">
      <c r="AF10041" s="679"/>
    </row>
    <row r="10042" spans="32:32" x14ac:dyDescent="0.2">
      <c r="AF10042" s="679"/>
    </row>
    <row r="10043" spans="32:32" x14ac:dyDescent="0.2">
      <c r="AF10043" s="679"/>
    </row>
    <row r="10044" spans="32:32" x14ac:dyDescent="0.2">
      <c r="AF10044" s="679"/>
    </row>
    <row r="10045" spans="32:32" x14ac:dyDescent="0.2">
      <c r="AF10045" s="679"/>
    </row>
    <row r="10046" spans="32:32" x14ac:dyDescent="0.2">
      <c r="AF10046" s="679"/>
    </row>
    <row r="10047" spans="32:32" x14ac:dyDescent="0.2">
      <c r="AF10047" s="679"/>
    </row>
    <row r="10048" spans="32:32" x14ac:dyDescent="0.2">
      <c r="AF10048" s="679"/>
    </row>
    <row r="10049" spans="32:32" x14ac:dyDescent="0.2">
      <c r="AF10049" s="679"/>
    </row>
    <row r="10050" spans="32:32" x14ac:dyDescent="0.2">
      <c r="AF10050" s="679"/>
    </row>
    <row r="10051" spans="32:32" x14ac:dyDescent="0.2">
      <c r="AF10051" s="679"/>
    </row>
    <row r="10052" spans="32:32" x14ac:dyDescent="0.2">
      <c r="AF10052" s="679"/>
    </row>
    <row r="10053" spans="32:32" x14ac:dyDescent="0.2">
      <c r="AF10053" s="679"/>
    </row>
    <row r="10054" spans="32:32" x14ac:dyDescent="0.2">
      <c r="AF10054" s="679"/>
    </row>
    <row r="10055" spans="32:32" x14ac:dyDescent="0.2">
      <c r="AF10055" s="679"/>
    </row>
    <row r="10056" spans="32:32" x14ac:dyDescent="0.2">
      <c r="AF10056" s="679"/>
    </row>
    <row r="10057" spans="32:32" x14ac:dyDescent="0.2">
      <c r="AF10057" s="679"/>
    </row>
    <row r="10058" spans="32:32" x14ac:dyDescent="0.2">
      <c r="AF10058" s="679"/>
    </row>
    <row r="10059" spans="32:32" x14ac:dyDescent="0.2">
      <c r="AF10059" s="679"/>
    </row>
    <row r="10060" spans="32:32" x14ac:dyDescent="0.2">
      <c r="AF10060" s="679"/>
    </row>
    <row r="10061" spans="32:32" x14ac:dyDescent="0.2">
      <c r="AF10061" s="679"/>
    </row>
    <row r="10062" spans="32:32" x14ac:dyDescent="0.2">
      <c r="AF10062" s="679"/>
    </row>
    <row r="10063" spans="32:32" x14ac:dyDescent="0.2">
      <c r="AF10063" s="679"/>
    </row>
    <row r="10064" spans="32:32" x14ac:dyDescent="0.2">
      <c r="AF10064" s="679"/>
    </row>
    <row r="10065" spans="32:32" x14ac:dyDescent="0.2">
      <c r="AF10065" s="679"/>
    </row>
    <row r="10066" spans="32:32" x14ac:dyDescent="0.2">
      <c r="AF10066" s="679"/>
    </row>
    <row r="10067" spans="32:32" x14ac:dyDescent="0.2">
      <c r="AF10067" s="679"/>
    </row>
    <row r="10068" spans="32:32" x14ac:dyDescent="0.2">
      <c r="AF10068" s="679"/>
    </row>
    <row r="10069" spans="32:32" x14ac:dyDescent="0.2">
      <c r="AF10069" s="679"/>
    </row>
    <row r="10070" spans="32:32" x14ac:dyDescent="0.2">
      <c r="AF10070" s="679"/>
    </row>
    <row r="10071" spans="32:32" x14ac:dyDescent="0.2">
      <c r="AF10071" s="679"/>
    </row>
    <row r="10072" spans="32:32" x14ac:dyDescent="0.2">
      <c r="AF10072" s="679"/>
    </row>
    <row r="10073" spans="32:32" x14ac:dyDescent="0.2">
      <c r="AF10073" s="679"/>
    </row>
    <row r="10074" spans="32:32" x14ac:dyDescent="0.2">
      <c r="AF10074" s="679"/>
    </row>
    <row r="10075" spans="32:32" x14ac:dyDescent="0.2">
      <c r="AF10075" s="679"/>
    </row>
    <row r="10076" spans="32:32" x14ac:dyDescent="0.2">
      <c r="AF10076" s="679"/>
    </row>
    <row r="10077" spans="32:32" x14ac:dyDescent="0.2">
      <c r="AF10077" s="679"/>
    </row>
    <row r="10078" spans="32:32" x14ac:dyDescent="0.2">
      <c r="AF10078" s="679"/>
    </row>
    <row r="10079" spans="32:32" x14ac:dyDescent="0.2">
      <c r="AF10079" s="679"/>
    </row>
    <row r="10080" spans="32:32" x14ac:dyDescent="0.2">
      <c r="AF10080" s="679"/>
    </row>
    <row r="10081" spans="32:32" x14ac:dyDescent="0.2">
      <c r="AF10081" s="679"/>
    </row>
    <row r="10082" spans="32:32" x14ac:dyDescent="0.2">
      <c r="AF10082" s="679"/>
    </row>
    <row r="10083" spans="32:32" x14ac:dyDescent="0.2">
      <c r="AF10083" s="679"/>
    </row>
    <row r="10084" spans="32:32" x14ac:dyDescent="0.2">
      <c r="AF10084" s="679"/>
    </row>
    <row r="10085" spans="32:32" x14ac:dyDescent="0.2">
      <c r="AF10085" s="679"/>
    </row>
    <row r="10086" spans="32:32" x14ac:dyDescent="0.2">
      <c r="AF10086" s="679"/>
    </row>
    <row r="10087" spans="32:32" x14ac:dyDescent="0.2">
      <c r="AF10087" s="679"/>
    </row>
    <row r="10088" spans="32:32" x14ac:dyDescent="0.2">
      <c r="AF10088" s="679"/>
    </row>
    <row r="10089" spans="32:32" x14ac:dyDescent="0.2">
      <c r="AF10089" s="679"/>
    </row>
    <row r="10090" spans="32:32" x14ac:dyDescent="0.2">
      <c r="AF10090" s="679"/>
    </row>
    <row r="10091" spans="32:32" x14ac:dyDescent="0.2">
      <c r="AF10091" s="679"/>
    </row>
    <row r="10092" spans="32:32" x14ac:dyDescent="0.2">
      <c r="AF10092" s="679"/>
    </row>
    <row r="10093" spans="32:32" x14ac:dyDescent="0.2">
      <c r="AF10093" s="679"/>
    </row>
    <row r="10094" spans="32:32" x14ac:dyDescent="0.2">
      <c r="AF10094" s="679"/>
    </row>
    <row r="10095" spans="32:32" x14ac:dyDescent="0.2">
      <c r="AF10095" s="679"/>
    </row>
    <row r="10096" spans="32:32" x14ac:dyDescent="0.2">
      <c r="AF10096" s="679"/>
    </row>
    <row r="10097" spans="32:32" x14ac:dyDescent="0.2">
      <c r="AF10097" s="679"/>
    </row>
    <row r="10098" spans="32:32" x14ac:dyDescent="0.2">
      <c r="AF10098" s="679"/>
    </row>
    <row r="10099" spans="32:32" x14ac:dyDescent="0.2">
      <c r="AF10099" s="679"/>
    </row>
    <row r="10100" spans="32:32" x14ac:dyDescent="0.2">
      <c r="AF10100" s="679"/>
    </row>
    <row r="10101" spans="32:32" x14ac:dyDescent="0.2">
      <c r="AF10101" s="679"/>
    </row>
    <row r="10102" spans="32:32" x14ac:dyDescent="0.2">
      <c r="AF10102" s="679"/>
    </row>
    <row r="10103" spans="32:32" x14ac:dyDescent="0.2">
      <c r="AF10103" s="679"/>
    </row>
    <row r="10104" spans="32:32" x14ac:dyDescent="0.2">
      <c r="AF10104" s="679"/>
    </row>
    <row r="10105" spans="32:32" x14ac:dyDescent="0.2">
      <c r="AF10105" s="679"/>
    </row>
    <row r="10106" spans="32:32" x14ac:dyDescent="0.2">
      <c r="AF10106" s="679"/>
    </row>
    <row r="10107" spans="32:32" x14ac:dyDescent="0.2">
      <c r="AF10107" s="679"/>
    </row>
    <row r="10108" spans="32:32" x14ac:dyDescent="0.2">
      <c r="AF10108" s="679"/>
    </row>
    <row r="10109" spans="32:32" x14ac:dyDescent="0.2">
      <c r="AF10109" s="679"/>
    </row>
    <row r="10110" spans="32:32" x14ac:dyDescent="0.2">
      <c r="AF10110" s="679"/>
    </row>
    <row r="10111" spans="32:32" x14ac:dyDescent="0.2">
      <c r="AF10111" s="679"/>
    </row>
    <row r="10112" spans="32:32" x14ac:dyDescent="0.2">
      <c r="AF10112" s="679"/>
    </row>
    <row r="10113" spans="32:32" x14ac:dyDescent="0.2">
      <c r="AF10113" s="679"/>
    </row>
    <row r="10114" spans="32:32" x14ac:dyDescent="0.2">
      <c r="AF10114" s="679"/>
    </row>
    <row r="10115" spans="32:32" x14ac:dyDescent="0.2">
      <c r="AF10115" s="679"/>
    </row>
    <row r="10116" spans="32:32" x14ac:dyDescent="0.2">
      <c r="AF10116" s="679"/>
    </row>
    <row r="10117" spans="32:32" x14ac:dyDescent="0.2">
      <c r="AF10117" s="679"/>
    </row>
    <row r="10118" spans="32:32" x14ac:dyDescent="0.2">
      <c r="AF10118" s="679"/>
    </row>
    <row r="10119" spans="32:32" x14ac:dyDescent="0.2">
      <c r="AF10119" s="679"/>
    </row>
    <row r="10120" spans="32:32" x14ac:dyDescent="0.2">
      <c r="AF10120" s="679"/>
    </row>
    <row r="10121" spans="32:32" x14ac:dyDescent="0.2">
      <c r="AF10121" s="679"/>
    </row>
    <row r="10122" spans="32:32" x14ac:dyDescent="0.2">
      <c r="AF10122" s="679"/>
    </row>
    <row r="10123" spans="32:32" x14ac:dyDescent="0.2">
      <c r="AF10123" s="679"/>
    </row>
    <row r="10124" spans="32:32" x14ac:dyDescent="0.2">
      <c r="AF10124" s="679"/>
    </row>
    <row r="10125" spans="32:32" x14ac:dyDescent="0.2">
      <c r="AF10125" s="679"/>
    </row>
    <row r="10126" spans="32:32" x14ac:dyDescent="0.2">
      <c r="AF10126" s="679"/>
    </row>
    <row r="10127" spans="32:32" x14ac:dyDescent="0.2">
      <c r="AF10127" s="679"/>
    </row>
    <row r="10128" spans="32:32" x14ac:dyDescent="0.2">
      <c r="AF10128" s="679"/>
    </row>
    <row r="10129" spans="32:32" x14ac:dyDescent="0.2">
      <c r="AF10129" s="679"/>
    </row>
    <row r="10130" spans="32:32" x14ac:dyDescent="0.2">
      <c r="AF10130" s="679"/>
    </row>
    <row r="10131" spans="32:32" x14ac:dyDescent="0.2">
      <c r="AF10131" s="679"/>
    </row>
    <row r="10132" spans="32:32" x14ac:dyDescent="0.2">
      <c r="AF10132" s="679"/>
    </row>
    <row r="10133" spans="32:32" x14ac:dyDescent="0.2">
      <c r="AF10133" s="679"/>
    </row>
    <row r="10134" spans="32:32" x14ac:dyDescent="0.2">
      <c r="AF10134" s="679"/>
    </row>
    <row r="10135" spans="32:32" x14ac:dyDescent="0.2">
      <c r="AF10135" s="679"/>
    </row>
    <row r="10136" spans="32:32" x14ac:dyDescent="0.2">
      <c r="AF10136" s="679"/>
    </row>
    <row r="10137" spans="32:32" x14ac:dyDescent="0.2">
      <c r="AF10137" s="679"/>
    </row>
    <row r="10138" spans="32:32" x14ac:dyDescent="0.2">
      <c r="AF10138" s="679"/>
    </row>
    <row r="10139" spans="32:32" x14ac:dyDescent="0.2">
      <c r="AF10139" s="679"/>
    </row>
    <row r="10140" spans="32:32" x14ac:dyDescent="0.2">
      <c r="AF10140" s="679"/>
    </row>
    <row r="10141" spans="32:32" x14ac:dyDescent="0.2">
      <c r="AF10141" s="679"/>
    </row>
    <row r="10142" spans="32:32" x14ac:dyDescent="0.2">
      <c r="AF10142" s="679"/>
    </row>
    <row r="10143" spans="32:32" x14ac:dyDescent="0.2">
      <c r="AF10143" s="679"/>
    </row>
    <row r="10144" spans="32:32" x14ac:dyDescent="0.2">
      <c r="AF10144" s="679"/>
    </row>
    <row r="10145" spans="32:32" x14ac:dyDescent="0.2">
      <c r="AF10145" s="679"/>
    </row>
    <row r="10146" spans="32:32" x14ac:dyDescent="0.2">
      <c r="AF10146" s="679"/>
    </row>
    <row r="10147" spans="32:32" x14ac:dyDescent="0.2">
      <c r="AF10147" s="679"/>
    </row>
    <row r="10148" spans="32:32" x14ac:dyDescent="0.2">
      <c r="AF10148" s="679"/>
    </row>
    <row r="10149" spans="32:32" x14ac:dyDescent="0.2">
      <c r="AF10149" s="679"/>
    </row>
    <row r="10150" spans="32:32" x14ac:dyDescent="0.2">
      <c r="AF10150" s="679"/>
    </row>
    <row r="10151" spans="32:32" x14ac:dyDescent="0.2">
      <c r="AF10151" s="679"/>
    </row>
    <row r="10152" spans="32:32" x14ac:dyDescent="0.2">
      <c r="AF10152" s="679"/>
    </row>
    <row r="10153" spans="32:32" x14ac:dyDescent="0.2">
      <c r="AF10153" s="679"/>
    </row>
    <row r="10154" spans="32:32" x14ac:dyDescent="0.2">
      <c r="AF10154" s="679"/>
    </row>
    <row r="10155" spans="32:32" x14ac:dyDescent="0.2">
      <c r="AF10155" s="679"/>
    </row>
    <row r="10156" spans="32:32" x14ac:dyDescent="0.2">
      <c r="AF10156" s="679"/>
    </row>
    <row r="10157" spans="32:32" x14ac:dyDescent="0.2">
      <c r="AF10157" s="679"/>
    </row>
    <row r="10158" spans="32:32" x14ac:dyDescent="0.2">
      <c r="AF10158" s="679"/>
    </row>
    <row r="10159" spans="32:32" x14ac:dyDescent="0.2">
      <c r="AF10159" s="679"/>
    </row>
    <row r="10160" spans="32:32" x14ac:dyDescent="0.2">
      <c r="AF10160" s="679"/>
    </row>
    <row r="10161" spans="32:32" x14ac:dyDescent="0.2">
      <c r="AF10161" s="679"/>
    </row>
    <row r="10162" spans="32:32" x14ac:dyDescent="0.2">
      <c r="AF10162" s="679"/>
    </row>
    <row r="10163" spans="32:32" x14ac:dyDescent="0.2">
      <c r="AF10163" s="679"/>
    </row>
    <row r="10164" spans="32:32" x14ac:dyDescent="0.2">
      <c r="AF10164" s="679"/>
    </row>
    <row r="10165" spans="32:32" x14ac:dyDescent="0.2">
      <c r="AF10165" s="679"/>
    </row>
    <row r="10166" spans="32:32" x14ac:dyDescent="0.2">
      <c r="AF10166" s="679"/>
    </row>
    <row r="10167" spans="32:32" x14ac:dyDescent="0.2">
      <c r="AF10167" s="679"/>
    </row>
    <row r="10168" spans="32:32" x14ac:dyDescent="0.2">
      <c r="AF10168" s="679"/>
    </row>
    <row r="10169" spans="32:32" x14ac:dyDescent="0.2">
      <c r="AF10169" s="679"/>
    </row>
    <row r="10170" spans="32:32" x14ac:dyDescent="0.2">
      <c r="AF10170" s="679"/>
    </row>
    <row r="10171" spans="32:32" x14ac:dyDescent="0.2">
      <c r="AF10171" s="679"/>
    </row>
    <row r="10172" spans="32:32" x14ac:dyDescent="0.2">
      <c r="AF10172" s="679"/>
    </row>
    <row r="10173" spans="32:32" x14ac:dyDescent="0.2">
      <c r="AF10173" s="679"/>
    </row>
    <row r="10174" spans="32:32" x14ac:dyDescent="0.2">
      <c r="AF10174" s="679"/>
    </row>
    <row r="10175" spans="32:32" x14ac:dyDescent="0.2">
      <c r="AF10175" s="679"/>
    </row>
    <row r="10176" spans="32:32" x14ac:dyDescent="0.2">
      <c r="AF10176" s="679"/>
    </row>
    <row r="10177" spans="32:32" x14ac:dyDescent="0.2">
      <c r="AF10177" s="679"/>
    </row>
    <row r="10178" spans="32:32" x14ac:dyDescent="0.2">
      <c r="AF10178" s="679"/>
    </row>
    <row r="10179" spans="32:32" x14ac:dyDescent="0.2">
      <c r="AF10179" s="679"/>
    </row>
    <row r="10180" spans="32:32" x14ac:dyDescent="0.2">
      <c r="AF10180" s="679"/>
    </row>
    <row r="10181" spans="32:32" x14ac:dyDescent="0.2">
      <c r="AF10181" s="679"/>
    </row>
    <row r="10182" spans="32:32" x14ac:dyDescent="0.2">
      <c r="AF10182" s="679"/>
    </row>
    <row r="10183" spans="32:32" x14ac:dyDescent="0.2">
      <c r="AF10183" s="679"/>
    </row>
    <row r="10184" spans="32:32" x14ac:dyDescent="0.2">
      <c r="AF10184" s="679"/>
    </row>
    <row r="10185" spans="32:32" x14ac:dyDescent="0.2">
      <c r="AF10185" s="679"/>
    </row>
    <row r="10186" spans="32:32" x14ac:dyDescent="0.2">
      <c r="AF10186" s="679"/>
    </row>
    <row r="10187" spans="32:32" x14ac:dyDescent="0.2">
      <c r="AF10187" s="679"/>
    </row>
    <row r="10188" spans="32:32" x14ac:dyDescent="0.2">
      <c r="AF10188" s="679"/>
    </row>
    <row r="10189" spans="32:32" x14ac:dyDescent="0.2">
      <c r="AF10189" s="679"/>
    </row>
    <row r="10190" spans="32:32" x14ac:dyDescent="0.2">
      <c r="AF10190" s="679"/>
    </row>
    <row r="10191" spans="32:32" x14ac:dyDescent="0.2">
      <c r="AF10191" s="679"/>
    </row>
    <row r="10192" spans="32:32" x14ac:dyDescent="0.2">
      <c r="AF10192" s="679"/>
    </row>
    <row r="10193" spans="32:32" x14ac:dyDescent="0.2">
      <c r="AF10193" s="679"/>
    </row>
    <row r="10194" spans="32:32" x14ac:dyDescent="0.2">
      <c r="AF10194" s="679"/>
    </row>
    <row r="10195" spans="32:32" x14ac:dyDescent="0.2">
      <c r="AF10195" s="679"/>
    </row>
    <row r="10196" spans="32:32" x14ac:dyDescent="0.2">
      <c r="AF10196" s="679"/>
    </row>
    <row r="10197" spans="32:32" x14ac:dyDescent="0.2">
      <c r="AF10197" s="679"/>
    </row>
    <row r="10198" spans="32:32" x14ac:dyDescent="0.2">
      <c r="AF10198" s="679"/>
    </row>
    <row r="10199" spans="32:32" x14ac:dyDescent="0.2">
      <c r="AF10199" s="679"/>
    </row>
    <row r="10200" spans="32:32" x14ac:dyDescent="0.2">
      <c r="AF10200" s="679"/>
    </row>
    <row r="10201" spans="32:32" x14ac:dyDescent="0.2">
      <c r="AF10201" s="679"/>
    </row>
    <row r="10202" spans="32:32" x14ac:dyDescent="0.2">
      <c r="AF10202" s="679"/>
    </row>
    <row r="10203" spans="32:32" x14ac:dyDescent="0.2">
      <c r="AF10203" s="679"/>
    </row>
    <row r="10204" spans="32:32" x14ac:dyDescent="0.2">
      <c r="AF10204" s="679"/>
    </row>
    <row r="10205" spans="32:32" x14ac:dyDescent="0.2">
      <c r="AF10205" s="679"/>
    </row>
    <row r="10206" spans="32:32" x14ac:dyDescent="0.2">
      <c r="AF10206" s="679"/>
    </row>
    <row r="10207" spans="32:32" x14ac:dyDescent="0.2">
      <c r="AF10207" s="679"/>
    </row>
    <row r="10208" spans="32:32" x14ac:dyDescent="0.2">
      <c r="AF10208" s="679"/>
    </row>
    <row r="10209" spans="32:32" x14ac:dyDescent="0.2">
      <c r="AF10209" s="679"/>
    </row>
    <row r="10210" spans="32:32" x14ac:dyDescent="0.2">
      <c r="AF10210" s="679"/>
    </row>
    <row r="10211" spans="32:32" x14ac:dyDescent="0.2">
      <c r="AF10211" s="679"/>
    </row>
    <row r="10212" spans="32:32" x14ac:dyDescent="0.2">
      <c r="AF10212" s="679"/>
    </row>
    <row r="10213" spans="32:32" x14ac:dyDescent="0.2">
      <c r="AF10213" s="679"/>
    </row>
    <row r="10214" spans="32:32" x14ac:dyDescent="0.2">
      <c r="AF10214" s="679"/>
    </row>
    <row r="10215" spans="32:32" x14ac:dyDescent="0.2">
      <c r="AF10215" s="679"/>
    </row>
    <row r="10216" spans="32:32" x14ac:dyDescent="0.2">
      <c r="AF10216" s="679"/>
    </row>
    <row r="10217" spans="32:32" x14ac:dyDescent="0.2">
      <c r="AF10217" s="679"/>
    </row>
    <row r="10218" spans="32:32" x14ac:dyDescent="0.2">
      <c r="AF10218" s="679"/>
    </row>
    <row r="10219" spans="32:32" x14ac:dyDescent="0.2">
      <c r="AF10219" s="679"/>
    </row>
    <row r="10220" spans="32:32" x14ac:dyDescent="0.2">
      <c r="AF10220" s="679"/>
    </row>
    <row r="10221" spans="32:32" x14ac:dyDescent="0.2">
      <c r="AF10221" s="679"/>
    </row>
    <row r="10222" spans="32:32" x14ac:dyDescent="0.2">
      <c r="AF10222" s="679"/>
    </row>
    <row r="10223" spans="32:32" x14ac:dyDescent="0.2">
      <c r="AF10223" s="679"/>
    </row>
    <row r="10224" spans="32:32" x14ac:dyDescent="0.2">
      <c r="AF10224" s="679"/>
    </row>
    <row r="10225" spans="32:32" x14ac:dyDescent="0.2">
      <c r="AF10225" s="679"/>
    </row>
    <row r="10226" spans="32:32" x14ac:dyDescent="0.2">
      <c r="AF10226" s="679"/>
    </row>
    <row r="10227" spans="32:32" x14ac:dyDescent="0.2">
      <c r="AF10227" s="679"/>
    </row>
    <row r="10228" spans="32:32" x14ac:dyDescent="0.2">
      <c r="AF10228" s="679"/>
    </row>
    <row r="10229" spans="32:32" x14ac:dyDescent="0.2">
      <c r="AF10229" s="679"/>
    </row>
    <row r="10230" spans="32:32" x14ac:dyDescent="0.2">
      <c r="AF10230" s="679"/>
    </row>
    <row r="10231" spans="32:32" x14ac:dyDescent="0.2">
      <c r="AF10231" s="679"/>
    </row>
    <row r="10232" spans="32:32" x14ac:dyDescent="0.2">
      <c r="AF10232" s="679"/>
    </row>
    <row r="10233" spans="32:32" x14ac:dyDescent="0.2">
      <c r="AF10233" s="679"/>
    </row>
    <row r="10234" spans="32:32" x14ac:dyDescent="0.2">
      <c r="AF10234" s="679"/>
    </row>
    <row r="10235" spans="32:32" x14ac:dyDescent="0.2">
      <c r="AF10235" s="679"/>
    </row>
    <row r="10236" spans="32:32" x14ac:dyDescent="0.2">
      <c r="AF10236" s="679"/>
    </row>
    <row r="10237" spans="32:32" x14ac:dyDescent="0.2">
      <c r="AF10237" s="679"/>
    </row>
    <row r="10238" spans="32:32" x14ac:dyDescent="0.2">
      <c r="AF10238" s="679"/>
    </row>
    <row r="10239" spans="32:32" x14ac:dyDescent="0.2">
      <c r="AF10239" s="679"/>
    </row>
    <row r="10240" spans="32:32" x14ac:dyDescent="0.2">
      <c r="AF10240" s="679"/>
    </row>
    <row r="10241" spans="32:32" x14ac:dyDescent="0.2">
      <c r="AF10241" s="679"/>
    </row>
    <row r="10242" spans="32:32" x14ac:dyDescent="0.2">
      <c r="AF10242" s="679"/>
    </row>
    <row r="10243" spans="32:32" x14ac:dyDescent="0.2">
      <c r="AF10243" s="679"/>
    </row>
    <row r="10244" spans="32:32" x14ac:dyDescent="0.2">
      <c r="AF10244" s="679"/>
    </row>
    <row r="10245" spans="32:32" x14ac:dyDescent="0.2">
      <c r="AF10245" s="679"/>
    </row>
    <row r="10246" spans="32:32" x14ac:dyDescent="0.2">
      <c r="AF10246" s="679"/>
    </row>
    <row r="10247" spans="32:32" x14ac:dyDescent="0.2">
      <c r="AF10247" s="679"/>
    </row>
    <row r="10248" spans="32:32" x14ac:dyDescent="0.2">
      <c r="AF10248" s="679"/>
    </row>
    <row r="10249" spans="32:32" x14ac:dyDescent="0.2">
      <c r="AF10249" s="679"/>
    </row>
    <row r="10250" spans="32:32" x14ac:dyDescent="0.2">
      <c r="AF10250" s="679"/>
    </row>
    <row r="10251" spans="32:32" x14ac:dyDescent="0.2">
      <c r="AF10251" s="679"/>
    </row>
    <row r="10252" spans="32:32" x14ac:dyDescent="0.2">
      <c r="AF10252" s="679"/>
    </row>
    <row r="10253" spans="32:32" x14ac:dyDescent="0.2">
      <c r="AF10253" s="679"/>
    </row>
    <row r="10254" spans="32:32" x14ac:dyDescent="0.2">
      <c r="AF10254" s="679"/>
    </row>
    <row r="10255" spans="32:32" x14ac:dyDescent="0.2">
      <c r="AF10255" s="679"/>
    </row>
    <row r="10256" spans="32:32" x14ac:dyDescent="0.2">
      <c r="AF10256" s="679"/>
    </row>
    <row r="10257" spans="32:32" x14ac:dyDescent="0.2">
      <c r="AF10257" s="679"/>
    </row>
    <row r="10258" spans="32:32" x14ac:dyDescent="0.2">
      <c r="AF10258" s="679"/>
    </row>
    <row r="10259" spans="32:32" x14ac:dyDescent="0.2">
      <c r="AF10259" s="679"/>
    </row>
    <row r="10260" spans="32:32" x14ac:dyDescent="0.2">
      <c r="AF10260" s="679"/>
    </row>
    <row r="10261" spans="32:32" x14ac:dyDescent="0.2">
      <c r="AF10261" s="679"/>
    </row>
    <row r="10262" spans="32:32" x14ac:dyDescent="0.2">
      <c r="AF10262" s="679"/>
    </row>
    <row r="10263" spans="32:32" x14ac:dyDescent="0.2">
      <c r="AF10263" s="679"/>
    </row>
    <row r="10264" spans="32:32" x14ac:dyDescent="0.2">
      <c r="AF10264" s="679"/>
    </row>
    <row r="10265" spans="32:32" x14ac:dyDescent="0.2">
      <c r="AF10265" s="679"/>
    </row>
    <row r="10266" spans="32:32" x14ac:dyDescent="0.2">
      <c r="AF10266" s="679"/>
    </row>
    <row r="10267" spans="32:32" x14ac:dyDescent="0.2">
      <c r="AF10267" s="679"/>
    </row>
    <row r="10268" spans="32:32" x14ac:dyDescent="0.2">
      <c r="AF10268" s="679"/>
    </row>
    <row r="10269" spans="32:32" x14ac:dyDescent="0.2">
      <c r="AF10269" s="679"/>
    </row>
    <row r="10270" spans="32:32" x14ac:dyDescent="0.2">
      <c r="AF10270" s="679"/>
    </row>
    <row r="10271" spans="32:32" x14ac:dyDescent="0.2">
      <c r="AF10271" s="679"/>
    </row>
    <row r="10272" spans="32:32" x14ac:dyDescent="0.2">
      <c r="AF10272" s="679"/>
    </row>
    <row r="10273" spans="32:32" x14ac:dyDescent="0.2">
      <c r="AF10273" s="679"/>
    </row>
    <row r="10274" spans="32:32" x14ac:dyDescent="0.2">
      <c r="AF10274" s="679"/>
    </row>
    <row r="10275" spans="32:32" x14ac:dyDescent="0.2">
      <c r="AF10275" s="679"/>
    </row>
    <row r="10276" spans="32:32" x14ac:dyDescent="0.2">
      <c r="AF10276" s="679"/>
    </row>
    <row r="10277" spans="32:32" x14ac:dyDescent="0.2">
      <c r="AF10277" s="679"/>
    </row>
    <row r="10278" spans="32:32" x14ac:dyDescent="0.2">
      <c r="AF10278" s="679"/>
    </row>
    <row r="10279" spans="32:32" x14ac:dyDescent="0.2">
      <c r="AF10279" s="679"/>
    </row>
    <row r="10280" spans="32:32" x14ac:dyDescent="0.2">
      <c r="AF10280" s="679"/>
    </row>
    <row r="10281" spans="32:32" x14ac:dyDescent="0.2">
      <c r="AF10281" s="679"/>
    </row>
    <row r="10282" spans="32:32" x14ac:dyDescent="0.2">
      <c r="AF10282" s="679"/>
    </row>
    <row r="10283" spans="32:32" x14ac:dyDescent="0.2">
      <c r="AF10283" s="679"/>
    </row>
    <row r="10284" spans="32:32" x14ac:dyDescent="0.2">
      <c r="AF10284" s="679"/>
    </row>
    <row r="10285" spans="32:32" x14ac:dyDescent="0.2">
      <c r="AF10285" s="679"/>
    </row>
    <row r="10286" spans="32:32" x14ac:dyDescent="0.2">
      <c r="AF10286" s="679"/>
    </row>
    <row r="10287" spans="32:32" x14ac:dyDescent="0.2">
      <c r="AF10287" s="679"/>
    </row>
    <row r="10288" spans="32:32" x14ac:dyDescent="0.2">
      <c r="AF10288" s="679"/>
    </row>
    <row r="10289" spans="32:32" x14ac:dyDescent="0.2">
      <c r="AF10289" s="679"/>
    </row>
    <row r="10290" spans="32:32" x14ac:dyDescent="0.2">
      <c r="AF10290" s="679"/>
    </row>
    <row r="10291" spans="32:32" x14ac:dyDescent="0.2">
      <c r="AF10291" s="679"/>
    </row>
    <row r="10292" spans="32:32" x14ac:dyDescent="0.2">
      <c r="AF10292" s="679"/>
    </row>
    <row r="10293" spans="32:32" x14ac:dyDescent="0.2">
      <c r="AF10293" s="679"/>
    </row>
    <row r="10294" spans="32:32" x14ac:dyDescent="0.2">
      <c r="AF10294" s="679"/>
    </row>
    <row r="10295" spans="32:32" x14ac:dyDescent="0.2">
      <c r="AF10295" s="679"/>
    </row>
    <row r="10296" spans="32:32" x14ac:dyDescent="0.2">
      <c r="AF10296" s="679"/>
    </row>
    <row r="10297" spans="32:32" x14ac:dyDescent="0.2">
      <c r="AF10297" s="679"/>
    </row>
    <row r="10298" spans="32:32" x14ac:dyDescent="0.2">
      <c r="AF10298" s="679"/>
    </row>
    <row r="10299" spans="32:32" x14ac:dyDescent="0.2">
      <c r="AF10299" s="679"/>
    </row>
    <row r="10300" spans="32:32" x14ac:dyDescent="0.2">
      <c r="AF10300" s="679"/>
    </row>
    <row r="10301" spans="32:32" x14ac:dyDescent="0.2">
      <c r="AF10301" s="679"/>
    </row>
    <row r="10302" spans="32:32" x14ac:dyDescent="0.2">
      <c r="AF10302" s="679"/>
    </row>
    <row r="10303" spans="32:32" x14ac:dyDescent="0.2">
      <c r="AF10303" s="679"/>
    </row>
    <row r="10304" spans="32:32" x14ac:dyDescent="0.2">
      <c r="AF10304" s="679"/>
    </row>
    <row r="10305" spans="32:32" x14ac:dyDescent="0.2">
      <c r="AF10305" s="679"/>
    </row>
    <row r="10306" spans="32:32" x14ac:dyDescent="0.2">
      <c r="AF10306" s="679"/>
    </row>
    <row r="10307" spans="32:32" x14ac:dyDescent="0.2">
      <c r="AF10307" s="679"/>
    </row>
    <row r="10308" spans="32:32" x14ac:dyDescent="0.2">
      <c r="AF10308" s="679"/>
    </row>
    <row r="10309" spans="32:32" x14ac:dyDescent="0.2">
      <c r="AF10309" s="679"/>
    </row>
    <row r="10310" spans="32:32" x14ac:dyDescent="0.2">
      <c r="AF10310" s="679"/>
    </row>
    <row r="10311" spans="32:32" x14ac:dyDescent="0.2">
      <c r="AF10311" s="679"/>
    </row>
    <row r="10312" spans="32:32" x14ac:dyDescent="0.2">
      <c r="AF10312" s="679"/>
    </row>
    <row r="10313" spans="32:32" x14ac:dyDescent="0.2">
      <c r="AF10313" s="679"/>
    </row>
    <row r="10314" spans="32:32" x14ac:dyDescent="0.2">
      <c r="AF10314" s="679"/>
    </row>
    <row r="10315" spans="32:32" x14ac:dyDescent="0.2">
      <c r="AF10315" s="679"/>
    </row>
    <row r="10316" spans="32:32" x14ac:dyDescent="0.2">
      <c r="AF10316" s="679"/>
    </row>
    <row r="10317" spans="32:32" x14ac:dyDescent="0.2">
      <c r="AF10317" s="679"/>
    </row>
    <row r="10318" spans="32:32" x14ac:dyDescent="0.2">
      <c r="AF10318" s="679"/>
    </row>
    <row r="10319" spans="32:32" x14ac:dyDescent="0.2">
      <c r="AF10319" s="679"/>
    </row>
    <row r="10320" spans="32:32" x14ac:dyDescent="0.2">
      <c r="AF10320" s="679"/>
    </row>
    <row r="10321" spans="32:32" x14ac:dyDescent="0.2">
      <c r="AF10321" s="679"/>
    </row>
    <row r="10322" spans="32:32" x14ac:dyDescent="0.2">
      <c r="AF10322" s="679"/>
    </row>
    <row r="10323" spans="32:32" x14ac:dyDescent="0.2">
      <c r="AF10323" s="679"/>
    </row>
    <row r="10324" spans="32:32" x14ac:dyDescent="0.2">
      <c r="AF10324" s="679"/>
    </row>
    <row r="10325" spans="32:32" x14ac:dyDescent="0.2">
      <c r="AF10325" s="679"/>
    </row>
    <row r="10326" spans="32:32" x14ac:dyDescent="0.2">
      <c r="AF10326" s="679"/>
    </row>
    <row r="10327" spans="32:32" x14ac:dyDescent="0.2">
      <c r="AF10327" s="679"/>
    </row>
    <row r="10328" spans="32:32" x14ac:dyDescent="0.2">
      <c r="AF10328" s="679"/>
    </row>
    <row r="10329" spans="32:32" x14ac:dyDescent="0.2">
      <c r="AF10329" s="679"/>
    </row>
    <row r="10330" spans="32:32" x14ac:dyDescent="0.2">
      <c r="AF10330" s="679"/>
    </row>
    <row r="10331" spans="32:32" x14ac:dyDescent="0.2">
      <c r="AF10331" s="679"/>
    </row>
    <row r="10332" spans="32:32" x14ac:dyDescent="0.2">
      <c r="AF10332" s="679"/>
    </row>
    <row r="10333" spans="32:32" x14ac:dyDescent="0.2">
      <c r="AF10333" s="679"/>
    </row>
    <row r="10334" spans="32:32" x14ac:dyDescent="0.2">
      <c r="AF10334" s="679"/>
    </row>
    <row r="10335" spans="32:32" x14ac:dyDescent="0.2">
      <c r="AF10335" s="679"/>
    </row>
    <row r="10336" spans="32:32" x14ac:dyDescent="0.2">
      <c r="AF10336" s="679"/>
    </row>
    <row r="10337" spans="32:32" x14ac:dyDescent="0.2">
      <c r="AF10337" s="679"/>
    </row>
    <row r="10338" spans="32:32" x14ac:dyDescent="0.2">
      <c r="AF10338" s="679"/>
    </row>
    <row r="10339" spans="32:32" x14ac:dyDescent="0.2">
      <c r="AF10339" s="679"/>
    </row>
    <row r="10340" spans="32:32" x14ac:dyDescent="0.2">
      <c r="AF10340" s="679"/>
    </row>
    <row r="10341" spans="32:32" x14ac:dyDescent="0.2">
      <c r="AF10341" s="679"/>
    </row>
    <row r="10342" spans="32:32" x14ac:dyDescent="0.2">
      <c r="AF10342" s="679"/>
    </row>
    <row r="10343" spans="32:32" x14ac:dyDescent="0.2">
      <c r="AF10343" s="679"/>
    </row>
    <row r="10344" spans="32:32" x14ac:dyDescent="0.2">
      <c r="AF10344" s="679"/>
    </row>
    <row r="10345" spans="32:32" x14ac:dyDescent="0.2">
      <c r="AF10345" s="679"/>
    </row>
    <row r="10346" spans="32:32" x14ac:dyDescent="0.2">
      <c r="AF10346" s="679"/>
    </row>
    <row r="10347" spans="32:32" x14ac:dyDescent="0.2">
      <c r="AF10347" s="679"/>
    </row>
    <row r="10348" spans="32:32" x14ac:dyDescent="0.2">
      <c r="AF10348" s="679"/>
    </row>
    <row r="10349" spans="32:32" x14ac:dyDescent="0.2">
      <c r="AF10349" s="679"/>
    </row>
    <row r="10350" spans="32:32" x14ac:dyDescent="0.2">
      <c r="AF10350" s="679"/>
    </row>
    <row r="10351" spans="32:32" x14ac:dyDescent="0.2">
      <c r="AF10351" s="679"/>
    </row>
    <row r="10352" spans="32:32" x14ac:dyDescent="0.2">
      <c r="AF10352" s="679"/>
    </row>
    <row r="10353" spans="32:32" x14ac:dyDescent="0.2">
      <c r="AF10353" s="679"/>
    </row>
    <row r="10354" spans="32:32" x14ac:dyDescent="0.2">
      <c r="AF10354" s="679"/>
    </row>
    <row r="10355" spans="32:32" x14ac:dyDescent="0.2">
      <c r="AF10355" s="679"/>
    </row>
    <row r="10356" spans="32:32" x14ac:dyDescent="0.2">
      <c r="AF10356" s="679"/>
    </row>
    <row r="10357" spans="32:32" x14ac:dyDescent="0.2">
      <c r="AF10357" s="679"/>
    </row>
    <row r="10358" spans="32:32" x14ac:dyDescent="0.2">
      <c r="AF10358" s="679"/>
    </row>
    <row r="10359" spans="32:32" x14ac:dyDescent="0.2">
      <c r="AF10359" s="679"/>
    </row>
    <row r="10360" spans="32:32" x14ac:dyDescent="0.2">
      <c r="AF10360" s="679"/>
    </row>
    <row r="10361" spans="32:32" x14ac:dyDescent="0.2">
      <c r="AF10361" s="679"/>
    </row>
    <row r="10362" spans="32:32" x14ac:dyDescent="0.2">
      <c r="AF10362" s="679"/>
    </row>
    <row r="10363" spans="32:32" x14ac:dyDescent="0.2">
      <c r="AF10363" s="679"/>
    </row>
    <row r="10364" spans="32:32" x14ac:dyDescent="0.2">
      <c r="AF10364" s="679"/>
    </row>
    <row r="10365" spans="32:32" x14ac:dyDescent="0.2">
      <c r="AF10365" s="679"/>
    </row>
    <row r="10366" spans="32:32" x14ac:dyDescent="0.2">
      <c r="AF10366" s="679"/>
    </row>
    <row r="10367" spans="32:32" x14ac:dyDescent="0.2">
      <c r="AF10367" s="679"/>
    </row>
    <row r="10368" spans="32:32" x14ac:dyDescent="0.2">
      <c r="AF10368" s="679"/>
    </row>
    <row r="10369" spans="32:32" x14ac:dyDescent="0.2">
      <c r="AF10369" s="679"/>
    </row>
    <row r="10370" spans="32:32" x14ac:dyDescent="0.2">
      <c r="AF10370" s="679"/>
    </row>
    <row r="10371" spans="32:32" x14ac:dyDescent="0.2">
      <c r="AF10371" s="679"/>
    </row>
    <row r="10372" spans="32:32" x14ac:dyDescent="0.2">
      <c r="AF10372" s="679"/>
    </row>
    <row r="10373" spans="32:32" x14ac:dyDescent="0.2">
      <c r="AF10373" s="679"/>
    </row>
    <row r="10374" spans="32:32" x14ac:dyDescent="0.2">
      <c r="AF10374" s="679"/>
    </row>
    <row r="10375" spans="32:32" x14ac:dyDescent="0.2">
      <c r="AF10375" s="679"/>
    </row>
    <row r="10376" spans="32:32" x14ac:dyDescent="0.2">
      <c r="AF10376" s="679"/>
    </row>
    <row r="10377" spans="32:32" x14ac:dyDescent="0.2">
      <c r="AF10377" s="679"/>
    </row>
    <row r="10378" spans="32:32" x14ac:dyDescent="0.2">
      <c r="AF10378" s="679"/>
    </row>
    <row r="10379" spans="32:32" x14ac:dyDescent="0.2">
      <c r="AF10379" s="679"/>
    </row>
    <row r="10380" spans="32:32" x14ac:dyDescent="0.2">
      <c r="AF10380" s="679"/>
    </row>
    <row r="10381" spans="32:32" x14ac:dyDescent="0.2">
      <c r="AF10381" s="679"/>
    </row>
    <row r="10382" spans="32:32" x14ac:dyDescent="0.2">
      <c r="AF10382" s="679"/>
    </row>
    <row r="10383" spans="32:32" x14ac:dyDescent="0.2">
      <c r="AF10383" s="679"/>
    </row>
    <row r="10384" spans="32:32" x14ac:dyDescent="0.2">
      <c r="AF10384" s="679"/>
    </row>
    <row r="10385" spans="32:32" x14ac:dyDescent="0.2">
      <c r="AF10385" s="679"/>
    </row>
    <row r="10386" spans="32:32" x14ac:dyDescent="0.2">
      <c r="AF10386" s="679"/>
    </row>
    <row r="10387" spans="32:32" x14ac:dyDescent="0.2">
      <c r="AF10387" s="679"/>
    </row>
    <row r="10388" spans="32:32" x14ac:dyDescent="0.2">
      <c r="AF10388" s="679"/>
    </row>
    <row r="10389" spans="32:32" x14ac:dyDescent="0.2">
      <c r="AF10389" s="679"/>
    </row>
    <row r="10390" spans="32:32" x14ac:dyDescent="0.2">
      <c r="AF10390" s="679"/>
    </row>
    <row r="10391" spans="32:32" x14ac:dyDescent="0.2">
      <c r="AF10391" s="679"/>
    </row>
    <row r="10392" spans="32:32" x14ac:dyDescent="0.2">
      <c r="AF10392" s="679"/>
    </row>
    <row r="10393" spans="32:32" x14ac:dyDescent="0.2">
      <c r="AF10393" s="679"/>
    </row>
    <row r="10394" spans="32:32" x14ac:dyDescent="0.2">
      <c r="AF10394" s="679"/>
    </row>
    <row r="10395" spans="32:32" x14ac:dyDescent="0.2">
      <c r="AF10395" s="679"/>
    </row>
    <row r="10396" spans="32:32" x14ac:dyDescent="0.2">
      <c r="AF10396" s="679"/>
    </row>
    <row r="10397" spans="32:32" x14ac:dyDescent="0.2">
      <c r="AF10397" s="679"/>
    </row>
    <row r="10398" spans="32:32" x14ac:dyDescent="0.2">
      <c r="AF10398" s="679"/>
    </row>
    <row r="10399" spans="32:32" x14ac:dyDescent="0.2">
      <c r="AF10399" s="679"/>
    </row>
    <row r="10400" spans="32:32" x14ac:dyDescent="0.2">
      <c r="AF10400" s="679"/>
    </row>
    <row r="10401" spans="32:32" x14ac:dyDescent="0.2">
      <c r="AF10401" s="679"/>
    </row>
    <row r="10402" spans="32:32" x14ac:dyDescent="0.2">
      <c r="AF10402" s="679"/>
    </row>
    <row r="10403" spans="32:32" x14ac:dyDescent="0.2">
      <c r="AF10403" s="679"/>
    </row>
    <row r="10404" spans="32:32" x14ac:dyDescent="0.2">
      <c r="AF10404" s="679"/>
    </row>
    <row r="10405" spans="32:32" x14ac:dyDescent="0.2">
      <c r="AF10405" s="679"/>
    </row>
    <row r="10406" spans="32:32" x14ac:dyDescent="0.2">
      <c r="AF10406" s="679"/>
    </row>
    <row r="10407" spans="32:32" x14ac:dyDescent="0.2">
      <c r="AF10407" s="679"/>
    </row>
    <row r="10408" spans="32:32" x14ac:dyDescent="0.2">
      <c r="AF10408" s="679"/>
    </row>
    <row r="10409" spans="32:32" x14ac:dyDescent="0.2">
      <c r="AF10409" s="679"/>
    </row>
    <row r="10410" spans="32:32" x14ac:dyDescent="0.2">
      <c r="AF10410" s="679"/>
    </row>
    <row r="10411" spans="32:32" x14ac:dyDescent="0.2">
      <c r="AF10411" s="679"/>
    </row>
    <row r="10412" spans="32:32" x14ac:dyDescent="0.2">
      <c r="AF10412" s="679"/>
    </row>
    <row r="10413" spans="32:32" x14ac:dyDescent="0.2">
      <c r="AF10413" s="679"/>
    </row>
    <row r="10414" spans="32:32" x14ac:dyDescent="0.2">
      <c r="AF10414" s="679"/>
    </row>
    <row r="10415" spans="32:32" x14ac:dyDescent="0.2">
      <c r="AF10415" s="679"/>
    </row>
    <row r="10416" spans="32:32" x14ac:dyDescent="0.2">
      <c r="AF10416" s="679"/>
    </row>
    <row r="10417" spans="32:32" x14ac:dyDescent="0.2">
      <c r="AF10417" s="679"/>
    </row>
    <row r="10418" spans="32:32" x14ac:dyDescent="0.2">
      <c r="AF10418" s="679"/>
    </row>
    <row r="10419" spans="32:32" x14ac:dyDescent="0.2">
      <c r="AF10419" s="679"/>
    </row>
    <row r="10420" spans="32:32" x14ac:dyDescent="0.2">
      <c r="AF10420" s="679"/>
    </row>
    <row r="10421" spans="32:32" x14ac:dyDescent="0.2">
      <c r="AF10421" s="679"/>
    </row>
    <row r="10422" spans="32:32" x14ac:dyDescent="0.2">
      <c r="AF10422" s="679"/>
    </row>
    <row r="10423" spans="32:32" x14ac:dyDescent="0.2">
      <c r="AF10423" s="679"/>
    </row>
    <row r="10424" spans="32:32" x14ac:dyDescent="0.2">
      <c r="AF10424" s="679"/>
    </row>
    <row r="10425" spans="32:32" x14ac:dyDescent="0.2">
      <c r="AF10425" s="679"/>
    </row>
    <row r="10426" spans="32:32" x14ac:dyDescent="0.2">
      <c r="AF10426" s="679"/>
    </row>
    <row r="10427" spans="32:32" x14ac:dyDescent="0.2">
      <c r="AF10427" s="679"/>
    </row>
    <row r="10428" spans="32:32" x14ac:dyDescent="0.2">
      <c r="AF10428" s="679"/>
    </row>
    <row r="10429" spans="32:32" x14ac:dyDescent="0.2">
      <c r="AF10429" s="679"/>
    </row>
    <row r="10430" spans="32:32" x14ac:dyDescent="0.2">
      <c r="AF10430" s="679"/>
    </row>
    <row r="10431" spans="32:32" x14ac:dyDescent="0.2">
      <c r="AF10431" s="679"/>
    </row>
    <row r="10432" spans="32:32" x14ac:dyDescent="0.2">
      <c r="AF10432" s="679"/>
    </row>
    <row r="10433" spans="32:32" x14ac:dyDescent="0.2">
      <c r="AF10433" s="679"/>
    </row>
    <row r="10434" spans="32:32" x14ac:dyDescent="0.2">
      <c r="AF10434" s="679"/>
    </row>
    <row r="10435" spans="32:32" x14ac:dyDescent="0.2">
      <c r="AF10435" s="679"/>
    </row>
    <row r="10436" spans="32:32" x14ac:dyDescent="0.2">
      <c r="AF10436" s="679"/>
    </row>
    <row r="10437" spans="32:32" x14ac:dyDescent="0.2">
      <c r="AF10437" s="679"/>
    </row>
    <row r="10438" spans="32:32" x14ac:dyDescent="0.2">
      <c r="AF10438" s="679"/>
    </row>
    <row r="10439" spans="32:32" x14ac:dyDescent="0.2">
      <c r="AF10439" s="679"/>
    </row>
    <row r="10440" spans="32:32" x14ac:dyDescent="0.2">
      <c r="AF10440" s="679"/>
    </row>
    <row r="10441" spans="32:32" x14ac:dyDescent="0.2">
      <c r="AF10441" s="679"/>
    </row>
    <row r="10442" spans="32:32" x14ac:dyDescent="0.2">
      <c r="AF10442" s="679"/>
    </row>
    <row r="10443" spans="32:32" x14ac:dyDescent="0.2">
      <c r="AF10443" s="679"/>
    </row>
    <row r="10444" spans="32:32" x14ac:dyDescent="0.2">
      <c r="AF10444" s="679"/>
    </row>
    <row r="10445" spans="32:32" x14ac:dyDescent="0.2">
      <c r="AF10445" s="679"/>
    </row>
    <row r="10446" spans="32:32" x14ac:dyDescent="0.2">
      <c r="AF10446" s="679"/>
    </row>
    <row r="10447" spans="32:32" x14ac:dyDescent="0.2">
      <c r="AF10447" s="679"/>
    </row>
    <row r="10448" spans="32:32" x14ac:dyDescent="0.2">
      <c r="AF10448" s="679"/>
    </row>
    <row r="10449" spans="32:32" x14ac:dyDescent="0.2">
      <c r="AF10449" s="679"/>
    </row>
    <row r="10450" spans="32:32" x14ac:dyDescent="0.2">
      <c r="AF10450" s="679"/>
    </row>
    <row r="10451" spans="32:32" x14ac:dyDescent="0.2">
      <c r="AF10451" s="679"/>
    </row>
    <row r="10452" spans="32:32" x14ac:dyDescent="0.2">
      <c r="AF10452" s="679"/>
    </row>
    <row r="10453" spans="32:32" x14ac:dyDescent="0.2">
      <c r="AF10453" s="679"/>
    </row>
    <row r="10454" spans="32:32" x14ac:dyDescent="0.2">
      <c r="AF10454" s="679"/>
    </row>
    <row r="10455" spans="32:32" x14ac:dyDescent="0.2">
      <c r="AF10455" s="679"/>
    </row>
    <row r="10456" spans="32:32" x14ac:dyDescent="0.2">
      <c r="AF10456" s="679"/>
    </row>
    <row r="10457" spans="32:32" x14ac:dyDescent="0.2">
      <c r="AF10457" s="679"/>
    </row>
    <row r="10458" spans="32:32" x14ac:dyDescent="0.2">
      <c r="AF10458" s="679"/>
    </row>
    <row r="10459" spans="32:32" x14ac:dyDescent="0.2">
      <c r="AF10459" s="679"/>
    </row>
    <row r="10460" spans="32:32" x14ac:dyDescent="0.2">
      <c r="AF10460" s="679"/>
    </row>
    <row r="10461" spans="32:32" x14ac:dyDescent="0.2">
      <c r="AF10461" s="679"/>
    </row>
    <row r="10462" spans="32:32" x14ac:dyDescent="0.2">
      <c r="AF10462" s="679"/>
    </row>
    <row r="10463" spans="32:32" x14ac:dyDescent="0.2">
      <c r="AF10463" s="679"/>
    </row>
    <row r="10464" spans="32:32" x14ac:dyDescent="0.2">
      <c r="AF10464" s="679"/>
    </row>
    <row r="10465" spans="32:32" x14ac:dyDescent="0.2">
      <c r="AF10465" s="679"/>
    </row>
    <row r="10466" spans="32:32" x14ac:dyDescent="0.2">
      <c r="AF10466" s="679"/>
    </row>
    <row r="10467" spans="32:32" x14ac:dyDescent="0.2">
      <c r="AF10467" s="679"/>
    </row>
    <row r="10468" spans="32:32" x14ac:dyDescent="0.2">
      <c r="AF10468" s="679"/>
    </row>
    <row r="10469" spans="32:32" x14ac:dyDescent="0.2">
      <c r="AF10469" s="679"/>
    </row>
    <row r="10470" spans="32:32" x14ac:dyDescent="0.2">
      <c r="AF10470" s="679"/>
    </row>
    <row r="10471" spans="32:32" x14ac:dyDescent="0.2">
      <c r="AF10471" s="679"/>
    </row>
    <row r="10472" spans="32:32" x14ac:dyDescent="0.2">
      <c r="AF10472" s="679"/>
    </row>
    <row r="10473" spans="32:32" x14ac:dyDescent="0.2">
      <c r="AF10473" s="679"/>
    </row>
    <row r="10474" spans="32:32" x14ac:dyDescent="0.2">
      <c r="AF10474" s="679"/>
    </row>
    <row r="10475" spans="32:32" x14ac:dyDescent="0.2">
      <c r="AF10475" s="679"/>
    </row>
    <row r="10476" spans="32:32" x14ac:dyDescent="0.2">
      <c r="AF10476" s="679"/>
    </row>
    <row r="10477" spans="32:32" x14ac:dyDescent="0.2">
      <c r="AF10477" s="679"/>
    </row>
    <row r="10478" spans="32:32" x14ac:dyDescent="0.2">
      <c r="AF10478" s="679"/>
    </row>
    <row r="10479" spans="32:32" x14ac:dyDescent="0.2">
      <c r="AF10479" s="679"/>
    </row>
    <row r="10480" spans="32:32" x14ac:dyDescent="0.2">
      <c r="AF10480" s="679"/>
    </row>
    <row r="10481" spans="32:32" x14ac:dyDescent="0.2">
      <c r="AF10481" s="679"/>
    </row>
    <row r="10482" spans="32:32" x14ac:dyDescent="0.2">
      <c r="AF10482" s="679"/>
    </row>
    <row r="10483" spans="32:32" x14ac:dyDescent="0.2">
      <c r="AF10483" s="679"/>
    </row>
    <row r="10484" spans="32:32" x14ac:dyDescent="0.2">
      <c r="AF10484" s="679"/>
    </row>
    <row r="10485" spans="32:32" x14ac:dyDescent="0.2">
      <c r="AF10485" s="679"/>
    </row>
    <row r="10486" spans="32:32" x14ac:dyDescent="0.2">
      <c r="AF10486" s="679"/>
    </row>
    <row r="10487" spans="32:32" x14ac:dyDescent="0.2">
      <c r="AF10487" s="679"/>
    </row>
    <row r="10488" spans="32:32" x14ac:dyDescent="0.2">
      <c r="AF10488" s="679"/>
    </row>
    <row r="10489" spans="32:32" x14ac:dyDescent="0.2">
      <c r="AF10489" s="679"/>
    </row>
    <row r="10490" spans="32:32" x14ac:dyDescent="0.2">
      <c r="AF10490" s="679"/>
    </row>
    <row r="10491" spans="32:32" x14ac:dyDescent="0.2">
      <c r="AF10491" s="679"/>
    </row>
    <row r="10492" spans="32:32" x14ac:dyDescent="0.2">
      <c r="AF10492" s="679"/>
    </row>
    <row r="10493" spans="32:32" x14ac:dyDescent="0.2">
      <c r="AF10493" s="679"/>
    </row>
    <row r="10494" spans="32:32" x14ac:dyDescent="0.2">
      <c r="AF10494" s="679"/>
    </row>
    <row r="10495" spans="32:32" x14ac:dyDescent="0.2">
      <c r="AF10495" s="679"/>
    </row>
    <row r="10496" spans="32:32" x14ac:dyDescent="0.2">
      <c r="AF10496" s="679"/>
    </row>
    <row r="10497" spans="32:32" x14ac:dyDescent="0.2">
      <c r="AF10497" s="679"/>
    </row>
    <row r="10498" spans="32:32" x14ac:dyDescent="0.2">
      <c r="AF10498" s="679"/>
    </row>
    <row r="10499" spans="32:32" x14ac:dyDescent="0.2">
      <c r="AF10499" s="679"/>
    </row>
    <row r="10500" spans="32:32" x14ac:dyDescent="0.2">
      <c r="AF10500" s="679"/>
    </row>
    <row r="10501" spans="32:32" x14ac:dyDescent="0.2">
      <c r="AF10501" s="679"/>
    </row>
    <row r="10502" spans="32:32" x14ac:dyDescent="0.2">
      <c r="AF10502" s="679"/>
    </row>
    <row r="10503" spans="32:32" x14ac:dyDescent="0.2">
      <c r="AF10503" s="679"/>
    </row>
    <row r="10504" spans="32:32" x14ac:dyDescent="0.2">
      <c r="AF10504" s="679"/>
    </row>
    <row r="10505" spans="32:32" x14ac:dyDescent="0.2">
      <c r="AF10505" s="679"/>
    </row>
    <row r="10506" spans="32:32" x14ac:dyDescent="0.2">
      <c r="AF10506" s="679"/>
    </row>
    <row r="10507" spans="32:32" x14ac:dyDescent="0.2">
      <c r="AF10507" s="679"/>
    </row>
    <row r="10508" spans="32:32" x14ac:dyDescent="0.2">
      <c r="AF10508" s="679"/>
    </row>
    <row r="10509" spans="32:32" x14ac:dyDescent="0.2">
      <c r="AF10509" s="679"/>
    </row>
    <row r="10510" spans="32:32" x14ac:dyDescent="0.2">
      <c r="AF10510" s="679"/>
    </row>
    <row r="10511" spans="32:32" x14ac:dyDescent="0.2">
      <c r="AF10511" s="679"/>
    </row>
    <row r="10512" spans="32:32" x14ac:dyDescent="0.2">
      <c r="AF10512" s="679"/>
    </row>
    <row r="10513" spans="32:32" x14ac:dyDescent="0.2">
      <c r="AF10513" s="679"/>
    </row>
    <row r="10514" spans="32:32" x14ac:dyDescent="0.2">
      <c r="AF10514" s="679"/>
    </row>
    <row r="10515" spans="32:32" x14ac:dyDescent="0.2">
      <c r="AF10515" s="679"/>
    </row>
    <row r="10516" spans="32:32" x14ac:dyDescent="0.2">
      <c r="AF10516" s="679"/>
    </row>
    <row r="10517" spans="32:32" x14ac:dyDescent="0.2">
      <c r="AF10517" s="679"/>
    </row>
    <row r="10518" spans="32:32" x14ac:dyDescent="0.2">
      <c r="AF10518" s="679"/>
    </row>
    <row r="10519" spans="32:32" x14ac:dyDescent="0.2">
      <c r="AF10519" s="679"/>
    </row>
    <row r="10520" spans="32:32" x14ac:dyDescent="0.2">
      <c r="AF10520" s="679"/>
    </row>
    <row r="10521" spans="32:32" x14ac:dyDescent="0.2">
      <c r="AF10521" s="679"/>
    </row>
    <row r="10522" spans="32:32" x14ac:dyDescent="0.2">
      <c r="AF10522" s="679"/>
    </row>
    <row r="10523" spans="32:32" x14ac:dyDescent="0.2">
      <c r="AF10523" s="679"/>
    </row>
    <row r="10524" spans="32:32" x14ac:dyDescent="0.2">
      <c r="AF10524" s="679"/>
    </row>
    <row r="10525" spans="32:32" x14ac:dyDescent="0.2">
      <c r="AF10525" s="679"/>
    </row>
    <row r="10526" spans="32:32" x14ac:dyDescent="0.2">
      <c r="AF10526" s="679"/>
    </row>
    <row r="10527" spans="32:32" x14ac:dyDescent="0.2">
      <c r="AF10527" s="679"/>
    </row>
    <row r="10528" spans="32:32" x14ac:dyDescent="0.2">
      <c r="AF10528" s="679"/>
    </row>
    <row r="10529" spans="32:32" x14ac:dyDescent="0.2">
      <c r="AF10529" s="679"/>
    </row>
    <row r="10530" spans="32:32" x14ac:dyDescent="0.2">
      <c r="AF10530" s="679"/>
    </row>
    <row r="10531" spans="32:32" x14ac:dyDescent="0.2">
      <c r="AF10531" s="679"/>
    </row>
    <row r="10532" spans="32:32" x14ac:dyDescent="0.2">
      <c r="AF10532" s="679"/>
    </row>
    <row r="10533" spans="32:32" x14ac:dyDescent="0.2">
      <c r="AF10533" s="679"/>
    </row>
    <row r="10534" spans="32:32" x14ac:dyDescent="0.2">
      <c r="AF10534" s="679"/>
    </row>
    <row r="10535" spans="32:32" x14ac:dyDescent="0.2">
      <c r="AF10535" s="679"/>
    </row>
    <row r="10536" spans="32:32" x14ac:dyDescent="0.2">
      <c r="AF10536" s="679"/>
    </row>
    <row r="10537" spans="32:32" x14ac:dyDescent="0.2">
      <c r="AF10537" s="679"/>
    </row>
    <row r="10538" spans="32:32" x14ac:dyDescent="0.2">
      <c r="AF10538" s="679"/>
    </row>
    <row r="10539" spans="32:32" x14ac:dyDescent="0.2">
      <c r="AF10539" s="679"/>
    </row>
    <row r="10540" spans="32:32" x14ac:dyDescent="0.2">
      <c r="AF10540" s="679"/>
    </row>
    <row r="10541" spans="32:32" x14ac:dyDescent="0.2">
      <c r="AF10541" s="679"/>
    </row>
    <row r="10542" spans="32:32" x14ac:dyDescent="0.2">
      <c r="AF10542" s="679"/>
    </row>
    <row r="10543" spans="32:32" x14ac:dyDescent="0.2">
      <c r="AF10543" s="679"/>
    </row>
    <row r="10544" spans="32:32" x14ac:dyDescent="0.2">
      <c r="AF10544" s="679"/>
    </row>
    <row r="10545" spans="32:32" x14ac:dyDescent="0.2">
      <c r="AF10545" s="679"/>
    </row>
    <row r="10546" spans="32:32" x14ac:dyDescent="0.2">
      <c r="AF10546" s="679"/>
    </row>
    <row r="10547" spans="32:32" x14ac:dyDescent="0.2">
      <c r="AF10547" s="679"/>
    </row>
    <row r="10548" spans="32:32" x14ac:dyDescent="0.2">
      <c r="AF10548" s="679"/>
    </row>
    <row r="10549" spans="32:32" x14ac:dyDescent="0.2">
      <c r="AF10549" s="679"/>
    </row>
    <row r="10550" spans="32:32" x14ac:dyDescent="0.2">
      <c r="AF10550" s="679"/>
    </row>
    <row r="10551" spans="32:32" x14ac:dyDescent="0.2">
      <c r="AF10551" s="679"/>
    </row>
    <row r="10552" spans="32:32" x14ac:dyDescent="0.2">
      <c r="AF10552" s="679"/>
    </row>
    <row r="10553" spans="32:32" x14ac:dyDescent="0.2">
      <c r="AF10553" s="679"/>
    </row>
    <row r="10554" spans="32:32" x14ac:dyDescent="0.2">
      <c r="AF10554" s="679"/>
    </row>
    <row r="10555" spans="32:32" x14ac:dyDescent="0.2">
      <c r="AF10555" s="679"/>
    </row>
    <row r="10556" spans="32:32" x14ac:dyDescent="0.2">
      <c r="AF10556" s="679"/>
    </row>
    <row r="10557" spans="32:32" x14ac:dyDescent="0.2">
      <c r="AF10557" s="679"/>
    </row>
    <row r="10558" spans="32:32" x14ac:dyDescent="0.2">
      <c r="AF10558" s="679"/>
    </row>
    <row r="10559" spans="32:32" x14ac:dyDescent="0.2">
      <c r="AF10559" s="679"/>
    </row>
    <row r="10560" spans="32:32" x14ac:dyDescent="0.2">
      <c r="AF10560" s="679"/>
    </row>
    <row r="10561" spans="32:32" x14ac:dyDescent="0.2">
      <c r="AF10561" s="679"/>
    </row>
    <row r="10562" spans="32:32" x14ac:dyDescent="0.2">
      <c r="AF10562" s="679"/>
    </row>
    <row r="10563" spans="32:32" x14ac:dyDescent="0.2">
      <c r="AF10563" s="679"/>
    </row>
    <row r="10564" spans="32:32" x14ac:dyDescent="0.2">
      <c r="AF10564" s="679"/>
    </row>
    <row r="10565" spans="32:32" x14ac:dyDescent="0.2">
      <c r="AF10565" s="679"/>
    </row>
    <row r="10566" spans="32:32" x14ac:dyDescent="0.2">
      <c r="AF10566" s="679"/>
    </row>
    <row r="10567" spans="32:32" x14ac:dyDescent="0.2">
      <c r="AF10567" s="679"/>
    </row>
    <row r="10568" spans="32:32" x14ac:dyDescent="0.2">
      <c r="AF10568" s="679"/>
    </row>
    <row r="10569" spans="32:32" x14ac:dyDescent="0.2">
      <c r="AF10569" s="679"/>
    </row>
    <row r="10570" spans="32:32" x14ac:dyDescent="0.2">
      <c r="AF10570" s="679"/>
    </row>
    <row r="10571" spans="32:32" x14ac:dyDescent="0.2">
      <c r="AF10571" s="679"/>
    </row>
    <row r="10572" spans="32:32" x14ac:dyDescent="0.2">
      <c r="AF10572" s="679"/>
    </row>
    <row r="10573" spans="32:32" x14ac:dyDescent="0.2">
      <c r="AF10573" s="679"/>
    </row>
    <row r="10574" spans="32:32" x14ac:dyDescent="0.2">
      <c r="AF10574" s="679"/>
    </row>
    <row r="10575" spans="32:32" x14ac:dyDescent="0.2">
      <c r="AF10575" s="679"/>
    </row>
    <row r="10576" spans="32:32" x14ac:dyDescent="0.2">
      <c r="AF10576" s="679"/>
    </row>
    <row r="10577" spans="32:32" x14ac:dyDescent="0.2">
      <c r="AF10577" s="679"/>
    </row>
    <row r="10578" spans="32:32" x14ac:dyDescent="0.2">
      <c r="AF10578" s="679"/>
    </row>
    <row r="10579" spans="32:32" x14ac:dyDescent="0.2">
      <c r="AF10579" s="679"/>
    </row>
    <row r="10580" spans="32:32" x14ac:dyDescent="0.2">
      <c r="AF10580" s="679"/>
    </row>
    <row r="10581" spans="32:32" x14ac:dyDescent="0.2">
      <c r="AF10581" s="679"/>
    </row>
    <row r="10582" spans="32:32" x14ac:dyDescent="0.2">
      <c r="AF10582" s="679"/>
    </row>
    <row r="10583" spans="32:32" x14ac:dyDescent="0.2">
      <c r="AF10583" s="679"/>
    </row>
    <row r="10584" spans="32:32" x14ac:dyDescent="0.2">
      <c r="AF10584" s="679"/>
    </row>
    <row r="10585" spans="32:32" x14ac:dyDescent="0.2">
      <c r="AF10585" s="679"/>
    </row>
    <row r="10586" spans="32:32" x14ac:dyDescent="0.2">
      <c r="AF10586" s="679"/>
    </row>
    <row r="10587" spans="32:32" x14ac:dyDescent="0.2">
      <c r="AF10587" s="679"/>
    </row>
    <row r="10588" spans="32:32" x14ac:dyDescent="0.2">
      <c r="AF10588" s="679"/>
    </row>
    <row r="10589" spans="32:32" x14ac:dyDescent="0.2">
      <c r="AF10589" s="679"/>
    </row>
    <row r="10590" spans="32:32" x14ac:dyDescent="0.2">
      <c r="AF10590" s="679"/>
    </row>
    <row r="10591" spans="32:32" x14ac:dyDescent="0.2">
      <c r="AF10591" s="679"/>
    </row>
    <row r="10592" spans="32:32" x14ac:dyDescent="0.2">
      <c r="AF10592" s="679"/>
    </row>
    <row r="10593" spans="32:32" x14ac:dyDescent="0.2">
      <c r="AF10593" s="679"/>
    </row>
    <row r="10594" spans="32:32" x14ac:dyDescent="0.2">
      <c r="AF10594" s="679"/>
    </row>
    <row r="10595" spans="32:32" x14ac:dyDescent="0.2">
      <c r="AF10595" s="679"/>
    </row>
    <row r="10596" spans="32:32" x14ac:dyDescent="0.2">
      <c r="AF10596" s="679"/>
    </row>
    <row r="10597" spans="32:32" x14ac:dyDescent="0.2">
      <c r="AF10597" s="679"/>
    </row>
    <row r="10598" spans="32:32" x14ac:dyDescent="0.2">
      <c r="AF10598" s="679"/>
    </row>
    <row r="10599" spans="32:32" x14ac:dyDescent="0.2">
      <c r="AF10599" s="679"/>
    </row>
    <row r="10600" spans="32:32" x14ac:dyDescent="0.2">
      <c r="AF10600" s="679"/>
    </row>
    <row r="10601" spans="32:32" x14ac:dyDescent="0.2">
      <c r="AF10601" s="679"/>
    </row>
    <row r="10602" spans="32:32" x14ac:dyDescent="0.2">
      <c r="AF10602" s="679"/>
    </row>
    <row r="10603" spans="32:32" x14ac:dyDescent="0.2">
      <c r="AF10603" s="679"/>
    </row>
    <row r="10604" spans="32:32" x14ac:dyDescent="0.2">
      <c r="AF10604" s="679"/>
    </row>
    <row r="10605" spans="32:32" x14ac:dyDescent="0.2">
      <c r="AF10605" s="679"/>
    </row>
    <row r="10606" spans="32:32" x14ac:dyDescent="0.2">
      <c r="AF10606" s="679"/>
    </row>
    <row r="10607" spans="32:32" x14ac:dyDescent="0.2">
      <c r="AF10607" s="679"/>
    </row>
    <row r="10608" spans="32:32" x14ac:dyDescent="0.2">
      <c r="AF10608" s="679"/>
    </row>
    <row r="10609" spans="32:32" x14ac:dyDescent="0.2">
      <c r="AF10609" s="679"/>
    </row>
    <row r="10610" spans="32:32" x14ac:dyDescent="0.2">
      <c r="AF10610" s="679"/>
    </row>
    <row r="10611" spans="32:32" x14ac:dyDescent="0.2">
      <c r="AF10611" s="679"/>
    </row>
    <row r="10612" spans="32:32" x14ac:dyDescent="0.2">
      <c r="AF10612" s="679"/>
    </row>
    <row r="10613" spans="32:32" x14ac:dyDescent="0.2">
      <c r="AF10613" s="679"/>
    </row>
    <row r="10614" spans="32:32" x14ac:dyDescent="0.2">
      <c r="AF10614" s="679"/>
    </row>
    <row r="10615" spans="32:32" x14ac:dyDescent="0.2">
      <c r="AF10615" s="679"/>
    </row>
    <row r="10616" spans="32:32" x14ac:dyDescent="0.2">
      <c r="AF10616" s="679"/>
    </row>
    <row r="10617" spans="32:32" x14ac:dyDescent="0.2">
      <c r="AF10617" s="679"/>
    </row>
    <row r="10618" spans="32:32" x14ac:dyDescent="0.2">
      <c r="AF10618" s="679"/>
    </row>
    <row r="10619" spans="32:32" x14ac:dyDescent="0.2">
      <c r="AF10619" s="679"/>
    </row>
    <row r="10620" spans="32:32" x14ac:dyDescent="0.2">
      <c r="AF10620" s="679"/>
    </row>
    <row r="10621" spans="32:32" x14ac:dyDescent="0.2">
      <c r="AF10621" s="679"/>
    </row>
    <row r="10622" spans="32:32" x14ac:dyDescent="0.2">
      <c r="AF10622" s="679"/>
    </row>
    <row r="10623" spans="32:32" x14ac:dyDescent="0.2">
      <c r="AF10623" s="679"/>
    </row>
    <row r="10624" spans="32:32" x14ac:dyDescent="0.2">
      <c r="AF10624" s="679"/>
    </row>
    <row r="10625" spans="32:32" x14ac:dyDescent="0.2">
      <c r="AF10625" s="679"/>
    </row>
    <row r="10626" spans="32:32" x14ac:dyDescent="0.2">
      <c r="AF10626" s="679"/>
    </row>
    <row r="10627" spans="32:32" x14ac:dyDescent="0.2">
      <c r="AF10627" s="679"/>
    </row>
    <row r="10628" spans="32:32" x14ac:dyDescent="0.2">
      <c r="AF10628" s="679"/>
    </row>
    <row r="10629" spans="32:32" x14ac:dyDescent="0.2">
      <c r="AF10629" s="679"/>
    </row>
    <row r="10630" spans="32:32" x14ac:dyDescent="0.2">
      <c r="AF10630" s="679"/>
    </row>
    <row r="10631" spans="32:32" x14ac:dyDescent="0.2">
      <c r="AF10631" s="679"/>
    </row>
    <row r="10632" spans="32:32" x14ac:dyDescent="0.2">
      <c r="AF10632" s="679"/>
    </row>
    <row r="10633" spans="32:32" x14ac:dyDescent="0.2">
      <c r="AF10633" s="679"/>
    </row>
    <row r="10634" spans="32:32" x14ac:dyDescent="0.2">
      <c r="AF10634" s="679"/>
    </row>
    <row r="10635" spans="32:32" x14ac:dyDescent="0.2">
      <c r="AF10635" s="679"/>
    </row>
    <row r="10636" spans="32:32" x14ac:dyDescent="0.2">
      <c r="AF10636" s="679"/>
    </row>
    <row r="10637" spans="32:32" x14ac:dyDescent="0.2">
      <c r="AF10637" s="679"/>
    </row>
    <row r="10638" spans="32:32" x14ac:dyDescent="0.2">
      <c r="AF10638" s="679"/>
    </row>
    <row r="10639" spans="32:32" x14ac:dyDescent="0.2">
      <c r="AF10639" s="679"/>
    </row>
    <row r="10640" spans="32:32" x14ac:dyDescent="0.2">
      <c r="AF10640" s="679"/>
    </row>
    <row r="10641" spans="32:32" x14ac:dyDescent="0.2">
      <c r="AF10641" s="679"/>
    </row>
    <row r="10642" spans="32:32" x14ac:dyDescent="0.2">
      <c r="AF10642" s="679"/>
    </row>
    <row r="10643" spans="32:32" x14ac:dyDescent="0.2">
      <c r="AF10643" s="679"/>
    </row>
    <row r="10644" spans="32:32" x14ac:dyDescent="0.2">
      <c r="AF10644" s="679"/>
    </row>
    <row r="10645" spans="32:32" x14ac:dyDescent="0.2">
      <c r="AF10645" s="679"/>
    </row>
    <row r="10646" spans="32:32" x14ac:dyDescent="0.2">
      <c r="AF10646" s="679"/>
    </row>
    <row r="10647" spans="32:32" x14ac:dyDescent="0.2">
      <c r="AF10647" s="679"/>
    </row>
    <row r="10648" spans="32:32" x14ac:dyDescent="0.2">
      <c r="AF10648" s="679"/>
    </row>
    <row r="10649" spans="32:32" x14ac:dyDescent="0.2">
      <c r="AF10649" s="679"/>
    </row>
    <row r="10650" spans="32:32" x14ac:dyDescent="0.2">
      <c r="AF10650" s="679"/>
    </row>
    <row r="10651" spans="32:32" x14ac:dyDescent="0.2">
      <c r="AF10651" s="679"/>
    </row>
    <row r="10652" spans="32:32" x14ac:dyDescent="0.2">
      <c r="AF10652" s="679"/>
    </row>
    <row r="10653" spans="32:32" x14ac:dyDescent="0.2">
      <c r="AF10653" s="679"/>
    </row>
    <row r="10654" spans="32:32" x14ac:dyDescent="0.2">
      <c r="AF10654" s="679"/>
    </row>
    <row r="10655" spans="32:32" x14ac:dyDescent="0.2">
      <c r="AF10655" s="679"/>
    </row>
    <row r="10656" spans="32:32" x14ac:dyDescent="0.2">
      <c r="AF10656" s="679"/>
    </row>
    <row r="10657" spans="32:32" x14ac:dyDescent="0.2">
      <c r="AF10657" s="679"/>
    </row>
    <row r="10658" spans="32:32" x14ac:dyDescent="0.2">
      <c r="AF10658" s="679"/>
    </row>
    <row r="10659" spans="32:32" x14ac:dyDescent="0.2">
      <c r="AF10659" s="679"/>
    </row>
    <row r="10660" spans="32:32" x14ac:dyDescent="0.2">
      <c r="AF10660" s="679"/>
    </row>
    <row r="10661" spans="32:32" x14ac:dyDescent="0.2">
      <c r="AF10661" s="679"/>
    </row>
    <row r="10662" spans="32:32" x14ac:dyDescent="0.2">
      <c r="AF10662" s="679"/>
    </row>
    <row r="10663" spans="32:32" x14ac:dyDescent="0.2">
      <c r="AF10663" s="679"/>
    </row>
    <row r="10664" spans="32:32" x14ac:dyDescent="0.2">
      <c r="AF10664" s="679"/>
    </row>
    <row r="10665" spans="32:32" x14ac:dyDescent="0.2">
      <c r="AF10665" s="679"/>
    </row>
    <row r="10666" spans="32:32" x14ac:dyDescent="0.2">
      <c r="AF10666" s="679"/>
    </row>
    <row r="10667" spans="32:32" x14ac:dyDescent="0.2">
      <c r="AF10667" s="679"/>
    </row>
    <row r="10668" spans="32:32" x14ac:dyDescent="0.2">
      <c r="AF10668" s="679"/>
    </row>
    <row r="10669" spans="32:32" x14ac:dyDescent="0.2">
      <c r="AF10669" s="679"/>
    </row>
    <row r="10670" spans="32:32" x14ac:dyDescent="0.2">
      <c r="AF10670" s="679"/>
    </row>
    <row r="10671" spans="32:32" x14ac:dyDescent="0.2">
      <c r="AF10671" s="679"/>
    </row>
    <row r="10672" spans="32:32" x14ac:dyDescent="0.2">
      <c r="AF10672" s="679"/>
    </row>
    <row r="10673" spans="32:32" x14ac:dyDescent="0.2">
      <c r="AF10673" s="679"/>
    </row>
    <row r="10674" spans="32:32" x14ac:dyDescent="0.2">
      <c r="AF10674" s="679"/>
    </row>
    <row r="10675" spans="32:32" x14ac:dyDescent="0.2">
      <c r="AF10675" s="679"/>
    </row>
    <row r="10676" spans="32:32" x14ac:dyDescent="0.2">
      <c r="AF10676" s="679"/>
    </row>
    <row r="10677" spans="32:32" x14ac:dyDescent="0.2">
      <c r="AF10677" s="679"/>
    </row>
    <row r="10678" spans="32:32" x14ac:dyDescent="0.2">
      <c r="AF10678" s="679"/>
    </row>
    <row r="10679" spans="32:32" x14ac:dyDescent="0.2">
      <c r="AF10679" s="679"/>
    </row>
    <row r="10680" spans="32:32" x14ac:dyDescent="0.2">
      <c r="AF10680" s="679"/>
    </row>
    <row r="10681" spans="32:32" x14ac:dyDescent="0.2">
      <c r="AF10681" s="679"/>
    </row>
    <row r="10682" spans="32:32" x14ac:dyDescent="0.2">
      <c r="AF10682" s="679"/>
    </row>
    <row r="10683" spans="32:32" x14ac:dyDescent="0.2">
      <c r="AF10683" s="679"/>
    </row>
    <row r="10684" spans="32:32" x14ac:dyDescent="0.2">
      <c r="AF10684" s="679"/>
    </row>
    <row r="10685" spans="32:32" x14ac:dyDescent="0.2">
      <c r="AF10685" s="679"/>
    </row>
    <row r="10686" spans="32:32" x14ac:dyDescent="0.2">
      <c r="AF10686" s="679"/>
    </row>
    <row r="10687" spans="32:32" x14ac:dyDescent="0.2">
      <c r="AF10687" s="679"/>
    </row>
    <row r="10688" spans="32:32" x14ac:dyDescent="0.2">
      <c r="AF10688" s="679"/>
    </row>
    <row r="10689" spans="32:32" x14ac:dyDescent="0.2">
      <c r="AF10689" s="679"/>
    </row>
    <row r="10690" spans="32:32" x14ac:dyDescent="0.2">
      <c r="AF10690" s="679"/>
    </row>
    <row r="10691" spans="32:32" x14ac:dyDescent="0.2">
      <c r="AF10691" s="679"/>
    </row>
    <row r="10692" spans="32:32" x14ac:dyDescent="0.2">
      <c r="AF10692" s="679"/>
    </row>
    <row r="10693" spans="32:32" x14ac:dyDescent="0.2">
      <c r="AF10693" s="679"/>
    </row>
    <row r="10694" spans="32:32" x14ac:dyDescent="0.2">
      <c r="AF10694" s="679"/>
    </row>
    <row r="10695" spans="32:32" x14ac:dyDescent="0.2">
      <c r="AF10695" s="679"/>
    </row>
    <row r="10696" spans="32:32" x14ac:dyDescent="0.2">
      <c r="AF10696" s="679"/>
    </row>
    <row r="10697" spans="32:32" x14ac:dyDescent="0.2">
      <c r="AF10697" s="679"/>
    </row>
    <row r="10698" spans="32:32" x14ac:dyDescent="0.2">
      <c r="AF10698" s="679"/>
    </row>
    <row r="10699" spans="32:32" x14ac:dyDescent="0.2">
      <c r="AF10699" s="679"/>
    </row>
    <row r="10700" spans="32:32" x14ac:dyDescent="0.2">
      <c r="AF10700" s="679"/>
    </row>
    <row r="10701" spans="32:32" x14ac:dyDescent="0.2">
      <c r="AF10701" s="679"/>
    </row>
    <row r="10702" spans="32:32" x14ac:dyDescent="0.2">
      <c r="AF10702" s="679"/>
    </row>
    <row r="10703" spans="32:32" x14ac:dyDescent="0.2">
      <c r="AF10703" s="679"/>
    </row>
    <row r="10704" spans="32:32" x14ac:dyDescent="0.2">
      <c r="AF10704" s="679"/>
    </row>
    <row r="10705" spans="32:32" x14ac:dyDescent="0.2">
      <c r="AF10705" s="679"/>
    </row>
    <row r="10706" spans="32:32" x14ac:dyDescent="0.2">
      <c r="AF10706" s="679"/>
    </row>
    <row r="10707" spans="32:32" x14ac:dyDescent="0.2">
      <c r="AF10707" s="679"/>
    </row>
    <row r="10708" spans="32:32" x14ac:dyDescent="0.2">
      <c r="AF10708" s="679"/>
    </row>
    <row r="10709" spans="32:32" x14ac:dyDescent="0.2">
      <c r="AF10709" s="679"/>
    </row>
    <row r="10710" spans="32:32" x14ac:dyDescent="0.2">
      <c r="AF10710" s="679"/>
    </row>
    <row r="10711" spans="32:32" x14ac:dyDescent="0.2">
      <c r="AF10711" s="679"/>
    </row>
    <row r="10712" spans="32:32" x14ac:dyDescent="0.2">
      <c r="AF10712" s="679"/>
    </row>
    <row r="10713" spans="32:32" x14ac:dyDescent="0.2">
      <c r="AF10713" s="679"/>
    </row>
    <row r="10714" spans="32:32" x14ac:dyDescent="0.2">
      <c r="AF10714" s="679"/>
    </row>
    <row r="10715" spans="32:32" x14ac:dyDescent="0.2">
      <c r="AF10715" s="679"/>
    </row>
    <row r="10716" spans="32:32" x14ac:dyDescent="0.2">
      <c r="AF10716" s="679"/>
    </row>
    <row r="10717" spans="32:32" x14ac:dyDescent="0.2">
      <c r="AF10717" s="679"/>
    </row>
    <row r="10718" spans="32:32" x14ac:dyDescent="0.2">
      <c r="AF10718" s="679"/>
    </row>
    <row r="10719" spans="32:32" x14ac:dyDescent="0.2">
      <c r="AF10719" s="679"/>
    </row>
    <row r="10720" spans="32:32" x14ac:dyDescent="0.2">
      <c r="AF10720" s="679"/>
    </row>
    <row r="10721" spans="32:32" x14ac:dyDescent="0.2">
      <c r="AF10721" s="679"/>
    </row>
    <row r="10722" spans="32:32" x14ac:dyDescent="0.2">
      <c r="AF10722" s="679"/>
    </row>
    <row r="10723" spans="32:32" x14ac:dyDescent="0.2">
      <c r="AF10723" s="679"/>
    </row>
    <row r="10724" spans="32:32" x14ac:dyDescent="0.2">
      <c r="AF10724" s="679"/>
    </row>
    <row r="10725" spans="32:32" x14ac:dyDescent="0.2">
      <c r="AF10725" s="679"/>
    </row>
    <row r="10726" spans="32:32" x14ac:dyDescent="0.2">
      <c r="AF10726" s="679"/>
    </row>
    <row r="10727" spans="32:32" x14ac:dyDescent="0.2">
      <c r="AF10727" s="679"/>
    </row>
    <row r="10728" spans="32:32" x14ac:dyDescent="0.2">
      <c r="AF10728" s="679"/>
    </row>
    <row r="10729" spans="32:32" x14ac:dyDescent="0.2">
      <c r="AF10729" s="679"/>
    </row>
    <row r="10730" spans="32:32" x14ac:dyDescent="0.2">
      <c r="AF10730" s="679"/>
    </row>
    <row r="10731" spans="32:32" x14ac:dyDescent="0.2">
      <c r="AF10731" s="679"/>
    </row>
    <row r="10732" spans="32:32" x14ac:dyDescent="0.2">
      <c r="AF10732" s="679"/>
    </row>
    <row r="10733" spans="32:32" x14ac:dyDescent="0.2">
      <c r="AF10733" s="679"/>
    </row>
    <row r="10734" spans="32:32" x14ac:dyDescent="0.2">
      <c r="AF10734" s="679"/>
    </row>
    <row r="10735" spans="32:32" x14ac:dyDescent="0.2">
      <c r="AF10735" s="679"/>
    </row>
    <row r="10736" spans="32:32" x14ac:dyDescent="0.2">
      <c r="AF10736" s="679"/>
    </row>
    <row r="10737" spans="32:32" x14ac:dyDescent="0.2">
      <c r="AF10737" s="679"/>
    </row>
    <row r="10738" spans="32:32" x14ac:dyDescent="0.2">
      <c r="AF10738" s="679"/>
    </row>
    <row r="10739" spans="32:32" x14ac:dyDescent="0.2">
      <c r="AF10739" s="679"/>
    </row>
    <row r="10740" spans="32:32" x14ac:dyDescent="0.2">
      <c r="AF10740" s="679"/>
    </row>
    <row r="10741" spans="32:32" x14ac:dyDescent="0.2">
      <c r="AF10741" s="679"/>
    </row>
    <row r="10742" spans="32:32" x14ac:dyDescent="0.2">
      <c r="AF10742" s="679"/>
    </row>
    <row r="10743" spans="32:32" x14ac:dyDescent="0.2">
      <c r="AF10743" s="679"/>
    </row>
    <row r="10744" spans="32:32" x14ac:dyDescent="0.2">
      <c r="AF10744" s="679"/>
    </row>
    <row r="10745" spans="32:32" x14ac:dyDescent="0.2">
      <c r="AF10745" s="679"/>
    </row>
    <row r="10746" spans="32:32" x14ac:dyDescent="0.2">
      <c r="AF10746" s="679"/>
    </row>
    <row r="10747" spans="32:32" x14ac:dyDescent="0.2">
      <c r="AF10747" s="679"/>
    </row>
    <row r="10748" spans="32:32" x14ac:dyDescent="0.2">
      <c r="AF10748" s="679"/>
    </row>
    <row r="10749" spans="32:32" x14ac:dyDescent="0.2">
      <c r="AF10749" s="679"/>
    </row>
    <row r="10750" spans="32:32" x14ac:dyDescent="0.2">
      <c r="AF10750" s="679"/>
    </row>
    <row r="10751" spans="32:32" x14ac:dyDescent="0.2">
      <c r="AF10751" s="679"/>
    </row>
    <row r="10752" spans="32:32" x14ac:dyDescent="0.2">
      <c r="AF10752" s="679"/>
    </row>
    <row r="10753" spans="32:32" x14ac:dyDescent="0.2">
      <c r="AF10753" s="679"/>
    </row>
    <row r="10754" spans="32:32" x14ac:dyDescent="0.2">
      <c r="AF10754" s="679"/>
    </row>
    <row r="10755" spans="32:32" x14ac:dyDescent="0.2">
      <c r="AF10755" s="679"/>
    </row>
    <row r="10756" spans="32:32" x14ac:dyDescent="0.2">
      <c r="AF10756" s="679"/>
    </row>
    <row r="10757" spans="32:32" x14ac:dyDescent="0.2">
      <c r="AF10757" s="679"/>
    </row>
    <row r="10758" spans="32:32" x14ac:dyDescent="0.2">
      <c r="AF10758" s="679"/>
    </row>
    <row r="10759" spans="32:32" x14ac:dyDescent="0.2">
      <c r="AF10759" s="679"/>
    </row>
    <row r="10760" spans="32:32" x14ac:dyDescent="0.2">
      <c r="AF10760" s="679"/>
    </row>
    <row r="10761" spans="32:32" x14ac:dyDescent="0.2">
      <c r="AF10761" s="679"/>
    </row>
    <row r="10762" spans="32:32" x14ac:dyDescent="0.2">
      <c r="AF10762" s="679"/>
    </row>
    <row r="10763" spans="32:32" x14ac:dyDescent="0.2">
      <c r="AF10763" s="679"/>
    </row>
    <row r="10764" spans="32:32" x14ac:dyDescent="0.2">
      <c r="AF10764" s="679"/>
    </row>
    <row r="10765" spans="32:32" x14ac:dyDescent="0.2">
      <c r="AF10765" s="679"/>
    </row>
    <row r="10766" spans="32:32" x14ac:dyDescent="0.2">
      <c r="AF10766" s="679"/>
    </row>
    <row r="10767" spans="32:32" x14ac:dyDescent="0.2">
      <c r="AF10767" s="679"/>
    </row>
    <row r="10768" spans="32:32" x14ac:dyDescent="0.2">
      <c r="AF10768" s="679"/>
    </row>
    <row r="10769" spans="32:32" x14ac:dyDescent="0.2">
      <c r="AF10769" s="679"/>
    </row>
    <row r="10770" spans="32:32" x14ac:dyDescent="0.2">
      <c r="AF10770" s="679"/>
    </row>
    <row r="10771" spans="32:32" x14ac:dyDescent="0.2">
      <c r="AF10771" s="679"/>
    </row>
    <row r="10772" spans="32:32" x14ac:dyDescent="0.2">
      <c r="AF10772" s="679"/>
    </row>
    <row r="10773" spans="32:32" x14ac:dyDescent="0.2">
      <c r="AF10773" s="679"/>
    </row>
    <row r="10774" spans="32:32" x14ac:dyDescent="0.2">
      <c r="AF10774" s="679"/>
    </row>
    <row r="10775" spans="32:32" x14ac:dyDescent="0.2">
      <c r="AF10775" s="679"/>
    </row>
    <row r="10776" spans="32:32" x14ac:dyDescent="0.2">
      <c r="AF10776" s="679"/>
    </row>
    <row r="10777" spans="32:32" x14ac:dyDescent="0.2">
      <c r="AF10777" s="679"/>
    </row>
    <row r="10778" spans="32:32" x14ac:dyDescent="0.2">
      <c r="AF10778" s="679"/>
    </row>
    <row r="10779" spans="32:32" x14ac:dyDescent="0.2">
      <c r="AF10779" s="679"/>
    </row>
    <row r="10780" spans="32:32" x14ac:dyDescent="0.2">
      <c r="AF10780" s="679"/>
    </row>
    <row r="10781" spans="32:32" x14ac:dyDescent="0.2">
      <c r="AF10781" s="679"/>
    </row>
    <row r="10782" spans="32:32" x14ac:dyDescent="0.2">
      <c r="AF10782" s="679"/>
    </row>
    <row r="10783" spans="32:32" x14ac:dyDescent="0.2">
      <c r="AF10783" s="679"/>
    </row>
    <row r="10784" spans="32:32" x14ac:dyDescent="0.2">
      <c r="AF10784" s="679"/>
    </row>
    <row r="10785" spans="32:32" x14ac:dyDescent="0.2">
      <c r="AF10785" s="679"/>
    </row>
    <row r="10786" spans="32:32" x14ac:dyDescent="0.2">
      <c r="AF10786" s="679"/>
    </row>
    <row r="10787" spans="32:32" x14ac:dyDescent="0.2">
      <c r="AF10787" s="679"/>
    </row>
    <row r="10788" spans="32:32" x14ac:dyDescent="0.2">
      <c r="AF10788" s="679"/>
    </row>
    <row r="10789" spans="32:32" x14ac:dyDescent="0.2">
      <c r="AF10789" s="679"/>
    </row>
    <row r="10790" spans="32:32" x14ac:dyDescent="0.2">
      <c r="AF10790" s="679"/>
    </row>
    <row r="10791" spans="32:32" x14ac:dyDescent="0.2">
      <c r="AF10791" s="679"/>
    </row>
    <row r="10792" spans="32:32" x14ac:dyDescent="0.2">
      <c r="AF10792" s="679"/>
    </row>
    <row r="10793" spans="32:32" x14ac:dyDescent="0.2">
      <c r="AF10793" s="679"/>
    </row>
    <row r="10794" spans="32:32" x14ac:dyDescent="0.2">
      <c r="AF10794" s="679"/>
    </row>
    <row r="10795" spans="32:32" x14ac:dyDescent="0.2">
      <c r="AF10795" s="679"/>
    </row>
    <row r="10796" spans="32:32" x14ac:dyDescent="0.2">
      <c r="AF10796" s="679"/>
    </row>
    <row r="10797" spans="32:32" x14ac:dyDescent="0.2">
      <c r="AF10797" s="679"/>
    </row>
    <row r="10798" spans="32:32" x14ac:dyDescent="0.2">
      <c r="AF10798" s="679"/>
    </row>
    <row r="10799" spans="32:32" x14ac:dyDescent="0.2">
      <c r="AF10799" s="679"/>
    </row>
    <row r="10800" spans="32:32" x14ac:dyDescent="0.2">
      <c r="AF10800" s="679"/>
    </row>
    <row r="10801" spans="32:32" x14ac:dyDescent="0.2">
      <c r="AF10801" s="679"/>
    </row>
    <row r="10802" spans="32:32" x14ac:dyDescent="0.2">
      <c r="AF10802" s="679"/>
    </row>
    <row r="10803" spans="32:32" x14ac:dyDescent="0.2">
      <c r="AF10803" s="679"/>
    </row>
    <row r="10804" spans="32:32" x14ac:dyDescent="0.2">
      <c r="AF10804" s="679"/>
    </row>
    <row r="10805" spans="32:32" x14ac:dyDescent="0.2">
      <c r="AF10805" s="679"/>
    </row>
    <row r="10806" spans="32:32" x14ac:dyDescent="0.2">
      <c r="AF10806" s="679"/>
    </row>
    <row r="10807" spans="32:32" x14ac:dyDescent="0.2">
      <c r="AF10807" s="679"/>
    </row>
    <row r="10808" spans="32:32" x14ac:dyDescent="0.2">
      <c r="AF10808" s="679"/>
    </row>
    <row r="10809" spans="32:32" x14ac:dyDescent="0.2">
      <c r="AF10809" s="679"/>
    </row>
    <row r="10810" spans="32:32" x14ac:dyDescent="0.2">
      <c r="AF10810" s="679"/>
    </row>
    <row r="10811" spans="32:32" x14ac:dyDescent="0.2">
      <c r="AF10811" s="679"/>
    </row>
    <row r="10812" spans="32:32" x14ac:dyDescent="0.2">
      <c r="AF10812" s="679"/>
    </row>
    <row r="10813" spans="32:32" x14ac:dyDescent="0.2">
      <c r="AF10813" s="679"/>
    </row>
    <row r="10814" spans="32:32" x14ac:dyDescent="0.2">
      <c r="AF10814" s="679"/>
    </row>
    <row r="10815" spans="32:32" x14ac:dyDescent="0.2">
      <c r="AF10815" s="679"/>
    </row>
    <row r="10816" spans="32:32" x14ac:dyDescent="0.2">
      <c r="AF10816" s="679"/>
    </row>
    <row r="10817" spans="32:32" x14ac:dyDescent="0.2">
      <c r="AF10817" s="679"/>
    </row>
    <row r="10818" spans="32:32" x14ac:dyDescent="0.2">
      <c r="AF10818" s="679"/>
    </row>
    <row r="10819" spans="32:32" x14ac:dyDescent="0.2">
      <c r="AF10819" s="679"/>
    </row>
    <row r="10820" spans="32:32" x14ac:dyDescent="0.2">
      <c r="AF10820" s="679"/>
    </row>
    <row r="10821" spans="32:32" x14ac:dyDescent="0.2">
      <c r="AF10821" s="679"/>
    </row>
    <row r="10822" spans="32:32" x14ac:dyDescent="0.2">
      <c r="AF10822" s="679"/>
    </row>
    <row r="10823" spans="32:32" x14ac:dyDescent="0.2">
      <c r="AF10823" s="679"/>
    </row>
    <row r="10824" spans="32:32" x14ac:dyDescent="0.2">
      <c r="AF10824" s="679"/>
    </row>
    <row r="10825" spans="32:32" x14ac:dyDescent="0.2">
      <c r="AF10825" s="679"/>
    </row>
    <row r="10826" spans="32:32" x14ac:dyDescent="0.2">
      <c r="AF10826" s="679"/>
    </row>
    <row r="10827" spans="32:32" x14ac:dyDescent="0.2">
      <c r="AF10827" s="679"/>
    </row>
    <row r="10828" spans="32:32" x14ac:dyDescent="0.2">
      <c r="AF10828" s="679"/>
    </row>
    <row r="10829" spans="32:32" x14ac:dyDescent="0.2">
      <c r="AF10829" s="679"/>
    </row>
    <row r="10830" spans="32:32" x14ac:dyDescent="0.2">
      <c r="AF10830" s="679"/>
    </row>
    <row r="10831" spans="32:32" x14ac:dyDescent="0.2">
      <c r="AF10831" s="679"/>
    </row>
    <row r="10832" spans="32:32" x14ac:dyDescent="0.2">
      <c r="AF10832" s="679"/>
    </row>
    <row r="10833" spans="32:32" x14ac:dyDescent="0.2">
      <c r="AF10833" s="679"/>
    </row>
    <row r="10834" spans="32:32" x14ac:dyDescent="0.2">
      <c r="AF10834" s="679"/>
    </row>
    <row r="10835" spans="32:32" x14ac:dyDescent="0.2">
      <c r="AF10835" s="679"/>
    </row>
    <row r="10836" spans="32:32" x14ac:dyDescent="0.2">
      <c r="AF10836" s="679"/>
    </row>
    <row r="10837" spans="32:32" x14ac:dyDescent="0.2">
      <c r="AF10837" s="679"/>
    </row>
    <row r="10838" spans="32:32" x14ac:dyDescent="0.2">
      <c r="AF10838" s="679"/>
    </row>
    <row r="10839" spans="32:32" x14ac:dyDescent="0.2">
      <c r="AF10839" s="679"/>
    </row>
    <row r="10840" spans="32:32" x14ac:dyDescent="0.2">
      <c r="AF10840" s="679"/>
    </row>
    <row r="10841" spans="32:32" x14ac:dyDescent="0.2">
      <c r="AF10841" s="679"/>
    </row>
    <row r="10842" spans="32:32" x14ac:dyDescent="0.2">
      <c r="AF10842" s="679"/>
    </row>
    <row r="10843" spans="32:32" x14ac:dyDescent="0.2">
      <c r="AF10843" s="679"/>
    </row>
    <row r="10844" spans="32:32" x14ac:dyDescent="0.2">
      <c r="AF10844" s="679"/>
    </row>
    <row r="10845" spans="32:32" x14ac:dyDescent="0.2">
      <c r="AF10845" s="679"/>
    </row>
    <row r="10846" spans="32:32" x14ac:dyDescent="0.2">
      <c r="AF10846" s="679"/>
    </row>
    <row r="10847" spans="32:32" x14ac:dyDescent="0.2">
      <c r="AF10847" s="679"/>
    </row>
    <row r="10848" spans="32:32" x14ac:dyDescent="0.2">
      <c r="AF10848" s="679"/>
    </row>
    <row r="10849" spans="32:32" x14ac:dyDescent="0.2">
      <c r="AF10849" s="679"/>
    </row>
    <row r="10850" spans="32:32" x14ac:dyDescent="0.2">
      <c r="AF10850" s="679"/>
    </row>
    <row r="10851" spans="32:32" x14ac:dyDescent="0.2">
      <c r="AF10851" s="679"/>
    </row>
    <row r="10852" spans="32:32" x14ac:dyDescent="0.2">
      <c r="AF10852" s="679"/>
    </row>
    <row r="10853" spans="32:32" x14ac:dyDescent="0.2">
      <c r="AF10853" s="679"/>
    </row>
    <row r="10854" spans="32:32" x14ac:dyDescent="0.2">
      <c r="AF10854" s="679"/>
    </row>
    <row r="10855" spans="32:32" x14ac:dyDescent="0.2">
      <c r="AF10855" s="679"/>
    </row>
    <row r="10856" spans="32:32" x14ac:dyDescent="0.2">
      <c r="AF10856" s="679"/>
    </row>
    <row r="10857" spans="32:32" x14ac:dyDescent="0.2">
      <c r="AF10857" s="679"/>
    </row>
    <row r="10858" spans="32:32" x14ac:dyDescent="0.2">
      <c r="AF10858" s="679"/>
    </row>
    <row r="10859" spans="32:32" x14ac:dyDescent="0.2">
      <c r="AF10859" s="679"/>
    </row>
    <row r="10860" spans="32:32" x14ac:dyDescent="0.2">
      <c r="AF10860" s="679"/>
    </row>
    <row r="10861" spans="32:32" x14ac:dyDescent="0.2">
      <c r="AF10861" s="679"/>
    </row>
    <row r="10862" spans="32:32" x14ac:dyDescent="0.2">
      <c r="AF10862" s="679"/>
    </row>
    <row r="10863" spans="32:32" x14ac:dyDescent="0.2">
      <c r="AF10863" s="679"/>
    </row>
    <row r="10864" spans="32:32" x14ac:dyDescent="0.2">
      <c r="AF10864" s="679"/>
    </row>
    <row r="10865" spans="32:32" x14ac:dyDescent="0.2">
      <c r="AF10865" s="679"/>
    </row>
    <row r="10866" spans="32:32" x14ac:dyDescent="0.2">
      <c r="AF10866" s="679"/>
    </row>
    <row r="10867" spans="32:32" x14ac:dyDescent="0.2">
      <c r="AF10867" s="679"/>
    </row>
    <row r="10868" spans="32:32" x14ac:dyDescent="0.2">
      <c r="AF10868" s="679"/>
    </row>
    <row r="10869" spans="32:32" x14ac:dyDescent="0.2">
      <c r="AF10869" s="679"/>
    </row>
    <row r="10870" spans="32:32" x14ac:dyDescent="0.2">
      <c r="AF10870" s="679"/>
    </row>
    <row r="10871" spans="32:32" x14ac:dyDescent="0.2">
      <c r="AF10871" s="679"/>
    </row>
    <row r="10872" spans="32:32" x14ac:dyDescent="0.2">
      <c r="AF10872" s="679"/>
    </row>
    <row r="10873" spans="32:32" x14ac:dyDescent="0.2">
      <c r="AF10873" s="679"/>
    </row>
    <row r="10874" spans="32:32" x14ac:dyDescent="0.2">
      <c r="AF10874" s="679"/>
    </row>
    <row r="10875" spans="32:32" x14ac:dyDescent="0.2">
      <c r="AF10875" s="679"/>
    </row>
    <row r="10876" spans="32:32" x14ac:dyDescent="0.2">
      <c r="AF10876" s="679"/>
    </row>
    <row r="10877" spans="32:32" x14ac:dyDescent="0.2">
      <c r="AF10877" s="679"/>
    </row>
    <row r="10878" spans="32:32" x14ac:dyDescent="0.2">
      <c r="AF10878" s="679"/>
    </row>
    <row r="10879" spans="32:32" x14ac:dyDescent="0.2">
      <c r="AF10879" s="679"/>
    </row>
    <row r="10880" spans="32:32" x14ac:dyDescent="0.2">
      <c r="AF10880" s="679"/>
    </row>
    <row r="10881" spans="32:32" x14ac:dyDescent="0.2">
      <c r="AF10881" s="679"/>
    </row>
    <row r="10882" spans="32:32" x14ac:dyDescent="0.2">
      <c r="AF10882" s="679"/>
    </row>
    <row r="10883" spans="32:32" x14ac:dyDescent="0.2">
      <c r="AF10883" s="679"/>
    </row>
    <row r="10884" spans="32:32" x14ac:dyDescent="0.2">
      <c r="AF10884" s="679"/>
    </row>
    <row r="10885" spans="32:32" x14ac:dyDescent="0.2">
      <c r="AF10885" s="679"/>
    </row>
    <row r="10886" spans="32:32" x14ac:dyDescent="0.2">
      <c r="AF10886" s="679"/>
    </row>
    <row r="10887" spans="32:32" x14ac:dyDescent="0.2">
      <c r="AF10887" s="679"/>
    </row>
    <row r="10888" spans="32:32" x14ac:dyDescent="0.2">
      <c r="AF10888" s="679"/>
    </row>
    <row r="10889" spans="32:32" x14ac:dyDescent="0.2">
      <c r="AF10889" s="679"/>
    </row>
    <row r="10890" spans="32:32" x14ac:dyDescent="0.2">
      <c r="AF10890" s="679"/>
    </row>
    <row r="10891" spans="32:32" x14ac:dyDescent="0.2">
      <c r="AF10891" s="679"/>
    </row>
    <row r="10892" spans="32:32" x14ac:dyDescent="0.2">
      <c r="AF10892" s="679"/>
    </row>
    <row r="10893" spans="32:32" x14ac:dyDescent="0.2">
      <c r="AF10893" s="679"/>
    </row>
    <row r="10894" spans="32:32" x14ac:dyDescent="0.2">
      <c r="AF10894" s="679"/>
    </row>
    <row r="10895" spans="32:32" x14ac:dyDescent="0.2">
      <c r="AF10895" s="679"/>
    </row>
    <row r="10896" spans="32:32" x14ac:dyDescent="0.2">
      <c r="AF10896" s="679"/>
    </row>
    <row r="10897" spans="32:32" x14ac:dyDescent="0.2">
      <c r="AF10897" s="679"/>
    </row>
    <row r="10898" spans="32:32" x14ac:dyDescent="0.2">
      <c r="AF10898" s="679"/>
    </row>
    <row r="10899" spans="32:32" x14ac:dyDescent="0.2">
      <c r="AF10899" s="679"/>
    </row>
    <row r="10900" spans="32:32" x14ac:dyDescent="0.2">
      <c r="AF10900" s="679"/>
    </row>
    <row r="10901" spans="32:32" x14ac:dyDescent="0.2">
      <c r="AF10901" s="679"/>
    </row>
    <row r="10902" spans="32:32" x14ac:dyDescent="0.2">
      <c r="AF10902" s="679"/>
    </row>
    <row r="10903" spans="32:32" x14ac:dyDescent="0.2">
      <c r="AF10903" s="679"/>
    </row>
    <row r="10904" spans="32:32" x14ac:dyDescent="0.2">
      <c r="AF10904" s="679"/>
    </row>
    <row r="10905" spans="32:32" x14ac:dyDescent="0.2">
      <c r="AF10905" s="679"/>
    </row>
    <row r="10906" spans="32:32" x14ac:dyDescent="0.2">
      <c r="AF10906" s="679"/>
    </row>
    <row r="10907" spans="32:32" x14ac:dyDescent="0.2">
      <c r="AF10907" s="679"/>
    </row>
    <row r="10908" spans="32:32" x14ac:dyDescent="0.2">
      <c r="AF10908" s="679"/>
    </row>
    <row r="10909" spans="32:32" x14ac:dyDescent="0.2">
      <c r="AF10909" s="679"/>
    </row>
    <row r="10910" spans="32:32" x14ac:dyDescent="0.2">
      <c r="AF10910" s="679"/>
    </row>
    <row r="10911" spans="32:32" x14ac:dyDescent="0.2">
      <c r="AF10911" s="679"/>
    </row>
    <row r="10912" spans="32:32" x14ac:dyDescent="0.2">
      <c r="AF10912" s="679"/>
    </row>
    <row r="10913" spans="32:32" x14ac:dyDescent="0.2">
      <c r="AF10913" s="679"/>
    </row>
    <row r="10914" spans="32:32" x14ac:dyDescent="0.2">
      <c r="AF10914" s="679"/>
    </row>
    <row r="10915" spans="32:32" x14ac:dyDescent="0.2">
      <c r="AF10915" s="679"/>
    </row>
    <row r="10916" spans="32:32" x14ac:dyDescent="0.2">
      <c r="AF10916" s="679"/>
    </row>
    <row r="10917" spans="32:32" x14ac:dyDescent="0.2">
      <c r="AF10917" s="679"/>
    </row>
    <row r="10918" spans="32:32" x14ac:dyDescent="0.2">
      <c r="AF10918" s="679"/>
    </row>
    <row r="10919" spans="32:32" x14ac:dyDescent="0.2">
      <c r="AF10919" s="679"/>
    </row>
    <row r="10920" spans="32:32" x14ac:dyDescent="0.2">
      <c r="AF10920" s="679"/>
    </row>
    <row r="10921" spans="32:32" x14ac:dyDescent="0.2">
      <c r="AF10921" s="679"/>
    </row>
    <row r="10922" spans="32:32" x14ac:dyDescent="0.2">
      <c r="AF10922" s="679"/>
    </row>
    <row r="10923" spans="32:32" x14ac:dyDescent="0.2">
      <c r="AF10923" s="679"/>
    </row>
    <row r="10924" spans="32:32" x14ac:dyDescent="0.2">
      <c r="AF10924" s="679"/>
    </row>
    <row r="10925" spans="32:32" x14ac:dyDescent="0.2">
      <c r="AF10925" s="679"/>
    </row>
    <row r="10926" spans="32:32" x14ac:dyDescent="0.2">
      <c r="AF10926" s="679"/>
    </row>
    <row r="10927" spans="32:32" x14ac:dyDescent="0.2">
      <c r="AF10927" s="679"/>
    </row>
    <row r="10928" spans="32:32" x14ac:dyDescent="0.2">
      <c r="AF10928" s="679"/>
    </row>
    <row r="10929" spans="32:32" x14ac:dyDescent="0.2">
      <c r="AF10929" s="679"/>
    </row>
    <row r="10930" spans="32:32" x14ac:dyDescent="0.2">
      <c r="AF10930" s="679"/>
    </row>
    <row r="10931" spans="32:32" x14ac:dyDescent="0.2">
      <c r="AF10931" s="679"/>
    </row>
    <row r="10932" spans="32:32" x14ac:dyDescent="0.2">
      <c r="AF10932" s="679"/>
    </row>
    <row r="10933" spans="32:32" x14ac:dyDescent="0.2">
      <c r="AF10933" s="679"/>
    </row>
    <row r="10934" spans="32:32" x14ac:dyDescent="0.2">
      <c r="AF10934" s="679"/>
    </row>
    <row r="10935" spans="32:32" x14ac:dyDescent="0.2">
      <c r="AF10935" s="679"/>
    </row>
    <row r="10936" spans="32:32" x14ac:dyDescent="0.2">
      <c r="AF10936" s="679"/>
    </row>
    <row r="10937" spans="32:32" x14ac:dyDescent="0.2">
      <c r="AF10937" s="679"/>
    </row>
    <row r="10938" spans="32:32" x14ac:dyDescent="0.2">
      <c r="AF10938" s="679"/>
    </row>
    <row r="10939" spans="32:32" x14ac:dyDescent="0.2">
      <c r="AF10939" s="679"/>
    </row>
    <row r="10940" spans="32:32" x14ac:dyDescent="0.2">
      <c r="AF10940" s="679"/>
    </row>
    <row r="10941" spans="32:32" x14ac:dyDescent="0.2">
      <c r="AF10941" s="679"/>
    </row>
    <row r="10942" spans="32:32" x14ac:dyDescent="0.2">
      <c r="AF10942" s="679"/>
    </row>
    <row r="10943" spans="32:32" x14ac:dyDescent="0.2">
      <c r="AF10943" s="679"/>
    </row>
    <row r="10944" spans="32:32" x14ac:dyDescent="0.2">
      <c r="AF10944" s="679"/>
    </row>
    <row r="10945" spans="32:32" x14ac:dyDescent="0.2">
      <c r="AF10945" s="679"/>
    </row>
    <row r="10946" spans="32:32" x14ac:dyDescent="0.2">
      <c r="AF10946" s="679"/>
    </row>
    <row r="10947" spans="32:32" x14ac:dyDescent="0.2">
      <c r="AF10947" s="679"/>
    </row>
    <row r="10948" spans="32:32" x14ac:dyDescent="0.2">
      <c r="AF10948" s="679"/>
    </row>
    <row r="10949" spans="32:32" x14ac:dyDescent="0.2">
      <c r="AF10949" s="679"/>
    </row>
    <row r="10950" spans="32:32" x14ac:dyDescent="0.2">
      <c r="AF10950" s="679"/>
    </row>
    <row r="10951" spans="32:32" x14ac:dyDescent="0.2">
      <c r="AF10951" s="679"/>
    </row>
    <row r="10952" spans="32:32" x14ac:dyDescent="0.2">
      <c r="AF10952" s="679"/>
    </row>
    <row r="10953" spans="32:32" x14ac:dyDescent="0.2">
      <c r="AF10953" s="679"/>
    </row>
    <row r="10954" spans="32:32" x14ac:dyDescent="0.2">
      <c r="AF10954" s="679"/>
    </row>
    <row r="10955" spans="32:32" x14ac:dyDescent="0.2">
      <c r="AF10955" s="679"/>
    </row>
    <row r="10956" spans="32:32" x14ac:dyDescent="0.2">
      <c r="AF10956" s="679"/>
    </row>
    <row r="10957" spans="32:32" x14ac:dyDescent="0.2">
      <c r="AF10957" s="679"/>
    </row>
    <row r="10958" spans="32:32" x14ac:dyDescent="0.2">
      <c r="AF10958" s="679"/>
    </row>
    <row r="10959" spans="32:32" x14ac:dyDescent="0.2">
      <c r="AF10959" s="679"/>
    </row>
    <row r="10960" spans="32:32" x14ac:dyDescent="0.2">
      <c r="AF10960" s="679"/>
    </row>
    <row r="10961" spans="32:32" x14ac:dyDescent="0.2">
      <c r="AF10961" s="679"/>
    </row>
    <row r="10962" spans="32:32" x14ac:dyDescent="0.2">
      <c r="AF10962" s="679"/>
    </row>
    <row r="10963" spans="32:32" x14ac:dyDescent="0.2">
      <c r="AF10963" s="679"/>
    </row>
    <row r="10964" spans="32:32" x14ac:dyDescent="0.2">
      <c r="AF10964" s="679"/>
    </row>
    <row r="10965" spans="32:32" x14ac:dyDescent="0.2">
      <c r="AF10965" s="679"/>
    </row>
    <row r="10966" spans="32:32" x14ac:dyDescent="0.2">
      <c r="AF10966" s="679"/>
    </row>
    <row r="10967" spans="32:32" x14ac:dyDescent="0.2">
      <c r="AF10967" s="679"/>
    </row>
    <row r="10968" spans="32:32" x14ac:dyDescent="0.2">
      <c r="AF10968" s="679"/>
    </row>
    <row r="10969" spans="32:32" x14ac:dyDescent="0.2">
      <c r="AF10969" s="679"/>
    </row>
    <row r="10970" spans="32:32" x14ac:dyDescent="0.2">
      <c r="AF10970" s="679"/>
    </row>
    <row r="10971" spans="32:32" x14ac:dyDescent="0.2">
      <c r="AF10971" s="679"/>
    </row>
    <row r="10972" spans="32:32" x14ac:dyDescent="0.2">
      <c r="AF10972" s="679"/>
    </row>
    <row r="10973" spans="32:32" x14ac:dyDescent="0.2">
      <c r="AF10973" s="679"/>
    </row>
    <row r="10974" spans="32:32" x14ac:dyDescent="0.2">
      <c r="AF10974" s="679"/>
    </row>
    <row r="10975" spans="32:32" x14ac:dyDescent="0.2">
      <c r="AF10975" s="679"/>
    </row>
    <row r="10976" spans="32:32" x14ac:dyDescent="0.2">
      <c r="AF10976" s="679"/>
    </row>
    <row r="10977" spans="32:32" x14ac:dyDescent="0.2">
      <c r="AF10977" s="679"/>
    </row>
    <row r="10978" spans="32:32" x14ac:dyDescent="0.2">
      <c r="AF10978" s="679"/>
    </row>
    <row r="10979" spans="32:32" x14ac:dyDescent="0.2">
      <c r="AF10979" s="679"/>
    </row>
    <row r="10980" spans="32:32" x14ac:dyDescent="0.2">
      <c r="AF10980" s="679"/>
    </row>
    <row r="10981" spans="32:32" x14ac:dyDescent="0.2">
      <c r="AF10981" s="679"/>
    </row>
    <row r="10982" spans="32:32" x14ac:dyDescent="0.2">
      <c r="AF10982" s="679"/>
    </row>
    <row r="10983" spans="32:32" x14ac:dyDescent="0.2">
      <c r="AF10983" s="679"/>
    </row>
    <row r="10984" spans="32:32" x14ac:dyDescent="0.2">
      <c r="AF10984" s="679"/>
    </row>
    <row r="10985" spans="32:32" x14ac:dyDescent="0.2">
      <c r="AF10985" s="679"/>
    </row>
    <row r="10986" spans="32:32" x14ac:dyDescent="0.2">
      <c r="AF10986" s="679"/>
    </row>
    <row r="10987" spans="32:32" x14ac:dyDescent="0.2">
      <c r="AF10987" s="679"/>
    </row>
    <row r="10988" spans="32:32" x14ac:dyDescent="0.2">
      <c r="AF10988" s="679"/>
    </row>
    <row r="10989" spans="32:32" x14ac:dyDescent="0.2">
      <c r="AF10989" s="679"/>
    </row>
    <row r="10990" spans="32:32" x14ac:dyDescent="0.2">
      <c r="AF10990" s="679"/>
    </row>
    <row r="10991" spans="32:32" x14ac:dyDescent="0.2">
      <c r="AF10991" s="679"/>
    </row>
    <row r="10992" spans="32:32" x14ac:dyDescent="0.2">
      <c r="AF10992" s="679"/>
    </row>
    <row r="10993" spans="32:32" x14ac:dyDescent="0.2">
      <c r="AF10993" s="679"/>
    </row>
    <row r="10994" spans="32:32" x14ac:dyDescent="0.2">
      <c r="AF10994" s="679"/>
    </row>
    <row r="10995" spans="32:32" x14ac:dyDescent="0.2">
      <c r="AF10995" s="679"/>
    </row>
    <row r="10996" spans="32:32" x14ac:dyDescent="0.2">
      <c r="AF10996" s="679"/>
    </row>
    <row r="10997" spans="32:32" x14ac:dyDescent="0.2">
      <c r="AF10997" s="679"/>
    </row>
    <row r="10998" spans="32:32" x14ac:dyDescent="0.2">
      <c r="AF10998" s="679"/>
    </row>
    <row r="10999" spans="32:32" x14ac:dyDescent="0.2">
      <c r="AF10999" s="679"/>
    </row>
    <row r="11000" spans="32:32" x14ac:dyDescent="0.2">
      <c r="AF11000" s="679"/>
    </row>
    <row r="11001" spans="32:32" x14ac:dyDescent="0.2">
      <c r="AF11001" s="679"/>
    </row>
    <row r="11002" spans="32:32" x14ac:dyDescent="0.2">
      <c r="AF11002" s="679"/>
    </row>
    <row r="11003" spans="32:32" x14ac:dyDescent="0.2">
      <c r="AF11003" s="679"/>
    </row>
    <row r="11004" spans="32:32" x14ac:dyDescent="0.2">
      <c r="AF11004" s="679"/>
    </row>
    <row r="11005" spans="32:32" x14ac:dyDescent="0.2">
      <c r="AF11005" s="679"/>
    </row>
    <row r="11006" spans="32:32" x14ac:dyDescent="0.2">
      <c r="AF11006" s="679"/>
    </row>
    <row r="11007" spans="32:32" x14ac:dyDescent="0.2">
      <c r="AF11007" s="679"/>
    </row>
    <row r="11008" spans="32:32" x14ac:dyDescent="0.2">
      <c r="AF11008" s="679"/>
    </row>
    <row r="11009" spans="32:32" x14ac:dyDescent="0.2">
      <c r="AF11009" s="679"/>
    </row>
    <row r="11010" spans="32:32" x14ac:dyDescent="0.2">
      <c r="AF11010" s="679"/>
    </row>
    <row r="11011" spans="32:32" x14ac:dyDescent="0.2">
      <c r="AF11011" s="679"/>
    </row>
    <row r="11012" spans="32:32" x14ac:dyDescent="0.2">
      <c r="AF11012" s="679"/>
    </row>
    <row r="11013" spans="32:32" x14ac:dyDescent="0.2">
      <c r="AF11013" s="679"/>
    </row>
    <row r="11014" spans="32:32" x14ac:dyDescent="0.2">
      <c r="AF11014" s="679"/>
    </row>
    <row r="11015" spans="32:32" x14ac:dyDescent="0.2">
      <c r="AF11015" s="679"/>
    </row>
    <row r="11016" spans="32:32" x14ac:dyDescent="0.2">
      <c r="AF11016" s="679"/>
    </row>
    <row r="11017" spans="32:32" x14ac:dyDescent="0.2">
      <c r="AF11017" s="679"/>
    </row>
    <row r="11018" spans="32:32" x14ac:dyDescent="0.2">
      <c r="AF11018" s="679"/>
    </row>
    <row r="11019" spans="32:32" x14ac:dyDescent="0.2">
      <c r="AF11019" s="679"/>
    </row>
    <row r="11020" spans="32:32" x14ac:dyDescent="0.2">
      <c r="AF11020" s="679"/>
    </row>
    <row r="11021" spans="32:32" x14ac:dyDescent="0.2">
      <c r="AF11021" s="679"/>
    </row>
    <row r="11022" spans="32:32" x14ac:dyDescent="0.2">
      <c r="AF11022" s="679"/>
    </row>
    <row r="11023" spans="32:32" x14ac:dyDescent="0.2">
      <c r="AF11023" s="679"/>
    </row>
    <row r="11024" spans="32:32" x14ac:dyDescent="0.2">
      <c r="AF11024" s="679"/>
    </row>
    <row r="11025" spans="32:32" x14ac:dyDescent="0.2">
      <c r="AF11025" s="679"/>
    </row>
    <row r="11026" spans="32:32" x14ac:dyDescent="0.2">
      <c r="AF11026" s="679"/>
    </row>
    <row r="11027" spans="32:32" x14ac:dyDescent="0.2">
      <c r="AF11027" s="679"/>
    </row>
    <row r="11028" spans="32:32" x14ac:dyDescent="0.2">
      <c r="AF11028" s="679"/>
    </row>
    <row r="11029" spans="32:32" x14ac:dyDescent="0.2">
      <c r="AF11029" s="679"/>
    </row>
    <row r="11030" spans="32:32" x14ac:dyDescent="0.2">
      <c r="AF11030" s="679"/>
    </row>
    <row r="11031" spans="32:32" x14ac:dyDescent="0.2">
      <c r="AF11031" s="679"/>
    </row>
    <row r="11032" spans="32:32" x14ac:dyDescent="0.2">
      <c r="AF11032" s="679"/>
    </row>
    <row r="11033" spans="32:32" x14ac:dyDescent="0.2">
      <c r="AF11033" s="679"/>
    </row>
    <row r="11034" spans="32:32" x14ac:dyDescent="0.2">
      <c r="AF11034" s="679"/>
    </row>
    <row r="11035" spans="32:32" x14ac:dyDescent="0.2">
      <c r="AF11035" s="679"/>
    </row>
    <row r="11036" spans="32:32" x14ac:dyDescent="0.2">
      <c r="AF11036" s="679"/>
    </row>
    <row r="11037" spans="32:32" x14ac:dyDescent="0.2">
      <c r="AF11037" s="679"/>
    </row>
    <row r="11038" spans="32:32" x14ac:dyDescent="0.2">
      <c r="AF11038" s="679"/>
    </row>
    <row r="11039" spans="32:32" x14ac:dyDescent="0.2">
      <c r="AF11039" s="679"/>
    </row>
    <row r="11040" spans="32:32" x14ac:dyDescent="0.2">
      <c r="AF11040" s="679"/>
    </row>
    <row r="11041" spans="32:32" x14ac:dyDescent="0.2">
      <c r="AF11041" s="679"/>
    </row>
    <row r="11042" spans="32:32" x14ac:dyDescent="0.2">
      <c r="AF11042" s="679"/>
    </row>
    <row r="11043" spans="32:32" x14ac:dyDescent="0.2">
      <c r="AF11043" s="679"/>
    </row>
    <row r="11044" spans="32:32" x14ac:dyDescent="0.2">
      <c r="AF11044" s="679"/>
    </row>
    <row r="11045" spans="32:32" x14ac:dyDescent="0.2">
      <c r="AF11045" s="679"/>
    </row>
    <row r="11046" spans="32:32" x14ac:dyDescent="0.2">
      <c r="AF11046" s="679"/>
    </row>
    <row r="11047" spans="32:32" x14ac:dyDescent="0.2">
      <c r="AF11047" s="679"/>
    </row>
    <row r="11048" spans="32:32" x14ac:dyDescent="0.2">
      <c r="AF11048" s="679"/>
    </row>
    <row r="11049" spans="32:32" x14ac:dyDescent="0.2">
      <c r="AF11049" s="679"/>
    </row>
    <row r="11050" spans="32:32" x14ac:dyDescent="0.2">
      <c r="AF11050" s="679"/>
    </row>
    <row r="11051" spans="32:32" x14ac:dyDescent="0.2">
      <c r="AF11051" s="679"/>
    </row>
    <row r="11052" spans="32:32" x14ac:dyDescent="0.2">
      <c r="AF11052" s="679"/>
    </row>
    <row r="11053" spans="32:32" x14ac:dyDescent="0.2">
      <c r="AF11053" s="679"/>
    </row>
    <row r="11054" spans="32:32" x14ac:dyDescent="0.2">
      <c r="AF11054" s="679"/>
    </row>
    <row r="11055" spans="32:32" x14ac:dyDescent="0.2">
      <c r="AF11055" s="679"/>
    </row>
    <row r="11056" spans="32:32" x14ac:dyDescent="0.2">
      <c r="AF11056" s="679"/>
    </row>
    <row r="11057" spans="32:32" x14ac:dyDescent="0.2">
      <c r="AF11057" s="679"/>
    </row>
    <row r="11058" spans="32:32" x14ac:dyDescent="0.2">
      <c r="AF11058" s="679"/>
    </row>
    <row r="11059" spans="32:32" x14ac:dyDescent="0.2">
      <c r="AF11059" s="679"/>
    </row>
    <row r="11060" spans="32:32" x14ac:dyDescent="0.2">
      <c r="AF11060" s="679"/>
    </row>
    <row r="11061" spans="32:32" x14ac:dyDescent="0.2">
      <c r="AF11061" s="679"/>
    </row>
    <row r="11062" spans="32:32" x14ac:dyDescent="0.2">
      <c r="AF11062" s="679"/>
    </row>
    <row r="11063" spans="32:32" x14ac:dyDescent="0.2">
      <c r="AF11063" s="679"/>
    </row>
    <row r="11064" spans="32:32" x14ac:dyDescent="0.2">
      <c r="AF11064" s="679"/>
    </row>
    <row r="11065" spans="32:32" x14ac:dyDescent="0.2">
      <c r="AF11065" s="679"/>
    </row>
    <row r="11066" spans="32:32" x14ac:dyDescent="0.2">
      <c r="AF11066" s="679"/>
    </row>
    <row r="11067" spans="32:32" x14ac:dyDescent="0.2">
      <c r="AF11067" s="679"/>
    </row>
    <row r="11068" spans="32:32" x14ac:dyDescent="0.2">
      <c r="AF11068" s="679"/>
    </row>
    <row r="11069" spans="32:32" x14ac:dyDescent="0.2">
      <c r="AF11069" s="679"/>
    </row>
    <row r="11070" spans="32:32" x14ac:dyDescent="0.2">
      <c r="AF11070" s="679"/>
    </row>
    <row r="11071" spans="32:32" x14ac:dyDescent="0.2">
      <c r="AF11071" s="679"/>
    </row>
    <row r="11072" spans="32:32" x14ac:dyDescent="0.2">
      <c r="AF11072" s="679"/>
    </row>
    <row r="11073" spans="32:32" x14ac:dyDescent="0.2">
      <c r="AF11073" s="679"/>
    </row>
    <row r="11074" spans="32:32" x14ac:dyDescent="0.2">
      <c r="AF11074" s="679"/>
    </row>
    <row r="11075" spans="32:32" x14ac:dyDescent="0.2">
      <c r="AF11075" s="679"/>
    </row>
    <row r="11076" spans="32:32" x14ac:dyDescent="0.2">
      <c r="AF11076" s="679"/>
    </row>
    <row r="11077" spans="32:32" x14ac:dyDescent="0.2">
      <c r="AF11077" s="679"/>
    </row>
    <row r="11078" spans="32:32" x14ac:dyDescent="0.2">
      <c r="AF11078" s="679"/>
    </row>
    <row r="11079" spans="32:32" x14ac:dyDescent="0.2">
      <c r="AF11079" s="679"/>
    </row>
    <row r="11080" spans="32:32" x14ac:dyDescent="0.2">
      <c r="AF11080" s="679"/>
    </row>
    <row r="11081" spans="32:32" x14ac:dyDescent="0.2">
      <c r="AF11081" s="679"/>
    </row>
    <row r="11082" spans="32:32" x14ac:dyDescent="0.2">
      <c r="AF11082" s="679"/>
    </row>
    <row r="11083" spans="32:32" x14ac:dyDescent="0.2">
      <c r="AF11083" s="679"/>
    </row>
    <row r="11084" spans="32:32" x14ac:dyDescent="0.2">
      <c r="AF11084" s="679"/>
    </row>
    <row r="11085" spans="32:32" x14ac:dyDescent="0.2">
      <c r="AF11085" s="679"/>
    </row>
    <row r="11086" spans="32:32" x14ac:dyDescent="0.2">
      <c r="AF11086" s="679"/>
    </row>
    <row r="11087" spans="32:32" x14ac:dyDescent="0.2">
      <c r="AF11087" s="679"/>
    </row>
    <row r="11088" spans="32:32" x14ac:dyDescent="0.2">
      <c r="AF11088" s="679"/>
    </row>
    <row r="11089" spans="32:32" x14ac:dyDescent="0.2">
      <c r="AF11089" s="679"/>
    </row>
    <row r="11090" spans="32:32" x14ac:dyDescent="0.2">
      <c r="AF11090" s="679"/>
    </row>
    <row r="11091" spans="32:32" x14ac:dyDescent="0.2">
      <c r="AF11091" s="679"/>
    </row>
    <row r="11092" spans="32:32" x14ac:dyDescent="0.2">
      <c r="AF11092" s="679"/>
    </row>
    <row r="11093" spans="32:32" x14ac:dyDescent="0.2">
      <c r="AF11093" s="679"/>
    </row>
    <row r="11094" spans="32:32" x14ac:dyDescent="0.2">
      <c r="AF11094" s="679"/>
    </row>
    <row r="11095" spans="32:32" x14ac:dyDescent="0.2">
      <c r="AF11095" s="679"/>
    </row>
    <row r="11096" spans="32:32" x14ac:dyDescent="0.2">
      <c r="AF11096" s="679"/>
    </row>
    <row r="11097" spans="32:32" x14ac:dyDescent="0.2">
      <c r="AF11097" s="679"/>
    </row>
    <row r="11098" spans="32:32" x14ac:dyDescent="0.2">
      <c r="AF11098" s="679"/>
    </row>
    <row r="11099" spans="32:32" x14ac:dyDescent="0.2">
      <c r="AF11099" s="679"/>
    </row>
    <row r="11100" spans="32:32" x14ac:dyDescent="0.2">
      <c r="AF11100" s="679"/>
    </row>
    <row r="11101" spans="32:32" x14ac:dyDescent="0.2">
      <c r="AF11101" s="679"/>
    </row>
    <row r="11102" spans="32:32" x14ac:dyDescent="0.2">
      <c r="AF11102" s="679"/>
    </row>
    <row r="11103" spans="32:32" x14ac:dyDescent="0.2">
      <c r="AF11103" s="679"/>
    </row>
    <row r="11104" spans="32:32" x14ac:dyDescent="0.2">
      <c r="AF11104" s="679"/>
    </row>
    <row r="11105" spans="32:32" x14ac:dyDescent="0.2">
      <c r="AF11105" s="679"/>
    </row>
    <row r="11106" spans="32:32" x14ac:dyDescent="0.2">
      <c r="AF11106" s="679"/>
    </row>
    <row r="11107" spans="32:32" x14ac:dyDescent="0.2">
      <c r="AF11107" s="679"/>
    </row>
    <row r="11108" spans="32:32" x14ac:dyDescent="0.2">
      <c r="AF11108" s="679"/>
    </row>
    <row r="11109" spans="32:32" x14ac:dyDescent="0.2">
      <c r="AF11109" s="679"/>
    </row>
    <row r="11110" spans="32:32" x14ac:dyDescent="0.2">
      <c r="AF11110" s="679"/>
    </row>
    <row r="11111" spans="32:32" x14ac:dyDescent="0.2">
      <c r="AF11111" s="679"/>
    </row>
    <row r="11112" spans="32:32" x14ac:dyDescent="0.2">
      <c r="AF11112" s="679"/>
    </row>
    <row r="11113" spans="32:32" x14ac:dyDescent="0.2">
      <c r="AF11113" s="679"/>
    </row>
    <row r="11114" spans="32:32" x14ac:dyDescent="0.2">
      <c r="AF11114" s="679"/>
    </row>
    <row r="11115" spans="32:32" x14ac:dyDescent="0.2">
      <c r="AF11115" s="679"/>
    </row>
    <row r="11116" spans="32:32" x14ac:dyDescent="0.2">
      <c r="AF11116" s="679"/>
    </row>
    <row r="11117" spans="32:32" x14ac:dyDescent="0.2">
      <c r="AF11117" s="679"/>
    </row>
    <row r="11118" spans="32:32" x14ac:dyDescent="0.2">
      <c r="AF11118" s="679"/>
    </row>
    <row r="11119" spans="32:32" x14ac:dyDescent="0.2">
      <c r="AF11119" s="679"/>
    </row>
    <row r="11120" spans="32:32" x14ac:dyDescent="0.2">
      <c r="AF11120" s="679"/>
    </row>
    <row r="11121" spans="32:32" x14ac:dyDescent="0.2">
      <c r="AF11121" s="679"/>
    </row>
    <row r="11122" spans="32:32" x14ac:dyDescent="0.2">
      <c r="AF11122" s="679"/>
    </row>
    <row r="11123" spans="32:32" x14ac:dyDescent="0.2">
      <c r="AF11123" s="679"/>
    </row>
    <row r="11124" spans="32:32" x14ac:dyDescent="0.2">
      <c r="AF11124" s="679"/>
    </row>
    <row r="11125" spans="32:32" x14ac:dyDescent="0.2">
      <c r="AF11125" s="679"/>
    </row>
    <row r="11126" spans="32:32" x14ac:dyDescent="0.2">
      <c r="AF11126" s="679"/>
    </row>
    <row r="11127" spans="32:32" x14ac:dyDescent="0.2">
      <c r="AF11127" s="679"/>
    </row>
    <row r="11128" spans="32:32" x14ac:dyDescent="0.2">
      <c r="AF11128" s="679"/>
    </row>
    <row r="11129" spans="32:32" x14ac:dyDescent="0.2">
      <c r="AF11129" s="679"/>
    </row>
    <row r="11130" spans="32:32" x14ac:dyDescent="0.2">
      <c r="AF11130" s="679"/>
    </row>
    <row r="11131" spans="32:32" x14ac:dyDescent="0.2">
      <c r="AF11131" s="679"/>
    </row>
    <row r="11132" spans="32:32" x14ac:dyDescent="0.2">
      <c r="AF11132" s="679"/>
    </row>
    <row r="11133" spans="32:32" x14ac:dyDescent="0.2">
      <c r="AF11133" s="679"/>
    </row>
    <row r="11134" spans="32:32" x14ac:dyDescent="0.2">
      <c r="AF11134" s="679"/>
    </row>
    <row r="11135" spans="32:32" x14ac:dyDescent="0.2">
      <c r="AF11135" s="679"/>
    </row>
    <row r="11136" spans="32:32" x14ac:dyDescent="0.2">
      <c r="AF11136" s="679"/>
    </row>
    <row r="11137" spans="32:32" x14ac:dyDescent="0.2">
      <c r="AF11137" s="679"/>
    </row>
    <row r="11138" spans="32:32" x14ac:dyDescent="0.2">
      <c r="AF11138" s="679"/>
    </row>
    <row r="11139" spans="32:32" x14ac:dyDescent="0.2">
      <c r="AF11139" s="679"/>
    </row>
    <row r="11140" spans="32:32" x14ac:dyDescent="0.2">
      <c r="AF11140" s="679"/>
    </row>
    <row r="11141" spans="32:32" x14ac:dyDescent="0.2">
      <c r="AF11141" s="679"/>
    </row>
    <row r="11142" spans="32:32" x14ac:dyDescent="0.2">
      <c r="AF11142" s="679"/>
    </row>
    <row r="11143" spans="32:32" x14ac:dyDescent="0.2">
      <c r="AF11143" s="679"/>
    </row>
    <row r="11144" spans="32:32" x14ac:dyDescent="0.2">
      <c r="AF11144" s="679"/>
    </row>
    <row r="11145" spans="32:32" x14ac:dyDescent="0.2">
      <c r="AF11145" s="679"/>
    </row>
    <row r="11146" spans="32:32" x14ac:dyDescent="0.2">
      <c r="AF11146" s="679"/>
    </row>
    <row r="11147" spans="32:32" x14ac:dyDescent="0.2">
      <c r="AF11147" s="679"/>
    </row>
    <row r="11148" spans="32:32" x14ac:dyDescent="0.2">
      <c r="AF11148" s="679"/>
    </row>
    <row r="11149" spans="32:32" x14ac:dyDescent="0.2">
      <c r="AF11149" s="679"/>
    </row>
    <row r="11150" spans="32:32" x14ac:dyDescent="0.2">
      <c r="AF11150" s="679"/>
    </row>
    <row r="11151" spans="32:32" x14ac:dyDescent="0.2">
      <c r="AF11151" s="679"/>
    </row>
    <row r="11152" spans="32:32" x14ac:dyDescent="0.2">
      <c r="AF11152" s="679"/>
    </row>
    <row r="11153" spans="32:32" x14ac:dyDescent="0.2">
      <c r="AF11153" s="679"/>
    </row>
    <row r="11154" spans="32:32" x14ac:dyDescent="0.2">
      <c r="AF11154" s="679"/>
    </row>
    <row r="11155" spans="32:32" x14ac:dyDescent="0.2">
      <c r="AF11155" s="679"/>
    </row>
    <row r="11156" spans="32:32" x14ac:dyDescent="0.2">
      <c r="AF11156" s="679"/>
    </row>
    <row r="11157" spans="32:32" x14ac:dyDescent="0.2">
      <c r="AF11157" s="679"/>
    </row>
    <row r="11158" spans="32:32" x14ac:dyDescent="0.2">
      <c r="AF11158" s="679"/>
    </row>
    <row r="11159" spans="32:32" x14ac:dyDescent="0.2">
      <c r="AF11159" s="679"/>
    </row>
    <row r="11160" spans="32:32" x14ac:dyDescent="0.2">
      <c r="AF11160" s="679"/>
    </row>
    <row r="11161" spans="32:32" x14ac:dyDescent="0.2">
      <c r="AF11161" s="679"/>
    </row>
    <row r="11162" spans="32:32" x14ac:dyDescent="0.2">
      <c r="AF11162" s="679"/>
    </row>
    <row r="11163" spans="32:32" x14ac:dyDescent="0.2">
      <c r="AF11163" s="679"/>
    </row>
    <row r="11164" spans="32:32" x14ac:dyDescent="0.2">
      <c r="AF11164" s="679"/>
    </row>
    <row r="11165" spans="32:32" x14ac:dyDescent="0.2">
      <c r="AF11165" s="679"/>
    </row>
    <row r="11166" spans="32:32" x14ac:dyDescent="0.2">
      <c r="AF11166" s="679"/>
    </row>
    <row r="11167" spans="32:32" x14ac:dyDescent="0.2">
      <c r="AF11167" s="679"/>
    </row>
    <row r="11168" spans="32:32" x14ac:dyDescent="0.2">
      <c r="AF11168" s="679"/>
    </row>
    <row r="11169" spans="32:32" x14ac:dyDescent="0.2">
      <c r="AF11169" s="679"/>
    </row>
    <row r="11170" spans="32:32" x14ac:dyDescent="0.2">
      <c r="AF11170" s="679"/>
    </row>
    <row r="11171" spans="32:32" x14ac:dyDescent="0.2">
      <c r="AF11171" s="679"/>
    </row>
    <row r="11172" spans="32:32" x14ac:dyDescent="0.2">
      <c r="AF11172" s="679"/>
    </row>
    <row r="11173" spans="32:32" x14ac:dyDescent="0.2">
      <c r="AF11173" s="679"/>
    </row>
    <row r="11174" spans="32:32" x14ac:dyDescent="0.2">
      <c r="AF11174" s="679"/>
    </row>
    <row r="11175" spans="32:32" x14ac:dyDescent="0.2">
      <c r="AF11175" s="679"/>
    </row>
    <row r="11176" spans="32:32" x14ac:dyDescent="0.2">
      <c r="AF11176" s="679"/>
    </row>
    <row r="11177" spans="32:32" x14ac:dyDescent="0.2">
      <c r="AF11177" s="679"/>
    </row>
    <row r="11178" spans="32:32" x14ac:dyDescent="0.2">
      <c r="AF11178" s="679"/>
    </row>
    <row r="11179" spans="32:32" x14ac:dyDescent="0.2">
      <c r="AF11179" s="679"/>
    </row>
    <row r="11180" spans="32:32" x14ac:dyDescent="0.2">
      <c r="AF11180" s="679"/>
    </row>
    <row r="11181" spans="32:32" x14ac:dyDescent="0.2">
      <c r="AF11181" s="679"/>
    </row>
    <row r="11182" spans="32:32" x14ac:dyDescent="0.2">
      <c r="AF11182" s="679"/>
    </row>
    <row r="11183" spans="32:32" x14ac:dyDescent="0.2">
      <c r="AF11183" s="679"/>
    </row>
    <row r="11184" spans="32:32" x14ac:dyDescent="0.2">
      <c r="AF11184" s="679"/>
    </row>
    <row r="11185" spans="32:32" x14ac:dyDescent="0.2">
      <c r="AF11185" s="679"/>
    </row>
    <row r="11186" spans="32:32" x14ac:dyDescent="0.2">
      <c r="AF11186" s="679"/>
    </row>
    <row r="11187" spans="32:32" x14ac:dyDescent="0.2">
      <c r="AF11187" s="679"/>
    </row>
    <row r="11188" spans="32:32" x14ac:dyDescent="0.2">
      <c r="AF11188" s="679"/>
    </row>
    <row r="11189" spans="32:32" x14ac:dyDescent="0.2">
      <c r="AF11189" s="679"/>
    </row>
    <row r="11190" spans="32:32" x14ac:dyDescent="0.2">
      <c r="AF11190" s="679"/>
    </row>
    <row r="11191" spans="32:32" x14ac:dyDescent="0.2">
      <c r="AF11191" s="679"/>
    </row>
    <row r="11192" spans="32:32" x14ac:dyDescent="0.2">
      <c r="AF11192" s="679"/>
    </row>
    <row r="11193" spans="32:32" x14ac:dyDescent="0.2">
      <c r="AF11193" s="679"/>
    </row>
    <row r="11194" spans="32:32" x14ac:dyDescent="0.2">
      <c r="AF11194" s="679"/>
    </row>
    <row r="11195" spans="32:32" x14ac:dyDescent="0.2">
      <c r="AF11195" s="679"/>
    </row>
    <row r="11196" spans="32:32" x14ac:dyDescent="0.2">
      <c r="AF11196" s="679"/>
    </row>
    <row r="11197" spans="32:32" x14ac:dyDescent="0.2">
      <c r="AF11197" s="679"/>
    </row>
    <row r="11198" spans="32:32" x14ac:dyDescent="0.2">
      <c r="AF11198" s="679"/>
    </row>
    <row r="11199" spans="32:32" x14ac:dyDescent="0.2">
      <c r="AF11199" s="679"/>
    </row>
    <row r="11200" spans="32:32" x14ac:dyDescent="0.2">
      <c r="AF11200" s="679"/>
    </row>
    <row r="11201" spans="32:32" x14ac:dyDescent="0.2">
      <c r="AF11201" s="679"/>
    </row>
    <row r="11202" spans="32:32" x14ac:dyDescent="0.2">
      <c r="AF11202" s="679"/>
    </row>
    <row r="11203" spans="32:32" x14ac:dyDescent="0.2">
      <c r="AF11203" s="679"/>
    </row>
    <row r="11204" spans="32:32" x14ac:dyDescent="0.2">
      <c r="AF11204" s="679"/>
    </row>
    <row r="11205" spans="32:32" x14ac:dyDescent="0.2">
      <c r="AF11205" s="679"/>
    </row>
    <row r="11206" spans="32:32" x14ac:dyDescent="0.2">
      <c r="AF11206" s="679"/>
    </row>
    <row r="11207" spans="32:32" x14ac:dyDescent="0.2">
      <c r="AF11207" s="679"/>
    </row>
    <row r="11208" spans="32:32" x14ac:dyDescent="0.2">
      <c r="AF11208" s="679"/>
    </row>
    <row r="11209" spans="32:32" x14ac:dyDescent="0.2">
      <c r="AF11209" s="679"/>
    </row>
    <row r="11210" spans="32:32" x14ac:dyDescent="0.2">
      <c r="AF11210" s="679"/>
    </row>
    <row r="11211" spans="32:32" x14ac:dyDescent="0.2">
      <c r="AF11211" s="679"/>
    </row>
    <row r="11212" spans="32:32" x14ac:dyDescent="0.2">
      <c r="AF11212" s="679"/>
    </row>
    <row r="11213" spans="32:32" x14ac:dyDescent="0.2">
      <c r="AF11213" s="679"/>
    </row>
    <row r="11214" spans="32:32" x14ac:dyDescent="0.2">
      <c r="AF11214" s="679"/>
    </row>
    <row r="11215" spans="32:32" x14ac:dyDescent="0.2">
      <c r="AF11215" s="679"/>
    </row>
    <row r="11216" spans="32:32" x14ac:dyDescent="0.2">
      <c r="AF11216" s="679"/>
    </row>
    <row r="11217" spans="32:32" x14ac:dyDescent="0.2">
      <c r="AF11217" s="679"/>
    </row>
    <row r="11218" spans="32:32" x14ac:dyDescent="0.2">
      <c r="AF11218" s="679"/>
    </row>
    <row r="11219" spans="32:32" x14ac:dyDescent="0.2">
      <c r="AF11219" s="679"/>
    </row>
    <row r="11220" spans="32:32" x14ac:dyDescent="0.2">
      <c r="AF11220" s="679"/>
    </row>
    <row r="11221" spans="32:32" x14ac:dyDescent="0.2">
      <c r="AF11221" s="679"/>
    </row>
    <row r="11222" spans="32:32" x14ac:dyDescent="0.2">
      <c r="AF11222" s="679"/>
    </row>
    <row r="11223" spans="32:32" x14ac:dyDescent="0.2">
      <c r="AF11223" s="679"/>
    </row>
    <row r="11224" spans="32:32" x14ac:dyDescent="0.2">
      <c r="AF11224" s="679"/>
    </row>
    <row r="11225" spans="32:32" x14ac:dyDescent="0.2">
      <c r="AF11225" s="679"/>
    </row>
    <row r="11226" spans="32:32" x14ac:dyDescent="0.2">
      <c r="AF11226" s="679"/>
    </row>
    <row r="11227" spans="32:32" x14ac:dyDescent="0.2">
      <c r="AF11227" s="679"/>
    </row>
    <row r="11228" spans="32:32" x14ac:dyDescent="0.2">
      <c r="AF11228" s="679"/>
    </row>
    <row r="11229" spans="32:32" x14ac:dyDescent="0.2">
      <c r="AF11229" s="679"/>
    </row>
    <row r="11230" spans="32:32" x14ac:dyDescent="0.2">
      <c r="AF11230" s="679"/>
    </row>
    <row r="11231" spans="32:32" x14ac:dyDescent="0.2">
      <c r="AF11231" s="679"/>
    </row>
    <row r="11232" spans="32:32" x14ac:dyDescent="0.2">
      <c r="AF11232" s="679"/>
    </row>
    <row r="11233" spans="32:32" x14ac:dyDescent="0.2">
      <c r="AF11233" s="679"/>
    </row>
    <row r="11234" spans="32:32" x14ac:dyDescent="0.2">
      <c r="AF11234" s="679"/>
    </row>
    <row r="11235" spans="32:32" x14ac:dyDescent="0.2">
      <c r="AF11235" s="679"/>
    </row>
    <row r="11236" spans="32:32" x14ac:dyDescent="0.2">
      <c r="AF11236" s="679"/>
    </row>
    <row r="11237" spans="32:32" x14ac:dyDescent="0.2">
      <c r="AF11237" s="679"/>
    </row>
    <row r="11238" spans="32:32" x14ac:dyDescent="0.2">
      <c r="AF11238" s="679"/>
    </row>
    <row r="11239" spans="32:32" x14ac:dyDescent="0.2">
      <c r="AF11239" s="679"/>
    </row>
    <row r="11240" spans="32:32" x14ac:dyDescent="0.2">
      <c r="AF11240" s="679"/>
    </row>
    <row r="11241" spans="32:32" x14ac:dyDescent="0.2">
      <c r="AF11241" s="679"/>
    </row>
    <row r="11242" spans="32:32" x14ac:dyDescent="0.2">
      <c r="AF11242" s="679"/>
    </row>
    <row r="11243" spans="32:32" x14ac:dyDescent="0.2">
      <c r="AF11243" s="679"/>
    </row>
    <row r="11244" spans="32:32" x14ac:dyDescent="0.2">
      <c r="AF11244" s="679"/>
    </row>
    <row r="11245" spans="32:32" x14ac:dyDescent="0.2">
      <c r="AF11245" s="679"/>
    </row>
    <row r="11246" spans="32:32" x14ac:dyDescent="0.2">
      <c r="AF11246" s="679"/>
    </row>
    <row r="11247" spans="32:32" x14ac:dyDescent="0.2">
      <c r="AF11247" s="679"/>
    </row>
    <row r="11248" spans="32:32" x14ac:dyDescent="0.2">
      <c r="AF11248" s="679"/>
    </row>
    <row r="11249" spans="32:32" x14ac:dyDescent="0.2">
      <c r="AF11249" s="679"/>
    </row>
    <row r="11250" spans="32:32" x14ac:dyDescent="0.2">
      <c r="AF11250" s="679"/>
    </row>
    <row r="11251" spans="32:32" x14ac:dyDescent="0.2">
      <c r="AF11251" s="679"/>
    </row>
    <row r="11252" spans="32:32" x14ac:dyDescent="0.2">
      <c r="AF11252" s="679"/>
    </row>
    <row r="11253" spans="32:32" x14ac:dyDescent="0.2">
      <c r="AF11253" s="679"/>
    </row>
    <row r="11254" spans="32:32" x14ac:dyDescent="0.2">
      <c r="AF11254" s="679"/>
    </row>
    <row r="11255" spans="32:32" x14ac:dyDescent="0.2">
      <c r="AF11255" s="679"/>
    </row>
    <row r="11256" spans="32:32" x14ac:dyDescent="0.2">
      <c r="AF11256" s="679"/>
    </row>
    <row r="11257" spans="32:32" x14ac:dyDescent="0.2">
      <c r="AF11257" s="679"/>
    </row>
    <row r="11258" spans="32:32" x14ac:dyDescent="0.2">
      <c r="AF11258" s="679"/>
    </row>
    <row r="11259" spans="32:32" x14ac:dyDescent="0.2">
      <c r="AF11259" s="679"/>
    </row>
    <row r="11260" spans="32:32" x14ac:dyDescent="0.2">
      <c r="AF11260" s="679"/>
    </row>
    <row r="11261" spans="32:32" x14ac:dyDescent="0.2">
      <c r="AF11261" s="679"/>
    </row>
    <row r="11262" spans="32:32" x14ac:dyDescent="0.2">
      <c r="AF11262" s="679"/>
    </row>
    <row r="11263" spans="32:32" x14ac:dyDescent="0.2">
      <c r="AF11263" s="679"/>
    </row>
    <row r="11264" spans="32:32" x14ac:dyDescent="0.2">
      <c r="AF11264" s="679"/>
    </row>
    <row r="11265" spans="32:32" x14ac:dyDescent="0.2">
      <c r="AF11265" s="679"/>
    </row>
    <row r="11266" spans="32:32" x14ac:dyDescent="0.2">
      <c r="AF11266" s="679"/>
    </row>
    <row r="11267" spans="32:32" x14ac:dyDescent="0.2">
      <c r="AF11267" s="679"/>
    </row>
    <row r="11268" spans="32:32" x14ac:dyDescent="0.2">
      <c r="AF11268" s="679"/>
    </row>
    <row r="11269" spans="32:32" x14ac:dyDescent="0.2">
      <c r="AF11269" s="679"/>
    </row>
    <row r="11270" spans="32:32" x14ac:dyDescent="0.2">
      <c r="AF11270" s="679"/>
    </row>
    <row r="11271" spans="32:32" x14ac:dyDescent="0.2">
      <c r="AF11271" s="679"/>
    </row>
    <row r="11272" spans="32:32" x14ac:dyDescent="0.2">
      <c r="AF11272" s="679"/>
    </row>
    <row r="11273" spans="32:32" x14ac:dyDescent="0.2">
      <c r="AF11273" s="679"/>
    </row>
    <row r="11274" spans="32:32" x14ac:dyDescent="0.2">
      <c r="AF11274" s="679"/>
    </row>
    <row r="11275" spans="32:32" x14ac:dyDescent="0.2">
      <c r="AF11275" s="679"/>
    </row>
    <row r="11276" spans="32:32" x14ac:dyDescent="0.2">
      <c r="AF11276" s="679"/>
    </row>
    <row r="11277" spans="32:32" x14ac:dyDescent="0.2">
      <c r="AF11277" s="679"/>
    </row>
    <row r="11278" spans="32:32" x14ac:dyDescent="0.2">
      <c r="AF11278" s="679"/>
    </row>
    <row r="11279" spans="32:32" x14ac:dyDescent="0.2">
      <c r="AF11279" s="679"/>
    </row>
    <row r="11280" spans="32:32" x14ac:dyDescent="0.2">
      <c r="AF11280" s="679"/>
    </row>
    <row r="11281" spans="32:32" x14ac:dyDescent="0.2">
      <c r="AF11281" s="679"/>
    </row>
    <row r="11282" spans="32:32" x14ac:dyDescent="0.2">
      <c r="AF11282" s="679"/>
    </row>
    <row r="11283" spans="32:32" x14ac:dyDescent="0.2">
      <c r="AF11283" s="679"/>
    </row>
    <row r="11284" spans="32:32" x14ac:dyDescent="0.2">
      <c r="AF11284" s="679"/>
    </row>
    <row r="11285" spans="32:32" x14ac:dyDescent="0.2">
      <c r="AF11285" s="679"/>
    </row>
    <row r="11286" spans="32:32" x14ac:dyDescent="0.2">
      <c r="AF11286" s="679"/>
    </row>
    <row r="11287" spans="32:32" x14ac:dyDescent="0.2">
      <c r="AF11287" s="679"/>
    </row>
    <row r="11288" spans="32:32" x14ac:dyDescent="0.2">
      <c r="AF11288" s="679"/>
    </row>
    <row r="11289" spans="32:32" x14ac:dyDescent="0.2">
      <c r="AF11289" s="679"/>
    </row>
    <row r="11290" spans="32:32" x14ac:dyDescent="0.2">
      <c r="AF11290" s="679"/>
    </row>
    <row r="11291" spans="32:32" x14ac:dyDescent="0.2">
      <c r="AF11291" s="679"/>
    </row>
    <row r="11292" spans="32:32" x14ac:dyDescent="0.2">
      <c r="AF11292" s="679"/>
    </row>
    <row r="11293" spans="32:32" x14ac:dyDescent="0.2">
      <c r="AF11293" s="679"/>
    </row>
    <row r="11294" spans="32:32" x14ac:dyDescent="0.2">
      <c r="AF11294" s="679"/>
    </row>
    <row r="11295" spans="32:32" x14ac:dyDescent="0.2">
      <c r="AF11295" s="679"/>
    </row>
    <row r="11296" spans="32:32" x14ac:dyDescent="0.2">
      <c r="AF11296" s="679"/>
    </row>
    <row r="11297" spans="32:32" x14ac:dyDescent="0.2">
      <c r="AF11297" s="679"/>
    </row>
    <row r="11298" spans="32:32" x14ac:dyDescent="0.2">
      <c r="AF11298" s="679"/>
    </row>
    <row r="11299" spans="32:32" x14ac:dyDescent="0.2">
      <c r="AF11299" s="679"/>
    </row>
    <row r="11300" spans="32:32" x14ac:dyDescent="0.2">
      <c r="AF11300" s="679"/>
    </row>
    <row r="11301" spans="32:32" x14ac:dyDescent="0.2">
      <c r="AF11301" s="679"/>
    </row>
    <row r="11302" spans="32:32" x14ac:dyDescent="0.2">
      <c r="AF11302" s="679"/>
    </row>
    <row r="11303" spans="32:32" x14ac:dyDescent="0.2">
      <c r="AF11303" s="679"/>
    </row>
    <row r="11304" spans="32:32" x14ac:dyDescent="0.2">
      <c r="AF11304" s="679"/>
    </row>
    <row r="11305" spans="32:32" x14ac:dyDescent="0.2">
      <c r="AF11305" s="679"/>
    </row>
    <row r="11306" spans="32:32" x14ac:dyDescent="0.2">
      <c r="AF11306" s="679"/>
    </row>
    <row r="11307" spans="32:32" x14ac:dyDescent="0.2">
      <c r="AF11307" s="679"/>
    </row>
    <row r="11308" spans="32:32" x14ac:dyDescent="0.2">
      <c r="AF11308" s="679"/>
    </row>
    <row r="11309" spans="32:32" x14ac:dyDescent="0.2">
      <c r="AF11309" s="679"/>
    </row>
    <row r="11310" spans="32:32" x14ac:dyDescent="0.2">
      <c r="AF11310" s="679"/>
    </row>
    <row r="11311" spans="32:32" x14ac:dyDescent="0.2">
      <c r="AF11311" s="679"/>
    </row>
    <row r="11312" spans="32:32" x14ac:dyDescent="0.2">
      <c r="AF11312" s="679"/>
    </row>
    <row r="11313" spans="32:32" x14ac:dyDescent="0.2">
      <c r="AF11313" s="679"/>
    </row>
    <row r="11314" spans="32:32" x14ac:dyDescent="0.2">
      <c r="AF11314" s="679"/>
    </row>
    <row r="11315" spans="32:32" x14ac:dyDescent="0.2">
      <c r="AF11315" s="679"/>
    </row>
    <row r="11316" spans="32:32" x14ac:dyDescent="0.2">
      <c r="AF11316" s="679"/>
    </row>
    <row r="11317" spans="32:32" x14ac:dyDescent="0.2">
      <c r="AF11317" s="679"/>
    </row>
    <row r="11318" spans="32:32" x14ac:dyDescent="0.2">
      <c r="AF11318" s="679"/>
    </row>
    <row r="11319" spans="32:32" x14ac:dyDescent="0.2">
      <c r="AF11319" s="679"/>
    </row>
    <row r="11320" spans="32:32" x14ac:dyDescent="0.2">
      <c r="AF11320" s="679"/>
    </row>
    <row r="11321" spans="32:32" x14ac:dyDescent="0.2">
      <c r="AF11321" s="679"/>
    </row>
    <row r="11322" spans="32:32" x14ac:dyDescent="0.2">
      <c r="AF11322" s="679"/>
    </row>
    <row r="11323" spans="32:32" x14ac:dyDescent="0.2">
      <c r="AF11323" s="679"/>
    </row>
    <row r="11324" spans="32:32" x14ac:dyDescent="0.2">
      <c r="AF11324" s="679"/>
    </row>
    <row r="11325" spans="32:32" x14ac:dyDescent="0.2">
      <c r="AF11325" s="679"/>
    </row>
    <row r="11326" spans="32:32" x14ac:dyDescent="0.2">
      <c r="AF11326" s="679"/>
    </row>
    <row r="11327" spans="32:32" x14ac:dyDescent="0.2">
      <c r="AF11327" s="679"/>
    </row>
    <row r="11328" spans="32:32" x14ac:dyDescent="0.2">
      <c r="AF11328" s="679"/>
    </row>
    <row r="11329" spans="32:32" x14ac:dyDescent="0.2">
      <c r="AF11329" s="679"/>
    </row>
    <row r="11330" spans="32:32" x14ac:dyDescent="0.2">
      <c r="AF11330" s="679"/>
    </row>
    <row r="11331" spans="32:32" x14ac:dyDescent="0.2">
      <c r="AF11331" s="679"/>
    </row>
    <row r="11332" spans="32:32" x14ac:dyDescent="0.2">
      <c r="AF11332" s="679"/>
    </row>
    <row r="11333" spans="32:32" x14ac:dyDescent="0.2">
      <c r="AF11333" s="679"/>
    </row>
    <row r="11334" spans="32:32" x14ac:dyDescent="0.2">
      <c r="AF11334" s="679"/>
    </row>
    <row r="11335" spans="32:32" x14ac:dyDescent="0.2">
      <c r="AF11335" s="679"/>
    </row>
    <row r="11336" spans="32:32" x14ac:dyDescent="0.2">
      <c r="AF11336" s="679"/>
    </row>
    <row r="11337" spans="32:32" x14ac:dyDescent="0.2">
      <c r="AF11337" s="679"/>
    </row>
    <row r="11338" spans="32:32" x14ac:dyDescent="0.2">
      <c r="AF11338" s="679"/>
    </row>
    <row r="11339" spans="32:32" x14ac:dyDescent="0.2">
      <c r="AF11339" s="679"/>
    </row>
    <row r="11340" spans="32:32" x14ac:dyDescent="0.2">
      <c r="AF11340" s="679"/>
    </row>
    <row r="11341" spans="32:32" x14ac:dyDescent="0.2">
      <c r="AF11341" s="679"/>
    </row>
    <row r="11342" spans="32:32" x14ac:dyDescent="0.2">
      <c r="AF11342" s="679"/>
    </row>
    <row r="11343" spans="32:32" x14ac:dyDescent="0.2">
      <c r="AF11343" s="679"/>
    </row>
    <row r="11344" spans="32:32" x14ac:dyDescent="0.2">
      <c r="AF11344" s="679"/>
    </row>
    <row r="11345" spans="32:32" x14ac:dyDescent="0.2">
      <c r="AF11345" s="679"/>
    </row>
    <row r="11346" spans="32:32" x14ac:dyDescent="0.2">
      <c r="AF11346" s="679"/>
    </row>
    <row r="11347" spans="32:32" x14ac:dyDescent="0.2">
      <c r="AF11347" s="679"/>
    </row>
    <row r="11348" spans="32:32" x14ac:dyDescent="0.2">
      <c r="AF11348" s="679"/>
    </row>
    <row r="11349" spans="32:32" x14ac:dyDescent="0.2">
      <c r="AF11349" s="679"/>
    </row>
    <row r="11350" spans="32:32" x14ac:dyDescent="0.2">
      <c r="AF11350" s="679"/>
    </row>
    <row r="11351" spans="32:32" x14ac:dyDescent="0.2">
      <c r="AF11351" s="679"/>
    </row>
    <row r="11352" spans="32:32" x14ac:dyDescent="0.2">
      <c r="AF11352" s="679"/>
    </row>
    <row r="11353" spans="32:32" x14ac:dyDescent="0.2">
      <c r="AF11353" s="679"/>
    </row>
    <row r="11354" spans="32:32" x14ac:dyDescent="0.2">
      <c r="AF11354" s="679"/>
    </row>
    <row r="11355" spans="32:32" x14ac:dyDescent="0.2">
      <c r="AF11355" s="679"/>
    </row>
    <row r="11356" spans="32:32" x14ac:dyDescent="0.2">
      <c r="AF11356" s="679"/>
    </row>
    <row r="11357" spans="32:32" x14ac:dyDescent="0.2">
      <c r="AF11357" s="679"/>
    </row>
    <row r="11358" spans="32:32" x14ac:dyDescent="0.2">
      <c r="AF11358" s="679"/>
    </row>
    <row r="11359" spans="32:32" x14ac:dyDescent="0.2">
      <c r="AF11359" s="679"/>
    </row>
    <row r="11360" spans="32:32" x14ac:dyDescent="0.2">
      <c r="AF11360" s="679"/>
    </row>
    <row r="11361" spans="32:32" x14ac:dyDescent="0.2">
      <c r="AF11361" s="679"/>
    </row>
    <row r="11362" spans="32:32" x14ac:dyDescent="0.2">
      <c r="AF11362" s="679"/>
    </row>
    <row r="11363" spans="32:32" x14ac:dyDescent="0.2">
      <c r="AF11363" s="679"/>
    </row>
    <row r="11364" spans="32:32" x14ac:dyDescent="0.2">
      <c r="AF11364" s="679"/>
    </row>
    <row r="11365" spans="32:32" x14ac:dyDescent="0.2">
      <c r="AF11365" s="679"/>
    </row>
    <row r="11366" spans="32:32" x14ac:dyDescent="0.2">
      <c r="AF11366" s="679"/>
    </row>
    <row r="11367" spans="32:32" x14ac:dyDescent="0.2">
      <c r="AF11367" s="679"/>
    </row>
    <row r="11368" spans="32:32" x14ac:dyDescent="0.2">
      <c r="AF11368" s="679"/>
    </row>
    <row r="11369" spans="32:32" x14ac:dyDescent="0.2">
      <c r="AF11369" s="679"/>
    </row>
    <row r="11370" spans="32:32" x14ac:dyDescent="0.2">
      <c r="AF11370" s="679"/>
    </row>
    <row r="11371" spans="32:32" x14ac:dyDescent="0.2">
      <c r="AF11371" s="679"/>
    </row>
    <row r="11372" spans="32:32" x14ac:dyDescent="0.2">
      <c r="AF11372" s="679"/>
    </row>
    <row r="11373" spans="32:32" x14ac:dyDescent="0.2">
      <c r="AF11373" s="679"/>
    </row>
    <row r="11374" spans="32:32" x14ac:dyDescent="0.2">
      <c r="AF11374" s="679"/>
    </row>
    <row r="11375" spans="32:32" x14ac:dyDescent="0.2">
      <c r="AF11375" s="679"/>
    </row>
    <row r="11376" spans="32:32" x14ac:dyDescent="0.2">
      <c r="AF11376" s="679"/>
    </row>
    <row r="11377" spans="32:32" x14ac:dyDescent="0.2">
      <c r="AF11377" s="679"/>
    </row>
    <row r="11378" spans="32:32" x14ac:dyDescent="0.2">
      <c r="AF11378" s="679"/>
    </row>
    <row r="11379" spans="32:32" x14ac:dyDescent="0.2">
      <c r="AF11379" s="679"/>
    </row>
    <row r="11380" spans="32:32" x14ac:dyDescent="0.2">
      <c r="AF11380" s="679"/>
    </row>
    <row r="11381" spans="32:32" x14ac:dyDescent="0.2">
      <c r="AF11381" s="679"/>
    </row>
    <row r="11382" spans="32:32" x14ac:dyDescent="0.2">
      <c r="AF11382" s="679"/>
    </row>
    <row r="11383" spans="32:32" x14ac:dyDescent="0.2">
      <c r="AF11383" s="679"/>
    </row>
    <row r="11384" spans="32:32" x14ac:dyDescent="0.2">
      <c r="AF11384" s="679"/>
    </row>
    <row r="11385" spans="32:32" x14ac:dyDescent="0.2">
      <c r="AF11385" s="679"/>
    </row>
    <row r="11386" spans="32:32" x14ac:dyDescent="0.2">
      <c r="AF11386" s="679"/>
    </row>
    <row r="11387" spans="32:32" x14ac:dyDescent="0.2">
      <c r="AF11387" s="679"/>
    </row>
    <row r="11388" spans="32:32" x14ac:dyDescent="0.2">
      <c r="AF11388" s="679"/>
    </row>
    <row r="11389" spans="32:32" x14ac:dyDescent="0.2">
      <c r="AF11389" s="679"/>
    </row>
    <row r="11390" spans="32:32" x14ac:dyDescent="0.2">
      <c r="AF11390" s="679"/>
    </row>
    <row r="11391" spans="32:32" x14ac:dyDescent="0.2">
      <c r="AF11391" s="679"/>
    </row>
    <row r="11392" spans="32:32" x14ac:dyDescent="0.2">
      <c r="AF11392" s="679"/>
    </row>
    <row r="11393" spans="32:32" x14ac:dyDescent="0.2">
      <c r="AF11393" s="679"/>
    </row>
    <row r="11394" spans="32:32" x14ac:dyDescent="0.2">
      <c r="AF11394" s="679"/>
    </row>
    <row r="11395" spans="32:32" x14ac:dyDescent="0.2">
      <c r="AF11395" s="679"/>
    </row>
    <row r="11396" spans="32:32" x14ac:dyDescent="0.2">
      <c r="AF11396" s="679"/>
    </row>
    <row r="11397" spans="32:32" x14ac:dyDescent="0.2">
      <c r="AF11397" s="679"/>
    </row>
    <row r="11398" spans="32:32" x14ac:dyDescent="0.2">
      <c r="AF11398" s="679"/>
    </row>
    <row r="11399" spans="32:32" x14ac:dyDescent="0.2">
      <c r="AF11399" s="679"/>
    </row>
    <row r="11400" spans="32:32" x14ac:dyDescent="0.2">
      <c r="AF11400" s="679"/>
    </row>
    <row r="11401" spans="32:32" x14ac:dyDescent="0.2">
      <c r="AF11401" s="679"/>
    </row>
    <row r="11402" spans="32:32" x14ac:dyDescent="0.2">
      <c r="AF11402" s="679"/>
    </row>
    <row r="11403" spans="32:32" x14ac:dyDescent="0.2">
      <c r="AF11403" s="679"/>
    </row>
    <row r="11404" spans="32:32" x14ac:dyDescent="0.2">
      <c r="AF11404" s="679"/>
    </row>
    <row r="11405" spans="32:32" x14ac:dyDescent="0.2">
      <c r="AF11405" s="679"/>
    </row>
    <row r="11406" spans="32:32" x14ac:dyDescent="0.2">
      <c r="AF11406" s="679"/>
    </row>
    <row r="11407" spans="32:32" x14ac:dyDescent="0.2">
      <c r="AF11407" s="679"/>
    </row>
    <row r="11408" spans="32:32" x14ac:dyDescent="0.2">
      <c r="AF11408" s="679"/>
    </row>
    <row r="11409" spans="32:32" x14ac:dyDescent="0.2">
      <c r="AF11409" s="679"/>
    </row>
    <row r="11410" spans="32:32" x14ac:dyDescent="0.2">
      <c r="AF11410" s="679"/>
    </row>
    <row r="11411" spans="32:32" x14ac:dyDescent="0.2">
      <c r="AF11411" s="679"/>
    </row>
    <row r="11412" spans="32:32" x14ac:dyDescent="0.2">
      <c r="AF11412" s="679"/>
    </row>
    <row r="11413" spans="32:32" x14ac:dyDescent="0.2">
      <c r="AF11413" s="679"/>
    </row>
    <row r="11414" spans="32:32" x14ac:dyDescent="0.2">
      <c r="AF11414" s="679"/>
    </row>
    <row r="11415" spans="32:32" x14ac:dyDescent="0.2">
      <c r="AF11415" s="679"/>
    </row>
    <row r="11416" spans="32:32" x14ac:dyDescent="0.2">
      <c r="AF11416" s="679"/>
    </row>
    <row r="11417" spans="32:32" x14ac:dyDescent="0.2">
      <c r="AF11417" s="679"/>
    </row>
    <row r="11418" spans="32:32" x14ac:dyDescent="0.2">
      <c r="AF11418" s="679"/>
    </row>
    <row r="11419" spans="32:32" x14ac:dyDescent="0.2">
      <c r="AF11419" s="679"/>
    </row>
    <row r="11420" spans="32:32" x14ac:dyDescent="0.2">
      <c r="AF11420" s="679"/>
    </row>
    <row r="11421" spans="32:32" x14ac:dyDescent="0.2">
      <c r="AF11421" s="679"/>
    </row>
    <row r="11422" spans="32:32" x14ac:dyDescent="0.2">
      <c r="AF11422" s="679"/>
    </row>
    <row r="11423" spans="32:32" x14ac:dyDescent="0.2">
      <c r="AF11423" s="679"/>
    </row>
    <row r="11424" spans="32:32" x14ac:dyDescent="0.2">
      <c r="AF11424" s="679"/>
    </row>
    <row r="11425" spans="32:32" x14ac:dyDescent="0.2">
      <c r="AF11425" s="679"/>
    </row>
    <row r="11426" spans="32:32" x14ac:dyDescent="0.2">
      <c r="AF11426" s="679"/>
    </row>
    <row r="11427" spans="32:32" x14ac:dyDescent="0.2">
      <c r="AF11427" s="679"/>
    </row>
    <row r="11428" spans="32:32" x14ac:dyDescent="0.2">
      <c r="AF11428" s="679"/>
    </row>
    <row r="11429" spans="32:32" x14ac:dyDescent="0.2">
      <c r="AF11429" s="679"/>
    </row>
    <row r="11430" spans="32:32" x14ac:dyDescent="0.2">
      <c r="AF11430" s="679"/>
    </row>
    <row r="11431" spans="32:32" x14ac:dyDescent="0.2">
      <c r="AF11431" s="679"/>
    </row>
    <row r="11432" spans="32:32" x14ac:dyDescent="0.2">
      <c r="AF11432" s="679"/>
    </row>
    <row r="11433" spans="32:32" x14ac:dyDescent="0.2">
      <c r="AF11433" s="679"/>
    </row>
    <row r="11434" spans="32:32" x14ac:dyDescent="0.2">
      <c r="AF11434" s="679"/>
    </row>
    <row r="11435" spans="32:32" x14ac:dyDescent="0.2">
      <c r="AF11435" s="679"/>
    </row>
    <row r="11436" spans="32:32" x14ac:dyDescent="0.2">
      <c r="AF11436" s="679"/>
    </row>
    <row r="11437" spans="32:32" x14ac:dyDescent="0.2">
      <c r="AF11437" s="679"/>
    </row>
    <row r="11438" spans="32:32" x14ac:dyDescent="0.2">
      <c r="AF11438" s="679"/>
    </row>
    <row r="11439" spans="32:32" x14ac:dyDescent="0.2">
      <c r="AF11439" s="679"/>
    </row>
    <row r="11440" spans="32:32" x14ac:dyDescent="0.2">
      <c r="AF11440" s="679"/>
    </row>
    <row r="11441" spans="32:32" x14ac:dyDescent="0.2">
      <c r="AF11441" s="679"/>
    </row>
    <row r="11442" spans="32:32" x14ac:dyDescent="0.2">
      <c r="AF11442" s="679"/>
    </row>
    <row r="11443" spans="32:32" x14ac:dyDescent="0.2">
      <c r="AF11443" s="679"/>
    </row>
    <row r="11444" spans="32:32" x14ac:dyDescent="0.2">
      <c r="AF11444" s="679"/>
    </row>
    <row r="11445" spans="32:32" x14ac:dyDescent="0.2">
      <c r="AF11445" s="679"/>
    </row>
    <row r="11446" spans="32:32" x14ac:dyDescent="0.2">
      <c r="AF11446" s="679"/>
    </row>
    <row r="11447" spans="32:32" x14ac:dyDescent="0.2">
      <c r="AF11447" s="679"/>
    </row>
    <row r="11448" spans="32:32" x14ac:dyDescent="0.2">
      <c r="AF11448" s="679"/>
    </row>
    <row r="11449" spans="32:32" x14ac:dyDescent="0.2">
      <c r="AF11449" s="679"/>
    </row>
    <row r="11450" spans="32:32" x14ac:dyDescent="0.2">
      <c r="AF11450" s="679"/>
    </row>
    <row r="11451" spans="32:32" x14ac:dyDescent="0.2">
      <c r="AF11451" s="679"/>
    </row>
    <row r="11452" spans="32:32" x14ac:dyDescent="0.2">
      <c r="AF11452" s="679"/>
    </row>
    <row r="11453" spans="32:32" x14ac:dyDescent="0.2">
      <c r="AF11453" s="679"/>
    </row>
    <row r="11454" spans="32:32" x14ac:dyDescent="0.2">
      <c r="AF11454" s="679"/>
    </row>
    <row r="11455" spans="32:32" x14ac:dyDescent="0.2">
      <c r="AF11455" s="679"/>
    </row>
    <row r="11456" spans="32:32" x14ac:dyDescent="0.2">
      <c r="AF11456" s="679"/>
    </row>
    <row r="11457" spans="32:32" x14ac:dyDescent="0.2">
      <c r="AF11457" s="679"/>
    </row>
    <row r="11458" spans="32:32" x14ac:dyDescent="0.2">
      <c r="AF11458" s="679"/>
    </row>
    <row r="11459" spans="32:32" x14ac:dyDescent="0.2">
      <c r="AF11459" s="679"/>
    </row>
    <row r="11460" spans="32:32" x14ac:dyDescent="0.2">
      <c r="AF11460" s="679"/>
    </row>
    <row r="11461" spans="32:32" x14ac:dyDescent="0.2">
      <c r="AF11461" s="679"/>
    </row>
    <row r="11462" spans="32:32" x14ac:dyDescent="0.2">
      <c r="AF11462" s="679"/>
    </row>
    <row r="11463" spans="32:32" x14ac:dyDescent="0.2">
      <c r="AF11463" s="679"/>
    </row>
    <row r="11464" spans="32:32" x14ac:dyDescent="0.2">
      <c r="AF11464" s="679"/>
    </row>
    <row r="11465" spans="32:32" x14ac:dyDescent="0.2">
      <c r="AF11465" s="679"/>
    </row>
    <row r="11466" spans="32:32" x14ac:dyDescent="0.2">
      <c r="AF11466" s="679"/>
    </row>
    <row r="11467" spans="32:32" x14ac:dyDescent="0.2">
      <c r="AF11467" s="679"/>
    </row>
    <row r="11468" spans="32:32" x14ac:dyDescent="0.2">
      <c r="AF11468" s="679"/>
    </row>
    <row r="11469" spans="32:32" x14ac:dyDescent="0.2">
      <c r="AF11469" s="679"/>
    </row>
    <row r="11470" spans="32:32" x14ac:dyDescent="0.2">
      <c r="AF11470" s="679"/>
    </row>
    <row r="11471" spans="32:32" x14ac:dyDescent="0.2">
      <c r="AF11471" s="679"/>
    </row>
    <row r="11472" spans="32:32" x14ac:dyDescent="0.2">
      <c r="AF11472" s="679"/>
    </row>
    <row r="11473" spans="32:32" x14ac:dyDescent="0.2">
      <c r="AF11473" s="679"/>
    </row>
    <row r="11474" spans="32:32" x14ac:dyDescent="0.2">
      <c r="AF11474" s="679"/>
    </row>
    <row r="11475" spans="32:32" x14ac:dyDescent="0.2">
      <c r="AF11475" s="679"/>
    </row>
    <row r="11476" spans="32:32" x14ac:dyDescent="0.2">
      <c r="AF11476" s="679"/>
    </row>
    <row r="11477" spans="32:32" x14ac:dyDescent="0.2">
      <c r="AF11477" s="679"/>
    </row>
    <row r="11478" spans="32:32" x14ac:dyDescent="0.2">
      <c r="AF11478" s="679"/>
    </row>
    <row r="11479" spans="32:32" x14ac:dyDescent="0.2">
      <c r="AF11479" s="679"/>
    </row>
    <row r="11480" spans="32:32" x14ac:dyDescent="0.2">
      <c r="AF11480" s="679"/>
    </row>
    <row r="11481" spans="32:32" x14ac:dyDescent="0.2">
      <c r="AF11481" s="679"/>
    </row>
    <row r="11482" spans="32:32" x14ac:dyDescent="0.2">
      <c r="AF11482" s="679"/>
    </row>
    <row r="11483" spans="32:32" x14ac:dyDescent="0.2">
      <c r="AF11483" s="679"/>
    </row>
    <row r="11484" spans="32:32" x14ac:dyDescent="0.2">
      <c r="AF11484" s="679"/>
    </row>
    <row r="11485" spans="32:32" x14ac:dyDescent="0.2">
      <c r="AF11485" s="679"/>
    </row>
    <row r="11486" spans="32:32" x14ac:dyDescent="0.2">
      <c r="AF11486" s="679"/>
    </row>
    <row r="11487" spans="32:32" x14ac:dyDescent="0.2">
      <c r="AF11487" s="679"/>
    </row>
    <row r="11488" spans="32:32" x14ac:dyDescent="0.2">
      <c r="AF11488" s="679"/>
    </row>
    <row r="11489" spans="32:32" x14ac:dyDescent="0.2">
      <c r="AF11489" s="679"/>
    </row>
    <row r="11490" spans="32:32" x14ac:dyDescent="0.2">
      <c r="AF11490" s="679"/>
    </row>
    <row r="11491" spans="32:32" x14ac:dyDescent="0.2">
      <c r="AF11491" s="679"/>
    </row>
    <row r="11492" spans="32:32" x14ac:dyDescent="0.2">
      <c r="AF11492" s="679"/>
    </row>
    <row r="11493" spans="32:32" x14ac:dyDescent="0.2">
      <c r="AF11493" s="679"/>
    </row>
    <row r="11494" spans="32:32" x14ac:dyDescent="0.2">
      <c r="AF11494" s="679"/>
    </row>
    <row r="11495" spans="32:32" x14ac:dyDescent="0.2">
      <c r="AF11495" s="679"/>
    </row>
    <row r="11496" spans="32:32" x14ac:dyDescent="0.2">
      <c r="AF11496" s="679"/>
    </row>
    <row r="11497" spans="32:32" x14ac:dyDescent="0.2">
      <c r="AF11497" s="679"/>
    </row>
    <row r="11498" spans="32:32" x14ac:dyDescent="0.2">
      <c r="AF11498" s="679"/>
    </row>
    <row r="11499" spans="32:32" x14ac:dyDescent="0.2">
      <c r="AF11499" s="679"/>
    </row>
    <row r="11500" spans="32:32" x14ac:dyDescent="0.2">
      <c r="AF11500" s="679"/>
    </row>
    <row r="11501" spans="32:32" x14ac:dyDescent="0.2">
      <c r="AF11501" s="679"/>
    </row>
    <row r="11502" spans="32:32" x14ac:dyDescent="0.2">
      <c r="AF11502" s="679"/>
    </row>
    <row r="11503" spans="32:32" x14ac:dyDescent="0.2">
      <c r="AF11503" s="679"/>
    </row>
    <row r="11504" spans="32:32" x14ac:dyDescent="0.2">
      <c r="AF11504" s="679"/>
    </row>
    <row r="11505" spans="32:32" x14ac:dyDescent="0.2">
      <c r="AF11505" s="679"/>
    </row>
    <row r="11506" spans="32:32" x14ac:dyDescent="0.2">
      <c r="AF11506" s="679"/>
    </row>
    <row r="11507" spans="32:32" x14ac:dyDescent="0.2">
      <c r="AF11507" s="679"/>
    </row>
    <row r="11508" spans="32:32" x14ac:dyDescent="0.2">
      <c r="AF11508" s="679"/>
    </row>
    <row r="11509" spans="32:32" x14ac:dyDescent="0.2">
      <c r="AF11509" s="679"/>
    </row>
    <row r="11510" spans="32:32" x14ac:dyDescent="0.2">
      <c r="AF11510" s="679"/>
    </row>
    <row r="11511" spans="32:32" x14ac:dyDescent="0.2">
      <c r="AF11511" s="679"/>
    </row>
    <row r="11512" spans="32:32" x14ac:dyDescent="0.2">
      <c r="AF11512" s="679"/>
    </row>
    <row r="11513" spans="32:32" x14ac:dyDescent="0.2">
      <c r="AF11513" s="679"/>
    </row>
    <row r="11514" spans="32:32" x14ac:dyDescent="0.2">
      <c r="AF11514" s="679"/>
    </row>
    <row r="11515" spans="32:32" x14ac:dyDescent="0.2">
      <c r="AF11515" s="679"/>
    </row>
    <row r="11516" spans="32:32" x14ac:dyDescent="0.2">
      <c r="AF11516" s="679"/>
    </row>
    <row r="11517" spans="32:32" x14ac:dyDescent="0.2">
      <c r="AF11517" s="679"/>
    </row>
    <row r="11518" spans="32:32" x14ac:dyDescent="0.2">
      <c r="AF11518" s="679"/>
    </row>
    <row r="11519" spans="32:32" x14ac:dyDescent="0.2">
      <c r="AF11519" s="679"/>
    </row>
    <row r="11520" spans="32:32" x14ac:dyDescent="0.2">
      <c r="AF11520" s="679"/>
    </row>
    <row r="11521" spans="32:32" x14ac:dyDescent="0.2">
      <c r="AF11521" s="679"/>
    </row>
    <row r="11522" spans="32:32" x14ac:dyDescent="0.2">
      <c r="AF11522" s="679"/>
    </row>
    <row r="11523" spans="32:32" x14ac:dyDescent="0.2">
      <c r="AF11523" s="679"/>
    </row>
    <row r="11524" spans="32:32" x14ac:dyDescent="0.2">
      <c r="AF11524" s="679"/>
    </row>
    <row r="11525" spans="32:32" x14ac:dyDescent="0.2">
      <c r="AF11525" s="679"/>
    </row>
    <row r="11526" spans="32:32" x14ac:dyDescent="0.2">
      <c r="AF11526" s="679"/>
    </row>
    <row r="11527" spans="32:32" x14ac:dyDescent="0.2">
      <c r="AF11527" s="679"/>
    </row>
    <row r="11528" spans="32:32" x14ac:dyDescent="0.2">
      <c r="AF11528" s="679"/>
    </row>
    <row r="11529" spans="32:32" x14ac:dyDescent="0.2">
      <c r="AF11529" s="679"/>
    </row>
    <row r="11530" spans="32:32" x14ac:dyDescent="0.2">
      <c r="AF11530" s="679"/>
    </row>
    <row r="11531" spans="32:32" x14ac:dyDescent="0.2">
      <c r="AF11531" s="679"/>
    </row>
    <row r="11532" spans="32:32" x14ac:dyDescent="0.2">
      <c r="AF11532" s="679"/>
    </row>
    <row r="11533" spans="32:32" x14ac:dyDescent="0.2">
      <c r="AF11533" s="679"/>
    </row>
    <row r="11534" spans="32:32" x14ac:dyDescent="0.2">
      <c r="AF11534" s="679"/>
    </row>
    <row r="11535" spans="32:32" x14ac:dyDescent="0.2">
      <c r="AF11535" s="679"/>
    </row>
    <row r="11536" spans="32:32" x14ac:dyDescent="0.2">
      <c r="AF11536" s="679"/>
    </row>
    <row r="11537" spans="32:32" x14ac:dyDescent="0.2">
      <c r="AF11537" s="679"/>
    </row>
    <row r="11538" spans="32:32" x14ac:dyDescent="0.2">
      <c r="AF11538" s="679"/>
    </row>
    <row r="11539" spans="32:32" x14ac:dyDescent="0.2">
      <c r="AF11539" s="679"/>
    </row>
    <row r="11540" spans="32:32" x14ac:dyDescent="0.2">
      <c r="AF11540" s="679"/>
    </row>
    <row r="11541" spans="32:32" x14ac:dyDescent="0.2">
      <c r="AF11541" s="679"/>
    </row>
    <row r="11542" spans="32:32" x14ac:dyDescent="0.2">
      <c r="AF11542" s="679"/>
    </row>
    <row r="11543" spans="32:32" x14ac:dyDescent="0.2">
      <c r="AF11543" s="679"/>
    </row>
    <row r="11544" spans="32:32" x14ac:dyDescent="0.2">
      <c r="AF11544" s="679"/>
    </row>
    <row r="11545" spans="32:32" x14ac:dyDescent="0.2">
      <c r="AF11545" s="679"/>
    </row>
    <row r="11546" spans="32:32" x14ac:dyDescent="0.2">
      <c r="AF11546" s="679"/>
    </row>
    <row r="11547" spans="32:32" x14ac:dyDescent="0.2">
      <c r="AF11547" s="679"/>
    </row>
    <row r="11548" spans="32:32" x14ac:dyDescent="0.2">
      <c r="AF11548" s="679"/>
    </row>
    <row r="11549" spans="32:32" x14ac:dyDescent="0.2">
      <c r="AF11549" s="679"/>
    </row>
    <row r="11550" spans="32:32" x14ac:dyDescent="0.2">
      <c r="AF11550" s="679"/>
    </row>
    <row r="11551" spans="32:32" x14ac:dyDescent="0.2">
      <c r="AF11551" s="679"/>
    </row>
    <row r="11552" spans="32:32" x14ac:dyDescent="0.2">
      <c r="AF11552" s="679"/>
    </row>
    <row r="11553" spans="32:32" x14ac:dyDescent="0.2">
      <c r="AF11553" s="679"/>
    </row>
    <row r="11554" spans="32:32" x14ac:dyDescent="0.2">
      <c r="AF11554" s="679"/>
    </row>
    <row r="11555" spans="32:32" x14ac:dyDescent="0.2">
      <c r="AF11555" s="679"/>
    </row>
    <row r="11556" spans="32:32" x14ac:dyDescent="0.2">
      <c r="AF11556" s="679"/>
    </row>
    <row r="11557" spans="32:32" x14ac:dyDescent="0.2">
      <c r="AF11557" s="679"/>
    </row>
    <row r="11558" spans="32:32" x14ac:dyDescent="0.2">
      <c r="AF11558" s="679"/>
    </row>
    <row r="11559" spans="32:32" x14ac:dyDescent="0.2">
      <c r="AF11559" s="679"/>
    </row>
    <row r="11560" spans="32:32" x14ac:dyDescent="0.2">
      <c r="AF11560" s="679"/>
    </row>
    <row r="11561" spans="32:32" x14ac:dyDescent="0.2">
      <c r="AF11561" s="679"/>
    </row>
    <row r="11562" spans="32:32" x14ac:dyDescent="0.2">
      <c r="AF11562" s="679"/>
    </row>
    <row r="11563" spans="32:32" x14ac:dyDescent="0.2">
      <c r="AF11563" s="679"/>
    </row>
    <row r="11564" spans="32:32" x14ac:dyDescent="0.2">
      <c r="AF11564" s="679"/>
    </row>
    <row r="11565" spans="32:32" x14ac:dyDescent="0.2">
      <c r="AF11565" s="679"/>
    </row>
    <row r="11566" spans="32:32" x14ac:dyDescent="0.2">
      <c r="AF11566" s="679"/>
    </row>
    <row r="11567" spans="32:32" x14ac:dyDescent="0.2">
      <c r="AF11567" s="679"/>
    </row>
    <row r="11568" spans="32:32" x14ac:dyDescent="0.2">
      <c r="AF11568" s="679"/>
    </row>
    <row r="11569" spans="32:32" x14ac:dyDescent="0.2">
      <c r="AF11569" s="679"/>
    </row>
    <row r="11570" spans="32:32" x14ac:dyDescent="0.2">
      <c r="AF11570" s="679"/>
    </row>
    <row r="11571" spans="32:32" x14ac:dyDescent="0.2">
      <c r="AF11571" s="679"/>
    </row>
    <row r="11572" spans="32:32" x14ac:dyDescent="0.2">
      <c r="AF11572" s="679"/>
    </row>
    <row r="11573" spans="32:32" x14ac:dyDescent="0.2">
      <c r="AF11573" s="679"/>
    </row>
    <row r="11574" spans="32:32" x14ac:dyDescent="0.2">
      <c r="AF11574" s="679"/>
    </row>
    <row r="11575" spans="32:32" x14ac:dyDescent="0.2">
      <c r="AF11575" s="679"/>
    </row>
    <row r="11576" spans="32:32" x14ac:dyDescent="0.2">
      <c r="AF11576" s="679"/>
    </row>
    <row r="11577" spans="32:32" x14ac:dyDescent="0.2">
      <c r="AF11577" s="679"/>
    </row>
    <row r="11578" spans="32:32" x14ac:dyDescent="0.2">
      <c r="AF11578" s="679"/>
    </row>
    <row r="11579" spans="32:32" x14ac:dyDescent="0.2">
      <c r="AF11579" s="679"/>
    </row>
    <row r="11580" spans="32:32" x14ac:dyDescent="0.2">
      <c r="AF11580" s="679"/>
    </row>
    <row r="11581" spans="32:32" x14ac:dyDescent="0.2">
      <c r="AF11581" s="679"/>
    </row>
    <row r="11582" spans="32:32" x14ac:dyDescent="0.2">
      <c r="AF11582" s="679"/>
    </row>
    <row r="11583" spans="32:32" x14ac:dyDescent="0.2">
      <c r="AF11583" s="679"/>
    </row>
    <row r="11584" spans="32:32" x14ac:dyDescent="0.2">
      <c r="AF11584" s="679"/>
    </row>
    <row r="11585" spans="32:32" x14ac:dyDescent="0.2">
      <c r="AF11585" s="679"/>
    </row>
    <row r="11586" spans="32:32" x14ac:dyDescent="0.2">
      <c r="AF11586" s="679"/>
    </row>
    <row r="11587" spans="32:32" x14ac:dyDescent="0.2">
      <c r="AF11587" s="679"/>
    </row>
    <row r="11588" spans="32:32" x14ac:dyDescent="0.2">
      <c r="AF11588" s="679"/>
    </row>
    <row r="11589" spans="32:32" x14ac:dyDescent="0.2">
      <c r="AF11589" s="679"/>
    </row>
    <row r="11590" spans="32:32" x14ac:dyDescent="0.2">
      <c r="AF11590" s="679"/>
    </row>
    <row r="11591" spans="32:32" x14ac:dyDescent="0.2">
      <c r="AF11591" s="679"/>
    </row>
    <row r="11592" spans="32:32" x14ac:dyDescent="0.2">
      <c r="AF11592" s="679"/>
    </row>
    <row r="11593" spans="32:32" x14ac:dyDescent="0.2">
      <c r="AF11593" s="679"/>
    </row>
    <row r="11594" spans="32:32" x14ac:dyDescent="0.2">
      <c r="AF11594" s="679"/>
    </row>
    <row r="11595" spans="32:32" x14ac:dyDescent="0.2">
      <c r="AF11595" s="679"/>
    </row>
    <row r="11596" spans="32:32" x14ac:dyDescent="0.2">
      <c r="AF11596" s="679"/>
    </row>
    <row r="11597" spans="32:32" x14ac:dyDescent="0.2">
      <c r="AF11597" s="679"/>
    </row>
    <row r="11598" spans="32:32" x14ac:dyDescent="0.2">
      <c r="AF11598" s="679"/>
    </row>
    <row r="11599" spans="32:32" x14ac:dyDescent="0.2">
      <c r="AF11599" s="679"/>
    </row>
    <row r="11600" spans="32:32" x14ac:dyDescent="0.2">
      <c r="AF11600" s="679"/>
    </row>
    <row r="11601" spans="32:32" x14ac:dyDescent="0.2">
      <c r="AF11601" s="679"/>
    </row>
    <row r="11602" spans="32:32" x14ac:dyDescent="0.2">
      <c r="AF11602" s="679"/>
    </row>
    <row r="11603" spans="32:32" x14ac:dyDescent="0.2">
      <c r="AF11603" s="679"/>
    </row>
    <row r="11604" spans="32:32" x14ac:dyDescent="0.2">
      <c r="AF11604" s="679"/>
    </row>
    <row r="11605" spans="32:32" x14ac:dyDescent="0.2">
      <c r="AF11605" s="679"/>
    </row>
    <row r="11606" spans="32:32" x14ac:dyDescent="0.2">
      <c r="AF11606" s="679"/>
    </row>
    <row r="11607" spans="32:32" x14ac:dyDescent="0.2">
      <c r="AF11607" s="679"/>
    </row>
    <row r="11608" spans="32:32" x14ac:dyDescent="0.2">
      <c r="AF11608" s="679"/>
    </row>
    <row r="11609" spans="32:32" x14ac:dyDescent="0.2">
      <c r="AF11609" s="679"/>
    </row>
    <row r="11610" spans="32:32" x14ac:dyDescent="0.2">
      <c r="AF11610" s="679"/>
    </row>
    <row r="11611" spans="32:32" x14ac:dyDescent="0.2">
      <c r="AF11611" s="679"/>
    </row>
    <row r="11612" spans="32:32" x14ac:dyDescent="0.2">
      <c r="AF11612" s="679"/>
    </row>
    <row r="11613" spans="32:32" x14ac:dyDescent="0.2">
      <c r="AF11613" s="679"/>
    </row>
    <row r="11614" spans="32:32" x14ac:dyDescent="0.2">
      <c r="AF11614" s="679"/>
    </row>
    <row r="11615" spans="32:32" x14ac:dyDescent="0.2">
      <c r="AF11615" s="679"/>
    </row>
    <row r="11616" spans="32:32" x14ac:dyDescent="0.2">
      <c r="AF11616" s="679"/>
    </row>
    <row r="11617" spans="32:32" x14ac:dyDescent="0.2">
      <c r="AF11617" s="679"/>
    </row>
    <row r="11618" spans="32:32" x14ac:dyDescent="0.2">
      <c r="AF11618" s="679"/>
    </row>
    <row r="11619" spans="32:32" x14ac:dyDescent="0.2">
      <c r="AF11619" s="679"/>
    </row>
    <row r="11620" spans="32:32" x14ac:dyDescent="0.2">
      <c r="AF11620" s="679"/>
    </row>
    <row r="11621" spans="32:32" x14ac:dyDescent="0.2">
      <c r="AF11621" s="679"/>
    </row>
    <row r="11622" spans="32:32" x14ac:dyDescent="0.2">
      <c r="AF11622" s="679"/>
    </row>
    <row r="11623" spans="32:32" x14ac:dyDescent="0.2">
      <c r="AF11623" s="679"/>
    </row>
    <row r="11624" spans="32:32" x14ac:dyDescent="0.2">
      <c r="AF11624" s="679"/>
    </row>
    <row r="11625" spans="32:32" x14ac:dyDescent="0.2">
      <c r="AF11625" s="679"/>
    </row>
    <row r="11626" spans="32:32" x14ac:dyDescent="0.2">
      <c r="AF11626" s="679"/>
    </row>
    <row r="11627" spans="32:32" x14ac:dyDescent="0.2">
      <c r="AF11627" s="679"/>
    </row>
    <row r="11628" spans="32:32" x14ac:dyDescent="0.2">
      <c r="AF11628" s="679"/>
    </row>
    <row r="11629" spans="32:32" x14ac:dyDescent="0.2">
      <c r="AF11629" s="679"/>
    </row>
    <row r="11630" spans="32:32" x14ac:dyDescent="0.2">
      <c r="AF11630" s="679"/>
    </row>
    <row r="11631" spans="32:32" x14ac:dyDescent="0.2">
      <c r="AF11631" s="679"/>
    </row>
    <row r="11632" spans="32:32" x14ac:dyDescent="0.2">
      <c r="AF11632" s="679"/>
    </row>
    <row r="11633" spans="32:32" x14ac:dyDescent="0.2">
      <c r="AF11633" s="679"/>
    </row>
    <row r="11634" spans="32:32" x14ac:dyDescent="0.2">
      <c r="AF11634" s="679"/>
    </row>
    <row r="11635" spans="32:32" x14ac:dyDescent="0.2">
      <c r="AF11635" s="679"/>
    </row>
    <row r="11636" spans="32:32" x14ac:dyDescent="0.2">
      <c r="AF11636" s="679"/>
    </row>
    <row r="11637" spans="32:32" x14ac:dyDescent="0.2">
      <c r="AF11637" s="679"/>
    </row>
    <row r="11638" spans="32:32" x14ac:dyDescent="0.2">
      <c r="AF11638" s="679"/>
    </row>
    <row r="11639" spans="32:32" x14ac:dyDescent="0.2">
      <c r="AF11639" s="679"/>
    </row>
    <row r="11640" spans="32:32" x14ac:dyDescent="0.2">
      <c r="AF11640" s="679"/>
    </row>
    <row r="11641" spans="32:32" x14ac:dyDescent="0.2">
      <c r="AF11641" s="679"/>
    </row>
    <row r="11642" spans="32:32" x14ac:dyDescent="0.2">
      <c r="AF11642" s="679"/>
    </row>
    <row r="11643" spans="32:32" x14ac:dyDescent="0.2">
      <c r="AF11643" s="679"/>
    </row>
    <row r="11644" spans="32:32" x14ac:dyDescent="0.2">
      <c r="AF11644" s="679"/>
    </row>
    <row r="11645" spans="32:32" x14ac:dyDescent="0.2">
      <c r="AF11645" s="679"/>
    </row>
    <row r="11646" spans="32:32" x14ac:dyDescent="0.2">
      <c r="AF11646" s="679"/>
    </row>
    <row r="11647" spans="32:32" x14ac:dyDescent="0.2">
      <c r="AF11647" s="679"/>
    </row>
    <row r="11648" spans="32:32" x14ac:dyDescent="0.2">
      <c r="AF11648" s="679"/>
    </row>
    <row r="11649" spans="32:32" x14ac:dyDescent="0.2">
      <c r="AF11649" s="679"/>
    </row>
    <row r="11650" spans="32:32" x14ac:dyDescent="0.2">
      <c r="AF11650" s="679"/>
    </row>
    <row r="11651" spans="32:32" x14ac:dyDescent="0.2">
      <c r="AF11651" s="679"/>
    </row>
    <row r="11652" spans="32:32" x14ac:dyDescent="0.2">
      <c r="AF11652" s="679"/>
    </row>
    <row r="11653" spans="32:32" x14ac:dyDescent="0.2">
      <c r="AF11653" s="679"/>
    </row>
    <row r="11654" spans="32:32" x14ac:dyDescent="0.2">
      <c r="AF11654" s="679"/>
    </row>
    <row r="11655" spans="32:32" x14ac:dyDescent="0.2">
      <c r="AF11655" s="679"/>
    </row>
    <row r="11656" spans="32:32" x14ac:dyDescent="0.2">
      <c r="AF11656" s="679"/>
    </row>
    <row r="11657" spans="32:32" x14ac:dyDescent="0.2">
      <c r="AF11657" s="679"/>
    </row>
    <row r="11658" spans="32:32" x14ac:dyDescent="0.2">
      <c r="AF11658" s="679"/>
    </row>
    <row r="11659" spans="32:32" x14ac:dyDescent="0.2">
      <c r="AF11659" s="679"/>
    </row>
    <row r="11660" spans="32:32" x14ac:dyDescent="0.2">
      <c r="AF11660" s="679"/>
    </row>
    <row r="11661" spans="32:32" x14ac:dyDescent="0.2">
      <c r="AF11661" s="679"/>
    </row>
    <row r="11662" spans="32:32" x14ac:dyDescent="0.2">
      <c r="AF11662" s="679"/>
    </row>
    <row r="11663" spans="32:32" x14ac:dyDescent="0.2">
      <c r="AF11663" s="679"/>
    </row>
    <row r="11664" spans="32:32" x14ac:dyDescent="0.2">
      <c r="AF11664" s="679"/>
    </row>
    <row r="11665" spans="32:32" x14ac:dyDescent="0.2">
      <c r="AF11665" s="679"/>
    </row>
    <row r="11666" spans="32:32" x14ac:dyDescent="0.2">
      <c r="AF11666" s="679"/>
    </row>
    <row r="11667" spans="32:32" x14ac:dyDescent="0.2">
      <c r="AF11667" s="679"/>
    </row>
    <row r="11668" spans="32:32" x14ac:dyDescent="0.2">
      <c r="AF11668" s="679"/>
    </row>
    <row r="11669" spans="32:32" x14ac:dyDescent="0.2">
      <c r="AF11669" s="679"/>
    </row>
    <row r="11670" spans="32:32" x14ac:dyDescent="0.2">
      <c r="AF11670" s="679"/>
    </row>
    <row r="11671" spans="32:32" x14ac:dyDescent="0.2">
      <c r="AF11671" s="679"/>
    </row>
    <row r="11672" spans="32:32" x14ac:dyDescent="0.2">
      <c r="AF11672" s="679"/>
    </row>
    <row r="11673" spans="32:32" x14ac:dyDescent="0.2">
      <c r="AF11673" s="679"/>
    </row>
    <row r="11674" spans="32:32" x14ac:dyDescent="0.2">
      <c r="AF11674" s="679"/>
    </row>
    <row r="11675" spans="32:32" x14ac:dyDescent="0.2">
      <c r="AF11675" s="679"/>
    </row>
    <row r="11676" spans="32:32" x14ac:dyDescent="0.2">
      <c r="AF11676" s="679"/>
    </row>
    <row r="11677" spans="32:32" x14ac:dyDescent="0.2">
      <c r="AF11677" s="679"/>
    </row>
    <row r="11678" spans="32:32" x14ac:dyDescent="0.2">
      <c r="AF11678" s="679"/>
    </row>
    <row r="11679" spans="32:32" x14ac:dyDescent="0.2">
      <c r="AF11679" s="679"/>
    </row>
    <row r="11680" spans="32:32" x14ac:dyDescent="0.2">
      <c r="AF11680" s="679"/>
    </row>
    <row r="11681" spans="32:32" x14ac:dyDescent="0.2">
      <c r="AF11681" s="679"/>
    </row>
    <row r="11682" spans="32:32" x14ac:dyDescent="0.2">
      <c r="AF11682" s="679"/>
    </row>
    <row r="11683" spans="32:32" x14ac:dyDescent="0.2">
      <c r="AF11683" s="679"/>
    </row>
    <row r="11684" spans="32:32" x14ac:dyDescent="0.2">
      <c r="AF11684" s="679"/>
    </row>
    <row r="11685" spans="32:32" x14ac:dyDescent="0.2">
      <c r="AF11685" s="679"/>
    </row>
    <row r="11686" spans="32:32" x14ac:dyDescent="0.2">
      <c r="AF11686" s="679"/>
    </row>
    <row r="11687" spans="32:32" x14ac:dyDescent="0.2">
      <c r="AF11687" s="679"/>
    </row>
    <row r="11688" spans="32:32" x14ac:dyDescent="0.2">
      <c r="AF11688" s="679"/>
    </row>
    <row r="11689" spans="32:32" x14ac:dyDescent="0.2">
      <c r="AF11689" s="679"/>
    </row>
    <row r="11690" spans="32:32" x14ac:dyDescent="0.2">
      <c r="AF11690" s="679"/>
    </row>
    <row r="11691" spans="32:32" x14ac:dyDescent="0.2">
      <c r="AF11691" s="679"/>
    </row>
    <row r="11692" spans="32:32" x14ac:dyDescent="0.2">
      <c r="AF11692" s="679"/>
    </row>
    <row r="11693" spans="32:32" x14ac:dyDescent="0.2">
      <c r="AF11693" s="679"/>
    </row>
    <row r="11694" spans="32:32" x14ac:dyDescent="0.2">
      <c r="AF11694" s="679"/>
    </row>
    <row r="11695" spans="32:32" x14ac:dyDescent="0.2">
      <c r="AF11695" s="679"/>
    </row>
    <row r="11696" spans="32:32" x14ac:dyDescent="0.2">
      <c r="AF11696" s="679"/>
    </row>
    <row r="11697" spans="32:32" x14ac:dyDescent="0.2">
      <c r="AF11697" s="679"/>
    </row>
    <row r="11698" spans="32:32" x14ac:dyDescent="0.2">
      <c r="AF11698" s="679"/>
    </row>
    <row r="11699" spans="32:32" x14ac:dyDescent="0.2">
      <c r="AF11699" s="679"/>
    </row>
    <row r="11700" spans="32:32" x14ac:dyDescent="0.2">
      <c r="AF11700" s="679"/>
    </row>
    <row r="11701" spans="32:32" x14ac:dyDescent="0.2">
      <c r="AF11701" s="679"/>
    </row>
    <row r="11702" spans="32:32" x14ac:dyDescent="0.2">
      <c r="AF11702" s="679"/>
    </row>
    <row r="11703" spans="32:32" x14ac:dyDescent="0.2">
      <c r="AF11703" s="679"/>
    </row>
    <row r="11704" spans="32:32" x14ac:dyDescent="0.2">
      <c r="AF11704" s="679"/>
    </row>
    <row r="11705" spans="32:32" x14ac:dyDescent="0.2">
      <c r="AF11705" s="679"/>
    </row>
    <row r="11706" spans="32:32" x14ac:dyDescent="0.2">
      <c r="AF11706" s="679"/>
    </row>
    <row r="11707" spans="32:32" x14ac:dyDescent="0.2">
      <c r="AF11707" s="679"/>
    </row>
    <row r="11708" spans="32:32" x14ac:dyDescent="0.2">
      <c r="AF11708" s="679"/>
    </row>
    <row r="11709" spans="32:32" x14ac:dyDescent="0.2">
      <c r="AF11709" s="679"/>
    </row>
    <row r="11710" spans="32:32" x14ac:dyDescent="0.2">
      <c r="AF11710" s="679"/>
    </row>
    <row r="11711" spans="32:32" x14ac:dyDescent="0.2">
      <c r="AF11711" s="679"/>
    </row>
    <row r="11712" spans="32:32" x14ac:dyDescent="0.2">
      <c r="AF11712" s="679"/>
    </row>
    <row r="11713" spans="32:32" x14ac:dyDescent="0.2">
      <c r="AF11713" s="679"/>
    </row>
    <row r="11714" spans="32:32" x14ac:dyDescent="0.2">
      <c r="AF11714" s="679"/>
    </row>
    <row r="11715" spans="32:32" x14ac:dyDescent="0.2">
      <c r="AF11715" s="679"/>
    </row>
    <row r="11716" spans="32:32" x14ac:dyDescent="0.2">
      <c r="AF11716" s="679"/>
    </row>
    <row r="11717" spans="32:32" x14ac:dyDescent="0.2">
      <c r="AF11717" s="679"/>
    </row>
    <row r="11718" spans="32:32" x14ac:dyDescent="0.2">
      <c r="AF11718" s="679"/>
    </row>
    <row r="11719" spans="32:32" x14ac:dyDescent="0.2">
      <c r="AF11719" s="679"/>
    </row>
    <row r="11720" spans="32:32" x14ac:dyDescent="0.2">
      <c r="AF11720" s="679"/>
    </row>
    <row r="11721" spans="32:32" x14ac:dyDescent="0.2">
      <c r="AF11721" s="679"/>
    </row>
    <row r="11722" spans="32:32" x14ac:dyDescent="0.2">
      <c r="AF11722" s="679"/>
    </row>
    <row r="11723" spans="32:32" x14ac:dyDescent="0.2">
      <c r="AF11723" s="679"/>
    </row>
    <row r="11724" spans="32:32" x14ac:dyDescent="0.2">
      <c r="AF11724" s="679"/>
    </row>
    <row r="11725" spans="32:32" x14ac:dyDescent="0.2">
      <c r="AF11725" s="679"/>
    </row>
    <row r="11726" spans="32:32" x14ac:dyDescent="0.2">
      <c r="AF11726" s="679"/>
    </row>
    <row r="11727" spans="32:32" x14ac:dyDescent="0.2">
      <c r="AF11727" s="679"/>
    </row>
    <row r="11728" spans="32:32" x14ac:dyDescent="0.2">
      <c r="AF11728" s="679"/>
    </row>
    <row r="11729" spans="32:32" x14ac:dyDescent="0.2">
      <c r="AF11729" s="679"/>
    </row>
    <row r="11730" spans="32:32" x14ac:dyDescent="0.2">
      <c r="AF11730" s="679"/>
    </row>
    <row r="11731" spans="32:32" x14ac:dyDescent="0.2">
      <c r="AF11731" s="679"/>
    </row>
    <row r="11732" spans="32:32" x14ac:dyDescent="0.2">
      <c r="AF11732" s="679"/>
    </row>
    <row r="11733" spans="32:32" x14ac:dyDescent="0.2">
      <c r="AF11733" s="679"/>
    </row>
    <row r="11734" spans="32:32" x14ac:dyDescent="0.2">
      <c r="AF11734" s="679"/>
    </row>
    <row r="11735" spans="32:32" x14ac:dyDescent="0.2">
      <c r="AF11735" s="679"/>
    </row>
    <row r="11736" spans="32:32" x14ac:dyDescent="0.2">
      <c r="AF11736" s="679"/>
    </row>
    <row r="11737" spans="32:32" x14ac:dyDescent="0.2">
      <c r="AF11737" s="679"/>
    </row>
    <row r="11738" spans="32:32" x14ac:dyDescent="0.2">
      <c r="AF11738" s="679"/>
    </row>
    <row r="11739" spans="32:32" x14ac:dyDescent="0.2">
      <c r="AF11739" s="679"/>
    </row>
    <row r="11740" spans="32:32" x14ac:dyDescent="0.2">
      <c r="AF11740" s="679"/>
    </row>
    <row r="11741" spans="32:32" x14ac:dyDescent="0.2">
      <c r="AF11741" s="679"/>
    </row>
    <row r="11742" spans="32:32" x14ac:dyDescent="0.2">
      <c r="AF11742" s="679"/>
    </row>
    <row r="11743" spans="32:32" x14ac:dyDescent="0.2">
      <c r="AF11743" s="679"/>
    </row>
    <row r="11744" spans="32:32" x14ac:dyDescent="0.2">
      <c r="AF11744" s="679"/>
    </row>
    <row r="11745" spans="32:32" x14ac:dyDescent="0.2">
      <c r="AF11745" s="679"/>
    </row>
    <row r="11746" spans="32:32" x14ac:dyDescent="0.2">
      <c r="AF11746" s="679"/>
    </row>
    <row r="11747" spans="32:32" x14ac:dyDescent="0.2">
      <c r="AF11747" s="679"/>
    </row>
    <row r="11748" spans="32:32" x14ac:dyDescent="0.2">
      <c r="AF11748" s="679"/>
    </row>
    <row r="11749" spans="32:32" x14ac:dyDescent="0.2">
      <c r="AF11749" s="679"/>
    </row>
    <row r="11750" spans="32:32" x14ac:dyDescent="0.2">
      <c r="AF11750" s="679"/>
    </row>
    <row r="11751" spans="32:32" x14ac:dyDescent="0.2">
      <c r="AF11751" s="679"/>
    </row>
    <row r="11752" spans="32:32" x14ac:dyDescent="0.2">
      <c r="AF11752" s="679"/>
    </row>
    <row r="11753" spans="32:32" x14ac:dyDescent="0.2">
      <c r="AF11753" s="679"/>
    </row>
    <row r="11754" spans="32:32" x14ac:dyDescent="0.2">
      <c r="AF11754" s="679"/>
    </row>
    <row r="11755" spans="32:32" x14ac:dyDescent="0.2">
      <c r="AF11755" s="679"/>
    </row>
    <row r="11756" spans="32:32" x14ac:dyDescent="0.2">
      <c r="AF11756" s="679"/>
    </row>
    <row r="11757" spans="32:32" x14ac:dyDescent="0.2">
      <c r="AF11757" s="679"/>
    </row>
    <row r="11758" spans="32:32" x14ac:dyDescent="0.2">
      <c r="AF11758" s="679"/>
    </row>
    <row r="11759" spans="32:32" x14ac:dyDescent="0.2">
      <c r="AF11759" s="679"/>
    </row>
    <row r="11760" spans="32:32" x14ac:dyDescent="0.2">
      <c r="AF11760" s="679"/>
    </row>
    <row r="11761" spans="32:32" x14ac:dyDescent="0.2">
      <c r="AF11761" s="679"/>
    </row>
    <row r="11762" spans="32:32" x14ac:dyDescent="0.2">
      <c r="AF11762" s="679"/>
    </row>
    <row r="11763" spans="32:32" x14ac:dyDescent="0.2">
      <c r="AF11763" s="679"/>
    </row>
    <row r="11764" spans="32:32" x14ac:dyDescent="0.2">
      <c r="AF11764" s="679"/>
    </row>
    <row r="11765" spans="32:32" x14ac:dyDescent="0.2">
      <c r="AF11765" s="679"/>
    </row>
    <row r="11766" spans="32:32" x14ac:dyDescent="0.2">
      <c r="AF11766" s="679"/>
    </row>
    <row r="11767" spans="32:32" x14ac:dyDescent="0.2">
      <c r="AF11767" s="679"/>
    </row>
    <row r="11768" spans="32:32" x14ac:dyDescent="0.2">
      <c r="AF11768" s="679"/>
    </row>
    <row r="11769" spans="32:32" x14ac:dyDescent="0.2">
      <c r="AF11769" s="679"/>
    </row>
    <row r="11770" spans="32:32" x14ac:dyDescent="0.2">
      <c r="AF11770" s="679"/>
    </row>
    <row r="11771" spans="32:32" x14ac:dyDescent="0.2">
      <c r="AF11771" s="679"/>
    </row>
    <row r="11772" spans="32:32" x14ac:dyDescent="0.2">
      <c r="AF11772" s="679"/>
    </row>
    <row r="11773" spans="32:32" x14ac:dyDescent="0.2">
      <c r="AF11773" s="679"/>
    </row>
    <row r="11774" spans="32:32" x14ac:dyDescent="0.2">
      <c r="AF11774" s="679"/>
    </row>
    <row r="11775" spans="32:32" x14ac:dyDescent="0.2">
      <c r="AF11775" s="679"/>
    </row>
    <row r="11776" spans="32:32" x14ac:dyDescent="0.2">
      <c r="AF11776" s="679"/>
    </row>
    <row r="11777" spans="32:32" x14ac:dyDescent="0.2">
      <c r="AF11777" s="679"/>
    </row>
    <row r="11778" spans="32:32" x14ac:dyDescent="0.2">
      <c r="AF11778" s="679"/>
    </row>
    <row r="11779" spans="32:32" x14ac:dyDescent="0.2">
      <c r="AF11779" s="679"/>
    </row>
    <row r="11780" spans="32:32" x14ac:dyDescent="0.2">
      <c r="AF11780" s="679"/>
    </row>
    <row r="11781" spans="32:32" x14ac:dyDescent="0.2">
      <c r="AF11781" s="679"/>
    </row>
    <row r="11782" spans="32:32" x14ac:dyDescent="0.2">
      <c r="AF11782" s="679"/>
    </row>
    <row r="11783" spans="32:32" x14ac:dyDescent="0.2">
      <c r="AF11783" s="679"/>
    </row>
    <row r="11784" spans="32:32" x14ac:dyDescent="0.2">
      <c r="AF11784" s="679"/>
    </row>
    <row r="11785" spans="32:32" x14ac:dyDescent="0.2">
      <c r="AF11785" s="679"/>
    </row>
    <row r="11786" spans="32:32" x14ac:dyDescent="0.2">
      <c r="AF11786" s="679"/>
    </row>
    <row r="11787" spans="32:32" x14ac:dyDescent="0.2">
      <c r="AF11787" s="679"/>
    </row>
    <row r="11788" spans="32:32" x14ac:dyDescent="0.2">
      <c r="AF11788" s="679"/>
    </row>
    <row r="11789" spans="32:32" x14ac:dyDescent="0.2">
      <c r="AF11789" s="679"/>
    </row>
    <row r="11790" spans="32:32" x14ac:dyDescent="0.2">
      <c r="AF11790" s="679"/>
    </row>
    <row r="11791" spans="32:32" x14ac:dyDescent="0.2">
      <c r="AF11791" s="679"/>
    </row>
    <row r="11792" spans="32:32" x14ac:dyDescent="0.2">
      <c r="AF11792" s="679"/>
    </row>
    <row r="11793" spans="32:32" x14ac:dyDescent="0.2">
      <c r="AF11793" s="679"/>
    </row>
    <row r="11794" spans="32:32" x14ac:dyDescent="0.2">
      <c r="AF11794" s="679"/>
    </row>
    <row r="11795" spans="32:32" x14ac:dyDescent="0.2">
      <c r="AF11795" s="679"/>
    </row>
    <row r="11796" spans="32:32" x14ac:dyDescent="0.2">
      <c r="AF11796" s="679"/>
    </row>
    <row r="11797" spans="32:32" x14ac:dyDescent="0.2">
      <c r="AF11797" s="679"/>
    </row>
    <row r="11798" spans="32:32" x14ac:dyDescent="0.2">
      <c r="AF11798" s="679"/>
    </row>
    <row r="11799" spans="32:32" x14ac:dyDescent="0.2">
      <c r="AF11799" s="679"/>
    </row>
    <row r="11800" spans="32:32" x14ac:dyDescent="0.2">
      <c r="AF11800" s="679"/>
    </row>
    <row r="11801" spans="32:32" x14ac:dyDescent="0.2">
      <c r="AF11801" s="679"/>
    </row>
    <row r="11802" spans="32:32" x14ac:dyDescent="0.2">
      <c r="AF11802" s="679"/>
    </row>
    <row r="11803" spans="32:32" x14ac:dyDescent="0.2">
      <c r="AF11803" s="679"/>
    </row>
    <row r="11804" spans="32:32" x14ac:dyDescent="0.2">
      <c r="AF11804" s="679"/>
    </row>
    <row r="11805" spans="32:32" x14ac:dyDescent="0.2">
      <c r="AF11805" s="679"/>
    </row>
    <row r="11806" spans="32:32" x14ac:dyDescent="0.2">
      <c r="AF11806" s="679"/>
    </row>
    <row r="11807" spans="32:32" x14ac:dyDescent="0.2">
      <c r="AF11807" s="679"/>
    </row>
    <row r="11808" spans="32:32" x14ac:dyDescent="0.2">
      <c r="AF11808" s="679"/>
    </row>
    <row r="11809" spans="32:32" x14ac:dyDescent="0.2">
      <c r="AF11809" s="679"/>
    </row>
    <row r="11810" spans="32:32" x14ac:dyDescent="0.2">
      <c r="AF11810" s="679"/>
    </row>
    <row r="11811" spans="32:32" x14ac:dyDescent="0.2">
      <c r="AF11811" s="679"/>
    </row>
    <row r="11812" spans="32:32" x14ac:dyDescent="0.2">
      <c r="AF11812" s="679"/>
    </row>
    <row r="11813" spans="32:32" x14ac:dyDescent="0.2">
      <c r="AF11813" s="679"/>
    </row>
    <row r="11814" spans="32:32" x14ac:dyDescent="0.2">
      <c r="AF11814" s="679"/>
    </row>
    <row r="11815" spans="32:32" x14ac:dyDescent="0.2">
      <c r="AF11815" s="679"/>
    </row>
    <row r="11816" spans="32:32" x14ac:dyDescent="0.2">
      <c r="AF11816" s="679"/>
    </row>
    <row r="11817" spans="32:32" x14ac:dyDescent="0.2">
      <c r="AF11817" s="679"/>
    </row>
    <row r="11818" spans="32:32" x14ac:dyDescent="0.2">
      <c r="AF11818" s="679"/>
    </row>
    <row r="11819" spans="32:32" x14ac:dyDescent="0.2">
      <c r="AF11819" s="679"/>
    </row>
    <row r="11820" spans="32:32" x14ac:dyDescent="0.2">
      <c r="AF11820" s="679"/>
    </row>
    <row r="11821" spans="32:32" x14ac:dyDescent="0.2">
      <c r="AF11821" s="679"/>
    </row>
    <row r="11822" spans="32:32" x14ac:dyDescent="0.2">
      <c r="AF11822" s="679"/>
    </row>
    <row r="11823" spans="32:32" x14ac:dyDescent="0.2">
      <c r="AF11823" s="679"/>
    </row>
    <row r="11824" spans="32:32" x14ac:dyDescent="0.2">
      <c r="AF11824" s="679"/>
    </row>
    <row r="11825" spans="32:32" x14ac:dyDescent="0.2">
      <c r="AF11825" s="679"/>
    </row>
    <row r="11826" spans="32:32" x14ac:dyDescent="0.2">
      <c r="AF11826" s="679"/>
    </row>
    <row r="11827" spans="32:32" x14ac:dyDescent="0.2">
      <c r="AF11827" s="679"/>
    </row>
    <row r="11828" spans="32:32" x14ac:dyDescent="0.2">
      <c r="AF11828" s="679"/>
    </row>
    <row r="11829" spans="32:32" x14ac:dyDescent="0.2">
      <c r="AF11829" s="679"/>
    </row>
    <row r="11830" spans="32:32" x14ac:dyDescent="0.2">
      <c r="AF11830" s="679"/>
    </row>
    <row r="11831" spans="32:32" x14ac:dyDescent="0.2">
      <c r="AF11831" s="679"/>
    </row>
    <row r="11832" spans="32:32" x14ac:dyDescent="0.2">
      <c r="AF11832" s="679"/>
    </row>
    <row r="11833" spans="32:32" x14ac:dyDescent="0.2">
      <c r="AF11833" s="679"/>
    </row>
    <row r="11834" spans="32:32" x14ac:dyDescent="0.2">
      <c r="AF11834" s="679"/>
    </row>
    <row r="11835" spans="32:32" x14ac:dyDescent="0.2">
      <c r="AF11835" s="679"/>
    </row>
    <row r="11836" spans="32:32" x14ac:dyDescent="0.2">
      <c r="AF11836" s="679"/>
    </row>
    <row r="11837" spans="32:32" x14ac:dyDescent="0.2">
      <c r="AF11837" s="679"/>
    </row>
    <row r="11838" spans="32:32" x14ac:dyDescent="0.2">
      <c r="AF11838" s="679"/>
    </row>
    <row r="11839" spans="32:32" x14ac:dyDescent="0.2">
      <c r="AF11839" s="679"/>
    </row>
    <row r="11840" spans="32:32" x14ac:dyDescent="0.2">
      <c r="AF11840" s="679"/>
    </row>
    <row r="11841" spans="32:32" x14ac:dyDescent="0.2">
      <c r="AF11841" s="679"/>
    </row>
    <row r="11842" spans="32:32" x14ac:dyDescent="0.2">
      <c r="AF11842" s="679"/>
    </row>
    <row r="11843" spans="32:32" x14ac:dyDescent="0.2">
      <c r="AF11843" s="679"/>
    </row>
    <row r="11844" spans="32:32" x14ac:dyDescent="0.2">
      <c r="AF11844" s="679"/>
    </row>
    <row r="11845" spans="32:32" x14ac:dyDescent="0.2">
      <c r="AF11845" s="679"/>
    </row>
    <row r="11846" spans="32:32" x14ac:dyDescent="0.2">
      <c r="AF11846" s="679"/>
    </row>
    <row r="11847" spans="32:32" x14ac:dyDescent="0.2">
      <c r="AF11847" s="679"/>
    </row>
    <row r="11848" spans="32:32" x14ac:dyDescent="0.2">
      <c r="AF11848" s="679"/>
    </row>
    <row r="11849" spans="32:32" x14ac:dyDescent="0.2">
      <c r="AF11849" s="679"/>
    </row>
    <row r="11850" spans="32:32" x14ac:dyDescent="0.2">
      <c r="AF11850" s="679"/>
    </row>
    <row r="11851" spans="32:32" x14ac:dyDescent="0.2">
      <c r="AF11851" s="679"/>
    </row>
    <row r="11852" spans="32:32" x14ac:dyDescent="0.2">
      <c r="AF11852" s="679"/>
    </row>
    <row r="11853" spans="32:32" x14ac:dyDescent="0.2">
      <c r="AF11853" s="679"/>
    </row>
    <row r="11854" spans="32:32" x14ac:dyDescent="0.2">
      <c r="AF11854" s="679"/>
    </row>
    <row r="11855" spans="32:32" x14ac:dyDescent="0.2">
      <c r="AF11855" s="679"/>
    </row>
    <row r="11856" spans="32:32" x14ac:dyDescent="0.2">
      <c r="AF11856" s="679"/>
    </row>
    <row r="11857" spans="32:32" x14ac:dyDescent="0.2">
      <c r="AF11857" s="679"/>
    </row>
    <row r="11858" spans="32:32" x14ac:dyDescent="0.2">
      <c r="AF11858" s="679"/>
    </row>
    <row r="11859" spans="32:32" x14ac:dyDescent="0.2">
      <c r="AF11859" s="679"/>
    </row>
    <row r="11860" spans="32:32" x14ac:dyDescent="0.2">
      <c r="AF11860" s="679"/>
    </row>
    <row r="11861" spans="32:32" x14ac:dyDescent="0.2">
      <c r="AF11861" s="679"/>
    </row>
    <row r="11862" spans="32:32" x14ac:dyDescent="0.2">
      <c r="AF11862" s="679"/>
    </row>
    <row r="11863" spans="32:32" x14ac:dyDescent="0.2">
      <c r="AF11863" s="679"/>
    </row>
    <row r="11864" spans="32:32" x14ac:dyDescent="0.2">
      <c r="AF11864" s="679"/>
    </row>
    <row r="11865" spans="32:32" x14ac:dyDescent="0.2">
      <c r="AF11865" s="679"/>
    </row>
    <row r="11866" spans="32:32" x14ac:dyDescent="0.2">
      <c r="AF11866" s="679"/>
    </row>
    <row r="11867" spans="32:32" x14ac:dyDescent="0.2">
      <c r="AF11867" s="679"/>
    </row>
    <row r="11868" spans="32:32" x14ac:dyDescent="0.2">
      <c r="AF11868" s="679"/>
    </row>
    <row r="11869" spans="32:32" x14ac:dyDescent="0.2">
      <c r="AF11869" s="679"/>
    </row>
    <row r="11870" spans="32:32" x14ac:dyDescent="0.2">
      <c r="AF11870" s="679"/>
    </row>
    <row r="11871" spans="32:32" x14ac:dyDescent="0.2">
      <c r="AF11871" s="679"/>
    </row>
    <row r="11872" spans="32:32" x14ac:dyDescent="0.2">
      <c r="AF11872" s="679"/>
    </row>
    <row r="11873" spans="32:32" x14ac:dyDescent="0.2">
      <c r="AF11873" s="679"/>
    </row>
    <row r="11874" spans="32:32" x14ac:dyDescent="0.2">
      <c r="AF11874" s="679"/>
    </row>
    <row r="11875" spans="32:32" x14ac:dyDescent="0.2">
      <c r="AF11875" s="679"/>
    </row>
    <row r="11876" spans="32:32" x14ac:dyDescent="0.2">
      <c r="AF11876" s="679"/>
    </row>
    <row r="11877" spans="32:32" x14ac:dyDescent="0.2">
      <c r="AF11877" s="679"/>
    </row>
    <row r="11878" spans="32:32" x14ac:dyDescent="0.2">
      <c r="AF11878" s="679"/>
    </row>
    <row r="11879" spans="32:32" x14ac:dyDescent="0.2">
      <c r="AF11879" s="679"/>
    </row>
    <row r="11880" spans="32:32" x14ac:dyDescent="0.2">
      <c r="AF11880" s="679"/>
    </row>
    <row r="11881" spans="32:32" x14ac:dyDescent="0.2">
      <c r="AF11881" s="679"/>
    </row>
    <row r="11882" spans="32:32" x14ac:dyDescent="0.2">
      <c r="AF11882" s="679"/>
    </row>
    <row r="11883" spans="32:32" x14ac:dyDescent="0.2">
      <c r="AF11883" s="679"/>
    </row>
    <row r="11884" spans="32:32" x14ac:dyDescent="0.2">
      <c r="AF11884" s="679"/>
    </row>
    <row r="11885" spans="32:32" x14ac:dyDescent="0.2">
      <c r="AF11885" s="679"/>
    </row>
    <row r="11886" spans="32:32" x14ac:dyDescent="0.2">
      <c r="AF11886" s="679"/>
    </row>
    <row r="11887" spans="32:32" x14ac:dyDescent="0.2">
      <c r="AF11887" s="679"/>
    </row>
    <row r="11888" spans="32:32" x14ac:dyDescent="0.2">
      <c r="AF11888" s="679"/>
    </row>
    <row r="11889" spans="32:32" x14ac:dyDescent="0.2">
      <c r="AF11889" s="679"/>
    </row>
    <row r="11890" spans="32:32" x14ac:dyDescent="0.2">
      <c r="AF11890" s="679"/>
    </row>
    <row r="11891" spans="32:32" x14ac:dyDescent="0.2">
      <c r="AF11891" s="679"/>
    </row>
    <row r="11892" spans="32:32" x14ac:dyDescent="0.2">
      <c r="AF11892" s="679"/>
    </row>
    <row r="11893" spans="32:32" x14ac:dyDescent="0.2">
      <c r="AF11893" s="679"/>
    </row>
    <row r="11894" spans="32:32" x14ac:dyDescent="0.2">
      <c r="AF11894" s="679"/>
    </row>
    <row r="11895" spans="32:32" x14ac:dyDescent="0.2">
      <c r="AF11895" s="679"/>
    </row>
    <row r="11896" spans="32:32" x14ac:dyDescent="0.2">
      <c r="AF11896" s="679"/>
    </row>
    <row r="11897" spans="32:32" x14ac:dyDescent="0.2">
      <c r="AF11897" s="679"/>
    </row>
    <row r="11898" spans="32:32" x14ac:dyDescent="0.2">
      <c r="AF11898" s="679"/>
    </row>
    <row r="11899" spans="32:32" x14ac:dyDescent="0.2">
      <c r="AF11899" s="679"/>
    </row>
    <row r="11900" spans="32:32" x14ac:dyDescent="0.2">
      <c r="AF11900" s="679"/>
    </row>
    <row r="11901" spans="32:32" x14ac:dyDescent="0.2">
      <c r="AF11901" s="679"/>
    </row>
    <row r="11902" spans="32:32" x14ac:dyDescent="0.2">
      <c r="AF11902" s="679"/>
    </row>
    <row r="11903" spans="32:32" x14ac:dyDescent="0.2">
      <c r="AF11903" s="679"/>
    </row>
    <row r="11904" spans="32:32" x14ac:dyDescent="0.2">
      <c r="AF11904" s="679"/>
    </row>
    <row r="11905" spans="32:32" x14ac:dyDescent="0.2">
      <c r="AF11905" s="679"/>
    </row>
    <row r="11906" spans="32:32" x14ac:dyDescent="0.2">
      <c r="AF11906" s="679"/>
    </row>
    <row r="11907" spans="32:32" x14ac:dyDescent="0.2">
      <c r="AF11907" s="679"/>
    </row>
    <row r="11908" spans="32:32" x14ac:dyDescent="0.2">
      <c r="AF11908" s="679"/>
    </row>
    <row r="11909" spans="32:32" x14ac:dyDescent="0.2">
      <c r="AF11909" s="679"/>
    </row>
    <row r="11910" spans="32:32" x14ac:dyDescent="0.2">
      <c r="AF11910" s="679"/>
    </row>
    <row r="11911" spans="32:32" x14ac:dyDescent="0.2">
      <c r="AF11911" s="679"/>
    </row>
    <row r="11912" spans="32:32" x14ac:dyDescent="0.2">
      <c r="AF11912" s="679"/>
    </row>
    <row r="11913" spans="32:32" x14ac:dyDescent="0.2">
      <c r="AF11913" s="679"/>
    </row>
    <row r="11914" spans="32:32" x14ac:dyDescent="0.2">
      <c r="AF11914" s="679"/>
    </row>
    <row r="11915" spans="32:32" x14ac:dyDescent="0.2">
      <c r="AF11915" s="679"/>
    </row>
    <row r="11916" spans="32:32" x14ac:dyDescent="0.2">
      <c r="AF11916" s="679"/>
    </row>
    <row r="11917" spans="32:32" x14ac:dyDescent="0.2">
      <c r="AF11917" s="679"/>
    </row>
    <row r="11918" spans="32:32" x14ac:dyDescent="0.2">
      <c r="AF11918" s="679"/>
    </row>
    <row r="11919" spans="32:32" x14ac:dyDescent="0.2">
      <c r="AF11919" s="679"/>
    </row>
    <row r="11920" spans="32:32" x14ac:dyDescent="0.2">
      <c r="AF11920" s="679"/>
    </row>
    <row r="11921" spans="32:32" x14ac:dyDescent="0.2">
      <c r="AF11921" s="679"/>
    </row>
    <row r="11922" spans="32:32" x14ac:dyDescent="0.2">
      <c r="AF11922" s="679"/>
    </row>
    <row r="11923" spans="32:32" x14ac:dyDescent="0.2">
      <c r="AF11923" s="679"/>
    </row>
    <row r="11924" spans="32:32" x14ac:dyDescent="0.2">
      <c r="AF11924" s="679"/>
    </row>
    <row r="11925" spans="32:32" x14ac:dyDescent="0.2">
      <c r="AF11925" s="679"/>
    </row>
    <row r="11926" spans="32:32" x14ac:dyDescent="0.2">
      <c r="AF11926" s="679"/>
    </row>
    <row r="11927" spans="32:32" x14ac:dyDescent="0.2">
      <c r="AF11927" s="679"/>
    </row>
    <row r="11928" spans="32:32" x14ac:dyDescent="0.2">
      <c r="AF11928" s="679"/>
    </row>
    <row r="11929" spans="32:32" x14ac:dyDescent="0.2">
      <c r="AF11929" s="679"/>
    </row>
    <row r="11930" spans="32:32" x14ac:dyDescent="0.2">
      <c r="AF11930" s="679"/>
    </row>
    <row r="11931" spans="32:32" x14ac:dyDescent="0.2">
      <c r="AF11931" s="679"/>
    </row>
    <row r="11932" spans="32:32" x14ac:dyDescent="0.2">
      <c r="AF11932" s="679"/>
    </row>
    <row r="11933" spans="32:32" x14ac:dyDescent="0.2">
      <c r="AF11933" s="679"/>
    </row>
    <row r="11934" spans="32:32" x14ac:dyDescent="0.2">
      <c r="AF11934" s="679"/>
    </row>
    <row r="11935" spans="32:32" x14ac:dyDescent="0.2">
      <c r="AF11935" s="679"/>
    </row>
    <row r="11936" spans="32:32" x14ac:dyDescent="0.2">
      <c r="AF11936" s="679"/>
    </row>
    <row r="11937" spans="32:32" x14ac:dyDescent="0.2">
      <c r="AF11937" s="679"/>
    </row>
    <row r="11938" spans="32:32" x14ac:dyDescent="0.2">
      <c r="AF11938" s="679"/>
    </row>
    <row r="11939" spans="32:32" x14ac:dyDescent="0.2">
      <c r="AF11939" s="679"/>
    </row>
    <row r="11940" spans="32:32" x14ac:dyDescent="0.2">
      <c r="AF11940" s="679"/>
    </row>
    <row r="11941" spans="32:32" x14ac:dyDescent="0.2">
      <c r="AF11941" s="679"/>
    </row>
    <row r="11942" spans="32:32" x14ac:dyDescent="0.2">
      <c r="AF11942" s="679"/>
    </row>
    <row r="11943" spans="32:32" x14ac:dyDescent="0.2">
      <c r="AF11943" s="679"/>
    </row>
    <row r="11944" spans="32:32" x14ac:dyDescent="0.2">
      <c r="AF11944" s="679"/>
    </row>
    <row r="11945" spans="32:32" x14ac:dyDescent="0.2">
      <c r="AF11945" s="679"/>
    </row>
    <row r="11946" spans="32:32" x14ac:dyDescent="0.2">
      <c r="AF11946" s="679"/>
    </row>
    <row r="11947" spans="32:32" x14ac:dyDescent="0.2">
      <c r="AF11947" s="679"/>
    </row>
    <row r="11948" spans="32:32" x14ac:dyDescent="0.2">
      <c r="AF11948" s="679"/>
    </row>
    <row r="11949" spans="32:32" x14ac:dyDescent="0.2">
      <c r="AF11949" s="679"/>
    </row>
    <row r="11950" spans="32:32" x14ac:dyDescent="0.2">
      <c r="AF11950" s="679"/>
    </row>
    <row r="11951" spans="32:32" x14ac:dyDescent="0.2">
      <c r="AF11951" s="679"/>
    </row>
    <row r="11952" spans="32:32" x14ac:dyDescent="0.2">
      <c r="AF11952" s="679"/>
    </row>
    <row r="11953" spans="32:32" x14ac:dyDescent="0.2">
      <c r="AF11953" s="679"/>
    </row>
    <row r="11954" spans="32:32" x14ac:dyDescent="0.2">
      <c r="AF11954" s="679"/>
    </row>
    <row r="11955" spans="32:32" x14ac:dyDescent="0.2">
      <c r="AF11955" s="679"/>
    </row>
    <row r="11956" spans="32:32" x14ac:dyDescent="0.2">
      <c r="AF11956" s="679"/>
    </row>
    <row r="11957" spans="32:32" x14ac:dyDescent="0.2">
      <c r="AF11957" s="679"/>
    </row>
    <row r="11958" spans="32:32" x14ac:dyDescent="0.2">
      <c r="AF11958" s="679"/>
    </row>
    <row r="11959" spans="32:32" x14ac:dyDescent="0.2">
      <c r="AF11959" s="679"/>
    </row>
    <row r="11960" spans="32:32" x14ac:dyDescent="0.2">
      <c r="AF11960" s="679"/>
    </row>
    <row r="11961" spans="32:32" x14ac:dyDescent="0.2">
      <c r="AF11961" s="679"/>
    </row>
    <row r="11962" spans="32:32" x14ac:dyDescent="0.2">
      <c r="AF11962" s="679"/>
    </row>
    <row r="11963" spans="32:32" x14ac:dyDescent="0.2">
      <c r="AF11963" s="679"/>
    </row>
    <row r="11964" spans="32:32" x14ac:dyDescent="0.2">
      <c r="AF11964" s="679"/>
    </row>
    <row r="11965" spans="32:32" x14ac:dyDescent="0.2">
      <c r="AF11965" s="679"/>
    </row>
    <row r="11966" spans="32:32" x14ac:dyDescent="0.2">
      <c r="AF11966" s="679"/>
    </row>
    <row r="11967" spans="32:32" x14ac:dyDescent="0.2">
      <c r="AF11967" s="679"/>
    </row>
    <row r="11968" spans="32:32" x14ac:dyDescent="0.2">
      <c r="AF11968" s="679"/>
    </row>
    <row r="11969" spans="32:32" x14ac:dyDescent="0.2">
      <c r="AF11969" s="679"/>
    </row>
    <row r="11970" spans="32:32" x14ac:dyDescent="0.2">
      <c r="AF11970" s="679"/>
    </row>
    <row r="11971" spans="32:32" x14ac:dyDescent="0.2">
      <c r="AF11971" s="679"/>
    </row>
    <row r="11972" spans="32:32" x14ac:dyDescent="0.2">
      <c r="AF11972" s="679"/>
    </row>
    <row r="11973" spans="32:32" x14ac:dyDescent="0.2">
      <c r="AF11973" s="679"/>
    </row>
    <row r="11974" spans="32:32" x14ac:dyDescent="0.2">
      <c r="AF11974" s="679"/>
    </row>
    <row r="11975" spans="32:32" x14ac:dyDescent="0.2">
      <c r="AF11975" s="679"/>
    </row>
    <row r="11976" spans="32:32" x14ac:dyDescent="0.2">
      <c r="AF11976" s="679"/>
    </row>
    <row r="11977" spans="32:32" x14ac:dyDescent="0.2">
      <c r="AF11977" s="679"/>
    </row>
    <row r="11978" spans="32:32" x14ac:dyDescent="0.2">
      <c r="AF11978" s="679"/>
    </row>
    <row r="11979" spans="32:32" x14ac:dyDescent="0.2">
      <c r="AF11979" s="679"/>
    </row>
    <row r="11980" spans="32:32" x14ac:dyDescent="0.2">
      <c r="AF11980" s="679"/>
    </row>
    <row r="11981" spans="32:32" x14ac:dyDescent="0.2">
      <c r="AF11981" s="679"/>
    </row>
    <row r="11982" spans="32:32" x14ac:dyDescent="0.2">
      <c r="AF11982" s="679"/>
    </row>
    <row r="11983" spans="32:32" x14ac:dyDescent="0.2">
      <c r="AF11983" s="679"/>
    </row>
    <row r="11984" spans="32:32" x14ac:dyDescent="0.2">
      <c r="AF11984" s="679"/>
    </row>
    <row r="11985" spans="32:32" x14ac:dyDescent="0.2">
      <c r="AF11985" s="679"/>
    </row>
    <row r="11986" spans="32:32" x14ac:dyDescent="0.2">
      <c r="AF11986" s="679"/>
    </row>
    <row r="11987" spans="32:32" x14ac:dyDescent="0.2">
      <c r="AF11987" s="679"/>
    </row>
    <row r="11988" spans="32:32" x14ac:dyDescent="0.2">
      <c r="AF11988" s="679"/>
    </row>
    <row r="11989" spans="32:32" x14ac:dyDescent="0.2">
      <c r="AF11989" s="679"/>
    </row>
    <row r="11990" spans="32:32" x14ac:dyDescent="0.2">
      <c r="AF11990" s="679"/>
    </row>
    <row r="11991" spans="32:32" x14ac:dyDescent="0.2">
      <c r="AF11991" s="679"/>
    </row>
    <row r="11992" spans="32:32" x14ac:dyDescent="0.2">
      <c r="AF11992" s="679"/>
    </row>
    <row r="11993" spans="32:32" x14ac:dyDescent="0.2">
      <c r="AF11993" s="679"/>
    </row>
    <row r="11994" spans="32:32" x14ac:dyDescent="0.2">
      <c r="AF11994" s="679"/>
    </row>
    <row r="11995" spans="32:32" x14ac:dyDescent="0.2">
      <c r="AF11995" s="679"/>
    </row>
    <row r="11996" spans="32:32" x14ac:dyDescent="0.2">
      <c r="AF11996" s="679"/>
    </row>
    <row r="11997" spans="32:32" x14ac:dyDescent="0.2">
      <c r="AF11997" s="679"/>
    </row>
    <row r="11998" spans="32:32" x14ac:dyDescent="0.2">
      <c r="AF11998" s="679"/>
    </row>
    <row r="11999" spans="32:32" x14ac:dyDescent="0.2">
      <c r="AF11999" s="679"/>
    </row>
    <row r="12000" spans="32:32" x14ac:dyDescent="0.2">
      <c r="AF12000" s="679"/>
    </row>
    <row r="12001" spans="32:32" x14ac:dyDescent="0.2">
      <c r="AF12001" s="679"/>
    </row>
    <row r="12002" spans="32:32" x14ac:dyDescent="0.2">
      <c r="AF12002" s="679"/>
    </row>
    <row r="12003" spans="32:32" x14ac:dyDescent="0.2">
      <c r="AF12003" s="679"/>
    </row>
    <row r="12004" spans="32:32" x14ac:dyDescent="0.2">
      <c r="AF12004" s="679"/>
    </row>
    <row r="12005" spans="32:32" x14ac:dyDescent="0.2">
      <c r="AF12005" s="679"/>
    </row>
    <row r="12006" spans="32:32" x14ac:dyDescent="0.2">
      <c r="AF12006" s="679"/>
    </row>
    <row r="12007" spans="32:32" x14ac:dyDescent="0.2">
      <c r="AF12007" s="679"/>
    </row>
    <row r="12008" spans="32:32" x14ac:dyDescent="0.2">
      <c r="AF12008" s="679"/>
    </row>
    <row r="12009" spans="32:32" x14ac:dyDescent="0.2">
      <c r="AF12009" s="679"/>
    </row>
    <row r="12010" spans="32:32" x14ac:dyDescent="0.2">
      <c r="AF12010" s="679"/>
    </row>
    <row r="12011" spans="32:32" x14ac:dyDescent="0.2">
      <c r="AF12011" s="679"/>
    </row>
    <row r="12012" spans="32:32" x14ac:dyDescent="0.2">
      <c r="AF12012" s="679"/>
    </row>
    <row r="12013" spans="32:32" x14ac:dyDescent="0.2">
      <c r="AF12013" s="679"/>
    </row>
    <row r="12014" spans="32:32" x14ac:dyDescent="0.2">
      <c r="AF12014" s="679"/>
    </row>
    <row r="12015" spans="32:32" x14ac:dyDescent="0.2">
      <c r="AF12015" s="679"/>
    </row>
    <row r="12016" spans="32:32" x14ac:dyDescent="0.2">
      <c r="AF12016" s="679"/>
    </row>
    <row r="12017" spans="32:32" x14ac:dyDescent="0.2">
      <c r="AF12017" s="679"/>
    </row>
    <row r="12018" spans="32:32" x14ac:dyDescent="0.2">
      <c r="AF12018" s="679"/>
    </row>
    <row r="12019" spans="32:32" x14ac:dyDescent="0.2">
      <c r="AF12019" s="679"/>
    </row>
    <row r="12020" spans="32:32" x14ac:dyDescent="0.2">
      <c r="AF12020" s="679"/>
    </row>
    <row r="12021" spans="32:32" x14ac:dyDescent="0.2">
      <c r="AF12021" s="679"/>
    </row>
    <row r="12022" spans="32:32" x14ac:dyDescent="0.2">
      <c r="AF12022" s="679"/>
    </row>
    <row r="12023" spans="32:32" x14ac:dyDescent="0.2">
      <c r="AF12023" s="679"/>
    </row>
    <row r="12024" spans="32:32" x14ac:dyDescent="0.2">
      <c r="AF12024" s="679"/>
    </row>
    <row r="12025" spans="32:32" x14ac:dyDescent="0.2">
      <c r="AF12025" s="679"/>
    </row>
    <row r="12026" spans="32:32" x14ac:dyDescent="0.2">
      <c r="AF12026" s="679"/>
    </row>
    <row r="12027" spans="32:32" x14ac:dyDescent="0.2">
      <c r="AF12027" s="679"/>
    </row>
    <row r="12028" spans="32:32" x14ac:dyDescent="0.2">
      <c r="AF12028" s="679"/>
    </row>
    <row r="12029" spans="32:32" x14ac:dyDescent="0.2">
      <c r="AF12029" s="679"/>
    </row>
    <row r="12030" spans="32:32" x14ac:dyDescent="0.2">
      <c r="AF12030" s="679"/>
    </row>
    <row r="12031" spans="32:32" x14ac:dyDescent="0.2">
      <c r="AF12031" s="679"/>
    </row>
    <row r="12032" spans="32:32" x14ac:dyDescent="0.2">
      <c r="AF12032" s="679"/>
    </row>
    <row r="12033" spans="32:32" x14ac:dyDescent="0.2">
      <c r="AF12033" s="679"/>
    </row>
    <row r="12034" spans="32:32" x14ac:dyDescent="0.2">
      <c r="AF12034" s="679"/>
    </row>
    <row r="12035" spans="32:32" x14ac:dyDescent="0.2">
      <c r="AF12035" s="679"/>
    </row>
    <row r="12036" spans="32:32" x14ac:dyDescent="0.2">
      <c r="AF12036" s="679"/>
    </row>
    <row r="12037" spans="32:32" x14ac:dyDescent="0.2">
      <c r="AF12037" s="679"/>
    </row>
    <row r="12038" spans="32:32" x14ac:dyDescent="0.2">
      <c r="AF12038" s="679"/>
    </row>
    <row r="12039" spans="32:32" x14ac:dyDescent="0.2">
      <c r="AF12039" s="679"/>
    </row>
    <row r="12040" spans="32:32" x14ac:dyDescent="0.2">
      <c r="AF12040" s="679"/>
    </row>
    <row r="12041" spans="32:32" x14ac:dyDescent="0.2">
      <c r="AF12041" s="679"/>
    </row>
    <row r="12042" spans="32:32" x14ac:dyDescent="0.2">
      <c r="AF12042" s="679"/>
    </row>
    <row r="12043" spans="32:32" x14ac:dyDescent="0.2">
      <c r="AF12043" s="679"/>
    </row>
    <row r="12044" spans="32:32" x14ac:dyDescent="0.2">
      <c r="AF12044" s="679"/>
    </row>
    <row r="12045" spans="32:32" x14ac:dyDescent="0.2">
      <c r="AF12045" s="679"/>
    </row>
    <row r="12046" spans="32:32" x14ac:dyDescent="0.2">
      <c r="AF12046" s="679"/>
    </row>
    <row r="12047" spans="32:32" x14ac:dyDescent="0.2">
      <c r="AF12047" s="679"/>
    </row>
    <row r="12048" spans="32:32" x14ac:dyDescent="0.2">
      <c r="AF12048" s="679"/>
    </row>
    <row r="12049" spans="32:32" x14ac:dyDescent="0.2">
      <c r="AF12049" s="679"/>
    </row>
    <row r="12050" spans="32:32" x14ac:dyDescent="0.2">
      <c r="AF12050" s="679"/>
    </row>
    <row r="12051" spans="32:32" x14ac:dyDescent="0.2">
      <c r="AF12051" s="679"/>
    </row>
    <row r="12052" spans="32:32" x14ac:dyDescent="0.2">
      <c r="AF12052" s="679"/>
    </row>
    <row r="12053" spans="32:32" x14ac:dyDescent="0.2">
      <c r="AF12053" s="679"/>
    </row>
    <row r="12054" spans="32:32" x14ac:dyDescent="0.2">
      <c r="AF12054" s="679"/>
    </row>
    <row r="12055" spans="32:32" x14ac:dyDescent="0.2">
      <c r="AF12055" s="679"/>
    </row>
    <row r="12056" spans="32:32" x14ac:dyDescent="0.2">
      <c r="AF12056" s="679"/>
    </row>
    <row r="12057" spans="32:32" x14ac:dyDescent="0.2">
      <c r="AF12057" s="679"/>
    </row>
    <row r="12058" spans="32:32" x14ac:dyDescent="0.2">
      <c r="AF12058" s="679"/>
    </row>
    <row r="12059" spans="32:32" x14ac:dyDescent="0.2">
      <c r="AF12059" s="679"/>
    </row>
    <row r="12060" spans="32:32" x14ac:dyDescent="0.2">
      <c r="AF12060" s="679"/>
    </row>
    <row r="12061" spans="32:32" x14ac:dyDescent="0.2">
      <c r="AF12061" s="679"/>
    </row>
    <row r="12062" spans="32:32" x14ac:dyDescent="0.2">
      <c r="AF12062" s="679"/>
    </row>
    <row r="12063" spans="32:32" x14ac:dyDescent="0.2">
      <c r="AF12063" s="679"/>
    </row>
    <row r="12064" spans="32:32" x14ac:dyDescent="0.2">
      <c r="AF12064" s="679"/>
    </row>
    <row r="12065" spans="32:32" x14ac:dyDescent="0.2">
      <c r="AF12065" s="679"/>
    </row>
    <row r="12066" spans="32:32" x14ac:dyDescent="0.2">
      <c r="AF12066" s="679"/>
    </row>
    <row r="12067" spans="32:32" x14ac:dyDescent="0.2">
      <c r="AF12067" s="679"/>
    </row>
    <row r="12068" spans="32:32" x14ac:dyDescent="0.2">
      <c r="AF12068" s="679"/>
    </row>
    <row r="12069" spans="32:32" x14ac:dyDescent="0.2">
      <c r="AF12069" s="679"/>
    </row>
    <row r="12070" spans="32:32" x14ac:dyDescent="0.2">
      <c r="AF12070" s="679"/>
    </row>
    <row r="12071" spans="32:32" x14ac:dyDescent="0.2">
      <c r="AF12071" s="679"/>
    </row>
    <row r="12072" spans="32:32" x14ac:dyDescent="0.2">
      <c r="AF12072" s="679"/>
    </row>
    <row r="12073" spans="32:32" x14ac:dyDescent="0.2">
      <c r="AF12073" s="679"/>
    </row>
    <row r="12074" spans="32:32" x14ac:dyDescent="0.2">
      <c r="AF12074" s="679"/>
    </row>
    <row r="12075" spans="32:32" x14ac:dyDescent="0.2">
      <c r="AF12075" s="679"/>
    </row>
    <row r="12076" spans="32:32" x14ac:dyDescent="0.2">
      <c r="AF12076" s="679"/>
    </row>
    <row r="12077" spans="32:32" x14ac:dyDescent="0.2">
      <c r="AF12077" s="679"/>
    </row>
    <row r="12078" spans="32:32" x14ac:dyDescent="0.2">
      <c r="AF12078" s="679"/>
    </row>
    <row r="12079" spans="32:32" x14ac:dyDescent="0.2">
      <c r="AF12079" s="679"/>
    </row>
    <row r="12080" spans="32:32" x14ac:dyDescent="0.2">
      <c r="AF12080" s="679"/>
    </row>
    <row r="12081" spans="32:32" x14ac:dyDescent="0.2">
      <c r="AF12081" s="679"/>
    </row>
    <row r="12082" spans="32:32" x14ac:dyDescent="0.2">
      <c r="AF12082" s="679"/>
    </row>
    <row r="12083" spans="32:32" x14ac:dyDescent="0.2">
      <c r="AF12083" s="679"/>
    </row>
    <row r="12084" spans="32:32" x14ac:dyDescent="0.2">
      <c r="AF12084" s="679"/>
    </row>
    <row r="12085" spans="32:32" x14ac:dyDescent="0.2">
      <c r="AF12085" s="679"/>
    </row>
    <row r="12086" spans="32:32" x14ac:dyDescent="0.2">
      <c r="AF12086" s="679"/>
    </row>
    <row r="12087" spans="32:32" x14ac:dyDescent="0.2">
      <c r="AF12087" s="679"/>
    </row>
    <row r="12088" spans="32:32" x14ac:dyDescent="0.2">
      <c r="AF12088" s="679"/>
    </row>
    <row r="12089" spans="32:32" x14ac:dyDescent="0.2">
      <c r="AF12089" s="679"/>
    </row>
    <row r="12090" spans="32:32" x14ac:dyDescent="0.2">
      <c r="AF12090" s="679"/>
    </row>
    <row r="12091" spans="32:32" x14ac:dyDescent="0.2">
      <c r="AF12091" s="679"/>
    </row>
    <row r="12092" spans="32:32" x14ac:dyDescent="0.2">
      <c r="AF12092" s="679"/>
    </row>
    <row r="12093" spans="32:32" x14ac:dyDescent="0.2">
      <c r="AF12093" s="679"/>
    </row>
    <row r="12094" spans="32:32" x14ac:dyDescent="0.2">
      <c r="AF12094" s="679"/>
    </row>
    <row r="12095" spans="32:32" x14ac:dyDescent="0.2">
      <c r="AF12095" s="679"/>
    </row>
    <row r="12096" spans="32:32" x14ac:dyDescent="0.2">
      <c r="AF12096" s="679"/>
    </row>
    <row r="12097" spans="32:32" x14ac:dyDescent="0.2">
      <c r="AF12097" s="679"/>
    </row>
    <row r="12098" spans="32:32" x14ac:dyDescent="0.2">
      <c r="AF12098" s="679"/>
    </row>
    <row r="12099" spans="32:32" x14ac:dyDescent="0.2">
      <c r="AF12099" s="679"/>
    </row>
    <row r="12100" spans="32:32" x14ac:dyDescent="0.2">
      <c r="AF12100" s="679"/>
    </row>
    <row r="12101" spans="32:32" x14ac:dyDescent="0.2">
      <c r="AF12101" s="679"/>
    </row>
    <row r="12102" spans="32:32" x14ac:dyDescent="0.2">
      <c r="AF12102" s="679"/>
    </row>
    <row r="12103" spans="32:32" x14ac:dyDescent="0.2">
      <c r="AF12103" s="679"/>
    </row>
    <row r="12104" spans="32:32" x14ac:dyDescent="0.2">
      <c r="AF12104" s="679"/>
    </row>
    <row r="12105" spans="32:32" x14ac:dyDescent="0.2">
      <c r="AF12105" s="679"/>
    </row>
    <row r="12106" spans="32:32" x14ac:dyDescent="0.2">
      <c r="AF12106" s="679"/>
    </row>
    <row r="12107" spans="32:32" x14ac:dyDescent="0.2">
      <c r="AF12107" s="679"/>
    </row>
    <row r="12108" spans="32:32" x14ac:dyDescent="0.2">
      <c r="AF12108" s="679"/>
    </row>
    <row r="12109" spans="32:32" x14ac:dyDescent="0.2">
      <c r="AF12109" s="679"/>
    </row>
    <row r="12110" spans="32:32" x14ac:dyDescent="0.2">
      <c r="AF12110" s="679"/>
    </row>
    <row r="12111" spans="32:32" x14ac:dyDescent="0.2">
      <c r="AF12111" s="679"/>
    </row>
    <row r="12112" spans="32:32" x14ac:dyDescent="0.2">
      <c r="AF12112" s="679"/>
    </row>
    <row r="12113" spans="32:32" x14ac:dyDescent="0.2">
      <c r="AF12113" s="679"/>
    </row>
    <row r="12114" spans="32:32" x14ac:dyDescent="0.2">
      <c r="AF12114" s="679"/>
    </row>
    <row r="12115" spans="32:32" x14ac:dyDescent="0.2">
      <c r="AF12115" s="679"/>
    </row>
    <row r="12116" spans="32:32" x14ac:dyDescent="0.2">
      <c r="AF12116" s="679"/>
    </row>
    <row r="12117" spans="32:32" x14ac:dyDescent="0.2">
      <c r="AF12117" s="679"/>
    </row>
    <row r="12118" spans="32:32" x14ac:dyDescent="0.2">
      <c r="AF12118" s="679"/>
    </row>
    <row r="12119" spans="32:32" x14ac:dyDescent="0.2">
      <c r="AF12119" s="679"/>
    </row>
    <row r="12120" spans="32:32" x14ac:dyDescent="0.2">
      <c r="AF12120" s="679"/>
    </row>
    <row r="12121" spans="32:32" x14ac:dyDescent="0.2">
      <c r="AF12121" s="679"/>
    </row>
    <row r="12122" spans="32:32" x14ac:dyDescent="0.2">
      <c r="AF12122" s="679"/>
    </row>
    <row r="12123" spans="32:32" x14ac:dyDescent="0.2">
      <c r="AF12123" s="679"/>
    </row>
    <row r="12124" spans="32:32" x14ac:dyDescent="0.2">
      <c r="AF12124" s="679"/>
    </row>
    <row r="12125" spans="32:32" x14ac:dyDescent="0.2">
      <c r="AF12125" s="679"/>
    </row>
    <row r="12126" spans="32:32" x14ac:dyDescent="0.2">
      <c r="AF12126" s="679"/>
    </row>
    <row r="12127" spans="32:32" x14ac:dyDescent="0.2">
      <c r="AF12127" s="679"/>
    </row>
    <row r="12128" spans="32:32" x14ac:dyDescent="0.2">
      <c r="AF12128" s="679"/>
    </row>
    <row r="12129" spans="32:32" x14ac:dyDescent="0.2">
      <c r="AF12129" s="679"/>
    </row>
    <row r="12130" spans="32:32" x14ac:dyDescent="0.2">
      <c r="AF12130" s="679"/>
    </row>
    <row r="12131" spans="32:32" x14ac:dyDescent="0.2">
      <c r="AF12131" s="679"/>
    </row>
    <row r="12132" spans="32:32" x14ac:dyDescent="0.2">
      <c r="AF12132" s="679"/>
    </row>
    <row r="12133" spans="32:32" x14ac:dyDescent="0.2">
      <c r="AF12133" s="679"/>
    </row>
    <row r="12134" spans="32:32" x14ac:dyDescent="0.2">
      <c r="AF12134" s="679"/>
    </row>
    <row r="12135" spans="32:32" x14ac:dyDescent="0.2">
      <c r="AF12135" s="679"/>
    </row>
    <row r="12136" spans="32:32" x14ac:dyDescent="0.2">
      <c r="AF12136" s="679"/>
    </row>
    <row r="12137" spans="32:32" x14ac:dyDescent="0.2">
      <c r="AF12137" s="679"/>
    </row>
    <row r="12138" spans="32:32" x14ac:dyDescent="0.2">
      <c r="AF12138" s="679"/>
    </row>
    <row r="12139" spans="32:32" x14ac:dyDescent="0.2">
      <c r="AF12139" s="679"/>
    </row>
    <row r="12140" spans="32:32" x14ac:dyDescent="0.2">
      <c r="AF12140" s="679"/>
    </row>
    <row r="12141" spans="32:32" x14ac:dyDescent="0.2">
      <c r="AF12141" s="679"/>
    </row>
    <row r="12142" spans="32:32" x14ac:dyDescent="0.2">
      <c r="AF12142" s="679"/>
    </row>
    <row r="12143" spans="32:32" x14ac:dyDescent="0.2">
      <c r="AF12143" s="679"/>
    </row>
    <row r="12144" spans="32:32" x14ac:dyDescent="0.2">
      <c r="AF12144" s="679"/>
    </row>
    <row r="12145" spans="32:32" x14ac:dyDescent="0.2">
      <c r="AF12145" s="679"/>
    </row>
    <row r="12146" spans="32:32" x14ac:dyDescent="0.2">
      <c r="AF12146" s="679"/>
    </row>
    <row r="12147" spans="32:32" x14ac:dyDescent="0.2">
      <c r="AF12147" s="679"/>
    </row>
    <row r="12148" spans="32:32" x14ac:dyDescent="0.2">
      <c r="AF12148" s="679"/>
    </row>
    <row r="12149" spans="32:32" x14ac:dyDescent="0.2">
      <c r="AF12149" s="679"/>
    </row>
    <row r="12150" spans="32:32" x14ac:dyDescent="0.2">
      <c r="AF12150" s="679"/>
    </row>
    <row r="12151" spans="32:32" x14ac:dyDescent="0.2">
      <c r="AF12151" s="679"/>
    </row>
    <row r="12152" spans="32:32" x14ac:dyDescent="0.2">
      <c r="AF12152" s="679"/>
    </row>
    <row r="12153" spans="32:32" x14ac:dyDescent="0.2">
      <c r="AF12153" s="679"/>
    </row>
    <row r="12154" spans="32:32" x14ac:dyDescent="0.2">
      <c r="AF12154" s="679"/>
    </row>
    <row r="12155" spans="32:32" x14ac:dyDescent="0.2">
      <c r="AF12155" s="679"/>
    </row>
    <row r="12156" spans="32:32" x14ac:dyDescent="0.2">
      <c r="AF12156" s="679"/>
    </row>
    <row r="12157" spans="32:32" x14ac:dyDescent="0.2">
      <c r="AF12157" s="679"/>
    </row>
    <row r="12158" spans="32:32" x14ac:dyDescent="0.2">
      <c r="AF12158" s="679"/>
    </row>
    <row r="12159" spans="32:32" x14ac:dyDescent="0.2">
      <c r="AF12159" s="679"/>
    </row>
    <row r="12160" spans="32:32" x14ac:dyDescent="0.2">
      <c r="AF12160" s="679"/>
    </row>
    <row r="12161" spans="32:32" x14ac:dyDescent="0.2">
      <c r="AF12161" s="679"/>
    </row>
    <row r="12162" spans="32:32" x14ac:dyDescent="0.2">
      <c r="AF12162" s="679"/>
    </row>
    <row r="12163" spans="32:32" x14ac:dyDescent="0.2">
      <c r="AF12163" s="679"/>
    </row>
    <row r="12164" spans="32:32" x14ac:dyDescent="0.2">
      <c r="AF12164" s="679"/>
    </row>
    <row r="12165" spans="32:32" x14ac:dyDescent="0.2">
      <c r="AF12165" s="679"/>
    </row>
    <row r="12166" spans="32:32" x14ac:dyDescent="0.2">
      <c r="AF12166" s="679"/>
    </row>
    <row r="12167" spans="32:32" x14ac:dyDescent="0.2">
      <c r="AF12167" s="679"/>
    </row>
    <row r="12168" spans="32:32" x14ac:dyDescent="0.2">
      <c r="AF12168" s="679"/>
    </row>
    <row r="12169" spans="32:32" x14ac:dyDescent="0.2">
      <c r="AF12169" s="679"/>
    </row>
    <row r="12170" spans="32:32" x14ac:dyDescent="0.2">
      <c r="AF12170" s="679"/>
    </row>
    <row r="12171" spans="32:32" x14ac:dyDescent="0.2">
      <c r="AF12171" s="679"/>
    </row>
    <row r="12172" spans="32:32" x14ac:dyDescent="0.2">
      <c r="AF12172" s="679"/>
    </row>
    <row r="12173" spans="32:32" x14ac:dyDescent="0.2">
      <c r="AF12173" s="679"/>
    </row>
    <row r="12174" spans="32:32" x14ac:dyDescent="0.2">
      <c r="AF12174" s="679"/>
    </row>
    <row r="12175" spans="32:32" x14ac:dyDescent="0.2">
      <c r="AF12175" s="679"/>
    </row>
    <row r="12176" spans="32:32" x14ac:dyDescent="0.2">
      <c r="AF12176" s="679"/>
    </row>
    <row r="12177" spans="32:32" x14ac:dyDescent="0.2">
      <c r="AF12177" s="679"/>
    </row>
    <row r="12178" spans="32:32" x14ac:dyDescent="0.2">
      <c r="AF12178" s="679"/>
    </row>
    <row r="12179" spans="32:32" x14ac:dyDescent="0.2">
      <c r="AF12179" s="679"/>
    </row>
    <row r="12180" spans="32:32" x14ac:dyDescent="0.2">
      <c r="AF12180" s="679"/>
    </row>
    <row r="12181" spans="32:32" x14ac:dyDescent="0.2">
      <c r="AF12181" s="679"/>
    </row>
    <row r="12182" spans="32:32" x14ac:dyDescent="0.2">
      <c r="AF12182" s="679"/>
    </row>
    <row r="12183" spans="32:32" x14ac:dyDescent="0.2">
      <c r="AF12183" s="679"/>
    </row>
    <row r="12184" spans="32:32" x14ac:dyDescent="0.2">
      <c r="AF12184" s="679"/>
    </row>
    <row r="12185" spans="32:32" x14ac:dyDescent="0.2">
      <c r="AF12185" s="679"/>
    </row>
    <row r="12186" spans="32:32" x14ac:dyDescent="0.2">
      <c r="AF12186" s="679"/>
    </row>
    <row r="12187" spans="32:32" x14ac:dyDescent="0.2">
      <c r="AF12187" s="679"/>
    </row>
    <row r="12188" spans="32:32" x14ac:dyDescent="0.2">
      <c r="AF12188" s="679"/>
    </row>
    <row r="12189" spans="32:32" x14ac:dyDescent="0.2">
      <c r="AF12189" s="679"/>
    </row>
    <row r="12190" spans="32:32" x14ac:dyDescent="0.2">
      <c r="AF12190" s="679"/>
    </row>
    <row r="12191" spans="32:32" x14ac:dyDescent="0.2">
      <c r="AF12191" s="679"/>
    </row>
    <row r="12192" spans="32:32" x14ac:dyDescent="0.2">
      <c r="AF12192" s="679"/>
    </row>
    <row r="12193" spans="32:32" x14ac:dyDescent="0.2">
      <c r="AF12193" s="679"/>
    </row>
    <row r="12194" spans="32:32" x14ac:dyDescent="0.2">
      <c r="AF12194" s="679"/>
    </row>
    <row r="12195" spans="32:32" x14ac:dyDescent="0.2">
      <c r="AF12195" s="679"/>
    </row>
    <row r="12196" spans="32:32" x14ac:dyDescent="0.2">
      <c r="AF12196" s="679"/>
    </row>
    <row r="12197" spans="32:32" x14ac:dyDescent="0.2">
      <c r="AF12197" s="679"/>
    </row>
    <row r="12198" spans="32:32" x14ac:dyDescent="0.2">
      <c r="AF12198" s="679"/>
    </row>
    <row r="12199" spans="32:32" x14ac:dyDescent="0.2">
      <c r="AF12199" s="679"/>
    </row>
    <row r="12200" spans="32:32" x14ac:dyDescent="0.2">
      <c r="AF12200" s="679"/>
    </row>
    <row r="12201" spans="32:32" x14ac:dyDescent="0.2">
      <c r="AF12201" s="679"/>
    </row>
    <row r="12202" spans="32:32" x14ac:dyDescent="0.2">
      <c r="AF12202" s="679"/>
    </row>
    <row r="12203" spans="32:32" x14ac:dyDescent="0.2">
      <c r="AF12203" s="679"/>
    </row>
    <row r="12204" spans="32:32" x14ac:dyDescent="0.2">
      <c r="AF12204" s="679"/>
    </row>
    <row r="12205" spans="32:32" x14ac:dyDescent="0.2">
      <c r="AF12205" s="679"/>
    </row>
    <row r="12206" spans="32:32" x14ac:dyDescent="0.2">
      <c r="AF12206" s="679"/>
    </row>
    <row r="12207" spans="32:32" x14ac:dyDescent="0.2">
      <c r="AF12207" s="679"/>
    </row>
    <row r="12208" spans="32:32" x14ac:dyDescent="0.2">
      <c r="AF12208" s="679"/>
    </row>
    <row r="12209" spans="32:32" x14ac:dyDescent="0.2">
      <c r="AF12209" s="679"/>
    </row>
    <row r="12210" spans="32:32" x14ac:dyDescent="0.2">
      <c r="AF12210" s="679"/>
    </row>
    <row r="12211" spans="32:32" x14ac:dyDescent="0.2">
      <c r="AF12211" s="679"/>
    </row>
    <row r="12212" spans="32:32" x14ac:dyDescent="0.2">
      <c r="AF12212" s="679"/>
    </row>
    <row r="12213" spans="32:32" x14ac:dyDescent="0.2">
      <c r="AF12213" s="679"/>
    </row>
    <row r="12214" spans="32:32" x14ac:dyDescent="0.2">
      <c r="AF12214" s="679"/>
    </row>
    <row r="12215" spans="32:32" x14ac:dyDescent="0.2">
      <c r="AF12215" s="679"/>
    </row>
    <row r="12216" spans="32:32" x14ac:dyDescent="0.2">
      <c r="AF12216" s="679"/>
    </row>
    <row r="12217" spans="32:32" x14ac:dyDescent="0.2">
      <c r="AF12217" s="679"/>
    </row>
    <row r="12218" spans="32:32" x14ac:dyDescent="0.2">
      <c r="AF12218" s="679"/>
    </row>
    <row r="12219" spans="32:32" x14ac:dyDescent="0.2">
      <c r="AF12219" s="679"/>
    </row>
    <row r="12220" spans="32:32" x14ac:dyDescent="0.2">
      <c r="AF12220" s="679"/>
    </row>
    <row r="12221" spans="32:32" x14ac:dyDescent="0.2">
      <c r="AF12221" s="679"/>
    </row>
    <row r="12222" spans="32:32" x14ac:dyDescent="0.2">
      <c r="AF12222" s="679"/>
    </row>
    <row r="12223" spans="32:32" x14ac:dyDescent="0.2">
      <c r="AF12223" s="679"/>
    </row>
    <row r="12224" spans="32:32" x14ac:dyDescent="0.2">
      <c r="AF12224" s="679"/>
    </row>
    <row r="12225" spans="32:32" x14ac:dyDescent="0.2">
      <c r="AF12225" s="679"/>
    </row>
    <row r="12226" spans="32:32" x14ac:dyDescent="0.2">
      <c r="AF12226" s="679"/>
    </row>
    <row r="12227" spans="32:32" x14ac:dyDescent="0.2">
      <c r="AF12227" s="679"/>
    </row>
    <row r="12228" spans="32:32" x14ac:dyDescent="0.2">
      <c r="AF12228" s="679"/>
    </row>
    <row r="12229" spans="32:32" x14ac:dyDescent="0.2">
      <c r="AF12229" s="679"/>
    </row>
    <row r="12230" spans="32:32" x14ac:dyDescent="0.2">
      <c r="AF12230" s="679"/>
    </row>
    <row r="12231" spans="32:32" x14ac:dyDescent="0.2">
      <c r="AF12231" s="679"/>
    </row>
    <row r="12232" spans="32:32" x14ac:dyDescent="0.2">
      <c r="AF12232" s="679"/>
    </row>
    <row r="12233" spans="32:32" x14ac:dyDescent="0.2">
      <c r="AF12233" s="679"/>
    </row>
    <row r="12234" spans="32:32" x14ac:dyDescent="0.2">
      <c r="AF12234" s="679"/>
    </row>
    <row r="12235" spans="32:32" x14ac:dyDescent="0.2">
      <c r="AF12235" s="679"/>
    </row>
    <row r="12236" spans="32:32" x14ac:dyDescent="0.2">
      <c r="AF12236" s="679"/>
    </row>
    <row r="12237" spans="32:32" x14ac:dyDescent="0.2">
      <c r="AF12237" s="679"/>
    </row>
    <row r="12238" spans="32:32" x14ac:dyDescent="0.2">
      <c r="AF12238" s="679"/>
    </row>
    <row r="12239" spans="32:32" x14ac:dyDescent="0.2">
      <c r="AF12239" s="679"/>
    </row>
    <row r="12240" spans="32:32" x14ac:dyDescent="0.2">
      <c r="AF12240" s="679"/>
    </row>
    <row r="12241" spans="32:32" x14ac:dyDescent="0.2">
      <c r="AF12241" s="679"/>
    </row>
    <row r="12242" spans="32:32" x14ac:dyDescent="0.2">
      <c r="AF12242" s="679"/>
    </row>
    <row r="12243" spans="32:32" x14ac:dyDescent="0.2">
      <c r="AF12243" s="679"/>
    </row>
    <row r="12244" spans="32:32" x14ac:dyDescent="0.2">
      <c r="AF12244" s="679"/>
    </row>
    <row r="12245" spans="32:32" x14ac:dyDescent="0.2">
      <c r="AF12245" s="679"/>
    </row>
    <row r="12246" spans="32:32" x14ac:dyDescent="0.2">
      <c r="AF12246" s="679"/>
    </row>
    <row r="12247" spans="32:32" x14ac:dyDescent="0.2">
      <c r="AF12247" s="679"/>
    </row>
    <row r="12248" spans="32:32" x14ac:dyDescent="0.2">
      <c r="AF12248" s="679"/>
    </row>
    <row r="12249" spans="32:32" x14ac:dyDescent="0.2">
      <c r="AF12249" s="679"/>
    </row>
    <row r="12250" spans="32:32" x14ac:dyDescent="0.2">
      <c r="AF12250" s="679"/>
    </row>
    <row r="12251" spans="32:32" x14ac:dyDescent="0.2">
      <c r="AF12251" s="679"/>
    </row>
    <row r="12252" spans="32:32" x14ac:dyDescent="0.2">
      <c r="AF12252" s="679"/>
    </row>
    <row r="12253" spans="32:32" x14ac:dyDescent="0.2">
      <c r="AF12253" s="679"/>
    </row>
    <row r="12254" spans="32:32" x14ac:dyDescent="0.2">
      <c r="AF12254" s="679"/>
    </row>
    <row r="12255" spans="32:32" x14ac:dyDescent="0.2">
      <c r="AF12255" s="679"/>
    </row>
    <row r="12256" spans="32:32" x14ac:dyDescent="0.2">
      <c r="AF12256" s="679"/>
    </row>
    <row r="12257" spans="32:32" x14ac:dyDescent="0.2">
      <c r="AF12257" s="679"/>
    </row>
    <row r="12258" spans="32:32" x14ac:dyDescent="0.2">
      <c r="AF12258" s="679"/>
    </row>
    <row r="12259" spans="32:32" x14ac:dyDescent="0.2">
      <c r="AF12259" s="679"/>
    </row>
    <row r="12260" spans="32:32" x14ac:dyDescent="0.2">
      <c r="AF12260" s="679"/>
    </row>
    <row r="12261" spans="32:32" x14ac:dyDescent="0.2">
      <c r="AF12261" s="679"/>
    </row>
    <row r="12262" spans="32:32" x14ac:dyDescent="0.2">
      <c r="AF12262" s="679"/>
    </row>
    <row r="12263" spans="32:32" x14ac:dyDescent="0.2">
      <c r="AF12263" s="679"/>
    </row>
    <row r="12264" spans="32:32" x14ac:dyDescent="0.2">
      <c r="AF12264" s="679"/>
    </row>
    <row r="12265" spans="32:32" x14ac:dyDescent="0.2">
      <c r="AF12265" s="679"/>
    </row>
    <row r="12266" spans="32:32" x14ac:dyDescent="0.2">
      <c r="AF12266" s="679"/>
    </row>
    <row r="12267" spans="32:32" x14ac:dyDescent="0.2">
      <c r="AF12267" s="679"/>
    </row>
    <row r="12268" spans="32:32" x14ac:dyDescent="0.2">
      <c r="AF12268" s="679"/>
    </row>
    <row r="12269" spans="32:32" x14ac:dyDescent="0.2">
      <c r="AF12269" s="679"/>
    </row>
    <row r="12270" spans="32:32" x14ac:dyDescent="0.2">
      <c r="AF12270" s="679"/>
    </row>
    <row r="12271" spans="32:32" x14ac:dyDescent="0.2">
      <c r="AF12271" s="679"/>
    </row>
    <row r="12272" spans="32:32" x14ac:dyDescent="0.2">
      <c r="AF12272" s="679"/>
    </row>
    <row r="12273" spans="32:32" x14ac:dyDescent="0.2">
      <c r="AF12273" s="679"/>
    </row>
    <row r="12274" spans="32:32" x14ac:dyDescent="0.2">
      <c r="AF12274" s="679"/>
    </row>
    <row r="12275" spans="32:32" x14ac:dyDescent="0.2">
      <c r="AF12275" s="679"/>
    </row>
    <row r="12276" spans="32:32" x14ac:dyDescent="0.2">
      <c r="AF12276" s="679"/>
    </row>
    <row r="12277" spans="32:32" x14ac:dyDescent="0.2">
      <c r="AF12277" s="679"/>
    </row>
    <row r="12278" spans="32:32" x14ac:dyDescent="0.2">
      <c r="AF12278" s="679"/>
    </row>
    <row r="12279" spans="32:32" x14ac:dyDescent="0.2">
      <c r="AF12279" s="679"/>
    </row>
    <row r="12280" spans="32:32" x14ac:dyDescent="0.2">
      <c r="AF12280" s="679"/>
    </row>
    <row r="12281" spans="32:32" x14ac:dyDescent="0.2">
      <c r="AF12281" s="679"/>
    </row>
    <row r="12282" spans="32:32" x14ac:dyDescent="0.2">
      <c r="AF12282" s="679"/>
    </row>
    <row r="12283" spans="32:32" x14ac:dyDescent="0.2">
      <c r="AF12283" s="679"/>
    </row>
    <row r="12284" spans="32:32" x14ac:dyDescent="0.2">
      <c r="AF12284" s="679"/>
    </row>
    <row r="12285" spans="32:32" x14ac:dyDescent="0.2">
      <c r="AF12285" s="679"/>
    </row>
    <row r="12286" spans="32:32" x14ac:dyDescent="0.2">
      <c r="AF12286" s="679"/>
    </row>
    <row r="12287" spans="32:32" x14ac:dyDescent="0.2">
      <c r="AF12287" s="679"/>
    </row>
    <row r="12288" spans="32:32" x14ac:dyDescent="0.2">
      <c r="AF12288" s="679"/>
    </row>
    <row r="12289" spans="32:32" x14ac:dyDescent="0.2">
      <c r="AF12289" s="679"/>
    </row>
    <row r="12290" spans="32:32" x14ac:dyDescent="0.2">
      <c r="AF12290" s="679"/>
    </row>
    <row r="12291" spans="32:32" x14ac:dyDescent="0.2">
      <c r="AF12291" s="679"/>
    </row>
    <row r="12292" spans="32:32" x14ac:dyDescent="0.2">
      <c r="AF12292" s="679"/>
    </row>
    <row r="12293" spans="32:32" x14ac:dyDescent="0.2">
      <c r="AF12293" s="679"/>
    </row>
    <row r="12294" spans="32:32" x14ac:dyDescent="0.2">
      <c r="AF12294" s="679"/>
    </row>
    <row r="12295" spans="32:32" x14ac:dyDescent="0.2">
      <c r="AF12295" s="679"/>
    </row>
    <row r="12296" spans="32:32" x14ac:dyDescent="0.2">
      <c r="AF12296" s="679"/>
    </row>
    <row r="12297" spans="32:32" x14ac:dyDescent="0.2">
      <c r="AF12297" s="679"/>
    </row>
    <row r="12298" spans="32:32" x14ac:dyDescent="0.2">
      <c r="AF12298" s="679"/>
    </row>
    <row r="12299" spans="32:32" x14ac:dyDescent="0.2">
      <c r="AF12299" s="679"/>
    </row>
    <row r="12300" spans="32:32" x14ac:dyDescent="0.2">
      <c r="AF12300" s="679"/>
    </row>
    <row r="12301" spans="32:32" x14ac:dyDescent="0.2">
      <c r="AF12301" s="679"/>
    </row>
    <row r="12302" spans="32:32" x14ac:dyDescent="0.2">
      <c r="AF12302" s="679"/>
    </row>
    <row r="12303" spans="32:32" x14ac:dyDescent="0.2">
      <c r="AF12303" s="679"/>
    </row>
    <row r="12304" spans="32:32" x14ac:dyDescent="0.2">
      <c r="AF12304" s="679"/>
    </row>
    <row r="12305" spans="32:32" x14ac:dyDescent="0.2">
      <c r="AF12305" s="679"/>
    </row>
    <row r="12306" spans="32:32" x14ac:dyDescent="0.2">
      <c r="AF12306" s="679"/>
    </row>
    <row r="12307" spans="32:32" x14ac:dyDescent="0.2">
      <c r="AF12307" s="679"/>
    </row>
    <row r="12308" spans="32:32" x14ac:dyDescent="0.2">
      <c r="AF12308" s="679"/>
    </row>
    <row r="12309" spans="32:32" x14ac:dyDescent="0.2">
      <c r="AF12309" s="679"/>
    </row>
    <row r="12310" spans="32:32" x14ac:dyDescent="0.2">
      <c r="AF12310" s="679"/>
    </row>
    <row r="12311" spans="32:32" x14ac:dyDescent="0.2">
      <c r="AF12311" s="679"/>
    </row>
    <row r="12312" spans="32:32" x14ac:dyDescent="0.2">
      <c r="AF12312" s="679"/>
    </row>
    <row r="12313" spans="32:32" x14ac:dyDescent="0.2">
      <c r="AF12313" s="679"/>
    </row>
    <row r="12314" spans="32:32" x14ac:dyDescent="0.2">
      <c r="AF12314" s="679"/>
    </row>
    <row r="12315" spans="32:32" x14ac:dyDescent="0.2">
      <c r="AF12315" s="679"/>
    </row>
    <row r="12316" spans="32:32" x14ac:dyDescent="0.2">
      <c r="AF12316" s="679"/>
    </row>
    <row r="12317" spans="32:32" x14ac:dyDescent="0.2">
      <c r="AF12317" s="679"/>
    </row>
    <row r="12318" spans="32:32" x14ac:dyDescent="0.2">
      <c r="AF12318" s="679"/>
    </row>
    <row r="12319" spans="32:32" x14ac:dyDescent="0.2">
      <c r="AF12319" s="679"/>
    </row>
    <row r="12320" spans="32:32" x14ac:dyDescent="0.2">
      <c r="AF12320" s="679"/>
    </row>
    <row r="12321" spans="32:32" x14ac:dyDescent="0.2">
      <c r="AF12321" s="679"/>
    </row>
    <row r="12322" spans="32:32" x14ac:dyDescent="0.2">
      <c r="AF12322" s="679"/>
    </row>
    <row r="12323" spans="32:32" x14ac:dyDescent="0.2">
      <c r="AF12323" s="679"/>
    </row>
    <row r="12324" spans="32:32" x14ac:dyDescent="0.2">
      <c r="AF12324" s="679"/>
    </row>
    <row r="12325" spans="32:32" x14ac:dyDescent="0.2">
      <c r="AF12325" s="679"/>
    </row>
    <row r="12326" spans="32:32" x14ac:dyDescent="0.2">
      <c r="AF12326" s="679"/>
    </row>
    <row r="12327" spans="32:32" x14ac:dyDescent="0.2">
      <c r="AF12327" s="679"/>
    </row>
    <row r="12328" spans="32:32" x14ac:dyDescent="0.2">
      <c r="AF12328" s="679"/>
    </row>
    <row r="12329" spans="32:32" x14ac:dyDescent="0.2">
      <c r="AF12329" s="679"/>
    </row>
    <row r="12330" spans="32:32" x14ac:dyDescent="0.2">
      <c r="AF12330" s="679"/>
    </row>
    <row r="12331" spans="32:32" x14ac:dyDescent="0.2">
      <c r="AF12331" s="679"/>
    </row>
    <row r="12332" spans="32:32" x14ac:dyDescent="0.2">
      <c r="AF12332" s="679"/>
    </row>
    <row r="12333" spans="32:32" x14ac:dyDescent="0.2">
      <c r="AF12333" s="679"/>
    </row>
    <row r="12334" spans="32:32" x14ac:dyDescent="0.2">
      <c r="AF12334" s="679"/>
    </row>
    <row r="12335" spans="32:32" x14ac:dyDescent="0.2">
      <c r="AF12335" s="679"/>
    </row>
    <row r="12336" spans="32:32" x14ac:dyDescent="0.2">
      <c r="AF12336" s="679"/>
    </row>
    <row r="12337" spans="32:32" x14ac:dyDescent="0.2">
      <c r="AF12337" s="679"/>
    </row>
    <row r="12338" spans="32:32" x14ac:dyDescent="0.2">
      <c r="AF12338" s="679"/>
    </row>
    <row r="12339" spans="32:32" x14ac:dyDescent="0.2">
      <c r="AF12339" s="679"/>
    </row>
    <row r="12340" spans="32:32" x14ac:dyDescent="0.2">
      <c r="AF12340" s="679"/>
    </row>
    <row r="12341" spans="32:32" x14ac:dyDescent="0.2">
      <c r="AF12341" s="679"/>
    </row>
    <row r="12342" spans="32:32" x14ac:dyDescent="0.2">
      <c r="AF12342" s="679"/>
    </row>
    <row r="12343" spans="32:32" x14ac:dyDescent="0.2">
      <c r="AF12343" s="679"/>
    </row>
    <row r="12344" spans="32:32" x14ac:dyDescent="0.2">
      <c r="AF12344" s="679"/>
    </row>
    <row r="12345" spans="32:32" x14ac:dyDescent="0.2">
      <c r="AF12345" s="679"/>
    </row>
    <row r="12346" spans="32:32" x14ac:dyDescent="0.2">
      <c r="AF12346" s="679"/>
    </row>
    <row r="12347" spans="32:32" x14ac:dyDescent="0.2">
      <c r="AF12347" s="679"/>
    </row>
    <row r="12348" spans="32:32" x14ac:dyDescent="0.2">
      <c r="AF12348" s="679"/>
    </row>
    <row r="12349" spans="32:32" x14ac:dyDescent="0.2">
      <c r="AF12349" s="679"/>
    </row>
    <row r="12350" spans="32:32" x14ac:dyDescent="0.2">
      <c r="AF12350" s="679"/>
    </row>
    <row r="12351" spans="32:32" x14ac:dyDescent="0.2">
      <c r="AF12351" s="679"/>
    </row>
    <row r="12352" spans="32:32" x14ac:dyDescent="0.2">
      <c r="AF12352" s="679"/>
    </row>
    <row r="12353" spans="32:32" x14ac:dyDescent="0.2">
      <c r="AF12353" s="679"/>
    </row>
    <row r="12354" spans="32:32" x14ac:dyDescent="0.2">
      <c r="AF12354" s="679"/>
    </row>
    <row r="12355" spans="32:32" x14ac:dyDescent="0.2">
      <c r="AF12355" s="679"/>
    </row>
    <row r="12356" spans="32:32" x14ac:dyDescent="0.2">
      <c r="AF12356" s="679"/>
    </row>
    <row r="12357" spans="32:32" x14ac:dyDescent="0.2">
      <c r="AF12357" s="679"/>
    </row>
    <row r="12358" spans="32:32" x14ac:dyDescent="0.2">
      <c r="AF12358" s="679"/>
    </row>
    <row r="12359" spans="32:32" x14ac:dyDescent="0.2">
      <c r="AF12359" s="679"/>
    </row>
    <row r="12360" spans="32:32" x14ac:dyDescent="0.2">
      <c r="AF12360" s="679"/>
    </row>
    <row r="12361" spans="32:32" x14ac:dyDescent="0.2">
      <c r="AF12361" s="679"/>
    </row>
    <row r="12362" spans="32:32" x14ac:dyDescent="0.2">
      <c r="AF12362" s="679"/>
    </row>
    <row r="12363" spans="32:32" x14ac:dyDescent="0.2">
      <c r="AF12363" s="679"/>
    </row>
    <row r="12364" spans="32:32" x14ac:dyDescent="0.2">
      <c r="AF12364" s="679"/>
    </row>
    <row r="12365" spans="32:32" x14ac:dyDescent="0.2">
      <c r="AF12365" s="679"/>
    </row>
    <row r="12366" spans="32:32" x14ac:dyDescent="0.2">
      <c r="AF12366" s="679"/>
    </row>
    <row r="12367" spans="32:32" x14ac:dyDescent="0.2">
      <c r="AF12367" s="679"/>
    </row>
    <row r="12368" spans="32:32" x14ac:dyDescent="0.2">
      <c r="AF12368" s="679"/>
    </row>
    <row r="12369" spans="32:32" x14ac:dyDescent="0.2">
      <c r="AF12369" s="679"/>
    </row>
    <row r="12370" spans="32:32" x14ac:dyDescent="0.2">
      <c r="AF12370" s="679"/>
    </row>
    <row r="12371" spans="32:32" x14ac:dyDescent="0.2">
      <c r="AF12371" s="679"/>
    </row>
    <row r="12372" spans="32:32" x14ac:dyDescent="0.2">
      <c r="AF12372" s="679"/>
    </row>
    <row r="12373" spans="32:32" x14ac:dyDescent="0.2">
      <c r="AF12373" s="679"/>
    </row>
    <row r="12374" spans="32:32" x14ac:dyDescent="0.2">
      <c r="AF12374" s="679"/>
    </row>
    <row r="12375" spans="32:32" x14ac:dyDescent="0.2">
      <c r="AF12375" s="679"/>
    </row>
    <row r="12376" spans="32:32" x14ac:dyDescent="0.2">
      <c r="AF12376" s="679"/>
    </row>
    <row r="12377" spans="32:32" x14ac:dyDescent="0.2">
      <c r="AF12377" s="679"/>
    </row>
    <row r="12378" spans="32:32" x14ac:dyDescent="0.2">
      <c r="AF12378" s="679"/>
    </row>
    <row r="12379" spans="32:32" x14ac:dyDescent="0.2">
      <c r="AF12379" s="679"/>
    </row>
    <row r="12380" spans="32:32" x14ac:dyDescent="0.2">
      <c r="AF12380" s="679"/>
    </row>
    <row r="12381" spans="32:32" x14ac:dyDescent="0.2">
      <c r="AF12381" s="679"/>
    </row>
    <row r="12382" spans="32:32" x14ac:dyDescent="0.2">
      <c r="AF12382" s="679"/>
    </row>
    <row r="12383" spans="32:32" x14ac:dyDescent="0.2">
      <c r="AF12383" s="679"/>
    </row>
    <row r="12384" spans="32:32" x14ac:dyDescent="0.2">
      <c r="AF12384" s="679"/>
    </row>
    <row r="12385" spans="32:32" x14ac:dyDescent="0.2">
      <c r="AF12385" s="679"/>
    </row>
    <row r="12386" spans="32:32" x14ac:dyDescent="0.2">
      <c r="AF12386" s="679"/>
    </row>
    <row r="12387" spans="32:32" x14ac:dyDescent="0.2">
      <c r="AF12387" s="679"/>
    </row>
    <row r="12388" spans="32:32" x14ac:dyDescent="0.2">
      <c r="AF12388" s="679"/>
    </row>
    <row r="12389" spans="32:32" x14ac:dyDescent="0.2">
      <c r="AF12389" s="679"/>
    </row>
    <row r="12390" spans="32:32" x14ac:dyDescent="0.2">
      <c r="AF12390" s="679"/>
    </row>
    <row r="12391" spans="32:32" x14ac:dyDescent="0.2">
      <c r="AF12391" s="679"/>
    </row>
    <row r="12392" spans="32:32" x14ac:dyDescent="0.2">
      <c r="AF12392" s="679"/>
    </row>
    <row r="12393" spans="32:32" x14ac:dyDescent="0.2">
      <c r="AF12393" s="679"/>
    </row>
    <row r="12394" spans="32:32" x14ac:dyDescent="0.2">
      <c r="AF12394" s="679"/>
    </row>
    <row r="12395" spans="32:32" x14ac:dyDescent="0.2">
      <c r="AF12395" s="679"/>
    </row>
    <row r="12396" spans="32:32" x14ac:dyDescent="0.2">
      <c r="AF12396" s="679"/>
    </row>
    <row r="12397" spans="32:32" x14ac:dyDescent="0.2">
      <c r="AF12397" s="679"/>
    </row>
    <row r="12398" spans="32:32" x14ac:dyDescent="0.2">
      <c r="AF12398" s="679"/>
    </row>
    <row r="12399" spans="32:32" x14ac:dyDescent="0.2">
      <c r="AF12399" s="679"/>
    </row>
    <row r="12400" spans="32:32" x14ac:dyDescent="0.2">
      <c r="AF12400" s="679"/>
    </row>
    <row r="12401" spans="32:32" x14ac:dyDescent="0.2">
      <c r="AF12401" s="679"/>
    </row>
    <row r="12402" spans="32:32" x14ac:dyDescent="0.2">
      <c r="AF12402" s="679"/>
    </row>
    <row r="12403" spans="32:32" x14ac:dyDescent="0.2">
      <c r="AF12403" s="679"/>
    </row>
    <row r="12404" spans="32:32" x14ac:dyDescent="0.2">
      <c r="AF12404" s="679"/>
    </row>
    <row r="12405" spans="32:32" x14ac:dyDescent="0.2">
      <c r="AF12405" s="679"/>
    </row>
    <row r="12406" spans="32:32" x14ac:dyDescent="0.2">
      <c r="AF12406" s="679"/>
    </row>
    <row r="12407" spans="32:32" x14ac:dyDescent="0.2">
      <c r="AF12407" s="679"/>
    </row>
    <row r="12408" spans="32:32" x14ac:dyDescent="0.2">
      <c r="AF12408" s="679"/>
    </row>
    <row r="12409" spans="32:32" x14ac:dyDescent="0.2">
      <c r="AF12409" s="679"/>
    </row>
    <row r="12410" spans="32:32" x14ac:dyDescent="0.2">
      <c r="AF12410" s="679"/>
    </row>
    <row r="12411" spans="32:32" x14ac:dyDescent="0.2">
      <c r="AF12411" s="679"/>
    </row>
    <row r="12412" spans="32:32" x14ac:dyDescent="0.2">
      <c r="AF12412" s="679"/>
    </row>
    <row r="12413" spans="32:32" x14ac:dyDescent="0.2">
      <c r="AF12413" s="679"/>
    </row>
    <row r="12414" spans="32:32" x14ac:dyDescent="0.2">
      <c r="AF12414" s="679"/>
    </row>
    <row r="12415" spans="32:32" x14ac:dyDescent="0.2">
      <c r="AF12415" s="679"/>
    </row>
    <row r="12416" spans="32:32" x14ac:dyDescent="0.2">
      <c r="AF12416" s="679"/>
    </row>
    <row r="12417" spans="32:32" x14ac:dyDescent="0.2">
      <c r="AF12417" s="679"/>
    </row>
    <row r="12418" spans="32:32" x14ac:dyDescent="0.2">
      <c r="AF12418" s="679"/>
    </row>
    <row r="12419" spans="32:32" x14ac:dyDescent="0.2">
      <c r="AF12419" s="679"/>
    </row>
    <row r="12420" spans="32:32" x14ac:dyDescent="0.2">
      <c r="AF12420" s="679"/>
    </row>
    <row r="12421" spans="32:32" x14ac:dyDescent="0.2">
      <c r="AF12421" s="679"/>
    </row>
    <row r="12422" spans="32:32" x14ac:dyDescent="0.2">
      <c r="AF12422" s="679"/>
    </row>
    <row r="12423" spans="32:32" x14ac:dyDescent="0.2">
      <c r="AF12423" s="679"/>
    </row>
    <row r="12424" spans="32:32" x14ac:dyDescent="0.2">
      <c r="AF12424" s="679"/>
    </row>
    <row r="12425" spans="32:32" x14ac:dyDescent="0.2">
      <c r="AF12425" s="679"/>
    </row>
    <row r="12426" spans="32:32" x14ac:dyDescent="0.2">
      <c r="AF12426" s="679"/>
    </row>
    <row r="12427" spans="32:32" x14ac:dyDescent="0.2">
      <c r="AF12427" s="679"/>
    </row>
    <row r="12428" spans="32:32" x14ac:dyDescent="0.2">
      <c r="AF12428" s="679"/>
    </row>
    <row r="12429" spans="32:32" x14ac:dyDescent="0.2">
      <c r="AF12429" s="679"/>
    </row>
    <row r="12430" spans="32:32" x14ac:dyDescent="0.2">
      <c r="AF12430" s="679"/>
    </row>
    <row r="12431" spans="32:32" x14ac:dyDescent="0.2">
      <c r="AF12431" s="679"/>
    </row>
    <row r="12432" spans="32:32" x14ac:dyDescent="0.2">
      <c r="AF12432" s="679"/>
    </row>
    <row r="12433" spans="32:32" x14ac:dyDescent="0.2">
      <c r="AF12433" s="679"/>
    </row>
    <row r="12434" spans="32:32" x14ac:dyDescent="0.2">
      <c r="AF12434" s="679"/>
    </row>
    <row r="12435" spans="32:32" x14ac:dyDescent="0.2">
      <c r="AF12435" s="679"/>
    </row>
    <row r="12436" spans="32:32" x14ac:dyDescent="0.2">
      <c r="AF12436" s="679"/>
    </row>
    <row r="12437" spans="32:32" x14ac:dyDescent="0.2">
      <c r="AF12437" s="679"/>
    </row>
    <row r="12438" spans="32:32" x14ac:dyDescent="0.2">
      <c r="AF12438" s="679"/>
    </row>
    <row r="12439" spans="32:32" x14ac:dyDescent="0.2">
      <c r="AF12439" s="679"/>
    </row>
    <row r="12440" spans="32:32" x14ac:dyDescent="0.2">
      <c r="AF12440" s="679"/>
    </row>
    <row r="12441" spans="32:32" x14ac:dyDescent="0.2">
      <c r="AF12441" s="679"/>
    </row>
    <row r="12442" spans="32:32" x14ac:dyDescent="0.2">
      <c r="AF12442" s="679"/>
    </row>
    <row r="12443" spans="32:32" x14ac:dyDescent="0.2">
      <c r="AF12443" s="679"/>
    </row>
    <row r="12444" spans="32:32" x14ac:dyDescent="0.2">
      <c r="AF12444" s="679"/>
    </row>
    <row r="12445" spans="32:32" x14ac:dyDescent="0.2">
      <c r="AF12445" s="679"/>
    </row>
    <row r="12446" spans="32:32" x14ac:dyDescent="0.2">
      <c r="AF12446" s="679"/>
    </row>
    <row r="12447" spans="32:32" x14ac:dyDescent="0.2">
      <c r="AF12447" s="679"/>
    </row>
    <row r="12448" spans="32:32" x14ac:dyDescent="0.2">
      <c r="AF12448" s="679"/>
    </row>
    <row r="12449" spans="32:32" x14ac:dyDescent="0.2">
      <c r="AF12449" s="679"/>
    </row>
    <row r="12450" spans="32:32" x14ac:dyDescent="0.2">
      <c r="AF12450" s="679"/>
    </row>
    <row r="12451" spans="32:32" x14ac:dyDescent="0.2">
      <c r="AF12451" s="679"/>
    </row>
    <row r="12452" spans="32:32" x14ac:dyDescent="0.2">
      <c r="AF12452" s="679"/>
    </row>
    <row r="12453" spans="32:32" x14ac:dyDescent="0.2">
      <c r="AF12453" s="679"/>
    </row>
    <row r="12454" spans="32:32" x14ac:dyDescent="0.2">
      <c r="AF12454" s="679"/>
    </row>
    <row r="12455" spans="32:32" x14ac:dyDescent="0.2">
      <c r="AF12455" s="679"/>
    </row>
    <row r="12456" spans="32:32" x14ac:dyDescent="0.2">
      <c r="AF12456" s="679"/>
    </row>
    <row r="12457" spans="32:32" x14ac:dyDescent="0.2">
      <c r="AF12457" s="679"/>
    </row>
    <row r="12458" spans="32:32" x14ac:dyDescent="0.2">
      <c r="AF12458" s="679"/>
    </row>
    <row r="12459" spans="32:32" x14ac:dyDescent="0.2">
      <c r="AF12459" s="679"/>
    </row>
    <row r="12460" spans="32:32" x14ac:dyDescent="0.2">
      <c r="AF12460" s="679"/>
    </row>
    <row r="12461" spans="32:32" x14ac:dyDescent="0.2">
      <c r="AF12461" s="679"/>
    </row>
    <row r="12462" spans="32:32" x14ac:dyDescent="0.2">
      <c r="AF12462" s="679"/>
    </row>
    <row r="12463" spans="32:32" x14ac:dyDescent="0.2">
      <c r="AF12463" s="679"/>
    </row>
    <row r="12464" spans="32:32" x14ac:dyDescent="0.2">
      <c r="AF12464" s="679"/>
    </row>
    <row r="12465" spans="32:32" x14ac:dyDescent="0.2">
      <c r="AF12465" s="679"/>
    </row>
    <row r="12466" spans="32:32" x14ac:dyDescent="0.2">
      <c r="AF12466" s="679"/>
    </row>
    <row r="12467" spans="32:32" x14ac:dyDescent="0.2">
      <c r="AF12467" s="679"/>
    </row>
    <row r="12468" spans="32:32" x14ac:dyDescent="0.2">
      <c r="AF12468" s="679"/>
    </row>
    <row r="12469" spans="32:32" x14ac:dyDescent="0.2">
      <c r="AF12469" s="679"/>
    </row>
    <row r="12470" spans="32:32" x14ac:dyDescent="0.2">
      <c r="AF12470" s="679"/>
    </row>
    <row r="12471" spans="32:32" x14ac:dyDescent="0.2">
      <c r="AF12471" s="679"/>
    </row>
    <row r="12472" spans="32:32" x14ac:dyDescent="0.2">
      <c r="AF12472" s="679"/>
    </row>
    <row r="12473" spans="32:32" x14ac:dyDescent="0.2">
      <c r="AF12473" s="679"/>
    </row>
    <row r="12474" spans="32:32" x14ac:dyDescent="0.2">
      <c r="AF12474" s="679"/>
    </row>
    <row r="12475" spans="32:32" x14ac:dyDescent="0.2">
      <c r="AF12475" s="679"/>
    </row>
    <row r="12476" spans="32:32" x14ac:dyDescent="0.2">
      <c r="AF12476" s="679"/>
    </row>
    <row r="12477" spans="32:32" x14ac:dyDescent="0.2">
      <c r="AF12477" s="679"/>
    </row>
    <row r="12478" spans="32:32" x14ac:dyDescent="0.2">
      <c r="AF12478" s="679"/>
    </row>
    <row r="12479" spans="32:32" x14ac:dyDescent="0.2">
      <c r="AF12479" s="679"/>
    </row>
    <row r="12480" spans="32:32" x14ac:dyDescent="0.2">
      <c r="AF12480" s="679"/>
    </row>
    <row r="12481" spans="32:32" x14ac:dyDescent="0.2">
      <c r="AF12481" s="679"/>
    </row>
    <row r="12482" spans="32:32" x14ac:dyDescent="0.2">
      <c r="AF12482" s="679"/>
    </row>
    <row r="12483" spans="32:32" x14ac:dyDescent="0.2">
      <c r="AF12483" s="679"/>
    </row>
    <row r="12484" spans="32:32" x14ac:dyDescent="0.2">
      <c r="AF12484" s="679"/>
    </row>
    <row r="12485" spans="32:32" x14ac:dyDescent="0.2">
      <c r="AF12485" s="679"/>
    </row>
    <row r="12486" spans="32:32" x14ac:dyDescent="0.2">
      <c r="AF12486" s="679"/>
    </row>
    <row r="12487" spans="32:32" x14ac:dyDescent="0.2">
      <c r="AF12487" s="679"/>
    </row>
    <row r="12488" spans="32:32" x14ac:dyDescent="0.2">
      <c r="AF12488" s="679"/>
    </row>
    <row r="12489" spans="32:32" x14ac:dyDescent="0.2">
      <c r="AF12489" s="679"/>
    </row>
    <row r="12490" spans="32:32" x14ac:dyDescent="0.2">
      <c r="AF12490" s="679"/>
    </row>
    <row r="12491" spans="32:32" x14ac:dyDescent="0.2">
      <c r="AF12491" s="679"/>
    </row>
    <row r="12492" spans="32:32" x14ac:dyDescent="0.2">
      <c r="AF12492" s="679"/>
    </row>
    <row r="12493" spans="32:32" x14ac:dyDescent="0.2">
      <c r="AF12493" s="679"/>
    </row>
    <row r="12494" spans="32:32" x14ac:dyDescent="0.2">
      <c r="AF12494" s="679"/>
    </row>
    <row r="12495" spans="32:32" x14ac:dyDescent="0.2">
      <c r="AF12495" s="679"/>
    </row>
    <row r="12496" spans="32:32" x14ac:dyDescent="0.2">
      <c r="AF12496" s="679"/>
    </row>
    <row r="12497" spans="32:32" x14ac:dyDescent="0.2">
      <c r="AF12497" s="679"/>
    </row>
    <row r="12498" spans="32:32" x14ac:dyDescent="0.2">
      <c r="AF12498" s="679"/>
    </row>
    <row r="12499" spans="32:32" x14ac:dyDescent="0.2">
      <c r="AF12499" s="679"/>
    </row>
    <row r="12500" spans="32:32" x14ac:dyDescent="0.2">
      <c r="AF12500" s="679"/>
    </row>
    <row r="12501" spans="32:32" x14ac:dyDescent="0.2">
      <c r="AF12501" s="679"/>
    </row>
    <row r="12502" spans="32:32" x14ac:dyDescent="0.2">
      <c r="AF12502" s="679"/>
    </row>
    <row r="12503" spans="32:32" x14ac:dyDescent="0.2">
      <c r="AF12503" s="679"/>
    </row>
    <row r="12504" spans="32:32" x14ac:dyDescent="0.2">
      <c r="AF12504" s="679"/>
    </row>
    <row r="12505" spans="32:32" x14ac:dyDescent="0.2">
      <c r="AF12505" s="679"/>
    </row>
    <row r="12506" spans="32:32" x14ac:dyDescent="0.2">
      <c r="AF12506" s="679"/>
    </row>
    <row r="12507" spans="32:32" x14ac:dyDescent="0.2">
      <c r="AF12507" s="679"/>
    </row>
    <row r="12508" spans="32:32" x14ac:dyDescent="0.2">
      <c r="AF12508" s="679"/>
    </row>
    <row r="12509" spans="32:32" x14ac:dyDescent="0.2">
      <c r="AF12509" s="679"/>
    </row>
    <row r="12510" spans="32:32" x14ac:dyDescent="0.2">
      <c r="AF12510" s="679"/>
    </row>
    <row r="12511" spans="32:32" x14ac:dyDescent="0.2">
      <c r="AF12511" s="679"/>
    </row>
    <row r="12512" spans="32:32" x14ac:dyDescent="0.2">
      <c r="AF12512" s="679"/>
    </row>
    <row r="12513" spans="32:32" x14ac:dyDescent="0.2">
      <c r="AF12513" s="679"/>
    </row>
    <row r="12514" spans="32:32" x14ac:dyDescent="0.2">
      <c r="AF12514" s="679"/>
    </row>
    <row r="12515" spans="32:32" x14ac:dyDescent="0.2">
      <c r="AF12515" s="679"/>
    </row>
    <row r="12516" spans="32:32" x14ac:dyDescent="0.2">
      <c r="AF12516" s="679"/>
    </row>
    <row r="12517" spans="32:32" x14ac:dyDescent="0.2">
      <c r="AF12517" s="679"/>
    </row>
    <row r="12518" spans="32:32" x14ac:dyDescent="0.2">
      <c r="AF12518" s="679"/>
    </row>
    <row r="12519" spans="32:32" x14ac:dyDescent="0.2">
      <c r="AF12519" s="679"/>
    </row>
    <row r="12520" spans="32:32" x14ac:dyDescent="0.2">
      <c r="AF12520" s="679"/>
    </row>
    <row r="12521" spans="32:32" x14ac:dyDescent="0.2">
      <c r="AF12521" s="679"/>
    </row>
    <row r="12522" spans="32:32" x14ac:dyDescent="0.2">
      <c r="AF12522" s="679"/>
    </row>
    <row r="12523" spans="32:32" x14ac:dyDescent="0.2">
      <c r="AF12523" s="679"/>
    </row>
    <row r="12524" spans="32:32" x14ac:dyDescent="0.2">
      <c r="AF12524" s="679"/>
    </row>
    <row r="12525" spans="32:32" x14ac:dyDescent="0.2">
      <c r="AF12525" s="679"/>
    </row>
    <row r="12526" spans="32:32" x14ac:dyDescent="0.2">
      <c r="AF12526" s="679"/>
    </row>
    <row r="12527" spans="32:32" x14ac:dyDescent="0.2">
      <c r="AF12527" s="679"/>
    </row>
    <row r="12528" spans="32:32" x14ac:dyDescent="0.2">
      <c r="AF12528" s="679"/>
    </row>
    <row r="12529" spans="32:32" x14ac:dyDescent="0.2">
      <c r="AF12529" s="679"/>
    </row>
    <row r="12530" spans="32:32" x14ac:dyDescent="0.2">
      <c r="AF12530" s="679"/>
    </row>
    <row r="12531" spans="32:32" x14ac:dyDescent="0.2">
      <c r="AF12531" s="679"/>
    </row>
    <row r="12532" spans="32:32" x14ac:dyDescent="0.2">
      <c r="AF12532" s="679"/>
    </row>
    <row r="12533" spans="32:32" x14ac:dyDescent="0.2">
      <c r="AF12533" s="679"/>
    </row>
    <row r="12534" spans="32:32" x14ac:dyDescent="0.2">
      <c r="AF12534" s="679"/>
    </row>
    <row r="12535" spans="32:32" x14ac:dyDescent="0.2">
      <c r="AF12535" s="679"/>
    </row>
    <row r="12536" spans="32:32" x14ac:dyDescent="0.2">
      <c r="AF12536" s="679"/>
    </row>
    <row r="12537" spans="32:32" x14ac:dyDescent="0.2">
      <c r="AF12537" s="679"/>
    </row>
    <row r="12538" spans="32:32" x14ac:dyDescent="0.2">
      <c r="AF12538" s="679"/>
    </row>
    <row r="12539" spans="32:32" x14ac:dyDescent="0.2">
      <c r="AF12539" s="679"/>
    </row>
    <row r="12540" spans="32:32" x14ac:dyDescent="0.2">
      <c r="AF12540" s="679"/>
    </row>
    <row r="12541" spans="32:32" x14ac:dyDescent="0.2">
      <c r="AF12541" s="679"/>
    </row>
    <row r="12542" spans="32:32" x14ac:dyDescent="0.2">
      <c r="AF12542" s="679"/>
    </row>
    <row r="12543" spans="32:32" x14ac:dyDescent="0.2">
      <c r="AF12543" s="679"/>
    </row>
    <row r="12544" spans="32:32" x14ac:dyDescent="0.2">
      <c r="AF12544" s="679"/>
    </row>
    <row r="12545" spans="32:32" x14ac:dyDescent="0.2">
      <c r="AF12545" s="679"/>
    </row>
    <row r="12546" spans="32:32" x14ac:dyDescent="0.2">
      <c r="AF12546" s="679"/>
    </row>
    <row r="12547" spans="32:32" x14ac:dyDescent="0.2">
      <c r="AF12547" s="679"/>
    </row>
    <row r="12548" spans="32:32" x14ac:dyDescent="0.2">
      <c r="AF12548" s="679"/>
    </row>
    <row r="12549" spans="32:32" x14ac:dyDescent="0.2">
      <c r="AF12549" s="679"/>
    </row>
    <row r="12550" spans="32:32" x14ac:dyDescent="0.2">
      <c r="AF12550" s="679"/>
    </row>
    <row r="12551" spans="32:32" x14ac:dyDescent="0.2">
      <c r="AF12551" s="679"/>
    </row>
    <row r="12552" spans="32:32" x14ac:dyDescent="0.2">
      <c r="AF12552" s="679"/>
    </row>
    <row r="12553" spans="32:32" x14ac:dyDescent="0.2">
      <c r="AF12553" s="679"/>
    </row>
    <row r="12554" spans="32:32" x14ac:dyDescent="0.2">
      <c r="AF12554" s="679"/>
    </row>
    <row r="12555" spans="32:32" x14ac:dyDescent="0.2">
      <c r="AF12555" s="679"/>
    </row>
    <row r="12556" spans="32:32" x14ac:dyDescent="0.2">
      <c r="AF12556" s="679"/>
    </row>
    <row r="12557" spans="32:32" x14ac:dyDescent="0.2">
      <c r="AF12557" s="679"/>
    </row>
    <row r="12558" spans="32:32" x14ac:dyDescent="0.2">
      <c r="AF12558" s="679"/>
    </row>
    <row r="12559" spans="32:32" x14ac:dyDescent="0.2">
      <c r="AF12559" s="679"/>
    </row>
    <row r="12560" spans="32:32" x14ac:dyDescent="0.2">
      <c r="AF12560" s="679"/>
    </row>
    <row r="12561" spans="32:32" x14ac:dyDescent="0.2">
      <c r="AF12561" s="679"/>
    </row>
    <row r="12562" spans="32:32" x14ac:dyDescent="0.2">
      <c r="AF12562" s="679"/>
    </row>
    <row r="12563" spans="32:32" x14ac:dyDescent="0.2">
      <c r="AF12563" s="679"/>
    </row>
    <row r="12564" spans="32:32" x14ac:dyDescent="0.2">
      <c r="AF12564" s="679"/>
    </row>
    <row r="12565" spans="32:32" x14ac:dyDescent="0.2">
      <c r="AF12565" s="679"/>
    </row>
    <row r="12566" spans="32:32" x14ac:dyDescent="0.2">
      <c r="AF12566" s="679"/>
    </row>
    <row r="12567" spans="32:32" x14ac:dyDescent="0.2">
      <c r="AF12567" s="679"/>
    </row>
    <row r="12568" spans="32:32" x14ac:dyDescent="0.2">
      <c r="AF12568" s="679"/>
    </row>
    <row r="12569" spans="32:32" x14ac:dyDescent="0.2">
      <c r="AF12569" s="679"/>
    </row>
    <row r="12570" spans="32:32" x14ac:dyDescent="0.2">
      <c r="AF12570" s="679"/>
    </row>
    <row r="12571" spans="32:32" x14ac:dyDescent="0.2">
      <c r="AF12571" s="679"/>
    </row>
    <row r="12572" spans="32:32" x14ac:dyDescent="0.2">
      <c r="AF12572" s="679"/>
    </row>
    <row r="12573" spans="32:32" x14ac:dyDescent="0.2">
      <c r="AF12573" s="679"/>
    </row>
    <row r="12574" spans="32:32" x14ac:dyDescent="0.2">
      <c r="AF12574" s="679"/>
    </row>
    <row r="12575" spans="32:32" x14ac:dyDescent="0.2">
      <c r="AF12575" s="679"/>
    </row>
    <row r="12576" spans="32:32" x14ac:dyDescent="0.2">
      <c r="AF12576" s="679"/>
    </row>
    <row r="12577" spans="32:32" x14ac:dyDescent="0.2">
      <c r="AF12577" s="679"/>
    </row>
    <row r="12578" spans="32:32" x14ac:dyDescent="0.2">
      <c r="AF12578" s="679"/>
    </row>
    <row r="12579" spans="32:32" x14ac:dyDescent="0.2">
      <c r="AF12579" s="679"/>
    </row>
    <row r="12580" spans="32:32" x14ac:dyDescent="0.2">
      <c r="AF12580" s="679"/>
    </row>
    <row r="12581" spans="32:32" x14ac:dyDescent="0.2">
      <c r="AF12581" s="679"/>
    </row>
    <row r="12582" spans="32:32" x14ac:dyDescent="0.2">
      <c r="AF12582" s="679"/>
    </row>
    <row r="12583" spans="32:32" x14ac:dyDescent="0.2">
      <c r="AF12583" s="679"/>
    </row>
    <row r="12584" spans="32:32" x14ac:dyDescent="0.2">
      <c r="AF12584" s="679"/>
    </row>
    <row r="12585" spans="32:32" x14ac:dyDescent="0.2">
      <c r="AF12585" s="679"/>
    </row>
    <row r="12586" spans="32:32" x14ac:dyDescent="0.2">
      <c r="AF12586" s="679"/>
    </row>
    <row r="12587" spans="32:32" x14ac:dyDescent="0.2">
      <c r="AF12587" s="679"/>
    </row>
    <row r="12588" spans="32:32" x14ac:dyDescent="0.2">
      <c r="AF12588" s="679"/>
    </row>
    <row r="12589" spans="32:32" x14ac:dyDescent="0.2">
      <c r="AF12589" s="679"/>
    </row>
    <row r="12590" spans="32:32" x14ac:dyDescent="0.2">
      <c r="AF12590" s="679"/>
    </row>
    <row r="12591" spans="32:32" x14ac:dyDescent="0.2">
      <c r="AF12591" s="679"/>
    </row>
    <row r="12592" spans="32:32" x14ac:dyDescent="0.2">
      <c r="AF12592" s="679"/>
    </row>
    <row r="12593" spans="32:32" x14ac:dyDescent="0.2">
      <c r="AF12593" s="679"/>
    </row>
    <row r="12594" spans="32:32" x14ac:dyDescent="0.2">
      <c r="AF12594" s="679"/>
    </row>
    <row r="12595" spans="32:32" x14ac:dyDescent="0.2">
      <c r="AF12595" s="679"/>
    </row>
    <row r="12596" spans="32:32" x14ac:dyDescent="0.2">
      <c r="AF12596" s="679"/>
    </row>
    <row r="12597" spans="32:32" x14ac:dyDescent="0.2">
      <c r="AF12597" s="679"/>
    </row>
    <row r="12598" spans="32:32" x14ac:dyDescent="0.2">
      <c r="AF12598" s="679"/>
    </row>
    <row r="12599" spans="32:32" x14ac:dyDescent="0.2">
      <c r="AF12599" s="679"/>
    </row>
    <row r="12600" spans="32:32" x14ac:dyDescent="0.2">
      <c r="AF12600" s="679"/>
    </row>
    <row r="12601" spans="32:32" x14ac:dyDescent="0.2">
      <c r="AF12601" s="679"/>
    </row>
    <row r="12602" spans="32:32" x14ac:dyDescent="0.2">
      <c r="AF12602" s="679"/>
    </row>
    <row r="12603" spans="32:32" x14ac:dyDescent="0.2">
      <c r="AF12603" s="679"/>
    </row>
    <row r="12604" spans="32:32" x14ac:dyDescent="0.2">
      <c r="AF12604" s="679"/>
    </row>
    <row r="12605" spans="32:32" x14ac:dyDescent="0.2">
      <c r="AF12605" s="679"/>
    </row>
    <row r="12606" spans="32:32" x14ac:dyDescent="0.2">
      <c r="AF12606" s="679"/>
    </row>
    <row r="12607" spans="32:32" x14ac:dyDescent="0.2">
      <c r="AF12607" s="679"/>
    </row>
    <row r="12608" spans="32:32" x14ac:dyDescent="0.2">
      <c r="AF12608" s="679"/>
    </row>
    <row r="12609" spans="32:32" x14ac:dyDescent="0.2">
      <c r="AF12609" s="679"/>
    </row>
    <row r="12610" spans="32:32" x14ac:dyDescent="0.2">
      <c r="AF12610" s="679"/>
    </row>
    <row r="12611" spans="32:32" x14ac:dyDescent="0.2">
      <c r="AF12611" s="679"/>
    </row>
    <row r="12612" spans="32:32" x14ac:dyDescent="0.2">
      <c r="AF12612" s="679"/>
    </row>
    <row r="12613" spans="32:32" x14ac:dyDescent="0.2">
      <c r="AF12613" s="679"/>
    </row>
    <row r="12614" spans="32:32" x14ac:dyDescent="0.2">
      <c r="AF12614" s="679"/>
    </row>
    <row r="12615" spans="32:32" x14ac:dyDescent="0.2">
      <c r="AF12615" s="679"/>
    </row>
    <row r="12616" spans="32:32" x14ac:dyDescent="0.2">
      <c r="AF12616" s="679"/>
    </row>
    <row r="12617" spans="32:32" x14ac:dyDescent="0.2">
      <c r="AF12617" s="679"/>
    </row>
    <row r="12618" spans="32:32" x14ac:dyDescent="0.2">
      <c r="AF12618" s="679"/>
    </row>
    <row r="12619" spans="32:32" x14ac:dyDescent="0.2">
      <c r="AF12619" s="679"/>
    </row>
    <row r="12620" spans="32:32" x14ac:dyDescent="0.2">
      <c r="AF12620" s="679"/>
    </row>
    <row r="12621" spans="32:32" x14ac:dyDescent="0.2">
      <c r="AF12621" s="679"/>
    </row>
    <row r="12622" spans="32:32" x14ac:dyDescent="0.2">
      <c r="AF12622" s="679"/>
    </row>
    <row r="12623" spans="32:32" x14ac:dyDescent="0.2">
      <c r="AF12623" s="679"/>
    </row>
    <row r="12624" spans="32:32" x14ac:dyDescent="0.2">
      <c r="AF12624" s="679"/>
    </row>
    <row r="12625" spans="32:32" x14ac:dyDescent="0.2">
      <c r="AF12625" s="679"/>
    </row>
    <row r="12626" spans="32:32" x14ac:dyDescent="0.2">
      <c r="AF12626" s="679"/>
    </row>
    <row r="12627" spans="32:32" x14ac:dyDescent="0.2">
      <c r="AF12627" s="679"/>
    </row>
    <row r="12628" spans="32:32" x14ac:dyDescent="0.2">
      <c r="AF12628" s="679"/>
    </row>
    <row r="12629" spans="32:32" x14ac:dyDescent="0.2">
      <c r="AF12629" s="679"/>
    </row>
    <row r="12630" spans="32:32" x14ac:dyDescent="0.2">
      <c r="AF12630" s="679"/>
    </row>
    <row r="12631" spans="32:32" x14ac:dyDescent="0.2">
      <c r="AF12631" s="679"/>
    </row>
    <row r="12632" spans="32:32" x14ac:dyDescent="0.2">
      <c r="AF12632" s="679"/>
    </row>
    <row r="12633" spans="32:32" x14ac:dyDescent="0.2">
      <c r="AF12633" s="679"/>
    </row>
    <row r="12634" spans="32:32" x14ac:dyDescent="0.2">
      <c r="AF12634" s="679"/>
    </row>
    <row r="12635" spans="32:32" x14ac:dyDescent="0.2">
      <c r="AF12635" s="679"/>
    </row>
    <row r="12636" spans="32:32" x14ac:dyDescent="0.2">
      <c r="AF12636" s="679"/>
    </row>
    <row r="12637" spans="32:32" x14ac:dyDescent="0.2">
      <c r="AF12637" s="679"/>
    </row>
    <row r="12638" spans="32:32" x14ac:dyDescent="0.2">
      <c r="AF12638" s="679"/>
    </row>
    <row r="12639" spans="32:32" x14ac:dyDescent="0.2">
      <c r="AF12639" s="679"/>
    </row>
    <row r="12640" spans="32:32" x14ac:dyDescent="0.2">
      <c r="AF12640" s="679"/>
    </row>
    <row r="12641" spans="32:32" x14ac:dyDescent="0.2">
      <c r="AF12641" s="679"/>
    </row>
    <row r="12642" spans="32:32" x14ac:dyDescent="0.2">
      <c r="AF12642" s="679"/>
    </row>
    <row r="12643" spans="32:32" x14ac:dyDescent="0.2">
      <c r="AF12643" s="679"/>
    </row>
    <row r="12644" spans="32:32" x14ac:dyDescent="0.2">
      <c r="AF12644" s="679"/>
    </row>
    <row r="12645" spans="32:32" x14ac:dyDescent="0.2">
      <c r="AF12645" s="679"/>
    </row>
    <row r="12646" spans="32:32" x14ac:dyDescent="0.2">
      <c r="AF12646" s="679"/>
    </row>
    <row r="12647" spans="32:32" x14ac:dyDescent="0.2">
      <c r="AF12647" s="679"/>
    </row>
    <row r="12648" spans="32:32" x14ac:dyDescent="0.2">
      <c r="AF12648" s="679"/>
    </row>
    <row r="12649" spans="32:32" x14ac:dyDescent="0.2">
      <c r="AF12649" s="679"/>
    </row>
    <row r="12650" spans="32:32" x14ac:dyDescent="0.2">
      <c r="AF12650" s="679"/>
    </row>
    <row r="12651" spans="32:32" x14ac:dyDescent="0.2">
      <c r="AF12651" s="679"/>
    </row>
    <row r="12652" spans="32:32" x14ac:dyDescent="0.2">
      <c r="AF12652" s="679"/>
    </row>
    <row r="12653" spans="32:32" x14ac:dyDescent="0.2">
      <c r="AF12653" s="679"/>
    </row>
    <row r="12654" spans="32:32" x14ac:dyDescent="0.2">
      <c r="AF12654" s="679"/>
    </row>
    <row r="12655" spans="32:32" x14ac:dyDescent="0.2">
      <c r="AF12655" s="679"/>
    </row>
    <row r="12656" spans="32:32" x14ac:dyDescent="0.2">
      <c r="AF12656" s="679"/>
    </row>
    <row r="12657" spans="32:32" x14ac:dyDescent="0.2">
      <c r="AF12657" s="679"/>
    </row>
    <row r="12658" spans="32:32" x14ac:dyDescent="0.2">
      <c r="AF12658" s="679"/>
    </row>
    <row r="12659" spans="32:32" x14ac:dyDescent="0.2">
      <c r="AF12659" s="679"/>
    </row>
    <row r="12660" spans="32:32" x14ac:dyDescent="0.2">
      <c r="AF12660" s="679"/>
    </row>
    <row r="12661" spans="32:32" x14ac:dyDescent="0.2">
      <c r="AF12661" s="679"/>
    </row>
    <row r="12662" spans="32:32" x14ac:dyDescent="0.2">
      <c r="AF12662" s="679"/>
    </row>
    <row r="12663" spans="32:32" x14ac:dyDescent="0.2">
      <c r="AF12663" s="679"/>
    </row>
    <row r="12664" spans="32:32" x14ac:dyDescent="0.2">
      <c r="AF12664" s="679"/>
    </row>
    <row r="12665" spans="32:32" x14ac:dyDescent="0.2">
      <c r="AF12665" s="679"/>
    </row>
    <row r="12666" spans="32:32" x14ac:dyDescent="0.2">
      <c r="AF12666" s="679"/>
    </row>
    <row r="12667" spans="32:32" x14ac:dyDescent="0.2">
      <c r="AF12667" s="679"/>
    </row>
    <row r="12668" spans="32:32" x14ac:dyDescent="0.2">
      <c r="AF12668" s="679"/>
    </row>
    <row r="12669" spans="32:32" x14ac:dyDescent="0.2">
      <c r="AF12669" s="679"/>
    </row>
    <row r="12670" spans="32:32" x14ac:dyDescent="0.2">
      <c r="AF12670" s="679"/>
    </row>
    <row r="12671" spans="32:32" x14ac:dyDescent="0.2">
      <c r="AF12671" s="679"/>
    </row>
    <row r="12672" spans="32:32" x14ac:dyDescent="0.2">
      <c r="AF12672" s="679"/>
    </row>
    <row r="12673" spans="32:32" x14ac:dyDescent="0.2">
      <c r="AF12673" s="679"/>
    </row>
    <row r="12674" spans="32:32" x14ac:dyDescent="0.2">
      <c r="AF12674" s="679"/>
    </row>
    <row r="12675" spans="32:32" x14ac:dyDescent="0.2">
      <c r="AF12675" s="679"/>
    </row>
    <row r="12676" spans="32:32" x14ac:dyDescent="0.2">
      <c r="AF12676" s="679"/>
    </row>
    <row r="12677" spans="32:32" x14ac:dyDescent="0.2">
      <c r="AF12677" s="679"/>
    </row>
    <row r="12678" spans="32:32" x14ac:dyDescent="0.2">
      <c r="AF12678" s="679"/>
    </row>
    <row r="12679" spans="32:32" x14ac:dyDescent="0.2">
      <c r="AF12679" s="679"/>
    </row>
    <row r="12680" spans="32:32" x14ac:dyDescent="0.2">
      <c r="AF12680" s="679"/>
    </row>
    <row r="12681" spans="32:32" x14ac:dyDescent="0.2">
      <c r="AF12681" s="679"/>
    </row>
    <row r="12682" spans="32:32" x14ac:dyDescent="0.2">
      <c r="AF12682" s="679"/>
    </row>
    <row r="12683" spans="32:32" x14ac:dyDescent="0.2">
      <c r="AF12683" s="679"/>
    </row>
    <row r="12684" spans="32:32" x14ac:dyDescent="0.2">
      <c r="AF12684" s="679"/>
    </row>
    <row r="12685" spans="32:32" x14ac:dyDescent="0.2">
      <c r="AF12685" s="679"/>
    </row>
    <row r="12686" spans="32:32" x14ac:dyDescent="0.2">
      <c r="AF12686" s="679"/>
    </row>
    <row r="12687" spans="32:32" x14ac:dyDescent="0.2">
      <c r="AF12687" s="679"/>
    </row>
    <row r="12688" spans="32:32" x14ac:dyDescent="0.2">
      <c r="AF12688" s="679"/>
    </row>
    <row r="12689" spans="32:32" x14ac:dyDescent="0.2">
      <c r="AF12689" s="679"/>
    </row>
    <row r="12690" spans="32:32" x14ac:dyDescent="0.2">
      <c r="AF12690" s="679"/>
    </row>
    <row r="12691" spans="32:32" x14ac:dyDescent="0.2">
      <c r="AF12691" s="679"/>
    </row>
    <row r="12692" spans="32:32" x14ac:dyDescent="0.2">
      <c r="AF12692" s="679"/>
    </row>
    <row r="12693" spans="32:32" x14ac:dyDescent="0.2">
      <c r="AF12693" s="679"/>
    </row>
    <row r="12694" spans="32:32" x14ac:dyDescent="0.2">
      <c r="AF12694" s="679"/>
    </row>
    <row r="12695" spans="32:32" x14ac:dyDescent="0.2">
      <c r="AF12695" s="679"/>
    </row>
    <row r="12696" spans="32:32" x14ac:dyDescent="0.2">
      <c r="AF12696" s="679"/>
    </row>
    <row r="12697" spans="32:32" x14ac:dyDescent="0.2">
      <c r="AF12697" s="679"/>
    </row>
    <row r="12698" spans="32:32" x14ac:dyDescent="0.2">
      <c r="AF12698" s="679"/>
    </row>
    <row r="12699" spans="32:32" x14ac:dyDescent="0.2">
      <c r="AF12699" s="679"/>
    </row>
    <row r="12700" spans="32:32" x14ac:dyDescent="0.2">
      <c r="AF12700" s="679"/>
    </row>
    <row r="12701" spans="32:32" x14ac:dyDescent="0.2">
      <c r="AF12701" s="679"/>
    </row>
    <row r="12702" spans="32:32" x14ac:dyDescent="0.2">
      <c r="AF12702" s="679"/>
    </row>
    <row r="12703" spans="32:32" x14ac:dyDescent="0.2">
      <c r="AF12703" s="679"/>
    </row>
    <row r="12704" spans="32:32" x14ac:dyDescent="0.2">
      <c r="AF12704" s="679"/>
    </row>
    <row r="12705" spans="32:32" x14ac:dyDescent="0.2">
      <c r="AF12705" s="679"/>
    </row>
    <row r="12706" spans="32:32" x14ac:dyDescent="0.2">
      <c r="AF12706" s="679"/>
    </row>
    <row r="12707" spans="32:32" x14ac:dyDescent="0.2">
      <c r="AF12707" s="679"/>
    </row>
    <row r="12708" spans="32:32" x14ac:dyDescent="0.2">
      <c r="AF12708" s="679"/>
    </row>
    <row r="12709" spans="32:32" x14ac:dyDescent="0.2">
      <c r="AF12709" s="679"/>
    </row>
    <row r="12710" spans="32:32" x14ac:dyDescent="0.2">
      <c r="AF12710" s="679"/>
    </row>
    <row r="12711" spans="32:32" x14ac:dyDescent="0.2">
      <c r="AF12711" s="679"/>
    </row>
    <row r="12712" spans="32:32" x14ac:dyDescent="0.2">
      <c r="AF12712" s="679"/>
    </row>
    <row r="12713" spans="32:32" x14ac:dyDescent="0.2">
      <c r="AF12713" s="679"/>
    </row>
    <row r="12714" spans="32:32" x14ac:dyDescent="0.2">
      <c r="AF12714" s="679"/>
    </row>
    <row r="12715" spans="32:32" x14ac:dyDescent="0.2">
      <c r="AF12715" s="679"/>
    </row>
    <row r="12716" spans="32:32" x14ac:dyDescent="0.2">
      <c r="AF12716" s="679"/>
    </row>
    <row r="12717" spans="32:32" x14ac:dyDescent="0.2">
      <c r="AF12717" s="679"/>
    </row>
    <row r="12718" spans="32:32" x14ac:dyDescent="0.2">
      <c r="AF12718" s="679"/>
    </row>
    <row r="12719" spans="32:32" x14ac:dyDescent="0.2">
      <c r="AF12719" s="679"/>
    </row>
    <row r="12720" spans="32:32" x14ac:dyDescent="0.2">
      <c r="AF12720" s="679"/>
    </row>
    <row r="12721" spans="32:32" x14ac:dyDescent="0.2">
      <c r="AF12721" s="679"/>
    </row>
    <row r="12722" spans="32:32" x14ac:dyDescent="0.2">
      <c r="AF12722" s="679"/>
    </row>
    <row r="12723" spans="32:32" x14ac:dyDescent="0.2">
      <c r="AF12723" s="679"/>
    </row>
    <row r="12724" spans="32:32" x14ac:dyDescent="0.2">
      <c r="AF12724" s="679"/>
    </row>
    <row r="12725" spans="32:32" x14ac:dyDescent="0.2">
      <c r="AF12725" s="679"/>
    </row>
    <row r="12726" spans="32:32" x14ac:dyDescent="0.2">
      <c r="AF12726" s="679"/>
    </row>
    <row r="12727" spans="32:32" x14ac:dyDescent="0.2">
      <c r="AF12727" s="679"/>
    </row>
    <row r="12728" spans="32:32" x14ac:dyDescent="0.2">
      <c r="AF12728" s="679"/>
    </row>
    <row r="12729" spans="32:32" x14ac:dyDescent="0.2">
      <c r="AF12729" s="679"/>
    </row>
    <row r="12730" spans="32:32" x14ac:dyDescent="0.2">
      <c r="AF12730" s="679"/>
    </row>
    <row r="12731" spans="32:32" x14ac:dyDescent="0.2">
      <c r="AF12731" s="679"/>
    </row>
    <row r="12732" spans="32:32" x14ac:dyDescent="0.2">
      <c r="AF12732" s="679"/>
    </row>
    <row r="12733" spans="32:32" x14ac:dyDescent="0.2">
      <c r="AF12733" s="679"/>
    </row>
    <row r="12734" spans="32:32" x14ac:dyDescent="0.2">
      <c r="AF12734" s="679"/>
    </row>
    <row r="12735" spans="32:32" x14ac:dyDescent="0.2">
      <c r="AF12735" s="679"/>
    </row>
    <row r="12736" spans="32:32" x14ac:dyDescent="0.2">
      <c r="AF12736" s="679"/>
    </row>
    <row r="12737" spans="32:32" x14ac:dyDescent="0.2">
      <c r="AF12737" s="679"/>
    </row>
    <row r="12738" spans="32:32" x14ac:dyDescent="0.2">
      <c r="AF12738" s="679"/>
    </row>
    <row r="12739" spans="32:32" x14ac:dyDescent="0.2">
      <c r="AF12739" s="679"/>
    </row>
    <row r="12740" spans="32:32" x14ac:dyDescent="0.2">
      <c r="AF12740" s="679"/>
    </row>
    <row r="12741" spans="32:32" x14ac:dyDescent="0.2">
      <c r="AF12741" s="679"/>
    </row>
    <row r="12742" spans="32:32" x14ac:dyDescent="0.2">
      <c r="AF12742" s="679"/>
    </row>
    <row r="12743" spans="32:32" x14ac:dyDescent="0.2">
      <c r="AF12743" s="679"/>
    </row>
    <row r="12744" spans="32:32" x14ac:dyDescent="0.2">
      <c r="AF12744" s="679"/>
    </row>
    <row r="12745" spans="32:32" x14ac:dyDescent="0.2">
      <c r="AF12745" s="679"/>
    </row>
    <row r="12746" spans="32:32" x14ac:dyDescent="0.2">
      <c r="AF12746" s="679"/>
    </row>
    <row r="12747" spans="32:32" x14ac:dyDescent="0.2">
      <c r="AF12747" s="679"/>
    </row>
    <row r="12748" spans="32:32" x14ac:dyDescent="0.2">
      <c r="AF12748" s="679"/>
    </row>
    <row r="12749" spans="32:32" x14ac:dyDescent="0.2">
      <c r="AF12749" s="679"/>
    </row>
    <row r="12750" spans="32:32" x14ac:dyDescent="0.2">
      <c r="AF12750" s="679"/>
    </row>
    <row r="12751" spans="32:32" x14ac:dyDescent="0.2">
      <c r="AF12751" s="679"/>
    </row>
    <row r="12752" spans="32:32" x14ac:dyDescent="0.2">
      <c r="AF12752" s="679"/>
    </row>
    <row r="12753" spans="32:32" x14ac:dyDescent="0.2">
      <c r="AF12753" s="679"/>
    </row>
    <row r="12754" spans="32:32" x14ac:dyDescent="0.2">
      <c r="AF12754" s="679"/>
    </row>
    <row r="12755" spans="32:32" x14ac:dyDescent="0.2">
      <c r="AF12755" s="679"/>
    </row>
    <row r="12756" spans="32:32" x14ac:dyDescent="0.2">
      <c r="AF12756" s="679"/>
    </row>
    <row r="12757" spans="32:32" x14ac:dyDescent="0.2">
      <c r="AF12757" s="679"/>
    </row>
    <row r="12758" spans="32:32" x14ac:dyDescent="0.2">
      <c r="AF12758" s="679"/>
    </row>
    <row r="12759" spans="32:32" x14ac:dyDescent="0.2">
      <c r="AF12759" s="679"/>
    </row>
    <row r="12760" spans="32:32" x14ac:dyDescent="0.2">
      <c r="AF12760" s="679"/>
    </row>
    <row r="12761" spans="32:32" x14ac:dyDescent="0.2">
      <c r="AF12761" s="679"/>
    </row>
    <row r="12762" spans="32:32" x14ac:dyDescent="0.2">
      <c r="AF12762" s="679"/>
    </row>
    <row r="12763" spans="32:32" x14ac:dyDescent="0.2">
      <c r="AF12763" s="679"/>
    </row>
    <row r="12764" spans="32:32" x14ac:dyDescent="0.2">
      <c r="AF12764" s="679"/>
    </row>
    <row r="12765" spans="32:32" x14ac:dyDescent="0.2">
      <c r="AF12765" s="679"/>
    </row>
    <row r="12766" spans="32:32" x14ac:dyDescent="0.2">
      <c r="AF12766" s="679"/>
    </row>
    <row r="12767" spans="32:32" x14ac:dyDescent="0.2">
      <c r="AF12767" s="679"/>
    </row>
    <row r="12768" spans="32:32" x14ac:dyDescent="0.2">
      <c r="AF12768" s="679"/>
    </row>
    <row r="12769" spans="32:32" x14ac:dyDescent="0.2">
      <c r="AF12769" s="679"/>
    </row>
    <row r="12770" spans="32:32" x14ac:dyDescent="0.2">
      <c r="AF12770" s="679"/>
    </row>
    <row r="12771" spans="32:32" x14ac:dyDescent="0.2">
      <c r="AF12771" s="679"/>
    </row>
    <row r="12772" spans="32:32" x14ac:dyDescent="0.2">
      <c r="AF12772" s="679"/>
    </row>
    <row r="12773" spans="32:32" x14ac:dyDescent="0.2">
      <c r="AF12773" s="679"/>
    </row>
    <row r="12774" spans="32:32" x14ac:dyDescent="0.2">
      <c r="AF12774" s="679"/>
    </row>
    <row r="12775" spans="32:32" x14ac:dyDescent="0.2">
      <c r="AF12775" s="679"/>
    </row>
    <row r="12776" spans="32:32" x14ac:dyDescent="0.2">
      <c r="AF12776" s="679"/>
    </row>
    <row r="12777" spans="32:32" x14ac:dyDescent="0.2">
      <c r="AF12777" s="679"/>
    </row>
    <row r="12778" spans="32:32" x14ac:dyDescent="0.2">
      <c r="AF12778" s="679"/>
    </row>
    <row r="12779" spans="32:32" x14ac:dyDescent="0.2">
      <c r="AF12779" s="679"/>
    </row>
    <row r="12780" spans="32:32" x14ac:dyDescent="0.2">
      <c r="AF12780" s="679"/>
    </row>
    <row r="12781" spans="32:32" x14ac:dyDescent="0.2">
      <c r="AF12781" s="679"/>
    </row>
    <row r="12782" spans="32:32" x14ac:dyDescent="0.2">
      <c r="AF12782" s="679"/>
    </row>
    <row r="12783" spans="32:32" x14ac:dyDescent="0.2">
      <c r="AF12783" s="679"/>
    </row>
    <row r="12784" spans="32:32" x14ac:dyDescent="0.2">
      <c r="AF12784" s="679"/>
    </row>
    <row r="12785" spans="32:32" x14ac:dyDescent="0.2">
      <c r="AF12785" s="679"/>
    </row>
    <row r="12786" spans="32:32" x14ac:dyDescent="0.2">
      <c r="AF12786" s="679"/>
    </row>
    <row r="12787" spans="32:32" x14ac:dyDescent="0.2">
      <c r="AF12787" s="679"/>
    </row>
    <row r="12788" spans="32:32" x14ac:dyDescent="0.2">
      <c r="AF12788" s="679"/>
    </row>
    <row r="12789" spans="32:32" x14ac:dyDescent="0.2">
      <c r="AF12789" s="679"/>
    </row>
    <row r="12790" spans="32:32" x14ac:dyDescent="0.2">
      <c r="AF12790" s="679"/>
    </row>
    <row r="12791" spans="32:32" x14ac:dyDescent="0.2">
      <c r="AF12791" s="679"/>
    </row>
    <row r="12792" spans="32:32" x14ac:dyDescent="0.2">
      <c r="AF12792" s="679"/>
    </row>
    <row r="12793" spans="32:32" x14ac:dyDescent="0.2">
      <c r="AF12793" s="679"/>
    </row>
    <row r="12794" spans="32:32" x14ac:dyDescent="0.2">
      <c r="AF12794" s="679"/>
    </row>
    <row r="12795" spans="32:32" x14ac:dyDescent="0.2">
      <c r="AF12795" s="679"/>
    </row>
    <row r="12796" spans="32:32" x14ac:dyDescent="0.2">
      <c r="AF12796" s="679"/>
    </row>
    <row r="12797" spans="32:32" x14ac:dyDescent="0.2">
      <c r="AF12797" s="679"/>
    </row>
    <row r="12798" spans="32:32" x14ac:dyDescent="0.2">
      <c r="AF12798" s="679"/>
    </row>
    <row r="12799" spans="32:32" x14ac:dyDescent="0.2">
      <c r="AF12799" s="679"/>
    </row>
    <row r="12800" spans="32:32" x14ac:dyDescent="0.2">
      <c r="AF12800" s="679"/>
    </row>
    <row r="12801" spans="32:32" x14ac:dyDescent="0.2">
      <c r="AF12801" s="679"/>
    </row>
    <row r="12802" spans="32:32" x14ac:dyDescent="0.2">
      <c r="AF12802" s="679"/>
    </row>
    <row r="12803" spans="32:32" x14ac:dyDescent="0.2">
      <c r="AF12803" s="679"/>
    </row>
    <row r="12804" spans="32:32" x14ac:dyDescent="0.2">
      <c r="AF12804" s="679"/>
    </row>
    <row r="12805" spans="32:32" x14ac:dyDescent="0.2">
      <c r="AF12805" s="679"/>
    </row>
    <row r="12806" spans="32:32" x14ac:dyDescent="0.2">
      <c r="AF12806" s="679"/>
    </row>
    <row r="12807" spans="32:32" x14ac:dyDescent="0.2">
      <c r="AF12807" s="679"/>
    </row>
    <row r="12808" spans="32:32" x14ac:dyDescent="0.2">
      <c r="AF12808" s="679"/>
    </row>
    <row r="12809" spans="32:32" x14ac:dyDescent="0.2">
      <c r="AF12809" s="679"/>
    </row>
    <row r="12810" spans="32:32" x14ac:dyDescent="0.2">
      <c r="AF12810" s="679"/>
    </row>
    <row r="12811" spans="32:32" x14ac:dyDescent="0.2">
      <c r="AF12811" s="679"/>
    </row>
    <row r="12812" spans="32:32" x14ac:dyDescent="0.2">
      <c r="AF12812" s="679"/>
    </row>
    <row r="12813" spans="32:32" x14ac:dyDescent="0.2">
      <c r="AF12813" s="679"/>
    </row>
    <row r="12814" spans="32:32" x14ac:dyDescent="0.2">
      <c r="AF12814" s="679"/>
    </row>
    <row r="12815" spans="32:32" x14ac:dyDescent="0.2">
      <c r="AF12815" s="679"/>
    </row>
    <row r="12816" spans="32:32" x14ac:dyDescent="0.2">
      <c r="AF12816" s="679"/>
    </row>
    <row r="12817" spans="32:32" x14ac:dyDescent="0.2">
      <c r="AF12817" s="679"/>
    </row>
    <row r="12818" spans="32:32" x14ac:dyDescent="0.2">
      <c r="AF12818" s="679"/>
    </row>
    <row r="12819" spans="32:32" x14ac:dyDescent="0.2">
      <c r="AF12819" s="679"/>
    </row>
    <row r="12820" spans="32:32" x14ac:dyDescent="0.2">
      <c r="AF12820" s="679"/>
    </row>
    <row r="12821" spans="32:32" x14ac:dyDescent="0.2">
      <c r="AF12821" s="679"/>
    </row>
    <row r="12822" spans="32:32" x14ac:dyDescent="0.2">
      <c r="AF12822" s="679"/>
    </row>
    <row r="12823" spans="32:32" x14ac:dyDescent="0.2">
      <c r="AF12823" s="679"/>
    </row>
    <row r="12824" spans="32:32" x14ac:dyDescent="0.2">
      <c r="AF12824" s="679"/>
    </row>
    <row r="12825" spans="32:32" x14ac:dyDescent="0.2">
      <c r="AF12825" s="679"/>
    </row>
    <row r="12826" spans="32:32" x14ac:dyDescent="0.2">
      <c r="AF12826" s="679"/>
    </row>
    <row r="12827" spans="32:32" x14ac:dyDescent="0.2">
      <c r="AF12827" s="679"/>
    </row>
    <row r="12828" spans="32:32" x14ac:dyDescent="0.2">
      <c r="AF12828" s="679"/>
    </row>
    <row r="12829" spans="32:32" x14ac:dyDescent="0.2">
      <c r="AF12829" s="679"/>
    </row>
    <row r="12830" spans="32:32" x14ac:dyDescent="0.2">
      <c r="AF12830" s="679"/>
    </row>
    <row r="12831" spans="32:32" x14ac:dyDescent="0.2">
      <c r="AF12831" s="679"/>
    </row>
    <row r="12832" spans="32:32" x14ac:dyDescent="0.2">
      <c r="AF12832" s="679"/>
    </row>
    <row r="12833" spans="32:32" x14ac:dyDescent="0.2">
      <c r="AF12833" s="679"/>
    </row>
    <row r="12834" spans="32:32" x14ac:dyDescent="0.2">
      <c r="AF12834" s="679"/>
    </row>
    <row r="12835" spans="32:32" x14ac:dyDescent="0.2">
      <c r="AF12835" s="679"/>
    </row>
    <row r="12836" spans="32:32" x14ac:dyDescent="0.2">
      <c r="AF12836" s="679"/>
    </row>
    <row r="12837" spans="32:32" x14ac:dyDescent="0.2">
      <c r="AF12837" s="679"/>
    </row>
    <row r="12838" spans="32:32" x14ac:dyDescent="0.2">
      <c r="AF12838" s="679"/>
    </row>
    <row r="12839" spans="32:32" x14ac:dyDescent="0.2">
      <c r="AF12839" s="679"/>
    </row>
    <row r="12840" spans="32:32" x14ac:dyDescent="0.2">
      <c r="AF12840" s="679"/>
    </row>
    <row r="12841" spans="32:32" x14ac:dyDescent="0.2">
      <c r="AF12841" s="679"/>
    </row>
    <row r="12842" spans="32:32" x14ac:dyDescent="0.2">
      <c r="AF12842" s="679"/>
    </row>
    <row r="12843" spans="32:32" x14ac:dyDescent="0.2">
      <c r="AF12843" s="679"/>
    </row>
    <row r="12844" spans="32:32" x14ac:dyDescent="0.2">
      <c r="AF12844" s="679"/>
    </row>
    <row r="12845" spans="32:32" x14ac:dyDescent="0.2">
      <c r="AF12845" s="679"/>
    </row>
    <row r="12846" spans="32:32" x14ac:dyDescent="0.2">
      <c r="AF12846" s="679"/>
    </row>
    <row r="12847" spans="32:32" x14ac:dyDescent="0.2">
      <c r="AF12847" s="679"/>
    </row>
    <row r="12848" spans="32:32" x14ac:dyDescent="0.2">
      <c r="AF12848" s="679"/>
    </row>
    <row r="12849" spans="32:32" x14ac:dyDescent="0.2">
      <c r="AF12849" s="679"/>
    </row>
    <row r="12850" spans="32:32" x14ac:dyDescent="0.2">
      <c r="AF12850" s="679"/>
    </row>
    <row r="12851" spans="32:32" x14ac:dyDescent="0.2">
      <c r="AF12851" s="679"/>
    </row>
    <row r="12852" spans="32:32" x14ac:dyDescent="0.2">
      <c r="AF12852" s="679"/>
    </row>
    <row r="12853" spans="32:32" x14ac:dyDescent="0.2">
      <c r="AF12853" s="679"/>
    </row>
    <row r="12854" spans="32:32" x14ac:dyDescent="0.2">
      <c r="AF12854" s="679"/>
    </row>
    <row r="12855" spans="32:32" x14ac:dyDescent="0.2">
      <c r="AF12855" s="679"/>
    </row>
    <row r="12856" spans="32:32" x14ac:dyDescent="0.2">
      <c r="AF12856" s="679"/>
    </row>
    <row r="12857" spans="32:32" x14ac:dyDescent="0.2">
      <c r="AF12857" s="679"/>
    </row>
    <row r="12858" spans="32:32" x14ac:dyDescent="0.2">
      <c r="AF12858" s="679"/>
    </row>
    <row r="12859" spans="32:32" x14ac:dyDescent="0.2">
      <c r="AF12859" s="679"/>
    </row>
    <row r="12860" spans="32:32" x14ac:dyDescent="0.2">
      <c r="AF12860" s="679"/>
    </row>
    <row r="12861" spans="32:32" x14ac:dyDescent="0.2">
      <c r="AF12861" s="679"/>
    </row>
    <row r="12862" spans="32:32" x14ac:dyDescent="0.2">
      <c r="AF12862" s="679"/>
    </row>
    <row r="12863" spans="32:32" x14ac:dyDescent="0.2">
      <c r="AF12863" s="679"/>
    </row>
    <row r="12864" spans="32:32" x14ac:dyDescent="0.2">
      <c r="AF12864" s="679"/>
    </row>
    <row r="12865" spans="32:32" x14ac:dyDescent="0.2">
      <c r="AF12865" s="679"/>
    </row>
    <row r="12866" spans="32:32" x14ac:dyDescent="0.2">
      <c r="AF12866" s="679"/>
    </row>
    <row r="12867" spans="32:32" x14ac:dyDescent="0.2">
      <c r="AF12867" s="679"/>
    </row>
    <row r="12868" spans="32:32" x14ac:dyDescent="0.2">
      <c r="AF12868" s="679"/>
    </row>
    <row r="12869" spans="32:32" x14ac:dyDescent="0.2">
      <c r="AF12869" s="679"/>
    </row>
    <row r="12870" spans="32:32" x14ac:dyDescent="0.2">
      <c r="AF12870" s="679"/>
    </row>
    <row r="12871" spans="32:32" x14ac:dyDescent="0.2">
      <c r="AF12871" s="679"/>
    </row>
    <row r="12872" spans="32:32" x14ac:dyDescent="0.2">
      <c r="AF12872" s="679"/>
    </row>
    <row r="12873" spans="32:32" x14ac:dyDescent="0.2">
      <c r="AF12873" s="679"/>
    </row>
    <row r="12874" spans="32:32" x14ac:dyDescent="0.2">
      <c r="AF12874" s="679"/>
    </row>
    <row r="12875" spans="32:32" x14ac:dyDescent="0.2">
      <c r="AF12875" s="679"/>
    </row>
    <row r="12876" spans="32:32" x14ac:dyDescent="0.2">
      <c r="AF12876" s="679"/>
    </row>
    <row r="12877" spans="32:32" x14ac:dyDescent="0.2">
      <c r="AF12877" s="679"/>
    </row>
    <row r="12878" spans="32:32" x14ac:dyDescent="0.2">
      <c r="AF12878" s="679"/>
    </row>
    <row r="12879" spans="32:32" x14ac:dyDescent="0.2">
      <c r="AF12879" s="679"/>
    </row>
    <row r="12880" spans="32:32" x14ac:dyDescent="0.2">
      <c r="AF12880" s="679"/>
    </row>
    <row r="12881" spans="32:32" x14ac:dyDescent="0.2">
      <c r="AF12881" s="679"/>
    </row>
    <row r="12882" spans="32:32" x14ac:dyDescent="0.2">
      <c r="AF12882" s="679"/>
    </row>
    <row r="12883" spans="32:32" x14ac:dyDescent="0.2">
      <c r="AF12883" s="679"/>
    </row>
    <row r="12884" spans="32:32" x14ac:dyDescent="0.2">
      <c r="AF12884" s="679"/>
    </row>
    <row r="12885" spans="32:32" x14ac:dyDescent="0.2">
      <c r="AF12885" s="679"/>
    </row>
    <row r="12886" spans="32:32" x14ac:dyDescent="0.2">
      <c r="AF12886" s="679"/>
    </row>
    <row r="12887" spans="32:32" x14ac:dyDescent="0.2">
      <c r="AF12887" s="679"/>
    </row>
    <row r="12888" spans="32:32" x14ac:dyDescent="0.2">
      <c r="AF12888" s="679"/>
    </row>
    <row r="12889" spans="32:32" x14ac:dyDescent="0.2">
      <c r="AF12889" s="679"/>
    </row>
    <row r="12890" spans="32:32" x14ac:dyDescent="0.2">
      <c r="AF12890" s="679"/>
    </row>
    <row r="12891" spans="32:32" x14ac:dyDescent="0.2">
      <c r="AF12891" s="679"/>
    </row>
    <row r="12892" spans="32:32" x14ac:dyDescent="0.2">
      <c r="AF12892" s="679"/>
    </row>
    <row r="12893" spans="32:32" x14ac:dyDescent="0.2">
      <c r="AF12893" s="679"/>
    </row>
    <row r="12894" spans="32:32" x14ac:dyDescent="0.2">
      <c r="AF12894" s="679"/>
    </row>
    <row r="12895" spans="32:32" x14ac:dyDescent="0.2">
      <c r="AF12895" s="679"/>
    </row>
    <row r="12896" spans="32:32" x14ac:dyDescent="0.2">
      <c r="AF12896" s="679"/>
    </row>
    <row r="12897" spans="32:32" x14ac:dyDescent="0.2">
      <c r="AF12897" s="679"/>
    </row>
    <row r="12898" spans="32:32" x14ac:dyDescent="0.2">
      <c r="AF12898" s="679"/>
    </row>
    <row r="12899" spans="32:32" x14ac:dyDescent="0.2">
      <c r="AF12899" s="679"/>
    </row>
    <row r="12900" spans="32:32" x14ac:dyDescent="0.2">
      <c r="AF12900" s="679"/>
    </row>
    <row r="12901" spans="32:32" x14ac:dyDescent="0.2">
      <c r="AF12901" s="679"/>
    </row>
    <row r="12902" spans="32:32" x14ac:dyDescent="0.2">
      <c r="AF12902" s="679"/>
    </row>
    <row r="12903" spans="32:32" x14ac:dyDescent="0.2">
      <c r="AF12903" s="679"/>
    </row>
    <row r="12904" spans="32:32" x14ac:dyDescent="0.2">
      <c r="AF12904" s="679"/>
    </row>
    <row r="12905" spans="32:32" x14ac:dyDescent="0.2">
      <c r="AF12905" s="679"/>
    </row>
    <row r="12906" spans="32:32" x14ac:dyDescent="0.2">
      <c r="AF12906" s="679"/>
    </row>
    <row r="12907" spans="32:32" x14ac:dyDescent="0.2">
      <c r="AF12907" s="679"/>
    </row>
    <row r="12908" spans="32:32" x14ac:dyDescent="0.2">
      <c r="AF12908" s="679"/>
    </row>
    <row r="12909" spans="32:32" x14ac:dyDescent="0.2">
      <c r="AF12909" s="679"/>
    </row>
    <row r="12910" spans="32:32" x14ac:dyDescent="0.2">
      <c r="AF12910" s="679"/>
    </row>
    <row r="12911" spans="32:32" x14ac:dyDescent="0.2">
      <c r="AF12911" s="679"/>
    </row>
    <row r="12912" spans="32:32" x14ac:dyDescent="0.2">
      <c r="AF12912" s="679"/>
    </row>
    <row r="12913" spans="32:32" x14ac:dyDescent="0.2">
      <c r="AF12913" s="679"/>
    </row>
    <row r="12914" spans="32:32" x14ac:dyDescent="0.2">
      <c r="AF12914" s="679"/>
    </row>
    <row r="12915" spans="32:32" x14ac:dyDescent="0.2">
      <c r="AF12915" s="679"/>
    </row>
    <row r="12916" spans="32:32" x14ac:dyDescent="0.2">
      <c r="AF12916" s="679"/>
    </row>
    <row r="12917" spans="32:32" x14ac:dyDescent="0.2">
      <c r="AF12917" s="679"/>
    </row>
    <row r="12918" spans="32:32" x14ac:dyDescent="0.2">
      <c r="AF12918" s="679"/>
    </row>
    <row r="12919" spans="32:32" x14ac:dyDescent="0.2">
      <c r="AF12919" s="679"/>
    </row>
    <row r="12920" spans="32:32" x14ac:dyDescent="0.2">
      <c r="AF12920" s="679"/>
    </row>
    <row r="12921" spans="32:32" x14ac:dyDescent="0.2">
      <c r="AF12921" s="679"/>
    </row>
    <row r="12922" spans="32:32" x14ac:dyDescent="0.2">
      <c r="AF12922" s="679"/>
    </row>
    <row r="12923" spans="32:32" x14ac:dyDescent="0.2">
      <c r="AF12923" s="679"/>
    </row>
    <row r="12924" spans="32:32" x14ac:dyDescent="0.2">
      <c r="AF12924" s="679"/>
    </row>
    <row r="12925" spans="32:32" x14ac:dyDescent="0.2">
      <c r="AF12925" s="679"/>
    </row>
    <row r="12926" spans="32:32" x14ac:dyDescent="0.2">
      <c r="AF12926" s="679"/>
    </row>
    <row r="12927" spans="32:32" x14ac:dyDescent="0.2">
      <c r="AF12927" s="679"/>
    </row>
    <row r="12928" spans="32:32" x14ac:dyDescent="0.2">
      <c r="AF12928" s="679"/>
    </row>
    <row r="12929" spans="32:32" x14ac:dyDescent="0.2">
      <c r="AF12929" s="679"/>
    </row>
    <row r="12930" spans="32:32" x14ac:dyDescent="0.2">
      <c r="AF12930" s="679"/>
    </row>
    <row r="12931" spans="32:32" x14ac:dyDescent="0.2">
      <c r="AF12931" s="679"/>
    </row>
    <row r="12932" spans="32:32" x14ac:dyDescent="0.2">
      <c r="AF12932" s="679"/>
    </row>
    <row r="12933" spans="32:32" x14ac:dyDescent="0.2">
      <c r="AF12933" s="679"/>
    </row>
    <row r="12934" spans="32:32" x14ac:dyDescent="0.2">
      <c r="AF12934" s="679"/>
    </row>
    <row r="12935" spans="32:32" x14ac:dyDescent="0.2">
      <c r="AF12935" s="679"/>
    </row>
    <row r="12936" spans="32:32" x14ac:dyDescent="0.2">
      <c r="AF12936" s="679"/>
    </row>
    <row r="12937" spans="32:32" x14ac:dyDescent="0.2">
      <c r="AF12937" s="679"/>
    </row>
    <row r="12938" spans="32:32" x14ac:dyDescent="0.2">
      <c r="AF12938" s="679"/>
    </row>
    <row r="12939" spans="32:32" x14ac:dyDescent="0.2">
      <c r="AF12939" s="679"/>
    </row>
    <row r="12940" spans="32:32" x14ac:dyDescent="0.2">
      <c r="AF12940" s="679"/>
    </row>
    <row r="12941" spans="32:32" x14ac:dyDescent="0.2">
      <c r="AF12941" s="679"/>
    </row>
    <row r="12942" spans="32:32" x14ac:dyDescent="0.2">
      <c r="AF12942" s="679"/>
    </row>
    <row r="12943" spans="32:32" x14ac:dyDescent="0.2">
      <c r="AF12943" s="679"/>
    </row>
    <row r="12944" spans="32:32" x14ac:dyDescent="0.2">
      <c r="AF12944" s="679"/>
    </row>
    <row r="12945" spans="32:32" x14ac:dyDescent="0.2">
      <c r="AF12945" s="679"/>
    </row>
    <row r="12946" spans="32:32" x14ac:dyDescent="0.2">
      <c r="AF12946" s="679"/>
    </row>
    <row r="12947" spans="32:32" x14ac:dyDescent="0.2">
      <c r="AF12947" s="679"/>
    </row>
    <row r="12948" spans="32:32" x14ac:dyDescent="0.2">
      <c r="AF12948" s="679"/>
    </row>
    <row r="12949" spans="32:32" x14ac:dyDescent="0.2">
      <c r="AF12949" s="679"/>
    </row>
    <row r="12950" spans="32:32" x14ac:dyDescent="0.2">
      <c r="AF12950" s="679"/>
    </row>
    <row r="12951" spans="32:32" x14ac:dyDescent="0.2">
      <c r="AF12951" s="679"/>
    </row>
    <row r="12952" spans="32:32" x14ac:dyDescent="0.2">
      <c r="AF12952" s="679"/>
    </row>
    <row r="12953" spans="32:32" x14ac:dyDescent="0.2">
      <c r="AF12953" s="679"/>
    </row>
    <row r="12954" spans="32:32" x14ac:dyDescent="0.2">
      <c r="AF12954" s="679"/>
    </row>
    <row r="12955" spans="32:32" x14ac:dyDescent="0.2">
      <c r="AF12955" s="679"/>
    </row>
    <row r="12956" spans="32:32" x14ac:dyDescent="0.2">
      <c r="AF12956" s="679"/>
    </row>
    <row r="12957" spans="32:32" x14ac:dyDescent="0.2">
      <c r="AF12957" s="679"/>
    </row>
    <row r="12958" spans="32:32" x14ac:dyDescent="0.2">
      <c r="AF12958" s="679"/>
    </row>
    <row r="12959" spans="32:32" x14ac:dyDescent="0.2">
      <c r="AF12959" s="679"/>
    </row>
    <row r="12960" spans="32:32" x14ac:dyDescent="0.2">
      <c r="AF12960" s="679"/>
    </row>
    <row r="12961" spans="32:32" x14ac:dyDescent="0.2">
      <c r="AF12961" s="679"/>
    </row>
    <row r="12962" spans="32:32" x14ac:dyDescent="0.2">
      <c r="AF12962" s="679"/>
    </row>
    <row r="12963" spans="32:32" x14ac:dyDescent="0.2">
      <c r="AF12963" s="679"/>
    </row>
    <row r="12964" spans="32:32" x14ac:dyDescent="0.2">
      <c r="AF12964" s="679"/>
    </row>
    <row r="12965" spans="32:32" x14ac:dyDescent="0.2">
      <c r="AF12965" s="679"/>
    </row>
    <row r="12966" spans="32:32" x14ac:dyDescent="0.2">
      <c r="AF12966" s="679"/>
    </row>
    <row r="12967" spans="32:32" x14ac:dyDescent="0.2">
      <c r="AF12967" s="679"/>
    </row>
    <row r="12968" spans="32:32" x14ac:dyDescent="0.2">
      <c r="AF12968" s="679"/>
    </row>
    <row r="12969" spans="32:32" x14ac:dyDescent="0.2">
      <c r="AF12969" s="679"/>
    </row>
    <row r="12970" spans="32:32" x14ac:dyDescent="0.2">
      <c r="AF12970" s="679"/>
    </row>
    <row r="12971" spans="32:32" x14ac:dyDescent="0.2">
      <c r="AF12971" s="679"/>
    </row>
    <row r="12972" spans="32:32" x14ac:dyDescent="0.2">
      <c r="AF12972" s="679"/>
    </row>
    <row r="12973" spans="32:32" x14ac:dyDescent="0.2">
      <c r="AF12973" s="679"/>
    </row>
    <row r="12974" spans="32:32" x14ac:dyDescent="0.2">
      <c r="AF12974" s="679"/>
    </row>
    <row r="12975" spans="32:32" x14ac:dyDescent="0.2">
      <c r="AF12975" s="679"/>
    </row>
    <row r="12976" spans="32:32" x14ac:dyDescent="0.2">
      <c r="AF12976" s="679"/>
    </row>
    <row r="12977" spans="32:32" x14ac:dyDescent="0.2">
      <c r="AF12977" s="679"/>
    </row>
    <row r="12978" spans="32:32" x14ac:dyDescent="0.2">
      <c r="AF12978" s="679"/>
    </row>
    <row r="12979" spans="32:32" x14ac:dyDescent="0.2">
      <c r="AF12979" s="679"/>
    </row>
    <row r="12980" spans="32:32" x14ac:dyDescent="0.2">
      <c r="AF12980" s="679"/>
    </row>
    <row r="12981" spans="32:32" x14ac:dyDescent="0.2">
      <c r="AF12981" s="679"/>
    </row>
    <row r="12982" spans="32:32" x14ac:dyDescent="0.2">
      <c r="AF12982" s="679"/>
    </row>
    <row r="12983" spans="32:32" x14ac:dyDescent="0.2">
      <c r="AF12983" s="679"/>
    </row>
    <row r="12984" spans="32:32" x14ac:dyDescent="0.2">
      <c r="AF12984" s="679"/>
    </row>
    <row r="12985" spans="32:32" x14ac:dyDescent="0.2">
      <c r="AF12985" s="679"/>
    </row>
    <row r="12986" spans="32:32" x14ac:dyDescent="0.2">
      <c r="AF12986" s="679"/>
    </row>
    <row r="12987" spans="32:32" x14ac:dyDescent="0.2">
      <c r="AF12987" s="679"/>
    </row>
    <row r="12988" spans="32:32" x14ac:dyDescent="0.2">
      <c r="AF12988" s="679"/>
    </row>
    <row r="12989" spans="32:32" x14ac:dyDescent="0.2">
      <c r="AF12989" s="679"/>
    </row>
    <row r="12990" spans="32:32" x14ac:dyDescent="0.2">
      <c r="AF12990" s="679"/>
    </row>
    <row r="12991" spans="32:32" x14ac:dyDescent="0.2">
      <c r="AF12991" s="679"/>
    </row>
    <row r="12992" spans="32:32" x14ac:dyDescent="0.2">
      <c r="AF12992" s="679"/>
    </row>
    <row r="12993" spans="32:32" x14ac:dyDescent="0.2">
      <c r="AF12993" s="679"/>
    </row>
    <row r="12994" spans="32:32" x14ac:dyDescent="0.2">
      <c r="AF12994" s="679"/>
    </row>
    <row r="12995" spans="32:32" x14ac:dyDescent="0.2">
      <c r="AF12995" s="679"/>
    </row>
    <row r="12996" spans="32:32" x14ac:dyDescent="0.2">
      <c r="AF12996" s="679"/>
    </row>
    <row r="12997" spans="32:32" x14ac:dyDescent="0.2">
      <c r="AF12997" s="679"/>
    </row>
    <row r="12998" spans="32:32" x14ac:dyDescent="0.2">
      <c r="AF12998" s="679"/>
    </row>
    <row r="12999" spans="32:32" x14ac:dyDescent="0.2">
      <c r="AF12999" s="679"/>
    </row>
    <row r="13000" spans="32:32" x14ac:dyDescent="0.2">
      <c r="AF13000" s="679"/>
    </row>
    <row r="13001" spans="32:32" x14ac:dyDescent="0.2">
      <c r="AF13001" s="679"/>
    </row>
    <row r="13002" spans="32:32" x14ac:dyDescent="0.2">
      <c r="AF13002" s="679"/>
    </row>
    <row r="13003" spans="32:32" x14ac:dyDescent="0.2">
      <c r="AF13003" s="679"/>
    </row>
    <row r="13004" spans="32:32" x14ac:dyDescent="0.2">
      <c r="AF13004" s="679"/>
    </row>
    <row r="13005" spans="32:32" x14ac:dyDescent="0.2">
      <c r="AF13005" s="679"/>
    </row>
    <row r="13006" spans="32:32" x14ac:dyDescent="0.2">
      <c r="AF13006" s="679"/>
    </row>
    <row r="13007" spans="32:32" x14ac:dyDescent="0.2">
      <c r="AF13007" s="679"/>
    </row>
    <row r="13008" spans="32:32" x14ac:dyDescent="0.2">
      <c r="AF13008" s="679"/>
    </row>
    <row r="13009" spans="32:32" x14ac:dyDescent="0.2">
      <c r="AF13009" s="679"/>
    </row>
    <row r="13010" spans="32:32" x14ac:dyDescent="0.2">
      <c r="AF13010" s="679"/>
    </row>
    <row r="13011" spans="32:32" x14ac:dyDescent="0.2">
      <c r="AF13011" s="679"/>
    </row>
    <row r="13012" spans="32:32" x14ac:dyDescent="0.2">
      <c r="AF13012" s="679"/>
    </row>
    <row r="13013" spans="32:32" x14ac:dyDescent="0.2">
      <c r="AF13013" s="679"/>
    </row>
    <row r="13014" spans="32:32" x14ac:dyDescent="0.2">
      <c r="AF13014" s="679"/>
    </row>
    <row r="13015" spans="32:32" x14ac:dyDescent="0.2">
      <c r="AF13015" s="679"/>
    </row>
    <row r="13016" spans="32:32" x14ac:dyDescent="0.2">
      <c r="AF13016" s="679"/>
    </row>
    <row r="13017" spans="32:32" x14ac:dyDescent="0.2">
      <c r="AF13017" s="679"/>
    </row>
    <row r="13018" spans="32:32" x14ac:dyDescent="0.2">
      <c r="AF13018" s="679"/>
    </row>
    <row r="13019" spans="32:32" x14ac:dyDescent="0.2">
      <c r="AF13019" s="679"/>
    </row>
    <row r="13020" spans="32:32" x14ac:dyDescent="0.2">
      <c r="AF13020" s="679"/>
    </row>
    <row r="13021" spans="32:32" x14ac:dyDescent="0.2">
      <c r="AF13021" s="679"/>
    </row>
    <row r="13022" spans="32:32" x14ac:dyDescent="0.2">
      <c r="AF13022" s="679"/>
    </row>
    <row r="13023" spans="32:32" x14ac:dyDescent="0.2">
      <c r="AF13023" s="679"/>
    </row>
    <row r="13024" spans="32:32" x14ac:dyDescent="0.2">
      <c r="AF13024" s="679"/>
    </row>
    <row r="13025" spans="32:32" x14ac:dyDescent="0.2">
      <c r="AF13025" s="679"/>
    </row>
    <row r="13026" spans="32:32" x14ac:dyDescent="0.2">
      <c r="AF13026" s="679"/>
    </row>
    <row r="13027" spans="32:32" x14ac:dyDescent="0.2">
      <c r="AF13027" s="679"/>
    </row>
    <row r="13028" spans="32:32" x14ac:dyDescent="0.2">
      <c r="AF13028" s="679"/>
    </row>
    <row r="13029" spans="32:32" x14ac:dyDescent="0.2">
      <c r="AF13029" s="679"/>
    </row>
    <row r="13030" spans="32:32" x14ac:dyDescent="0.2">
      <c r="AF13030" s="679"/>
    </row>
    <row r="13031" spans="32:32" x14ac:dyDescent="0.2">
      <c r="AF13031" s="679"/>
    </row>
    <row r="13032" spans="32:32" x14ac:dyDescent="0.2">
      <c r="AF13032" s="679"/>
    </row>
    <row r="13033" spans="32:32" x14ac:dyDescent="0.2">
      <c r="AF13033" s="679"/>
    </row>
    <row r="13034" spans="32:32" x14ac:dyDescent="0.2">
      <c r="AF13034" s="679"/>
    </row>
    <row r="13035" spans="32:32" x14ac:dyDescent="0.2">
      <c r="AF13035" s="679"/>
    </row>
    <row r="13036" spans="32:32" x14ac:dyDescent="0.2">
      <c r="AF13036" s="679"/>
    </row>
    <row r="13037" spans="32:32" x14ac:dyDescent="0.2">
      <c r="AF13037" s="679"/>
    </row>
    <row r="13038" spans="32:32" x14ac:dyDescent="0.2">
      <c r="AF13038" s="679"/>
    </row>
    <row r="13039" spans="32:32" x14ac:dyDescent="0.2">
      <c r="AF13039" s="679"/>
    </row>
    <row r="13040" spans="32:32" x14ac:dyDescent="0.2">
      <c r="AF13040" s="679"/>
    </row>
    <row r="13041" spans="32:32" x14ac:dyDescent="0.2">
      <c r="AF13041" s="679"/>
    </row>
    <row r="13042" spans="32:32" x14ac:dyDescent="0.2">
      <c r="AF13042" s="679"/>
    </row>
    <row r="13043" spans="32:32" x14ac:dyDescent="0.2">
      <c r="AF13043" s="679"/>
    </row>
    <row r="13044" spans="32:32" x14ac:dyDescent="0.2">
      <c r="AF13044" s="679"/>
    </row>
    <row r="13045" spans="32:32" x14ac:dyDescent="0.2">
      <c r="AF13045" s="679"/>
    </row>
    <row r="13046" spans="32:32" x14ac:dyDescent="0.2">
      <c r="AF13046" s="679"/>
    </row>
    <row r="13047" spans="32:32" x14ac:dyDescent="0.2">
      <c r="AF13047" s="679"/>
    </row>
    <row r="13048" spans="32:32" x14ac:dyDescent="0.2">
      <c r="AF13048" s="679"/>
    </row>
    <row r="13049" spans="32:32" x14ac:dyDescent="0.2">
      <c r="AF13049" s="679"/>
    </row>
    <row r="13050" spans="32:32" x14ac:dyDescent="0.2">
      <c r="AF13050" s="679"/>
    </row>
    <row r="13051" spans="32:32" x14ac:dyDescent="0.2">
      <c r="AF13051" s="679"/>
    </row>
    <row r="13052" spans="32:32" x14ac:dyDescent="0.2">
      <c r="AF13052" s="679"/>
    </row>
    <row r="13053" spans="32:32" x14ac:dyDescent="0.2">
      <c r="AF13053" s="679"/>
    </row>
    <row r="13054" spans="32:32" x14ac:dyDescent="0.2">
      <c r="AF13054" s="679"/>
    </row>
    <row r="13055" spans="32:32" x14ac:dyDescent="0.2">
      <c r="AF13055" s="679"/>
    </row>
    <row r="13056" spans="32:32" x14ac:dyDescent="0.2">
      <c r="AF13056" s="679"/>
    </row>
    <row r="13057" spans="32:32" x14ac:dyDescent="0.2">
      <c r="AF13057" s="679"/>
    </row>
    <row r="13058" spans="32:32" x14ac:dyDescent="0.2">
      <c r="AF13058" s="679"/>
    </row>
    <row r="13059" spans="32:32" x14ac:dyDescent="0.2">
      <c r="AF13059" s="679"/>
    </row>
    <row r="13060" spans="32:32" x14ac:dyDescent="0.2">
      <c r="AF13060" s="679"/>
    </row>
    <row r="13061" spans="32:32" x14ac:dyDescent="0.2">
      <c r="AF13061" s="679"/>
    </row>
    <row r="13062" spans="32:32" x14ac:dyDescent="0.2">
      <c r="AF13062" s="679"/>
    </row>
    <row r="13063" spans="32:32" x14ac:dyDescent="0.2">
      <c r="AF13063" s="679"/>
    </row>
    <row r="13064" spans="32:32" x14ac:dyDescent="0.2">
      <c r="AF13064" s="679"/>
    </row>
    <row r="13065" spans="32:32" x14ac:dyDescent="0.2">
      <c r="AF13065" s="679"/>
    </row>
    <row r="13066" spans="32:32" x14ac:dyDescent="0.2">
      <c r="AF13066" s="679"/>
    </row>
    <row r="13067" spans="32:32" x14ac:dyDescent="0.2">
      <c r="AF13067" s="679"/>
    </row>
    <row r="13068" spans="32:32" x14ac:dyDescent="0.2">
      <c r="AF13068" s="679"/>
    </row>
    <row r="13069" spans="32:32" x14ac:dyDescent="0.2">
      <c r="AF13069" s="679"/>
    </row>
    <row r="13070" spans="32:32" x14ac:dyDescent="0.2">
      <c r="AF13070" s="679"/>
    </row>
    <row r="13071" spans="32:32" x14ac:dyDescent="0.2">
      <c r="AF13071" s="679"/>
    </row>
    <row r="13072" spans="32:32" x14ac:dyDescent="0.2">
      <c r="AF13072" s="679"/>
    </row>
    <row r="13073" spans="32:32" x14ac:dyDescent="0.2">
      <c r="AF13073" s="679"/>
    </row>
    <row r="13074" spans="32:32" x14ac:dyDescent="0.2">
      <c r="AF13074" s="679"/>
    </row>
    <row r="13075" spans="32:32" x14ac:dyDescent="0.2">
      <c r="AF13075" s="679"/>
    </row>
    <row r="13076" spans="32:32" x14ac:dyDescent="0.2">
      <c r="AF13076" s="679"/>
    </row>
    <row r="13077" spans="32:32" x14ac:dyDescent="0.2">
      <c r="AF13077" s="679"/>
    </row>
    <row r="13078" spans="32:32" x14ac:dyDescent="0.2">
      <c r="AF13078" s="679"/>
    </row>
    <row r="13079" spans="32:32" x14ac:dyDescent="0.2">
      <c r="AF13079" s="679"/>
    </row>
    <row r="13080" spans="32:32" x14ac:dyDescent="0.2">
      <c r="AF13080" s="679"/>
    </row>
    <row r="13081" spans="32:32" x14ac:dyDescent="0.2">
      <c r="AF13081" s="679"/>
    </row>
    <row r="13082" spans="32:32" x14ac:dyDescent="0.2">
      <c r="AF13082" s="679"/>
    </row>
    <row r="13083" spans="32:32" x14ac:dyDescent="0.2">
      <c r="AF13083" s="679"/>
    </row>
    <row r="13084" spans="32:32" x14ac:dyDescent="0.2">
      <c r="AF13084" s="679"/>
    </row>
    <row r="13085" spans="32:32" x14ac:dyDescent="0.2">
      <c r="AF13085" s="679"/>
    </row>
    <row r="13086" spans="32:32" x14ac:dyDescent="0.2">
      <c r="AF13086" s="679"/>
    </row>
    <row r="13087" spans="32:32" x14ac:dyDescent="0.2">
      <c r="AF13087" s="679"/>
    </row>
    <row r="13088" spans="32:32" x14ac:dyDescent="0.2">
      <c r="AF13088" s="679"/>
    </row>
    <row r="13089" spans="32:32" x14ac:dyDescent="0.2">
      <c r="AF13089" s="679"/>
    </row>
    <row r="13090" spans="32:32" x14ac:dyDescent="0.2">
      <c r="AF13090" s="679"/>
    </row>
    <row r="13091" spans="32:32" x14ac:dyDescent="0.2">
      <c r="AF13091" s="679"/>
    </row>
    <row r="13092" spans="32:32" x14ac:dyDescent="0.2">
      <c r="AF13092" s="679"/>
    </row>
    <row r="13093" spans="32:32" x14ac:dyDescent="0.2">
      <c r="AF13093" s="679"/>
    </row>
    <row r="13094" spans="32:32" x14ac:dyDescent="0.2">
      <c r="AF13094" s="679"/>
    </row>
    <row r="13095" spans="32:32" x14ac:dyDescent="0.2">
      <c r="AF13095" s="679"/>
    </row>
    <row r="13096" spans="32:32" x14ac:dyDescent="0.2">
      <c r="AF13096" s="679"/>
    </row>
    <row r="13097" spans="32:32" x14ac:dyDescent="0.2">
      <c r="AF13097" s="679"/>
    </row>
    <row r="13098" spans="32:32" x14ac:dyDescent="0.2">
      <c r="AF13098" s="679"/>
    </row>
    <row r="13099" spans="32:32" x14ac:dyDescent="0.2">
      <c r="AF13099" s="679"/>
    </row>
    <row r="13100" spans="32:32" x14ac:dyDescent="0.2">
      <c r="AF13100" s="679"/>
    </row>
    <row r="13101" spans="32:32" x14ac:dyDescent="0.2">
      <c r="AF13101" s="679"/>
    </row>
    <row r="13102" spans="32:32" x14ac:dyDescent="0.2">
      <c r="AF13102" s="679"/>
    </row>
    <row r="13103" spans="32:32" x14ac:dyDescent="0.2">
      <c r="AF13103" s="679"/>
    </row>
    <row r="13104" spans="32:32" x14ac:dyDescent="0.2">
      <c r="AF13104" s="679"/>
    </row>
    <row r="13105" spans="32:32" x14ac:dyDescent="0.2">
      <c r="AF13105" s="679"/>
    </row>
    <row r="13106" spans="32:32" x14ac:dyDescent="0.2">
      <c r="AF13106" s="679"/>
    </row>
    <row r="13107" spans="32:32" x14ac:dyDescent="0.2">
      <c r="AF13107" s="679"/>
    </row>
    <row r="13108" spans="32:32" x14ac:dyDescent="0.2">
      <c r="AF13108" s="679"/>
    </row>
    <row r="13109" spans="32:32" x14ac:dyDescent="0.2">
      <c r="AF13109" s="679"/>
    </row>
    <row r="13110" spans="32:32" x14ac:dyDescent="0.2">
      <c r="AF13110" s="679"/>
    </row>
    <row r="13111" spans="32:32" x14ac:dyDescent="0.2">
      <c r="AF13111" s="679"/>
    </row>
    <row r="13112" spans="32:32" x14ac:dyDescent="0.2">
      <c r="AF13112" s="679"/>
    </row>
    <row r="13113" spans="32:32" x14ac:dyDescent="0.2">
      <c r="AF13113" s="679"/>
    </row>
    <row r="13114" spans="32:32" x14ac:dyDescent="0.2">
      <c r="AF13114" s="679"/>
    </row>
    <row r="13115" spans="32:32" x14ac:dyDescent="0.2">
      <c r="AF13115" s="679"/>
    </row>
    <row r="13116" spans="32:32" x14ac:dyDescent="0.2">
      <c r="AF13116" s="679"/>
    </row>
    <row r="13117" spans="32:32" x14ac:dyDescent="0.2">
      <c r="AF13117" s="679"/>
    </row>
    <row r="13118" spans="32:32" x14ac:dyDescent="0.2">
      <c r="AF13118" s="679"/>
    </row>
    <row r="13119" spans="32:32" x14ac:dyDescent="0.2">
      <c r="AF13119" s="679"/>
    </row>
    <row r="13120" spans="32:32" x14ac:dyDescent="0.2">
      <c r="AF13120" s="679"/>
    </row>
    <row r="13121" spans="32:32" x14ac:dyDescent="0.2">
      <c r="AF13121" s="679"/>
    </row>
    <row r="13122" spans="32:32" x14ac:dyDescent="0.2">
      <c r="AF13122" s="679"/>
    </row>
    <row r="13123" spans="32:32" x14ac:dyDescent="0.2">
      <c r="AF13123" s="679"/>
    </row>
    <row r="13124" spans="32:32" x14ac:dyDescent="0.2">
      <c r="AF13124" s="679"/>
    </row>
    <row r="13125" spans="32:32" x14ac:dyDescent="0.2">
      <c r="AF13125" s="679"/>
    </row>
    <row r="13126" spans="32:32" x14ac:dyDescent="0.2">
      <c r="AF13126" s="679"/>
    </row>
    <row r="13127" spans="32:32" x14ac:dyDescent="0.2">
      <c r="AF13127" s="679"/>
    </row>
    <row r="13128" spans="32:32" x14ac:dyDescent="0.2">
      <c r="AF13128" s="679"/>
    </row>
    <row r="13129" spans="32:32" x14ac:dyDescent="0.2">
      <c r="AF13129" s="679"/>
    </row>
    <row r="13130" spans="32:32" x14ac:dyDescent="0.2">
      <c r="AF13130" s="679"/>
    </row>
    <row r="13131" spans="32:32" x14ac:dyDescent="0.2">
      <c r="AF13131" s="679"/>
    </row>
    <row r="13132" spans="32:32" x14ac:dyDescent="0.2">
      <c r="AF13132" s="679"/>
    </row>
    <row r="13133" spans="32:32" x14ac:dyDescent="0.2">
      <c r="AF13133" s="679"/>
    </row>
    <row r="13134" spans="32:32" x14ac:dyDescent="0.2">
      <c r="AF13134" s="679"/>
    </row>
    <row r="13135" spans="32:32" x14ac:dyDescent="0.2">
      <c r="AF13135" s="679"/>
    </row>
    <row r="13136" spans="32:32" x14ac:dyDescent="0.2">
      <c r="AF13136" s="679"/>
    </row>
    <row r="13137" spans="32:32" x14ac:dyDescent="0.2">
      <c r="AF13137" s="679"/>
    </row>
    <row r="13138" spans="32:32" x14ac:dyDescent="0.2">
      <c r="AF13138" s="679"/>
    </row>
    <row r="13139" spans="32:32" x14ac:dyDescent="0.2">
      <c r="AF13139" s="679"/>
    </row>
    <row r="13140" spans="32:32" x14ac:dyDescent="0.2">
      <c r="AF13140" s="679"/>
    </row>
    <row r="13141" spans="32:32" x14ac:dyDescent="0.2">
      <c r="AF13141" s="679"/>
    </row>
    <row r="13142" spans="32:32" x14ac:dyDescent="0.2">
      <c r="AF13142" s="679"/>
    </row>
    <row r="13143" spans="32:32" x14ac:dyDescent="0.2">
      <c r="AF13143" s="679"/>
    </row>
    <row r="13144" spans="32:32" x14ac:dyDescent="0.2">
      <c r="AF13144" s="679"/>
    </row>
    <row r="13145" spans="32:32" x14ac:dyDescent="0.2">
      <c r="AF13145" s="679"/>
    </row>
    <row r="13146" spans="32:32" x14ac:dyDescent="0.2">
      <c r="AF13146" s="679"/>
    </row>
    <row r="13147" spans="32:32" x14ac:dyDescent="0.2">
      <c r="AF13147" s="679"/>
    </row>
    <row r="13148" spans="32:32" x14ac:dyDescent="0.2">
      <c r="AF13148" s="679"/>
    </row>
    <row r="13149" spans="32:32" x14ac:dyDescent="0.2">
      <c r="AF13149" s="679"/>
    </row>
    <row r="13150" spans="32:32" x14ac:dyDescent="0.2">
      <c r="AF13150" s="679"/>
    </row>
    <row r="13151" spans="32:32" x14ac:dyDescent="0.2">
      <c r="AF13151" s="679"/>
    </row>
    <row r="13152" spans="32:32" x14ac:dyDescent="0.2">
      <c r="AF13152" s="679"/>
    </row>
    <row r="13153" spans="32:32" x14ac:dyDescent="0.2">
      <c r="AF13153" s="679"/>
    </row>
    <row r="13154" spans="32:32" x14ac:dyDescent="0.2">
      <c r="AF13154" s="679"/>
    </row>
    <row r="13155" spans="32:32" x14ac:dyDescent="0.2">
      <c r="AF13155" s="679"/>
    </row>
    <row r="13156" spans="32:32" x14ac:dyDescent="0.2">
      <c r="AF13156" s="679"/>
    </row>
    <row r="13157" spans="32:32" x14ac:dyDescent="0.2">
      <c r="AF13157" s="679"/>
    </row>
    <row r="13158" spans="32:32" x14ac:dyDescent="0.2">
      <c r="AF13158" s="679"/>
    </row>
    <row r="13159" spans="32:32" x14ac:dyDescent="0.2">
      <c r="AF13159" s="679"/>
    </row>
    <row r="13160" spans="32:32" x14ac:dyDescent="0.2">
      <c r="AF13160" s="679"/>
    </row>
    <row r="13161" spans="32:32" x14ac:dyDescent="0.2">
      <c r="AF13161" s="679"/>
    </row>
    <row r="13162" spans="32:32" x14ac:dyDescent="0.2">
      <c r="AF13162" s="679"/>
    </row>
    <row r="13163" spans="32:32" x14ac:dyDescent="0.2">
      <c r="AF13163" s="679"/>
    </row>
    <row r="13164" spans="32:32" x14ac:dyDescent="0.2">
      <c r="AF13164" s="679"/>
    </row>
    <row r="13165" spans="32:32" x14ac:dyDescent="0.2">
      <c r="AF13165" s="679"/>
    </row>
    <row r="13166" spans="32:32" x14ac:dyDescent="0.2">
      <c r="AF13166" s="679"/>
    </row>
    <row r="13167" spans="32:32" x14ac:dyDescent="0.2">
      <c r="AF13167" s="679"/>
    </row>
    <row r="13168" spans="32:32" x14ac:dyDescent="0.2">
      <c r="AF13168" s="679"/>
    </row>
    <row r="13169" spans="32:32" x14ac:dyDescent="0.2">
      <c r="AF13169" s="679"/>
    </row>
    <row r="13170" spans="32:32" x14ac:dyDescent="0.2">
      <c r="AF13170" s="679"/>
    </row>
    <row r="13171" spans="32:32" x14ac:dyDescent="0.2">
      <c r="AF13171" s="679"/>
    </row>
    <row r="13172" spans="32:32" x14ac:dyDescent="0.2">
      <c r="AF13172" s="679"/>
    </row>
    <row r="13173" spans="32:32" x14ac:dyDescent="0.2">
      <c r="AF13173" s="679"/>
    </row>
    <row r="13174" spans="32:32" x14ac:dyDescent="0.2">
      <c r="AF13174" s="679"/>
    </row>
    <row r="13175" spans="32:32" x14ac:dyDescent="0.2">
      <c r="AF13175" s="679"/>
    </row>
    <row r="13176" spans="32:32" x14ac:dyDescent="0.2">
      <c r="AF13176" s="679"/>
    </row>
    <row r="13177" spans="32:32" x14ac:dyDescent="0.2">
      <c r="AF13177" s="679"/>
    </row>
    <row r="13178" spans="32:32" x14ac:dyDescent="0.2">
      <c r="AF13178" s="679"/>
    </row>
    <row r="13179" spans="32:32" x14ac:dyDescent="0.2">
      <c r="AF13179" s="679"/>
    </row>
    <row r="13180" spans="32:32" x14ac:dyDescent="0.2">
      <c r="AF13180" s="679"/>
    </row>
    <row r="13181" spans="32:32" x14ac:dyDescent="0.2">
      <c r="AF13181" s="679"/>
    </row>
    <row r="13182" spans="32:32" x14ac:dyDescent="0.2">
      <c r="AF13182" s="679"/>
    </row>
    <row r="13183" spans="32:32" x14ac:dyDescent="0.2">
      <c r="AF13183" s="679"/>
    </row>
    <row r="13184" spans="32:32" x14ac:dyDescent="0.2">
      <c r="AF13184" s="679"/>
    </row>
    <row r="13185" spans="32:32" x14ac:dyDescent="0.2">
      <c r="AF13185" s="679"/>
    </row>
    <row r="13186" spans="32:32" x14ac:dyDescent="0.2">
      <c r="AF13186" s="679"/>
    </row>
    <row r="13187" spans="32:32" x14ac:dyDescent="0.2">
      <c r="AF13187" s="679"/>
    </row>
    <row r="13188" spans="32:32" x14ac:dyDescent="0.2">
      <c r="AF13188" s="679"/>
    </row>
    <row r="13189" spans="32:32" x14ac:dyDescent="0.2">
      <c r="AF13189" s="679"/>
    </row>
    <row r="13190" spans="32:32" x14ac:dyDescent="0.2">
      <c r="AF13190" s="679"/>
    </row>
    <row r="13191" spans="32:32" x14ac:dyDescent="0.2">
      <c r="AF13191" s="679"/>
    </row>
    <row r="13192" spans="32:32" x14ac:dyDescent="0.2">
      <c r="AF13192" s="679"/>
    </row>
    <row r="13193" spans="32:32" x14ac:dyDescent="0.2">
      <c r="AF13193" s="679"/>
    </row>
    <row r="13194" spans="32:32" x14ac:dyDescent="0.2">
      <c r="AF13194" s="679"/>
    </row>
    <row r="13195" spans="32:32" x14ac:dyDescent="0.2">
      <c r="AF13195" s="679"/>
    </row>
    <row r="13196" spans="32:32" x14ac:dyDescent="0.2">
      <c r="AF13196" s="679"/>
    </row>
    <row r="13197" spans="32:32" x14ac:dyDescent="0.2">
      <c r="AF13197" s="679"/>
    </row>
    <row r="13198" spans="32:32" x14ac:dyDescent="0.2">
      <c r="AF13198" s="679"/>
    </row>
    <row r="13199" spans="32:32" x14ac:dyDescent="0.2">
      <c r="AF13199" s="679"/>
    </row>
    <row r="13200" spans="32:32" x14ac:dyDescent="0.2">
      <c r="AF13200" s="679"/>
    </row>
    <row r="13201" spans="32:32" x14ac:dyDescent="0.2">
      <c r="AF13201" s="679"/>
    </row>
    <row r="13202" spans="32:32" x14ac:dyDescent="0.2">
      <c r="AF13202" s="679"/>
    </row>
    <row r="13203" spans="32:32" x14ac:dyDescent="0.2">
      <c r="AF13203" s="679"/>
    </row>
    <row r="13204" spans="32:32" x14ac:dyDescent="0.2">
      <c r="AF13204" s="679"/>
    </row>
    <row r="13205" spans="32:32" x14ac:dyDescent="0.2">
      <c r="AF13205" s="679"/>
    </row>
    <row r="13206" spans="32:32" x14ac:dyDescent="0.2">
      <c r="AF13206" s="679"/>
    </row>
    <row r="13207" spans="32:32" x14ac:dyDescent="0.2">
      <c r="AF13207" s="679"/>
    </row>
    <row r="13208" spans="32:32" x14ac:dyDescent="0.2">
      <c r="AF13208" s="679"/>
    </row>
    <row r="13209" spans="32:32" x14ac:dyDescent="0.2">
      <c r="AF13209" s="679"/>
    </row>
    <row r="13210" spans="32:32" x14ac:dyDescent="0.2">
      <c r="AF13210" s="679"/>
    </row>
    <row r="13211" spans="32:32" x14ac:dyDescent="0.2">
      <c r="AF13211" s="679"/>
    </row>
    <row r="13212" spans="32:32" x14ac:dyDescent="0.2">
      <c r="AF13212" s="679"/>
    </row>
    <row r="13213" spans="32:32" x14ac:dyDescent="0.2">
      <c r="AF13213" s="679"/>
    </row>
    <row r="13214" spans="32:32" x14ac:dyDescent="0.2">
      <c r="AF13214" s="679"/>
    </row>
    <row r="13215" spans="32:32" x14ac:dyDescent="0.2">
      <c r="AF13215" s="679"/>
    </row>
    <row r="13216" spans="32:32" x14ac:dyDescent="0.2">
      <c r="AF13216" s="679"/>
    </row>
    <row r="13217" spans="32:32" x14ac:dyDescent="0.2">
      <c r="AF13217" s="679"/>
    </row>
    <row r="13218" spans="32:32" x14ac:dyDescent="0.2">
      <c r="AF13218" s="679"/>
    </row>
    <row r="13219" spans="32:32" x14ac:dyDescent="0.2">
      <c r="AF13219" s="679"/>
    </row>
    <row r="13220" spans="32:32" x14ac:dyDescent="0.2">
      <c r="AF13220" s="679"/>
    </row>
    <row r="13221" spans="32:32" x14ac:dyDescent="0.2">
      <c r="AF13221" s="679"/>
    </row>
    <row r="13222" spans="32:32" x14ac:dyDescent="0.2">
      <c r="AF13222" s="679"/>
    </row>
    <row r="13223" spans="32:32" x14ac:dyDescent="0.2">
      <c r="AF13223" s="679"/>
    </row>
    <row r="13224" spans="32:32" x14ac:dyDescent="0.2">
      <c r="AF13224" s="679"/>
    </row>
    <row r="13225" spans="32:32" x14ac:dyDescent="0.2">
      <c r="AF13225" s="679"/>
    </row>
    <row r="13226" spans="32:32" x14ac:dyDescent="0.2">
      <c r="AF13226" s="679"/>
    </row>
    <row r="13227" spans="32:32" x14ac:dyDescent="0.2">
      <c r="AF13227" s="679"/>
    </row>
    <row r="13228" spans="32:32" x14ac:dyDescent="0.2">
      <c r="AF13228" s="679"/>
    </row>
    <row r="13229" spans="32:32" x14ac:dyDescent="0.2">
      <c r="AF13229" s="679"/>
    </row>
    <row r="13230" spans="32:32" x14ac:dyDescent="0.2">
      <c r="AF13230" s="679"/>
    </row>
    <row r="13231" spans="32:32" x14ac:dyDescent="0.2">
      <c r="AF13231" s="679"/>
    </row>
    <row r="13232" spans="32:32" x14ac:dyDescent="0.2">
      <c r="AF13232" s="679"/>
    </row>
    <row r="13233" spans="32:32" x14ac:dyDescent="0.2">
      <c r="AF13233" s="679"/>
    </row>
    <row r="13234" spans="32:32" x14ac:dyDescent="0.2">
      <c r="AF13234" s="679"/>
    </row>
    <row r="13235" spans="32:32" x14ac:dyDescent="0.2">
      <c r="AF13235" s="679"/>
    </row>
    <row r="13236" spans="32:32" x14ac:dyDescent="0.2">
      <c r="AF13236" s="679"/>
    </row>
    <row r="13237" spans="32:32" x14ac:dyDescent="0.2">
      <c r="AF13237" s="679"/>
    </row>
    <row r="13238" spans="32:32" x14ac:dyDescent="0.2">
      <c r="AF13238" s="679"/>
    </row>
    <row r="13239" spans="32:32" x14ac:dyDescent="0.2">
      <c r="AF13239" s="679"/>
    </row>
    <row r="13240" spans="32:32" x14ac:dyDescent="0.2">
      <c r="AF13240" s="679"/>
    </row>
    <row r="13241" spans="32:32" x14ac:dyDescent="0.2">
      <c r="AF13241" s="679"/>
    </row>
    <row r="13242" spans="32:32" x14ac:dyDescent="0.2">
      <c r="AF13242" s="679"/>
    </row>
    <row r="13243" spans="32:32" x14ac:dyDescent="0.2">
      <c r="AF13243" s="679"/>
    </row>
    <row r="13244" spans="32:32" x14ac:dyDescent="0.2">
      <c r="AF13244" s="679"/>
    </row>
    <row r="13245" spans="32:32" x14ac:dyDescent="0.2">
      <c r="AF13245" s="679"/>
    </row>
    <row r="13246" spans="32:32" x14ac:dyDescent="0.2">
      <c r="AF13246" s="679"/>
    </row>
    <row r="13247" spans="32:32" x14ac:dyDescent="0.2">
      <c r="AF13247" s="679"/>
    </row>
    <row r="13248" spans="32:32" x14ac:dyDescent="0.2">
      <c r="AF13248" s="679"/>
    </row>
    <row r="13249" spans="32:32" x14ac:dyDescent="0.2">
      <c r="AF13249" s="679"/>
    </row>
    <row r="13250" spans="32:32" x14ac:dyDescent="0.2">
      <c r="AF13250" s="679"/>
    </row>
    <row r="13251" spans="32:32" x14ac:dyDescent="0.2">
      <c r="AF13251" s="679"/>
    </row>
    <row r="13252" spans="32:32" x14ac:dyDescent="0.2">
      <c r="AF13252" s="679"/>
    </row>
    <row r="13253" spans="32:32" x14ac:dyDescent="0.2">
      <c r="AF13253" s="679"/>
    </row>
    <row r="13254" spans="32:32" x14ac:dyDescent="0.2">
      <c r="AF13254" s="679"/>
    </row>
    <row r="13255" spans="32:32" x14ac:dyDescent="0.2">
      <c r="AF13255" s="679"/>
    </row>
    <row r="13256" spans="32:32" x14ac:dyDescent="0.2">
      <c r="AF13256" s="679"/>
    </row>
    <row r="13257" spans="32:32" x14ac:dyDescent="0.2">
      <c r="AF13257" s="679"/>
    </row>
    <row r="13258" spans="32:32" x14ac:dyDescent="0.2">
      <c r="AF13258" s="679"/>
    </row>
    <row r="13259" spans="32:32" x14ac:dyDescent="0.2">
      <c r="AF13259" s="679"/>
    </row>
    <row r="13260" spans="32:32" x14ac:dyDescent="0.2">
      <c r="AF13260" s="679"/>
    </row>
    <row r="13261" spans="32:32" x14ac:dyDescent="0.2">
      <c r="AF13261" s="679"/>
    </row>
    <row r="13262" spans="32:32" x14ac:dyDescent="0.2">
      <c r="AF13262" s="679"/>
    </row>
    <row r="13263" spans="32:32" x14ac:dyDescent="0.2">
      <c r="AF13263" s="679"/>
    </row>
    <row r="13264" spans="32:32" x14ac:dyDescent="0.2">
      <c r="AF13264" s="679"/>
    </row>
    <row r="13265" spans="32:32" x14ac:dyDescent="0.2">
      <c r="AF13265" s="679"/>
    </row>
    <row r="13266" spans="32:32" x14ac:dyDescent="0.2">
      <c r="AF13266" s="679"/>
    </row>
    <row r="13267" spans="32:32" x14ac:dyDescent="0.2">
      <c r="AF13267" s="679"/>
    </row>
    <row r="13268" spans="32:32" x14ac:dyDescent="0.2">
      <c r="AF13268" s="679"/>
    </row>
    <row r="13269" spans="32:32" x14ac:dyDescent="0.2">
      <c r="AF13269" s="679"/>
    </row>
    <row r="13270" spans="32:32" x14ac:dyDescent="0.2">
      <c r="AF13270" s="679"/>
    </row>
    <row r="13271" spans="32:32" x14ac:dyDescent="0.2">
      <c r="AF13271" s="679"/>
    </row>
    <row r="13272" spans="32:32" x14ac:dyDescent="0.2">
      <c r="AF13272" s="679"/>
    </row>
    <row r="13273" spans="32:32" x14ac:dyDescent="0.2">
      <c r="AF13273" s="679"/>
    </row>
    <row r="13274" spans="32:32" x14ac:dyDescent="0.2">
      <c r="AF13274" s="679"/>
    </row>
    <row r="13275" spans="32:32" x14ac:dyDescent="0.2">
      <c r="AF13275" s="679"/>
    </row>
    <row r="13276" spans="32:32" x14ac:dyDescent="0.2">
      <c r="AF13276" s="679"/>
    </row>
    <row r="13277" spans="32:32" x14ac:dyDescent="0.2">
      <c r="AF13277" s="679"/>
    </row>
    <row r="13278" spans="32:32" x14ac:dyDescent="0.2">
      <c r="AF13278" s="679"/>
    </row>
    <row r="13279" spans="32:32" x14ac:dyDescent="0.2">
      <c r="AF13279" s="679"/>
    </row>
    <row r="13280" spans="32:32" x14ac:dyDescent="0.2">
      <c r="AF13280" s="679"/>
    </row>
    <row r="13281" spans="32:32" x14ac:dyDescent="0.2">
      <c r="AF13281" s="679"/>
    </row>
    <row r="13282" spans="32:32" x14ac:dyDescent="0.2">
      <c r="AF13282" s="679"/>
    </row>
    <row r="13283" spans="32:32" x14ac:dyDescent="0.2">
      <c r="AF13283" s="679"/>
    </row>
    <row r="13284" spans="32:32" x14ac:dyDescent="0.2">
      <c r="AF13284" s="679"/>
    </row>
    <row r="13285" spans="32:32" x14ac:dyDescent="0.2">
      <c r="AF13285" s="679"/>
    </row>
    <row r="13286" spans="32:32" x14ac:dyDescent="0.2">
      <c r="AF13286" s="679"/>
    </row>
    <row r="13287" spans="32:32" x14ac:dyDescent="0.2">
      <c r="AF13287" s="679"/>
    </row>
    <row r="13288" spans="32:32" x14ac:dyDescent="0.2">
      <c r="AF13288" s="679"/>
    </row>
    <row r="13289" spans="32:32" x14ac:dyDescent="0.2">
      <c r="AF13289" s="679"/>
    </row>
    <row r="13290" spans="32:32" x14ac:dyDescent="0.2">
      <c r="AF13290" s="679"/>
    </row>
    <row r="13291" spans="32:32" x14ac:dyDescent="0.2">
      <c r="AF13291" s="679"/>
    </row>
    <row r="13292" spans="32:32" x14ac:dyDescent="0.2">
      <c r="AF13292" s="679"/>
    </row>
    <row r="13293" spans="32:32" x14ac:dyDescent="0.2">
      <c r="AF13293" s="679"/>
    </row>
    <row r="13294" spans="32:32" x14ac:dyDescent="0.2">
      <c r="AF13294" s="679"/>
    </row>
    <row r="13295" spans="32:32" x14ac:dyDescent="0.2">
      <c r="AF13295" s="679"/>
    </row>
    <row r="13296" spans="32:32" x14ac:dyDescent="0.2">
      <c r="AF13296" s="679"/>
    </row>
    <row r="13297" spans="32:32" x14ac:dyDescent="0.2">
      <c r="AF13297" s="679"/>
    </row>
    <row r="13298" spans="32:32" x14ac:dyDescent="0.2">
      <c r="AF13298" s="679"/>
    </row>
    <row r="13299" spans="32:32" x14ac:dyDescent="0.2">
      <c r="AF13299" s="679"/>
    </row>
    <row r="13300" spans="32:32" x14ac:dyDescent="0.2">
      <c r="AF13300" s="679"/>
    </row>
    <row r="13301" spans="32:32" x14ac:dyDescent="0.2">
      <c r="AF13301" s="679"/>
    </row>
    <row r="13302" spans="32:32" x14ac:dyDescent="0.2">
      <c r="AF13302" s="679"/>
    </row>
    <row r="13303" spans="32:32" x14ac:dyDescent="0.2">
      <c r="AF13303" s="679"/>
    </row>
    <row r="13304" spans="32:32" x14ac:dyDescent="0.2">
      <c r="AF13304" s="679"/>
    </row>
    <row r="13305" spans="32:32" x14ac:dyDescent="0.2">
      <c r="AF13305" s="679"/>
    </row>
    <row r="13306" spans="32:32" x14ac:dyDescent="0.2">
      <c r="AF13306" s="679"/>
    </row>
    <row r="13307" spans="32:32" x14ac:dyDescent="0.2">
      <c r="AF13307" s="679"/>
    </row>
    <row r="13308" spans="32:32" x14ac:dyDescent="0.2">
      <c r="AF13308" s="679"/>
    </row>
    <row r="13309" spans="32:32" x14ac:dyDescent="0.2">
      <c r="AF13309" s="679"/>
    </row>
    <row r="13310" spans="32:32" x14ac:dyDescent="0.2">
      <c r="AF13310" s="679"/>
    </row>
    <row r="13311" spans="32:32" x14ac:dyDescent="0.2">
      <c r="AF13311" s="679"/>
    </row>
    <row r="13312" spans="32:32" x14ac:dyDescent="0.2">
      <c r="AF13312" s="679"/>
    </row>
    <row r="13313" spans="32:32" x14ac:dyDescent="0.2">
      <c r="AF13313" s="679"/>
    </row>
    <row r="13314" spans="32:32" x14ac:dyDescent="0.2">
      <c r="AF13314" s="679"/>
    </row>
    <row r="13315" spans="32:32" x14ac:dyDescent="0.2">
      <c r="AF13315" s="679"/>
    </row>
    <row r="13316" spans="32:32" x14ac:dyDescent="0.2">
      <c r="AF13316" s="679"/>
    </row>
    <row r="13317" spans="32:32" x14ac:dyDescent="0.2">
      <c r="AF13317" s="679"/>
    </row>
    <row r="13318" spans="32:32" x14ac:dyDescent="0.2">
      <c r="AF13318" s="679"/>
    </row>
    <row r="13319" spans="32:32" x14ac:dyDescent="0.2">
      <c r="AF13319" s="679"/>
    </row>
    <row r="13320" spans="32:32" x14ac:dyDescent="0.2">
      <c r="AF13320" s="679"/>
    </row>
    <row r="13321" spans="32:32" x14ac:dyDescent="0.2">
      <c r="AF13321" s="679"/>
    </row>
    <row r="13322" spans="32:32" x14ac:dyDescent="0.2">
      <c r="AF13322" s="679"/>
    </row>
    <row r="13323" spans="32:32" x14ac:dyDescent="0.2">
      <c r="AF13323" s="679"/>
    </row>
    <row r="13324" spans="32:32" x14ac:dyDescent="0.2">
      <c r="AF13324" s="679"/>
    </row>
    <row r="13325" spans="32:32" x14ac:dyDescent="0.2">
      <c r="AF13325" s="679"/>
    </row>
    <row r="13326" spans="32:32" x14ac:dyDescent="0.2">
      <c r="AF13326" s="679"/>
    </row>
    <row r="13327" spans="32:32" x14ac:dyDescent="0.2">
      <c r="AF13327" s="679"/>
    </row>
    <row r="13328" spans="32:32" x14ac:dyDescent="0.2">
      <c r="AF13328" s="679"/>
    </row>
    <row r="13329" spans="32:32" x14ac:dyDescent="0.2">
      <c r="AF13329" s="679"/>
    </row>
    <row r="13330" spans="32:32" x14ac:dyDescent="0.2">
      <c r="AF13330" s="679"/>
    </row>
    <row r="13331" spans="32:32" x14ac:dyDescent="0.2">
      <c r="AF13331" s="679"/>
    </row>
    <row r="13332" spans="32:32" x14ac:dyDescent="0.2">
      <c r="AF13332" s="679"/>
    </row>
    <row r="13333" spans="32:32" x14ac:dyDescent="0.2">
      <c r="AF13333" s="679"/>
    </row>
    <row r="13334" spans="32:32" x14ac:dyDescent="0.2">
      <c r="AF13334" s="679"/>
    </row>
    <row r="13335" spans="32:32" x14ac:dyDescent="0.2">
      <c r="AF13335" s="679"/>
    </row>
    <row r="13336" spans="32:32" x14ac:dyDescent="0.2">
      <c r="AF13336" s="679"/>
    </row>
    <row r="13337" spans="32:32" x14ac:dyDescent="0.2">
      <c r="AF13337" s="679"/>
    </row>
    <row r="13338" spans="32:32" x14ac:dyDescent="0.2">
      <c r="AF13338" s="679"/>
    </row>
    <row r="13339" spans="32:32" x14ac:dyDescent="0.2">
      <c r="AF13339" s="679"/>
    </row>
    <row r="13340" spans="32:32" x14ac:dyDescent="0.2">
      <c r="AF13340" s="679"/>
    </row>
    <row r="13341" spans="32:32" x14ac:dyDescent="0.2">
      <c r="AF13341" s="679"/>
    </row>
    <row r="13342" spans="32:32" x14ac:dyDescent="0.2">
      <c r="AF13342" s="679"/>
    </row>
    <row r="13343" spans="32:32" x14ac:dyDescent="0.2">
      <c r="AF13343" s="679"/>
    </row>
    <row r="13344" spans="32:32" x14ac:dyDescent="0.2">
      <c r="AF13344" s="679"/>
    </row>
    <row r="13345" spans="32:32" x14ac:dyDescent="0.2">
      <c r="AF13345" s="679"/>
    </row>
    <row r="13346" spans="32:32" x14ac:dyDescent="0.2">
      <c r="AF13346" s="679"/>
    </row>
    <row r="13347" spans="32:32" x14ac:dyDescent="0.2">
      <c r="AF13347" s="679"/>
    </row>
    <row r="13348" spans="32:32" x14ac:dyDescent="0.2">
      <c r="AF13348" s="679"/>
    </row>
    <row r="13349" spans="32:32" x14ac:dyDescent="0.2">
      <c r="AF13349" s="679"/>
    </row>
    <row r="13350" spans="32:32" x14ac:dyDescent="0.2">
      <c r="AF13350" s="679"/>
    </row>
    <row r="13351" spans="32:32" x14ac:dyDescent="0.2">
      <c r="AF13351" s="679"/>
    </row>
    <row r="13352" spans="32:32" x14ac:dyDescent="0.2">
      <c r="AF13352" s="679"/>
    </row>
    <row r="13353" spans="32:32" x14ac:dyDescent="0.2">
      <c r="AF13353" s="679"/>
    </row>
    <row r="13354" spans="32:32" x14ac:dyDescent="0.2">
      <c r="AF13354" s="679"/>
    </row>
    <row r="13355" spans="32:32" x14ac:dyDescent="0.2">
      <c r="AF13355" s="679"/>
    </row>
    <row r="13356" spans="32:32" x14ac:dyDescent="0.2">
      <c r="AF13356" s="679"/>
    </row>
    <row r="13357" spans="32:32" x14ac:dyDescent="0.2">
      <c r="AF13357" s="679"/>
    </row>
    <row r="13358" spans="32:32" x14ac:dyDescent="0.2">
      <c r="AF13358" s="679"/>
    </row>
    <row r="13359" spans="32:32" x14ac:dyDescent="0.2">
      <c r="AF13359" s="679"/>
    </row>
    <row r="13360" spans="32:32" x14ac:dyDescent="0.2">
      <c r="AF13360" s="679"/>
    </row>
    <row r="13361" spans="32:32" x14ac:dyDescent="0.2">
      <c r="AF13361" s="679"/>
    </row>
    <row r="13362" spans="32:32" x14ac:dyDescent="0.2">
      <c r="AF13362" s="679"/>
    </row>
    <row r="13363" spans="32:32" x14ac:dyDescent="0.2">
      <c r="AF13363" s="679"/>
    </row>
    <row r="13364" spans="32:32" x14ac:dyDescent="0.2">
      <c r="AF13364" s="679"/>
    </row>
    <row r="13365" spans="32:32" x14ac:dyDescent="0.2">
      <c r="AF13365" s="679"/>
    </row>
    <row r="13366" spans="32:32" x14ac:dyDescent="0.2">
      <c r="AF13366" s="679"/>
    </row>
    <row r="13367" spans="32:32" x14ac:dyDescent="0.2">
      <c r="AF13367" s="679"/>
    </row>
    <row r="13368" spans="32:32" x14ac:dyDescent="0.2">
      <c r="AF13368" s="679"/>
    </row>
    <row r="13369" spans="32:32" x14ac:dyDescent="0.2">
      <c r="AF13369" s="679"/>
    </row>
    <row r="13370" spans="32:32" x14ac:dyDescent="0.2">
      <c r="AF13370" s="679"/>
    </row>
    <row r="13371" spans="32:32" x14ac:dyDescent="0.2">
      <c r="AF13371" s="679"/>
    </row>
    <row r="13372" spans="32:32" x14ac:dyDescent="0.2">
      <c r="AF13372" s="679"/>
    </row>
    <row r="13373" spans="32:32" x14ac:dyDescent="0.2">
      <c r="AF13373" s="679"/>
    </row>
    <row r="13374" spans="32:32" x14ac:dyDescent="0.2">
      <c r="AF13374" s="679"/>
    </row>
    <row r="13375" spans="32:32" x14ac:dyDescent="0.2">
      <c r="AF13375" s="679"/>
    </row>
    <row r="13376" spans="32:32" x14ac:dyDescent="0.2">
      <c r="AF13376" s="679"/>
    </row>
    <row r="13377" spans="32:32" x14ac:dyDescent="0.2">
      <c r="AF13377" s="679"/>
    </row>
    <row r="13378" spans="32:32" x14ac:dyDescent="0.2">
      <c r="AF13378" s="679"/>
    </row>
    <row r="13379" spans="32:32" x14ac:dyDescent="0.2">
      <c r="AF13379" s="679"/>
    </row>
    <row r="13380" spans="32:32" x14ac:dyDescent="0.2">
      <c r="AF13380" s="679"/>
    </row>
    <row r="13381" spans="32:32" x14ac:dyDescent="0.2">
      <c r="AF13381" s="679"/>
    </row>
    <row r="13382" spans="32:32" x14ac:dyDescent="0.2">
      <c r="AF13382" s="679"/>
    </row>
    <row r="13383" spans="32:32" x14ac:dyDescent="0.2">
      <c r="AF13383" s="679"/>
    </row>
    <row r="13384" spans="32:32" x14ac:dyDescent="0.2">
      <c r="AF13384" s="679"/>
    </row>
    <row r="13385" spans="32:32" x14ac:dyDescent="0.2">
      <c r="AF13385" s="679"/>
    </row>
    <row r="13386" spans="32:32" x14ac:dyDescent="0.2">
      <c r="AF13386" s="679"/>
    </row>
    <row r="13387" spans="32:32" x14ac:dyDescent="0.2">
      <c r="AF13387" s="679"/>
    </row>
    <row r="13388" spans="32:32" x14ac:dyDescent="0.2">
      <c r="AF13388" s="679"/>
    </row>
    <row r="13389" spans="32:32" x14ac:dyDescent="0.2">
      <c r="AF13389" s="679"/>
    </row>
    <row r="13390" spans="32:32" x14ac:dyDescent="0.2">
      <c r="AF13390" s="679"/>
    </row>
    <row r="13391" spans="32:32" x14ac:dyDescent="0.2">
      <c r="AF13391" s="679"/>
    </row>
    <row r="13392" spans="32:32" x14ac:dyDescent="0.2">
      <c r="AF13392" s="679"/>
    </row>
    <row r="13393" spans="32:32" x14ac:dyDescent="0.2">
      <c r="AF13393" s="679"/>
    </row>
    <row r="13394" spans="32:32" x14ac:dyDescent="0.2">
      <c r="AF13394" s="679"/>
    </row>
    <row r="13395" spans="32:32" x14ac:dyDescent="0.2">
      <c r="AF13395" s="679"/>
    </row>
    <row r="13396" spans="32:32" x14ac:dyDescent="0.2">
      <c r="AF13396" s="679"/>
    </row>
    <row r="13397" spans="32:32" x14ac:dyDescent="0.2">
      <c r="AF13397" s="679"/>
    </row>
    <row r="13398" spans="32:32" x14ac:dyDescent="0.2">
      <c r="AF13398" s="679"/>
    </row>
    <row r="13399" spans="32:32" x14ac:dyDescent="0.2">
      <c r="AF13399" s="679"/>
    </row>
    <row r="13400" spans="32:32" x14ac:dyDescent="0.2">
      <c r="AF13400" s="679"/>
    </row>
    <row r="13401" spans="32:32" x14ac:dyDescent="0.2">
      <c r="AF13401" s="679"/>
    </row>
    <row r="13402" spans="32:32" x14ac:dyDescent="0.2">
      <c r="AF13402" s="679"/>
    </row>
    <row r="13403" spans="32:32" x14ac:dyDescent="0.2">
      <c r="AF13403" s="679"/>
    </row>
    <row r="13404" spans="32:32" x14ac:dyDescent="0.2">
      <c r="AF13404" s="679"/>
    </row>
    <row r="13405" spans="32:32" x14ac:dyDescent="0.2">
      <c r="AF13405" s="679"/>
    </row>
    <row r="13406" spans="32:32" x14ac:dyDescent="0.2">
      <c r="AF13406" s="679"/>
    </row>
    <row r="13407" spans="32:32" x14ac:dyDescent="0.2">
      <c r="AF13407" s="679"/>
    </row>
    <row r="13408" spans="32:32" x14ac:dyDescent="0.2">
      <c r="AF13408" s="679"/>
    </row>
    <row r="13409" spans="32:32" x14ac:dyDescent="0.2">
      <c r="AF13409" s="679"/>
    </row>
    <row r="13410" spans="32:32" x14ac:dyDescent="0.2">
      <c r="AF13410" s="679"/>
    </row>
    <row r="13411" spans="32:32" x14ac:dyDescent="0.2">
      <c r="AF13411" s="679"/>
    </row>
    <row r="13412" spans="32:32" x14ac:dyDescent="0.2">
      <c r="AF13412" s="679"/>
    </row>
    <row r="13413" spans="32:32" x14ac:dyDescent="0.2">
      <c r="AF13413" s="679"/>
    </row>
    <row r="13414" spans="32:32" x14ac:dyDescent="0.2">
      <c r="AF13414" s="679"/>
    </row>
    <row r="13415" spans="32:32" x14ac:dyDescent="0.2">
      <c r="AF13415" s="679"/>
    </row>
    <row r="13416" spans="32:32" x14ac:dyDescent="0.2">
      <c r="AF13416" s="679"/>
    </row>
    <row r="13417" spans="32:32" x14ac:dyDescent="0.2">
      <c r="AF13417" s="679"/>
    </row>
    <row r="13418" spans="32:32" x14ac:dyDescent="0.2">
      <c r="AF13418" s="679"/>
    </row>
    <row r="13419" spans="32:32" x14ac:dyDescent="0.2">
      <c r="AF13419" s="679"/>
    </row>
    <row r="13420" spans="32:32" x14ac:dyDescent="0.2">
      <c r="AF13420" s="679"/>
    </row>
    <row r="13421" spans="32:32" x14ac:dyDescent="0.2">
      <c r="AF13421" s="679"/>
    </row>
    <row r="13422" spans="32:32" x14ac:dyDescent="0.2">
      <c r="AF13422" s="679"/>
    </row>
    <row r="13423" spans="32:32" x14ac:dyDescent="0.2">
      <c r="AF13423" s="679"/>
    </row>
    <row r="13424" spans="32:32" x14ac:dyDescent="0.2">
      <c r="AF13424" s="679"/>
    </row>
    <row r="13425" spans="32:32" x14ac:dyDescent="0.2">
      <c r="AF13425" s="679"/>
    </row>
    <row r="13426" spans="32:32" x14ac:dyDescent="0.2">
      <c r="AF13426" s="679"/>
    </row>
    <row r="13427" spans="32:32" x14ac:dyDescent="0.2">
      <c r="AF13427" s="679"/>
    </row>
    <row r="13428" spans="32:32" x14ac:dyDescent="0.2">
      <c r="AF13428" s="679"/>
    </row>
    <row r="13429" spans="32:32" x14ac:dyDescent="0.2">
      <c r="AF13429" s="679"/>
    </row>
    <row r="13430" spans="32:32" x14ac:dyDescent="0.2">
      <c r="AF13430" s="679"/>
    </row>
    <row r="13431" spans="32:32" x14ac:dyDescent="0.2">
      <c r="AF13431" s="679"/>
    </row>
    <row r="13432" spans="32:32" x14ac:dyDescent="0.2">
      <c r="AF13432" s="679"/>
    </row>
    <row r="13433" spans="32:32" x14ac:dyDescent="0.2">
      <c r="AF13433" s="679"/>
    </row>
    <row r="13434" spans="32:32" x14ac:dyDescent="0.2">
      <c r="AF13434" s="679"/>
    </row>
    <row r="13435" spans="32:32" x14ac:dyDescent="0.2">
      <c r="AF13435" s="679"/>
    </row>
    <row r="13436" spans="32:32" x14ac:dyDescent="0.2">
      <c r="AF13436" s="679"/>
    </row>
    <row r="13437" spans="32:32" x14ac:dyDescent="0.2">
      <c r="AF13437" s="679"/>
    </row>
    <row r="13438" spans="32:32" x14ac:dyDescent="0.2">
      <c r="AF13438" s="679"/>
    </row>
    <row r="13439" spans="32:32" x14ac:dyDescent="0.2">
      <c r="AF13439" s="679"/>
    </row>
    <row r="13440" spans="32:32" x14ac:dyDescent="0.2">
      <c r="AF13440" s="679"/>
    </row>
    <row r="13441" spans="32:32" x14ac:dyDescent="0.2">
      <c r="AF13441" s="679"/>
    </row>
    <row r="13442" spans="32:32" x14ac:dyDescent="0.2">
      <c r="AF13442" s="679"/>
    </row>
    <row r="13443" spans="32:32" x14ac:dyDescent="0.2">
      <c r="AF13443" s="679"/>
    </row>
    <row r="13444" spans="32:32" x14ac:dyDescent="0.2">
      <c r="AF13444" s="679"/>
    </row>
    <row r="13445" spans="32:32" x14ac:dyDescent="0.2">
      <c r="AF13445" s="679"/>
    </row>
    <row r="13446" spans="32:32" x14ac:dyDescent="0.2">
      <c r="AF13446" s="679"/>
    </row>
    <row r="13447" spans="32:32" x14ac:dyDescent="0.2">
      <c r="AF13447" s="679"/>
    </row>
    <row r="13448" spans="32:32" x14ac:dyDescent="0.2">
      <c r="AF13448" s="679"/>
    </row>
    <row r="13449" spans="32:32" x14ac:dyDescent="0.2">
      <c r="AF13449" s="679"/>
    </row>
    <row r="13450" spans="32:32" x14ac:dyDescent="0.2">
      <c r="AF13450" s="679"/>
    </row>
    <row r="13451" spans="32:32" x14ac:dyDescent="0.2">
      <c r="AF13451" s="679"/>
    </row>
    <row r="13452" spans="32:32" x14ac:dyDescent="0.2">
      <c r="AF13452" s="679"/>
    </row>
    <row r="13453" spans="32:32" x14ac:dyDescent="0.2">
      <c r="AF13453" s="679"/>
    </row>
    <row r="13454" spans="32:32" x14ac:dyDescent="0.2">
      <c r="AF13454" s="679"/>
    </row>
    <row r="13455" spans="32:32" x14ac:dyDescent="0.2">
      <c r="AF13455" s="679"/>
    </row>
    <row r="13456" spans="32:32" x14ac:dyDescent="0.2">
      <c r="AF13456" s="679"/>
    </row>
    <row r="13457" spans="32:32" x14ac:dyDescent="0.2">
      <c r="AF13457" s="679"/>
    </row>
    <row r="13458" spans="32:32" x14ac:dyDescent="0.2">
      <c r="AF13458" s="679"/>
    </row>
    <row r="13459" spans="32:32" x14ac:dyDescent="0.2">
      <c r="AF13459" s="679"/>
    </row>
    <row r="13460" spans="32:32" x14ac:dyDescent="0.2">
      <c r="AF13460" s="679"/>
    </row>
    <row r="13461" spans="32:32" x14ac:dyDescent="0.2">
      <c r="AF13461" s="679"/>
    </row>
    <row r="13462" spans="32:32" x14ac:dyDescent="0.2">
      <c r="AF13462" s="679"/>
    </row>
    <row r="13463" spans="32:32" x14ac:dyDescent="0.2">
      <c r="AF13463" s="679"/>
    </row>
    <row r="13464" spans="32:32" x14ac:dyDescent="0.2">
      <c r="AF13464" s="679"/>
    </row>
    <row r="13465" spans="32:32" x14ac:dyDescent="0.2">
      <c r="AF13465" s="679"/>
    </row>
    <row r="13466" spans="32:32" x14ac:dyDescent="0.2">
      <c r="AF13466" s="679"/>
    </row>
    <row r="13467" spans="32:32" x14ac:dyDescent="0.2">
      <c r="AF13467" s="679"/>
    </row>
    <row r="13468" spans="32:32" x14ac:dyDescent="0.2">
      <c r="AF13468" s="679"/>
    </row>
    <row r="13469" spans="32:32" x14ac:dyDescent="0.2">
      <c r="AF13469" s="679"/>
    </row>
    <row r="13470" spans="32:32" x14ac:dyDescent="0.2">
      <c r="AF13470" s="679"/>
    </row>
    <row r="13471" spans="32:32" x14ac:dyDescent="0.2">
      <c r="AF13471" s="679"/>
    </row>
    <row r="13472" spans="32:32" x14ac:dyDescent="0.2">
      <c r="AF13472" s="679"/>
    </row>
    <row r="13473" spans="32:32" x14ac:dyDescent="0.2">
      <c r="AF13473" s="679"/>
    </row>
    <row r="13474" spans="32:32" x14ac:dyDescent="0.2">
      <c r="AF13474" s="679"/>
    </row>
    <row r="13475" spans="32:32" x14ac:dyDescent="0.2">
      <c r="AF13475" s="679"/>
    </row>
    <row r="13476" spans="32:32" x14ac:dyDescent="0.2">
      <c r="AF13476" s="679"/>
    </row>
    <row r="13477" spans="32:32" x14ac:dyDescent="0.2">
      <c r="AF13477" s="679"/>
    </row>
    <row r="13478" spans="32:32" x14ac:dyDescent="0.2">
      <c r="AF13478" s="679"/>
    </row>
    <row r="13479" spans="32:32" x14ac:dyDescent="0.2">
      <c r="AF13479" s="679"/>
    </row>
    <row r="13480" spans="32:32" x14ac:dyDescent="0.2">
      <c r="AF13480" s="679"/>
    </row>
    <row r="13481" spans="32:32" x14ac:dyDescent="0.2">
      <c r="AF13481" s="679"/>
    </row>
    <row r="13482" spans="32:32" x14ac:dyDescent="0.2">
      <c r="AF13482" s="679"/>
    </row>
    <row r="13483" spans="32:32" x14ac:dyDescent="0.2">
      <c r="AF13483" s="679"/>
    </row>
    <row r="13484" spans="32:32" x14ac:dyDescent="0.2">
      <c r="AF13484" s="679"/>
    </row>
    <row r="13485" spans="32:32" x14ac:dyDescent="0.2">
      <c r="AF13485" s="679"/>
    </row>
    <row r="13486" spans="32:32" x14ac:dyDescent="0.2">
      <c r="AF13486" s="679"/>
    </row>
    <row r="13487" spans="32:32" x14ac:dyDescent="0.2">
      <c r="AF13487" s="679"/>
    </row>
    <row r="13488" spans="32:32" x14ac:dyDescent="0.2">
      <c r="AF13488" s="679"/>
    </row>
    <row r="13489" spans="32:32" x14ac:dyDescent="0.2">
      <c r="AF13489" s="679"/>
    </row>
    <row r="13490" spans="32:32" x14ac:dyDescent="0.2">
      <c r="AF13490" s="679"/>
    </row>
    <row r="13491" spans="32:32" x14ac:dyDescent="0.2">
      <c r="AF13491" s="679"/>
    </row>
    <row r="13492" spans="32:32" x14ac:dyDescent="0.2">
      <c r="AF13492" s="679"/>
    </row>
    <row r="13493" spans="32:32" x14ac:dyDescent="0.2">
      <c r="AF13493" s="679"/>
    </row>
    <row r="13494" spans="32:32" x14ac:dyDescent="0.2">
      <c r="AF13494" s="679"/>
    </row>
    <row r="13495" spans="32:32" x14ac:dyDescent="0.2">
      <c r="AF13495" s="679"/>
    </row>
    <row r="13496" spans="32:32" x14ac:dyDescent="0.2">
      <c r="AF13496" s="679"/>
    </row>
    <row r="13497" spans="32:32" x14ac:dyDescent="0.2">
      <c r="AF13497" s="679"/>
    </row>
    <row r="13498" spans="32:32" x14ac:dyDescent="0.2">
      <c r="AF13498" s="679"/>
    </row>
    <row r="13499" spans="32:32" x14ac:dyDescent="0.2">
      <c r="AF13499" s="679"/>
    </row>
    <row r="13500" spans="32:32" x14ac:dyDescent="0.2">
      <c r="AF13500" s="679"/>
    </row>
    <row r="13501" spans="32:32" x14ac:dyDescent="0.2">
      <c r="AF13501" s="679"/>
    </row>
    <row r="13502" spans="32:32" x14ac:dyDescent="0.2">
      <c r="AF13502" s="679"/>
    </row>
    <row r="13503" spans="32:32" x14ac:dyDescent="0.2">
      <c r="AF13503" s="679"/>
    </row>
    <row r="13504" spans="32:32" x14ac:dyDescent="0.2">
      <c r="AF13504" s="679"/>
    </row>
    <row r="13505" spans="32:32" x14ac:dyDescent="0.2">
      <c r="AF13505" s="679"/>
    </row>
    <row r="13506" spans="32:32" x14ac:dyDescent="0.2">
      <c r="AF13506" s="679"/>
    </row>
    <row r="13507" spans="32:32" x14ac:dyDescent="0.2">
      <c r="AF13507" s="679"/>
    </row>
    <row r="13508" spans="32:32" x14ac:dyDescent="0.2">
      <c r="AF13508" s="679"/>
    </row>
    <row r="13509" spans="32:32" x14ac:dyDescent="0.2">
      <c r="AF13509" s="679"/>
    </row>
    <row r="13510" spans="32:32" x14ac:dyDescent="0.2">
      <c r="AF13510" s="679"/>
    </row>
    <row r="13511" spans="32:32" x14ac:dyDescent="0.2">
      <c r="AF13511" s="679"/>
    </row>
    <row r="13512" spans="32:32" x14ac:dyDescent="0.2">
      <c r="AF13512" s="679"/>
    </row>
    <row r="13513" spans="32:32" x14ac:dyDescent="0.2">
      <c r="AF13513" s="679"/>
    </row>
    <row r="13514" spans="32:32" x14ac:dyDescent="0.2">
      <c r="AF13514" s="679"/>
    </row>
    <row r="13515" spans="32:32" x14ac:dyDescent="0.2">
      <c r="AF13515" s="679"/>
    </row>
    <row r="13516" spans="32:32" x14ac:dyDescent="0.2">
      <c r="AF13516" s="679"/>
    </row>
    <row r="13517" spans="32:32" x14ac:dyDescent="0.2">
      <c r="AF13517" s="679"/>
    </row>
    <row r="13518" spans="32:32" x14ac:dyDescent="0.2">
      <c r="AF13518" s="679"/>
    </row>
    <row r="13519" spans="32:32" x14ac:dyDescent="0.2">
      <c r="AF13519" s="679"/>
    </row>
    <row r="13520" spans="32:32" x14ac:dyDescent="0.2">
      <c r="AF13520" s="679"/>
    </row>
    <row r="13521" spans="32:32" x14ac:dyDescent="0.2">
      <c r="AF13521" s="679"/>
    </row>
    <row r="13522" spans="32:32" x14ac:dyDescent="0.2">
      <c r="AF13522" s="679"/>
    </row>
    <row r="13523" spans="32:32" x14ac:dyDescent="0.2">
      <c r="AF13523" s="679"/>
    </row>
    <row r="13524" spans="32:32" x14ac:dyDescent="0.2">
      <c r="AF13524" s="679"/>
    </row>
    <row r="13525" spans="32:32" x14ac:dyDescent="0.2">
      <c r="AF13525" s="679"/>
    </row>
    <row r="13526" spans="32:32" x14ac:dyDescent="0.2">
      <c r="AF13526" s="679"/>
    </row>
    <row r="13527" spans="32:32" x14ac:dyDescent="0.2">
      <c r="AF13527" s="679"/>
    </row>
    <row r="13528" spans="32:32" x14ac:dyDescent="0.2">
      <c r="AF13528" s="679"/>
    </row>
    <row r="13529" spans="32:32" x14ac:dyDescent="0.2">
      <c r="AF13529" s="679"/>
    </row>
    <row r="13530" spans="32:32" x14ac:dyDescent="0.2">
      <c r="AF13530" s="679"/>
    </row>
    <row r="13531" spans="32:32" x14ac:dyDescent="0.2">
      <c r="AF13531" s="679"/>
    </row>
    <row r="13532" spans="32:32" x14ac:dyDescent="0.2">
      <c r="AF13532" s="679"/>
    </row>
    <row r="13533" spans="32:32" x14ac:dyDescent="0.2">
      <c r="AF13533" s="679"/>
    </row>
    <row r="13534" spans="32:32" x14ac:dyDescent="0.2">
      <c r="AF13534" s="679"/>
    </row>
    <row r="13535" spans="32:32" x14ac:dyDescent="0.2">
      <c r="AF13535" s="679"/>
    </row>
    <row r="13536" spans="32:32" x14ac:dyDescent="0.2">
      <c r="AF13536" s="679"/>
    </row>
    <row r="13537" spans="32:32" x14ac:dyDescent="0.2">
      <c r="AF13537" s="679"/>
    </row>
    <row r="13538" spans="32:32" x14ac:dyDescent="0.2">
      <c r="AF13538" s="679"/>
    </row>
    <row r="13539" spans="32:32" x14ac:dyDescent="0.2">
      <c r="AF13539" s="679"/>
    </row>
    <row r="13540" spans="32:32" x14ac:dyDescent="0.2">
      <c r="AF13540" s="679"/>
    </row>
    <row r="13541" spans="32:32" x14ac:dyDescent="0.2">
      <c r="AF13541" s="679"/>
    </row>
    <row r="13542" spans="32:32" x14ac:dyDescent="0.2">
      <c r="AF13542" s="679"/>
    </row>
    <row r="13543" spans="32:32" x14ac:dyDescent="0.2">
      <c r="AF13543" s="679"/>
    </row>
    <row r="13544" spans="32:32" x14ac:dyDescent="0.2">
      <c r="AF13544" s="679"/>
    </row>
    <row r="13545" spans="32:32" x14ac:dyDescent="0.2">
      <c r="AF13545" s="679"/>
    </row>
    <row r="13546" spans="32:32" x14ac:dyDescent="0.2">
      <c r="AF13546" s="679"/>
    </row>
    <row r="13547" spans="32:32" x14ac:dyDescent="0.2">
      <c r="AF13547" s="679"/>
    </row>
    <row r="13548" spans="32:32" x14ac:dyDescent="0.2">
      <c r="AF13548" s="679"/>
    </row>
    <row r="13549" spans="32:32" x14ac:dyDescent="0.2">
      <c r="AF13549" s="679"/>
    </row>
    <row r="13550" spans="32:32" x14ac:dyDescent="0.2">
      <c r="AF13550" s="679"/>
    </row>
    <row r="13551" spans="32:32" x14ac:dyDescent="0.2">
      <c r="AF13551" s="679"/>
    </row>
    <row r="13552" spans="32:32" x14ac:dyDescent="0.2">
      <c r="AF13552" s="679"/>
    </row>
    <row r="13553" spans="32:32" x14ac:dyDescent="0.2">
      <c r="AF13553" s="679"/>
    </row>
    <row r="13554" spans="32:32" x14ac:dyDescent="0.2">
      <c r="AF13554" s="679"/>
    </row>
    <row r="13555" spans="32:32" x14ac:dyDescent="0.2">
      <c r="AF13555" s="679"/>
    </row>
    <row r="13556" spans="32:32" x14ac:dyDescent="0.2">
      <c r="AF13556" s="679"/>
    </row>
    <row r="13557" spans="32:32" x14ac:dyDescent="0.2">
      <c r="AF13557" s="679"/>
    </row>
    <row r="13558" spans="32:32" x14ac:dyDescent="0.2">
      <c r="AF13558" s="679"/>
    </row>
    <row r="13559" spans="32:32" x14ac:dyDescent="0.2">
      <c r="AF13559" s="679"/>
    </row>
    <row r="13560" spans="32:32" x14ac:dyDescent="0.2">
      <c r="AF13560" s="679"/>
    </row>
    <row r="13561" spans="32:32" x14ac:dyDescent="0.2">
      <c r="AF13561" s="679"/>
    </row>
    <row r="13562" spans="32:32" x14ac:dyDescent="0.2">
      <c r="AF13562" s="679"/>
    </row>
    <row r="13563" spans="32:32" x14ac:dyDescent="0.2">
      <c r="AF13563" s="679"/>
    </row>
    <row r="13564" spans="32:32" x14ac:dyDescent="0.2">
      <c r="AF13564" s="679"/>
    </row>
    <row r="13565" spans="32:32" x14ac:dyDescent="0.2">
      <c r="AF13565" s="679"/>
    </row>
    <row r="13566" spans="32:32" x14ac:dyDescent="0.2">
      <c r="AF13566" s="679"/>
    </row>
    <row r="13567" spans="32:32" x14ac:dyDescent="0.2">
      <c r="AF13567" s="679"/>
    </row>
    <row r="13568" spans="32:32" x14ac:dyDescent="0.2">
      <c r="AF13568" s="679"/>
    </row>
    <row r="13569" spans="32:32" x14ac:dyDescent="0.2">
      <c r="AF13569" s="679"/>
    </row>
    <row r="13570" spans="32:32" x14ac:dyDescent="0.2">
      <c r="AF13570" s="679"/>
    </row>
    <row r="13571" spans="32:32" x14ac:dyDescent="0.2">
      <c r="AF13571" s="679"/>
    </row>
    <row r="13572" spans="32:32" x14ac:dyDescent="0.2">
      <c r="AF13572" s="679"/>
    </row>
    <row r="13573" spans="32:32" x14ac:dyDescent="0.2">
      <c r="AF13573" s="679"/>
    </row>
    <row r="13574" spans="32:32" x14ac:dyDescent="0.2">
      <c r="AF13574" s="679"/>
    </row>
    <row r="13575" spans="32:32" x14ac:dyDescent="0.2">
      <c r="AF13575" s="679"/>
    </row>
    <row r="13576" spans="32:32" x14ac:dyDescent="0.2">
      <c r="AF13576" s="679"/>
    </row>
    <row r="13577" spans="32:32" x14ac:dyDescent="0.2">
      <c r="AF13577" s="679"/>
    </row>
    <row r="13578" spans="32:32" x14ac:dyDescent="0.2">
      <c r="AF13578" s="679"/>
    </row>
    <row r="13579" spans="32:32" x14ac:dyDescent="0.2">
      <c r="AF13579" s="679"/>
    </row>
    <row r="13580" spans="32:32" x14ac:dyDescent="0.2">
      <c r="AF13580" s="679"/>
    </row>
    <row r="13581" spans="32:32" x14ac:dyDescent="0.2">
      <c r="AF13581" s="679"/>
    </row>
    <row r="13582" spans="32:32" x14ac:dyDescent="0.2">
      <c r="AF13582" s="679"/>
    </row>
    <row r="13583" spans="32:32" x14ac:dyDescent="0.2">
      <c r="AF13583" s="679"/>
    </row>
    <row r="13584" spans="32:32" x14ac:dyDescent="0.2">
      <c r="AF13584" s="679"/>
    </row>
    <row r="13585" spans="32:32" x14ac:dyDescent="0.2">
      <c r="AF13585" s="679"/>
    </row>
    <row r="13586" spans="32:32" x14ac:dyDescent="0.2">
      <c r="AF13586" s="679"/>
    </row>
    <row r="13587" spans="32:32" x14ac:dyDescent="0.2">
      <c r="AF13587" s="679"/>
    </row>
    <row r="13588" spans="32:32" x14ac:dyDescent="0.2">
      <c r="AF13588" s="679"/>
    </row>
    <row r="13589" spans="32:32" x14ac:dyDescent="0.2">
      <c r="AF13589" s="679"/>
    </row>
    <row r="13590" spans="32:32" x14ac:dyDescent="0.2">
      <c r="AF13590" s="679"/>
    </row>
    <row r="13591" spans="32:32" x14ac:dyDescent="0.2">
      <c r="AF13591" s="679"/>
    </row>
    <row r="13592" spans="32:32" x14ac:dyDescent="0.2">
      <c r="AF13592" s="679"/>
    </row>
    <row r="13593" spans="32:32" x14ac:dyDescent="0.2">
      <c r="AF13593" s="679"/>
    </row>
    <row r="13594" spans="32:32" x14ac:dyDescent="0.2">
      <c r="AF13594" s="679"/>
    </row>
    <row r="13595" spans="32:32" x14ac:dyDescent="0.2">
      <c r="AF13595" s="679"/>
    </row>
    <row r="13596" spans="32:32" x14ac:dyDescent="0.2">
      <c r="AF13596" s="679"/>
    </row>
    <row r="13597" spans="32:32" x14ac:dyDescent="0.2">
      <c r="AF13597" s="679"/>
    </row>
    <row r="13598" spans="32:32" x14ac:dyDescent="0.2">
      <c r="AF13598" s="679"/>
    </row>
    <row r="13599" spans="32:32" x14ac:dyDescent="0.2">
      <c r="AF13599" s="679"/>
    </row>
    <row r="13600" spans="32:32" x14ac:dyDescent="0.2">
      <c r="AF13600" s="679"/>
    </row>
    <row r="13601" spans="32:32" x14ac:dyDescent="0.2">
      <c r="AF13601" s="679"/>
    </row>
    <row r="13602" spans="32:32" x14ac:dyDescent="0.2">
      <c r="AF13602" s="679"/>
    </row>
    <row r="13603" spans="32:32" x14ac:dyDescent="0.2">
      <c r="AF13603" s="679"/>
    </row>
    <row r="13604" spans="32:32" x14ac:dyDescent="0.2">
      <c r="AF13604" s="679"/>
    </row>
    <row r="13605" spans="32:32" x14ac:dyDescent="0.2">
      <c r="AF13605" s="679"/>
    </row>
    <row r="13606" spans="32:32" x14ac:dyDescent="0.2">
      <c r="AF13606" s="679"/>
    </row>
    <row r="13607" spans="32:32" x14ac:dyDescent="0.2">
      <c r="AF13607" s="679"/>
    </row>
    <row r="13608" spans="32:32" x14ac:dyDescent="0.2">
      <c r="AF13608" s="679"/>
    </row>
    <row r="13609" spans="32:32" x14ac:dyDescent="0.2">
      <c r="AF13609" s="679"/>
    </row>
    <row r="13610" spans="32:32" x14ac:dyDescent="0.2">
      <c r="AF13610" s="679"/>
    </row>
    <row r="13611" spans="32:32" x14ac:dyDescent="0.2">
      <c r="AF13611" s="679"/>
    </row>
    <row r="13612" spans="32:32" x14ac:dyDescent="0.2">
      <c r="AF13612" s="679"/>
    </row>
    <row r="13613" spans="32:32" x14ac:dyDescent="0.2">
      <c r="AF13613" s="679"/>
    </row>
    <row r="13614" spans="32:32" x14ac:dyDescent="0.2">
      <c r="AF13614" s="679"/>
    </row>
    <row r="13615" spans="32:32" x14ac:dyDescent="0.2">
      <c r="AF13615" s="679"/>
    </row>
    <row r="13616" spans="32:32" x14ac:dyDescent="0.2">
      <c r="AF13616" s="679"/>
    </row>
    <row r="13617" spans="32:32" x14ac:dyDescent="0.2">
      <c r="AF13617" s="679"/>
    </row>
    <row r="13618" spans="32:32" x14ac:dyDescent="0.2">
      <c r="AF13618" s="679"/>
    </row>
    <row r="13619" spans="32:32" x14ac:dyDescent="0.2">
      <c r="AF13619" s="679"/>
    </row>
    <row r="13620" spans="32:32" x14ac:dyDescent="0.2">
      <c r="AF13620" s="679"/>
    </row>
    <row r="13621" spans="32:32" x14ac:dyDescent="0.2">
      <c r="AF13621" s="679"/>
    </row>
    <row r="13622" spans="32:32" x14ac:dyDescent="0.2">
      <c r="AF13622" s="679"/>
    </row>
    <row r="13623" spans="32:32" x14ac:dyDescent="0.2">
      <c r="AF13623" s="679"/>
    </row>
    <row r="13624" spans="32:32" x14ac:dyDescent="0.2">
      <c r="AF13624" s="679"/>
    </row>
    <row r="13625" spans="32:32" x14ac:dyDescent="0.2">
      <c r="AF13625" s="679"/>
    </row>
    <row r="13626" spans="32:32" x14ac:dyDescent="0.2">
      <c r="AF13626" s="679"/>
    </row>
    <row r="13627" spans="32:32" x14ac:dyDescent="0.2">
      <c r="AF13627" s="679"/>
    </row>
    <row r="13628" spans="32:32" x14ac:dyDescent="0.2">
      <c r="AF13628" s="679"/>
    </row>
    <row r="13629" spans="32:32" x14ac:dyDescent="0.2">
      <c r="AF13629" s="679"/>
    </row>
    <row r="13630" spans="32:32" x14ac:dyDescent="0.2">
      <c r="AF13630" s="679"/>
    </row>
    <row r="13631" spans="32:32" x14ac:dyDescent="0.2">
      <c r="AF13631" s="679"/>
    </row>
    <row r="13632" spans="32:32" x14ac:dyDescent="0.2">
      <c r="AF13632" s="679"/>
    </row>
    <row r="13633" spans="32:32" x14ac:dyDescent="0.2">
      <c r="AF13633" s="679"/>
    </row>
    <row r="13634" spans="32:32" x14ac:dyDescent="0.2">
      <c r="AF13634" s="679"/>
    </row>
    <row r="13635" spans="32:32" x14ac:dyDescent="0.2">
      <c r="AF13635" s="679"/>
    </row>
    <row r="13636" spans="32:32" x14ac:dyDescent="0.2">
      <c r="AF13636" s="679"/>
    </row>
    <row r="13637" spans="32:32" x14ac:dyDescent="0.2">
      <c r="AF13637" s="679"/>
    </row>
    <row r="13638" spans="32:32" x14ac:dyDescent="0.2">
      <c r="AF13638" s="679"/>
    </row>
    <row r="13639" spans="32:32" x14ac:dyDescent="0.2">
      <c r="AF13639" s="679"/>
    </row>
    <row r="13640" spans="32:32" x14ac:dyDescent="0.2">
      <c r="AF13640" s="679"/>
    </row>
    <row r="13641" spans="32:32" x14ac:dyDescent="0.2">
      <c r="AF13641" s="679"/>
    </row>
    <row r="13642" spans="32:32" x14ac:dyDescent="0.2">
      <c r="AF13642" s="679"/>
    </row>
    <row r="13643" spans="32:32" x14ac:dyDescent="0.2">
      <c r="AF13643" s="679"/>
    </row>
    <row r="13644" spans="32:32" x14ac:dyDescent="0.2">
      <c r="AF13644" s="679"/>
    </row>
    <row r="13645" spans="32:32" x14ac:dyDescent="0.2">
      <c r="AF13645" s="679"/>
    </row>
    <row r="13646" spans="32:32" x14ac:dyDescent="0.2">
      <c r="AF13646" s="679"/>
    </row>
    <row r="13647" spans="32:32" x14ac:dyDescent="0.2">
      <c r="AF13647" s="679"/>
    </row>
    <row r="13648" spans="32:32" x14ac:dyDescent="0.2">
      <c r="AF13648" s="679"/>
    </row>
    <row r="13649" spans="32:32" x14ac:dyDescent="0.2">
      <c r="AF13649" s="679"/>
    </row>
    <row r="13650" spans="32:32" x14ac:dyDescent="0.2">
      <c r="AF13650" s="679"/>
    </row>
    <row r="13651" spans="32:32" x14ac:dyDescent="0.2">
      <c r="AF13651" s="679"/>
    </row>
    <row r="13652" spans="32:32" x14ac:dyDescent="0.2">
      <c r="AF13652" s="679"/>
    </row>
    <row r="13653" spans="32:32" x14ac:dyDescent="0.2">
      <c r="AF13653" s="679"/>
    </row>
    <row r="13654" spans="32:32" x14ac:dyDescent="0.2">
      <c r="AF13654" s="679"/>
    </row>
    <row r="13655" spans="32:32" x14ac:dyDescent="0.2">
      <c r="AF13655" s="679"/>
    </row>
    <row r="13656" spans="32:32" x14ac:dyDescent="0.2">
      <c r="AF13656" s="679"/>
    </row>
    <row r="13657" spans="32:32" x14ac:dyDescent="0.2">
      <c r="AF13657" s="679"/>
    </row>
    <row r="13658" spans="32:32" x14ac:dyDescent="0.2">
      <c r="AF13658" s="679"/>
    </row>
    <row r="13659" spans="32:32" x14ac:dyDescent="0.2">
      <c r="AF13659" s="679"/>
    </row>
    <row r="13660" spans="32:32" x14ac:dyDescent="0.2">
      <c r="AF13660" s="679"/>
    </row>
    <row r="13661" spans="32:32" x14ac:dyDescent="0.2">
      <c r="AF13661" s="679"/>
    </row>
    <row r="13662" spans="32:32" x14ac:dyDescent="0.2">
      <c r="AF13662" s="679"/>
    </row>
    <row r="13663" spans="32:32" x14ac:dyDescent="0.2">
      <c r="AF13663" s="679"/>
    </row>
    <row r="13664" spans="32:32" x14ac:dyDescent="0.2">
      <c r="AF13664" s="679"/>
    </row>
    <row r="13665" spans="32:32" x14ac:dyDescent="0.2">
      <c r="AF13665" s="679"/>
    </row>
    <row r="13666" spans="32:32" x14ac:dyDescent="0.2">
      <c r="AF13666" s="679"/>
    </row>
    <row r="13667" spans="32:32" x14ac:dyDescent="0.2">
      <c r="AF13667" s="679"/>
    </row>
    <row r="13668" spans="32:32" x14ac:dyDescent="0.2">
      <c r="AF13668" s="679"/>
    </row>
    <row r="13669" spans="32:32" x14ac:dyDescent="0.2">
      <c r="AF13669" s="679"/>
    </row>
    <row r="13670" spans="32:32" x14ac:dyDescent="0.2">
      <c r="AF13670" s="679"/>
    </row>
    <row r="13671" spans="32:32" x14ac:dyDescent="0.2">
      <c r="AF13671" s="679"/>
    </row>
    <row r="13672" spans="32:32" x14ac:dyDescent="0.2">
      <c r="AF13672" s="679"/>
    </row>
    <row r="13673" spans="32:32" x14ac:dyDescent="0.2">
      <c r="AF13673" s="679"/>
    </row>
    <row r="13674" spans="32:32" x14ac:dyDescent="0.2">
      <c r="AF13674" s="679"/>
    </row>
    <row r="13675" spans="32:32" x14ac:dyDescent="0.2">
      <c r="AF13675" s="679"/>
    </row>
    <row r="13676" spans="32:32" x14ac:dyDescent="0.2">
      <c r="AF13676" s="679"/>
    </row>
    <row r="13677" spans="32:32" x14ac:dyDescent="0.2">
      <c r="AF13677" s="679"/>
    </row>
    <row r="13678" spans="32:32" x14ac:dyDescent="0.2">
      <c r="AF13678" s="679"/>
    </row>
    <row r="13679" spans="32:32" x14ac:dyDescent="0.2">
      <c r="AF13679" s="679"/>
    </row>
    <row r="13680" spans="32:32" x14ac:dyDescent="0.2">
      <c r="AF13680" s="679"/>
    </row>
    <row r="13681" spans="32:32" x14ac:dyDescent="0.2">
      <c r="AF13681" s="679"/>
    </row>
    <row r="13682" spans="32:32" x14ac:dyDescent="0.2">
      <c r="AF13682" s="679"/>
    </row>
    <row r="13683" spans="32:32" x14ac:dyDescent="0.2">
      <c r="AF13683" s="679"/>
    </row>
    <row r="13684" spans="32:32" x14ac:dyDescent="0.2">
      <c r="AF13684" s="679"/>
    </row>
    <row r="13685" spans="32:32" x14ac:dyDescent="0.2">
      <c r="AF13685" s="679"/>
    </row>
    <row r="13686" spans="32:32" x14ac:dyDescent="0.2">
      <c r="AF13686" s="679"/>
    </row>
    <row r="13687" spans="32:32" x14ac:dyDescent="0.2">
      <c r="AF13687" s="679"/>
    </row>
    <row r="13688" spans="32:32" x14ac:dyDescent="0.2">
      <c r="AF13688" s="679"/>
    </row>
    <row r="13689" spans="32:32" x14ac:dyDescent="0.2">
      <c r="AF13689" s="679"/>
    </row>
    <row r="13690" spans="32:32" x14ac:dyDescent="0.2">
      <c r="AF13690" s="679"/>
    </row>
    <row r="13691" spans="32:32" x14ac:dyDescent="0.2">
      <c r="AF13691" s="679"/>
    </row>
    <row r="13692" spans="32:32" x14ac:dyDescent="0.2">
      <c r="AF13692" s="679"/>
    </row>
    <row r="13693" spans="32:32" x14ac:dyDescent="0.2">
      <c r="AF13693" s="679"/>
    </row>
    <row r="13694" spans="32:32" x14ac:dyDescent="0.2">
      <c r="AF13694" s="679"/>
    </row>
    <row r="13695" spans="32:32" x14ac:dyDescent="0.2">
      <c r="AF13695" s="679"/>
    </row>
    <row r="13696" spans="32:32" x14ac:dyDescent="0.2">
      <c r="AF13696" s="679"/>
    </row>
    <row r="13697" spans="32:32" x14ac:dyDescent="0.2">
      <c r="AF13697" s="679"/>
    </row>
    <row r="13698" spans="32:32" x14ac:dyDescent="0.2">
      <c r="AF13698" s="679"/>
    </row>
    <row r="13699" spans="32:32" x14ac:dyDescent="0.2">
      <c r="AF13699" s="679"/>
    </row>
    <row r="13700" spans="32:32" x14ac:dyDescent="0.2">
      <c r="AF13700" s="679"/>
    </row>
    <row r="13701" spans="32:32" x14ac:dyDescent="0.2">
      <c r="AF13701" s="679"/>
    </row>
    <row r="13702" spans="32:32" x14ac:dyDescent="0.2">
      <c r="AF13702" s="679"/>
    </row>
    <row r="13703" spans="32:32" x14ac:dyDescent="0.2">
      <c r="AF13703" s="679"/>
    </row>
    <row r="13704" spans="32:32" x14ac:dyDescent="0.2">
      <c r="AF13704" s="679"/>
    </row>
    <row r="13705" spans="32:32" x14ac:dyDescent="0.2">
      <c r="AF13705" s="679"/>
    </row>
    <row r="13706" spans="32:32" x14ac:dyDescent="0.2">
      <c r="AF13706" s="679"/>
    </row>
    <row r="13707" spans="32:32" x14ac:dyDescent="0.2">
      <c r="AF13707" s="679"/>
    </row>
    <row r="13708" spans="32:32" x14ac:dyDescent="0.2">
      <c r="AF13708" s="679"/>
    </row>
    <row r="13709" spans="32:32" x14ac:dyDescent="0.2">
      <c r="AF13709" s="679"/>
    </row>
    <row r="13710" spans="32:32" x14ac:dyDescent="0.2">
      <c r="AF13710" s="679"/>
    </row>
    <row r="13711" spans="32:32" x14ac:dyDescent="0.2">
      <c r="AF13711" s="679"/>
    </row>
    <row r="13712" spans="32:32" x14ac:dyDescent="0.2">
      <c r="AF13712" s="679"/>
    </row>
    <row r="13713" spans="32:32" x14ac:dyDescent="0.2">
      <c r="AF13713" s="679"/>
    </row>
    <row r="13714" spans="32:32" x14ac:dyDescent="0.2">
      <c r="AF13714" s="679"/>
    </row>
    <row r="13715" spans="32:32" x14ac:dyDescent="0.2">
      <c r="AF13715" s="679"/>
    </row>
    <row r="13716" spans="32:32" x14ac:dyDescent="0.2">
      <c r="AF13716" s="679"/>
    </row>
    <row r="13717" spans="32:32" x14ac:dyDescent="0.2">
      <c r="AF13717" s="679"/>
    </row>
    <row r="13718" spans="32:32" x14ac:dyDescent="0.2">
      <c r="AF13718" s="679"/>
    </row>
    <row r="13719" spans="32:32" x14ac:dyDescent="0.2">
      <c r="AF13719" s="679"/>
    </row>
    <row r="13720" spans="32:32" x14ac:dyDescent="0.2">
      <c r="AF13720" s="679"/>
    </row>
    <row r="13721" spans="32:32" x14ac:dyDescent="0.2">
      <c r="AF13721" s="679"/>
    </row>
    <row r="13722" spans="32:32" x14ac:dyDescent="0.2">
      <c r="AF13722" s="679"/>
    </row>
    <row r="13723" spans="32:32" x14ac:dyDescent="0.2">
      <c r="AF13723" s="679"/>
    </row>
    <row r="13724" spans="32:32" x14ac:dyDescent="0.2">
      <c r="AF13724" s="679"/>
    </row>
    <row r="13725" spans="32:32" x14ac:dyDescent="0.2">
      <c r="AF13725" s="679"/>
    </row>
    <row r="13726" spans="32:32" x14ac:dyDescent="0.2">
      <c r="AF13726" s="679"/>
    </row>
    <row r="13727" spans="32:32" x14ac:dyDescent="0.2">
      <c r="AF13727" s="679"/>
    </row>
    <row r="13728" spans="32:32" x14ac:dyDescent="0.2">
      <c r="AF13728" s="679"/>
    </row>
    <row r="13729" spans="32:32" x14ac:dyDescent="0.2">
      <c r="AF13729" s="679"/>
    </row>
    <row r="13730" spans="32:32" x14ac:dyDescent="0.2">
      <c r="AF13730" s="679"/>
    </row>
    <row r="13731" spans="32:32" x14ac:dyDescent="0.2">
      <c r="AF13731" s="679"/>
    </row>
    <row r="13732" spans="32:32" x14ac:dyDescent="0.2">
      <c r="AF13732" s="679"/>
    </row>
    <row r="13733" spans="32:32" x14ac:dyDescent="0.2">
      <c r="AF13733" s="679"/>
    </row>
    <row r="13734" spans="32:32" x14ac:dyDescent="0.2">
      <c r="AF13734" s="679"/>
    </row>
    <row r="13735" spans="32:32" x14ac:dyDescent="0.2">
      <c r="AF13735" s="679"/>
    </row>
    <row r="13736" spans="32:32" x14ac:dyDescent="0.2">
      <c r="AF13736" s="679"/>
    </row>
    <row r="13737" spans="32:32" x14ac:dyDescent="0.2">
      <c r="AF13737" s="679"/>
    </row>
    <row r="13738" spans="32:32" x14ac:dyDescent="0.2">
      <c r="AF13738" s="679"/>
    </row>
    <row r="13739" spans="32:32" x14ac:dyDescent="0.2">
      <c r="AF13739" s="679"/>
    </row>
    <row r="13740" spans="32:32" x14ac:dyDescent="0.2">
      <c r="AF13740" s="679"/>
    </row>
    <row r="13741" spans="32:32" x14ac:dyDescent="0.2">
      <c r="AF13741" s="679"/>
    </row>
    <row r="13742" spans="32:32" x14ac:dyDescent="0.2">
      <c r="AF13742" s="679"/>
    </row>
    <row r="13743" spans="32:32" x14ac:dyDescent="0.2">
      <c r="AF13743" s="679"/>
    </row>
    <row r="13744" spans="32:32" x14ac:dyDescent="0.2">
      <c r="AF13744" s="679"/>
    </row>
    <row r="13745" spans="32:32" x14ac:dyDescent="0.2">
      <c r="AF13745" s="679"/>
    </row>
    <row r="13746" spans="32:32" x14ac:dyDescent="0.2">
      <c r="AF13746" s="679"/>
    </row>
    <row r="13747" spans="32:32" x14ac:dyDescent="0.2">
      <c r="AF13747" s="679"/>
    </row>
    <row r="13748" spans="32:32" x14ac:dyDescent="0.2">
      <c r="AF13748" s="679"/>
    </row>
    <row r="13749" spans="32:32" x14ac:dyDescent="0.2">
      <c r="AF13749" s="679"/>
    </row>
    <row r="13750" spans="32:32" x14ac:dyDescent="0.2">
      <c r="AF13750" s="679"/>
    </row>
    <row r="13751" spans="32:32" x14ac:dyDescent="0.2">
      <c r="AF13751" s="679"/>
    </row>
    <row r="13752" spans="32:32" x14ac:dyDescent="0.2">
      <c r="AF13752" s="679"/>
    </row>
    <row r="13753" spans="32:32" x14ac:dyDescent="0.2">
      <c r="AF13753" s="679"/>
    </row>
    <row r="13754" spans="32:32" x14ac:dyDescent="0.2">
      <c r="AF13754" s="679"/>
    </row>
    <row r="13755" spans="32:32" x14ac:dyDescent="0.2">
      <c r="AF13755" s="679"/>
    </row>
    <row r="13756" spans="32:32" x14ac:dyDescent="0.2">
      <c r="AF13756" s="679"/>
    </row>
    <row r="13757" spans="32:32" x14ac:dyDescent="0.2">
      <c r="AF13757" s="679"/>
    </row>
    <row r="13758" spans="32:32" x14ac:dyDescent="0.2">
      <c r="AF13758" s="679"/>
    </row>
    <row r="13759" spans="32:32" x14ac:dyDescent="0.2">
      <c r="AF13759" s="679"/>
    </row>
    <row r="13760" spans="32:32" x14ac:dyDescent="0.2">
      <c r="AF13760" s="679"/>
    </row>
    <row r="13761" spans="32:32" x14ac:dyDescent="0.2">
      <c r="AF13761" s="679"/>
    </row>
    <row r="13762" spans="32:32" x14ac:dyDescent="0.2">
      <c r="AF13762" s="679"/>
    </row>
    <row r="13763" spans="32:32" x14ac:dyDescent="0.2">
      <c r="AF13763" s="679"/>
    </row>
    <row r="13764" spans="32:32" x14ac:dyDescent="0.2">
      <c r="AF13764" s="679"/>
    </row>
    <row r="13765" spans="32:32" x14ac:dyDescent="0.2">
      <c r="AF13765" s="679"/>
    </row>
    <row r="13766" spans="32:32" x14ac:dyDescent="0.2">
      <c r="AF13766" s="679"/>
    </row>
    <row r="13767" spans="32:32" x14ac:dyDescent="0.2">
      <c r="AF13767" s="679"/>
    </row>
    <row r="13768" spans="32:32" x14ac:dyDescent="0.2">
      <c r="AF13768" s="679"/>
    </row>
    <row r="13769" spans="32:32" x14ac:dyDescent="0.2">
      <c r="AF13769" s="679"/>
    </row>
    <row r="13770" spans="32:32" x14ac:dyDescent="0.2">
      <c r="AF13770" s="679"/>
    </row>
    <row r="13771" spans="32:32" x14ac:dyDescent="0.2">
      <c r="AF13771" s="679"/>
    </row>
    <row r="13772" spans="32:32" x14ac:dyDescent="0.2">
      <c r="AF13772" s="679"/>
    </row>
    <row r="13773" spans="32:32" x14ac:dyDescent="0.2">
      <c r="AF13773" s="679"/>
    </row>
    <row r="13774" spans="32:32" x14ac:dyDescent="0.2">
      <c r="AF13774" s="679"/>
    </row>
    <row r="13775" spans="32:32" x14ac:dyDescent="0.2">
      <c r="AF13775" s="679"/>
    </row>
    <row r="13776" spans="32:32" x14ac:dyDescent="0.2">
      <c r="AF13776" s="679"/>
    </row>
    <row r="13777" spans="32:32" x14ac:dyDescent="0.2">
      <c r="AF13777" s="679"/>
    </row>
    <row r="13778" spans="32:32" x14ac:dyDescent="0.2">
      <c r="AF13778" s="679"/>
    </row>
    <row r="13779" spans="32:32" x14ac:dyDescent="0.2">
      <c r="AF13779" s="679"/>
    </row>
    <row r="13780" spans="32:32" x14ac:dyDescent="0.2">
      <c r="AF13780" s="679"/>
    </row>
    <row r="13781" spans="32:32" x14ac:dyDescent="0.2">
      <c r="AF13781" s="679"/>
    </row>
    <row r="13782" spans="32:32" x14ac:dyDescent="0.2">
      <c r="AF13782" s="679"/>
    </row>
    <row r="13783" spans="32:32" x14ac:dyDescent="0.2">
      <c r="AF13783" s="679"/>
    </row>
    <row r="13784" spans="32:32" x14ac:dyDescent="0.2">
      <c r="AF13784" s="679"/>
    </row>
    <row r="13785" spans="32:32" x14ac:dyDescent="0.2">
      <c r="AF13785" s="679"/>
    </row>
    <row r="13786" spans="32:32" x14ac:dyDescent="0.2">
      <c r="AF13786" s="679"/>
    </row>
    <row r="13787" spans="32:32" x14ac:dyDescent="0.2">
      <c r="AF13787" s="679"/>
    </row>
    <row r="13788" spans="32:32" x14ac:dyDescent="0.2">
      <c r="AF13788" s="679"/>
    </row>
    <row r="13789" spans="32:32" x14ac:dyDescent="0.2">
      <c r="AF13789" s="679"/>
    </row>
    <row r="13790" spans="32:32" x14ac:dyDescent="0.2">
      <c r="AF13790" s="679"/>
    </row>
    <row r="13791" spans="32:32" x14ac:dyDescent="0.2">
      <c r="AF13791" s="679"/>
    </row>
    <row r="13792" spans="32:32" x14ac:dyDescent="0.2">
      <c r="AF13792" s="679"/>
    </row>
    <row r="13793" spans="32:32" x14ac:dyDescent="0.2">
      <c r="AF13793" s="679"/>
    </row>
    <row r="13794" spans="32:32" x14ac:dyDescent="0.2">
      <c r="AF13794" s="679"/>
    </row>
    <row r="13795" spans="32:32" x14ac:dyDescent="0.2">
      <c r="AF13795" s="679"/>
    </row>
    <row r="13796" spans="32:32" x14ac:dyDescent="0.2">
      <c r="AF13796" s="679"/>
    </row>
    <row r="13797" spans="32:32" x14ac:dyDescent="0.2">
      <c r="AF13797" s="679"/>
    </row>
    <row r="13798" spans="32:32" x14ac:dyDescent="0.2">
      <c r="AF13798" s="679"/>
    </row>
    <row r="13799" spans="32:32" x14ac:dyDescent="0.2">
      <c r="AF13799" s="679"/>
    </row>
    <row r="13800" spans="32:32" x14ac:dyDescent="0.2">
      <c r="AF13800" s="679"/>
    </row>
    <row r="13801" spans="32:32" x14ac:dyDescent="0.2">
      <c r="AF13801" s="679"/>
    </row>
    <row r="13802" spans="32:32" x14ac:dyDescent="0.2">
      <c r="AF13802" s="679"/>
    </row>
    <row r="13803" spans="32:32" x14ac:dyDescent="0.2">
      <c r="AF13803" s="679"/>
    </row>
    <row r="13804" spans="32:32" x14ac:dyDescent="0.2">
      <c r="AF13804" s="679"/>
    </row>
    <row r="13805" spans="32:32" x14ac:dyDescent="0.2">
      <c r="AF13805" s="679"/>
    </row>
    <row r="13806" spans="32:32" x14ac:dyDescent="0.2">
      <c r="AF13806" s="679"/>
    </row>
    <row r="13807" spans="32:32" x14ac:dyDescent="0.2">
      <c r="AF13807" s="679"/>
    </row>
    <row r="13808" spans="32:32" x14ac:dyDescent="0.2">
      <c r="AF13808" s="679"/>
    </row>
    <row r="13809" spans="32:32" x14ac:dyDescent="0.2">
      <c r="AF13809" s="679"/>
    </row>
    <row r="13810" spans="32:32" x14ac:dyDescent="0.2">
      <c r="AF13810" s="679"/>
    </row>
    <row r="13811" spans="32:32" x14ac:dyDescent="0.2">
      <c r="AF13811" s="679"/>
    </row>
    <row r="13812" spans="32:32" x14ac:dyDescent="0.2">
      <c r="AF13812" s="679"/>
    </row>
    <row r="13813" spans="32:32" x14ac:dyDescent="0.2">
      <c r="AF13813" s="679"/>
    </row>
    <row r="13814" spans="32:32" x14ac:dyDescent="0.2">
      <c r="AF13814" s="679"/>
    </row>
    <row r="13815" spans="32:32" x14ac:dyDescent="0.2">
      <c r="AF13815" s="679"/>
    </row>
    <row r="13816" spans="32:32" x14ac:dyDescent="0.2">
      <c r="AF13816" s="679"/>
    </row>
    <row r="13817" spans="32:32" x14ac:dyDescent="0.2">
      <c r="AF13817" s="679"/>
    </row>
    <row r="13818" spans="32:32" x14ac:dyDescent="0.2">
      <c r="AF13818" s="679"/>
    </row>
    <row r="13819" spans="32:32" x14ac:dyDescent="0.2">
      <c r="AF13819" s="679"/>
    </row>
    <row r="13820" spans="32:32" x14ac:dyDescent="0.2">
      <c r="AF13820" s="679"/>
    </row>
    <row r="13821" spans="32:32" x14ac:dyDescent="0.2">
      <c r="AF13821" s="679"/>
    </row>
    <row r="13822" spans="32:32" x14ac:dyDescent="0.2">
      <c r="AF13822" s="679"/>
    </row>
    <row r="13823" spans="32:32" x14ac:dyDescent="0.2">
      <c r="AF13823" s="679"/>
    </row>
    <row r="13824" spans="32:32" x14ac:dyDescent="0.2">
      <c r="AF13824" s="679"/>
    </row>
    <row r="13825" spans="32:32" x14ac:dyDescent="0.2">
      <c r="AF13825" s="679"/>
    </row>
    <row r="13826" spans="32:32" x14ac:dyDescent="0.2">
      <c r="AF13826" s="679"/>
    </row>
    <row r="13827" spans="32:32" x14ac:dyDescent="0.2">
      <c r="AF13827" s="679"/>
    </row>
    <row r="13828" spans="32:32" x14ac:dyDescent="0.2">
      <c r="AF13828" s="679"/>
    </row>
    <row r="13829" spans="32:32" x14ac:dyDescent="0.2">
      <c r="AF13829" s="679"/>
    </row>
    <row r="13830" spans="32:32" x14ac:dyDescent="0.2">
      <c r="AF13830" s="679"/>
    </row>
    <row r="13831" spans="32:32" x14ac:dyDescent="0.2">
      <c r="AF13831" s="679"/>
    </row>
    <row r="13832" spans="32:32" x14ac:dyDescent="0.2">
      <c r="AF13832" s="679"/>
    </row>
    <row r="13833" spans="32:32" x14ac:dyDescent="0.2">
      <c r="AF13833" s="679"/>
    </row>
    <row r="13834" spans="32:32" x14ac:dyDescent="0.2">
      <c r="AF13834" s="679"/>
    </row>
    <row r="13835" spans="32:32" x14ac:dyDescent="0.2">
      <c r="AF13835" s="679"/>
    </row>
    <row r="13836" spans="32:32" x14ac:dyDescent="0.2">
      <c r="AF13836" s="679"/>
    </row>
    <row r="13837" spans="32:32" x14ac:dyDescent="0.2">
      <c r="AF13837" s="679"/>
    </row>
    <row r="13838" spans="32:32" x14ac:dyDescent="0.2">
      <c r="AF13838" s="679"/>
    </row>
    <row r="13839" spans="32:32" x14ac:dyDescent="0.2">
      <c r="AF13839" s="679"/>
    </row>
    <row r="13840" spans="32:32" x14ac:dyDescent="0.2">
      <c r="AF13840" s="679"/>
    </row>
    <row r="13841" spans="32:32" x14ac:dyDescent="0.2">
      <c r="AF13841" s="679"/>
    </row>
    <row r="13842" spans="32:32" x14ac:dyDescent="0.2">
      <c r="AF13842" s="679"/>
    </row>
    <row r="13843" spans="32:32" x14ac:dyDescent="0.2">
      <c r="AF13843" s="679"/>
    </row>
    <row r="13844" spans="32:32" x14ac:dyDescent="0.2">
      <c r="AF13844" s="679"/>
    </row>
    <row r="13845" spans="32:32" x14ac:dyDescent="0.2">
      <c r="AF13845" s="679"/>
    </row>
    <row r="13846" spans="32:32" x14ac:dyDescent="0.2">
      <c r="AF13846" s="679"/>
    </row>
    <row r="13847" spans="32:32" x14ac:dyDescent="0.2">
      <c r="AF13847" s="679"/>
    </row>
    <row r="13848" spans="32:32" x14ac:dyDescent="0.2">
      <c r="AF13848" s="679"/>
    </row>
    <row r="13849" spans="32:32" x14ac:dyDescent="0.2">
      <c r="AF13849" s="679"/>
    </row>
    <row r="13850" spans="32:32" x14ac:dyDescent="0.2">
      <c r="AF13850" s="679"/>
    </row>
    <row r="13851" spans="32:32" x14ac:dyDescent="0.2">
      <c r="AF13851" s="679"/>
    </row>
    <row r="13852" spans="32:32" x14ac:dyDescent="0.2">
      <c r="AF13852" s="679"/>
    </row>
    <row r="13853" spans="32:32" x14ac:dyDescent="0.2">
      <c r="AF13853" s="679"/>
    </row>
    <row r="13854" spans="32:32" x14ac:dyDescent="0.2">
      <c r="AF13854" s="679"/>
    </row>
    <row r="13855" spans="32:32" x14ac:dyDescent="0.2">
      <c r="AF13855" s="679"/>
    </row>
    <row r="13856" spans="32:32" x14ac:dyDescent="0.2">
      <c r="AF13856" s="679"/>
    </row>
    <row r="13857" spans="32:32" x14ac:dyDescent="0.2">
      <c r="AF13857" s="679"/>
    </row>
    <row r="13858" spans="32:32" x14ac:dyDescent="0.2">
      <c r="AF13858" s="679"/>
    </row>
    <row r="13859" spans="32:32" x14ac:dyDescent="0.2">
      <c r="AF13859" s="679"/>
    </row>
    <row r="13860" spans="32:32" x14ac:dyDescent="0.2">
      <c r="AF13860" s="679"/>
    </row>
    <row r="13861" spans="32:32" x14ac:dyDescent="0.2">
      <c r="AF13861" s="679"/>
    </row>
    <row r="13862" spans="32:32" x14ac:dyDescent="0.2">
      <c r="AF13862" s="679"/>
    </row>
    <row r="13863" spans="32:32" x14ac:dyDescent="0.2">
      <c r="AF13863" s="679"/>
    </row>
    <row r="13864" spans="32:32" x14ac:dyDescent="0.2">
      <c r="AF13864" s="679"/>
    </row>
    <row r="13865" spans="32:32" x14ac:dyDescent="0.2">
      <c r="AF13865" s="679"/>
    </row>
    <row r="13866" spans="32:32" x14ac:dyDescent="0.2">
      <c r="AF13866" s="679"/>
    </row>
    <row r="13867" spans="32:32" x14ac:dyDescent="0.2">
      <c r="AF13867" s="679"/>
    </row>
    <row r="13868" spans="32:32" x14ac:dyDescent="0.2">
      <c r="AF13868" s="679"/>
    </row>
    <row r="13869" spans="32:32" x14ac:dyDescent="0.2">
      <c r="AF13869" s="679"/>
    </row>
    <row r="13870" spans="32:32" x14ac:dyDescent="0.2">
      <c r="AF13870" s="679"/>
    </row>
    <row r="13871" spans="32:32" x14ac:dyDescent="0.2">
      <c r="AF13871" s="679"/>
    </row>
    <row r="13872" spans="32:32" x14ac:dyDescent="0.2">
      <c r="AF13872" s="679"/>
    </row>
    <row r="13873" spans="32:32" x14ac:dyDescent="0.2">
      <c r="AF13873" s="679"/>
    </row>
    <row r="13874" spans="32:32" x14ac:dyDescent="0.2">
      <c r="AF13874" s="679"/>
    </row>
    <row r="13875" spans="32:32" x14ac:dyDescent="0.2">
      <c r="AF13875" s="679"/>
    </row>
    <row r="13876" spans="32:32" x14ac:dyDescent="0.2">
      <c r="AF13876" s="679"/>
    </row>
    <row r="13877" spans="32:32" x14ac:dyDescent="0.2">
      <c r="AF13877" s="679"/>
    </row>
    <row r="13878" spans="32:32" x14ac:dyDescent="0.2">
      <c r="AF13878" s="679"/>
    </row>
    <row r="13879" spans="32:32" x14ac:dyDescent="0.2">
      <c r="AF13879" s="679"/>
    </row>
    <row r="13880" spans="32:32" x14ac:dyDescent="0.2">
      <c r="AF13880" s="679"/>
    </row>
    <row r="13881" spans="32:32" x14ac:dyDescent="0.2">
      <c r="AF13881" s="679"/>
    </row>
    <row r="13882" spans="32:32" x14ac:dyDescent="0.2">
      <c r="AF13882" s="679"/>
    </row>
    <row r="13883" spans="32:32" x14ac:dyDescent="0.2">
      <c r="AF13883" s="679"/>
    </row>
    <row r="13884" spans="32:32" x14ac:dyDescent="0.2">
      <c r="AF13884" s="679"/>
    </row>
    <row r="13885" spans="32:32" x14ac:dyDescent="0.2">
      <c r="AF13885" s="679"/>
    </row>
    <row r="13886" spans="32:32" x14ac:dyDescent="0.2">
      <c r="AF13886" s="679"/>
    </row>
    <row r="13887" spans="32:32" x14ac:dyDescent="0.2">
      <c r="AF13887" s="679"/>
    </row>
    <row r="13888" spans="32:32" x14ac:dyDescent="0.2">
      <c r="AF13888" s="679"/>
    </row>
    <row r="13889" spans="32:32" x14ac:dyDescent="0.2">
      <c r="AF13889" s="679"/>
    </row>
    <row r="13890" spans="32:32" x14ac:dyDescent="0.2">
      <c r="AF13890" s="679"/>
    </row>
    <row r="13891" spans="32:32" x14ac:dyDescent="0.2">
      <c r="AF13891" s="679"/>
    </row>
    <row r="13892" spans="32:32" x14ac:dyDescent="0.2">
      <c r="AF13892" s="679"/>
    </row>
    <row r="13893" spans="32:32" x14ac:dyDescent="0.2">
      <c r="AF13893" s="679"/>
    </row>
    <row r="13894" spans="32:32" x14ac:dyDescent="0.2">
      <c r="AF13894" s="679"/>
    </row>
    <row r="13895" spans="32:32" x14ac:dyDescent="0.2">
      <c r="AF13895" s="679"/>
    </row>
    <row r="13896" spans="32:32" x14ac:dyDescent="0.2">
      <c r="AF13896" s="679"/>
    </row>
    <row r="13897" spans="32:32" x14ac:dyDescent="0.2">
      <c r="AF13897" s="679"/>
    </row>
    <row r="13898" spans="32:32" x14ac:dyDescent="0.2">
      <c r="AF13898" s="679"/>
    </row>
    <row r="13899" spans="32:32" x14ac:dyDescent="0.2">
      <c r="AF13899" s="679"/>
    </row>
    <row r="13900" spans="32:32" x14ac:dyDescent="0.2">
      <c r="AF13900" s="679"/>
    </row>
    <row r="13901" spans="32:32" x14ac:dyDescent="0.2">
      <c r="AF13901" s="679"/>
    </row>
    <row r="13902" spans="32:32" x14ac:dyDescent="0.2">
      <c r="AF13902" s="679"/>
    </row>
    <row r="13903" spans="32:32" x14ac:dyDescent="0.2">
      <c r="AF13903" s="679"/>
    </row>
    <row r="13904" spans="32:32" x14ac:dyDescent="0.2">
      <c r="AF13904" s="679"/>
    </row>
    <row r="13905" spans="32:32" x14ac:dyDescent="0.2">
      <c r="AF13905" s="679"/>
    </row>
    <row r="13906" spans="32:32" x14ac:dyDescent="0.2">
      <c r="AF13906" s="679"/>
    </row>
    <row r="13907" spans="32:32" x14ac:dyDescent="0.2">
      <c r="AF13907" s="679"/>
    </row>
    <row r="13908" spans="32:32" x14ac:dyDescent="0.2">
      <c r="AF13908" s="679"/>
    </row>
    <row r="13909" spans="32:32" x14ac:dyDescent="0.2">
      <c r="AF13909" s="679"/>
    </row>
    <row r="13910" spans="32:32" x14ac:dyDescent="0.2">
      <c r="AF13910" s="679"/>
    </row>
    <row r="13911" spans="32:32" x14ac:dyDescent="0.2">
      <c r="AF13911" s="679"/>
    </row>
    <row r="13912" spans="32:32" x14ac:dyDescent="0.2">
      <c r="AF13912" s="679"/>
    </row>
    <row r="13913" spans="32:32" x14ac:dyDescent="0.2">
      <c r="AF13913" s="679"/>
    </row>
    <row r="13914" spans="32:32" x14ac:dyDescent="0.2">
      <c r="AF13914" s="679"/>
    </row>
    <row r="13915" spans="32:32" x14ac:dyDescent="0.2">
      <c r="AF13915" s="679"/>
    </row>
    <row r="13916" spans="32:32" x14ac:dyDescent="0.2">
      <c r="AF13916" s="679"/>
    </row>
    <row r="13917" spans="32:32" x14ac:dyDescent="0.2">
      <c r="AF13917" s="679"/>
    </row>
    <row r="13918" spans="32:32" x14ac:dyDescent="0.2">
      <c r="AF13918" s="679"/>
    </row>
    <row r="13919" spans="32:32" x14ac:dyDescent="0.2">
      <c r="AF13919" s="679"/>
    </row>
    <row r="13920" spans="32:32" x14ac:dyDescent="0.2">
      <c r="AF13920" s="679"/>
    </row>
    <row r="13921" spans="32:32" x14ac:dyDescent="0.2">
      <c r="AF13921" s="679"/>
    </row>
    <row r="13922" spans="32:32" x14ac:dyDescent="0.2">
      <c r="AF13922" s="679"/>
    </row>
    <row r="13923" spans="32:32" x14ac:dyDescent="0.2">
      <c r="AF13923" s="679"/>
    </row>
    <row r="13924" spans="32:32" x14ac:dyDescent="0.2">
      <c r="AF13924" s="679"/>
    </row>
    <row r="13925" spans="32:32" x14ac:dyDescent="0.2">
      <c r="AF13925" s="679"/>
    </row>
    <row r="13926" spans="32:32" x14ac:dyDescent="0.2">
      <c r="AF13926" s="679"/>
    </row>
    <row r="13927" spans="32:32" x14ac:dyDescent="0.2">
      <c r="AF13927" s="679"/>
    </row>
    <row r="13928" spans="32:32" x14ac:dyDescent="0.2">
      <c r="AF13928" s="679"/>
    </row>
    <row r="13929" spans="32:32" x14ac:dyDescent="0.2">
      <c r="AF13929" s="679"/>
    </row>
    <row r="13930" spans="32:32" x14ac:dyDescent="0.2">
      <c r="AF13930" s="679"/>
    </row>
    <row r="13931" spans="32:32" x14ac:dyDescent="0.2">
      <c r="AF13931" s="679"/>
    </row>
    <row r="13932" spans="32:32" x14ac:dyDescent="0.2">
      <c r="AF13932" s="679"/>
    </row>
    <row r="13933" spans="32:32" x14ac:dyDescent="0.2">
      <c r="AF13933" s="679"/>
    </row>
    <row r="13934" spans="32:32" x14ac:dyDescent="0.2">
      <c r="AF13934" s="679"/>
    </row>
    <row r="13935" spans="32:32" x14ac:dyDescent="0.2">
      <c r="AF13935" s="679"/>
    </row>
    <row r="13936" spans="32:32" x14ac:dyDescent="0.2">
      <c r="AF13936" s="679"/>
    </row>
    <row r="13937" spans="32:32" x14ac:dyDescent="0.2">
      <c r="AF13937" s="679"/>
    </row>
    <row r="13938" spans="32:32" x14ac:dyDescent="0.2">
      <c r="AF13938" s="679"/>
    </row>
    <row r="13939" spans="32:32" x14ac:dyDescent="0.2">
      <c r="AF13939" s="679"/>
    </row>
    <row r="13940" spans="32:32" x14ac:dyDescent="0.2">
      <c r="AF13940" s="679"/>
    </row>
    <row r="13941" spans="32:32" x14ac:dyDescent="0.2">
      <c r="AF13941" s="679"/>
    </row>
    <row r="13942" spans="32:32" x14ac:dyDescent="0.2">
      <c r="AF13942" s="679"/>
    </row>
    <row r="13943" spans="32:32" x14ac:dyDescent="0.2">
      <c r="AF13943" s="679"/>
    </row>
    <row r="13944" spans="32:32" x14ac:dyDescent="0.2">
      <c r="AF13944" s="679"/>
    </row>
    <row r="13945" spans="32:32" x14ac:dyDescent="0.2">
      <c r="AF13945" s="679"/>
    </row>
    <row r="13946" spans="32:32" x14ac:dyDescent="0.2">
      <c r="AF13946" s="679"/>
    </row>
    <row r="13947" spans="32:32" x14ac:dyDescent="0.2">
      <c r="AF13947" s="679"/>
    </row>
    <row r="13948" spans="32:32" x14ac:dyDescent="0.2">
      <c r="AF13948" s="679"/>
    </row>
    <row r="13949" spans="32:32" x14ac:dyDescent="0.2">
      <c r="AF13949" s="679"/>
    </row>
    <row r="13950" spans="32:32" x14ac:dyDescent="0.2">
      <c r="AF13950" s="679"/>
    </row>
    <row r="13951" spans="32:32" x14ac:dyDescent="0.2">
      <c r="AF13951" s="679"/>
    </row>
    <row r="13952" spans="32:32" x14ac:dyDescent="0.2">
      <c r="AF13952" s="679"/>
    </row>
    <row r="13953" spans="32:32" x14ac:dyDescent="0.2">
      <c r="AF13953" s="679"/>
    </row>
    <row r="13954" spans="32:32" x14ac:dyDescent="0.2">
      <c r="AF13954" s="679"/>
    </row>
    <row r="13955" spans="32:32" x14ac:dyDescent="0.2">
      <c r="AF13955" s="679"/>
    </row>
    <row r="13956" spans="32:32" x14ac:dyDescent="0.2">
      <c r="AF13956" s="679"/>
    </row>
    <row r="13957" spans="32:32" x14ac:dyDescent="0.2">
      <c r="AF13957" s="679"/>
    </row>
    <row r="13958" spans="32:32" x14ac:dyDescent="0.2">
      <c r="AF13958" s="679"/>
    </row>
    <row r="13959" spans="32:32" x14ac:dyDescent="0.2">
      <c r="AF13959" s="679"/>
    </row>
    <row r="13960" spans="32:32" x14ac:dyDescent="0.2">
      <c r="AF13960" s="679"/>
    </row>
    <row r="13961" spans="32:32" x14ac:dyDescent="0.2">
      <c r="AF13961" s="679"/>
    </row>
    <row r="13962" spans="32:32" x14ac:dyDescent="0.2">
      <c r="AF13962" s="679"/>
    </row>
    <row r="13963" spans="32:32" x14ac:dyDescent="0.2">
      <c r="AF13963" s="679"/>
    </row>
    <row r="13964" spans="32:32" x14ac:dyDescent="0.2">
      <c r="AF13964" s="679"/>
    </row>
    <row r="13965" spans="32:32" x14ac:dyDescent="0.2">
      <c r="AF13965" s="679"/>
    </row>
    <row r="13966" spans="32:32" x14ac:dyDescent="0.2">
      <c r="AF13966" s="679"/>
    </row>
    <row r="13967" spans="32:32" x14ac:dyDescent="0.2">
      <c r="AF13967" s="679"/>
    </row>
    <row r="13968" spans="32:32" x14ac:dyDescent="0.2">
      <c r="AF13968" s="679"/>
    </row>
    <row r="13969" spans="32:32" x14ac:dyDescent="0.2">
      <c r="AF13969" s="679"/>
    </row>
    <row r="13970" spans="32:32" x14ac:dyDescent="0.2">
      <c r="AF13970" s="679"/>
    </row>
    <row r="13971" spans="32:32" x14ac:dyDescent="0.2">
      <c r="AF13971" s="679"/>
    </row>
    <row r="13972" spans="32:32" x14ac:dyDescent="0.2">
      <c r="AF13972" s="679"/>
    </row>
    <row r="13973" spans="32:32" x14ac:dyDescent="0.2">
      <c r="AF13973" s="679"/>
    </row>
    <row r="13974" spans="32:32" x14ac:dyDescent="0.2">
      <c r="AF13974" s="679"/>
    </row>
    <row r="13975" spans="32:32" x14ac:dyDescent="0.2">
      <c r="AF13975" s="679"/>
    </row>
    <row r="13976" spans="32:32" x14ac:dyDescent="0.2">
      <c r="AF13976" s="679"/>
    </row>
    <row r="13977" spans="32:32" x14ac:dyDescent="0.2">
      <c r="AF13977" s="679"/>
    </row>
    <row r="13978" spans="32:32" x14ac:dyDescent="0.2">
      <c r="AF13978" s="679"/>
    </row>
    <row r="13979" spans="32:32" x14ac:dyDescent="0.2">
      <c r="AF13979" s="679"/>
    </row>
    <row r="13980" spans="32:32" x14ac:dyDescent="0.2">
      <c r="AF13980" s="679"/>
    </row>
    <row r="13981" spans="32:32" x14ac:dyDescent="0.2">
      <c r="AF13981" s="679"/>
    </row>
    <row r="13982" spans="32:32" x14ac:dyDescent="0.2">
      <c r="AF13982" s="679"/>
    </row>
    <row r="13983" spans="32:32" x14ac:dyDescent="0.2">
      <c r="AF13983" s="679"/>
    </row>
    <row r="13984" spans="32:32" x14ac:dyDescent="0.2">
      <c r="AF13984" s="679"/>
    </row>
    <row r="13985" spans="32:32" x14ac:dyDescent="0.2">
      <c r="AF13985" s="679"/>
    </row>
    <row r="13986" spans="32:32" x14ac:dyDescent="0.2">
      <c r="AF13986" s="679"/>
    </row>
    <row r="13987" spans="32:32" x14ac:dyDescent="0.2">
      <c r="AF13987" s="679"/>
    </row>
    <row r="13988" spans="32:32" x14ac:dyDescent="0.2">
      <c r="AF13988" s="679"/>
    </row>
    <row r="13989" spans="32:32" x14ac:dyDescent="0.2">
      <c r="AF13989" s="679"/>
    </row>
    <row r="13990" spans="32:32" x14ac:dyDescent="0.2">
      <c r="AF13990" s="679"/>
    </row>
    <row r="13991" spans="32:32" x14ac:dyDescent="0.2">
      <c r="AF13991" s="679"/>
    </row>
    <row r="13992" spans="32:32" x14ac:dyDescent="0.2">
      <c r="AF13992" s="679"/>
    </row>
    <row r="13993" spans="32:32" x14ac:dyDescent="0.2">
      <c r="AF13993" s="679"/>
    </row>
    <row r="13994" spans="32:32" x14ac:dyDescent="0.2">
      <c r="AF13994" s="679"/>
    </row>
    <row r="13995" spans="32:32" x14ac:dyDescent="0.2">
      <c r="AF13995" s="679"/>
    </row>
    <row r="13996" spans="32:32" x14ac:dyDescent="0.2">
      <c r="AF13996" s="679"/>
    </row>
    <row r="13997" spans="32:32" x14ac:dyDescent="0.2">
      <c r="AF13997" s="679"/>
    </row>
    <row r="13998" spans="32:32" x14ac:dyDescent="0.2">
      <c r="AF13998" s="679"/>
    </row>
    <row r="13999" spans="32:32" x14ac:dyDescent="0.2">
      <c r="AF13999" s="679"/>
    </row>
    <row r="14000" spans="32:32" x14ac:dyDescent="0.2">
      <c r="AF14000" s="679"/>
    </row>
    <row r="14001" spans="32:32" x14ac:dyDescent="0.2">
      <c r="AF14001" s="679"/>
    </row>
    <row r="14002" spans="32:32" x14ac:dyDescent="0.2">
      <c r="AF14002" s="679"/>
    </row>
    <row r="14003" spans="32:32" x14ac:dyDescent="0.2">
      <c r="AF14003" s="679"/>
    </row>
    <row r="14004" spans="32:32" x14ac:dyDescent="0.2">
      <c r="AF14004" s="679"/>
    </row>
    <row r="14005" spans="32:32" x14ac:dyDescent="0.2">
      <c r="AF14005" s="679"/>
    </row>
    <row r="14006" spans="32:32" x14ac:dyDescent="0.2">
      <c r="AF14006" s="679"/>
    </row>
    <row r="14007" spans="32:32" x14ac:dyDescent="0.2">
      <c r="AF14007" s="679"/>
    </row>
    <row r="14008" spans="32:32" x14ac:dyDescent="0.2">
      <c r="AF14008" s="679"/>
    </row>
    <row r="14009" spans="32:32" x14ac:dyDescent="0.2">
      <c r="AF14009" s="679"/>
    </row>
    <row r="14010" spans="32:32" x14ac:dyDescent="0.2">
      <c r="AF14010" s="679"/>
    </row>
    <row r="14011" spans="32:32" x14ac:dyDescent="0.2">
      <c r="AF14011" s="679"/>
    </row>
    <row r="14012" spans="32:32" x14ac:dyDescent="0.2">
      <c r="AF14012" s="679"/>
    </row>
    <row r="14013" spans="32:32" x14ac:dyDescent="0.2">
      <c r="AF14013" s="679"/>
    </row>
    <row r="14014" spans="32:32" x14ac:dyDescent="0.2">
      <c r="AF14014" s="679"/>
    </row>
    <row r="14015" spans="32:32" x14ac:dyDescent="0.2">
      <c r="AF14015" s="679"/>
    </row>
    <row r="14016" spans="32:32" x14ac:dyDescent="0.2">
      <c r="AF14016" s="679"/>
    </row>
    <row r="14017" spans="32:32" x14ac:dyDescent="0.2">
      <c r="AF14017" s="679"/>
    </row>
    <row r="14018" spans="32:32" x14ac:dyDescent="0.2">
      <c r="AF14018" s="679"/>
    </row>
    <row r="14019" spans="32:32" x14ac:dyDescent="0.2">
      <c r="AF14019" s="679"/>
    </row>
    <row r="14020" spans="32:32" x14ac:dyDescent="0.2">
      <c r="AF14020" s="679"/>
    </row>
    <row r="14021" spans="32:32" x14ac:dyDescent="0.2">
      <c r="AF14021" s="679"/>
    </row>
    <row r="14022" spans="32:32" x14ac:dyDescent="0.2">
      <c r="AF14022" s="679"/>
    </row>
    <row r="14023" spans="32:32" x14ac:dyDescent="0.2">
      <c r="AF14023" s="679"/>
    </row>
    <row r="14024" spans="32:32" x14ac:dyDescent="0.2">
      <c r="AF14024" s="679"/>
    </row>
    <row r="14025" spans="32:32" x14ac:dyDescent="0.2">
      <c r="AF14025" s="679"/>
    </row>
    <row r="14026" spans="32:32" x14ac:dyDescent="0.2">
      <c r="AF14026" s="679"/>
    </row>
    <row r="14027" spans="32:32" x14ac:dyDescent="0.2">
      <c r="AF14027" s="679"/>
    </row>
    <row r="14028" spans="32:32" x14ac:dyDescent="0.2">
      <c r="AF14028" s="679"/>
    </row>
    <row r="14029" spans="32:32" x14ac:dyDescent="0.2">
      <c r="AF14029" s="679"/>
    </row>
    <row r="14030" spans="32:32" x14ac:dyDescent="0.2">
      <c r="AF14030" s="679"/>
    </row>
    <row r="14031" spans="32:32" x14ac:dyDescent="0.2">
      <c r="AF14031" s="679"/>
    </row>
    <row r="14032" spans="32:32" x14ac:dyDescent="0.2">
      <c r="AF14032" s="679"/>
    </row>
    <row r="14033" spans="32:32" x14ac:dyDescent="0.2">
      <c r="AF14033" s="679"/>
    </row>
    <row r="14034" spans="32:32" x14ac:dyDescent="0.2">
      <c r="AF14034" s="679"/>
    </row>
    <row r="14035" spans="32:32" x14ac:dyDescent="0.2">
      <c r="AF14035" s="679"/>
    </row>
    <row r="14036" spans="32:32" x14ac:dyDescent="0.2">
      <c r="AF14036" s="679"/>
    </row>
    <row r="14037" spans="32:32" x14ac:dyDescent="0.2">
      <c r="AF14037" s="679"/>
    </row>
    <row r="14038" spans="32:32" x14ac:dyDescent="0.2">
      <c r="AF14038" s="679"/>
    </row>
    <row r="14039" spans="32:32" x14ac:dyDescent="0.2">
      <c r="AF14039" s="679"/>
    </row>
    <row r="14040" spans="32:32" x14ac:dyDescent="0.2">
      <c r="AF14040" s="679"/>
    </row>
    <row r="14041" spans="32:32" x14ac:dyDescent="0.2">
      <c r="AF14041" s="679"/>
    </row>
    <row r="14042" spans="32:32" x14ac:dyDescent="0.2">
      <c r="AF14042" s="679"/>
    </row>
    <row r="14043" spans="32:32" x14ac:dyDescent="0.2">
      <c r="AF14043" s="679"/>
    </row>
    <row r="14044" spans="32:32" x14ac:dyDescent="0.2">
      <c r="AF14044" s="679"/>
    </row>
    <row r="14045" spans="32:32" x14ac:dyDescent="0.2">
      <c r="AF14045" s="679"/>
    </row>
    <row r="14046" spans="32:32" x14ac:dyDescent="0.2">
      <c r="AF14046" s="679"/>
    </row>
    <row r="14047" spans="32:32" x14ac:dyDescent="0.2">
      <c r="AF14047" s="679"/>
    </row>
    <row r="14048" spans="32:32" x14ac:dyDescent="0.2">
      <c r="AF14048" s="679"/>
    </row>
    <row r="14049" spans="32:32" x14ac:dyDescent="0.2">
      <c r="AF14049" s="679"/>
    </row>
    <row r="14050" spans="32:32" x14ac:dyDescent="0.2">
      <c r="AF14050" s="679"/>
    </row>
    <row r="14051" spans="32:32" x14ac:dyDescent="0.2">
      <c r="AF14051" s="679"/>
    </row>
    <row r="14052" spans="32:32" x14ac:dyDescent="0.2">
      <c r="AF14052" s="679"/>
    </row>
    <row r="14053" spans="32:32" x14ac:dyDescent="0.2">
      <c r="AF14053" s="679"/>
    </row>
    <row r="14054" spans="32:32" x14ac:dyDescent="0.2">
      <c r="AF14054" s="679"/>
    </row>
    <row r="14055" spans="32:32" x14ac:dyDescent="0.2">
      <c r="AF14055" s="679"/>
    </row>
    <row r="14056" spans="32:32" x14ac:dyDescent="0.2">
      <c r="AF14056" s="679"/>
    </row>
    <row r="14057" spans="32:32" x14ac:dyDescent="0.2">
      <c r="AF14057" s="679"/>
    </row>
    <row r="14058" spans="32:32" x14ac:dyDescent="0.2">
      <c r="AF14058" s="679"/>
    </row>
    <row r="14059" spans="32:32" x14ac:dyDescent="0.2">
      <c r="AF14059" s="679"/>
    </row>
    <row r="14060" spans="32:32" x14ac:dyDescent="0.2">
      <c r="AF14060" s="679"/>
    </row>
    <row r="14061" spans="32:32" x14ac:dyDescent="0.2">
      <c r="AF14061" s="679"/>
    </row>
    <row r="14062" spans="32:32" x14ac:dyDescent="0.2">
      <c r="AF14062" s="679"/>
    </row>
    <row r="14063" spans="32:32" x14ac:dyDescent="0.2">
      <c r="AF14063" s="679"/>
    </row>
    <row r="14064" spans="32:32" x14ac:dyDescent="0.2">
      <c r="AF14064" s="679"/>
    </row>
    <row r="14065" spans="32:32" x14ac:dyDescent="0.2">
      <c r="AF14065" s="679"/>
    </row>
    <row r="14066" spans="32:32" x14ac:dyDescent="0.2">
      <c r="AF14066" s="679"/>
    </row>
    <row r="14067" spans="32:32" x14ac:dyDescent="0.2">
      <c r="AF14067" s="679"/>
    </row>
    <row r="14068" spans="32:32" x14ac:dyDescent="0.2">
      <c r="AF14068" s="679"/>
    </row>
    <row r="14069" spans="32:32" x14ac:dyDescent="0.2">
      <c r="AF14069" s="679"/>
    </row>
    <row r="14070" spans="32:32" x14ac:dyDescent="0.2">
      <c r="AF14070" s="679"/>
    </row>
    <row r="14071" spans="32:32" x14ac:dyDescent="0.2">
      <c r="AF14071" s="679"/>
    </row>
    <row r="14072" spans="32:32" x14ac:dyDescent="0.2">
      <c r="AF14072" s="679"/>
    </row>
    <row r="14073" spans="32:32" x14ac:dyDescent="0.2">
      <c r="AF14073" s="679"/>
    </row>
    <row r="14074" spans="32:32" x14ac:dyDescent="0.2">
      <c r="AF14074" s="679"/>
    </row>
    <row r="14075" spans="32:32" x14ac:dyDescent="0.2">
      <c r="AF14075" s="679"/>
    </row>
    <row r="14076" spans="32:32" x14ac:dyDescent="0.2">
      <c r="AF14076" s="679"/>
    </row>
    <row r="14077" spans="32:32" x14ac:dyDescent="0.2">
      <c r="AF14077" s="679"/>
    </row>
    <row r="14078" spans="32:32" x14ac:dyDescent="0.2">
      <c r="AF14078" s="679"/>
    </row>
    <row r="14079" spans="32:32" x14ac:dyDescent="0.2">
      <c r="AF14079" s="679"/>
    </row>
    <row r="14080" spans="32:32" x14ac:dyDescent="0.2">
      <c r="AF14080" s="679"/>
    </row>
    <row r="14081" spans="32:32" x14ac:dyDescent="0.2">
      <c r="AF14081" s="679"/>
    </row>
    <row r="14082" spans="32:32" x14ac:dyDescent="0.2">
      <c r="AF14082" s="679"/>
    </row>
    <row r="14083" spans="32:32" x14ac:dyDescent="0.2">
      <c r="AF14083" s="679"/>
    </row>
    <row r="14084" spans="32:32" x14ac:dyDescent="0.2">
      <c r="AF14084" s="679"/>
    </row>
    <row r="14085" spans="32:32" x14ac:dyDescent="0.2">
      <c r="AF14085" s="679"/>
    </row>
    <row r="14086" spans="32:32" x14ac:dyDescent="0.2">
      <c r="AF14086" s="679"/>
    </row>
    <row r="14087" spans="32:32" x14ac:dyDescent="0.2">
      <c r="AF14087" s="679"/>
    </row>
    <row r="14088" spans="32:32" x14ac:dyDescent="0.2">
      <c r="AF14088" s="679"/>
    </row>
    <row r="14089" spans="32:32" x14ac:dyDescent="0.2">
      <c r="AF14089" s="679"/>
    </row>
    <row r="14090" spans="32:32" x14ac:dyDescent="0.2">
      <c r="AF14090" s="679"/>
    </row>
    <row r="14091" spans="32:32" x14ac:dyDescent="0.2">
      <c r="AF14091" s="679"/>
    </row>
    <row r="14092" spans="32:32" x14ac:dyDescent="0.2">
      <c r="AF14092" s="679"/>
    </row>
    <row r="14093" spans="32:32" x14ac:dyDescent="0.2">
      <c r="AF14093" s="679"/>
    </row>
    <row r="14094" spans="32:32" x14ac:dyDescent="0.2">
      <c r="AF14094" s="679"/>
    </row>
    <row r="14095" spans="32:32" x14ac:dyDescent="0.2">
      <c r="AF14095" s="679"/>
    </row>
    <row r="14096" spans="32:32" x14ac:dyDescent="0.2">
      <c r="AF14096" s="679"/>
    </row>
    <row r="14097" spans="32:32" x14ac:dyDescent="0.2">
      <c r="AF14097" s="679"/>
    </row>
    <row r="14098" spans="32:32" x14ac:dyDescent="0.2">
      <c r="AF14098" s="679"/>
    </row>
    <row r="14099" spans="32:32" x14ac:dyDescent="0.2">
      <c r="AF14099" s="679"/>
    </row>
    <row r="14100" spans="32:32" x14ac:dyDescent="0.2">
      <c r="AF14100" s="679"/>
    </row>
    <row r="14101" spans="32:32" x14ac:dyDescent="0.2">
      <c r="AF14101" s="679"/>
    </row>
    <row r="14102" spans="32:32" x14ac:dyDescent="0.2">
      <c r="AF14102" s="679"/>
    </row>
    <row r="14103" spans="32:32" x14ac:dyDescent="0.2">
      <c r="AF14103" s="679"/>
    </row>
    <row r="14104" spans="32:32" x14ac:dyDescent="0.2">
      <c r="AF14104" s="679"/>
    </row>
    <row r="14105" spans="32:32" x14ac:dyDescent="0.2">
      <c r="AF14105" s="679"/>
    </row>
    <row r="14106" spans="32:32" x14ac:dyDescent="0.2">
      <c r="AF14106" s="679"/>
    </row>
    <row r="14107" spans="32:32" x14ac:dyDescent="0.2">
      <c r="AF14107" s="679"/>
    </row>
    <row r="14108" spans="32:32" x14ac:dyDescent="0.2">
      <c r="AF14108" s="679"/>
    </row>
    <row r="14109" spans="32:32" x14ac:dyDescent="0.2">
      <c r="AF14109" s="679"/>
    </row>
    <row r="14110" spans="32:32" x14ac:dyDescent="0.2">
      <c r="AF14110" s="679"/>
    </row>
    <row r="14111" spans="32:32" x14ac:dyDescent="0.2">
      <c r="AF14111" s="679"/>
    </row>
    <row r="14112" spans="32:32" x14ac:dyDescent="0.2">
      <c r="AF14112" s="679"/>
    </row>
    <row r="14113" spans="32:32" x14ac:dyDescent="0.2">
      <c r="AF14113" s="679"/>
    </row>
    <row r="14114" spans="32:32" x14ac:dyDescent="0.2">
      <c r="AF14114" s="679"/>
    </row>
    <row r="14115" spans="32:32" x14ac:dyDescent="0.2">
      <c r="AF14115" s="679"/>
    </row>
    <row r="14116" spans="32:32" x14ac:dyDescent="0.2">
      <c r="AF14116" s="679"/>
    </row>
    <row r="14117" spans="32:32" x14ac:dyDescent="0.2">
      <c r="AF14117" s="679"/>
    </row>
    <row r="14118" spans="32:32" x14ac:dyDescent="0.2">
      <c r="AF14118" s="679"/>
    </row>
    <row r="14119" spans="32:32" x14ac:dyDescent="0.2">
      <c r="AF14119" s="679"/>
    </row>
    <row r="14120" spans="32:32" x14ac:dyDescent="0.2">
      <c r="AF14120" s="679"/>
    </row>
    <row r="14121" spans="32:32" x14ac:dyDescent="0.2">
      <c r="AF14121" s="679"/>
    </row>
    <row r="14122" spans="32:32" x14ac:dyDescent="0.2">
      <c r="AF14122" s="679"/>
    </row>
    <row r="14123" spans="32:32" x14ac:dyDescent="0.2">
      <c r="AF14123" s="679"/>
    </row>
    <row r="14124" spans="32:32" x14ac:dyDescent="0.2">
      <c r="AF14124" s="679"/>
    </row>
    <row r="14125" spans="32:32" x14ac:dyDescent="0.2">
      <c r="AF14125" s="679"/>
    </row>
    <row r="14126" spans="32:32" x14ac:dyDescent="0.2">
      <c r="AF14126" s="679"/>
    </row>
    <row r="14127" spans="32:32" x14ac:dyDescent="0.2">
      <c r="AF14127" s="679"/>
    </row>
    <row r="14128" spans="32:32" x14ac:dyDescent="0.2">
      <c r="AF14128" s="679"/>
    </row>
    <row r="14129" spans="32:32" x14ac:dyDescent="0.2">
      <c r="AF14129" s="679"/>
    </row>
    <row r="14130" spans="32:32" x14ac:dyDescent="0.2">
      <c r="AF14130" s="679"/>
    </row>
    <row r="14131" spans="32:32" x14ac:dyDescent="0.2">
      <c r="AF14131" s="679"/>
    </row>
    <row r="14132" spans="32:32" x14ac:dyDescent="0.2">
      <c r="AF14132" s="679"/>
    </row>
    <row r="14133" spans="32:32" x14ac:dyDescent="0.2">
      <c r="AF14133" s="679"/>
    </row>
    <row r="14134" spans="32:32" x14ac:dyDescent="0.2">
      <c r="AF14134" s="679"/>
    </row>
    <row r="14135" spans="32:32" x14ac:dyDescent="0.2">
      <c r="AF14135" s="679"/>
    </row>
    <row r="14136" spans="32:32" x14ac:dyDescent="0.2">
      <c r="AF14136" s="679"/>
    </row>
    <row r="14137" spans="32:32" x14ac:dyDescent="0.2">
      <c r="AF14137" s="679"/>
    </row>
    <row r="14138" spans="32:32" x14ac:dyDescent="0.2">
      <c r="AF14138" s="679"/>
    </row>
    <row r="14139" spans="32:32" x14ac:dyDescent="0.2">
      <c r="AF14139" s="679"/>
    </row>
    <row r="14140" spans="32:32" x14ac:dyDescent="0.2">
      <c r="AF14140" s="679"/>
    </row>
    <row r="14141" spans="32:32" x14ac:dyDescent="0.2">
      <c r="AF14141" s="679"/>
    </row>
    <row r="14142" spans="32:32" x14ac:dyDescent="0.2">
      <c r="AF14142" s="679"/>
    </row>
    <row r="14143" spans="32:32" x14ac:dyDescent="0.2">
      <c r="AF14143" s="679"/>
    </row>
    <row r="14144" spans="32:32" x14ac:dyDescent="0.2">
      <c r="AF14144" s="679"/>
    </row>
    <row r="14145" spans="32:32" x14ac:dyDescent="0.2">
      <c r="AF14145" s="679"/>
    </row>
    <row r="14146" spans="32:32" x14ac:dyDescent="0.2">
      <c r="AF14146" s="679"/>
    </row>
    <row r="14147" spans="32:32" x14ac:dyDescent="0.2">
      <c r="AF14147" s="679"/>
    </row>
    <row r="14148" spans="32:32" x14ac:dyDescent="0.2">
      <c r="AF14148" s="679"/>
    </row>
    <row r="14149" spans="32:32" x14ac:dyDescent="0.2">
      <c r="AF14149" s="679"/>
    </row>
    <row r="14150" spans="32:32" x14ac:dyDescent="0.2">
      <c r="AF14150" s="679"/>
    </row>
    <row r="14151" spans="32:32" x14ac:dyDescent="0.2">
      <c r="AF14151" s="679"/>
    </row>
    <row r="14152" spans="32:32" x14ac:dyDescent="0.2">
      <c r="AF14152" s="679"/>
    </row>
    <row r="14153" spans="32:32" x14ac:dyDescent="0.2">
      <c r="AF14153" s="679"/>
    </row>
    <row r="14154" spans="32:32" x14ac:dyDescent="0.2">
      <c r="AF14154" s="679"/>
    </row>
    <row r="14155" spans="32:32" x14ac:dyDescent="0.2">
      <c r="AF14155" s="679"/>
    </row>
    <row r="14156" spans="32:32" x14ac:dyDescent="0.2">
      <c r="AF14156" s="679"/>
    </row>
    <row r="14157" spans="32:32" x14ac:dyDescent="0.2">
      <c r="AF14157" s="679"/>
    </row>
    <row r="14158" spans="32:32" x14ac:dyDescent="0.2">
      <c r="AF14158" s="679"/>
    </row>
    <row r="14159" spans="32:32" x14ac:dyDescent="0.2">
      <c r="AF14159" s="679"/>
    </row>
    <row r="14160" spans="32:32" x14ac:dyDescent="0.2">
      <c r="AF14160" s="679"/>
    </row>
    <row r="14161" spans="32:32" x14ac:dyDescent="0.2">
      <c r="AF14161" s="679"/>
    </row>
    <row r="14162" spans="32:32" x14ac:dyDescent="0.2">
      <c r="AF14162" s="679"/>
    </row>
    <row r="14163" spans="32:32" x14ac:dyDescent="0.2">
      <c r="AF14163" s="679"/>
    </row>
    <row r="14164" spans="32:32" x14ac:dyDescent="0.2">
      <c r="AF14164" s="679"/>
    </row>
    <row r="14165" spans="32:32" x14ac:dyDescent="0.2">
      <c r="AF14165" s="679"/>
    </row>
    <row r="14166" spans="32:32" x14ac:dyDescent="0.2">
      <c r="AF14166" s="679"/>
    </row>
    <row r="14167" spans="32:32" x14ac:dyDescent="0.2">
      <c r="AF14167" s="679"/>
    </row>
    <row r="14168" spans="32:32" x14ac:dyDescent="0.2">
      <c r="AF14168" s="679"/>
    </row>
    <row r="14169" spans="32:32" x14ac:dyDescent="0.2">
      <c r="AF14169" s="679"/>
    </row>
    <row r="14170" spans="32:32" x14ac:dyDescent="0.2">
      <c r="AF14170" s="679"/>
    </row>
    <row r="14171" spans="32:32" x14ac:dyDescent="0.2">
      <c r="AF14171" s="679"/>
    </row>
    <row r="14172" spans="32:32" x14ac:dyDescent="0.2">
      <c r="AF14172" s="679"/>
    </row>
    <row r="14173" spans="32:32" x14ac:dyDescent="0.2">
      <c r="AF14173" s="679"/>
    </row>
    <row r="14174" spans="32:32" x14ac:dyDescent="0.2">
      <c r="AF14174" s="679"/>
    </row>
    <row r="14175" spans="32:32" x14ac:dyDescent="0.2">
      <c r="AF14175" s="679"/>
    </row>
    <row r="14176" spans="32:32" x14ac:dyDescent="0.2">
      <c r="AF14176" s="679"/>
    </row>
    <row r="14177" spans="32:32" x14ac:dyDescent="0.2">
      <c r="AF14177" s="679"/>
    </row>
    <row r="14178" spans="32:32" x14ac:dyDescent="0.2">
      <c r="AF14178" s="679"/>
    </row>
    <row r="14179" spans="32:32" x14ac:dyDescent="0.2">
      <c r="AF14179" s="679"/>
    </row>
    <row r="14180" spans="32:32" x14ac:dyDescent="0.2">
      <c r="AF14180" s="679"/>
    </row>
    <row r="14181" spans="32:32" x14ac:dyDescent="0.2">
      <c r="AF14181" s="679"/>
    </row>
    <row r="14182" spans="32:32" x14ac:dyDescent="0.2">
      <c r="AF14182" s="679"/>
    </row>
    <row r="14183" spans="32:32" x14ac:dyDescent="0.2">
      <c r="AF14183" s="679"/>
    </row>
    <row r="14184" spans="32:32" x14ac:dyDescent="0.2">
      <c r="AF14184" s="679"/>
    </row>
    <row r="14185" spans="32:32" x14ac:dyDescent="0.2">
      <c r="AF14185" s="679"/>
    </row>
    <row r="14186" spans="32:32" x14ac:dyDescent="0.2">
      <c r="AF14186" s="679"/>
    </row>
    <row r="14187" spans="32:32" x14ac:dyDescent="0.2">
      <c r="AF14187" s="679"/>
    </row>
    <row r="14188" spans="32:32" x14ac:dyDescent="0.2">
      <c r="AF14188" s="679"/>
    </row>
    <row r="14189" spans="32:32" x14ac:dyDescent="0.2">
      <c r="AF14189" s="679"/>
    </row>
    <row r="14190" spans="32:32" x14ac:dyDescent="0.2">
      <c r="AF14190" s="679"/>
    </row>
    <row r="14191" spans="32:32" x14ac:dyDescent="0.2">
      <c r="AF14191" s="679"/>
    </row>
    <row r="14192" spans="32:32" x14ac:dyDescent="0.2">
      <c r="AF14192" s="679"/>
    </row>
    <row r="14193" spans="32:32" x14ac:dyDescent="0.2">
      <c r="AF14193" s="679"/>
    </row>
    <row r="14194" spans="32:32" x14ac:dyDescent="0.2">
      <c r="AF14194" s="679"/>
    </row>
    <row r="14195" spans="32:32" x14ac:dyDescent="0.2">
      <c r="AF14195" s="679"/>
    </row>
    <row r="14196" spans="32:32" x14ac:dyDescent="0.2">
      <c r="AF14196" s="679"/>
    </row>
    <row r="14197" spans="32:32" x14ac:dyDescent="0.2">
      <c r="AF14197" s="679"/>
    </row>
    <row r="14198" spans="32:32" x14ac:dyDescent="0.2">
      <c r="AF14198" s="679"/>
    </row>
    <row r="14199" spans="32:32" x14ac:dyDescent="0.2">
      <c r="AF14199" s="679"/>
    </row>
    <row r="14200" spans="32:32" x14ac:dyDescent="0.2">
      <c r="AF14200" s="679"/>
    </row>
    <row r="14201" spans="32:32" x14ac:dyDescent="0.2">
      <c r="AF14201" s="679"/>
    </row>
    <row r="14202" spans="32:32" x14ac:dyDescent="0.2">
      <c r="AF14202" s="679"/>
    </row>
    <row r="14203" spans="32:32" x14ac:dyDescent="0.2">
      <c r="AF14203" s="679"/>
    </row>
    <row r="14204" spans="32:32" x14ac:dyDescent="0.2">
      <c r="AF14204" s="679"/>
    </row>
    <row r="14205" spans="32:32" x14ac:dyDescent="0.2">
      <c r="AF14205" s="679"/>
    </row>
    <row r="14206" spans="32:32" x14ac:dyDescent="0.2">
      <c r="AF14206" s="679"/>
    </row>
    <row r="14207" spans="32:32" x14ac:dyDescent="0.2">
      <c r="AF14207" s="679"/>
    </row>
    <row r="14208" spans="32:32" x14ac:dyDescent="0.2">
      <c r="AF14208" s="679"/>
    </row>
    <row r="14209" spans="32:32" x14ac:dyDescent="0.2">
      <c r="AF14209" s="679"/>
    </row>
    <row r="14210" spans="32:32" x14ac:dyDescent="0.2">
      <c r="AF14210" s="679"/>
    </row>
    <row r="14211" spans="32:32" x14ac:dyDescent="0.2">
      <c r="AF14211" s="679"/>
    </row>
    <row r="14212" spans="32:32" x14ac:dyDescent="0.2">
      <c r="AF14212" s="679"/>
    </row>
    <row r="14213" spans="32:32" x14ac:dyDescent="0.2">
      <c r="AF14213" s="679"/>
    </row>
    <row r="14214" spans="32:32" x14ac:dyDescent="0.2">
      <c r="AF14214" s="679"/>
    </row>
    <row r="14215" spans="32:32" x14ac:dyDescent="0.2">
      <c r="AF14215" s="679"/>
    </row>
    <row r="14216" spans="32:32" x14ac:dyDescent="0.2">
      <c r="AF14216" s="679"/>
    </row>
    <row r="14217" spans="32:32" x14ac:dyDescent="0.2">
      <c r="AF14217" s="679"/>
    </row>
    <row r="14218" spans="32:32" x14ac:dyDescent="0.2">
      <c r="AF14218" s="679"/>
    </row>
    <row r="14219" spans="32:32" x14ac:dyDescent="0.2">
      <c r="AF14219" s="679"/>
    </row>
    <row r="14220" spans="32:32" x14ac:dyDescent="0.2">
      <c r="AF14220" s="679"/>
    </row>
    <row r="14221" spans="32:32" x14ac:dyDescent="0.2">
      <c r="AF14221" s="679"/>
    </row>
    <row r="14222" spans="32:32" x14ac:dyDescent="0.2">
      <c r="AF14222" s="679"/>
    </row>
    <row r="14223" spans="32:32" x14ac:dyDescent="0.2">
      <c r="AF14223" s="679"/>
    </row>
    <row r="14224" spans="32:32" x14ac:dyDescent="0.2">
      <c r="AF14224" s="679"/>
    </row>
    <row r="14225" spans="32:32" x14ac:dyDescent="0.2">
      <c r="AF14225" s="679"/>
    </row>
    <row r="14226" spans="32:32" x14ac:dyDescent="0.2">
      <c r="AF14226" s="679"/>
    </row>
    <row r="14227" spans="32:32" x14ac:dyDescent="0.2">
      <c r="AF14227" s="679"/>
    </row>
    <row r="14228" spans="32:32" x14ac:dyDescent="0.2">
      <c r="AF14228" s="679"/>
    </row>
    <row r="14229" spans="32:32" x14ac:dyDescent="0.2">
      <c r="AF14229" s="679"/>
    </row>
    <row r="14230" spans="32:32" x14ac:dyDescent="0.2">
      <c r="AF14230" s="679"/>
    </row>
    <row r="14231" spans="32:32" x14ac:dyDescent="0.2">
      <c r="AF14231" s="679"/>
    </row>
    <row r="14232" spans="32:32" x14ac:dyDescent="0.2">
      <c r="AF14232" s="679"/>
    </row>
    <row r="14233" spans="32:32" x14ac:dyDescent="0.2">
      <c r="AF14233" s="679"/>
    </row>
    <row r="14234" spans="32:32" x14ac:dyDescent="0.2">
      <c r="AF14234" s="679"/>
    </row>
    <row r="14235" spans="32:32" x14ac:dyDescent="0.2">
      <c r="AF14235" s="679"/>
    </row>
    <row r="14236" spans="32:32" x14ac:dyDescent="0.2">
      <c r="AF14236" s="679"/>
    </row>
    <row r="14237" spans="32:32" x14ac:dyDescent="0.2">
      <c r="AF14237" s="679"/>
    </row>
    <row r="14238" spans="32:32" x14ac:dyDescent="0.2">
      <c r="AF14238" s="679"/>
    </row>
    <row r="14239" spans="32:32" x14ac:dyDescent="0.2">
      <c r="AF14239" s="679"/>
    </row>
    <row r="14240" spans="32:32" x14ac:dyDescent="0.2">
      <c r="AF14240" s="679"/>
    </row>
    <row r="14241" spans="32:32" x14ac:dyDescent="0.2">
      <c r="AF14241" s="679"/>
    </row>
    <row r="14242" spans="32:32" x14ac:dyDescent="0.2">
      <c r="AF14242" s="679"/>
    </row>
    <row r="14243" spans="32:32" x14ac:dyDescent="0.2">
      <c r="AF14243" s="679"/>
    </row>
    <row r="14244" spans="32:32" x14ac:dyDescent="0.2">
      <c r="AF14244" s="679"/>
    </row>
    <row r="14245" spans="32:32" x14ac:dyDescent="0.2">
      <c r="AF14245" s="679"/>
    </row>
    <row r="14246" spans="32:32" x14ac:dyDescent="0.2">
      <c r="AF14246" s="679"/>
    </row>
    <row r="14247" spans="32:32" x14ac:dyDescent="0.2">
      <c r="AF14247" s="679"/>
    </row>
    <row r="14248" spans="32:32" x14ac:dyDescent="0.2">
      <c r="AF14248" s="679"/>
    </row>
    <row r="14249" spans="32:32" x14ac:dyDescent="0.2">
      <c r="AF14249" s="679"/>
    </row>
    <row r="14250" spans="32:32" x14ac:dyDescent="0.2">
      <c r="AF14250" s="679"/>
    </row>
    <row r="14251" spans="32:32" x14ac:dyDescent="0.2">
      <c r="AF14251" s="679"/>
    </row>
    <row r="14252" spans="32:32" x14ac:dyDescent="0.2">
      <c r="AF14252" s="679"/>
    </row>
    <row r="14253" spans="32:32" x14ac:dyDescent="0.2">
      <c r="AF14253" s="679"/>
    </row>
    <row r="14254" spans="32:32" x14ac:dyDescent="0.2">
      <c r="AF14254" s="679"/>
    </row>
    <row r="14255" spans="32:32" x14ac:dyDescent="0.2">
      <c r="AF14255" s="679"/>
    </row>
    <row r="14256" spans="32:32" x14ac:dyDescent="0.2">
      <c r="AF14256" s="679"/>
    </row>
    <row r="14257" spans="32:32" x14ac:dyDescent="0.2">
      <c r="AF14257" s="679"/>
    </row>
    <row r="14258" spans="32:32" x14ac:dyDescent="0.2">
      <c r="AF14258" s="679"/>
    </row>
    <row r="14259" spans="32:32" x14ac:dyDescent="0.2">
      <c r="AF14259" s="679"/>
    </row>
    <row r="14260" spans="32:32" x14ac:dyDescent="0.2">
      <c r="AF14260" s="679"/>
    </row>
    <row r="14261" spans="32:32" x14ac:dyDescent="0.2">
      <c r="AF14261" s="679"/>
    </row>
    <row r="14262" spans="32:32" x14ac:dyDescent="0.2">
      <c r="AF14262" s="679"/>
    </row>
    <row r="14263" spans="32:32" x14ac:dyDescent="0.2">
      <c r="AF14263" s="679"/>
    </row>
    <row r="14264" spans="32:32" x14ac:dyDescent="0.2">
      <c r="AF14264" s="679"/>
    </row>
    <row r="14265" spans="32:32" x14ac:dyDescent="0.2">
      <c r="AF14265" s="679"/>
    </row>
    <row r="14266" spans="32:32" x14ac:dyDescent="0.2">
      <c r="AF14266" s="679"/>
    </row>
    <row r="14267" spans="32:32" x14ac:dyDescent="0.2">
      <c r="AF14267" s="679"/>
    </row>
    <row r="14268" spans="32:32" x14ac:dyDescent="0.2">
      <c r="AF14268" s="679"/>
    </row>
    <row r="14269" spans="32:32" x14ac:dyDescent="0.2">
      <c r="AF14269" s="679"/>
    </row>
    <row r="14270" spans="32:32" x14ac:dyDescent="0.2">
      <c r="AF14270" s="679"/>
    </row>
    <row r="14271" spans="32:32" x14ac:dyDescent="0.2">
      <c r="AF14271" s="679"/>
    </row>
    <row r="14272" spans="32:32" x14ac:dyDescent="0.2">
      <c r="AF14272" s="679"/>
    </row>
    <row r="14273" spans="32:32" x14ac:dyDescent="0.2">
      <c r="AF14273" s="679"/>
    </row>
    <row r="14274" spans="32:32" x14ac:dyDescent="0.2">
      <c r="AF14274" s="679"/>
    </row>
    <row r="14275" spans="32:32" x14ac:dyDescent="0.2">
      <c r="AF14275" s="679"/>
    </row>
    <row r="14276" spans="32:32" x14ac:dyDescent="0.2">
      <c r="AF14276" s="679"/>
    </row>
    <row r="14277" spans="32:32" x14ac:dyDescent="0.2">
      <c r="AF14277" s="679"/>
    </row>
    <row r="14278" spans="32:32" x14ac:dyDescent="0.2">
      <c r="AF14278" s="679"/>
    </row>
    <row r="14279" spans="32:32" x14ac:dyDescent="0.2">
      <c r="AF14279" s="679"/>
    </row>
    <row r="14280" spans="32:32" x14ac:dyDescent="0.2">
      <c r="AF14280" s="679"/>
    </row>
    <row r="14281" spans="32:32" x14ac:dyDescent="0.2">
      <c r="AF14281" s="679"/>
    </row>
    <row r="14282" spans="32:32" x14ac:dyDescent="0.2">
      <c r="AF14282" s="679"/>
    </row>
    <row r="14283" spans="32:32" x14ac:dyDescent="0.2">
      <c r="AF14283" s="679"/>
    </row>
    <row r="14284" spans="32:32" x14ac:dyDescent="0.2">
      <c r="AF14284" s="679"/>
    </row>
    <row r="14285" spans="32:32" x14ac:dyDescent="0.2">
      <c r="AF14285" s="679"/>
    </row>
    <row r="14286" spans="32:32" x14ac:dyDescent="0.2">
      <c r="AF14286" s="679"/>
    </row>
    <row r="14287" spans="32:32" x14ac:dyDescent="0.2">
      <c r="AF14287" s="679"/>
    </row>
    <row r="14288" spans="32:32" x14ac:dyDescent="0.2">
      <c r="AF14288" s="679"/>
    </row>
    <row r="14289" spans="32:32" x14ac:dyDescent="0.2">
      <c r="AF14289" s="679"/>
    </row>
    <row r="14290" spans="32:32" x14ac:dyDescent="0.2">
      <c r="AF14290" s="679"/>
    </row>
    <row r="14291" spans="32:32" x14ac:dyDescent="0.2">
      <c r="AF14291" s="679"/>
    </row>
    <row r="14292" spans="32:32" x14ac:dyDescent="0.2">
      <c r="AF14292" s="679"/>
    </row>
    <row r="14293" spans="32:32" x14ac:dyDescent="0.2">
      <c r="AF14293" s="679"/>
    </row>
    <row r="14294" spans="32:32" x14ac:dyDescent="0.2">
      <c r="AF14294" s="679"/>
    </row>
    <row r="14295" spans="32:32" x14ac:dyDescent="0.2">
      <c r="AF14295" s="679"/>
    </row>
    <row r="14296" spans="32:32" x14ac:dyDescent="0.2">
      <c r="AF14296" s="679"/>
    </row>
    <row r="14297" spans="32:32" x14ac:dyDescent="0.2">
      <c r="AF14297" s="679"/>
    </row>
    <row r="14298" spans="32:32" x14ac:dyDescent="0.2">
      <c r="AF14298" s="679"/>
    </row>
    <row r="14299" spans="32:32" x14ac:dyDescent="0.2">
      <c r="AF14299" s="679"/>
    </row>
    <row r="14300" spans="32:32" x14ac:dyDescent="0.2">
      <c r="AF14300" s="679"/>
    </row>
    <row r="14301" spans="32:32" x14ac:dyDescent="0.2">
      <c r="AF14301" s="679"/>
    </row>
    <row r="14302" spans="32:32" x14ac:dyDescent="0.2">
      <c r="AF14302" s="679"/>
    </row>
    <row r="14303" spans="32:32" x14ac:dyDescent="0.2">
      <c r="AF14303" s="679"/>
    </row>
    <row r="14304" spans="32:32" x14ac:dyDescent="0.2">
      <c r="AF14304" s="679"/>
    </row>
    <row r="14305" spans="32:32" x14ac:dyDescent="0.2">
      <c r="AF14305" s="679"/>
    </row>
    <row r="14306" spans="32:32" x14ac:dyDescent="0.2">
      <c r="AF14306" s="679"/>
    </row>
    <row r="14307" spans="32:32" x14ac:dyDescent="0.2">
      <c r="AF14307" s="679"/>
    </row>
    <row r="14308" spans="32:32" x14ac:dyDescent="0.2">
      <c r="AF14308" s="679"/>
    </row>
    <row r="14309" spans="32:32" x14ac:dyDescent="0.2">
      <c r="AF14309" s="679"/>
    </row>
    <row r="14310" spans="32:32" x14ac:dyDescent="0.2">
      <c r="AF14310" s="679"/>
    </row>
    <row r="14311" spans="32:32" x14ac:dyDescent="0.2">
      <c r="AF14311" s="679"/>
    </row>
    <row r="14312" spans="32:32" x14ac:dyDescent="0.2">
      <c r="AF14312" s="679"/>
    </row>
    <row r="14313" spans="32:32" x14ac:dyDescent="0.2">
      <c r="AF14313" s="679"/>
    </row>
    <row r="14314" spans="32:32" x14ac:dyDescent="0.2">
      <c r="AF14314" s="679"/>
    </row>
    <row r="14315" spans="32:32" x14ac:dyDescent="0.2">
      <c r="AF14315" s="679"/>
    </row>
    <row r="14316" spans="32:32" x14ac:dyDescent="0.2">
      <c r="AF14316" s="679"/>
    </row>
    <row r="14317" spans="32:32" x14ac:dyDescent="0.2">
      <c r="AF14317" s="679"/>
    </row>
    <row r="14318" spans="32:32" x14ac:dyDescent="0.2">
      <c r="AF14318" s="679"/>
    </row>
    <row r="14319" spans="32:32" x14ac:dyDescent="0.2">
      <c r="AF14319" s="679"/>
    </row>
    <row r="14320" spans="32:32" x14ac:dyDescent="0.2">
      <c r="AF14320" s="679"/>
    </row>
    <row r="14321" spans="32:32" x14ac:dyDescent="0.2">
      <c r="AF14321" s="679"/>
    </row>
    <row r="14322" spans="32:32" x14ac:dyDescent="0.2">
      <c r="AF14322" s="679"/>
    </row>
    <row r="14323" spans="32:32" x14ac:dyDescent="0.2">
      <c r="AF14323" s="679"/>
    </row>
    <row r="14324" spans="32:32" x14ac:dyDescent="0.2">
      <c r="AF14324" s="679"/>
    </row>
    <row r="14325" spans="32:32" x14ac:dyDescent="0.2">
      <c r="AF14325" s="679"/>
    </row>
    <row r="14326" spans="32:32" x14ac:dyDescent="0.2">
      <c r="AF14326" s="679"/>
    </row>
    <row r="14327" spans="32:32" x14ac:dyDescent="0.2">
      <c r="AF14327" s="679"/>
    </row>
    <row r="14328" spans="32:32" x14ac:dyDescent="0.2">
      <c r="AF14328" s="679"/>
    </row>
    <row r="14329" spans="32:32" x14ac:dyDescent="0.2">
      <c r="AF14329" s="679"/>
    </row>
    <row r="14330" spans="32:32" x14ac:dyDescent="0.2">
      <c r="AF14330" s="679"/>
    </row>
    <row r="14331" spans="32:32" x14ac:dyDescent="0.2">
      <c r="AF14331" s="679"/>
    </row>
    <row r="14332" spans="32:32" x14ac:dyDescent="0.2">
      <c r="AF14332" s="679"/>
    </row>
    <row r="14333" spans="32:32" x14ac:dyDescent="0.2">
      <c r="AF14333" s="679"/>
    </row>
    <row r="14334" spans="32:32" x14ac:dyDescent="0.2">
      <c r="AF14334" s="679"/>
    </row>
    <row r="14335" spans="32:32" x14ac:dyDescent="0.2">
      <c r="AF14335" s="679"/>
    </row>
    <row r="14336" spans="32:32" x14ac:dyDescent="0.2">
      <c r="AF14336" s="679"/>
    </row>
    <row r="14337" spans="32:32" x14ac:dyDescent="0.2">
      <c r="AF14337" s="679"/>
    </row>
    <row r="14338" spans="32:32" x14ac:dyDescent="0.2">
      <c r="AF14338" s="679"/>
    </row>
    <row r="14339" spans="32:32" x14ac:dyDescent="0.2">
      <c r="AF14339" s="679"/>
    </row>
    <row r="14340" spans="32:32" x14ac:dyDescent="0.2">
      <c r="AF14340" s="679"/>
    </row>
    <row r="14341" spans="32:32" x14ac:dyDescent="0.2">
      <c r="AF14341" s="679"/>
    </row>
    <row r="14342" spans="32:32" x14ac:dyDescent="0.2">
      <c r="AF14342" s="679"/>
    </row>
    <row r="14343" spans="32:32" x14ac:dyDescent="0.2">
      <c r="AF14343" s="679"/>
    </row>
    <row r="14344" spans="32:32" x14ac:dyDescent="0.2">
      <c r="AF14344" s="679"/>
    </row>
    <row r="14345" spans="32:32" x14ac:dyDescent="0.2">
      <c r="AF14345" s="679"/>
    </row>
    <row r="14346" spans="32:32" x14ac:dyDescent="0.2">
      <c r="AF14346" s="679"/>
    </row>
    <row r="14347" spans="32:32" x14ac:dyDescent="0.2">
      <c r="AF14347" s="679"/>
    </row>
    <row r="14348" spans="32:32" x14ac:dyDescent="0.2">
      <c r="AF14348" s="679"/>
    </row>
    <row r="14349" spans="32:32" x14ac:dyDescent="0.2">
      <c r="AF14349" s="679"/>
    </row>
    <row r="14350" spans="32:32" x14ac:dyDescent="0.2">
      <c r="AF14350" s="679"/>
    </row>
    <row r="14351" spans="32:32" x14ac:dyDescent="0.2">
      <c r="AF14351" s="679"/>
    </row>
    <row r="14352" spans="32:32" x14ac:dyDescent="0.2">
      <c r="AF14352" s="679"/>
    </row>
    <row r="14353" spans="32:32" x14ac:dyDescent="0.2">
      <c r="AF14353" s="679"/>
    </row>
    <row r="14354" spans="32:32" x14ac:dyDescent="0.2">
      <c r="AF14354" s="679"/>
    </row>
    <row r="14355" spans="32:32" x14ac:dyDescent="0.2">
      <c r="AF14355" s="679"/>
    </row>
    <row r="14356" spans="32:32" x14ac:dyDescent="0.2">
      <c r="AF14356" s="679"/>
    </row>
    <row r="14357" spans="32:32" x14ac:dyDescent="0.2">
      <c r="AF14357" s="679"/>
    </row>
    <row r="14358" spans="32:32" x14ac:dyDescent="0.2">
      <c r="AF14358" s="679"/>
    </row>
    <row r="14359" spans="32:32" x14ac:dyDescent="0.2">
      <c r="AF14359" s="679"/>
    </row>
    <row r="14360" spans="32:32" x14ac:dyDescent="0.2">
      <c r="AF14360" s="679"/>
    </row>
    <row r="14361" spans="32:32" x14ac:dyDescent="0.2">
      <c r="AF14361" s="679"/>
    </row>
    <row r="14362" spans="32:32" x14ac:dyDescent="0.2">
      <c r="AF14362" s="679"/>
    </row>
    <row r="14363" spans="32:32" x14ac:dyDescent="0.2">
      <c r="AF14363" s="679"/>
    </row>
    <row r="14364" spans="32:32" x14ac:dyDescent="0.2">
      <c r="AF14364" s="679"/>
    </row>
    <row r="14365" spans="32:32" x14ac:dyDescent="0.2">
      <c r="AF14365" s="679"/>
    </row>
    <row r="14366" spans="32:32" x14ac:dyDescent="0.2">
      <c r="AF14366" s="679"/>
    </row>
    <row r="14367" spans="32:32" x14ac:dyDescent="0.2">
      <c r="AF14367" s="679"/>
    </row>
    <row r="14368" spans="32:32" x14ac:dyDescent="0.2">
      <c r="AF14368" s="679"/>
    </row>
    <row r="14369" spans="32:32" x14ac:dyDescent="0.2">
      <c r="AF14369" s="679"/>
    </row>
    <row r="14370" spans="32:32" x14ac:dyDescent="0.2">
      <c r="AF14370" s="679"/>
    </row>
    <row r="14371" spans="32:32" x14ac:dyDescent="0.2">
      <c r="AF14371" s="679"/>
    </row>
    <row r="14372" spans="32:32" x14ac:dyDescent="0.2">
      <c r="AF14372" s="679"/>
    </row>
    <row r="14373" spans="32:32" x14ac:dyDescent="0.2">
      <c r="AF14373" s="679"/>
    </row>
    <row r="14374" spans="32:32" x14ac:dyDescent="0.2">
      <c r="AF14374" s="679"/>
    </row>
    <row r="14375" spans="32:32" x14ac:dyDescent="0.2">
      <c r="AF14375" s="679"/>
    </row>
    <row r="14376" spans="32:32" x14ac:dyDescent="0.2">
      <c r="AF14376" s="679"/>
    </row>
    <row r="14377" spans="32:32" x14ac:dyDescent="0.2">
      <c r="AF14377" s="679"/>
    </row>
    <row r="14378" spans="32:32" x14ac:dyDescent="0.2">
      <c r="AF14378" s="679"/>
    </row>
    <row r="14379" spans="32:32" x14ac:dyDescent="0.2">
      <c r="AF14379" s="679"/>
    </row>
    <row r="14380" spans="32:32" x14ac:dyDescent="0.2">
      <c r="AF14380" s="679"/>
    </row>
    <row r="14381" spans="32:32" x14ac:dyDescent="0.2">
      <c r="AF14381" s="679"/>
    </row>
    <row r="14382" spans="32:32" x14ac:dyDescent="0.2">
      <c r="AF14382" s="679"/>
    </row>
    <row r="14383" spans="32:32" x14ac:dyDescent="0.2">
      <c r="AF14383" s="679"/>
    </row>
    <row r="14384" spans="32:32" x14ac:dyDescent="0.2">
      <c r="AF14384" s="679"/>
    </row>
    <row r="14385" spans="32:32" x14ac:dyDescent="0.2">
      <c r="AF14385" s="679"/>
    </row>
    <row r="14386" spans="32:32" x14ac:dyDescent="0.2">
      <c r="AF14386" s="679"/>
    </row>
    <row r="14387" spans="32:32" x14ac:dyDescent="0.2">
      <c r="AF14387" s="679"/>
    </row>
    <row r="14388" spans="32:32" x14ac:dyDescent="0.2">
      <c r="AF14388" s="679"/>
    </row>
    <row r="14389" spans="32:32" x14ac:dyDescent="0.2">
      <c r="AF14389" s="679"/>
    </row>
    <row r="14390" spans="32:32" x14ac:dyDescent="0.2">
      <c r="AF14390" s="679"/>
    </row>
    <row r="14391" spans="32:32" x14ac:dyDescent="0.2">
      <c r="AF14391" s="679"/>
    </row>
    <row r="14392" spans="32:32" x14ac:dyDescent="0.2">
      <c r="AF14392" s="679"/>
    </row>
    <row r="14393" spans="32:32" x14ac:dyDescent="0.2">
      <c r="AF14393" s="679"/>
    </row>
    <row r="14394" spans="32:32" x14ac:dyDescent="0.2">
      <c r="AF14394" s="679"/>
    </row>
    <row r="14395" spans="32:32" x14ac:dyDescent="0.2">
      <c r="AF14395" s="679"/>
    </row>
    <row r="14396" spans="32:32" x14ac:dyDescent="0.2">
      <c r="AF14396" s="679"/>
    </row>
    <row r="14397" spans="32:32" x14ac:dyDescent="0.2">
      <c r="AF14397" s="679"/>
    </row>
    <row r="14398" spans="32:32" x14ac:dyDescent="0.2">
      <c r="AF14398" s="679"/>
    </row>
    <row r="14399" spans="32:32" x14ac:dyDescent="0.2">
      <c r="AF14399" s="679"/>
    </row>
    <row r="14400" spans="32:32" x14ac:dyDescent="0.2">
      <c r="AF14400" s="679"/>
    </row>
    <row r="14401" spans="32:32" x14ac:dyDescent="0.2">
      <c r="AF14401" s="679"/>
    </row>
    <row r="14402" spans="32:32" x14ac:dyDescent="0.2">
      <c r="AF14402" s="679"/>
    </row>
    <row r="14403" spans="32:32" x14ac:dyDescent="0.2">
      <c r="AF14403" s="679"/>
    </row>
    <row r="14404" spans="32:32" x14ac:dyDescent="0.2">
      <c r="AF14404" s="679"/>
    </row>
    <row r="14405" spans="32:32" x14ac:dyDescent="0.2">
      <c r="AF14405" s="679"/>
    </row>
    <row r="14406" spans="32:32" x14ac:dyDescent="0.2">
      <c r="AF14406" s="679"/>
    </row>
    <row r="14407" spans="32:32" x14ac:dyDescent="0.2">
      <c r="AF14407" s="679"/>
    </row>
    <row r="14408" spans="32:32" x14ac:dyDescent="0.2">
      <c r="AF14408" s="679"/>
    </row>
    <row r="14409" spans="32:32" x14ac:dyDescent="0.2">
      <c r="AF14409" s="679"/>
    </row>
    <row r="14410" spans="32:32" x14ac:dyDescent="0.2">
      <c r="AF14410" s="679"/>
    </row>
    <row r="14411" spans="32:32" x14ac:dyDescent="0.2">
      <c r="AF14411" s="679"/>
    </row>
    <row r="14412" spans="32:32" x14ac:dyDescent="0.2">
      <c r="AF14412" s="679"/>
    </row>
    <row r="14413" spans="32:32" x14ac:dyDescent="0.2">
      <c r="AF14413" s="679"/>
    </row>
    <row r="14414" spans="32:32" x14ac:dyDescent="0.2">
      <c r="AF14414" s="679"/>
    </row>
    <row r="14415" spans="32:32" x14ac:dyDescent="0.2">
      <c r="AF14415" s="679"/>
    </row>
    <row r="14416" spans="32:32" x14ac:dyDescent="0.2">
      <c r="AF14416" s="679"/>
    </row>
    <row r="14417" spans="32:32" x14ac:dyDescent="0.2">
      <c r="AF14417" s="679"/>
    </row>
    <row r="14418" spans="32:32" x14ac:dyDescent="0.2">
      <c r="AF14418" s="679"/>
    </row>
    <row r="14419" spans="32:32" x14ac:dyDescent="0.2">
      <c r="AF14419" s="679"/>
    </row>
    <row r="14420" spans="32:32" x14ac:dyDescent="0.2">
      <c r="AF14420" s="679"/>
    </row>
    <row r="14421" spans="32:32" x14ac:dyDescent="0.2">
      <c r="AF14421" s="679"/>
    </row>
    <row r="14422" spans="32:32" x14ac:dyDescent="0.2">
      <c r="AF14422" s="679"/>
    </row>
    <row r="14423" spans="32:32" x14ac:dyDescent="0.2">
      <c r="AF14423" s="679"/>
    </row>
    <row r="14424" spans="32:32" x14ac:dyDescent="0.2">
      <c r="AF14424" s="679"/>
    </row>
    <row r="14425" spans="32:32" x14ac:dyDescent="0.2">
      <c r="AF14425" s="679"/>
    </row>
    <row r="14426" spans="32:32" x14ac:dyDescent="0.2">
      <c r="AF14426" s="679"/>
    </row>
    <row r="14427" spans="32:32" x14ac:dyDescent="0.2">
      <c r="AF14427" s="679"/>
    </row>
    <row r="14428" spans="32:32" x14ac:dyDescent="0.2">
      <c r="AF14428" s="679"/>
    </row>
    <row r="14429" spans="32:32" x14ac:dyDescent="0.2">
      <c r="AF14429" s="679"/>
    </row>
    <row r="14430" spans="32:32" x14ac:dyDescent="0.2">
      <c r="AF14430" s="679"/>
    </row>
    <row r="14431" spans="32:32" x14ac:dyDescent="0.2">
      <c r="AF14431" s="679"/>
    </row>
    <row r="14432" spans="32:32" x14ac:dyDescent="0.2">
      <c r="AF14432" s="679"/>
    </row>
    <row r="14433" spans="32:32" x14ac:dyDescent="0.2">
      <c r="AF14433" s="679"/>
    </row>
    <row r="14434" spans="32:32" x14ac:dyDescent="0.2">
      <c r="AF14434" s="679"/>
    </row>
    <row r="14435" spans="32:32" x14ac:dyDescent="0.2">
      <c r="AF14435" s="679"/>
    </row>
    <row r="14436" spans="32:32" x14ac:dyDescent="0.2">
      <c r="AF14436" s="679"/>
    </row>
    <row r="14437" spans="32:32" x14ac:dyDescent="0.2">
      <c r="AF14437" s="679"/>
    </row>
    <row r="14438" spans="32:32" x14ac:dyDescent="0.2">
      <c r="AF14438" s="679"/>
    </row>
    <row r="14439" spans="32:32" x14ac:dyDescent="0.2">
      <c r="AF14439" s="679"/>
    </row>
    <row r="14440" spans="32:32" x14ac:dyDescent="0.2">
      <c r="AF14440" s="679"/>
    </row>
    <row r="14441" spans="32:32" x14ac:dyDescent="0.2">
      <c r="AF14441" s="679"/>
    </row>
    <row r="14442" spans="32:32" x14ac:dyDescent="0.2">
      <c r="AF14442" s="679"/>
    </row>
    <row r="14443" spans="32:32" x14ac:dyDescent="0.2">
      <c r="AF14443" s="679"/>
    </row>
    <row r="14444" spans="32:32" x14ac:dyDescent="0.2">
      <c r="AF14444" s="679"/>
    </row>
    <row r="14445" spans="32:32" x14ac:dyDescent="0.2">
      <c r="AF14445" s="679"/>
    </row>
    <row r="14446" spans="32:32" x14ac:dyDescent="0.2">
      <c r="AF14446" s="679"/>
    </row>
    <row r="14447" spans="32:32" x14ac:dyDescent="0.2">
      <c r="AF14447" s="679"/>
    </row>
    <row r="14448" spans="32:32" x14ac:dyDescent="0.2">
      <c r="AF14448" s="679"/>
    </row>
    <row r="14449" spans="32:32" x14ac:dyDescent="0.2">
      <c r="AF14449" s="679"/>
    </row>
    <row r="14450" spans="32:32" x14ac:dyDescent="0.2">
      <c r="AF14450" s="679"/>
    </row>
    <row r="14451" spans="32:32" x14ac:dyDescent="0.2">
      <c r="AF14451" s="679"/>
    </row>
    <row r="14452" spans="32:32" x14ac:dyDescent="0.2">
      <c r="AF14452" s="679"/>
    </row>
    <row r="14453" spans="32:32" x14ac:dyDescent="0.2">
      <c r="AF14453" s="679"/>
    </row>
    <row r="14454" spans="32:32" x14ac:dyDescent="0.2">
      <c r="AF14454" s="679"/>
    </row>
    <row r="14455" spans="32:32" x14ac:dyDescent="0.2">
      <c r="AF14455" s="679"/>
    </row>
    <row r="14456" spans="32:32" x14ac:dyDescent="0.2">
      <c r="AF14456" s="679"/>
    </row>
    <row r="14457" spans="32:32" x14ac:dyDescent="0.2">
      <c r="AF14457" s="679"/>
    </row>
    <row r="14458" spans="32:32" x14ac:dyDescent="0.2">
      <c r="AF14458" s="679"/>
    </row>
    <row r="14459" spans="32:32" x14ac:dyDescent="0.2">
      <c r="AF14459" s="679"/>
    </row>
    <row r="14460" spans="32:32" x14ac:dyDescent="0.2">
      <c r="AF14460" s="679"/>
    </row>
    <row r="14461" spans="32:32" x14ac:dyDescent="0.2">
      <c r="AF14461" s="679"/>
    </row>
    <row r="14462" spans="32:32" x14ac:dyDescent="0.2">
      <c r="AF14462" s="679"/>
    </row>
    <row r="14463" spans="32:32" x14ac:dyDescent="0.2">
      <c r="AF14463" s="679"/>
    </row>
    <row r="14464" spans="32:32" x14ac:dyDescent="0.2">
      <c r="AF14464" s="679"/>
    </row>
    <row r="14465" spans="32:32" x14ac:dyDescent="0.2">
      <c r="AF14465" s="679"/>
    </row>
    <row r="14466" spans="32:32" x14ac:dyDescent="0.2">
      <c r="AF14466" s="679"/>
    </row>
    <row r="14467" spans="32:32" x14ac:dyDescent="0.2">
      <c r="AF14467" s="679"/>
    </row>
    <row r="14468" spans="32:32" x14ac:dyDescent="0.2">
      <c r="AF14468" s="679"/>
    </row>
    <row r="14469" spans="32:32" x14ac:dyDescent="0.2">
      <c r="AF14469" s="679"/>
    </row>
    <row r="14470" spans="32:32" x14ac:dyDescent="0.2">
      <c r="AF14470" s="679"/>
    </row>
    <row r="14471" spans="32:32" x14ac:dyDescent="0.2">
      <c r="AF14471" s="679"/>
    </row>
    <row r="14472" spans="32:32" x14ac:dyDescent="0.2">
      <c r="AF14472" s="679"/>
    </row>
    <row r="14473" spans="32:32" x14ac:dyDescent="0.2">
      <c r="AF14473" s="679"/>
    </row>
    <row r="14474" spans="32:32" x14ac:dyDescent="0.2">
      <c r="AF14474" s="679"/>
    </row>
    <row r="14475" spans="32:32" x14ac:dyDescent="0.2">
      <c r="AF14475" s="679"/>
    </row>
    <row r="14476" spans="32:32" x14ac:dyDescent="0.2">
      <c r="AF14476" s="679"/>
    </row>
    <row r="14477" spans="32:32" x14ac:dyDescent="0.2">
      <c r="AF14477" s="679"/>
    </row>
    <row r="14478" spans="32:32" x14ac:dyDescent="0.2">
      <c r="AF14478" s="679"/>
    </row>
    <row r="14479" spans="32:32" x14ac:dyDescent="0.2">
      <c r="AF14479" s="679"/>
    </row>
    <row r="14480" spans="32:32" x14ac:dyDescent="0.2">
      <c r="AF14480" s="679"/>
    </row>
    <row r="14481" spans="32:32" x14ac:dyDescent="0.2">
      <c r="AF14481" s="679"/>
    </row>
    <row r="14482" spans="32:32" x14ac:dyDescent="0.2">
      <c r="AF14482" s="679"/>
    </row>
    <row r="14483" spans="32:32" x14ac:dyDescent="0.2">
      <c r="AF14483" s="679"/>
    </row>
    <row r="14484" spans="32:32" x14ac:dyDescent="0.2">
      <c r="AF14484" s="679"/>
    </row>
    <row r="14485" spans="32:32" x14ac:dyDescent="0.2">
      <c r="AF14485" s="679"/>
    </row>
    <row r="14486" spans="32:32" x14ac:dyDescent="0.2">
      <c r="AF14486" s="679"/>
    </row>
    <row r="14487" spans="32:32" x14ac:dyDescent="0.2">
      <c r="AF14487" s="679"/>
    </row>
    <row r="14488" spans="32:32" x14ac:dyDescent="0.2">
      <c r="AF14488" s="679"/>
    </row>
    <row r="14489" spans="32:32" x14ac:dyDescent="0.2">
      <c r="AF14489" s="679"/>
    </row>
    <row r="14490" spans="32:32" x14ac:dyDescent="0.2">
      <c r="AF14490" s="679"/>
    </row>
    <row r="14491" spans="32:32" x14ac:dyDescent="0.2">
      <c r="AF14491" s="679"/>
    </row>
    <row r="14492" spans="32:32" x14ac:dyDescent="0.2">
      <c r="AF14492" s="679"/>
    </row>
    <row r="14493" spans="32:32" x14ac:dyDescent="0.2">
      <c r="AF14493" s="679"/>
    </row>
    <row r="14494" spans="32:32" x14ac:dyDescent="0.2">
      <c r="AF14494" s="679"/>
    </row>
    <row r="14495" spans="32:32" x14ac:dyDescent="0.2">
      <c r="AF14495" s="679"/>
    </row>
    <row r="14496" spans="32:32" x14ac:dyDescent="0.2">
      <c r="AF14496" s="679"/>
    </row>
    <row r="14497" spans="32:32" x14ac:dyDescent="0.2">
      <c r="AF14497" s="679"/>
    </row>
    <row r="14498" spans="32:32" x14ac:dyDescent="0.2">
      <c r="AF14498" s="679"/>
    </row>
    <row r="14499" spans="32:32" x14ac:dyDescent="0.2">
      <c r="AF14499" s="679"/>
    </row>
    <row r="14500" spans="32:32" x14ac:dyDescent="0.2">
      <c r="AF14500" s="679"/>
    </row>
    <row r="14501" spans="32:32" x14ac:dyDescent="0.2">
      <c r="AF14501" s="679"/>
    </row>
    <row r="14502" spans="32:32" x14ac:dyDescent="0.2">
      <c r="AF14502" s="679"/>
    </row>
    <row r="14503" spans="32:32" x14ac:dyDescent="0.2">
      <c r="AF14503" s="679"/>
    </row>
    <row r="14504" spans="32:32" x14ac:dyDescent="0.2">
      <c r="AF14504" s="679"/>
    </row>
    <row r="14505" spans="32:32" x14ac:dyDescent="0.2">
      <c r="AF14505" s="679"/>
    </row>
    <row r="14506" spans="32:32" x14ac:dyDescent="0.2">
      <c r="AF14506" s="679"/>
    </row>
    <row r="14507" spans="32:32" x14ac:dyDescent="0.2">
      <c r="AF14507" s="679"/>
    </row>
    <row r="14508" spans="32:32" x14ac:dyDescent="0.2">
      <c r="AF14508" s="679"/>
    </row>
    <row r="14509" spans="32:32" x14ac:dyDescent="0.2">
      <c r="AF14509" s="679"/>
    </row>
    <row r="14510" spans="32:32" x14ac:dyDescent="0.2">
      <c r="AF14510" s="679"/>
    </row>
    <row r="14511" spans="32:32" x14ac:dyDescent="0.2">
      <c r="AF14511" s="679"/>
    </row>
    <row r="14512" spans="32:32" x14ac:dyDescent="0.2">
      <c r="AF14512" s="679"/>
    </row>
    <row r="14513" spans="32:32" x14ac:dyDescent="0.2">
      <c r="AF14513" s="679"/>
    </row>
    <row r="14514" spans="32:32" x14ac:dyDescent="0.2">
      <c r="AF14514" s="679"/>
    </row>
    <row r="14515" spans="32:32" x14ac:dyDescent="0.2">
      <c r="AF14515" s="679"/>
    </row>
    <row r="14516" spans="32:32" x14ac:dyDescent="0.2">
      <c r="AF14516" s="679"/>
    </row>
    <row r="14517" spans="32:32" x14ac:dyDescent="0.2">
      <c r="AF14517" s="679"/>
    </row>
    <row r="14518" spans="32:32" x14ac:dyDescent="0.2">
      <c r="AF14518" s="679"/>
    </row>
    <row r="14519" spans="32:32" x14ac:dyDescent="0.2">
      <c r="AF14519" s="679"/>
    </row>
    <row r="14520" spans="32:32" x14ac:dyDescent="0.2">
      <c r="AF14520" s="679"/>
    </row>
    <row r="14521" spans="32:32" x14ac:dyDescent="0.2">
      <c r="AF14521" s="679"/>
    </row>
    <row r="14522" spans="32:32" x14ac:dyDescent="0.2">
      <c r="AF14522" s="679"/>
    </row>
    <row r="14523" spans="32:32" x14ac:dyDescent="0.2">
      <c r="AF14523" s="679"/>
    </row>
    <row r="14524" spans="32:32" x14ac:dyDescent="0.2">
      <c r="AF14524" s="679"/>
    </row>
    <row r="14525" spans="32:32" x14ac:dyDescent="0.2">
      <c r="AF14525" s="679"/>
    </row>
    <row r="14526" spans="32:32" x14ac:dyDescent="0.2">
      <c r="AF14526" s="679"/>
    </row>
    <row r="14527" spans="32:32" x14ac:dyDescent="0.2">
      <c r="AF14527" s="679"/>
    </row>
    <row r="14528" spans="32:32" x14ac:dyDescent="0.2">
      <c r="AF14528" s="679"/>
    </row>
    <row r="14529" spans="32:32" x14ac:dyDescent="0.2">
      <c r="AF14529" s="679"/>
    </row>
    <row r="14530" spans="32:32" x14ac:dyDescent="0.2">
      <c r="AF14530" s="679"/>
    </row>
    <row r="14531" spans="32:32" x14ac:dyDescent="0.2">
      <c r="AF14531" s="679"/>
    </row>
    <row r="14532" spans="32:32" x14ac:dyDescent="0.2">
      <c r="AF14532" s="679"/>
    </row>
    <row r="14533" spans="32:32" x14ac:dyDescent="0.2">
      <c r="AF14533" s="679"/>
    </row>
    <row r="14534" spans="32:32" x14ac:dyDescent="0.2">
      <c r="AF14534" s="679"/>
    </row>
    <row r="14535" spans="32:32" x14ac:dyDescent="0.2">
      <c r="AF14535" s="679"/>
    </row>
    <row r="14536" spans="32:32" x14ac:dyDescent="0.2">
      <c r="AF14536" s="679"/>
    </row>
    <row r="14537" spans="32:32" x14ac:dyDescent="0.2">
      <c r="AF14537" s="679"/>
    </row>
    <row r="14538" spans="32:32" x14ac:dyDescent="0.2">
      <c r="AF14538" s="679"/>
    </row>
    <row r="14539" spans="32:32" x14ac:dyDescent="0.2">
      <c r="AF14539" s="679"/>
    </row>
    <row r="14540" spans="32:32" x14ac:dyDescent="0.2">
      <c r="AF14540" s="679"/>
    </row>
    <row r="14541" spans="32:32" x14ac:dyDescent="0.2">
      <c r="AF14541" s="679"/>
    </row>
    <row r="14542" spans="32:32" x14ac:dyDescent="0.2">
      <c r="AF14542" s="679"/>
    </row>
    <row r="14543" spans="32:32" x14ac:dyDescent="0.2">
      <c r="AF14543" s="679"/>
    </row>
    <row r="14544" spans="32:32" x14ac:dyDescent="0.2">
      <c r="AF14544" s="679"/>
    </row>
    <row r="14545" spans="32:32" x14ac:dyDescent="0.2">
      <c r="AF14545" s="679"/>
    </row>
    <row r="14546" spans="32:32" x14ac:dyDescent="0.2">
      <c r="AF14546" s="679"/>
    </row>
    <row r="14547" spans="32:32" x14ac:dyDescent="0.2">
      <c r="AF14547" s="679"/>
    </row>
    <row r="14548" spans="32:32" x14ac:dyDescent="0.2">
      <c r="AF14548" s="679"/>
    </row>
    <row r="14549" spans="32:32" x14ac:dyDescent="0.2">
      <c r="AF14549" s="679"/>
    </row>
    <row r="14550" spans="32:32" x14ac:dyDescent="0.2">
      <c r="AF14550" s="679"/>
    </row>
    <row r="14551" spans="32:32" x14ac:dyDescent="0.2">
      <c r="AF14551" s="679"/>
    </row>
    <row r="14552" spans="32:32" x14ac:dyDescent="0.2">
      <c r="AF14552" s="679"/>
    </row>
    <row r="14553" spans="32:32" x14ac:dyDescent="0.2">
      <c r="AF14553" s="679"/>
    </row>
    <row r="14554" spans="32:32" x14ac:dyDescent="0.2">
      <c r="AF14554" s="679"/>
    </row>
    <row r="14555" spans="32:32" x14ac:dyDescent="0.2">
      <c r="AF14555" s="679"/>
    </row>
    <row r="14556" spans="32:32" x14ac:dyDescent="0.2">
      <c r="AF14556" s="679"/>
    </row>
    <row r="14557" spans="32:32" x14ac:dyDescent="0.2">
      <c r="AF14557" s="679"/>
    </row>
    <row r="14558" spans="32:32" x14ac:dyDescent="0.2">
      <c r="AF14558" s="679"/>
    </row>
    <row r="14559" spans="32:32" x14ac:dyDescent="0.2">
      <c r="AF14559" s="679"/>
    </row>
    <row r="14560" spans="32:32" x14ac:dyDescent="0.2">
      <c r="AF14560" s="679"/>
    </row>
    <row r="14561" spans="32:32" x14ac:dyDescent="0.2">
      <c r="AF14561" s="679"/>
    </row>
    <row r="14562" spans="32:32" x14ac:dyDescent="0.2">
      <c r="AF14562" s="679"/>
    </row>
    <row r="14563" spans="32:32" x14ac:dyDescent="0.2">
      <c r="AF14563" s="679"/>
    </row>
    <row r="14564" spans="32:32" x14ac:dyDescent="0.2">
      <c r="AF14564" s="679"/>
    </row>
    <row r="14565" spans="32:32" x14ac:dyDescent="0.2">
      <c r="AF14565" s="679"/>
    </row>
    <row r="14566" spans="32:32" x14ac:dyDescent="0.2">
      <c r="AF14566" s="679"/>
    </row>
    <row r="14567" spans="32:32" x14ac:dyDescent="0.2">
      <c r="AF14567" s="679"/>
    </row>
    <row r="14568" spans="32:32" x14ac:dyDescent="0.2">
      <c r="AF14568" s="679"/>
    </row>
    <row r="14569" spans="32:32" x14ac:dyDescent="0.2">
      <c r="AF14569" s="679"/>
    </row>
    <row r="14570" spans="32:32" x14ac:dyDescent="0.2">
      <c r="AF14570" s="679"/>
    </row>
    <row r="14571" spans="32:32" x14ac:dyDescent="0.2">
      <c r="AF14571" s="679"/>
    </row>
    <row r="14572" spans="32:32" x14ac:dyDescent="0.2">
      <c r="AF14572" s="679"/>
    </row>
    <row r="14573" spans="32:32" x14ac:dyDescent="0.2">
      <c r="AF14573" s="679"/>
    </row>
    <row r="14574" spans="32:32" x14ac:dyDescent="0.2">
      <c r="AF14574" s="679"/>
    </row>
    <row r="14575" spans="32:32" x14ac:dyDescent="0.2">
      <c r="AF14575" s="679"/>
    </row>
    <row r="14576" spans="32:32" x14ac:dyDescent="0.2">
      <c r="AF14576" s="679"/>
    </row>
    <row r="14577" spans="32:32" x14ac:dyDescent="0.2">
      <c r="AF14577" s="679"/>
    </row>
    <row r="14578" spans="32:32" x14ac:dyDescent="0.2">
      <c r="AF14578" s="679"/>
    </row>
    <row r="14579" spans="32:32" x14ac:dyDescent="0.2">
      <c r="AF14579" s="679"/>
    </row>
    <row r="14580" spans="32:32" x14ac:dyDescent="0.2">
      <c r="AF14580" s="679"/>
    </row>
    <row r="14581" spans="32:32" x14ac:dyDescent="0.2">
      <c r="AF14581" s="679"/>
    </row>
    <row r="14582" spans="32:32" x14ac:dyDescent="0.2">
      <c r="AF14582" s="679"/>
    </row>
    <row r="14583" spans="32:32" x14ac:dyDescent="0.2">
      <c r="AF14583" s="679"/>
    </row>
    <row r="14584" spans="32:32" x14ac:dyDescent="0.2">
      <c r="AF14584" s="679"/>
    </row>
    <row r="14585" spans="32:32" x14ac:dyDescent="0.2">
      <c r="AF14585" s="679"/>
    </row>
    <row r="14586" spans="32:32" x14ac:dyDescent="0.2">
      <c r="AF14586" s="679"/>
    </row>
    <row r="14587" spans="32:32" x14ac:dyDescent="0.2">
      <c r="AF14587" s="679"/>
    </row>
    <row r="14588" spans="32:32" x14ac:dyDescent="0.2">
      <c r="AF14588" s="679"/>
    </row>
    <row r="14589" spans="32:32" x14ac:dyDescent="0.2">
      <c r="AF14589" s="679"/>
    </row>
    <row r="14590" spans="32:32" x14ac:dyDescent="0.2">
      <c r="AF14590" s="679"/>
    </row>
    <row r="14591" spans="32:32" x14ac:dyDescent="0.2">
      <c r="AF14591" s="679"/>
    </row>
    <row r="14592" spans="32:32" x14ac:dyDescent="0.2">
      <c r="AF14592" s="679"/>
    </row>
    <row r="14593" spans="32:32" x14ac:dyDescent="0.2">
      <c r="AF14593" s="679"/>
    </row>
    <row r="14594" spans="32:32" x14ac:dyDescent="0.2">
      <c r="AF14594" s="679"/>
    </row>
    <row r="14595" spans="32:32" x14ac:dyDescent="0.2">
      <c r="AF14595" s="679"/>
    </row>
    <row r="14596" spans="32:32" x14ac:dyDescent="0.2">
      <c r="AF14596" s="679"/>
    </row>
    <row r="14597" spans="32:32" x14ac:dyDescent="0.2">
      <c r="AF14597" s="679"/>
    </row>
    <row r="14598" spans="32:32" x14ac:dyDescent="0.2">
      <c r="AF14598" s="679"/>
    </row>
    <row r="14599" spans="32:32" x14ac:dyDescent="0.2">
      <c r="AF14599" s="679"/>
    </row>
    <row r="14600" spans="32:32" x14ac:dyDescent="0.2">
      <c r="AF14600" s="679"/>
    </row>
    <row r="14601" spans="32:32" x14ac:dyDescent="0.2">
      <c r="AF14601" s="679"/>
    </row>
    <row r="14602" spans="32:32" x14ac:dyDescent="0.2">
      <c r="AF14602" s="679"/>
    </row>
    <row r="14603" spans="32:32" x14ac:dyDescent="0.2">
      <c r="AF14603" s="679"/>
    </row>
    <row r="14604" spans="32:32" x14ac:dyDescent="0.2">
      <c r="AF14604" s="679"/>
    </row>
    <row r="14605" spans="32:32" x14ac:dyDescent="0.2">
      <c r="AF14605" s="679"/>
    </row>
    <row r="14606" spans="32:32" x14ac:dyDescent="0.2">
      <c r="AF14606" s="679"/>
    </row>
    <row r="14607" spans="32:32" x14ac:dyDescent="0.2">
      <c r="AF14607" s="679"/>
    </row>
    <row r="14608" spans="32:32" x14ac:dyDescent="0.2">
      <c r="AF14608" s="679"/>
    </row>
    <row r="14609" spans="32:32" x14ac:dyDescent="0.2">
      <c r="AF14609" s="679"/>
    </row>
    <row r="14610" spans="32:32" x14ac:dyDescent="0.2">
      <c r="AF14610" s="679"/>
    </row>
    <row r="14611" spans="32:32" x14ac:dyDescent="0.2">
      <c r="AF14611" s="679"/>
    </row>
    <row r="14612" spans="32:32" x14ac:dyDescent="0.2">
      <c r="AF14612" s="679"/>
    </row>
    <row r="14613" spans="32:32" x14ac:dyDescent="0.2">
      <c r="AF14613" s="679"/>
    </row>
    <row r="14614" spans="32:32" x14ac:dyDescent="0.2">
      <c r="AF14614" s="679"/>
    </row>
    <row r="14615" spans="32:32" x14ac:dyDescent="0.2">
      <c r="AF14615" s="679"/>
    </row>
    <row r="14616" spans="32:32" x14ac:dyDescent="0.2">
      <c r="AF14616" s="679"/>
    </row>
    <row r="14617" spans="32:32" x14ac:dyDescent="0.2">
      <c r="AF14617" s="679"/>
    </row>
    <row r="14618" spans="32:32" x14ac:dyDescent="0.2">
      <c r="AF14618" s="679"/>
    </row>
    <row r="14619" spans="32:32" x14ac:dyDescent="0.2">
      <c r="AF14619" s="679"/>
    </row>
    <row r="14620" spans="32:32" x14ac:dyDescent="0.2">
      <c r="AF14620" s="679"/>
    </row>
    <row r="14621" spans="32:32" x14ac:dyDescent="0.2">
      <c r="AF14621" s="679"/>
    </row>
    <row r="14622" spans="32:32" x14ac:dyDescent="0.2">
      <c r="AF14622" s="679"/>
    </row>
    <row r="14623" spans="32:32" x14ac:dyDescent="0.2">
      <c r="AF14623" s="679"/>
    </row>
    <row r="14624" spans="32:32" x14ac:dyDescent="0.2">
      <c r="AF14624" s="679"/>
    </row>
    <row r="14625" spans="32:32" x14ac:dyDescent="0.2">
      <c r="AF14625" s="679"/>
    </row>
    <row r="14626" spans="32:32" x14ac:dyDescent="0.2">
      <c r="AF14626" s="679"/>
    </row>
    <row r="14627" spans="32:32" x14ac:dyDescent="0.2">
      <c r="AF14627" s="679"/>
    </row>
    <row r="14628" spans="32:32" x14ac:dyDescent="0.2">
      <c r="AF14628" s="679"/>
    </row>
    <row r="14629" spans="32:32" x14ac:dyDescent="0.2">
      <c r="AF14629" s="679"/>
    </row>
    <row r="14630" spans="32:32" x14ac:dyDescent="0.2">
      <c r="AF14630" s="679"/>
    </row>
    <row r="14631" spans="32:32" x14ac:dyDescent="0.2">
      <c r="AF14631" s="679"/>
    </row>
    <row r="14632" spans="32:32" x14ac:dyDescent="0.2">
      <c r="AF14632" s="679"/>
    </row>
    <row r="14633" spans="32:32" x14ac:dyDescent="0.2">
      <c r="AF14633" s="679"/>
    </row>
    <row r="14634" spans="32:32" x14ac:dyDescent="0.2">
      <c r="AF14634" s="679"/>
    </row>
    <row r="14635" spans="32:32" x14ac:dyDescent="0.2">
      <c r="AF14635" s="679"/>
    </row>
    <row r="14636" spans="32:32" x14ac:dyDescent="0.2">
      <c r="AF14636" s="679"/>
    </row>
    <row r="14637" spans="32:32" x14ac:dyDescent="0.2">
      <c r="AF14637" s="679"/>
    </row>
    <row r="14638" spans="32:32" x14ac:dyDescent="0.2">
      <c r="AF14638" s="679"/>
    </row>
    <row r="14639" spans="32:32" x14ac:dyDescent="0.2">
      <c r="AF14639" s="679"/>
    </row>
    <row r="14640" spans="32:32" x14ac:dyDescent="0.2">
      <c r="AF14640" s="679"/>
    </row>
    <row r="14641" spans="32:32" x14ac:dyDescent="0.2">
      <c r="AF14641" s="679"/>
    </row>
    <row r="14642" spans="32:32" x14ac:dyDescent="0.2">
      <c r="AF14642" s="679"/>
    </row>
    <row r="14643" spans="32:32" x14ac:dyDescent="0.2">
      <c r="AF14643" s="679"/>
    </row>
    <row r="14644" spans="32:32" x14ac:dyDescent="0.2">
      <c r="AF14644" s="679"/>
    </row>
    <row r="14645" spans="32:32" x14ac:dyDescent="0.2">
      <c r="AF14645" s="679"/>
    </row>
    <row r="14646" spans="32:32" x14ac:dyDescent="0.2">
      <c r="AF14646" s="679"/>
    </row>
    <row r="14647" spans="32:32" x14ac:dyDescent="0.2">
      <c r="AF14647" s="679"/>
    </row>
    <row r="14648" spans="32:32" x14ac:dyDescent="0.2">
      <c r="AF14648" s="679"/>
    </row>
    <row r="14649" spans="32:32" x14ac:dyDescent="0.2">
      <c r="AF14649" s="679"/>
    </row>
    <row r="14650" spans="32:32" x14ac:dyDescent="0.2">
      <c r="AF14650" s="679"/>
    </row>
    <row r="14651" spans="32:32" x14ac:dyDescent="0.2">
      <c r="AF14651" s="679"/>
    </row>
    <row r="14652" spans="32:32" x14ac:dyDescent="0.2">
      <c r="AF14652" s="679"/>
    </row>
    <row r="14653" spans="32:32" x14ac:dyDescent="0.2">
      <c r="AF14653" s="679"/>
    </row>
    <row r="14654" spans="32:32" x14ac:dyDescent="0.2">
      <c r="AF14654" s="679"/>
    </row>
    <row r="14655" spans="32:32" x14ac:dyDescent="0.2">
      <c r="AF14655" s="679"/>
    </row>
    <row r="14656" spans="32:32" x14ac:dyDescent="0.2">
      <c r="AF14656" s="679"/>
    </row>
    <row r="14657" spans="32:32" x14ac:dyDescent="0.2">
      <c r="AF14657" s="679"/>
    </row>
    <row r="14658" spans="32:32" x14ac:dyDescent="0.2">
      <c r="AF14658" s="679"/>
    </row>
    <row r="14659" spans="32:32" x14ac:dyDescent="0.2">
      <c r="AF14659" s="679"/>
    </row>
    <row r="14660" spans="32:32" x14ac:dyDescent="0.2">
      <c r="AF14660" s="679"/>
    </row>
    <row r="14661" spans="32:32" x14ac:dyDescent="0.2">
      <c r="AF14661" s="679"/>
    </row>
    <row r="14662" spans="32:32" x14ac:dyDescent="0.2">
      <c r="AF14662" s="679"/>
    </row>
    <row r="14663" spans="32:32" x14ac:dyDescent="0.2">
      <c r="AF14663" s="679"/>
    </row>
    <row r="14664" spans="32:32" x14ac:dyDescent="0.2">
      <c r="AF14664" s="679"/>
    </row>
    <row r="14665" spans="32:32" x14ac:dyDescent="0.2">
      <c r="AF14665" s="679"/>
    </row>
    <row r="14666" spans="32:32" x14ac:dyDescent="0.2">
      <c r="AF14666" s="679"/>
    </row>
    <row r="14667" spans="32:32" x14ac:dyDescent="0.2">
      <c r="AF14667" s="679"/>
    </row>
    <row r="14668" spans="32:32" x14ac:dyDescent="0.2">
      <c r="AF14668" s="679"/>
    </row>
    <row r="14669" spans="32:32" x14ac:dyDescent="0.2">
      <c r="AF14669" s="679"/>
    </row>
    <row r="14670" spans="32:32" x14ac:dyDescent="0.2">
      <c r="AF14670" s="679"/>
    </row>
    <row r="14671" spans="32:32" x14ac:dyDescent="0.2">
      <c r="AF14671" s="679"/>
    </row>
    <row r="14672" spans="32:32" x14ac:dyDescent="0.2">
      <c r="AF14672" s="679"/>
    </row>
    <row r="14673" spans="32:32" x14ac:dyDescent="0.2">
      <c r="AF14673" s="679"/>
    </row>
    <row r="14674" spans="32:32" x14ac:dyDescent="0.2">
      <c r="AF14674" s="679"/>
    </row>
    <row r="14675" spans="32:32" x14ac:dyDescent="0.2">
      <c r="AF14675" s="679"/>
    </row>
    <row r="14676" spans="32:32" x14ac:dyDescent="0.2">
      <c r="AF14676" s="679"/>
    </row>
    <row r="14677" spans="32:32" x14ac:dyDescent="0.2">
      <c r="AF14677" s="679"/>
    </row>
    <row r="14678" spans="32:32" x14ac:dyDescent="0.2">
      <c r="AF14678" s="679"/>
    </row>
    <row r="14679" spans="32:32" x14ac:dyDescent="0.2">
      <c r="AF14679" s="679"/>
    </row>
    <row r="14680" spans="32:32" x14ac:dyDescent="0.2">
      <c r="AF14680" s="679"/>
    </row>
    <row r="14681" spans="32:32" x14ac:dyDescent="0.2">
      <c r="AF14681" s="679"/>
    </row>
    <row r="14682" spans="32:32" x14ac:dyDescent="0.2">
      <c r="AF14682" s="679"/>
    </row>
    <row r="14683" spans="32:32" x14ac:dyDescent="0.2">
      <c r="AF14683" s="679"/>
    </row>
    <row r="14684" spans="32:32" x14ac:dyDescent="0.2">
      <c r="AF14684" s="679"/>
    </row>
    <row r="14685" spans="32:32" x14ac:dyDescent="0.2">
      <c r="AF14685" s="679"/>
    </row>
    <row r="14686" spans="32:32" x14ac:dyDescent="0.2">
      <c r="AF14686" s="679"/>
    </row>
    <row r="14687" spans="32:32" x14ac:dyDescent="0.2">
      <c r="AF14687" s="679"/>
    </row>
    <row r="14688" spans="32:32" x14ac:dyDescent="0.2">
      <c r="AF14688" s="679"/>
    </row>
    <row r="14689" spans="32:32" x14ac:dyDescent="0.2">
      <c r="AF14689" s="679"/>
    </row>
    <row r="14690" spans="32:32" x14ac:dyDescent="0.2">
      <c r="AF14690" s="679"/>
    </row>
    <row r="14691" spans="32:32" x14ac:dyDescent="0.2">
      <c r="AF14691" s="679"/>
    </row>
    <row r="14692" spans="32:32" x14ac:dyDescent="0.2">
      <c r="AF14692" s="679"/>
    </row>
    <row r="14693" spans="32:32" x14ac:dyDescent="0.2">
      <c r="AF14693" s="679"/>
    </row>
    <row r="14694" spans="32:32" x14ac:dyDescent="0.2">
      <c r="AF14694" s="679"/>
    </row>
    <row r="14695" spans="32:32" x14ac:dyDescent="0.2">
      <c r="AF14695" s="679"/>
    </row>
    <row r="14696" spans="32:32" x14ac:dyDescent="0.2">
      <c r="AF14696" s="679"/>
    </row>
    <row r="14697" spans="32:32" x14ac:dyDescent="0.2">
      <c r="AF14697" s="679"/>
    </row>
    <row r="14698" spans="32:32" x14ac:dyDescent="0.2">
      <c r="AF14698" s="679"/>
    </row>
    <row r="14699" spans="32:32" x14ac:dyDescent="0.2">
      <c r="AF14699" s="679"/>
    </row>
    <row r="14700" spans="32:32" x14ac:dyDescent="0.2">
      <c r="AF14700" s="679"/>
    </row>
    <row r="14701" spans="32:32" x14ac:dyDescent="0.2">
      <c r="AF14701" s="679"/>
    </row>
    <row r="14702" spans="32:32" x14ac:dyDescent="0.2">
      <c r="AF14702" s="679"/>
    </row>
    <row r="14703" spans="32:32" x14ac:dyDescent="0.2">
      <c r="AF14703" s="679"/>
    </row>
    <row r="14704" spans="32:32" x14ac:dyDescent="0.2">
      <c r="AF14704" s="679"/>
    </row>
    <row r="14705" spans="32:32" x14ac:dyDescent="0.2">
      <c r="AF14705" s="679"/>
    </row>
    <row r="14706" spans="32:32" x14ac:dyDescent="0.2">
      <c r="AF14706" s="679"/>
    </row>
    <row r="14707" spans="32:32" x14ac:dyDescent="0.2">
      <c r="AF14707" s="679"/>
    </row>
    <row r="14708" spans="32:32" x14ac:dyDescent="0.2">
      <c r="AF14708" s="679"/>
    </row>
    <row r="14709" spans="32:32" x14ac:dyDescent="0.2">
      <c r="AF14709" s="679"/>
    </row>
    <row r="14710" spans="32:32" x14ac:dyDescent="0.2">
      <c r="AF14710" s="679"/>
    </row>
    <row r="14711" spans="32:32" x14ac:dyDescent="0.2">
      <c r="AF14711" s="679"/>
    </row>
    <row r="14712" spans="32:32" x14ac:dyDescent="0.2">
      <c r="AF14712" s="679"/>
    </row>
    <row r="14713" spans="32:32" x14ac:dyDescent="0.2">
      <c r="AF14713" s="679"/>
    </row>
    <row r="14714" spans="32:32" x14ac:dyDescent="0.2">
      <c r="AF14714" s="679"/>
    </row>
    <row r="14715" spans="32:32" x14ac:dyDescent="0.2">
      <c r="AF14715" s="679"/>
    </row>
    <row r="14716" spans="32:32" x14ac:dyDescent="0.2">
      <c r="AF14716" s="679"/>
    </row>
    <row r="14717" spans="32:32" x14ac:dyDescent="0.2">
      <c r="AF14717" s="679"/>
    </row>
    <row r="14718" spans="32:32" x14ac:dyDescent="0.2">
      <c r="AF14718" s="679"/>
    </row>
    <row r="14719" spans="32:32" x14ac:dyDescent="0.2">
      <c r="AF14719" s="679"/>
    </row>
    <row r="14720" spans="32:32" x14ac:dyDescent="0.2">
      <c r="AF14720" s="679"/>
    </row>
    <row r="14721" spans="32:32" x14ac:dyDescent="0.2">
      <c r="AF14721" s="679"/>
    </row>
    <row r="14722" spans="32:32" x14ac:dyDescent="0.2">
      <c r="AF14722" s="679"/>
    </row>
    <row r="14723" spans="32:32" x14ac:dyDescent="0.2">
      <c r="AF14723" s="679"/>
    </row>
    <row r="14724" spans="32:32" x14ac:dyDescent="0.2">
      <c r="AF14724" s="679"/>
    </row>
    <row r="14725" spans="32:32" x14ac:dyDescent="0.2">
      <c r="AF14725" s="679"/>
    </row>
    <row r="14726" spans="32:32" x14ac:dyDescent="0.2">
      <c r="AF14726" s="679"/>
    </row>
    <row r="14727" spans="32:32" x14ac:dyDescent="0.2">
      <c r="AF14727" s="679"/>
    </row>
    <row r="14728" spans="32:32" x14ac:dyDescent="0.2">
      <c r="AF14728" s="679"/>
    </row>
    <row r="14729" spans="32:32" x14ac:dyDescent="0.2">
      <c r="AF14729" s="679"/>
    </row>
    <row r="14730" spans="32:32" x14ac:dyDescent="0.2">
      <c r="AF14730" s="679"/>
    </row>
    <row r="14731" spans="32:32" x14ac:dyDescent="0.2">
      <c r="AF14731" s="679"/>
    </row>
    <row r="14732" spans="32:32" x14ac:dyDescent="0.2">
      <c r="AF14732" s="679"/>
    </row>
    <row r="14733" spans="32:32" x14ac:dyDescent="0.2">
      <c r="AF14733" s="679"/>
    </row>
    <row r="14734" spans="32:32" x14ac:dyDescent="0.2">
      <c r="AF14734" s="679"/>
    </row>
    <row r="14735" spans="32:32" x14ac:dyDescent="0.2">
      <c r="AF14735" s="679"/>
    </row>
    <row r="14736" spans="32:32" x14ac:dyDescent="0.2">
      <c r="AF14736" s="679"/>
    </row>
    <row r="14737" spans="32:32" x14ac:dyDescent="0.2">
      <c r="AF14737" s="679"/>
    </row>
    <row r="14738" spans="32:32" x14ac:dyDescent="0.2">
      <c r="AF14738" s="679"/>
    </row>
    <row r="14739" spans="32:32" x14ac:dyDescent="0.2">
      <c r="AF14739" s="679"/>
    </row>
    <row r="14740" spans="32:32" x14ac:dyDescent="0.2">
      <c r="AF14740" s="679"/>
    </row>
    <row r="14741" spans="32:32" x14ac:dyDescent="0.2">
      <c r="AF14741" s="679"/>
    </row>
    <row r="14742" spans="32:32" x14ac:dyDescent="0.2">
      <c r="AF14742" s="679"/>
    </row>
    <row r="14743" spans="32:32" x14ac:dyDescent="0.2">
      <c r="AF14743" s="679"/>
    </row>
    <row r="14744" spans="32:32" x14ac:dyDescent="0.2">
      <c r="AF14744" s="679"/>
    </row>
    <row r="14745" spans="32:32" x14ac:dyDescent="0.2">
      <c r="AF14745" s="679"/>
    </row>
    <row r="14746" spans="32:32" x14ac:dyDescent="0.2">
      <c r="AF14746" s="679"/>
    </row>
    <row r="14747" spans="32:32" x14ac:dyDescent="0.2">
      <c r="AF14747" s="679"/>
    </row>
    <row r="14748" spans="32:32" x14ac:dyDescent="0.2">
      <c r="AF14748" s="679"/>
    </row>
    <row r="14749" spans="32:32" x14ac:dyDescent="0.2">
      <c r="AF14749" s="679"/>
    </row>
    <row r="14750" spans="32:32" x14ac:dyDescent="0.2">
      <c r="AF14750" s="679"/>
    </row>
    <row r="14751" spans="32:32" x14ac:dyDescent="0.2">
      <c r="AF14751" s="679"/>
    </row>
    <row r="14752" spans="32:32" x14ac:dyDescent="0.2">
      <c r="AF14752" s="679"/>
    </row>
    <row r="14753" spans="32:32" x14ac:dyDescent="0.2">
      <c r="AF14753" s="679"/>
    </row>
    <row r="14754" spans="32:32" x14ac:dyDescent="0.2">
      <c r="AF14754" s="679"/>
    </row>
    <row r="14755" spans="32:32" x14ac:dyDescent="0.2">
      <c r="AF14755" s="679"/>
    </row>
    <row r="14756" spans="32:32" x14ac:dyDescent="0.2">
      <c r="AF14756" s="679"/>
    </row>
    <row r="14757" spans="32:32" x14ac:dyDescent="0.2">
      <c r="AF14757" s="679"/>
    </row>
    <row r="14758" spans="32:32" x14ac:dyDescent="0.2">
      <c r="AF14758" s="679"/>
    </row>
    <row r="14759" spans="32:32" x14ac:dyDescent="0.2">
      <c r="AF14759" s="679"/>
    </row>
    <row r="14760" spans="32:32" x14ac:dyDescent="0.2">
      <c r="AF14760" s="679"/>
    </row>
    <row r="14761" spans="32:32" x14ac:dyDescent="0.2">
      <c r="AF14761" s="679"/>
    </row>
    <row r="14762" spans="32:32" x14ac:dyDescent="0.2">
      <c r="AF14762" s="679"/>
    </row>
    <row r="14763" spans="32:32" x14ac:dyDescent="0.2">
      <c r="AF14763" s="679"/>
    </row>
    <row r="14764" spans="32:32" x14ac:dyDescent="0.2">
      <c r="AF14764" s="679"/>
    </row>
    <row r="14765" spans="32:32" x14ac:dyDescent="0.2">
      <c r="AF14765" s="679"/>
    </row>
    <row r="14766" spans="32:32" x14ac:dyDescent="0.2">
      <c r="AF14766" s="679"/>
    </row>
    <row r="14767" spans="32:32" x14ac:dyDescent="0.2">
      <c r="AF14767" s="679"/>
    </row>
    <row r="14768" spans="32:32" x14ac:dyDescent="0.2">
      <c r="AF14768" s="679"/>
    </row>
    <row r="14769" spans="32:32" x14ac:dyDescent="0.2">
      <c r="AF14769" s="679"/>
    </row>
    <row r="14770" spans="32:32" x14ac:dyDescent="0.2">
      <c r="AF14770" s="679"/>
    </row>
    <row r="14771" spans="32:32" x14ac:dyDescent="0.2">
      <c r="AF14771" s="679"/>
    </row>
    <row r="14772" spans="32:32" x14ac:dyDescent="0.2">
      <c r="AF14772" s="679"/>
    </row>
    <row r="14773" spans="32:32" x14ac:dyDescent="0.2">
      <c r="AF14773" s="679"/>
    </row>
    <row r="14774" spans="32:32" x14ac:dyDescent="0.2">
      <c r="AF14774" s="679"/>
    </row>
    <row r="14775" spans="32:32" x14ac:dyDescent="0.2">
      <c r="AF14775" s="679"/>
    </row>
    <row r="14776" spans="32:32" x14ac:dyDescent="0.2">
      <c r="AF14776" s="679"/>
    </row>
    <row r="14777" spans="32:32" x14ac:dyDescent="0.2">
      <c r="AF14777" s="679"/>
    </row>
    <row r="14778" spans="32:32" x14ac:dyDescent="0.2">
      <c r="AF14778" s="679"/>
    </row>
    <row r="14779" spans="32:32" x14ac:dyDescent="0.2">
      <c r="AF14779" s="679"/>
    </row>
    <row r="14780" spans="32:32" x14ac:dyDescent="0.2">
      <c r="AF14780" s="679"/>
    </row>
    <row r="14781" spans="32:32" x14ac:dyDescent="0.2">
      <c r="AF14781" s="679"/>
    </row>
    <row r="14782" spans="32:32" x14ac:dyDescent="0.2">
      <c r="AF14782" s="679"/>
    </row>
    <row r="14783" spans="32:32" x14ac:dyDescent="0.2">
      <c r="AF14783" s="679"/>
    </row>
    <row r="14784" spans="32:32" x14ac:dyDescent="0.2">
      <c r="AF14784" s="679"/>
    </row>
    <row r="14785" spans="32:32" x14ac:dyDescent="0.2">
      <c r="AF14785" s="679"/>
    </row>
    <row r="14786" spans="32:32" x14ac:dyDescent="0.2">
      <c r="AF14786" s="679"/>
    </row>
    <row r="14787" spans="32:32" x14ac:dyDescent="0.2">
      <c r="AF14787" s="679"/>
    </row>
    <row r="14788" spans="32:32" x14ac:dyDescent="0.2">
      <c r="AF14788" s="679"/>
    </row>
    <row r="14789" spans="32:32" x14ac:dyDescent="0.2">
      <c r="AF14789" s="679"/>
    </row>
    <row r="14790" spans="32:32" x14ac:dyDescent="0.2">
      <c r="AF14790" s="679"/>
    </row>
    <row r="14791" spans="32:32" x14ac:dyDescent="0.2">
      <c r="AF14791" s="679"/>
    </row>
    <row r="14792" spans="32:32" x14ac:dyDescent="0.2">
      <c r="AF14792" s="679"/>
    </row>
    <row r="14793" spans="32:32" x14ac:dyDescent="0.2">
      <c r="AF14793" s="679"/>
    </row>
    <row r="14794" spans="32:32" x14ac:dyDescent="0.2">
      <c r="AF14794" s="679"/>
    </row>
    <row r="14795" spans="32:32" x14ac:dyDescent="0.2">
      <c r="AF14795" s="679"/>
    </row>
    <row r="14796" spans="32:32" x14ac:dyDescent="0.2">
      <c r="AF14796" s="679"/>
    </row>
    <row r="14797" spans="32:32" x14ac:dyDescent="0.2">
      <c r="AF14797" s="679"/>
    </row>
    <row r="14798" spans="32:32" x14ac:dyDescent="0.2">
      <c r="AF14798" s="679"/>
    </row>
    <row r="14799" spans="32:32" x14ac:dyDescent="0.2">
      <c r="AF14799" s="679"/>
    </row>
    <row r="14800" spans="32:32" x14ac:dyDescent="0.2">
      <c r="AF14800" s="679"/>
    </row>
    <row r="14801" spans="32:32" x14ac:dyDescent="0.2">
      <c r="AF14801" s="679"/>
    </row>
    <row r="14802" spans="32:32" x14ac:dyDescent="0.2">
      <c r="AF14802" s="679"/>
    </row>
    <row r="14803" spans="32:32" x14ac:dyDescent="0.2">
      <c r="AF14803" s="679"/>
    </row>
    <row r="14804" spans="32:32" x14ac:dyDescent="0.2">
      <c r="AF14804" s="679"/>
    </row>
    <row r="14805" spans="32:32" x14ac:dyDescent="0.2">
      <c r="AF14805" s="679"/>
    </row>
    <row r="14806" spans="32:32" x14ac:dyDescent="0.2">
      <c r="AF14806" s="679"/>
    </row>
    <row r="14807" spans="32:32" x14ac:dyDescent="0.2">
      <c r="AF14807" s="679"/>
    </row>
    <row r="14808" spans="32:32" x14ac:dyDescent="0.2">
      <c r="AF14808" s="679"/>
    </row>
    <row r="14809" spans="32:32" x14ac:dyDescent="0.2">
      <c r="AF14809" s="679"/>
    </row>
    <row r="14810" spans="32:32" x14ac:dyDescent="0.2">
      <c r="AF14810" s="679"/>
    </row>
    <row r="14811" spans="32:32" x14ac:dyDescent="0.2">
      <c r="AF14811" s="679"/>
    </row>
    <row r="14812" spans="32:32" x14ac:dyDescent="0.2">
      <c r="AF14812" s="679"/>
    </row>
    <row r="14813" spans="32:32" x14ac:dyDescent="0.2">
      <c r="AF14813" s="679"/>
    </row>
    <row r="14814" spans="32:32" x14ac:dyDescent="0.2">
      <c r="AF14814" s="679"/>
    </row>
    <row r="14815" spans="32:32" x14ac:dyDescent="0.2">
      <c r="AF14815" s="679"/>
    </row>
    <row r="14816" spans="32:32" x14ac:dyDescent="0.2">
      <c r="AF14816" s="679"/>
    </row>
    <row r="14817" spans="32:32" x14ac:dyDescent="0.2">
      <c r="AF14817" s="679"/>
    </row>
    <row r="14818" spans="32:32" x14ac:dyDescent="0.2">
      <c r="AF14818" s="679"/>
    </row>
    <row r="14819" spans="32:32" x14ac:dyDescent="0.2">
      <c r="AF14819" s="679"/>
    </row>
    <row r="14820" spans="32:32" x14ac:dyDescent="0.2">
      <c r="AF14820" s="679"/>
    </row>
    <row r="14821" spans="32:32" x14ac:dyDescent="0.2">
      <c r="AF14821" s="679"/>
    </row>
    <row r="14822" spans="32:32" x14ac:dyDescent="0.2">
      <c r="AF14822" s="679"/>
    </row>
    <row r="14823" spans="32:32" x14ac:dyDescent="0.2">
      <c r="AF14823" s="679"/>
    </row>
    <row r="14824" spans="32:32" x14ac:dyDescent="0.2">
      <c r="AF14824" s="679"/>
    </row>
    <row r="14825" spans="32:32" x14ac:dyDescent="0.2">
      <c r="AF14825" s="679"/>
    </row>
    <row r="14826" spans="32:32" x14ac:dyDescent="0.2">
      <c r="AF14826" s="679"/>
    </row>
    <row r="14827" spans="32:32" x14ac:dyDescent="0.2">
      <c r="AF14827" s="679"/>
    </row>
    <row r="14828" spans="32:32" x14ac:dyDescent="0.2">
      <c r="AF14828" s="679"/>
    </row>
    <row r="14829" spans="32:32" x14ac:dyDescent="0.2">
      <c r="AF14829" s="679"/>
    </row>
    <row r="14830" spans="32:32" x14ac:dyDescent="0.2">
      <c r="AF14830" s="679"/>
    </row>
    <row r="14831" spans="32:32" x14ac:dyDescent="0.2">
      <c r="AF14831" s="679"/>
    </row>
    <row r="14832" spans="32:32" x14ac:dyDescent="0.2">
      <c r="AF14832" s="679"/>
    </row>
    <row r="14833" spans="32:32" x14ac:dyDescent="0.2">
      <c r="AF14833" s="679"/>
    </row>
    <row r="14834" spans="32:32" x14ac:dyDescent="0.2">
      <c r="AF14834" s="679"/>
    </row>
    <row r="14835" spans="32:32" x14ac:dyDescent="0.2">
      <c r="AF14835" s="679"/>
    </row>
    <row r="14836" spans="32:32" x14ac:dyDescent="0.2">
      <c r="AF14836" s="679"/>
    </row>
    <row r="14837" spans="32:32" x14ac:dyDescent="0.2">
      <c r="AF14837" s="679"/>
    </row>
    <row r="14838" spans="32:32" x14ac:dyDescent="0.2">
      <c r="AF14838" s="679"/>
    </row>
    <row r="14839" spans="32:32" x14ac:dyDescent="0.2">
      <c r="AF14839" s="679"/>
    </row>
    <row r="14840" spans="32:32" x14ac:dyDescent="0.2">
      <c r="AF14840" s="679"/>
    </row>
    <row r="14841" spans="32:32" x14ac:dyDescent="0.2">
      <c r="AF14841" s="679"/>
    </row>
    <row r="14842" spans="32:32" x14ac:dyDescent="0.2">
      <c r="AF14842" s="679"/>
    </row>
    <row r="14843" spans="32:32" x14ac:dyDescent="0.2">
      <c r="AF14843" s="679"/>
    </row>
    <row r="14844" spans="32:32" x14ac:dyDescent="0.2">
      <c r="AF14844" s="679"/>
    </row>
    <row r="14845" spans="32:32" x14ac:dyDescent="0.2">
      <c r="AF14845" s="679"/>
    </row>
    <row r="14846" spans="32:32" x14ac:dyDescent="0.2">
      <c r="AF14846" s="679"/>
    </row>
    <row r="14847" spans="32:32" x14ac:dyDescent="0.2">
      <c r="AF14847" s="679"/>
    </row>
    <row r="14848" spans="32:32" x14ac:dyDescent="0.2">
      <c r="AF14848" s="679"/>
    </row>
    <row r="14849" spans="32:32" x14ac:dyDescent="0.2">
      <c r="AF14849" s="679"/>
    </row>
    <row r="14850" spans="32:32" x14ac:dyDescent="0.2">
      <c r="AF14850" s="679"/>
    </row>
    <row r="14851" spans="32:32" x14ac:dyDescent="0.2">
      <c r="AF14851" s="679"/>
    </row>
    <row r="14852" spans="32:32" x14ac:dyDescent="0.2">
      <c r="AF14852" s="679"/>
    </row>
    <row r="14853" spans="32:32" x14ac:dyDescent="0.2">
      <c r="AF14853" s="679"/>
    </row>
    <row r="14854" spans="32:32" x14ac:dyDescent="0.2">
      <c r="AF14854" s="679"/>
    </row>
    <row r="14855" spans="32:32" x14ac:dyDescent="0.2">
      <c r="AF14855" s="679"/>
    </row>
    <row r="14856" spans="32:32" x14ac:dyDescent="0.2">
      <c r="AF14856" s="679"/>
    </row>
    <row r="14857" spans="32:32" x14ac:dyDescent="0.2">
      <c r="AF14857" s="679"/>
    </row>
    <row r="14858" spans="32:32" x14ac:dyDescent="0.2">
      <c r="AF14858" s="679"/>
    </row>
    <row r="14859" spans="32:32" x14ac:dyDescent="0.2">
      <c r="AF14859" s="679"/>
    </row>
    <row r="14860" spans="32:32" x14ac:dyDescent="0.2">
      <c r="AF14860" s="679"/>
    </row>
    <row r="14861" spans="32:32" x14ac:dyDescent="0.2">
      <c r="AF14861" s="679"/>
    </row>
    <row r="14862" spans="32:32" x14ac:dyDescent="0.2">
      <c r="AF14862" s="679"/>
    </row>
    <row r="14863" spans="32:32" x14ac:dyDescent="0.2">
      <c r="AF14863" s="679"/>
    </row>
    <row r="14864" spans="32:32" x14ac:dyDescent="0.2">
      <c r="AF14864" s="679"/>
    </row>
    <row r="14865" spans="32:32" x14ac:dyDescent="0.2">
      <c r="AF14865" s="679"/>
    </row>
    <row r="14866" spans="32:32" x14ac:dyDescent="0.2">
      <c r="AF14866" s="679"/>
    </row>
    <row r="14867" spans="32:32" x14ac:dyDescent="0.2">
      <c r="AF14867" s="679"/>
    </row>
    <row r="14868" spans="32:32" x14ac:dyDescent="0.2">
      <c r="AF14868" s="679"/>
    </row>
    <row r="14869" spans="32:32" x14ac:dyDescent="0.2">
      <c r="AF14869" s="679"/>
    </row>
    <row r="14870" spans="32:32" x14ac:dyDescent="0.2">
      <c r="AF14870" s="679"/>
    </row>
    <row r="14871" spans="32:32" x14ac:dyDescent="0.2">
      <c r="AF14871" s="679"/>
    </row>
    <row r="14872" spans="32:32" x14ac:dyDescent="0.2">
      <c r="AF14872" s="679"/>
    </row>
    <row r="14873" spans="32:32" x14ac:dyDescent="0.2">
      <c r="AF14873" s="679"/>
    </row>
    <row r="14874" spans="32:32" x14ac:dyDescent="0.2">
      <c r="AF14874" s="679"/>
    </row>
    <row r="14875" spans="32:32" x14ac:dyDescent="0.2">
      <c r="AF14875" s="679"/>
    </row>
    <row r="14876" spans="32:32" x14ac:dyDescent="0.2">
      <c r="AF14876" s="679"/>
    </row>
    <row r="14877" spans="32:32" x14ac:dyDescent="0.2">
      <c r="AF14877" s="679"/>
    </row>
    <row r="14878" spans="32:32" x14ac:dyDescent="0.2">
      <c r="AF14878" s="679"/>
    </row>
    <row r="14879" spans="32:32" x14ac:dyDescent="0.2">
      <c r="AF14879" s="679"/>
    </row>
    <row r="14880" spans="32:32" x14ac:dyDescent="0.2">
      <c r="AF14880" s="679"/>
    </row>
    <row r="14881" spans="32:32" x14ac:dyDescent="0.2">
      <c r="AF14881" s="679"/>
    </row>
    <row r="14882" spans="32:32" x14ac:dyDescent="0.2">
      <c r="AF14882" s="679"/>
    </row>
    <row r="14883" spans="32:32" x14ac:dyDescent="0.2">
      <c r="AF14883" s="679"/>
    </row>
    <row r="14884" spans="32:32" x14ac:dyDescent="0.2">
      <c r="AF14884" s="679"/>
    </row>
    <row r="14885" spans="32:32" x14ac:dyDescent="0.2">
      <c r="AF14885" s="679"/>
    </row>
    <row r="14886" spans="32:32" x14ac:dyDescent="0.2">
      <c r="AF14886" s="679"/>
    </row>
    <row r="14887" spans="32:32" x14ac:dyDescent="0.2">
      <c r="AF14887" s="679"/>
    </row>
    <row r="14888" spans="32:32" x14ac:dyDescent="0.2">
      <c r="AF14888" s="679"/>
    </row>
    <row r="14889" spans="32:32" x14ac:dyDescent="0.2">
      <c r="AF14889" s="679"/>
    </row>
    <row r="14890" spans="32:32" x14ac:dyDescent="0.2">
      <c r="AF14890" s="679"/>
    </row>
    <row r="14891" spans="32:32" x14ac:dyDescent="0.2">
      <c r="AF14891" s="679"/>
    </row>
    <row r="14892" spans="32:32" x14ac:dyDescent="0.2">
      <c r="AF14892" s="679"/>
    </row>
    <row r="14893" spans="32:32" x14ac:dyDescent="0.2">
      <c r="AF14893" s="679"/>
    </row>
    <row r="14894" spans="32:32" x14ac:dyDescent="0.2">
      <c r="AF14894" s="679"/>
    </row>
    <row r="14895" spans="32:32" x14ac:dyDescent="0.2">
      <c r="AF14895" s="679"/>
    </row>
    <row r="14896" spans="32:32" x14ac:dyDescent="0.2">
      <c r="AF14896" s="679"/>
    </row>
    <row r="14897" spans="32:32" x14ac:dyDescent="0.2">
      <c r="AF14897" s="679"/>
    </row>
    <row r="14898" spans="32:32" x14ac:dyDescent="0.2">
      <c r="AF14898" s="679"/>
    </row>
    <row r="14899" spans="32:32" x14ac:dyDescent="0.2">
      <c r="AF14899" s="679"/>
    </row>
    <row r="14900" spans="32:32" x14ac:dyDescent="0.2">
      <c r="AF14900" s="679"/>
    </row>
    <row r="14901" spans="32:32" x14ac:dyDescent="0.2">
      <c r="AF14901" s="679"/>
    </row>
    <row r="14902" spans="32:32" x14ac:dyDescent="0.2">
      <c r="AF14902" s="679"/>
    </row>
    <row r="14903" spans="32:32" x14ac:dyDescent="0.2">
      <c r="AF14903" s="679"/>
    </row>
    <row r="14904" spans="32:32" x14ac:dyDescent="0.2">
      <c r="AF14904" s="679"/>
    </row>
    <row r="14905" spans="32:32" x14ac:dyDescent="0.2">
      <c r="AF14905" s="679"/>
    </row>
    <row r="14906" spans="32:32" x14ac:dyDescent="0.2">
      <c r="AF14906" s="679"/>
    </row>
    <row r="14907" spans="32:32" x14ac:dyDescent="0.2">
      <c r="AF14907" s="679"/>
    </row>
    <row r="14908" spans="32:32" x14ac:dyDescent="0.2">
      <c r="AF14908" s="679"/>
    </row>
    <row r="14909" spans="32:32" x14ac:dyDescent="0.2">
      <c r="AF14909" s="679"/>
    </row>
    <row r="14910" spans="32:32" x14ac:dyDescent="0.2">
      <c r="AF14910" s="679"/>
    </row>
    <row r="14911" spans="32:32" x14ac:dyDescent="0.2">
      <c r="AF14911" s="679"/>
    </row>
    <row r="14912" spans="32:32" x14ac:dyDescent="0.2">
      <c r="AF14912" s="679"/>
    </row>
    <row r="14913" spans="32:32" x14ac:dyDescent="0.2">
      <c r="AF14913" s="679"/>
    </row>
    <row r="14914" spans="32:32" x14ac:dyDescent="0.2">
      <c r="AF14914" s="679"/>
    </row>
    <row r="14915" spans="32:32" x14ac:dyDescent="0.2">
      <c r="AF14915" s="679"/>
    </row>
    <row r="14916" spans="32:32" x14ac:dyDescent="0.2">
      <c r="AF14916" s="679"/>
    </row>
    <row r="14917" spans="32:32" x14ac:dyDescent="0.2">
      <c r="AF14917" s="679"/>
    </row>
    <row r="14918" spans="32:32" x14ac:dyDescent="0.2">
      <c r="AF14918" s="679"/>
    </row>
    <row r="14919" spans="32:32" x14ac:dyDescent="0.2">
      <c r="AF14919" s="679"/>
    </row>
    <row r="14920" spans="32:32" x14ac:dyDescent="0.2">
      <c r="AF14920" s="679"/>
    </row>
    <row r="14921" spans="32:32" x14ac:dyDescent="0.2">
      <c r="AF14921" s="679"/>
    </row>
    <row r="14922" spans="32:32" x14ac:dyDescent="0.2">
      <c r="AF14922" s="679"/>
    </row>
    <row r="14923" spans="32:32" x14ac:dyDescent="0.2">
      <c r="AF14923" s="679"/>
    </row>
    <row r="14924" spans="32:32" x14ac:dyDescent="0.2">
      <c r="AF14924" s="679"/>
    </row>
    <row r="14925" spans="32:32" x14ac:dyDescent="0.2">
      <c r="AF14925" s="679"/>
    </row>
    <row r="14926" spans="32:32" x14ac:dyDescent="0.2">
      <c r="AF14926" s="679"/>
    </row>
    <row r="14927" spans="32:32" x14ac:dyDescent="0.2">
      <c r="AF14927" s="679"/>
    </row>
    <row r="14928" spans="32:32" x14ac:dyDescent="0.2">
      <c r="AF14928" s="679"/>
    </row>
    <row r="14929" spans="32:32" x14ac:dyDescent="0.2">
      <c r="AF14929" s="679"/>
    </row>
    <row r="14930" spans="32:32" x14ac:dyDescent="0.2">
      <c r="AF14930" s="679"/>
    </row>
    <row r="14931" spans="32:32" x14ac:dyDescent="0.2">
      <c r="AF14931" s="679"/>
    </row>
    <row r="14932" spans="32:32" x14ac:dyDescent="0.2">
      <c r="AF14932" s="679"/>
    </row>
    <row r="14933" spans="32:32" x14ac:dyDescent="0.2">
      <c r="AF14933" s="679"/>
    </row>
    <row r="14934" spans="32:32" x14ac:dyDescent="0.2">
      <c r="AF14934" s="679"/>
    </row>
    <row r="14935" spans="32:32" x14ac:dyDescent="0.2">
      <c r="AF14935" s="679"/>
    </row>
    <row r="14936" spans="32:32" x14ac:dyDescent="0.2">
      <c r="AF14936" s="679"/>
    </row>
    <row r="14937" spans="32:32" x14ac:dyDescent="0.2">
      <c r="AF14937" s="679"/>
    </row>
    <row r="14938" spans="32:32" x14ac:dyDescent="0.2">
      <c r="AF14938" s="679"/>
    </row>
    <row r="14939" spans="32:32" x14ac:dyDescent="0.2">
      <c r="AF14939" s="679"/>
    </row>
    <row r="14940" spans="32:32" x14ac:dyDescent="0.2">
      <c r="AF14940" s="679"/>
    </row>
    <row r="14941" spans="32:32" x14ac:dyDescent="0.2">
      <c r="AF14941" s="679"/>
    </row>
    <row r="14942" spans="32:32" x14ac:dyDescent="0.2">
      <c r="AF14942" s="679"/>
    </row>
    <row r="14943" spans="32:32" x14ac:dyDescent="0.2">
      <c r="AF14943" s="679"/>
    </row>
    <row r="14944" spans="32:32" x14ac:dyDescent="0.2">
      <c r="AF14944" s="679"/>
    </row>
    <row r="14945" spans="32:32" x14ac:dyDescent="0.2">
      <c r="AF14945" s="679"/>
    </row>
    <row r="14946" spans="32:32" x14ac:dyDescent="0.2">
      <c r="AF14946" s="679"/>
    </row>
    <row r="14947" spans="32:32" x14ac:dyDescent="0.2">
      <c r="AF14947" s="679"/>
    </row>
    <row r="14948" spans="32:32" x14ac:dyDescent="0.2">
      <c r="AF14948" s="679"/>
    </row>
    <row r="14949" spans="32:32" x14ac:dyDescent="0.2">
      <c r="AF14949" s="679"/>
    </row>
    <row r="14950" spans="32:32" x14ac:dyDescent="0.2">
      <c r="AF14950" s="679"/>
    </row>
    <row r="14951" spans="32:32" x14ac:dyDescent="0.2">
      <c r="AF14951" s="679"/>
    </row>
    <row r="14952" spans="32:32" x14ac:dyDescent="0.2">
      <c r="AF14952" s="679"/>
    </row>
    <row r="14953" spans="32:32" x14ac:dyDescent="0.2">
      <c r="AF14953" s="679"/>
    </row>
    <row r="14954" spans="32:32" x14ac:dyDescent="0.2">
      <c r="AF14954" s="679"/>
    </row>
    <row r="14955" spans="32:32" x14ac:dyDescent="0.2">
      <c r="AF14955" s="679"/>
    </row>
    <row r="14956" spans="32:32" x14ac:dyDescent="0.2">
      <c r="AF14956" s="679"/>
    </row>
    <row r="14957" spans="32:32" x14ac:dyDescent="0.2">
      <c r="AF14957" s="679"/>
    </row>
    <row r="14958" spans="32:32" x14ac:dyDescent="0.2">
      <c r="AF14958" s="679"/>
    </row>
    <row r="14959" spans="32:32" x14ac:dyDescent="0.2">
      <c r="AF14959" s="679"/>
    </row>
    <row r="14960" spans="32:32" x14ac:dyDescent="0.2">
      <c r="AF14960" s="679"/>
    </row>
    <row r="14961" spans="32:32" x14ac:dyDescent="0.2">
      <c r="AF14961" s="679"/>
    </row>
    <row r="14962" spans="32:32" x14ac:dyDescent="0.2">
      <c r="AF14962" s="679"/>
    </row>
    <row r="14963" spans="32:32" x14ac:dyDescent="0.2">
      <c r="AF14963" s="679"/>
    </row>
    <row r="14964" spans="32:32" x14ac:dyDescent="0.2">
      <c r="AF14964" s="679"/>
    </row>
    <row r="14965" spans="32:32" x14ac:dyDescent="0.2">
      <c r="AF14965" s="679"/>
    </row>
    <row r="14966" spans="32:32" x14ac:dyDescent="0.2">
      <c r="AF14966" s="679"/>
    </row>
    <row r="14967" spans="32:32" x14ac:dyDescent="0.2">
      <c r="AF14967" s="679"/>
    </row>
    <row r="14968" spans="32:32" x14ac:dyDescent="0.2">
      <c r="AF14968" s="679"/>
    </row>
    <row r="14969" spans="32:32" x14ac:dyDescent="0.2">
      <c r="AF14969" s="679"/>
    </row>
    <row r="14970" spans="32:32" x14ac:dyDescent="0.2">
      <c r="AF14970" s="679"/>
    </row>
    <row r="14971" spans="32:32" x14ac:dyDescent="0.2">
      <c r="AF14971" s="679"/>
    </row>
    <row r="14972" spans="32:32" x14ac:dyDescent="0.2">
      <c r="AF14972" s="679"/>
    </row>
    <row r="14973" spans="32:32" x14ac:dyDescent="0.2">
      <c r="AF14973" s="679"/>
    </row>
    <row r="14974" spans="32:32" x14ac:dyDescent="0.2">
      <c r="AF14974" s="679"/>
    </row>
    <row r="14975" spans="32:32" x14ac:dyDescent="0.2">
      <c r="AF14975" s="679"/>
    </row>
    <row r="14976" spans="32:32" x14ac:dyDescent="0.2">
      <c r="AF14976" s="679"/>
    </row>
    <row r="14977" spans="32:32" x14ac:dyDescent="0.2">
      <c r="AF14977" s="679"/>
    </row>
    <row r="14978" spans="32:32" x14ac:dyDescent="0.2">
      <c r="AF14978" s="679"/>
    </row>
    <row r="14979" spans="32:32" x14ac:dyDescent="0.2">
      <c r="AF14979" s="679"/>
    </row>
    <row r="14980" spans="32:32" x14ac:dyDescent="0.2">
      <c r="AF14980" s="679"/>
    </row>
    <row r="14981" spans="32:32" x14ac:dyDescent="0.2">
      <c r="AF14981" s="679"/>
    </row>
    <row r="14982" spans="32:32" x14ac:dyDescent="0.2">
      <c r="AF14982" s="679"/>
    </row>
    <row r="14983" spans="32:32" x14ac:dyDescent="0.2">
      <c r="AF14983" s="679"/>
    </row>
    <row r="14984" spans="32:32" x14ac:dyDescent="0.2">
      <c r="AF14984" s="679"/>
    </row>
    <row r="14985" spans="32:32" x14ac:dyDescent="0.2">
      <c r="AF14985" s="679"/>
    </row>
    <row r="14986" spans="32:32" x14ac:dyDescent="0.2">
      <c r="AF14986" s="679"/>
    </row>
    <row r="14987" spans="32:32" x14ac:dyDescent="0.2">
      <c r="AF14987" s="679"/>
    </row>
    <row r="14988" spans="32:32" x14ac:dyDescent="0.2">
      <c r="AF14988" s="679"/>
    </row>
    <row r="14989" spans="32:32" x14ac:dyDescent="0.2">
      <c r="AF14989" s="679"/>
    </row>
    <row r="14990" spans="32:32" x14ac:dyDescent="0.2">
      <c r="AF14990" s="679"/>
    </row>
    <row r="14991" spans="32:32" x14ac:dyDescent="0.2">
      <c r="AF14991" s="679"/>
    </row>
    <row r="14992" spans="32:32" x14ac:dyDescent="0.2">
      <c r="AF14992" s="679"/>
    </row>
    <row r="14993" spans="32:32" x14ac:dyDescent="0.2">
      <c r="AF14993" s="679"/>
    </row>
    <row r="14994" spans="32:32" x14ac:dyDescent="0.2">
      <c r="AF14994" s="679"/>
    </row>
    <row r="14995" spans="32:32" x14ac:dyDescent="0.2">
      <c r="AF14995" s="679"/>
    </row>
    <row r="14996" spans="32:32" x14ac:dyDescent="0.2">
      <c r="AF14996" s="679"/>
    </row>
    <row r="14997" spans="32:32" x14ac:dyDescent="0.2">
      <c r="AF14997" s="679"/>
    </row>
    <row r="14998" spans="32:32" x14ac:dyDescent="0.2">
      <c r="AF14998" s="679"/>
    </row>
    <row r="14999" spans="32:32" x14ac:dyDescent="0.2">
      <c r="AF14999" s="679"/>
    </row>
    <row r="15000" spans="32:32" x14ac:dyDescent="0.2">
      <c r="AF15000" s="679"/>
    </row>
    <row r="15001" spans="32:32" x14ac:dyDescent="0.2">
      <c r="AF15001" s="679"/>
    </row>
    <row r="15002" spans="32:32" x14ac:dyDescent="0.2">
      <c r="AF15002" s="679"/>
    </row>
    <row r="15003" spans="32:32" x14ac:dyDescent="0.2">
      <c r="AF15003" s="679"/>
    </row>
    <row r="15004" spans="32:32" x14ac:dyDescent="0.2">
      <c r="AF15004" s="679"/>
    </row>
    <row r="15005" spans="32:32" x14ac:dyDescent="0.2">
      <c r="AF15005" s="679"/>
    </row>
    <row r="15006" spans="32:32" x14ac:dyDescent="0.2">
      <c r="AF15006" s="679"/>
    </row>
    <row r="15007" spans="32:32" x14ac:dyDescent="0.2">
      <c r="AF15007" s="679"/>
    </row>
    <row r="15008" spans="32:32" x14ac:dyDescent="0.2">
      <c r="AF15008" s="679"/>
    </row>
    <row r="15009" spans="32:32" x14ac:dyDescent="0.2">
      <c r="AF15009" s="679"/>
    </row>
    <row r="15010" spans="32:32" x14ac:dyDescent="0.2">
      <c r="AF15010" s="679"/>
    </row>
    <row r="15011" spans="32:32" x14ac:dyDescent="0.2">
      <c r="AF15011" s="679"/>
    </row>
    <row r="15012" spans="32:32" x14ac:dyDescent="0.2">
      <c r="AF15012" s="679"/>
    </row>
    <row r="15013" spans="32:32" x14ac:dyDescent="0.2">
      <c r="AF15013" s="679"/>
    </row>
    <row r="15014" spans="32:32" x14ac:dyDescent="0.2">
      <c r="AF15014" s="679"/>
    </row>
    <row r="15015" spans="32:32" x14ac:dyDescent="0.2">
      <c r="AF15015" s="679"/>
    </row>
    <row r="15016" spans="32:32" x14ac:dyDescent="0.2">
      <c r="AF15016" s="679"/>
    </row>
    <row r="15017" spans="32:32" x14ac:dyDescent="0.2">
      <c r="AF15017" s="679"/>
    </row>
    <row r="15018" spans="32:32" x14ac:dyDescent="0.2">
      <c r="AF15018" s="679"/>
    </row>
    <row r="15019" spans="32:32" x14ac:dyDescent="0.2">
      <c r="AF15019" s="679"/>
    </row>
    <row r="15020" spans="32:32" x14ac:dyDescent="0.2">
      <c r="AF15020" s="679"/>
    </row>
    <row r="15021" spans="32:32" x14ac:dyDescent="0.2">
      <c r="AF15021" s="679"/>
    </row>
    <row r="15022" spans="32:32" x14ac:dyDescent="0.2">
      <c r="AF15022" s="679"/>
    </row>
    <row r="15023" spans="32:32" x14ac:dyDescent="0.2">
      <c r="AF15023" s="679"/>
    </row>
    <row r="15024" spans="32:32" x14ac:dyDescent="0.2">
      <c r="AF15024" s="679"/>
    </row>
    <row r="15025" spans="32:32" x14ac:dyDescent="0.2">
      <c r="AF15025" s="679"/>
    </row>
    <row r="15026" spans="32:32" x14ac:dyDescent="0.2">
      <c r="AF15026" s="679"/>
    </row>
    <row r="15027" spans="32:32" x14ac:dyDescent="0.2">
      <c r="AF15027" s="679"/>
    </row>
    <row r="15028" spans="32:32" x14ac:dyDescent="0.2">
      <c r="AF15028" s="679"/>
    </row>
    <row r="15029" spans="32:32" x14ac:dyDescent="0.2">
      <c r="AF15029" s="679"/>
    </row>
    <row r="15030" spans="32:32" x14ac:dyDescent="0.2">
      <c r="AF15030" s="679"/>
    </row>
    <row r="15031" spans="32:32" x14ac:dyDescent="0.2">
      <c r="AF15031" s="679"/>
    </row>
    <row r="15032" spans="32:32" x14ac:dyDescent="0.2">
      <c r="AF15032" s="679"/>
    </row>
    <row r="15033" spans="32:32" x14ac:dyDescent="0.2">
      <c r="AF15033" s="679"/>
    </row>
    <row r="15034" spans="32:32" x14ac:dyDescent="0.2">
      <c r="AF15034" s="679"/>
    </row>
    <row r="15035" spans="32:32" x14ac:dyDescent="0.2">
      <c r="AF15035" s="679"/>
    </row>
    <row r="15036" spans="32:32" x14ac:dyDescent="0.2">
      <c r="AF15036" s="679"/>
    </row>
    <row r="15037" spans="32:32" x14ac:dyDescent="0.2">
      <c r="AF15037" s="679"/>
    </row>
    <row r="15038" spans="32:32" x14ac:dyDescent="0.2">
      <c r="AF15038" s="679"/>
    </row>
    <row r="15039" spans="32:32" x14ac:dyDescent="0.2">
      <c r="AF15039" s="679"/>
    </row>
    <row r="15040" spans="32:32" x14ac:dyDescent="0.2">
      <c r="AF15040" s="679"/>
    </row>
    <row r="15041" spans="32:32" x14ac:dyDescent="0.2">
      <c r="AF15041" s="679"/>
    </row>
    <row r="15042" spans="32:32" x14ac:dyDescent="0.2">
      <c r="AF15042" s="679"/>
    </row>
    <row r="15043" spans="32:32" x14ac:dyDescent="0.2">
      <c r="AF15043" s="679"/>
    </row>
    <row r="15044" spans="32:32" x14ac:dyDescent="0.2">
      <c r="AF15044" s="679"/>
    </row>
    <row r="15045" spans="32:32" x14ac:dyDescent="0.2">
      <c r="AF15045" s="679"/>
    </row>
    <row r="15046" spans="32:32" x14ac:dyDescent="0.2">
      <c r="AF15046" s="679"/>
    </row>
    <row r="15047" spans="32:32" x14ac:dyDescent="0.2">
      <c r="AF15047" s="679"/>
    </row>
    <row r="15048" spans="32:32" x14ac:dyDescent="0.2">
      <c r="AF15048" s="679"/>
    </row>
    <row r="15049" spans="32:32" x14ac:dyDescent="0.2">
      <c r="AF15049" s="679"/>
    </row>
    <row r="15050" spans="32:32" x14ac:dyDescent="0.2">
      <c r="AF15050" s="679"/>
    </row>
    <row r="15051" spans="32:32" x14ac:dyDescent="0.2">
      <c r="AF15051" s="679"/>
    </row>
    <row r="15052" spans="32:32" x14ac:dyDescent="0.2">
      <c r="AF15052" s="679"/>
    </row>
    <row r="15053" spans="32:32" x14ac:dyDescent="0.2">
      <c r="AF15053" s="679"/>
    </row>
    <row r="15054" spans="32:32" x14ac:dyDescent="0.2">
      <c r="AF15054" s="679"/>
    </row>
    <row r="15055" spans="32:32" x14ac:dyDescent="0.2">
      <c r="AF15055" s="679"/>
    </row>
    <row r="15056" spans="32:32" x14ac:dyDescent="0.2">
      <c r="AF15056" s="679"/>
    </row>
    <row r="15057" spans="32:32" x14ac:dyDescent="0.2">
      <c r="AF15057" s="679"/>
    </row>
    <row r="15058" spans="32:32" x14ac:dyDescent="0.2">
      <c r="AF15058" s="679"/>
    </row>
    <row r="15059" spans="32:32" x14ac:dyDescent="0.2">
      <c r="AF15059" s="679"/>
    </row>
    <row r="15060" spans="32:32" x14ac:dyDescent="0.2">
      <c r="AF15060" s="679"/>
    </row>
    <row r="15061" spans="32:32" x14ac:dyDescent="0.2">
      <c r="AF15061" s="679"/>
    </row>
    <row r="15062" spans="32:32" x14ac:dyDescent="0.2">
      <c r="AF15062" s="679"/>
    </row>
    <row r="15063" spans="32:32" x14ac:dyDescent="0.2">
      <c r="AF15063" s="679"/>
    </row>
    <row r="15064" spans="32:32" x14ac:dyDescent="0.2">
      <c r="AF15064" s="679"/>
    </row>
    <row r="15065" spans="32:32" x14ac:dyDescent="0.2">
      <c r="AF15065" s="679"/>
    </row>
    <row r="15066" spans="32:32" x14ac:dyDescent="0.2">
      <c r="AF15066" s="679"/>
    </row>
    <row r="15067" spans="32:32" x14ac:dyDescent="0.2">
      <c r="AF15067" s="679"/>
    </row>
    <row r="15068" spans="32:32" x14ac:dyDescent="0.2">
      <c r="AF15068" s="679"/>
    </row>
    <row r="15069" spans="32:32" x14ac:dyDescent="0.2">
      <c r="AF15069" s="679"/>
    </row>
    <row r="15070" spans="32:32" x14ac:dyDescent="0.2">
      <c r="AF15070" s="679"/>
    </row>
    <row r="15071" spans="32:32" x14ac:dyDescent="0.2">
      <c r="AF15071" s="679"/>
    </row>
    <row r="15072" spans="32:32" x14ac:dyDescent="0.2">
      <c r="AF15072" s="679"/>
    </row>
    <row r="15073" spans="32:32" x14ac:dyDescent="0.2">
      <c r="AF15073" s="679"/>
    </row>
    <row r="15074" spans="32:32" x14ac:dyDescent="0.2">
      <c r="AF15074" s="679"/>
    </row>
    <row r="15075" spans="32:32" x14ac:dyDescent="0.2">
      <c r="AF15075" s="679"/>
    </row>
    <row r="15076" spans="32:32" x14ac:dyDescent="0.2">
      <c r="AF15076" s="679"/>
    </row>
    <row r="15077" spans="32:32" x14ac:dyDescent="0.2">
      <c r="AF15077" s="679"/>
    </row>
    <row r="15078" spans="32:32" x14ac:dyDescent="0.2">
      <c r="AF15078" s="679"/>
    </row>
    <row r="15079" spans="32:32" x14ac:dyDescent="0.2">
      <c r="AF15079" s="679"/>
    </row>
    <row r="15080" spans="32:32" x14ac:dyDescent="0.2">
      <c r="AF15080" s="679"/>
    </row>
    <row r="15081" spans="32:32" x14ac:dyDescent="0.2">
      <c r="AF15081" s="679"/>
    </row>
    <row r="15082" spans="32:32" x14ac:dyDescent="0.2">
      <c r="AF15082" s="679"/>
    </row>
    <row r="15083" spans="32:32" x14ac:dyDescent="0.2">
      <c r="AF15083" s="679"/>
    </row>
    <row r="15084" spans="32:32" x14ac:dyDescent="0.2">
      <c r="AF15084" s="679"/>
    </row>
    <row r="15085" spans="32:32" x14ac:dyDescent="0.2">
      <c r="AF15085" s="679"/>
    </row>
    <row r="15086" spans="32:32" x14ac:dyDescent="0.2">
      <c r="AF15086" s="679"/>
    </row>
    <row r="15087" spans="32:32" x14ac:dyDescent="0.2">
      <c r="AF15087" s="679"/>
    </row>
    <row r="15088" spans="32:32" x14ac:dyDescent="0.2">
      <c r="AF15088" s="679"/>
    </row>
    <row r="15089" spans="32:32" x14ac:dyDescent="0.2">
      <c r="AF15089" s="679"/>
    </row>
    <row r="15090" spans="32:32" x14ac:dyDescent="0.2">
      <c r="AF15090" s="679"/>
    </row>
    <row r="15091" spans="32:32" x14ac:dyDescent="0.2">
      <c r="AF15091" s="679"/>
    </row>
    <row r="15092" spans="32:32" x14ac:dyDescent="0.2">
      <c r="AF15092" s="679"/>
    </row>
    <row r="15093" spans="32:32" x14ac:dyDescent="0.2">
      <c r="AF15093" s="679"/>
    </row>
    <row r="15094" spans="32:32" x14ac:dyDescent="0.2">
      <c r="AF15094" s="679"/>
    </row>
    <row r="15095" spans="32:32" x14ac:dyDescent="0.2">
      <c r="AF15095" s="679"/>
    </row>
    <row r="15096" spans="32:32" x14ac:dyDescent="0.2">
      <c r="AF15096" s="679"/>
    </row>
    <row r="15097" spans="32:32" x14ac:dyDescent="0.2">
      <c r="AF15097" s="679"/>
    </row>
    <row r="15098" spans="32:32" x14ac:dyDescent="0.2">
      <c r="AF15098" s="679"/>
    </row>
    <row r="15099" spans="32:32" x14ac:dyDescent="0.2">
      <c r="AF15099" s="679"/>
    </row>
    <row r="15100" spans="32:32" x14ac:dyDescent="0.2">
      <c r="AF15100" s="679"/>
    </row>
    <row r="15101" spans="32:32" x14ac:dyDescent="0.2">
      <c r="AF15101" s="679"/>
    </row>
    <row r="15102" spans="32:32" x14ac:dyDescent="0.2">
      <c r="AF15102" s="679"/>
    </row>
    <row r="15103" spans="32:32" x14ac:dyDescent="0.2">
      <c r="AF15103" s="679"/>
    </row>
    <row r="15104" spans="32:32" x14ac:dyDescent="0.2">
      <c r="AF15104" s="679"/>
    </row>
    <row r="15105" spans="32:32" x14ac:dyDescent="0.2">
      <c r="AF15105" s="679"/>
    </row>
    <row r="15106" spans="32:32" x14ac:dyDescent="0.2">
      <c r="AF15106" s="679"/>
    </row>
    <row r="15107" spans="32:32" x14ac:dyDescent="0.2">
      <c r="AF15107" s="679"/>
    </row>
    <row r="15108" spans="32:32" x14ac:dyDescent="0.2">
      <c r="AF15108" s="679"/>
    </row>
    <row r="15109" spans="32:32" x14ac:dyDescent="0.2">
      <c r="AF15109" s="679"/>
    </row>
    <row r="15110" spans="32:32" x14ac:dyDescent="0.2">
      <c r="AF15110" s="679"/>
    </row>
    <row r="15111" spans="32:32" x14ac:dyDescent="0.2">
      <c r="AF15111" s="679"/>
    </row>
    <row r="15112" spans="32:32" x14ac:dyDescent="0.2">
      <c r="AF15112" s="679"/>
    </row>
    <row r="15113" spans="32:32" x14ac:dyDescent="0.2">
      <c r="AF15113" s="679"/>
    </row>
    <row r="15114" spans="32:32" x14ac:dyDescent="0.2">
      <c r="AF15114" s="679"/>
    </row>
    <row r="15115" spans="32:32" x14ac:dyDescent="0.2">
      <c r="AF15115" s="679"/>
    </row>
    <row r="15116" spans="32:32" x14ac:dyDescent="0.2">
      <c r="AF15116" s="679"/>
    </row>
    <row r="15117" spans="32:32" x14ac:dyDescent="0.2">
      <c r="AF15117" s="679"/>
    </row>
    <row r="15118" spans="32:32" x14ac:dyDescent="0.2">
      <c r="AF15118" s="679"/>
    </row>
    <row r="15119" spans="32:32" x14ac:dyDescent="0.2">
      <c r="AF15119" s="679"/>
    </row>
    <row r="15120" spans="32:32" x14ac:dyDescent="0.2">
      <c r="AF15120" s="679"/>
    </row>
    <row r="15121" spans="32:32" x14ac:dyDescent="0.2">
      <c r="AF15121" s="679"/>
    </row>
    <row r="15122" spans="32:32" x14ac:dyDescent="0.2">
      <c r="AF15122" s="679"/>
    </row>
    <row r="15123" spans="32:32" x14ac:dyDescent="0.2">
      <c r="AF15123" s="679"/>
    </row>
    <row r="15124" spans="32:32" x14ac:dyDescent="0.2">
      <c r="AF15124" s="679"/>
    </row>
    <row r="15125" spans="32:32" x14ac:dyDescent="0.2">
      <c r="AF15125" s="679"/>
    </row>
    <row r="15126" spans="32:32" x14ac:dyDescent="0.2">
      <c r="AF15126" s="679"/>
    </row>
    <row r="15127" spans="32:32" x14ac:dyDescent="0.2">
      <c r="AF15127" s="679"/>
    </row>
    <row r="15128" spans="32:32" x14ac:dyDescent="0.2">
      <c r="AF15128" s="679"/>
    </row>
    <row r="15129" spans="32:32" x14ac:dyDescent="0.2">
      <c r="AF15129" s="679"/>
    </row>
    <row r="15130" spans="32:32" x14ac:dyDescent="0.2">
      <c r="AF15130" s="679"/>
    </row>
    <row r="15131" spans="32:32" x14ac:dyDescent="0.2">
      <c r="AF15131" s="679"/>
    </row>
    <row r="15132" spans="32:32" x14ac:dyDescent="0.2">
      <c r="AF15132" s="679"/>
    </row>
    <row r="15133" spans="32:32" x14ac:dyDescent="0.2">
      <c r="AF15133" s="679"/>
    </row>
    <row r="15134" spans="32:32" x14ac:dyDescent="0.2">
      <c r="AF15134" s="679"/>
    </row>
    <row r="15135" spans="32:32" x14ac:dyDescent="0.2">
      <c r="AF15135" s="679"/>
    </row>
    <row r="15136" spans="32:32" x14ac:dyDescent="0.2">
      <c r="AF15136" s="679"/>
    </row>
    <row r="15137" spans="32:32" x14ac:dyDescent="0.2">
      <c r="AF15137" s="679"/>
    </row>
    <row r="15138" spans="32:32" x14ac:dyDescent="0.2">
      <c r="AF15138" s="679"/>
    </row>
    <row r="15139" spans="32:32" x14ac:dyDescent="0.2">
      <c r="AF15139" s="679"/>
    </row>
    <row r="15140" spans="32:32" x14ac:dyDescent="0.2">
      <c r="AF15140" s="679"/>
    </row>
    <row r="15141" spans="32:32" x14ac:dyDescent="0.2">
      <c r="AF15141" s="679"/>
    </row>
    <row r="15142" spans="32:32" x14ac:dyDescent="0.2">
      <c r="AF15142" s="679"/>
    </row>
    <row r="15143" spans="32:32" x14ac:dyDescent="0.2">
      <c r="AF15143" s="679"/>
    </row>
    <row r="15144" spans="32:32" x14ac:dyDescent="0.2">
      <c r="AF15144" s="679"/>
    </row>
    <row r="15145" spans="32:32" x14ac:dyDescent="0.2">
      <c r="AF15145" s="679"/>
    </row>
    <row r="15146" spans="32:32" x14ac:dyDescent="0.2">
      <c r="AF15146" s="679"/>
    </row>
    <row r="15147" spans="32:32" x14ac:dyDescent="0.2">
      <c r="AF15147" s="679"/>
    </row>
    <row r="15148" spans="32:32" x14ac:dyDescent="0.2">
      <c r="AF15148" s="679"/>
    </row>
    <row r="15149" spans="32:32" x14ac:dyDescent="0.2">
      <c r="AF15149" s="679"/>
    </row>
    <row r="15150" spans="32:32" x14ac:dyDescent="0.2">
      <c r="AF15150" s="679"/>
    </row>
    <row r="15151" spans="32:32" x14ac:dyDescent="0.2">
      <c r="AF15151" s="679"/>
    </row>
    <row r="15152" spans="32:32" x14ac:dyDescent="0.2">
      <c r="AF15152" s="679"/>
    </row>
    <row r="15153" spans="32:32" x14ac:dyDescent="0.2">
      <c r="AF15153" s="679"/>
    </row>
    <row r="15154" spans="32:32" x14ac:dyDescent="0.2">
      <c r="AF15154" s="679"/>
    </row>
    <row r="15155" spans="32:32" x14ac:dyDescent="0.2">
      <c r="AF15155" s="679"/>
    </row>
    <row r="15156" spans="32:32" x14ac:dyDescent="0.2">
      <c r="AF15156" s="679"/>
    </row>
    <row r="15157" spans="32:32" x14ac:dyDescent="0.2">
      <c r="AF15157" s="679"/>
    </row>
    <row r="15158" spans="32:32" x14ac:dyDescent="0.2">
      <c r="AF15158" s="679"/>
    </row>
    <row r="15159" spans="32:32" x14ac:dyDescent="0.2">
      <c r="AF15159" s="679"/>
    </row>
    <row r="15160" spans="32:32" x14ac:dyDescent="0.2">
      <c r="AF15160" s="679"/>
    </row>
    <row r="15161" spans="32:32" x14ac:dyDescent="0.2">
      <c r="AF15161" s="679"/>
    </row>
    <row r="15162" spans="32:32" x14ac:dyDescent="0.2">
      <c r="AF15162" s="679"/>
    </row>
    <row r="15163" spans="32:32" x14ac:dyDescent="0.2">
      <c r="AF15163" s="679"/>
    </row>
    <row r="15164" spans="32:32" x14ac:dyDescent="0.2">
      <c r="AF15164" s="679"/>
    </row>
    <row r="15165" spans="32:32" x14ac:dyDescent="0.2">
      <c r="AF15165" s="679"/>
    </row>
    <row r="15166" spans="32:32" x14ac:dyDescent="0.2">
      <c r="AF15166" s="679"/>
    </row>
    <row r="15167" spans="32:32" x14ac:dyDescent="0.2">
      <c r="AF15167" s="679"/>
    </row>
    <row r="15168" spans="32:32" x14ac:dyDescent="0.2">
      <c r="AF15168" s="679"/>
    </row>
    <row r="15169" spans="32:32" x14ac:dyDescent="0.2">
      <c r="AF15169" s="679"/>
    </row>
    <row r="15170" spans="32:32" x14ac:dyDescent="0.2">
      <c r="AF15170" s="679"/>
    </row>
    <row r="15171" spans="32:32" x14ac:dyDescent="0.2">
      <c r="AF15171" s="679"/>
    </row>
    <row r="15172" spans="32:32" x14ac:dyDescent="0.2">
      <c r="AF15172" s="679"/>
    </row>
    <row r="15173" spans="32:32" x14ac:dyDescent="0.2">
      <c r="AF15173" s="679"/>
    </row>
    <row r="15174" spans="32:32" x14ac:dyDescent="0.2">
      <c r="AF15174" s="679"/>
    </row>
    <row r="15175" spans="32:32" x14ac:dyDescent="0.2">
      <c r="AF15175" s="679"/>
    </row>
    <row r="15176" spans="32:32" x14ac:dyDescent="0.2">
      <c r="AF15176" s="679"/>
    </row>
    <row r="15177" spans="32:32" x14ac:dyDescent="0.2">
      <c r="AF15177" s="679"/>
    </row>
    <row r="15178" spans="32:32" x14ac:dyDescent="0.2">
      <c r="AF15178" s="679"/>
    </row>
    <row r="15179" spans="32:32" x14ac:dyDescent="0.2">
      <c r="AF15179" s="679"/>
    </row>
    <row r="15180" spans="32:32" x14ac:dyDescent="0.2">
      <c r="AF15180" s="679"/>
    </row>
    <row r="15181" spans="32:32" x14ac:dyDescent="0.2">
      <c r="AF15181" s="679"/>
    </row>
    <row r="15182" spans="32:32" x14ac:dyDescent="0.2">
      <c r="AF15182" s="679"/>
    </row>
    <row r="15183" spans="32:32" x14ac:dyDescent="0.2">
      <c r="AF15183" s="679"/>
    </row>
    <row r="15184" spans="32:32" x14ac:dyDescent="0.2">
      <c r="AF15184" s="679"/>
    </row>
    <row r="15185" spans="32:32" x14ac:dyDescent="0.2">
      <c r="AF15185" s="679"/>
    </row>
    <row r="15186" spans="32:32" x14ac:dyDescent="0.2">
      <c r="AF15186" s="679"/>
    </row>
    <row r="15187" spans="32:32" x14ac:dyDescent="0.2">
      <c r="AF15187" s="679"/>
    </row>
    <row r="15188" spans="32:32" x14ac:dyDescent="0.2">
      <c r="AF15188" s="679"/>
    </row>
    <row r="15189" spans="32:32" x14ac:dyDescent="0.2">
      <c r="AF15189" s="679"/>
    </row>
    <row r="15190" spans="32:32" x14ac:dyDescent="0.2">
      <c r="AF15190" s="679"/>
    </row>
    <row r="15191" spans="32:32" x14ac:dyDescent="0.2">
      <c r="AF15191" s="679"/>
    </row>
    <row r="15192" spans="32:32" x14ac:dyDescent="0.2">
      <c r="AF15192" s="679"/>
    </row>
    <row r="15193" spans="32:32" x14ac:dyDescent="0.2">
      <c r="AF15193" s="679"/>
    </row>
    <row r="15194" spans="32:32" x14ac:dyDescent="0.2">
      <c r="AF15194" s="679"/>
    </row>
    <row r="15195" spans="32:32" x14ac:dyDescent="0.2">
      <c r="AF15195" s="679"/>
    </row>
    <row r="15196" spans="32:32" x14ac:dyDescent="0.2">
      <c r="AF15196" s="679"/>
    </row>
    <row r="15197" spans="32:32" x14ac:dyDescent="0.2">
      <c r="AF15197" s="679"/>
    </row>
    <row r="15198" spans="32:32" x14ac:dyDescent="0.2">
      <c r="AF15198" s="679"/>
    </row>
    <row r="15199" spans="32:32" x14ac:dyDescent="0.2">
      <c r="AF15199" s="679"/>
    </row>
    <row r="15200" spans="32:32" x14ac:dyDescent="0.2">
      <c r="AF15200" s="679"/>
    </row>
    <row r="15201" spans="32:32" x14ac:dyDescent="0.2">
      <c r="AF15201" s="679"/>
    </row>
    <row r="15202" spans="32:32" x14ac:dyDescent="0.2">
      <c r="AF15202" s="679"/>
    </row>
    <row r="15203" spans="32:32" x14ac:dyDescent="0.2">
      <c r="AF15203" s="679"/>
    </row>
    <row r="15204" spans="32:32" x14ac:dyDescent="0.2">
      <c r="AF15204" s="679"/>
    </row>
    <row r="15205" spans="32:32" x14ac:dyDescent="0.2">
      <c r="AF15205" s="679"/>
    </row>
    <row r="15206" spans="32:32" x14ac:dyDescent="0.2">
      <c r="AF15206" s="679"/>
    </row>
    <row r="15207" spans="32:32" x14ac:dyDescent="0.2">
      <c r="AF15207" s="679"/>
    </row>
    <row r="15208" spans="32:32" x14ac:dyDescent="0.2">
      <c r="AF15208" s="679"/>
    </row>
    <row r="15209" spans="32:32" x14ac:dyDescent="0.2">
      <c r="AF15209" s="679"/>
    </row>
    <row r="15210" spans="32:32" x14ac:dyDescent="0.2">
      <c r="AF15210" s="679"/>
    </row>
    <row r="15211" spans="32:32" x14ac:dyDescent="0.2">
      <c r="AF15211" s="679"/>
    </row>
    <row r="15212" spans="32:32" x14ac:dyDescent="0.2">
      <c r="AF15212" s="679"/>
    </row>
    <row r="15213" spans="32:32" x14ac:dyDescent="0.2">
      <c r="AF15213" s="679"/>
    </row>
    <row r="15214" spans="32:32" x14ac:dyDescent="0.2">
      <c r="AF15214" s="679"/>
    </row>
    <row r="15215" spans="32:32" x14ac:dyDescent="0.2">
      <c r="AF15215" s="679"/>
    </row>
    <row r="15216" spans="32:32" x14ac:dyDescent="0.2">
      <c r="AF15216" s="679"/>
    </row>
    <row r="15217" spans="32:32" x14ac:dyDescent="0.2">
      <c r="AF15217" s="679"/>
    </row>
    <row r="15218" spans="32:32" x14ac:dyDescent="0.2">
      <c r="AF15218" s="679"/>
    </row>
    <row r="15219" spans="32:32" x14ac:dyDescent="0.2">
      <c r="AF15219" s="679"/>
    </row>
    <row r="15220" spans="32:32" x14ac:dyDescent="0.2">
      <c r="AF15220" s="679"/>
    </row>
    <row r="15221" spans="32:32" x14ac:dyDescent="0.2">
      <c r="AF15221" s="679"/>
    </row>
    <row r="15222" spans="32:32" x14ac:dyDescent="0.2">
      <c r="AF15222" s="679"/>
    </row>
    <row r="15223" spans="32:32" x14ac:dyDescent="0.2">
      <c r="AF15223" s="679"/>
    </row>
    <row r="15224" spans="32:32" x14ac:dyDescent="0.2">
      <c r="AF15224" s="679"/>
    </row>
    <row r="15225" spans="32:32" x14ac:dyDescent="0.2">
      <c r="AF15225" s="679"/>
    </row>
    <row r="15226" spans="32:32" x14ac:dyDescent="0.2">
      <c r="AF15226" s="679"/>
    </row>
    <row r="15227" spans="32:32" x14ac:dyDescent="0.2">
      <c r="AF15227" s="679"/>
    </row>
    <row r="15228" spans="32:32" x14ac:dyDescent="0.2">
      <c r="AF15228" s="679"/>
    </row>
    <row r="15229" spans="32:32" x14ac:dyDescent="0.2">
      <c r="AF15229" s="679"/>
    </row>
    <row r="15230" spans="32:32" x14ac:dyDescent="0.2">
      <c r="AF15230" s="679"/>
    </row>
    <row r="15231" spans="32:32" x14ac:dyDescent="0.2">
      <c r="AF15231" s="679"/>
    </row>
    <row r="15232" spans="32:32" x14ac:dyDescent="0.2">
      <c r="AF15232" s="679"/>
    </row>
    <row r="15233" spans="32:32" x14ac:dyDescent="0.2">
      <c r="AF15233" s="679"/>
    </row>
    <row r="15234" spans="32:32" x14ac:dyDescent="0.2">
      <c r="AF15234" s="679"/>
    </row>
    <row r="15235" spans="32:32" x14ac:dyDescent="0.2">
      <c r="AF15235" s="679"/>
    </row>
    <row r="15236" spans="32:32" x14ac:dyDescent="0.2">
      <c r="AF15236" s="679"/>
    </row>
    <row r="15237" spans="32:32" x14ac:dyDescent="0.2">
      <c r="AF15237" s="679"/>
    </row>
    <row r="15238" spans="32:32" x14ac:dyDescent="0.2">
      <c r="AF15238" s="679"/>
    </row>
    <row r="15239" spans="32:32" x14ac:dyDescent="0.2">
      <c r="AF15239" s="679"/>
    </row>
    <row r="15240" spans="32:32" x14ac:dyDescent="0.2">
      <c r="AF15240" s="679"/>
    </row>
    <row r="15241" spans="32:32" x14ac:dyDescent="0.2">
      <c r="AF15241" s="679"/>
    </row>
    <row r="15242" spans="32:32" x14ac:dyDescent="0.2">
      <c r="AF15242" s="679"/>
    </row>
    <row r="15243" spans="32:32" x14ac:dyDescent="0.2">
      <c r="AF15243" s="679"/>
    </row>
    <row r="15244" spans="32:32" x14ac:dyDescent="0.2">
      <c r="AF15244" s="679"/>
    </row>
    <row r="15245" spans="32:32" x14ac:dyDescent="0.2">
      <c r="AF15245" s="679"/>
    </row>
    <row r="15246" spans="32:32" x14ac:dyDescent="0.2">
      <c r="AF15246" s="679"/>
    </row>
    <row r="15247" spans="32:32" x14ac:dyDescent="0.2">
      <c r="AF15247" s="679"/>
    </row>
    <row r="15248" spans="32:32" x14ac:dyDescent="0.2">
      <c r="AF15248" s="679"/>
    </row>
    <row r="15249" spans="32:32" x14ac:dyDescent="0.2">
      <c r="AF15249" s="679"/>
    </row>
    <row r="15250" spans="32:32" x14ac:dyDescent="0.2">
      <c r="AF15250" s="679"/>
    </row>
    <row r="15251" spans="32:32" x14ac:dyDescent="0.2">
      <c r="AF15251" s="679"/>
    </row>
    <row r="15252" spans="32:32" x14ac:dyDescent="0.2">
      <c r="AF15252" s="679"/>
    </row>
    <row r="15253" spans="32:32" x14ac:dyDescent="0.2">
      <c r="AF15253" s="679"/>
    </row>
    <row r="15254" spans="32:32" x14ac:dyDescent="0.2">
      <c r="AF15254" s="679"/>
    </row>
    <row r="15255" spans="32:32" x14ac:dyDescent="0.2">
      <c r="AF15255" s="679"/>
    </row>
    <row r="15256" spans="32:32" x14ac:dyDescent="0.2">
      <c r="AF15256" s="679"/>
    </row>
    <row r="15257" spans="32:32" x14ac:dyDescent="0.2">
      <c r="AF15257" s="679"/>
    </row>
    <row r="15258" spans="32:32" x14ac:dyDescent="0.2">
      <c r="AF15258" s="679"/>
    </row>
    <row r="15259" spans="32:32" x14ac:dyDescent="0.2">
      <c r="AF15259" s="679"/>
    </row>
    <row r="15260" spans="32:32" x14ac:dyDescent="0.2">
      <c r="AF15260" s="679"/>
    </row>
    <row r="15261" spans="32:32" x14ac:dyDescent="0.2">
      <c r="AF15261" s="679"/>
    </row>
    <row r="15262" spans="32:32" x14ac:dyDescent="0.2">
      <c r="AF15262" s="679"/>
    </row>
    <row r="15263" spans="32:32" x14ac:dyDescent="0.2">
      <c r="AF15263" s="679"/>
    </row>
    <row r="15264" spans="32:32" x14ac:dyDescent="0.2">
      <c r="AF15264" s="679"/>
    </row>
    <row r="15265" spans="32:32" x14ac:dyDescent="0.2">
      <c r="AF15265" s="679"/>
    </row>
    <row r="15266" spans="32:32" x14ac:dyDescent="0.2">
      <c r="AF15266" s="679"/>
    </row>
    <row r="15267" spans="32:32" x14ac:dyDescent="0.2">
      <c r="AF15267" s="679"/>
    </row>
    <row r="15268" spans="32:32" x14ac:dyDescent="0.2">
      <c r="AF15268" s="679"/>
    </row>
    <row r="15269" spans="32:32" x14ac:dyDescent="0.2">
      <c r="AF15269" s="679"/>
    </row>
    <row r="15270" spans="32:32" x14ac:dyDescent="0.2">
      <c r="AF15270" s="679"/>
    </row>
    <row r="15271" spans="32:32" x14ac:dyDescent="0.2">
      <c r="AF15271" s="679"/>
    </row>
    <row r="15272" spans="32:32" x14ac:dyDescent="0.2">
      <c r="AF15272" s="679"/>
    </row>
    <row r="15273" spans="32:32" x14ac:dyDescent="0.2">
      <c r="AF15273" s="679"/>
    </row>
    <row r="15274" spans="32:32" x14ac:dyDescent="0.2">
      <c r="AF15274" s="679"/>
    </row>
    <row r="15275" spans="32:32" x14ac:dyDescent="0.2">
      <c r="AF15275" s="679"/>
    </row>
    <row r="15276" spans="32:32" x14ac:dyDescent="0.2">
      <c r="AF15276" s="679"/>
    </row>
    <row r="15277" spans="32:32" x14ac:dyDescent="0.2">
      <c r="AF15277" s="679"/>
    </row>
    <row r="15278" spans="32:32" x14ac:dyDescent="0.2">
      <c r="AF15278" s="679"/>
    </row>
    <row r="15279" spans="32:32" x14ac:dyDescent="0.2">
      <c r="AF15279" s="679"/>
    </row>
    <row r="15280" spans="32:32" x14ac:dyDescent="0.2">
      <c r="AF15280" s="679"/>
    </row>
    <row r="15281" spans="32:32" x14ac:dyDescent="0.2">
      <c r="AF15281" s="679"/>
    </row>
    <row r="15282" spans="32:32" x14ac:dyDescent="0.2">
      <c r="AF15282" s="679"/>
    </row>
    <row r="15283" spans="32:32" x14ac:dyDescent="0.2">
      <c r="AF15283" s="679"/>
    </row>
    <row r="15284" spans="32:32" x14ac:dyDescent="0.2">
      <c r="AF15284" s="679"/>
    </row>
    <row r="15285" spans="32:32" x14ac:dyDescent="0.2">
      <c r="AF15285" s="679"/>
    </row>
    <row r="15286" spans="32:32" x14ac:dyDescent="0.2">
      <c r="AF15286" s="679"/>
    </row>
    <row r="15287" spans="32:32" x14ac:dyDescent="0.2">
      <c r="AF15287" s="679"/>
    </row>
    <row r="15288" spans="32:32" x14ac:dyDescent="0.2">
      <c r="AF15288" s="679"/>
    </row>
    <row r="15289" spans="32:32" x14ac:dyDescent="0.2">
      <c r="AF15289" s="679"/>
    </row>
    <row r="15290" spans="32:32" x14ac:dyDescent="0.2">
      <c r="AF15290" s="679"/>
    </row>
    <row r="15291" spans="32:32" x14ac:dyDescent="0.2">
      <c r="AF15291" s="679"/>
    </row>
    <row r="15292" spans="32:32" x14ac:dyDescent="0.2">
      <c r="AF15292" s="679"/>
    </row>
    <row r="15293" spans="32:32" x14ac:dyDescent="0.2">
      <c r="AF15293" s="679"/>
    </row>
    <row r="15294" spans="32:32" x14ac:dyDescent="0.2">
      <c r="AF15294" s="679"/>
    </row>
    <row r="15295" spans="32:32" x14ac:dyDescent="0.2">
      <c r="AF15295" s="679"/>
    </row>
    <row r="15296" spans="32:32" x14ac:dyDescent="0.2">
      <c r="AF15296" s="679"/>
    </row>
    <row r="15297" spans="32:32" x14ac:dyDescent="0.2">
      <c r="AF15297" s="679"/>
    </row>
    <row r="15298" spans="32:32" x14ac:dyDescent="0.2">
      <c r="AF15298" s="679"/>
    </row>
    <row r="15299" spans="32:32" x14ac:dyDescent="0.2">
      <c r="AF15299" s="679"/>
    </row>
    <row r="15300" spans="32:32" x14ac:dyDescent="0.2">
      <c r="AF15300" s="679"/>
    </row>
    <row r="15301" spans="32:32" x14ac:dyDescent="0.2">
      <c r="AF15301" s="679"/>
    </row>
    <row r="15302" spans="32:32" x14ac:dyDescent="0.2">
      <c r="AF15302" s="679"/>
    </row>
    <row r="15303" spans="32:32" x14ac:dyDescent="0.2">
      <c r="AF15303" s="679"/>
    </row>
    <row r="15304" spans="32:32" x14ac:dyDescent="0.2">
      <c r="AF15304" s="679"/>
    </row>
    <row r="15305" spans="32:32" x14ac:dyDescent="0.2">
      <c r="AF15305" s="679"/>
    </row>
    <row r="15306" spans="32:32" x14ac:dyDescent="0.2">
      <c r="AF15306" s="679"/>
    </row>
    <row r="15307" spans="32:32" x14ac:dyDescent="0.2">
      <c r="AF15307" s="679"/>
    </row>
    <row r="15308" spans="32:32" x14ac:dyDescent="0.2">
      <c r="AF15308" s="679"/>
    </row>
    <row r="15309" spans="32:32" x14ac:dyDescent="0.2">
      <c r="AF15309" s="679"/>
    </row>
    <row r="15310" spans="32:32" x14ac:dyDescent="0.2">
      <c r="AF15310" s="679"/>
    </row>
    <row r="15311" spans="32:32" x14ac:dyDescent="0.2">
      <c r="AF15311" s="679"/>
    </row>
    <row r="15312" spans="32:32" x14ac:dyDescent="0.2">
      <c r="AF15312" s="679"/>
    </row>
    <row r="15313" spans="32:32" x14ac:dyDescent="0.2">
      <c r="AF15313" s="679"/>
    </row>
    <row r="15314" spans="32:32" x14ac:dyDescent="0.2">
      <c r="AF15314" s="679"/>
    </row>
    <row r="15315" spans="32:32" x14ac:dyDescent="0.2">
      <c r="AF15315" s="679"/>
    </row>
    <row r="15316" spans="32:32" x14ac:dyDescent="0.2">
      <c r="AF15316" s="679"/>
    </row>
    <row r="15317" spans="32:32" x14ac:dyDescent="0.2">
      <c r="AF15317" s="679"/>
    </row>
    <row r="15318" spans="32:32" x14ac:dyDescent="0.2">
      <c r="AF15318" s="679"/>
    </row>
    <row r="15319" spans="32:32" x14ac:dyDescent="0.2">
      <c r="AF15319" s="679"/>
    </row>
    <row r="15320" spans="32:32" x14ac:dyDescent="0.2">
      <c r="AF15320" s="679"/>
    </row>
    <row r="15321" spans="32:32" x14ac:dyDescent="0.2">
      <c r="AF15321" s="679"/>
    </row>
    <row r="15322" spans="32:32" x14ac:dyDescent="0.2">
      <c r="AF15322" s="679"/>
    </row>
    <row r="15323" spans="32:32" x14ac:dyDescent="0.2">
      <c r="AF15323" s="679"/>
    </row>
    <row r="15324" spans="32:32" x14ac:dyDescent="0.2">
      <c r="AF15324" s="679"/>
    </row>
    <row r="15325" spans="32:32" x14ac:dyDescent="0.2">
      <c r="AF15325" s="679"/>
    </row>
    <row r="15326" spans="32:32" x14ac:dyDescent="0.2">
      <c r="AF15326" s="679"/>
    </row>
    <row r="15327" spans="32:32" x14ac:dyDescent="0.2">
      <c r="AF15327" s="679"/>
    </row>
    <row r="15328" spans="32:32" x14ac:dyDescent="0.2">
      <c r="AF15328" s="679"/>
    </row>
    <row r="15329" spans="32:32" x14ac:dyDescent="0.2">
      <c r="AF15329" s="679"/>
    </row>
    <row r="15330" spans="32:32" x14ac:dyDescent="0.2">
      <c r="AF15330" s="679"/>
    </row>
    <row r="15331" spans="32:32" x14ac:dyDescent="0.2">
      <c r="AF15331" s="679"/>
    </row>
    <row r="15332" spans="32:32" x14ac:dyDescent="0.2">
      <c r="AF15332" s="679"/>
    </row>
    <row r="15333" spans="32:32" x14ac:dyDescent="0.2">
      <c r="AF15333" s="679"/>
    </row>
    <row r="15334" spans="32:32" x14ac:dyDescent="0.2">
      <c r="AF15334" s="679"/>
    </row>
    <row r="15335" spans="32:32" x14ac:dyDescent="0.2">
      <c r="AF15335" s="679"/>
    </row>
    <row r="15336" spans="32:32" x14ac:dyDescent="0.2">
      <c r="AF15336" s="679"/>
    </row>
    <row r="15337" spans="32:32" x14ac:dyDescent="0.2">
      <c r="AF15337" s="679"/>
    </row>
    <row r="15338" spans="32:32" x14ac:dyDescent="0.2">
      <c r="AF15338" s="679"/>
    </row>
    <row r="15339" spans="32:32" x14ac:dyDescent="0.2">
      <c r="AF15339" s="679"/>
    </row>
    <row r="15340" spans="32:32" x14ac:dyDescent="0.2">
      <c r="AF15340" s="679"/>
    </row>
    <row r="15341" spans="32:32" x14ac:dyDescent="0.2">
      <c r="AF15341" s="679"/>
    </row>
    <row r="15342" spans="32:32" x14ac:dyDescent="0.2">
      <c r="AF15342" s="679"/>
    </row>
    <row r="15343" spans="32:32" x14ac:dyDescent="0.2">
      <c r="AF15343" s="679"/>
    </row>
    <row r="15344" spans="32:32" x14ac:dyDescent="0.2">
      <c r="AF15344" s="679"/>
    </row>
    <row r="15345" spans="32:32" x14ac:dyDescent="0.2">
      <c r="AF15345" s="679"/>
    </row>
    <row r="15346" spans="32:32" x14ac:dyDescent="0.2">
      <c r="AF15346" s="679"/>
    </row>
    <row r="15347" spans="32:32" x14ac:dyDescent="0.2">
      <c r="AF15347" s="679"/>
    </row>
    <row r="15348" spans="32:32" x14ac:dyDescent="0.2">
      <c r="AF15348" s="679"/>
    </row>
    <row r="15349" spans="32:32" x14ac:dyDescent="0.2">
      <c r="AF15349" s="679"/>
    </row>
    <row r="15350" spans="32:32" x14ac:dyDescent="0.2">
      <c r="AF15350" s="679"/>
    </row>
    <row r="15351" spans="32:32" x14ac:dyDescent="0.2">
      <c r="AF15351" s="679"/>
    </row>
    <row r="15352" spans="32:32" x14ac:dyDescent="0.2">
      <c r="AF15352" s="679"/>
    </row>
    <row r="15353" spans="32:32" x14ac:dyDescent="0.2">
      <c r="AF15353" s="679"/>
    </row>
    <row r="15354" spans="32:32" x14ac:dyDescent="0.2">
      <c r="AF15354" s="679"/>
    </row>
    <row r="15355" spans="32:32" x14ac:dyDescent="0.2">
      <c r="AF15355" s="679"/>
    </row>
    <row r="15356" spans="32:32" x14ac:dyDescent="0.2">
      <c r="AF15356" s="679"/>
    </row>
    <row r="15357" spans="32:32" x14ac:dyDescent="0.2">
      <c r="AF15357" s="679"/>
    </row>
    <row r="15358" spans="32:32" x14ac:dyDescent="0.2">
      <c r="AF15358" s="679"/>
    </row>
    <row r="15359" spans="32:32" x14ac:dyDescent="0.2">
      <c r="AF15359" s="679"/>
    </row>
    <row r="15360" spans="32:32" x14ac:dyDescent="0.2">
      <c r="AF15360" s="679"/>
    </row>
    <row r="15361" spans="32:32" x14ac:dyDescent="0.2">
      <c r="AF15361" s="679"/>
    </row>
    <row r="15362" spans="32:32" x14ac:dyDescent="0.2">
      <c r="AF15362" s="679"/>
    </row>
    <row r="15363" spans="32:32" x14ac:dyDescent="0.2">
      <c r="AF15363" s="679"/>
    </row>
    <row r="15364" spans="32:32" x14ac:dyDescent="0.2">
      <c r="AF15364" s="679"/>
    </row>
    <row r="15365" spans="32:32" x14ac:dyDescent="0.2">
      <c r="AF15365" s="679"/>
    </row>
    <row r="15366" spans="32:32" x14ac:dyDescent="0.2">
      <c r="AF15366" s="679"/>
    </row>
    <row r="15367" spans="32:32" x14ac:dyDescent="0.2">
      <c r="AF15367" s="679"/>
    </row>
    <row r="15368" spans="32:32" x14ac:dyDescent="0.2">
      <c r="AF15368" s="679"/>
    </row>
    <row r="15369" spans="32:32" x14ac:dyDescent="0.2">
      <c r="AF15369" s="679"/>
    </row>
    <row r="15370" spans="32:32" x14ac:dyDescent="0.2">
      <c r="AF15370" s="679"/>
    </row>
    <row r="15371" spans="32:32" x14ac:dyDescent="0.2">
      <c r="AF15371" s="679"/>
    </row>
    <row r="15372" spans="32:32" x14ac:dyDescent="0.2">
      <c r="AF15372" s="679"/>
    </row>
    <row r="15373" spans="32:32" x14ac:dyDescent="0.2">
      <c r="AF15373" s="679"/>
    </row>
    <row r="15374" spans="32:32" x14ac:dyDescent="0.2">
      <c r="AF15374" s="679"/>
    </row>
    <row r="15375" spans="32:32" x14ac:dyDescent="0.2">
      <c r="AF15375" s="679"/>
    </row>
    <row r="15376" spans="32:32" x14ac:dyDescent="0.2">
      <c r="AF15376" s="679"/>
    </row>
    <row r="15377" spans="32:32" x14ac:dyDescent="0.2">
      <c r="AF15377" s="679"/>
    </row>
    <row r="15378" spans="32:32" x14ac:dyDescent="0.2">
      <c r="AF15378" s="679"/>
    </row>
    <row r="15379" spans="32:32" x14ac:dyDescent="0.2">
      <c r="AF15379" s="679"/>
    </row>
    <row r="15380" spans="32:32" x14ac:dyDescent="0.2">
      <c r="AF15380" s="679"/>
    </row>
    <row r="15381" spans="32:32" x14ac:dyDescent="0.2">
      <c r="AF15381" s="679"/>
    </row>
    <row r="15382" spans="32:32" x14ac:dyDescent="0.2">
      <c r="AF15382" s="679"/>
    </row>
    <row r="15383" spans="32:32" x14ac:dyDescent="0.2">
      <c r="AF15383" s="679"/>
    </row>
    <row r="15384" spans="32:32" x14ac:dyDescent="0.2">
      <c r="AF15384" s="679"/>
    </row>
    <row r="15385" spans="32:32" x14ac:dyDescent="0.2">
      <c r="AF15385" s="679"/>
    </row>
    <row r="15386" spans="32:32" x14ac:dyDescent="0.2">
      <c r="AF15386" s="679"/>
    </row>
    <row r="15387" spans="32:32" x14ac:dyDescent="0.2">
      <c r="AF15387" s="679"/>
    </row>
    <row r="15388" spans="32:32" x14ac:dyDescent="0.2">
      <c r="AF15388" s="679"/>
    </row>
    <row r="15389" spans="32:32" x14ac:dyDescent="0.2">
      <c r="AF15389" s="679"/>
    </row>
    <row r="15390" spans="32:32" x14ac:dyDescent="0.2">
      <c r="AF15390" s="679"/>
    </row>
    <row r="15391" spans="32:32" x14ac:dyDescent="0.2">
      <c r="AF15391" s="679"/>
    </row>
    <row r="15392" spans="32:32" x14ac:dyDescent="0.2">
      <c r="AF15392" s="679"/>
    </row>
    <row r="15393" spans="32:32" x14ac:dyDescent="0.2">
      <c r="AF15393" s="679"/>
    </row>
    <row r="15394" spans="32:32" x14ac:dyDescent="0.2">
      <c r="AF15394" s="679"/>
    </row>
    <row r="15395" spans="32:32" x14ac:dyDescent="0.2">
      <c r="AF15395" s="679"/>
    </row>
    <row r="15396" spans="32:32" x14ac:dyDescent="0.2">
      <c r="AF15396" s="679"/>
    </row>
    <row r="15397" spans="32:32" x14ac:dyDescent="0.2">
      <c r="AF15397" s="679"/>
    </row>
    <row r="15398" spans="32:32" x14ac:dyDescent="0.2">
      <c r="AF15398" s="679"/>
    </row>
    <row r="15399" spans="32:32" x14ac:dyDescent="0.2">
      <c r="AF15399" s="679"/>
    </row>
    <row r="15400" spans="32:32" x14ac:dyDescent="0.2">
      <c r="AF15400" s="679"/>
    </row>
    <row r="15401" spans="32:32" x14ac:dyDescent="0.2">
      <c r="AF15401" s="679"/>
    </row>
    <row r="15402" spans="32:32" x14ac:dyDescent="0.2">
      <c r="AF15402" s="679"/>
    </row>
    <row r="15403" spans="32:32" x14ac:dyDescent="0.2">
      <c r="AF15403" s="679"/>
    </row>
    <row r="15404" spans="32:32" x14ac:dyDescent="0.2">
      <c r="AF15404" s="679"/>
    </row>
    <row r="15405" spans="32:32" x14ac:dyDescent="0.2">
      <c r="AF15405" s="679"/>
    </row>
    <row r="15406" spans="32:32" x14ac:dyDescent="0.2">
      <c r="AF15406" s="679"/>
    </row>
    <row r="15407" spans="32:32" x14ac:dyDescent="0.2">
      <c r="AF15407" s="679"/>
    </row>
    <row r="15408" spans="32:32" x14ac:dyDescent="0.2">
      <c r="AF15408" s="679"/>
    </row>
    <row r="15409" spans="32:32" x14ac:dyDescent="0.2">
      <c r="AF15409" s="679"/>
    </row>
    <row r="15410" spans="32:32" x14ac:dyDescent="0.2">
      <c r="AF15410" s="679"/>
    </row>
    <row r="15411" spans="32:32" x14ac:dyDescent="0.2">
      <c r="AF15411" s="679"/>
    </row>
    <row r="15412" spans="32:32" x14ac:dyDescent="0.2">
      <c r="AF15412" s="679"/>
    </row>
    <row r="15413" spans="32:32" x14ac:dyDescent="0.2">
      <c r="AF15413" s="679"/>
    </row>
    <row r="15414" spans="32:32" x14ac:dyDescent="0.2">
      <c r="AF15414" s="679"/>
    </row>
    <row r="15415" spans="32:32" x14ac:dyDescent="0.2">
      <c r="AF15415" s="679"/>
    </row>
    <row r="15416" spans="32:32" x14ac:dyDescent="0.2">
      <c r="AF15416" s="679"/>
    </row>
    <row r="15417" spans="32:32" x14ac:dyDescent="0.2">
      <c r="AF15417" s="679"/>
    </row>
    <row r="15418" spans="32:32" x14ac:dyDescent="0.2">
      <c r="AF15418" s="679"/>
    </row>
    <row r="15419" spans="32:32" x14ac:dyDescent="0.2">
      <c r="AF15419" s="679"/>
    </row>
    <row r="15420" spans="32:32" x14ac:dyDescent="0.2">
      <c r="AF15420" s="679"/>
    </row>
    <row r="15421" spans="32:32" x14ac:dyDescent="0.2">
      <c r="AF15421" s="679"/>
    </row>
    <row r="15422" spans="32:32" x14ac:dyDescent="0.2">
      <c r="AF15422" s="679"/>
    </row>
    <row r="15423" spans="32:32" x14ac:dyDescent="0.2">
      <c r="AF15423" s="679"/>
    </row>
    <row r="15424" spans="32:32" x14ac:dyDescent="0.2">
      <c r="AF15424" s="679"/>
    </row>
    <row r="15425" spans="32:32" x14ac:dyDescent="0.2">
      <c r="AF15425" s="679"/>
    </row>
    <row r="15426" spans="32:32" x14ac:dyDescent="0.2">
      <c r="AF15426" s="679"/>
    </row>
    <row r="15427" spans="32:32" x14ac:dyDescent="0.2">
      <c r="AF15427" s="679"/>
    </row>
    <row r="15428" spans="32:32" x14ac:dyDescent="0.2">
      <c r="AF15428" s="679"/>
    </row>
    <row r="15429" spans="32:32" x14ac:dyDescent="0.2">
      <c r="AF15429" s="679"/>
    </row>
    <row r="15430" spans="32:32" x14ac:dyDescent="0.2">
      <c r="AF15430" s="679"/>
    </row>
    <row r="15431" spans="32:32" x14ac:dyDescent="0.2">
      <c r="AF15431" s="679"/>
    </row>
    <row r="15432" spans="32:32" x14ac:dyDescent="0.2">
      <c r="AF15432" s="679"/>
    </row>
    <row r="15433" spans="32:32" x14ac:dyDescent="0.2">
      <c r="AF15433" s="679"/>
    </row>
    <row r="15434" spans="32:32" x14ac:dyDescent="0.2">
      <c r="AF15434" s="679"/>
    </row>
    <row r="15435" spans="32:32" x14ac:dyDescent="0.2">
      <c r="AF15435" s="679"/>
    </row>
    <row r="15436" spans="32:32" x14ac:dyDescent="0.2">
      <c r="AF15436" s="679"/>
    </row>
    <row r="15437" spans="32:32" x14ac:dyDescent="0.2">
      <c r="AF15437" s="679"/>
    </row>
    <row r="15438" spans="32:32" x14ac:dyDescent="0.2">
      <c r="AF15438" s="679"/>
    </row>
    <row r="15439" spans="32:32" x14ac:dyDescent="0.2">
      <c r="AF15439" s="679"/>
    </row>
    <row r="15440" spans="32:32" x14ac:dyDescent="0.2">
      <c r="AF15440" s="679"/>
    </row>
    <row r="15441" spans="32:32" x14ac:dyDescent="0.2">
      <c r="AF15441" s="679"/>
    </row>
    <row r="15442" spans="32:32" x14ac:dyDescent="0.2">
      <c r="AF15442" s="679"/>
    </row>
    <row r="15443" spans="32:32" x14ac:dyDescent="0.2">
      <c r="AF15443" s="679"/>
    </row>
    <row r="15444" spans="32:32" x14ac:dyDescent="0.2">
      <c r="AF15444" s="679"/>
    </row>
    <row r="15445" spans="32:32" x14ac:dyDescent="0.2">
      <c r="AF15445" s="679"/>
    </row>
    <row r="15446" spans="32:32" x14ac:dyDescent="0.2">
      <c r="AF15446" s="679"/>
    </row>
    <row r="15447" spans="32:32" x14ac:dyDescent="0.2">
      <c r="AF15447" s="679"/>
    </row>
    <row r="15448" spans="32:32" x14ac:dyDescent="0.2">
      <c r="AF15448" s="679"/>
    </row>
    <row r="15449" spans="32:32" x14ac:dyDescent="0.2">
      <c r="AF15449" s="679"/>
    </row>
    <row r="15450" spans="32:32" x14ac:dyDescent="0.2">
      <c r="AF15450" s="679"/>
    </row>
    <row r="15451" spans="32:32" x14ac:dyDescent="0.2">
      <c r="AF15451" s="679"/>
    </row>
    <row r="15452" spans="32:32" x14ac:dyDescent="0.2">
      <c r="AF15452" s="679"/>
    </row>
    <row r="15453" spans="32:32" x14ac:dyDescent="0.2">
      <c r="AF15453" s="679"/>
    </row>
    <row r="15454" spans="32:32" x14ac:dyDescent="0.2">
      <c r="AF15454" s="679"/>
    </row>
    <row r="15455" spans="32:32" x14ac:dyDescent="0.2">
      <c r="AF15455" s="679"/>
    </row>
    <row r="15456" spans="32:32" x14ac:dyDescent="0.2">
      <c r="AF15456" s="679"/>
    </row>
    <row r="15457" spans="32:32" x14ac:dyDescent="0.2">
      <c r="AF15457" s="679"/>
    </row>
    <row r="15458" spans="32:32" x14ac:dyDescent="0.2">
      <c r="AF15458" s="679"/>
    </row>
    <row r="15459" spans="32:32" x14ac:dyDescent="0.2">
      <c r="AF15459" s="679"/>
    </row>
    <row r="15460" spans="32:32" x14ac:dyDescent="0.2">
      <c r="AF15460" s="679"/>
    </row>
    <row r="15461" spans="32:32" x14ac:dyDescent="0.2">
      <c r="AF15461" s="679"/>
    </row>
    <row r="15462" spans="32:32" x14ac:dyDescent="0.2">
      <c r="AF15462" s="679"/>
    </row>
    <row r="15463" spans="32:32" x14ac:dyDescent="0.2">
      <c r="AF15463" s="679"/>
    </row>
    <row r="15464" spans="32:32" x14ac:dyDescent="0.2">
      <c r="AF15464" s="679"/>
    </row>
    <row r="15465" spans="32:32" x14ac:dyDescent="0.2">
      <c r="AF15465" s="679"/>
    </row>
    <row r="15466" spans="32:32" x14ac:dyDescent="0.2">
      <c r="AF15466" s="679"/>
    </row>
    <row r="15467" spans="32:32" x14ac:dyDescent="0.2">
      <c r="AF15467" s="679"/>
    </row>
    <row r="15468" spans="32:32" x14ac:dyDescent="0.2">
      <c r="AF15468" s="679"/>
    </row>
    <row r="15469" spans="32:32" x14ac:dyDescent="0.2">
      <c r="AF15469" s="679"/>
    </row>
    <row r="15470" spans="32:32" x14ac:dyDescent="0.2">
      <c r="AF15470" s="679"/>
    </row>
    <row r="15471" spans="32:32" x14ac:dyDescent="0.2">
      <c r="AF15471" s="679"/>
    </row>
    <row r="15472" spans="32:32" x14ac:dyDescent="0.2">
      <c r="AF15472" s="679"/>
    </row>
    <row r="15473" spans="32:32" x14ac:dyDescent="0.2">
      <c r="AF15473" s="679"/>
    </row>
    <row r="15474" spans="32:32" x14ac:dyDescent="0.2">
      <c r="AF15474" s="679"/>
    </row>
    <row r="15475" spans="32:32" x14ac:dyDescent="0.2">
      <c r="AF15475" s="679"/>
    </row>
    <row r="15476" spans="32:32" x14ac:dyDescent="0.2">
      <c r="AF15476" s="679"/>
    </row>
    <row r="15477" spans="32:32" x14ac:dyDescent="0.2">
      <c r="AF15477" s="679"/>
    </row>
    <row r="15478" spans="32:32" x14ac:dyDescent="0.2">
      <c r="AF15478" s="679"/>
    </row>
    <row r="15479" spans="32:32" x14ac:dyDescent="0.2">
      <c r="AF15479" s="679"/>
    </row>
    <row r="15480" spans="32:32" x14ac:dyDescent="0.2">
      <c r="AF15480" s="679"/>
    </row>
    <row r="15481" spans="32:32" x14ac:dyDescent="0.2">
      <c r="AF15481" s="679"/>
    </row>
    <row r="15482" spans="32:32" x14ac:dyDescent="0.2">
      <c r="AF15482" s="679"/>
    </row>
    <row r="15483" spans="32:32" x14ac:dyDescent="0.2">
      <c r="AF15483" s="679"/>
    </row>
    <row r="15484" spans="32:32" x14ac:dyDescent="0.2">
      <c r="AF15484" s="679"/>
    </row>
    <row r="15485" spans="32:32" x14ac:dyDescent="0.2">
      <c r="AF15485" s="679"/>
    </row>
    <row r="15486" spans="32:32" x14ac:dyDescent="0.2">
      <c r="AF15486" s="679"/>
    </row>
    <row r="15487" spans="32:32" x14ac:dyDescent="0.2">
      <c r="AF15487" s="679"/>
    </row>
    <row r="15488" spans="32:32" x14ac:dyDescent="0.2">
      <c r="AF15488" s="679"/>
    </row>
    <row r="15489" spans="32:32" x14ac:dyDescent="0.2">
      <c r="AF15489" s="679"/>
    </row>
    <row r="15490" spans="32:32" x14ac:dyDescent="0.2">
      <c r="AF15490" s="679"/>
    </row>
    <row r="15491" spans="32:32" x14ac:dyDescent="0.2">
      <c r="AF15491" s="679"/>
    </row>
    <row r="15492" spans="32:32" x14ac:dyDescent="0.2">
      <c r="AF15492" s="679"/>
    </row>
    <row r="15493" spans="32:32" x14ac:dyDescent="0.2">
      <c r="AF15493" s="679"/>
    </row>
    <row r="15494" spans="32:32" x14ac:dyDescent="0.2">
      <c r="AF15494" s="679"/>
    </row>
    <row r="15495" spans="32:32" x14ac:dyDescent="0.2">
      <c r="AF15495" s="679"/>
    </row>
    <row r="15496" spans="32:32" x14ac:dyDescent="0.2">
      <c r="AF15496" s="679"/>
    </row>
    <row r="15497" spans="32:32" x14ac:dyDescent="0.2">
      <c r="AF15497" s="679"/>
    </row>
    <row r="15498" spans="32:32" x14ac:dyDescent="0.2">
      <c r="AF15498" s="679"/>
    </row>
    <row r="15499" spans="32:32" x14ac:dyDescent="0.2">
      <c r="AF15499" s="679"/>
    </row>
    <row r="15500" spans="32:32" x14ac:dyDescent="0.2">
      <c r="AF15500" s="679"/>
    </row>
    <row r="15501" spans="32:32" x14ac:dyDescent="0.2">
      <c r="AF15501" s="679"/>
    </row>
    <row r="15502" spans="32:32" x14ac:dyDescent="0.2">
      <c r="AF15502" s="679"/>
    </row>
    <row r="15503" spans="32:32" x14ac:dyDescent="0.2">
      <c r="AF15503" s="679"/>
    </row>
    <row r="15504" spans="32:32" x14ac:dyDescent="0.2">
      <c r="AF15504" s="679"/>
    </row>
    <row r="15505" spans="32:32" x14ac:dyDescent="0.2">
      <c r="AF15505" s="679"/>
    </row>
    <row r="15506" spans="32:32" x14ac:dyDescent="0.2">
      <c r="AF15506" s="679"/>
    </row>
    <row r="15507" spans="32:32" x14ac:dyDescent="0.2">
      <c r="AF15507" s="679"/>
    </row>
    <row r="15508" spans="32:32" x14ac:dyDescent="0.2">
      <c r="AF15508" s="679"/>
    </row>
    <row r="15509" spans="32:32" x14ac:dyDescent="0.2">
      <c r="AF15509" s="679"/>
    </row>
    <row r="15510" spans="32:32" x14ac:dyDescent="0.2">
      <c r="AF15510" s="679"/>
    </row>
    <row r="15511" spans="32:32" x14ac:dyDescent="0.2">
      <c r="AF15511" s="679"/>
    </row>
    <row r="15512" spans="32:32" x14ac:dyDescent="0.2">
      <c r="AF15512" s="679"/>
    </row>
    <row r="15513" spans="32:32" x14ac:dyDescent="0.2">
      <c r="AF15513" s="679"/>
    </row>
    <row r="15514" spans="32:32" x14ac:dyDescent="0.2">
      <c r="AF15514" s="679"/>
    </row>
    <row r="15515" spans="32:32" x14ac:dyDescent="0.2">
      <c r="AF15515" s="679"/>
    </row>
    <row r="15516" spans="32:32" x14ac:dyDescent="0.2">
      <c r="AF15516" s="679"/>
    </row>
    <row r="15517" spans="32:32" x14ac:dyDescent="0.2">
      <c r="AF15517" s="679"/>
    </row>
    <row r="15518" spans="32:32" x14ac:dyDescent="0.2">
      <c r="AF15518" s="679"/>
    </row>
    <row r="15519" spans="32:32" x14ac:dyDescent="0.2">
      <c r="AF15519" s="679"/>
    </row>
    <row r="15520" spans="32:32" x14ac:dyDescent="0.2">
      <c r="AF15520" s="679"/>
    </row>
    <row r="15521" spans="32:32" x14ac:dyDescent="0.2">
      <c r="AF15521" s="679"/>
    </row>
    <row r="15522" spans="32:32" x14ac:dyDescent="0.2">
      <c r="AF15522" s="679"/>
    </row>
    <row r="15523" spans="32:32" x14ac:dyDescent="0.2">
      <c r="AF15523" s="679"/>
    </row>
    <row r="15524" spans="32:32" x14ac:dyDescent="0.2">
      <c r="AF15524" s="679"/>
    </row>
    <row r="15525" spans="32:32" x14ac:dyDescent="0.2">
      <c r="AF15525" s="679"/>
    </row>
    <row r="15526" spans="32:32" x14ac:dyDescent="0.2">
      <c r="AF15526" s="679"/>
    </row>
    <row r="15527" spans="32:32" x14ac:dyDescent="0.2">
      <c r="AF15527" s="679"/>
    </row>
    <row r="15528" spans="32:32" x14ac:dyDescent="0.2">
      <c r="AF15528" s="679"/>
    </row>
    <row r="15529" spans="32:32" x14ac:dyDescent="0.2">
      <c r="AF15529" s="679"/>
    </row>
    <row r="15530" spans="32:32" x14ac:dyDescent="0.2">
      <c r="AF15530" s="679"/>
    </row>
    <row r="15531" spans="32:32" x14ac:dyDescent="0.2">
      <c r="AF15531" s="679"/>
    </row>
    <row r="15532" spans="32:32" x14ac:dyDescent="0.2">
      <c r="AF15532" s="679"/>
    </row>
    <row r="15533" spans="32:32" x14ac:dyDescent="0.2">
      <c r="AF15533" s="679"/>
    </row>
    <row r="15534" spans="32:32" x14ac:dyDescent="0.2">
      <c r="AF15534" s="679"/>
    </row>
    <row r="15535" spans="32:32" x14ac:dyDescent="0.2">
      <c r="AF15535" s="679"/>
    </row>
    <row r="15536" spans="32:32" x14ac:dyDescent="0.2">
      <c r="AF15536" s="679"/>
    </row>
    <row r="15537" spans="32:32" x14ac:dyDescent="0.2">
      <c r="AF15537" s="679"/>
    </row>
    <row r="15538" spans="32:32" x14ac:dyDescent="0.2">
      <c r="AF15538" s="679"/>
    </row>
    <row r="15539" spans="32:32" x14ac:dyDescent="0.2">
      <c r="AF15539" s="679"/>
    </row>
    <row r="15540" spans="32:32" x14ac:dyDescent="0.2">
      <c r="AF15540" s="679"/>
    </row>
    <row r="15541" spans="32:32" x14ac:dyDescent="0.2">
      <c r="AF15541" s="679"/>
    </row>
    <row r="15542" spans="32:32" x14ac:dyDescent="0.2">
      <c r="AF15542" s="679"/>
    </row>
    <row r="15543" spans="32:32" x14ac:dyDescent="0.2">
      <c r="AF15543" s="679"/>
    </row>
    <row r="15544" spans="32:32" x14ac:dyDescent="0.2">
      <c r="AF15544" s="679"/>
    </row>
    <row r="15545" spans="32:32" x14ac:dyDescent="0.2">
      <c r="AF15545" s="679"/>
    </row>
    <row r="15546" spans="32:32" x14ac:dyDescent="0.2">
      <c r="AF15546" s="679"/>
    </row>
    <row r="15547" spans="32:32" x14ac:dyDescent="0.2">
      <c r="AF15547" s="679"/>
    </row>
    <row r="15548" spans="32:32" x14ac:dyDescent="0.2">
      <c r="AF15548" s="679"/>
    </row>
    <row r="15549" spans="32:32" x14ac:dyDescent="0.2">
      <c r="AF15549" s="679"/>
    </row>
    <row r="15550" spans="32:32" x14ac:dyDescent="0.2">
      <c r="AF15550" s="679"/>
    </row>
    <row r="15551" spans="32:32" x14ac:dyDescent="0.2">
      <c r="AF15551" s="679"/>
    </row>
    <row r="15552" spans="32:32" x14ac:dyDescent="0.2">
      <c r="AF15552" s="679"/>
    </row>
    <row r="15553" spans="32:32" x14ac:dyDescent="0.2">
      <c r="AF15553" s="679"/>
    </row>
    <row r="15554" spans="32:32" x14ac:dyDescent="0.2">
      <c r="AF15554" s="679"/>
    </row>
    <row r="15555" spans="32:32" x14ac:dyDescent="0.2">
      <c r="AF15555" s="679"/>
    </row>
    <row r="15556" spans="32:32" x14ac:dyDescent="0.2">
      <c r="AF15556" s="679"/>
    </row>
    <row r="15557" spans="32:32" x14ac:dyDescent="0.2">
      <c r="AF15557" s="679"/>
    </row>
    <row r="15558" spans="32:32" x14ac:dyDescent="0.2">
      <c r="AF15558" s="679"/>
    </row>
    <row r="15559" spans="32:32" x14ac:dyDescent="0.2">
      <c r="AF15559" s="679"/>
    </row>
    <row r="15560" spans="32:32" x14ac:dyDescent="0.2">
      <c r="AF15560" s="679"/>
    </row>
    <row r="15561" spans="32:32" x14ac:dyDescent="0.2">
      <c r="AF15561" s="679"/>
    </row>
    <row r="15562" spans="32:32" x14ac:dyDescent="0.2">
      <c r="AF15562" s="679"/>
    </row>
    <row r="15563" spans="32:32" x14ac:dyDescent="0.2">
      <c r="AF15563" s="679"/>
    </row>
    <row r="15564" spans="32:32" x14ac:dyDescent="0.2">
      <c r="AF15564" s="679"/>
    </row>
    <row r="15565" spans="32:32" x14ac:dyDescent="0.2">
      <c r="AF15565" s="679"/>
    </row>
    <row r="15566" spans="32:32" x14ac:dyDescent="0.2">
      <c r="AF15566" s="679"/>
    </row>
    <row r="15567" spans="32:32" x14ac:dyDescent="0.2">
      <c r="AF15567" s="679"/>
    </row>
    <row r="15568" spans="32:32" x14ac:dyDescent="0.2">
      <c r="AF15568" s="679"/>
    </row>
    <row r="15569" spans="32:32" x14ac:dyDescent="0.2">
      <c r="AF15569" s="679"/>
    </row>
    <row r="15570" spans="32:32" x14ac:dyDescent="0.2">
      <c r="AF15570" s="679"/>
    </row>
    <row r="15571" spans="32:32" x14ac:dyDescent="0.2">
      <c r="AF15571" s="679"/>
    </row>
    <row r="15572" spans="32:32" x14ac:dyDescent="0.2">
      <c r="AF15572" s="679"/>
    </row>
    <row r="15573" spans="32:32" x14ac:dyDescent="0.2">
      <c r="AF15573" s="679"/>
    </row>
    <row r="15574" spans="32:32" x14ac:dyDescent="0.2">
      <c r="AF15574" s="679"/>
    </row>
    <row r="15575" spans="32:32" x14ac:dyDescent="0.2">
      <c r="AF15575" s="679"/>
    </row>
    <row r="15576" spans="32:32" x14ac:dyDescent="0.2">
      <c r="AF15576" s="679"/>
    </row>
    <row r="15577" spans="32:32" x14ac:dyDescent="0.2">
      <c r="AF15577" s="679"/>
    </row>
    <row r="15578" spans="32:32" x14ac:dyDescent="0.2">
      <c r="AF15578" s="679"/>
    </row>
    <row r="15579" spans="32:32" x14ac:dyDescent="0.2">
      <c r="AF15579" s="679"/>
    </row>
    <row r="15580" spans="32:32" x14ac:dyDescent="0.2">
      <c r="AF15580" s="679"/>
    </row>
    <row r="15581" spans="32:32" x14ac:dyDescent="0.2">
      <c r="AF15581" s="679"/>
    </row>
    <row r="15582" spans="32:32" x14ac:dyDescent="0.2">
      <c r="AF15582" s="679"/>
    </row>
    <row r="15583" spans="32:32" x14ac:dyDescent="0.2">
      <c r="AF15583" s="679"/>
    </row>
    <row r="15584" spans="32:32" x14ac:dyDescent="0.2">
      <c r="AF15584" s="679"/>
    </row>
    <row r="15585" spans="32:32" x14ac:dyDescent="0.2">
      <c r="AF15585" s="679"/>
    </row>
    <row r="15586" spans="32:32" x14ac:dyDescent="0.2">
      <c r="AF15586" s="679"/>
    </row>
    <row r="15587" spans="32:32" x14ac:dyDescent="0.2">
      <c r="AF15587" s="679"/>
    </row>
    <row r="15588" spans="32:32" x14ac:dyDescent="0.2">
      <c r="AF15588" s="679"/>
    </row>
    <row r="15589" spans="32:32" x14ac:dyDescent="0.2">
      <c r="AF15589" s="679"/>
    </row>
    <row r="15590" spans="32:32" x14ac:dyDescent="0.2">
      <c r="AF15590" s="679"/>
    </row>
    <row r="15591" spans="32:32" x14ac:dyDescent="0.2">
      <c r="AF15591" s="679"/>
    </row>
    <row r="15592" spans="32:32" x14ac:dyDescent="0.2">
      <c r="AF15592" s="679"/>
    </row>
    <row r="15593" spans="32:32" x14ac:dyDescent="0.2">
      <c r="AF15593" s="679"/>
    </row>
    <row r="15594" spans="32:32" x14ac:dyDescent="0.2">
      <c r="AF15594" s="679"/>
    </row>
    <row r="15595" spans="32:32" x14ac:dyDescent="0.2">
      <c r="AF15595" s="679"/>
    </row>
    <row r="15596" spans="32:32" x14ac:dyDescent="0.2">
      <c r="AF15596" s="679"/>
    </row>
    <row r="15597" spans="32:32" x14ac:dyDescent="0.2">
      <c r="AF15597" s="679"/>
    </row>
    <row r="15598" spans="32:32" x14ac:dyDescent="0.2">
      <c r="AF15598" s="679"/>
    </row>
    <row r="15599" spans="32:32" x14ac:dyDescent="0.2">
      <c r="AF15599" s="679"/>
    </row>
    <row r="15600" spans="32:32" x14ac:dyDescent="0.2">
      <c r="AF15600" s="679"/>
    </row>
    <row r="15601" spans="32:32" x14ac:dyDescent="0.2">
      <c r="AF15601" s="679"/>
    </row>
    <row r="15602" spans="32:32" x14ac:dyDescent="0.2">
      <c r="AF15602" s="679"/>
    </row>
    <row r="15603" spans="32:32" x14ac:dyDescent="0.2">
      <c r="AF15603" s="679"/>
    </row>
    <row r="15604" spans="32:32" x14ac:dyDescent="0.2">
      <c r="AF15604" s="679"/>
    </row>
    <row r="15605" spans="32:32" x14ac:dyDescent="0.2">
      <c r="AF15605" s="679"/>
    </row>
    <row r="15606" spans="32:32" x14ac:dyDescent="0.2">
      <c r="AF15606" s="679"/>
    </row>
    <row r="15607" spans="32:32" x14ac:dyDescent="0.2">
      <c r="AF15607" s="679"/>
    </row>
    <row r="15608" spans="32:32" x14ac:dyDescent="0.2">
      <c r="AF15608" s="679"/>
    </row>
    <row r="15609" spans="32:32" x14ac:dyDescent="0.2">
      <c r="AF15609" s="679"/>
    </row>
    <row r="15610" spans="32:32" x14ac:dyDescent="0.2">
      <c r="AF15610" s="679"/>
    </row>
    <row r="15611" spans="32:32" x14ac:dyDescent="0.2">
      <c r="AF15611" s="679"/>
    </row>
    <row r="15612" spans="32:32" x14ac:dyDescent="0.2">
      <c r="AF15612" s="679"/>
    </row>
    <row r="15613" spans="32:32" x14ac:dyDescent="0.2">
      <c r="AF15613" s="679"/>
    </row>
    <row r="15614" spans="32:32" x14ac:dyDescent="0.2">
      <c r="AF15614" s="679"/>
    </row>
    <row r="15615" spans="32:32" x14ac:dyDescent="0.2">
      <c r="AF15615" s="679"/>
    </row>
    <row r="15616" spans="32:32" x14ac:dyDescent="0.2">
      <c r="AF15616" s="679"/>
    </row>
    <row r="15617" spans="32:32" x14ac:dyDescent="0.2">
      <c r="AF15617" s="679"/>
    </row>
    <row r="15618" spans="32:32" x14ac:dyDescent="0.2">
      <c r="AF15618" s="679"/>
    </row>
    <row r="15619" spans="32:32" x14ac:dyDescent="0.2">
      <c r="AF15619" s="679"/>
    </row>
    <row r="15620" spans="32:32" x14ac:dyDescent="0.2">
      <c r="AF15620" s="679"/>
    </row>
    <row r="15621" spans="32:32" x14ac:dyDescent="0.2">
      <c r="AF15621" s="679"/>
    </row>
    <row r="15622" spans="32:32" x14ac:dyDescent="0.2">
      <c r="AF15622" s="679"/>
    </row>
    <row r="15623" spans="32:32" x14ac:dyDescent="0.2">
      <c r="AF15623" s="679"/>
    </row>
    <row r="15624" spans="32:32" x14ac:dyDescent="0.2">
      <c r="AF15624" s="679"/>
    </row>
    <row r="15625" spans="32:32" x14ac:dyDescent="0.2">
      <c r="AF15625" s="679"/>
    </row>
    <row r="15626" spans="32:32" x14ac:dyDescent="0.2">
      <c r="AF15626" s="679"/>
    </row>
    <row r="15627" spans="32:32" x14ac:dyDescent="0.2">
      <c r="AF15627" s="679"/>
    </row>
    <row r="15628" spans="32:32" x14ac:dyDescent="0.2">
      <c r="AF15628" s="679"/>
    </row>
    <row r="15629" spans="32:32" x14ac:dyDescent="0.2">
      <c r="AF15629" s="679"/>
    </row>
    <row r="15630" spans="32:32" x14ac:dyDescent="0.2">
      <c r="AF15630" s="679"/>
    </row>
    <row r="15631" spans="32:32" x14ac:dyDescent="0.2">
      <c r="AF15631" s="679"/>
    </row>
    <row r="15632" spans="32:32" x14ac:dyDescent="0.2">
      <c r="AF15632" s="679"/>
    </row>
    <row r="15633" spans="32:32" x14ac:dyDescent="0.2">
      <c r="AF15633" s="679"/>
    </row>
    <row r="15634" spans="32:32" x14ac:dyDescent="0.2">
      <c r="AF15634" s="679"/>
    </row>
    <row r="15635" spans="32:32" x14ac:dyDescent="0.2">
      <c r="AF15635" s="679"/>
    </row>
    <row r="15636" spans="32:32" x14ac:dyDescent="0.2">
      <c r="AF15636" s="679"/>
    </row>
    <row r="15637" spans="32:32" x14ac:dyDescent="0.2">
      <c r="AF15637" s="679"/>
    </row>
    <row r="15638" spans="32:32" x14ac:dyDescent="0.2">
      <c r="AF15638" s="679"/>
    </row>
    <row r="15639" spans="32:32" x14ac:dyDescent="0.2">
      <c r="AF15639" s="679"/>
    </row>
    <row r="15640" spans="32:32" x14ac:dyDescent="0.2">
      <c r="AF15640" s="679"/>
    </row>
    <row r="15641" spans="32:32" x14ac:dyDescent="0.2">
      <c r="AF15641" s="679"/>
    </row>
    <row r="15642" spans="32:32" x14ac:dyDescent="0.2">
      <c r="AF15642" s="679"/>
    </row>
    <row r="15643" spans="32:32" x14ac:dyDescent="0.2">
      <c r="AF15643" s="679"/>
    </row>
    <row r="15644" spans="32:32" x14ac:dyDescent="0.2">
      <c r="AF15644" s="679"/>
    </row>
    <row r="15645" spans="32:32" x14ac:dyDescent="0.2">
      <c r="AF15645" s="679"/>
    </row>
    <row r="15646" spans="32:32" x14ac:dyDescent="0.2">
      <c r="AF15646" s="679"/>
    </row>
    <row r="15647" spans="32:32" x14ac:dyDescent="0.2">
      <c r="AF15647" s="679"/>
    </row>
    <row r="15648" spans="32:32" x14ac:dyDescent="0.2">
      <c r="AF15648" s="679"/>
    </row>
    <row r="15649" spans="32:32" x14ac:dyDescent="0.2">
      <c r="AF15649" s="679"/>
    </row>
    <row r="15650" spans="32:32" x14ac:dyDescent="0.2">
      <c r="AF15650" s="679"/>
    </row>
    <row r="15651" spans="32:32" x14ac:dyDescent="0.2">
      <c r="AF15651" s="679"/>
    </row>
    <row r="15652" spans="32:32" x14ac:dyDescent="0.2">
      <c r="AF15652" s="679"/>
    </row>
    <row r="15653" spans="32:32" x14ac:dyDescent="0.2">
      <c r="AF15653" s="679"/>
    </row>
    <row r="15654" spans="32:32" x14ac:dyDescent="0.2">
      <c r="AF15654" s="679"/>
    </row>
    <row r="15655" spans="32:32" x14ac:dyDescent="0.2">
      <c r="AF15655" s="679"/>
    </row>
    <row r="15656" spans="32:32" x14ac:dyDescent="0.2">
      <c r="AF15656" s="679"/>
    </row>
    <row r="15657" spans="32:32" x14ac:dyDescent="0.2">
      <c r="AF15657" s="679"/>
    </row>
    <row r="15658" spans="32:32" x14ac:dyDescent="0.2">
      <c r="AF15658" s="679"/>
    </row>
    <row r="15659" spans="32:32" x14ac:dyDescent="0.2">
      <c r="AF15659" s="679"/>
    </row>
    <row r="15660" spans="32:32" x14ac:dyDescent="0.2">
      <c r="AF15660" s="679"/>
    </row>
    <row r="15661" spans="32:32" x14ac:dyDescent="0.2">
      <c r="AF15661" s="679"/>
    </row>
    <row r="15662" spans="32:32" x14ac:dyDescent="0.2">
      <c r="AF15662" s="679"/>
    </row>
    <row r="15663" spans="32:32" x14ac:dyDescent="0.2">
      <c r="AF15663" s="679"/>
    </row>
    <row r="15664" spans="32:32" x14ac:dyDescent="0.2">
      <c r="AF15664" s="679"/>
    </row>
    <row r="15665" spans="32:32" x14ac:dyDescent="0.2">
      <c r="AF15665" s="679"/>
    </row>
    <row r="15666" spans="32:32" x14ac:dyDescent="0.2">
      <c r="AF15666" s="679"/>
    </row>
    <row r="15667" spans="32:32" x14ac:dyDescent="0.2">
      <c r="AF15667" s="679"/>
    </row>
    <row r="15668" spans="32:32" x14ac:dyDescent="0.2">
      <c r="AF15668" s="679"/>
    </row>
    <row r="15669" spans="32:32" x14ac:dyDescent="0.2">
      <c r="AF15669" s="679"/>
    </row>
    <row r="15670" spans="32:32" x14ac:dyDescent="0.2">
      <c r="AF15670" s="679"/>
    </row>
    <row r="15671" spans="32:32" x14ac:dyDescent="0.2">
      <c r="AF15671" s="679"/>
    </row>
    <row r="15672" spans="32:32" x14ac:dyDescent="0.2">
      <c r="AF15672" s="679"/>
    </row>
    <row r="15673" spans="32:32" x14ac:dyDescent="0.2">
      <c r="AF15673" s="679"/>
    </row>
    <row r="15674" spans="32:32" x14ac:dyDescent="0.2">
      <c r="AF15674" s="679"/>
    </row>
    <row r="15675" spans="32:32" x14ac:dyDescent="0.2">
      <c r="AF15675" s="679"/>
    </row>
    <row r="15676" spans="32:32" x14ac:dyDescent="0.2">
      <c r="AF15676" s="679"/>
    </row>
    <row r="15677" spans="32:32" x14ac:dyDescent="0.2">
      <c r="AF15677" s="679"/>
    </row>
    <row r="15678" spans="32:32" x14ac:dyDescent="0.2">
      <c r="AF15678" s="679"/>
    </row>
    <row r="15679" spans="32:32" x14ac:dyDescent="0.2">
      <c r="AF15679" s="679"/>
    </row>
    <row r="15680" spans="32:32" x14ac:dyDescent="0.2">
      <c r="AF15680" s="679"/>
    </row>
    <row r="15681" spans="32:32" x14ac:dyDescent="0.2">
      <c r="AF15681" s="679"/>
    </row>
    <row r="15682" spans="32:32" x14ac:dyDescent="0.2">
      <c r="AF15682" s="679"/>
    </row>
    <row r="15683" spans="32:32" x14ac:dyDescent="0.2">
      <c r="AF15683" s="679"/>
    </row>
    <row r="15684" spans="32:32" x14ac:dyDescent="0.2">
      <c r="AF15684" s="679"/>
    </row>
    <row r="15685" spans="32:32" x14ac:dyDescent="0.2">
      <c r="AF15685" s="679"/>
    </row>
    <row r="15686" spans="32:32" x14ac:dyDescent="0.2">
      <c r="AF15686" s="679"/>
    </row>
    <row r="15687" spans="32:32" x14ac:dyDescent="0.2">
      <c r="AF15687" s="679"/>
    </row>
    <row r="15688" spans="32:32" x14ac:dyDescent="0.2">
      <c r="AF15688" s="679"/>
    </row>
    <row r="15689" spans="32:32" x14ac:dyDescent="0.2">
      <c r="AF15689" s="679"/>
    </row>
    <row r="15690" spans="32:32" x14ac:dyDescent="0.2">
      <c r="AF15690" s="679"/>
    </row>
    <row r="15691" spans="32:32" x14ac:dyDescent="0.2">
      <c r="AF15691" s="679"/>
    </row>
    <row r="15692" spans="32:32" x14ac:dyDescent="0.2">
      <c r="AF15692" s="679"/>
    </row>
    <row r="15693" spans="32:32" x14ac:dyDescent="0.2">
      <c r="AF15693" s="679"/>
    </row>
    <row r="15694" spans="32:32" x14ac:dyDescent="0.2">
      <c r="AF15694" s="679"/>
    </row>
    <row r="15695" spans="32:32" x14ac:dyDescent="0.2">
      <c r="AF15695" s="679"/>
    </row>
    <row r="15696" spans="32:32" x14ac:dyDescent="0.2">
      <c r="AF15696" s="679"/>
    </row>
    <row r="15697" spans="32:32" x14ac:dyDescent="0.2">
      <c r="AF15697" s="679"/>
    </row>
    <row r="15698" spans="32:32" x14ac:dyDescent="0.2">
      <c r="AF15698" s="679"/>
    </row>
    <row r="15699" spans="32:32" x14ac:dyDescent="0.2">
      <c r="AF15699" s="679"/>
    </row>
    <row r="15700" spans="32:32" x14ac:dyDescent="0.2">
      <c r="AF15700" s="679"/>
    </row>
    <row r="15701" spans="32:32" x14ac:dyDescent="0.2">
      <c r="AF15701" s="679"/>
    </row>
    <row r="15702" spans="32:32" x14ac:dyDescent="0.2">
      <c r="AF15702" s="679"/>
    </row>
    <row r="15703" spans="32:32" x14ac:dyDescent="0.2">
      <c r="AF15703" s="679"/>
    </row>
    <row r="15704" spans="32:32" x14ac:dyDescent="0.2">
      <c r="AF15704" s="679"/>
    </row>
    <row r="15705" spans="32:32" x14ac:dyDescent="0.2">
      <c r="AF15705" s="679"/>
    </row>
    <row r="15706" spans="32:32" x14ac:dyDescent="0.2">
      <c r="AF15706" s="679"/>
    </row>
    <row r="15707" spans="32:32" x14ac:dyDescent="0.2">
      <c r="AF15707" s="679"/>
    </row>
    <row r="15708" spans="32:32" x14ac:dyDescent="0.2">
      <c r="AF15708" s="679"/>
    </row>
    <row r="15709" spans="32:32" x14ac:dyDescent="0.2">
      <c r="AF15709" s="679"/>
    </row>
    <row r="15710" spans="32:32" x14ac:dyDescent="0.2">
      <c r="AF15710" s="679"/>
    </row>
    <row r="15711" spans="32:32" x14ac:dyDescent="0.2">
      <c r="AF15711" s="679"/>
    </row>
    <row r="15712" spans="32:32" x14ac:dyDescent="0.2">
      <c r="AF15712" s="679"/>
    </row>
    <row r="15713" spans="32:32" x14ac:dyDescent="0.2">
      <c r="AF15713" s="679"/>
    </row>
    <row r="15714" spans="32:32" x14ac:dyDescent="0.2">
      <c r="AF15714" s="679"/>
    </row>
    <row r="15715" spans="32:32" x14ac:dyDescent="0.2">
      <c r="AF15715" s="679"/>
    </row>
    <row r="15716" spans="32:32" x14ac:dyDescent="0.2">
      <c r="AF15716" s="679"/>
    </row>
    <row r="15717" spans="32:32" x14ac:dyDescent="0.2">
      <c r="AF15717" s="679"/>
    </row>
    <row r="15718" spans="32:32" x14ac:dyDescent="0.2">
      <c r="AF15718" s="679"/>
    </row>
    <row r="15719" spans="32:32" x14ac:dyDescent="0.2">
      <c r="AF15719" s="679"/>
    </row>
    <row r="15720" spans="32:32" x14ac:dyDescent="0.2">
      <c r="AF15720" s="679"/>
    </row>
    <row r="15721" spans="32:32" x14ac:dyDescent="0.2">
      <c r="AF15721" s="679"/>
    </row>
    <row r="15722" spans="32:32" x14ac:dyDescent="0.2">
      <c r="AF15722" s="679"/>
    </row>
    <row r="15723" spans="32:32" x14ac:dyDescent="0.2">
      <c r="AF15723" s="679"/>
    </row>
    <row r="15724" spans="32:32" x14ac:dyDescent="0.2">
      <c r="AF15724" s="679"/>
    </row>
    <row r="15725" spans="32:32" x14ac:dyDescent="0.2">
      <c r="AF15725" s="679"/>
    </row>
    <row r="15726" spans="32:32" x14ac:dyDescent="0.2">
      <c r="AF15726" s="679"/>
    </row>
    <row r="15727" spans="32:32" x14ac:dyDescent="0.2">
      <c r="AF15727" s="679"/>
    </row>
    <row r="15728" spans="32:32" x14ac:dyDescent="0.2">
      <c r="AF15728" s="679"/>
    </row>
    <row r="15729" spans="32:32" x14ac:dyDescent="0.2">
      <c r="AF15729" s="679"/>
    </row>
    <row r="15730" spans="32:32" x14ac:dyDescent="0.2">
      <c r="AF15730" s="679"/>
    </row>
    <row r="15731" spans="32:32" x14ac:dyDescent="0.2">
      <c r="AF15731" s="679"/>
    </row>
    <row r="15732" spans="32:32" x14ac:dyDescent="0.2">
      <c r="AF15732" s="679"/>
    </row>
    <row r="15733" spans="32:32" x14ac:dyDescent="0.2">
      <c r="AF15733" s="679"/>
    </row>
    <row r="15734" spans="32:32" x14ac:dyDescent="0.2">
      <c r="AF15734" s="679"/>
    </row>
    <row r="15735" spans="32:32" x14ac:dyDescent="0.2">
      <c r="AF15735" s="679"/>
    </row>
    <row r="15736" spans="32:32" x14ac:dyDescent="0.2">
      <c r="AF15736" s="679"/>
    </row>
    <row r="15737" spans="32:32" x14ac:dyDescent="0.2">
      <c r="AF15737" s="679"/>
    </row>
    <row r="15738" spans="32:32" x14ac:dyDescent="0.2">
      <c r="AF15738" s="679"/>
    </row>
    <row r="15739" spans="32:32" x14ac:dyDescent="0.2">
      <c r="AF15739" s="679"/>
    </row>
    <row r="15740" spans="32:32" x14ac:dyDescent="0.2">
      <c r="AF15740" s="679"/>
    </row>
    <row r="15741" spans="32:32" x14ac:dyDescent="0.2">
      <c r="AF15741" s="679"/>
    </row>
    <row r="15742" spans="32:32" x14ac:dyDescent="0.2">
      <c r="AF15742" s="679"/>
    </row>
    <row r="15743" spans="32:32" x14ac:dyDescent="0.2">
      <c r="AF15743" s="679"/>
    </row>
    <row r="15744" spans="32:32" x14ac:dyDescent="0.2">
      <c r="AF15744" s="679"/>
    </row>
    <row r="15745" spans="32:32" x14ac:dyDescent="0.2">
      <c r="AF15745" s="679"/>
    </row>
    <row r="15746" spans="32:32" x14ac:dyDescent="0.2">
      <c r="AF15746" s="679"/>
    </row>
    <row r="15747" spans="32:32" x14ac:dyDescent="0.2">
      <c r="AF15747" s="679"/>
    </row>
    <row r="15748" spans="32:32" x14ac:dyDescent="0.2">
      <c r="AF15748" s="679"/>
    </row>
    <row r="15749" spans="32:32" x14ac:dyDescent="0.2">
      <c r="AF15749" s="679"/>
    </row>
    <row r="15750" spans="32:32" x14ac:dyDescent="0.2">
      <c r="AF15750" s="679"/>
    </row>
    <row r="15751" spans="32:32" x14ac:dyDescent="0.2">
      <c r="AF15751" s="679"/>
    </row>
    <row r="15752" spans="32:32" x14ac:dyDescent="0.2">
      <c r="AF15752" s="679"/>
    </row>
    <row r="15753" spans="32:32" x14ac:dyDescent="0.2">
      <c r="AF15753" s="679"/>
    </row>
    <row r="15754" spans="32:32" x14ac:dyDescent="0.2">
      <c r="AF15754" s="679"/>
    </row>
    <row r="15755" spans="32:32" x14ac:dyDescent="0.2">
      <c r="AF15755" s="679"/>
    </row>
    <row r="15756" spans="32:32" x14ac:dyDescent="0.2">
      <c r="AF15756" s="679"/>
    </row>
    <row r="15757" spans="32:32" x14ac:dyDescent="0.2">
      <c r="AF15757" s="679"/>
    </row>
    <row r="15758" spans="32:32" x14ac:dyDescent="0.2">
      <c r="AF15758" s="679"/>
    </row>
    <row r="15759" spans="32:32" x14ac:dyDescent="0.2">
      <c r="AF15759" s="679"/>
    </row>
    <row r="15760" spans="32:32" x14ac:dyDescent="0.2">
      <c r="AF15760" s="679"/>
    </row>
    <row r="15761" spans="32:32" x14ac:dyDescent="0.2">
      <c r="AF15761" s="679"/>
    </row>
    <row r="15762" spans="32:32" x14ac:dyDescent="0.2">
      <c r="AF15762" s="679"/>
    </row>
    <row r="15763" spans="32:32" x14ac:dyDescent="0.2">
      <c r="AF15763" s="679"/>
    </row>
    <row r="15764" spans="32:32" x14ac:dyDescent="0.2">
      <c r="AF15764" s="679"/>
    </row>
    <row r="15765" spans="32:32" x14ac:dyDescent="0.2">
      <c r="AF15765" s="679"/>
    </row>
    <row r="15766" spans="32:32" x14ac:dyDescent="0.2">
      <c r="AF15766" s="679"/>
    </row>
    <row r="15767" spans="32:32" x14ac:dyDescent="0.2">
      <c r="AF15767" s="679"/>
    </row>
    <row r="15768" spans="32:32" x14ac:dyDescent="0.2">
      <c r="AF15768" s="679"/>
    </row>
    <row r="15769" spans="32:32" x14ac:dyDescent="0.2">
      <c r="AF15769" s="679"/>
    </row>
    <row r="15770" spans="32:32" x14ac:dyDescent="0.2">
      <c r="AF15770" s="679"/>
    </row>
    <row r="15771" spans="32:32" x14ac:dyDescent="0.2">
      <c r="AF15771" s="679"/>
    </row>
    <row r="15772" spans="32:32" x14ac:dyDescent="0.2">
      <c r="AF15772" s="679"/>
    </row>
    <row r="15773" spans="32:32" x14ac:dyDescent="0.2">
      <c r="AF15773" s="679"/>
    </row>
    <row r="15774" spans="32:32" x14ac:dyDescent="0.2">
      <c r="AF15774" s="679"/>
    </row>
    <row r="15775" spans="32:32" x14ac:dyDescent="0.2">
      <c r="AF15775" s="679"/>
    </row>
    <row r="15776" spans="32:32" x14ac:dyDescent="0.2">
      <c r="AF15776" s="679"/>
    </row>
    <row r="15777" spans="32:32" x14ac:dyDescent="0.2">
      <c r="AF15777" s="679"/>
    </row>
    <row r="15778" spans="32:32" x14ac:dyDescent="0.2">
      <c r="AF15778" s="679"/>
    </row>
    <row r="15779" spans="32:32" x14ac:dyDescent="0.2">
      <c r="AF15779" s="679"/>
    </row>
    <row r="15780" spans="32:32" x14ac:dyDescent="0.2">
      <c r="AF15780" s="679"/>
    </row>
    <row r="15781" spans="32:32" x14ac:dyDescent="0.2">
      <c r="AF15781" s="679"/>
    </row>
    <row r="15782" spans="32:32" x14ac:dyDescent="0.2">
      <c r="AF15782" s="679"/>
    </row>
    <row r="15783" spans="32:32" x14ac:dyDescent="0.2">
      <c r="AF15783" s="679"/>
    </row>
    <row r="15784" spans="32:32" x14ac:dyDescent="0.2">
      <c r="AF15784" s="679"/>
    </row>
    <row r="15785" spans="32:32" x14ac:dyDescent="0.2">
      <c r="AF15785" s="679"/>
    </row>
    <row r="15786" spans="32:32" x14ac:dyDescent="0.2">
      <c r="AF15786" s="679"/>
    </row>
    <row r="15787" spans="32:32" x14ac:dyDescent="0.2">
      <c r="AF15787" s="679"/>
    </row>
    <row r="15788" spans="32:32" x14ac:dyDescent="0.2">
      <c r="AF15788" s="679"/>
    </row>
    <row r="15789" spans="32:32" x14ac:dyDescent="0.2">
      <c r="AF15789" s="679"/>
    </row>
    <row r="15790" spans="32:32" x14ac:dyDescent="0.2">
      <c r="AF15790" s="679"/>
    </row>
    <row r="15791" spans="32:32" x14ac:dyDescent="0.2">
      <c r="AF15791" s="679"/>
    </row>
    <row r="15792" spans="32:32" x14ac:dyDescent="0.2">
      <c r="AF15792" s="679"/>
    </row>
    <row r="15793" spans="32:32" x14ac:dyDescent="0.2">
      <c r="AF15793" s="679"/>
    </row>
    <row r="15794" spans="32:32" x14ac:dyDescent="0.2">
      <c r="AF15794" s="679"/>
    </row>
    <row r="15795" spans="32:32" x14ac:dyDescent="0.2">
      <c r="AF15795" s="679"/>
    </row>
    <row r="15796" spans="32:32" x14ac:dyDescent="0.2">
      <c r="AF15796" s="679"/>
    </row>
    <row r="15797" spans="32:32" x14ac:dyDescent="0.2">
      <c r="AF15797" s="679"/>
    </row>
    <row r="15798" spans="32:32" x14ac:dyDescent="0.2">
      <c r="AF15798" s="679"/>
    </row>
    <row r="15799" spans="32:32" x14ac:dyDescent="0.2">
      <c r="AF15799" s="679"/>
    </row>
    <row r="15800" spans="32:32" x14ac:dyDescent="0.2">
      <c r="AF15800" s="679"/>
    </row>
    <row r="15801" spans="32:32" x14ac:dyDescent="0.2">
      <c r="AF15801" s="679"/>
    </row>
    <row r="15802" spans="32:32" x14ac:dyDescent="0.2">
      <c r="AF15802" s="679"/>
    </row>
    <row r="15803" spans="32:32" x14ac:dyDescent="0.2">
      <c r="AF15803" s="679"/>
    </row>
    <row r="15804" spans="32:32" x14ac:dyDescent="0.2">
      <c r="AF15804" s="679"/>
    </row>
    <row r="15805" spans="32:32" x14ac:dyDescent="0.2">
      <c r="AF15805" s="679"/>
    </row>
    <row r="15806" spans="32:32" x14ac:dyDescent="0.2">
      <c r="AF15806" s="679"/>
    </row>
    <row r="15807" spans="32:32" x14ac:dyDescent="0.2">
      <c r="AF15807" s="679"/>
    </row>
    <row r="15808" spans="32:32" x14ac:dyDescent="0.2">
      <c r="AF15808" s="679"/>
    </row>
    <row r="15809" spans="32:32" x14ac:dyDescent="0.2">
      <c r="AF15809" s="679"/>
    </row>
    <row r="15810" spans="32:32" x14ac:dyDescent="0.2">
      <c r="AF15810" s="679"/>
    </row>
    <row r="15811" spans="32:32" x14ac:dyDescent="0.2">
      <c r="AF15811" s="679"/>
    </row>
    <row r="15812" spans="32:32" x14ac:dyDescent="0.2">
      <c r="AF15812" s="679"/>
    </row>
    <row r="15813" spans="32:32" x14ac:dyDescent="0.2">
      <c r="AF15813" s="679"/>
    </row>
    <row r="15814" spans="32:32" x14ac:dyDescent="0.2">
      <c r="AF15814" s="679"/>
    </row>
    <row r="15815" spans="32:32" x14ac:dyDescent="0.2">
      <c r="AF15815" s="679"/>
    </row>
    <row r="15816" spans="32:32" x14ac:dyDescent="0.2">
      <c r="AF15816" s="679"/>
    </row>
    <row r="15817" spans="32:32" x14ac:dyDescent="0.2">
      <c r="AF15817" s="679"/>
    </row>
    <row r="15818" spans="32:32" x14ac:dyDescent="0.2">
      <c r="AF15818" s="679"/>
    </row>
    <row r="15819" spans="32:32" x14ac:dyDescent="0.2">
      <c r="AF15819" s="679"/>
    </row>
    <row r="15820" spans="32:32" x14ac:dyDescent="0.2">
      <c r="AF15820" s="679"/>
    </row>
    <row r="15821" spans="32:32" x14ac:dyDescent="0.2">
      <c r="AF15821" s="679"/>
    </row>
    <row r="15822" spans="32:32" x14ac:dyDescent="0.2">
      <c r="AF15822" s="679"/>
    </row>
    <row r="15823" spans="32:32" x14ac:dyDescent="0.2">
      <c r="AF15823" s="679"/>
    </row>
    <row r="15824" spans="32:32" x14ac:dyDescent="0.2">
      <c r="AF15824" s="679"/>
    </row>
    <row r="15825" spans="32:32" x14ac:dyDescent="0.2">
      <c r="AF15825" s="679"/>
    </row>
    <row r="15826" spans="32:32" x14ac:dyDescent="0.2">
      <c r="AF15826" s="679"/>
    </row>
    <row r="15827" spans="32:32" x14ac:dyDescent="0.2">
      <c r="AF15827" s="679"/>
    </row>
    <row r="15828" spans="32:32" x14ac:dyDescent="0.2">
      <c r="AF15828" s="679"/>
    </row>
    <row r="15829" spans="32:32" x14ac:dyDescent="0.2">
      <c r="AF15829" s="679"/>
    </row>
    <row r="15830" spans="32:32" x14ac:dyDescent="0.2">
      <c r="AF15830" s="679"/>
    </row>
    <row r="15831" spans="32:32" x14ac:dyDescent="0.2">
      <c r="AF15831" s="679"/>
    </row>
    <row r="15832" spans="32:32" x14ac:dyDescent="0.2">
      <c r="AF15832" s="679"/>
    </row>
    <row r="15833" spans="32:32" x14ac:dyDescent="0.2">
      <c r="AF15833" s="679"/>
    </row>
    <row r="15834" spans="32:32" x14ac:dyDescent="0.2">
      <c r="AF15834" s="679"/>
    </row>
    <row r="15835" spans="32:32" x14ac:dyDescent="0.2">
      <c r="AF15835" s="679"/>
    </row>
    <row r="15836" spans="32:32" x14ac:dyDescent="0.2">
      <c r="AF15836" s="679"/>
    </row>
    <row r="15837" spans="32:32" x14ac:dyDescent="0.2">
      <c r="AF15837" s="679"/>
    </row>
    <row r="15838" spans="32:32" x14ac:dyDescent="0.2">
      <c r="AF15838" s="679"/>
    </row>
    <row r="15839" spans="32:32" x14ac:dyDescent="0.2">
      <c r="AF15839" s="679"/>
    </row>
    <row r="15840" spans="32:32" x14ac:dyDescent="0.2">
      <c r="AF15840" s="679"/>
    </row>
    <row r="15841" spans="32:32" x14ac:dyDescent="0.2">
      <c r="AF15841" s="679"/>
    </row>
    <row r="15842" spans="32:32" x14ac:dyDescent="0.2">
      <c r="AF15842" s="679"/>
    </row>
    <row r="15843" spans="32:32" x14ac:dyDescent="0.2">
      <c r="AF15843" s="679"/>
    </row>
    <row r="15844" spans="32:32" x14ac:dyDescent="0.2">
      <c r="AF15844" s="679"/>
    </row>
    <row r="15845" spans="32:32" x14ac:dyDescent="0.2">
      <c r="AF15845" s="679"/>
    </row>
    <row r="15846" spans="32:32" x14ac:dyDescent="0.2">
      <c r="AF15846" s="679"/>
    </row>
    <row r="15847" spans="32:32" x14ac:dyDescent="0.2">
      <c r="AF15847" s="679"/>
    </row>
    <row r="15848" spans="32:32" x14ac:dyDescent="0.2">
      <c r="AF15848" s="679"/>
    </row>
    <row r="15849" spans="32:32" x14ac:dyDescent="0.2">
      <c r="AF15849" s="679"/>
    </row>
    <row r="15850" spans="32:32" x14ac:dyDescent="0.2">
      <c r="AF15850" s="679"/>
    </row>
    <row r="15851" spans="32:32" x14ac:dyDescent="0.2">
      <c r="AF15851" s="679"/>
    </row>
    <row r="15852" spans="32:32" x14ac:dyDescent="0.2">
      <c r="AF15852" s="679"/>
    </row>
    <row r="15853" spans="32:32" x14ac:dyDescent="0.2">
      <c r="AF15853" s="679"/>
    </row>
    <row r="15854" spans="32:32" x14ac:dyDescent="0.2">
      <c r="AF15854" s="679"/>
    </row>
    <row r="15855" spans="32:32" x14ac:dyDescent="0.2">
      <c r="AF15855" s="679"/>
    </row>
    <row r="15856" spans="32:32" x14ac:dyDescent="0.2">
      <c r="AF15856" s="679"/>
    </row>
    <row r="15857" spans="32:32" x14ac:dyDescent="0.2">
      <c r="AF15857" s="679"/>
    </row>
    <row r="15858" spans="32:32" x14ac:dyDescent="0.2">
      <c r="AF15858" s="679"/>
    </row>
    <row r="15859" spans="32:32" x14ac:dyDescent="0.2">
      <c r="AF15859" s="679"/>
    </row>
    <row r="15860" spans="32:32" x14ac:dyDescent="0.2">
      <c r="AF15860" s="679"/>
    </row>
    <row r="15861" spans="32:32" x14ac:dyDescent="0.2">
      <c r="AF15861" s="679"/>
    </row>
    <row r="15862" spans="32:32" x14ac:dyDescent="0.2">
      <c r="AF15862" s="679"/>
    </row>
    <row r="15863" spans="32:32" x14ac:dyDescent="0.2">
      <c r="AF15863" s="679"/>
    </row>
    <row r="15864" spans="32:32" x14ac:dyDescent="0.2">
      <c r="AF15864" s="679"/>
    </row>
    <row r="15865" spans="32:32" x14ac:dyDescent="0.2">
      <c r="AF15865" s="679"/>
    </row>
    <row r="15866" spans="32:32" x14ac:dyDescent="0.2">
      <c r="AF15866" s="679"/>
    </row>
    <row r="15867" spans="32:32" x14ac:dyDescent="0.2">
      <c r="AF15867" s="679"/>
    </row>
    <row r="15868" spans="32:32" x14ac:dyDescent="0.2">
      <c r="AF15868" s="679"/>
    </row>
    <row r="15869" spans="32:32" x14ac:dyDescent="0.2">
      <c r="AF15869" s="679"/>
    </row>
    <row r="15870" spans="32:32" x14ac:dyDescent="0.2">
      <c r="AF15870" s="679"/>
    </row>
    <row r="15871" spans="32:32" x14ac:dyDescent="0.2">
      <c r="AF15871" s="679"/>
    </row>
    <row r="15872" spans="32:32" x14ac:dyDescent="0.2">
      <c r="AF15872" s="679"/>
    </row>
    <row r="15873" spans="32:32" x14ac:dyDescent="0.2">
      <c r="AF15873" s="679"/>
    </row>
    <row r="15874" spans="32:32" x14ac:dyDescent="0.2">
      <c r="AF15874" s="679"/>
    </row>
    <row r="15875" spans="32:32" x14ac:dyDescent="0.2">
      <c r="AF15875" s="679"/>
    </row>
    <row r="15876" spans="32:32" x14ac:dyDescent="0.2">
      <c r="AF15876" s="679"/>
    </row>
    <row r="15877" spans="32:32" x14ac:dyDescent="0.2">
      <c r="AF15877" s="679"/>
    </row>
    <row r="15878" spans="32:32" x14ac:dyDescent="0.2">
      <c r="AF15878" s="679"/>
    </row>
    <row r="15879" spans="32:32" x14ac:dyDescent="0.2">
      <c r="AF15879" s="679"/>
    </row>
    <row r="15880" spans="32:32" x14ac:dyDescent="0.2">
      <c r="AF15880" s="679"/>
    </row>
    <row r="15881" spans="32:32" x14ac:dyDescent="0.2">
      <c r="AF15881" s="679"/>
    </row>
    <row r="15882" spans="32:32" x14ac:dyDescent="0.2">
      <c r="AF15882" s="679"/>
    </row>
    <row r="15883" spans="32:32" x14ac:dyDescent="0.2">
      <c r="AF15883" s="679"/>
    </row>
    <row r="15884" spans="32:32" x14ac:dyDescent="0.2">
      <c r="AF15884" s="679"/>
    </row>
    <row r="15885" spans="32:32" x14ac:dyDescent="0.2">
      <c r="AF15885" s="679"/>
    </row>
    <row r="15886" spans="32:32" x14ac:dyDescent="0.2">
      <c r="AF15886" s="679"/>
    </row>
    <row r="15887" spans="32:32" x14ac:dyDescent="0.2">
      <c r="AF15887" s="679"/>
    </row>
    <row r="15888" spans="32:32" x14ac:dyDescent="0.2">
      <c r="AF15888" s="679"/>
    </row>
    <row r="15889" spans="32:32" x14ac:dyDescent="0.2">
      <c r="AF15889" s="679"/>
    </row>
    <row r="15890" spans="32:32" x14ac:dyDescent="0.2">
      <c r="AF15890" s="679"/>
    </row>
    <row r="15891" spans="32:32" x14ac:dyDescent="0.2">
      <c r="AF15891" s="679"/>
    </row>
    <row r="15892" spans="32:32" x14ac:dyDescent="0.2">
      <c r="AF15892" s="679"/>
    </row>
    <row r="15893" spans="32:32" x14ac:dyDescent="0.2">
      <c r="AF15893" s="679"/>
    </row>
    <row r="15894" spans="32:32" x14ac:dyDescent="0.2">
      <c r="AF15894" s="679"/>
    </row>
    <row r="15895" spans="32:32" x14ac:dyDescent="0.2">
      <c r="AF15895" s="679"/>
    </row>
    <row r="15896" spans="32:32" x14ac:dyDescent="0.2">
      <c r="AF15896" s="679"/>
    </row>
    <row r="15897" spans="32:32" x14ac:dyDescent="0.2">
      <c r="AF15897" s="679"/>
    </row>
    <row r="15898" spans="32:32" x14ac:dyDescent="0.2">
      <c r="AF15898" s="679"/>
    </row>
    <row r="15899" spans="32:32" x14ac:dyDescent="0.2">
      <c r="AF15899" s="679"/>
    </row>
    <row r="15900" spans="32:32" x14ac:dyDescent="0.2">
      <c r="AF15900" s="679"/>
    </row>
    <row r="15901" spans="32:32" x14ac:dyDescent="0.2">
      <c r="AF15901" s="679"/>
    </row>
    <row r="15902" spans="32:32" x14ac:dyDescent="0.2">
      <c r="AF15902" s="679"/>
    </row>
    <row r="15903" spans="32:32" x14ac:dyDescent="0.2">
      <c r="AF15903" s="679"/>
    </row>
    <row r="15904" spans="32:32" x14ac:dyDescent="0.2">
      <c r="AF15904" s="679"/>
    </row>
    <row r="15905" spans="32:32" x14ac:dyDescent="0.2">
      <c r="AF15905" s="679"/>
    </row>
    <row r="15906" spans="32:32" x14ac:dyDescent="0.2">
      <c r="AF15906" s="679"/>
    </row>
    <row r="15907" spans="32:32" x14ac:dyDescent="0.2">
      <c r="AF15907" s="679"/>
    </row>
    <row r="15908" spans="32:32" x14ac:dyDescent="0.2">
      <c r="AF15908" s="679"/>
    </row>
    <row r="15909" spans="32:32" x14ac:dyDescent="0.2">
      <c r="AF15909" s="679"/>
    </row>
    <row r="15910" spans="32:32" x14ac:dyDescent="0.2">
      <c r="AF15910" s="679"/>
    </row>
    <row r="15911" spans="32:32" x14ac:dyDescent="0.2">
      <c r="AF15911" s="679"/>
    </row>
    <row r="15912" spans="32:32" x14ac:dyDescent="0.2">
      <c r="AF15912" s="679"/>
    </row>
    <row r="15913" spans="32:32" x14ac:dyDescent="0.2">
      <c r="AF15913" s="679"/>
    </row>
    <row r="15914" spans="32:32" x14ac:dyDescent="0.2">
      <c r="AF15914" s="679"/>
    </row>
    <row r="15915" spans="32:32" x14ac:dyDescent="0.2">
      <c r="AF15915" s="679"/>
    </row>
    <row r="15916" spans="32:32" x14ac:dyDescent="0.2">
      <c r="AF15916" s="679"/>
    </row>
    <row r="15917" spans="32:32" x14ac:dyDescent="0.2">
      <c r="AF15917" s="679"/>
    </row>
    <row r="15918" spans="32:32" x14ac:dyDescent="0.2">
      <c r="AF15918" s="679"/>
    </row>
    <row r="15919" spans="32:32" x14ac:dyDescent="0.2">
      <c r="AF15919" s="679"/>
    </row>
    <row r="15920" spans="32:32" x14ac:dyDescent="0.2">
      <c r="AF15920" s="679"/>
    </row>
    <row r="15921" spans="32:32" x14ac:dyDescent="0.2">
      <c r="AF15921" s="679"/>
    </row>
    <row r="15922" spans="32:32" x14ac:dyDescent="0.2">
      <c r="AF15922" s="679"/>
    </row>
    <row r="15923" spans="32:32" x14ac:dyDescent="0.2">
      <c r="AF15923" s="679"/>
    </row>
    <row r="15924" spans="32:32" x14ac:dyDescent="0.2">
      <c r="AF15924" s="679"/>
    </row>
    <row r="15925" spans="32:32" x14ac:dyDescent="0.2">
      <c r="AF15925" s="679"/>
    </row>
    <row r="15926" spans="32:32" x14ac:dyDescent="0.2">
      <c r="AF15926" s="679"/>
    </row>
    <row r="15927" spans="32:32" x14ac:dyDescent="0.2">
      <c r="AF15927" s="679"/>
    </row>
    <row r="15928" spans="32:32" x14ac:dyDescent="0.2">
      <c r="AF15928" s="679"/>
    </row>
    <row r="15929" spans="32:32" x14ac:dyDescent="0.2">
      <c r="AF15929" s="679"/>
    </row>
    <row r="15930" spans="32:32" x14ac:dyDescent="0.2">
      <c r="AF15930" s="679"/>
    </row>
    <row r="15931" spans="32:32" x14ac:dyDescent="0.2">
      <c r="AF15931" s="679"/>
    </row>
    <row r="15932" spans="32:32" x14ac:dyDescent="0.2">
      <c r="AF15932" s="679"/>
    </row>
    <row r="15933" spans="32:32" x14ac:dyDescent="0.2">
      <c r="AF15933" s="679"/>
    </row>
    <row r="15934" spans="32:32" x14ac:dyDescent="0.2">
      <c r="AF15934" s="679"/>
    </row>
    <row r="15935" spans="32:32" x14ac:dyDescent="0.2">
      <c r="AF15935" s="679"/>
    </row>
    <row r="15936" spans="32:32" x14ac:dyDescent="0.2">
      <c r="AF15936" s="679"/>
    </row>
    <row r="15937" spans="32:32" x14ac:dyDescent="0.2">
      <c r="AF15937" s="679"/>
    </row>
    <row r="15938" spans="32:32" x14ac:dyDescent="0.2">
      <c r="AF15938" s="679"/>
    </row>
    <row r="15939" spans="32:32" x14ac:dyDescent="0.2">
      <c r="AF15939" s="679"/>
    </row>
    <row r="15940" spans="32:32" x14ac:dyDescent="0.2">
      <c r="AF15940" s="679"/>
    </row>
    <row r="15941" spans="32:32" x14ac:dyDescent="0.2">
      <c r="AF15941" s="679"/>
    </row>
    <row r="15942" spans="32:32" x14ac:dyDescent="0.2">
      <c r="AF15942" s="679"/>
    </row>
    <row r="15943" spans="32:32" x14ac:dyDescent="0.2">
      <c r="AF15943" s="679"/>
    </row>
    <row r="15944" spans="32:32" x14ac:dyDescent="0.2">
      <c r="AF15944" s="679"/>
    </row>
    <row r="15945" spans="32:32" x14ac:dyDescent="0.2">
      <c r="AF15945" s="679"/>
    </row>
    <row r="15946" spans="32:32" x14ac:dyDescent="0.2">
      <c r="AF15946" s="679"/>
    </row>
    <row r="15947" spans="32:32" x14ac:dyDescent="0.2">
      <c r="AF15947" s="679"/>
    </row>
    <row r="15948" spans="32:32" x14ac:dyDescent="0.2">
      <c r="AF15948" s="679"/>
    </row>
    <row r="15949" spans="32:32" x14ac:dyDescent="0.2">
      <c r="AF15949" s="679"/>
    </row>
    <row r="15950" spans="32:32" x14ac:dyDescent="0.2">
      <c r="AF15950" s="679"/>
    </row>
    <row r="15951" spans="32:32" x14ac:dyDescent="0.2">
      <c r="AF15951" s="679"/>
    </row>
    <row r="15952" spans="32:32" x14ac:dyDescent="0.2">
      <c r="AF15952" s="679"/>
    </row>
    <row r="15953" spans="32:32" x14ac:dyDescent="0.2">
      <c r="AF15953" s="679"/>
    </row>
    <row r="15954" spans="32:32" x14ac:dyDescent="0.2">
      <c r="AF15954" s="679"/>
    </row>
    <row r="15955" spans="32:32" x14ac:dyDescent="0.2">
      <c r="AF15955" s="679"/>
    </row>
    <row r="15956" spans="32:32" x14ac:dyDescent="0.2">
      <c r="AF15956" s="679"/>
    </row>
    <row r="15957" spans="32:32" x14ac:dyDescent="0.2">
      <c r="AF15957" s="679"/>
    </row>
    <row r="15958" spans="32:32" x14ac:dyDescent="0.2">
      <c r="AF15958" s="679"/>
    </row>
    <row r="15959" spans="32:32" x14ac:dyDescent="0.2">
      <c r="AF15959" s="679"/>
    </row>
    <row r="15960" spans="32:32" x14ac:dyDescent="0.2">
      <c r="AF15960" s="679"/>
    </row>
    <row r="15961" spans="32:32" x14ac:dyDescent="0.2">
      <c r="AF15961" s="679"/>
    </row>
    <row r="15962" spans="32:32" x14ac:dyDescent="0.2">
      <c r="AF15962" s="679"/>
    </row>
    <row r="15963" spans="32:32" x14ac:dyDescent="0.2">
      <c r="AF15963" s="679"/>
    </row>
    <row r="15964" spans="32:32" x14ac:dyDescent="0.2">
      <c r="AF15964" s="679"/>
    </row>
    <row r="15965" spans="32:32" x14ac:dyDescent="0.2">
      <c r="AF15965" s="679"/>
    </row>
    <row r="15966" spans="32:32" x14ac:dyDescent="0.2">
      <c r="AF15966" s="679"/>
    </row>
    <row r="15967" spans="32:32" x14ac:dyDescent="0.2">
      <c r="AF15967" s="679"/>
    </row>
    <row r="15968" spans="32:32" x14ac:dyDescent="0.2">
      <c r="AF15968" s="679"/>
    </row>
    <row r="15969" spans="32:32" x14ac:dyDescent="0.2">
      <c r="AF15969" s="679"/>
    </row>
    <row r="15970" spans="32:32" x14ac:dyDescent="0.2">
      <c r="AF15970" s="679"/>
    </row>
    <row r="15971" spans="32:32" x14ac:dyDescent="0.2">
      <c r="AF15971" s="679"/>
    </row>
    <row r="15972" spans="32:32" x14ac:dyDescent="0.2">
      <c r="AF15972" s="679"/>
    </row>
    <row r="15973" spans="32:32" x14ac:dyDescent="0.2">
      <c r="AF15973" s="679"/>
    </row>
    <row r="15974" spans="32:32" x14ac:dyDescent="0.2">
      <c r="AF15974" s="679"/>
    </row>
    <row r="15975" spans="32:32" x14ac:dyDescent="0.2">
      <c r="AF15975" s="679"/>
    </row>
    <row r="15976" spans="32:32" x14ac:dyDescent="0.2">
      <c r="AF15976" s="679"/>
    </row>
    <row r="15977" spans="32:32" x14ac:dyDescent="0.2">
      <c r="AF15977" s="679"/>
    </row>
    <row r="15978" spans="32:32" x14ac:dyDescent="0.2">
      <c r="AF15978" s="679"/>
    </row>
    <row r="15979" spans="32:32" x14ac:dyDescent="0.2">
      <c r="AF15979" s="679"/>
    </row>
    <row r="15980" spans="32:32" x14ac:dyDescent="0.2">
      <c r="AF15980" s="679"/>
    </row>
    <row r="15981" spans="32:32" x14ac:dyDescent="0.2">
      <c r="AF15981" s="679"/>
    </row>
    <row r="15982" spans="32:32" x14ac:dyDescent="0.2">
      <c r="AF15982" s="679"/>
    </row>
    <row r="15983" spans="32:32" x14ac:dyDescent="0.2">
      <c r="AF15983" s="679"/>
    </row>
    <row r="15984" spans="32:32" x14ac:dyDescent="0.2">
      <c r="AF15984" s="679"/>
    </row>
    <row r="15985" spans="32:32" x14ac:dyDescent="0.2">
      <c r="AF15985" s="679"/>
    </row>
    <row r="15986" spans="32:32" x14ac:dyDescent="0.2">
      <c r="AF15986" s="679"/>
    </row>
    <row r="15987" spans="32:32" x14ac:dyDescent="0.2">
      <c r="AF15987" s="679"/>
    </row>
    <row r="15988" spans="32:32" x14ac:dyDescent="0.2">
      <c r="AF15988" s="679"/>
    </row>
    <row r="15989" spans="32:32" x14ac:dyDescent="0.2">
      <c r="AF15989" s="679"/>
    </row>
    <row r="15990" spans="32:32" x14ac:dyDescent="0.2">
      <c r="AF15990" s="679"/>
    </row>
    <row r="15991" spans="32:32" x14ac:dyDescent="0.2">
      <c r="AF15991" s="679"/>
    </row>
    <row r="15992" spans="32:32" x14ac:dyDescent="0.2">
      <c r="AF15992" s="679"/>
    </row>
    <row r="15993" spans="32:32" x14ac:dyDescent="0.2">
      <c r="AF15993" s="679"/>
    </row>
    <row r="15994" spans="32:32" x14ac:dyDescent="0.2">
      <c r="AF15994" s="679"/>
    </row>
    <row r="15995" spans="32:32" x14ac:dyDescent="0.2">
      <c r="AF15995" s="679"/>
    </row>
    <row r="15996" spans="32:32" x14ac:dyDescent="0.2">
      <c r="AF15996" s="679"/>
    </row>
    <row r="15997" spans="32:32" x14ac:dyDescent="0.2">
      <c r="AF15997" s="679"/>
    </row>
    <row r="15998" spans="32:32" x14ac:dyDescent="0.2">
      <c r="AF15998" s="679"/>
    </row>
    <row r="15999" spans="32:32" x14ac:dyDescent="0.2">
      <c r="AF15999" s="679"/>
    </row>
    <row r="16000" spans="32:32" x14ac:dyDescent="0.2">
      <c r="AF16000" s="679"/>
    </row>
    <row r="16001" spans="32:32" x14ac:dyDescent="0.2">
      <c r="AF16001" s="679"/>
    </row>
    <row r="16002" spans="32:32" x14ac:dyDescent="0.2">
      <c r="AF16002" s="679"/>
    </row>
    <row r="16003" spans="32:32" x14ac:dyDescent="0.2">
      <c r="AF16003" s="679"/>
    </row>
    <row r="16004" spans="32:32" x14ac:dyDescent="0.2">
      <c r="AF16004" s="679"/>
    </row>
    <row r="16005" spans="32:32" x14ac:dyDescent="0.2">
      <c r="AF16005" s="679"/>
    </row>
    <row r="16006" spans="32:32" x14ac:dyDescent="0.2">
      <c r="AF16006" s="679"/>
    </row>
    <row r="16007" spans="32:32" x14ac:dyDescent="0.2">
      <c r="AF16007" s="679"/>
    </row>
    <row r="16008" spans="32:32" x14ac:dyDescent="0.2">
      <c r="AF16008" s="679"/>
    </row>
    <row r="16009" spans="32:32" x14ac:dyDescent="0.2">
      <c r="AF16009" s="679"/>
    </row>
    <row r="16010" spans="32:32" x14ac:dyDescent="0.2">
      <c r="AF16010" s="679"/>
    </row>
    <row r="16011" spans="32:32" x14ac:dyDescent="0.2">
      <c r="AF16011" s="679"/>
    </row>
    <row r="16012" spans="32:32" x14ac:dyDescent="0.2">
      <c r="AF16012" s="679"/>
    </row>
    <row r="16013" spans="32:32" x14ac:dyDescent="0.2">
      <c r="AF16013" s="679"/>
    </row>
    <row r="16014" spans="32:32" x14ac:dyDescent="0.2">
      <c r="AF16014" s="679"/>
    </row>
    <row r="16015" spans="32:32" x14ac:dyDescent="0.2">
      <c r="AF16015" s="679"/>
    </row>
    <row r="16016" spans="32:32" x14ac:dyDescent="0.2">
      <c r="AF16016" s="679"/>
    </row>
    <row r="16017" spans="32:32" x14ac:dyDescent="0.2">
      <c r="AF16017" s="679"/>
    </row>
    <row r="16018" spans="32:32" x14ac:dyDescent="0.2">
      <c r="AF16018" s="679"/>
    </row>
    <row r="16019" spans="32:32" x14ac:dyDescent="0.2">
      <c r="AF16019" s="679"/>
    </row>
    <row r="16020" spans="32:32" x14ac:dyDescent="0.2">
      <c r="AF16020" s="679"/>
    </row>
    <row r="16021" spans="32:32" x14ac:dyDescent="0.2">
      <c r="AF16021" s="679"/>
    </row>
    <row r="16022" spans="32:32" x14ac:dyDescent="0.2">
      <c r="AF16022" s="679"/>
    </row>
    <row r="16023" spans="32:32" x14ac:dyDescent="0.2">
      <c r="AF16023" s="679"/>
    </row>
    <row r="16024" spans="32:32" x14ac:dyDescent="0.2">
      <c r="AF16024" s="679"/>
    </row>
    <row r="16025" spans="32:32" x14ac:dyDescent="0.2">
      <c r="AF16025" s="679"/>
    </row>
    <row r="16026" spans="32:32" x14ac:dyDescent="0.2">
      <c r="AF16026" s="679"/>
    </row>
    <row r="16027" spans="32:32" x14ac:dyDescent="0.2">
      <c r="AF16027" s="679"/>
    </row>
    <row r="16028" spans="32:32" x14ac:dyDescent="0.2">
      <c r="AF16028" s="679"/>
    </row>
    <row r="16029" spans="32:32" x14ac:dyDescent="0.2">
      <c r="AF16029" s="679"/>
    </row>
    <row r="16030" spans="32:32" x14ac:dyDescent="0.2">
      <c r="AF16030" s="679"/>
    </row>
    <row r="16031" spans="32:32" x14ac:dyDescent="0.2">
      <c r="AF16031" s="679"/>
    </row>
    <row r="16032" spans="32:32" x14ac:dyDescent="0.2">
      <c r="AF16032" s="679"/>
    </row>
    <row r="16033" spans="32:32" x14ac:dyDescent="0.2">
      <c r="AF16033" s="679"/>
    </row>
    <row r="16034" spans="32:32" x14ac:dyDescent="0.2">
      <c r="AF16034" s="679"/>
    </row>
    <row r="16035" spans="32:32" x14ac:dyDescent="0.2">
      <c r="AF16035" s="679"/>
    </row>
    <row r="16036" spans="32:32" x14ac:dyDescent="0.2">
      <c r="AF16036" s="679"/>
    </row>
    <row r="16037" spans="32:32" x14ac:dyDescent="0.2">
      <c r="AF16037" s="679"/>
    </row>
    <row r="16038" spans="32:32" x14ac:dyDescent="0.2">
      <c r="AF16038" s="679"/>
    </row>
    <row r="16039" spans="32:32" x14ac:dyDescent="0.2">
      <c r="AF16039" s="679"/>
    </row>
    <row r="16040" spans="32:32" x14ac:dyDescent="0.2">
      <c r="AF16040" s="679"/>
    </row>
    <row r="16041" spans="32:32" x14ac:dyDescent="0.2">
      <c r="AF16041" s="679"/>
    </row>
    <row r="16042" spans="32:32" x14ac:dyDescent="0.2">
      <c r="AF16042" s="679"/>
    </row>
    <row r="16043" spans="32:32" x14ac:dyDescent="0.2">
      <c r="AF16043" s="679"/>
    </row>
    <row r="16044" spans="32:32" x14ac:dyDescent="0.2">
      <c r="AF16044" s="679"/>
    </row>
    <row r="16045" spans="32:32" x14ac:dyDescent="0.2">
      <c r="AF16045" s="679"/>
    </row>
    <row r="16046" spans="32:32" x14ac:dyDescent="0.2">
      <c r="AF16046" s="679"/>
    </row>
    <row r="16047" spans="32:32" x14ac:dyDescent="0.2">
      <c r="AF16047" s="679"/>
    </row>
    <row r="16048" spans="32:32" x14ac:dyDescent="0.2">
      <c r="AF16048" s="679"/>
    </row>
    <row r="16049" spans="32:32" x14ac:dyDescent="0.2">
      <c r="AF16049" s="679"/>
    </row>
    <row r="16050" spans="32:32" x14ac:dyDescent="0.2">
      <c r="AF16050" s="679"/>
    </row>
    <row r="16051" spans="32:32" x14ac:dyDescent="0.2">
      <c r="AF16051" s="679"/>
    </row>
    <row r="16052" spans="32:32" x14ac:dyDescent="0.2">
      <c r="AF16052" s="679"/>
    </row>
    <row r="16053" spans="32:32" x14ac:dyDescent="0.2">
      <c r="AF16053" s="679"/>
    </row>
    <row r="16054" spans="32:32" x14ac:dyDescent="0.2">
      <c r="AF16054" s="679"/>
    </row>
    <row r="16055" spans="32:32" x14ac:dyDescent="0.2">
      <c r="AF16055" s="679"/>
    </row>
    <row r="16056" spans="32:32" x14ac:dyDescent="0.2">
      <c r="AF16056" s="679"/>
    </row>
    <row r="16057" spans="32:32" x14ac:dyDescent="0.2">
      <c r="AF16057" s="679"/>
    </row>
    <row r="16058" spans="32:32" x14ac:dyDescent="0.2">
      <c r="AF16058" s="679"/>
    </row>
    <row r="16059" spans="32:32" x14ac:dyDescent="0.2">
      <c r="AF16059" s="679"/>
    </row>
    <row r="16060" spans="32:32" x14ac:dyDescent="0.2">
      <c r="AF16060" s="679"/>
    </row>
    <row r="16061" spans="32:32" x14ac:dyDescent="0.2">
      <c r="AF16061" s="679"/>
    </row>
    <row r="16062" spans="32:32" x14ac:dyDescent="0.2">
      <c r="AF16062" s="679"/>
    </row>
    <row r="16063" spans="32:32" x14ac:dyDescent="0.2">
      <c r="AF16063" s="679"/>
    </row>
    <row r="16064" spans="32:32" x14ac:dyDescent="0.2">
      <c r="AF16064" s="679"/>
    </row>
    <row r="16065" spans="32:32" x14ac:dyDescent="0.2">
      <c r="AF16065" s="679"/>
    </row>
    <row r="16066" spans="32:32" x14ac:dyDescent="0.2">
      <c r="AF16066" s="679"/>
    </row>
    <row r="16067" spans="32:32" x14ac:dyDescent="0.2">
      <c r="AF16067" s="679"/>
    </row>
    <row r="16068" spans="32:32" x14ac:dyDescent="0.2">
      <c r="AF16068" s="679"/>
    </row>
    <row r="16069" spans="32:32" x14ac:dyDescent="0.2">
      <c r="AF16069" s="679"/>
    </row>
    <row r="16070" spans="32:32" x14ac:dyDescent="0.2">
      <c r="AF16070" s="679"/>
    </row>
    <row r="16071" spans="32:32" x14ac:dyDescent="0.2">
      <c r="AF16071" s="679"/>
    </row>
    <row r="16072" spans="32:32" x14ac:dyDescent="0.2">
      <c r="AF16072" s="679"/>
    </row>
    <row r="16073" spans="32:32" x14ac:dyDescent="0.2">
      <c r="AF16073" s="679"/>
    </row>
    <row r="16074" spans="32:32" x14ac:dyDescent="0.2">
      <c r="AF16074" s="679"/>
    </row>
    <row r="16075" spans="32:32" x14ac:dyDescent="0.2">
      <c r="AF16075" s="679"/>
    </row>
    <row r="16076" spans="32:32" x14ac:dyDescent="0.2">
      <c r="AF16076" s="679"/>
    </row>
    <row r="16077" spans="32:32" x14ac:dyDescent="0.2">
      <c r="AF16077" s="679"/>
    </row>
    <row r="16078" spans="32:32" x14ac:dyDescent="0.2">
      <c r="AF16078" s="679"/>
    </row>
    <row r="16079" spans="32:32" x14ac:dyDescent="0.2">
      <c r="AF16079" s="679"/>
    </row>
    <row r="16080" spans="32:32" x14ac:dyDescent="0.2">
      <c r="AF16080" s="679"/>
    </row>
    <row r="16081" spans="32:32" x14ac:dyDescent="0.2">
      <c r="AF16081" s="679"/>
    </row>
    <row r="16082" spans="32:32" x14ac:dyDescent="0.2">
      <c r="AF16082" s="679"/>
    </row>
    <row r="16083" spans="32:32" x14ac:dyDescent="0.2">
      <c r="AF16083" s="679"/>
    </row>
    <row r="16084" spans="32:32" x14ac:dyDescent="0.2">
      <c r="AF16084" s="679"/>
    </row>
    <row r="16085" spans="32:32" x14ac:dyDescent="0.2">
      <c r="AF16085" s="679"/>
    </row>
    <row r="16086" spans="32:32" x14ac:dyDescent="0.2">
      <c r="AF16086" s="679"/>
    </row>
    <row r="16087" spans="32:32" x14ac:dyDescent="0.2">
      <c r="AF16087" s="679"/>
    </row>
    <row r="16088" spans="32:32" x14ac:dyDescent="0.2">
      <c r="AF16088" s="679"/>
    </row>
    <row r="16089" spans="32:32" x14ac:dyDescent="0.2">
      <c r="AF16089" s="679"/>
    </row>
    <row r="16090" spans="32:32" x14ac:dyDescent="0.2">
      <c r="AF16090" s="679"/>
    </row>
    <row r="16091" spans="32:32" x14ac:dyDescent="0.2">
      <c r="AF16091" s="679"/>
    </row>
    <row r="16092" spans="32:32" x14ac:dyDescent="0.2">
      <c r="AF16092" s="679"/>
    </row>
    <row r="16093" spans="32:32" x14ac:dyDescent="0.2">
      <c r="AF16093" s="679"/>
    </row>
    <row r="16094" spans="32:32" x14ac:dyDescent="0.2">
      <c r="AF16094" s="679"/>
    </row>
    <row r="16095" spans="32:32" x14ac:dyDescent="0.2">
      <c r="AF16095" s="679"/>
    </row>
    <row r="16096" spans="32:32" x14ac:dyDescent="0.2">
      <c r="AF16096" s="679"/>
    </row>
    <row r="16097" spans="32:32" x14ac:dyDescent="0.2">
      <c r="AF16097" s="679"/>
    </row>
    <row r="16098" spans="32:32" x14ac:dyDescent="0.2">
      <c r="AF16098" s="679"/>
    </row>
    <row r="16099" spans="32:32" x14ac:dyDescent="0.2">
      <c r="AF16099" s="679"/>
    </row>
    <row r="16100" spans="32:32" x14ac:dyDescent="0.2">
      <c r="AF16100" s="679"/>
    </row>
    <row r="16101" spans="32:32" x14ac:dyDescent="0.2">
      <c r="AF16101" s="679"/>
    </row>
    <row r="16102" spans="32:32" x14ac:dyDescent="0.2">
      <c r="AF16102" s="679"/>
    </row>
    <row r="16103" spans="32:32" x14ac:dyDescent="0.2">
      <c r="AF16103" s="679"/>
    </row>
    <row r="16104" spans="32:32" x14ac:dyDescent="0.2">
      <c r="AF16104" s="679"/>
    </row>
    <row r="16105" spans="32:32" x14ac:dyDescent="0.2">
      <c r="AF16105" s="679"/>
    </row>
    <row r="16106" spans="32:32" x14ac:dyDescent="0.2">
      <c r="AF16106" s="679"/>
    </row>
    <row r="16107" spans="32:32" x14ac:dyDescent="0.2">
      <c r="AF16107" s="679"/>
    </row>
    <row r="16108" spans="32:32" x14ac:dyDescent="0.2">
      <c r="AF16108" s="679"/>
    </row>
    <row r="16109" spans="32:32" x14ac:dyDescent="0.2">
      <c r="AF16109" s="679"/>
    </row>
    <row r="16110" spans="32:32" x14ac:dyDescent="0.2">
      <c r="AF16110" s="679"/>
    </row>
    <row r="16111" spans="32:32" x14ac:dyDescent="0.2">
      <c r="AF16111" s="679"/>
    </row>
    <row r="16112" spans="32:32" x14ac:dyDescent="0.2">
      <c r="AF16112" s="679"/>
    </row>
    <row r="16113" spans="32:32" x14ac:dyDescent="0.2">
      <c r="AF16113" s="679"/>
    </row>
    <row r="16114" spans="32:32" x14ac:dyDescent="0.2">
      <c r="AF16114" s="679"/>
    </row>
    <row r="16115" spans="32:32" x14ac:dyDescent="0.2">
      <c r="AF16115" s="679"/>
    </row>
    <row r="16116" spans="32:32" x14ac:dyDescent="0.2">
      <c r="AF16116" s="679"/>
    </row>
    <row r="16117" spans="32:32" x14ac:dyDescent="0.2">
      <c r="AF16117" s="679"/>
    </row>
    <row r="16118" spans="32:32" x14ac:dyDescent="0.2">
      <c r="AF16118" s="679"/>
    </row>
    <row r="16119" spans="32:32" x14ac:dyDescent="0.2">
      <c r="AF16119" s="679"/>
    </row>
    <row r="16120" spans="32:32" x14ac:dyDescent="0.2">
      <c r="AF16120" s="679"/>
    </row>
    <row r="16121" spans="32:32" x14ac:dyDescent="0.2">
      <c r="AF16121" s="679"/>
    </row>
    <row r="16122" spans="32:32" x14ac:dyDescent="0.2">
      <c r="AF16122" s="679"/>
    </row>
    <row r="16123" spans="32:32" x14ac:dyDescent="0.2">
      <c r="AF16123" s="679"/>
    </row>
    <row r="16124" spans="32:32" x14ac:dyDescent="0.2">
      <c r="AF16124" s="679"/>
    </row>
    <row r="16125" spans="32:32" x14ac:dyDescent="0.2">
      <c r="AF16125" s="679"/>
    </row>
    <row r="16126" spans="32:32" x14ac:dyDescent="0.2">
      <c r="AF16126" s="679"/>
    </row>
    <row r="16127" spans="32:32" x14ac:dyDescent="0.2">
      <c r="AF16127" s="679"/>
    </row>
    <row r="16128" spans="32:32" x14ac:dyDescent="0.2">
      <c r="AF16128" s="679"/>
    </row>
    <row r="16129" spans="32:32" x14ac:dyDescent="0.2">
      <c r="AF16129" s="679"/>
    </row>
    <row r="16130" spans="32:32" x14ac:dyDescent="0.2">
      <c r="AF16130" s="679"/>
    </row>
    <row r="16131" spans="32:32" x14ac:dyDescent="0.2">
      <c r="AF16131" s="679"/>
    </row>
    <row r="16132" spans="32:32" x14ac:dyDescent="0.2">
      <c r="AF16132" s="679"/>
    </row>
    <row r="16133" spans="32:32" x14ac:dyDescent="0.2">
      <c r="AF16133" s="679"/>
    </row>
    <row r="16134" spans="32:32" x14ac:dyDescent="0.2">
      <c r="AF16134" s="679"/>
    </row>
    <row r="16135" spans="32:32" x14ac:dyDescent="0.2">
      <c r="AF16135" s="679"/>
    </row>
    <row r="16136" spans="32:32" x14ac:dyDescent="0.2">
      <c r="AF16136" s="679"/>
    </row>
    <row r="16137" spans="32:32" x14ac:dyDescent="0.2">
      <c r="AF16137" s="679"/>
    </row>
    <row r="16138" spans="32:32" x14ac:dyDescent="0.2">
      <c r="AF16138" s="679"/>
    </row>
    <row r="16139" spans="32:32" x14ac:dyDescent="0.2">
      <c r="AF16139" s="679"/>
    </row>
    <row r="16140" spans="32:32" x14ac:dyDescent="0.2">
      <c r="AF16140" s="679"/>
    </row>
    <row r="16141" spans="32:32" x14ac:dyDescent="0.2">
      <c r="AF16141" s="679"/>
    </row>
    <row r="16142" spans="32:32" x14ac:dyDescent="0.2">
      <c r="AF16142" s="679"/>
    </row>
    <row r="16143" spans="32:32" x14ac:dyDescent="0.2">
      <c r="AF16143" s="679"/>
    </row>
    <row r="16144" spans="32:32" x14ac:dyDescent="0.2">
      <c r="AF16144" s="679"/>
    </row>
    <row r="16145" spans="32:32" x14ac:dyDescent="0.2">
      <c r="AF16145" s="679"/>
    </row>
    <row r="16146" spans="32:32" x14ac:dyDescent="0.2">
      <c r="AF16146" s="679"/>
    </row>
    <row r="16147" spans="32:32" x14ac:dyDescent="0.2">
      <c r="AF16147" s="679"/>
    </row>
    <row r="16148" spans="32:32" x14ac:dyDescent="0.2">
      <c r="AF16148" s="679"/>
    </row>
    <row r="16149" spans="32:32" x14ac:dyDescent="0.2">
      <c r="AF16149" s="679"/>
    </row>
    <row r="16150" spans="32:32" x14ac:dyDescent="0.2">
      <c r="AF16150" s="679"/>
    </row>
    <row r="16151" spans="32:32" x14ac:dyDescent="0.2">
      <c r="AF16151" s="679"/>
    </row>
    <row r="16152" spans="32:32" x14ac:dyDescent="0.2">
      <c r="AF16152" s="679"/>
    </row>
    <row r="16153" spans="32:32" x14ac:dyDescent="0.2">
      <c r="AF16153" s="679"/>
    </row>
    <row r="16154" spans="32:32" x14ac:dyDescent="0.2">
      <c r="AF16154" s="679"/>
    </row>
    <row r="16155" spans="32:32" x14ac:dyDescent="0.2">
      <c r="AF16155" s="679"/>
    </row>
    <row r="16156" spans="32:32" x14ac:dyDescent="0.2">
      <c r="AF16156" s="679"/>
    </row>
    <row r="16157" spans="32:32" x14ac:dyDescent="0.2">
      <c r="AF16157" s="679"/>
    </row>
    <row r="16158" spans="32:32" x14ac:dyDescent="0.2">
      <c r="AF16158" s="679"/>
    </row>
    <row r="16159" spans="32:32" x14ac:dyDescent="0.2">
      <c r="AF16159" s="679"/>
    </row>
    <row r="16160" spans="32:32" x14ac:dyDescent="0.2">
      <c r="AF16160" s="679"/>
    </row>
    <row r="16161" spans="32:32" x14ac:dyDescent="0.2">
      <c r="AF16161" s="679"/>
    </row>
    <row r="16162" spans="32:32" x14ac:dyDescent="0.2">
      <c r="AF16162" s="679"/>
    </row>
    <row r="16163" spans="32:32" x14ac:dyDescent="0.2">
      <c r="AF16163" s="679"/>
    </row>
    <row r="16164" spans="32:32" x14ac:dyDescent="0.2">
      <c r="AF16164" s="679"/>
    </row>
    <row r="16165" spans="32:32" x14ac:dyDescent="0.2">
      <c r="AF16165" s="679"/>
    </row>
    <row r="16166" spans="32:32" x14ac:dyDescent="0.2">
      <c r="AF16166" s="679"/>
    </row>
    <row r="16167" spans="32:32" x14ac:dyDescent="0.2">
      <c r="AF16167" s="679"/>
    </row>
    <row r="16168" spans="32:32" x14ac:dyDescent="0.2">
      <c r="AF16168" s="679"/>
    </row>
    <row r="16169" spans="32:32" x14ac:dyDescent="0.2">
      <c r="AF16169" s="679"/>
    </row>
    <row r="16170" spans="32:32" x14ac:dyDescent="0.2">
      <c r="AF16170" s="679"/>
    </row>
    <row r="16171" spans="32:32" x14ac:dyDescent="0.2">
      <c r="AF16171" s="679"/>
    </row>
    <row r="16172" spans="32:32" x14ac:dyDescent="0.2">
      <c r="AF16172" s="679"/>
    </row>
    <row r="16173" spans="32:32" x14ac:dyDescent="0.2">
      <c r="AF16173" s="679"/>
    </row>
    <row r="16174" spans="32:32" x14ac:dyDescent="0.2">
      <c r="AF16174" s="679"/>
    </row>
    <row r="16175" spans="32:32" x14ac:dyDescent="0.2">
      <c r="AF16175" s="679"/>
    </row>
    <row r="16176" spans="32:32" x14ac:dyDescent="0.2">
      <c r="AF16176" s="679"/>
    </row>
    <row r="16177" spans="32:32" x14ac:dyDescent="0.2">
      <c r="AF16177" s="679"/>
    </row>
    <row r="16178" spans="32:32" x14ac:dyDescent="0.2">
      <c r="AF16178" s="679"/>
    </row>
    <row r="16179" spans="32:32" x14ac:dyDescent="0.2">
      <c r="AF16179" s="679"/>
    </row>
    <row r="16180" spans="32:32" x14ac:dyDescent="0.2">
      <c r="AF16180" s="679"/>
    </row>
    <row r="16181" spans="32:32" x14ac:dyDescent="0.2">
      <c r="AF16181" s="679"/>
    </row>
    <row r="16182" spans="32:32" x14ac:dyDescent="0.2">
      <c r="AF16182" s="679"/>
    </row>
    <row r="16183" spans="32:32" x14ac:dyDescent="0.2">
      <c r="AF16183" s="679"/>
    </row>
    <row r="16184" spans="32:32" x14ac:dyDescent="0.2">
      <c r="AF16184" s="679"/>
    </row>
    <row r="16185" spans="32:32" x14ac:dyDescent="0.2">
      <c r="AF16185" s="679"/>
    </row>
    <row r="16186" spans="32:32" x14ac:dyDescent="0.2">
      <c r="AF16186" s="679"/>
    </row>
    <row r="16187" spans="32:32" x14ac:dyDescent="0.2">
      <c r="AF16187" s="679"/>
    </row>
    <row r="16188" spans="32:32" x14ac:dyDescent="0.2">
      <c r="AF16188" s="679"/>
    </row>
    <row r="16189" spans="32:32" x14ac:dyDescent="0.2">
      <c r="AF16189" s="679"/>
    </row>
    <row r="16190" spans="32:32" x14ac:dyDescent="0.2">
      <c r="AF16190" s="679"/>
    </row>
    <row r="16191" spans="32:32" x14ac:dyDescent="0.2">
      <c r="AF16191" s="679"/>
    </row>
    <row r="16192" spans="32:32" x14ac:dyDescent="0.2">
      <c r="AF16192" s="679"/>
    </row>
    <row r="16193" spans="32:32" x14ac:dyDescent="0.2">
      <c r="AF16193" s="679"/>
    </row>
    <row r="16194" spans="32:32" x14ac:dyDescent="0.2">
      <c r="AF16194" s="679"/>
    </row>
    <row r="16195" spans="32:32" x14ac:dyDescent="0.2">
      <c r="AF16195" s="679"/>
    </row>
    <row r="16196" spans="32:32" x14ac:dyDescent="0.2">
      <c r="AF16196" s="679"/>
    </row>
    <row r="16197" spans="32:32" x14ac:dyDescent="0.2">
      <c r="AF16197" s="679"/>
    </row>
    <row r="16198" spans="32:32" x14ac:dyDescent="0.2">
      <c r="AF16198" s="679"/>
    </row>
    <row r="16199" spans="32:32" x14ac:dyDescent="0.2">
      <c r="AF16199" s="679"/>
    </row>
    <row r="16200" spans="32:32" x14ac:dyDescent="0.2">
      <c r="AF16200" s="679"/>
    </row>
    <row r="16201" spans="32:32" x14ac:dyDescent="0.2">
      <c r="AF16201" s="679"/>
    </row>
    <row r="16202" spans="32:32" x14ac:dyDescent="0.2">
      <c r="AF16202" s="679"/>
    </row>
    <row r="16203" spans="32:32" x14ac:dyDescent="0.2">
      <c r="AF16203" s="679"/>
    </row>
    <row r="16204" spans="32:32" x14ac:dyDescent="0.2">
      <c r="AF16204" s="679"/>
    </row>
    <row r="16205" spans="32:32" x14ac:dyDescent="0.2">
      <c r="AF16205" s="679"/>
    </row>
    <row r="16206" spans="32:32" x14ac:dyDescent="0.2">
      <c r="AF16206" s="679"/>
    </row>
    <row r="16207" spans="32:32" x14ac:dyDescent="0.2">
      <c r="AF16207" s="679"/>
    </row>
    <row r="16208" spans="32:32" x14ac:dyDescent="0.2">
      <c r="AF16208" s="679"/>
    </row>
    <row r="16209" spans="32:32" x14ac:dyDescent="0.2">
      <c r="AF16209" s="679"/>
    </row>
    <row r="16210" spans="32:32" x14ac:dyDescent="0.2">
      <c r="AF16210" s="679"/>
    </row>
    <row r="16211" spans="32:32" x14ac:dyDescent="0.2">
      <c r="AF16211" s="679"/>
    </row>
    <row r="16212" spans="32:32" x14ac:dyDescent="0.2">
      <c r="AF16212" s="679"/>
    </row>
    <row r="16213" spans="32:32" x14ac:dyDescent="0.2">
      <c r="AF16213" s="679"/>
    </row>
    <row r="16214" spans="32:32" x14ac:dyDescent="0.2">
      <c r="AF16214" s="679"/>
    </row>
    <row r="16215" spans="32:32" x14ac:dyDescent="0.2">
      <c r="AF16215" s="679"/>
    </row>
    <row r="16216" spans="32:32" x14ac:dyDescent="0.2">
      <c r="AF16216" s="679"/>
    </row>
    <row r="16217" spans="32:32" x14ac:dyDescent="0.2">
      <c r="AF16217" s="679"/>
    </row>
    <row r="16218" spans="32:32" x14ac:dyDescent="0.2">
      <c r="AF16218" s="679"/>
    </row>
    <row r="16219" spans="32:32" x14ac:dyDescent="0.2">
      <c r="AF16219" s="679"/>
    </row>
    <row r="16220" spans="32:32" x14ac:dyDescent="0.2">
      <c r="AF16220" s="679"/>
    </row>
    <row r="16221" spans="32:32" x14ac:dyDescent="0.2">
      <c r="AF16221" s="679"/>
    </row>
    <row r="16222" spans="32:32" x14ac:dyDescent="0.2">
      <c r="AF16222" s="679"/>
    </row>
    <row r="16223" spans="32:32" x14ac:dyDescent="0.2">
      <c r="AF16223" s="679"/>
    </row>
    <row r="16224" spans="32:32" x14ac:dyDescent="0.2">
      <c r="AF16224" s="679"/>
    </row>
    <row r="16225" spans="32:32" x14ac:dyDescent="0.2">
      <c r="AF16225" s="679"/>
    </row>
    <row r="16226" spans="32:32" x14ac:dyDescent="0.2">
      <c r="AF16226" s="679"/>
    </row>
    <row r="16227" spans="32:32" x14ac:dyDescent="0.2">
      <c r="AF16227" s="679"/>
    </row>
    <row r="16228" spans="32:32" x14ac:dyDescent="0.2">
      <c r="AF16228" s="679"/>
    </row>
    <row r="16229" spans="32:32" x14ac:dyDescent="0.2">
      <c r="AF16229" s="679"/>
    </row>
    <row r="16230" spans="32:32" x14ac:dyDescent="0.2">
      <c r="AF16230" s="679"/>
    </row>
    <row r="16231" spans="32:32" x14ac:dyDescent="0.2">
      <c r="AF16231" s="679"/>
    </row>
    <row r="16232" spans="32:32" x14ac:dyDescent="0.2">
      <c r="AF16232" s="679"/>
    </row>
    <row r="16233" spans="32:32" x14ac:dyDescent="0.2">
      <c r="AF16233" s="679"/>
    </row>
    <row r="16234" spans="32:32" x14ac:dyDescent="0.2">
      <c r="AF16234" s="679"/>
    </row>
    <row r="16235" spans="32:32" x14ac:dyDescent="0.2">
      <c r="AF16235" s="679"/>
    </row>
    <row r="16236" spans="32:32" x14ac:dyDescent="0.2">
      <c r="AF16236" s="679"/>
    </row>
    <row r="16237" spans="32:32" x14ac:dyDescent="0.2">
      <c r="AF16237" s="679"/>
    </row>
    <row r="16238" spans="32:32" x14ac:dyDescent="0.2">
      <c r="AF16238" s="679"/>
    </row>
    <row r="16239" spans="32:32" x14ac:dyDescent="0.2">
      <c r="AF16239" s="679"/>
    </row>
    <row r="16240" spans="32:32" x14ac:dyDescent="0.2">
      <c r="AF16240" s="679"/>
    </row>
    <row r="16241" spans="32:32" x14ac:dyDescent="0.2">
      <c r="AF16241" s="679"/>
    </row>
    <row r="16242" spans="32:32" x14ac:dyDescent="0.2">
      <c r="AF16242" s="679"/>
    </row>
    <row r="16243" spans="32:32" x14ac:dyDescent="0.2">
      <c r="AF16243" s="679"/>
    </row>
    <row r="16244" spans="32:32" x14ac:dyDescent="0.2">
      <c r="AF16244" s="679"/>
    </row>
    <row r="16245" spans="32:32" x14ac:dyDescent="0.2">
      <c r="AF16245" s="679"/>
    </row>
    <row r="16246" spans="32:32" x14ac:dyDescent="0.2">
      <c r="AF16246" s="679"/>
    </row>
    <row r="16247" spans="32:32" x14ac:dyDescent="0.2">
      <c r="AF16247" s="679"/>
    </row>
    <row r="16248" spans="32:32" x14ac:dyDescent="0.2">
      <c r="AF16248" s="679"/>
    </row>
    <row r="16249" spans="32:32" x14ac:dyDescent="0.2">
      <c r="AF16249" s="679"/>
    </row>
    <row r="16250" spans="32:32" x14ac:dyDescent="0.2">
      <c r="AF16250" s="679"/>
    </row>
    <row r="16251" spans="32:32" x14ac:dyDescent="0.2">
      <c r="AF16251" s="679"/>
    </row>
    <row r="16252" spans="32:32" x14ac:dyDescent="0.2">
      <c r="AF16252" s="679"/>
    </row>
    <row r="16253" spans="32:32" x14ac:dyDescent="0.2">
      <c r="AF16253" s="679"/>
    </row>
    <row r="16254" spans="32:32" x14ac:dyDescent="0.2">
      <c r="AF16254" s="679"/>
    </row>
    <row r="16255" spans="32:32" x14ac:dyDescent="0.2">
      <c r="AF16255" s="679"/>
    </row>
    <row r="16256" spans="32:32" x14ac:dyDescent="0.2">
      <c r="AF16256" s="679"/>
    </row>
    <row r="16257" spans="32:32" x14ac:dyDescent="0.2">
      <c r="AF16257" s="679"/>
    </row>
    <row r="16258" spans="32:32" x14ac:dyDescent="0.2">
      <c r="AF16258" s="679"/>
    </row>
    <row r="16259" spans="32:32" x14ac:dyDescent="0.2">
      <c r="AF16259" s="679"/>
    </row>
    <row r="16260" spans="32:32" x14ac:dyDescent="0.2">
      <c r="AF16260" s="679"/>
    </row>
    <row r="16261" spans="32:32" x14ac:dyDescent="0.2">
      <c r="AF16261" s="679"/>
    </row>
    <row r="16262" spans="32:32" x14ac:dyDescent="0.2">
      <c r="AF16262" s="679"/>
    </row>
    <row r="16263" spans="32:32" x14ac:dyDescent="0.2">
      <c r="AF16263" s="679"/>
    </row>
    <row r="16264" spans="32:32" x14ac:dyDescent="0.2">
      <c r="AF16264" s="679"/>
    </row>
    <row r="16265" spans="32:32" x14ac:dyDescent="0.2">
      <c r="AF16265" s="679"/>
    </row>
    <row r="16266" spans="32:32" x14ac:dyDescent="0.2">
      <c r="AF16266" s="679"/>
    </row>
    <row r="16267" spans="32:32" x14ac:dyDescent="0.2">
      <c r="AF16267" s="679"/>
    </row>
    <row r="16268" spans="32:32" x14ac:dyDescent="0.2">
      <c r="AF16268" s="679"/>
    </row>
    <row r="16269" spans="32:32" x14ac:dyDescent="0.2">
      <c r="AF16269" s="679"/>
    </row>
    <row r="16270" spans="32:32" x14ac:dyDescent="0.2">
      <c r="AF16270" s="679"/>
    </row>
    <row r="16271" spans="32:32" x14ac:dyDescent="0.2">
      <c r="AF16271" s="679"/>
    </row>
    <row r="16272" spans="32:32" x14ac:dyDescent="0.2">
      <c r="AF16272" s="679"/>
    </row>
    <row r="16273" spans="32:32" x14ac:dyDescent="0.2">
      <c r="AF16273" s="679"/>
    </row>
    <row r="16274" spans="32:32" x14ac:dyDescent="0.2">
      <c r="AF16274" s="679"/>
    </row>
    <row r="16275" spans="32:32" x14ac:dyDescent="0.2">
      <c r="AF16275" s="679"/>
    </row>
    <row r="16276" spans="32:32" x14ac:dyDescent="0.2">
      <c r="AF16276" s="679"/>
    </row>
    <row r="16277" spans="32:32" x14ac:dyDescent="0.2">
      <c r="AF16277" s="679"/>
    </row>
    <row r="16278" spans="32:32" x14ac:dyDescent="0.2">
      <c r="AF16278" s="679"/>
    </row>
    <row r="16279" spans="32:32" x14ac:dyDescent="0.2">
      <c r="AF16279" s="679"/>
    </row>
    <row r="16280" spans="32:32" x14ac:dyDescent="0.2">
      <c r="AF16280" s="679"/>
    </row>
    <row r="16281" spans="32:32" x14ac:dyDescent="0.2">
      <c r="AF16281" s="679"/>
    </row>
    <row r="16282" spans="32:32" x14ac:dyDescent="0.2">
      <c r="AF16282" s="679"/>
    </row>
    <row r="16283" spans="32:32" x14ac:dyDescent="0.2">
      <c r="AF16283" s="679"/>
    </row>
    <row r="16284" spans="32:32" x14ac:dyDescent="0.2">
      <c r="AF16284" s="679"/>
    </row>
    <row r="16285" spans="32:32" x14ac:dyDescent="0.2">
      <c r="AF16285" s="679"/>
    </row>
    <row r="16286" spans="32:32" x14ac:dyDescent="0.2">
      <c r="AF16286" s="679"/>
    </row>
    <row r="16287" spans="32:32" x14ac:dyDescent="0.2">
      <c r="AF16287" s="679"/>
    </row>
    <row r="16288" spans="32:32" x14ac:dyDescent="0.2">
      <c r="AF16288" s="679"/>
    </row>
    <row r="16289" spans="32:32" x14ac:dyDescent="0.2">
      <c r="AF16289" s="679"/>
    </row>
    <row r="16290" spans="32:32" x14ac:dyDescent="0.2">
      <c r="AF16290" s="679"/>
    </row>
    <row r="16291" spans="32:32" x14ac:dyDescent="0.2">
      <c r="AF16291" s="679"/>
    </row>
    <row r="16292" spans="32:32" x14ac:dyDescent="0.2">
      <c r="AF16292" s="679"/>
    </row>
    <row r="16293" spans="32:32" x14ac:dyDescent="0.2">
      <c r="AF16293" s="679"/>
    </row>
    <row r="16294" spans="32:32" x14ac:dyDescent="0.2">
      <c r="AF16294" s="679"/>
    </row>
    <row r="16295" spans="32:32" x14ac:dyDescent="0.2">
      <c r="AF16295" s="679"/>
    </row>
    <row r="16296" spans="32:32" x14ac:dyDescent="0.2">
      <c r="AF16296" s="679"/>
    </row>
    <row r="16297" spans="32:32" x14ac:dyDescent="0.2">
      <c r="AF16297" s="679"/>
    </row>
    <row r="16298" spans="32:32" x14ac:dyDescent="0.2">
      <c r="AF16298" s="679"/>
    </row>
    <row r="16299" spans="32:32" x14ac:dyDescent="0.2">
      <c r="AF16299" s="679"/>
    </row>
    <row r="16300" spans="32:32" x14ac:dyDescent="0.2">
      <c r="AF16300" s="679"/>
    </row>
    <row r="16301" spans="32:32" x14ac:dyDescent="0.2">
      <c r="AF16301" s="679"/>
    </row>
    <row r="16302" spans="32:32" x14ac:dyDescent="0.2">
      <c r="AF16302" s="679"/>
    </row>
    <row r="16303" spans="32:32" x14ac:dyDescent="0.2">
      <c r="AF16303" s="679"/>
    </row>
    <row r="16304" spans="32:32" x14ac:dyDescent="0.2">
      <c r="AF16304" s="679"/>
    </row>
    <row r="16305" spans="32:32" x14ac:dyDescent="0.2">
      <c r="AF16305" s="679"/>
    </row>
    <row r="16306" spans="32:32" x14ac:dyDescent="0.2">
      <c r="AF16306" s="679"/>
    </row>
    <row r="16307" spans="32:32" x14ac:dyDescent="0.2">
      <c r="AF16307" s="679"/>
    </row>
    <row r="16308" spans="32:32" x14ac:dyDescent="0.2">
      <c r="AF16308" s="679"/>
    </row>
    <row r="16309" spans="32:32" x14ac:dyDescent="0.2">
      <c r="AF16309" s="679"/>
    </row>
    <row r="16310" spans="32:32" x14ac:dyDescent="0.2">
      <c r="AF16310" s="679"/>
    </row>
    <row r="16311" spans="32:32" x14ac:dyDescent="0.2">
      <c r="AF16311" s="679"/>
    </row>
    <row r="16312" spans="32:32" x14ac:dyDescent="0.2">
      <c r="AF16312" s="679"/>
    </row>
    <row r="16313" spans="32:32" x14ac:dyDescent="0.2">
      <c r="AF16313" s="679"/>
    </row>
    <row r="16314" spans="32:32" x14ac:dyDescent="0.2">
      <c r="AF16314" s="679"/>
    </row>
    <row r="16315" spans="32:32" x14ac:dyDescent="0.2">
      <c r="AF16315" s="679"/>
    </row>
    <row r="16316" spans="32:32" x14ac:dyDescent="0.2">
      <c r="AF16316" s="679"/>
    </row>
    <row r="16317" spans="32:32" x14ac:dyDescent="0.2">
      <c r="AF16317" s="679"/>
    </row>
    <row r="16318" spans="32:32" x14ac:dyDescent="0.2">
      <c r="AF16318" s="679"/>
    </row>
    <row r="16319" spans="32:32" x14ac:dyDescent="0.2">
      <c r="AF16319" s="679"/>
    </row>
    <row r="16320" spans="32:32" x14ac:dyDescent="0.2">
      <c r="AF16320" s="679"/>
    </row>
    <row r="16321" spans="32:32" x14ac:dyDescent="0.2">
      <c r="AF16321" s="679"/>
    </row>
    <row r="16322" spans="32:32" x14ac:dyDescent="0.2">
      <c r="AF16322" s="679"/>
    </row>
    <row r="16323" spans="32:32" x14ac:dyDescent="0.2">
      <c r="AF16323" s="679"/>
    </row>
    <row r="16324" spans="32:32" x14ac:dyDescent="0.2">
      <c r="AF16324" s="679"/>
    </row>
    <row r="16325" spans="32:32" x14ac:dyDescent="0.2">
      <c r="AF16325" s="679"/>
    </row>
    <row r="16326" spans="32:32" x14ac:dyDescent="0.2">
      <c r="AF16326" s="679"/>
    </row>
    <row r="16327" spans="32:32" x14ac:dyDescent="0.2">
      <c r="AF16327" s="679"/>
    </row>
    <row r="16328" spans="32:32" x14ac:dyDescent="0.2">
      <c r="AF16328" s="679"/>
    </row>
    <row r="16329" spans="32:32" x14ac:dyDescent="0.2">
      <c r="AF16329" s="679"/>
    </row>
    <row r="16330" spans="32:32" x14ac:dyDescent="0.2">
      <c r="AF16330" s="679"/>
    </row>
    <row r="16331" spans="32:32" x14ac:dyDescent="0.2">
      <c r="AF16331" s="679"/>
    </row>
    <row r="16332" spans="32:32" x14ac:dyDescent="0.2">
      <c r="AF16332" s="679"/>
    </row>
    <row r="16333" spans="32:32" x14ac:dyDescent="0.2">
      <c r="AF16333" s="679"/>
    </row>
    <row r="16334" spans="32:32" x14ac:dyDescent="0.2">
      <c r="AF16334" s="679"/>
    </row>
    <row r="16335" spans="32:32" x14ac:dyDescent="0.2">
      <c r="AF16335" s="679"/>
    </row>
    <row r="16336" spans="32:32" x14ac:dyDescent="0.2">
      <c r="AF16336" s="679"/>
    </row>
    <row r="16337" spans="32:32" x14ac:dyDescent="0.2">
      <c r="AF16337" s="679"/>
    </row>
    <row r="16338" spans="32:32" x14ac:dyDescent="0.2">
      <c r="AF16338" s="679"/>
    </row>
    <row r="16339" spans="32:32" x14ac:dyDescent="0.2">
      <c r="AF16339" s="679"/>
    </row>
    <row r="16340" spans="32:32" x14ac:dyDescent="0.2">
      <c r="AF16340" s="679"/>
    </row>
    <row r="16341" spans="32:32" x14ac:dyDescent="0.2">
      <c r="AF16341" s="679"/>
    </row>
    <row r="16342" spans="32:32" x14ac:dyDescent="0.2">
      <c r="AF16342" s="679"/>
    </row>
    <row r="16343" spans="32:32" x14ac:dyDescent="0.2">
      <c r="AF16343" s="679"/>
    </row>
    <row r="16344" spans="32:32" x14ac:dyDescent="0.2">
      <c r="AF16344" s="679"/>
    </row>
    <row r="16345" spans="32:32" x14ac:dyDescent="0.2">
      <c r="AF16345" s="679"/>
    </row>
    <row r="16346" spans="32:32" x14ac:dyDescent="0.2">
      <c r="AF16346" s="679"/>
    </row>
    <row r="16347" spans="32:32" x14ac:dyDescent="0.2">
      <c r="AF16347" s="679"/>
    </row>
    <row r="16348" spans="32:32" x14ac:dyDescent="0.2">
      <c r="AF16348" s="679"/>
    </row>
    <row r="16349" spans="32:32" x14ac:dyDescent="0.2">
      <c r="AF16349" s="679"/>
    </row>
    <row r="16350" spans="32:32" x14ac:dyDescent="0.2">
      <c r="AF16350" s="679"/>
    </row>
    <row r="16351" spans="32:32" x14ac:dyDescent="0.2">
      <c r="AF16351" s="679"/>
    </row>
    <row r="16352" spans="32:32" x14ac:dyDescent="0.2">
      <c r="AF16352" s="679"/>
    </row>
    <row r="16353" spans="32:32" x14ac:dyDescent="0.2">
      <c r="AF16353" s="679"/>
    </row>
    <row r="16354" spans="32:32" x14ac:dyDescent="0.2">
      <c r="AF16354" s="679"/>
    </row>
    <row r="16355" spans="32:32" x14ac:dyDescent="0.2">
      <c r="AF16355" s="679"/>
    </row>
    <row r="16356" spans="32:32" x14ac:dyDescent="0.2">
      <c r="AF16356" s="679"/>
    </row>
    <row r="16357" spans="32:32" x14ac:dyDescent="0.2">
      <c r="AF16357" s="679"/>
    </row>
    <row r="16358" spans="32:32" x14ac:dyDescent="0.2">
      <c r="AF16358" s="679"/>
    </row>
    <row r="16359" spans="32:32" x14ac:dyDescent="0.2">
      <c r="AF16359" s="679"/>
    </row>
    <row r="16360" spans="32:32" x14ac:dyDescent="0.2">
      <c r="AF16360" s="679"/>
    </row>
    <row r="16361" spans="32:32" x14ac:dyDescent="0.2">
      <c r="AF16361" s="679"/>
    </row>
    <row r="16362" spans="32:32" x14ac:dyDescent="0.2">
      <c r="AF16362" s="679"/>
    </row>
    <row r="16363" spans="32:32" x14ac:dyDescent="0.2">
      <c r="AF16363" s="679"/>
    </row>
    <row r="16364" spans="32:32" x14ac:dyDescent="0.2">
      <c r="AF16364" s="679"/>
    </row>
    <row r="16365" spans="32:32" x14ac:dyDescent="0.2">
      <c r="AF16365" s="679"/>
    </row>
    <row r="16366" spans="32:32" x14ac:dyDescent="0.2">
      <c r="AF16366" s="679"/>
    </row>
    <row r="16367" spans="32:32" x14ac:dyDescent="0.2">
      <c r="AF16367" s="679"/>
    </row>
    <row r="16368" spans="32:32" x14ac:dyDescent="0.2">
      <c r="AF16368" s="679"/>
    </row>
    <row r="16369" spans="32:32" x14ac:dyDescent="0.2">
      <c r="AF16369" s="679"/>
    </row>
    <row r="16370" spans="32:32" x14ac:dyDescent="0.2">
      <c r="AF16370" s="679"/>
    </row>
    <row r="16371" spans="32:32" x14ac:dyDescent="0.2">
      <c r="AF16371" s="679"/>
    </row>
    <row r="16372" spans="32:32" x14ac:dyDescent="0.2">
      <c r="AF16372" s="679"/>
    </row>
    <row r="16373" spans="32:32" x14ac:dyDescent="0.2">
      <c r="AF16373" s="679"/>
    </row>
    <row r="16374" spans="32:32" x14ac:dyDescent="0.2">
      <c r="AF16374" s="679"/>
    </row>
    <row r="16375" spans="32:32" x14ac:dyDescent="0.2">
      <c r="AF16375" s="679"/>
    </row>
    <row r="16376" spans="32:32" x14ac:dyDescent="0.2">
      <c r="AF16376" s="679"/>
    </row>
    <row r="16377" spans="32:32" x14ac:dyDescent="0.2">
      <c r="AF16377" s="679"/>
    </row>
    <row r="16378" spans="32:32" x14ac:dyDescent="0.2">
      <c r="AF16378" s="679"/>
    </row>
    <row r="16379" spans="32:32" x14ac:dyDescent="0.2">
      <c r="AF16379" s="679"/>
    </row>
    <row r="16380" spans="32:32" x14ac:dyDescent="0.2">
      <c r="AF16380" s="679"/>
    </row>
    <row r="16381" spans="32:32" x14ac:dyDescent="0.2">
      <c r="AF16381" s="679"/>
    </row>
    <row r="16382" spans="32:32" x14ac:dyDescent="0.2">
      <c r="AF16382" s="679"/>
    </row>
    <row r="16383" spans="32:32" x14ac:dyDescent="0.2">
      <c r="AF16383" s="679"/>
    </row>
    <row r="16384" spans="32:32" x14ac:dyDescent="0.2">
      <c r="AF16384" s="679"/>
    </row>
    <row r="16385" spans="32:32" x14ac:dyDescent="0.2">
      <c r="AF16385" s="679"/>
    </row>
    <row r="16386" spans="32:32" x14ac:dyDescent="0.2">
      <c r="AF16386" s="679"/>
    </row>
    <row r="16387" spans="32:32" x14ac:dyDescent="0.2">
      <c r="AF16387" s="679"/>
    </row>
    <row r="16388" spans="32:32" x14ac:dyDescent="0.2">
      <c r="AF16388" s="679"/>
    </row>
    <row r="16389" spans="32:32" x14ac:dyDescent="0.2">
      <c r="AF16389" s="679"/>
    </row>
    <row r="16390" spans="32:32" x14ac:dyDescent="0.2">
      <c r="AF16390" s="679"/>
    </row>
    <row r="16391" spans="32:32" x14ac:dyDescent="0.2">
      <c r="AF16391" s="679"/>
    </row>
    <row r="16392" spans="32:32" x14ac:dyDescent="0.2">
      <c r="AF16392" s="679"/>
    </row>
    <row r="16393" spans="32:32" x14ac:dyDescent="0.2">
      <c r="AF16393" s="679"/>
    </row>
    <row r="16394" spans="32:32" x14ac:dyDescent="0.2">
      <c r="AF16394" s="679"/>
    </row>
    <row r="16395" spans="32:32" x14ac:dyDescent="0.2">
      <c r="AF16395" s="679"/>
    </row>
    <row r="16396" spans="32:32" x14ac:dyDescent="0.2">
      <c r="AF16396" s="679"/>
    </row>
    <row r="16397" spans="32:32" x14ac:dyDescent="0.2">
      <c r="AF16397" s="679"/>
    </row>
    <row r="16398" spans="32:32" x14ac:dyDescent="0.2">
      <c r="AF16398" s="679"/>
    </row>
    <row r="16399" spans="32:32" x14ac:dyDescent="0.2">
      <c r="AF16399" s="679"/>
    </row>
    <row r="16400" spans="32:32" x14ac:dyDescent="0.2">
      <c r="AF16400" s="679"/>
    </row>
    <row r="16401" spans="32:32" x14ac:dyDescent="0.2">
      <c r="AF16401" s="679"/>
    </row>
    <row r="16402" spans="32:32" x14ac:dyDescent="0.2">
      <c r="AF16402" s="679"/>
    </row>
    <row r="16403" spans="32:32" x14ac:dyDescent="0.2">
      <c r="AF16403" s="679"/>
    </row>
    <row r="16404" spans="32:32" x14ac:dyDescent="0.2">
      <c r="AF16404" s="679"/>
    </row>
    <row r="16405" spans="32:32" x14ac:dyDescent="0.2">
      <c r="AF16405" s="679"/>
    </row>
    <row r="16406" spans="32:32" x14ac:dyDescent="0.2">
      <c r="AF16406" s="679"/>
    </row>
    <row r="16407" spans="32:32" x14ac:dyDescent="0.2">
      <c r="AF16407" s="679"/>
    </row>
    <row r="16408" spans="32:32" x14ac:dyDescent="0.2">
      <c r="AF16408" s="679"/>
    </row>
    <row r="16409" spans="32:32" x14ac:dyDescent="0.2">
      <c r="AF16409" s="679"/>
    </row>
    <row r="16410" spans="32:32" x14ac:dyDescent="0.2">
      <c r="AF16410" s="679"/>
    </row>
    <row r="16411" spans="32:32" x14ac:dyDescent="0.2">
      <c r="AF16411" s="679"/>
    </row>
    <row r="16412" spans="32:32" x14ac:dyDescent="0.2">
      <c r="AF16412" s="679"/>
    </row>
    <row r="16413" spans="32:32" x14ac:dyDescent="0.2">
      <c r="AF16413" s="679"/>
    </row>
    <row r="16414" spans="32:32" x14ac:dyDescent="0.2">
      <c r="AF16414" s="679"/>
    </row>
    <row r="16415" spans="32:32" x14ac:dyDescent="0.2">
      <c r="AF16415" s="679"/>
    </row>
    <row r="16416" spans="32:32" x14ac:dyDescent="0.2">
      <c r="AF16416" s="679"/>
    </row>
    <row r="16417" spans="32:32" x14ac:dyDescent="0.2">
      <c r="AF16417" s="679"/>
    </row>
    <row r="16418" spans="32:32" x14ac:dyDescent="0.2">
      <c r="AF16418" s="679"/>
    </row>
    <row r="16419" spans="32:32" x14ac:dyDescent="0.2">
      <c r="AF16419" s="679"/>
    </row>
    <row r="16420" spans="32:32" x14ac:dyDescent="0.2">
      <c r="AF16420" s="679"/>
    </row>
    <row r="16421" spans="32:32" x14ac:dyDescent="0.2">
      <c r="AF16421" s="679"/>
    </row>
    <row r="16422" spans="32:32" x14ac:dyDescent="0.2">
      <c r="AF16422" s="679"/>
    </row>
    <row r="16423" spans="32:32" x14ac:dyDescent="0.2">
      <c r="AF16423" s="679"/>
    </row>
    <row r="16424" spans="32:32" x14ac:dyDescent="0.2">
      <c r="AF16424" s="679"/>
    </row>
    <row r="16425" spans="32:32" x14ac:dyDescent="0.2">
      <c r="AF16425" s="679"/>
    </row>
    <row r="16426" spans="32:32" x14ac:dyDescent="0.2">
      <c r="AF16426" s="679"/>
    </row>
    <row r="16427" spans="32:32" x14ac:dyDescent="0.2">
      <c r="AF16427" s="679"/>
    </row>
    <row r="16428" spans="32:32" x14ac:dyDescent="0.2">
      <c r="AF16428" s="679"/>
    </row>
    <row r="16429" spans="32:32" x14ac:dyDescent="0.2">
      <c r="AF16429" s="679"/>
    </row>
    <row r="16430" spans="32:32" x14ac:dyDescent="0.2">
      <c r="AF16430" s="679"/>
    </row>
    <row r="16431" spans="32:32" x14ac:dyDescent="0.2">
      <c r="AF16431" s="679"/>
    </row>
    <row r="16432" spans="32:32" x14ac:dyDescent="0.2">
      <c r="AF16432" s="679"/>
    </row>
    <row r="16433" spans="32:32" x14ac:dyDescent="0.2">
      <c r="AF16433" s="679"/>
    </row>
    <row r="16434" spans="32:32" x14ac:dyDescent="0.2">
      <c r="AF16434" s="679"/>
    </row>
    <row r="16435" spans="32:32" x14ac:dyDescent="0.2">
      <c r="AF16435" s="679"/>
    </row>
    <row r="16436" spans="32:32" x14ac:dyDescent="0.2">
      <c r="AF16436" s="679"/>
    </row>
    <row r="16437" spans="32:32" x14ac:dyDescent="0.2">
      <c r="AF16437" s="679"/>
    </row>
    <row r="16438" spans="32:32" x14ac:dyDescent="0.2">
      <c r="AF16438" s="679"/>
    </row>
    <row r="16439" spans="32:32" x14ac:dyDescent="0.2">
      <c r="AF16439" s="679"/>
    </row>
    <row r="16440" spans="32:32" x14ac:dyDescent="0.2">
      <c r="AF16440" s="679"/>
    </row>
    <row r="16441" spans="32:32" x14ac:dyDescent="0.2">
      <c r="AF16441" s="679"/>
    </row>
    <row r="16442" spans="32:32" x14ac:dyDescent="0.2">
      <c r="AF16442" s="679"/>
    </row>
    <row r="16443" spans="32:32" x14ac:dyDescent="0.2">
      <c r="AF16443" s="679"/>
    </row>
    <row r="16444" spans="32:32" x14ac:dyDescent="0.2">
      <c r="AF16444" s="679"/>
    </row>
    <row r="16445" spans="32:32" x14ac:dyDescent="0.2">
      <c r="AF16445" s="679"/>
    </row>
    <row r="16446" spans="32:32" x14ac:dyDescent="0.2">
      <c r="AF16446" s="679"/>
    </row>
    <row r="16447" spans="32:32" x14ac:dyDescent="0.2">
      <c r="AF16447" s="679"/>
    </row>
    <row r="16448" spans="32:32" x14ac:dyDescent="0.2">
      <c r="AF16448" s="679"/>
    </row>
    <row r="16449" spans="32:32" x14ac:dyDescent="0.2">
      <c r="AF16449" s="679"/>
    </row>
    <row r="16450" spans="32:32" x14ac:dyDescent="0.2">
      <c r="AF16450" s="679"/>
    </row>
    <row r="16451" spans="32:32" x14ac:dyDescent="0.2">
      <c r="AF16451" s="679"/>
    </row>
    <row r="16452" spans="32:32" x14ac:dyDescent="0.2">
      <c r="AF16452" s="679"/>
    </row>
    <row r="16453" spans="32:32" x14ac:dyDescent="0.2">
      <c r="AF16453" s="679"/>
    </row>
    <row r="16454" spans="32:32" x14ac:dyDescent="0.2">
      <c r="AF16454" s="679"/>
    </row>
    <row r="16455" spans="32:32" x14ac:dyDescent="0.2">
      <c r="AF16455" s="679"/>
    </row>
    <row r="16456" spans="32:32" x14ac:dyDescent="0.2">
      <c r="AF16456" s="679"/>
    </row>
    <row r="16457" spans="32:32" x14ac:dyDescent="0.2">
      <c r="AF16457" s="679"/>
    </row>
    <row r="16458" spans="32:32" x14ac:dyDescent="0.2">
      <c r="AF16458" s="679"/>
    </row>
    <row r="16459" spans="32:32" x14ac:dyDescent="0.2">
      <c r="AF16459" s="679"/>
    </row>
    <row r="16460" spans="32:32" x14ac:dyDescent="0.2">
      <c r="AF16460" s="679"/>
    </row>
    <row r="16461" spans="32:32" x14ac:dyDescent="0.2">
      <c r="AF16461" s="679"/>
    </row>
    <row r="16462" spans="32:32" x14ac:dyDescent="0.2">
      <c r="AF16462" s="679"/>
    </row>
    <row r="16463" spans="32:32" x14ac:dyDescent="0.2">
      <c r="AF16463" s="679"/>
    </row>
    <row r="16464" spans="32:32" x14ac:dyDescent="0.2">
      <c r="AF16464" s="679"/>
    </row>
    <row r="16465" spans="32:32" x14ac:dyDescent="0.2">
      <c r="AF16465" s="679"/>
    </row>
    <row r="16466" spans="32:32" x14ac:dyDescent="0.2">
      <c r="AF16466" s="679"/>
    </row>
    <row r="16467" spans="32:32" x14ac:dyDescent="0.2">
      <c r="AF16467" s="679"/>
    </row>
    <row r="16468" spans="32:32" x14ac:dyDescent="0.2">
      <c r="AF16468" s="679"/>
    </row>
    <row r="16469" spans="32:32" x14ac:dyDescent="0.2">
      <c r="AF16469" s="679"/>
    </row>
    <row r="16470" spans="32:32" x14ac:dyDescent="0.2">
      <c r="AF16470" s="679"/>
    </row>
    <row r="16471" spans="32:32" x14ac:dyDescent="0.2">
      <c r="AF16471" s="679"/>
    </row>
    <row r="16472" spans="32:32" x14ac:dyDescent="0.2">
      <c r="AF16472" s="679"/>
    </row>
    <row r="16473" spans="32:32" x14ac:dyDescent="0.2">
      <c r="AF16473" s="679"/>
    </row>
    <row r="16474" spans="32:32" x14ac:dyDescent="0.2">
      <c r="AF16474" s="679"/>
    </row>
    <row r="16475" spans="32:32" x14ac:dyDescent="0.2">
      <c r="AF16475" s="679"/>
    </row>
    <row r="16476" spans="32:32" x14ac:dyDescent="0.2">
      <c r="AF16476" s="679"/>
    </row>
    <row r="16477" spans="32:32" x14ac:dyDescent="0.2">
      <c r="AF16477" s="679"/>
    </row>
    <row r="16478" spans="32:32" x14ac:dyDescent="0.2">
      <c r="AF16478" s="679"/>
    </row>
    <row r="16479" spans="32:32" x14ac:dyDescent="0.2">
      <c r="AF16479" s="679"/>
    </row>
    <row r="16480" spans="32:32" x14ac:dyDescent="0.2">
      <c r="AF16480" s="679"/>
    </row>
    <row r="16481" spans="32:32" x14ac:dyDescent="0.2">
      <c r="AF16481" s="679"/>
    </row>
    <row r="16482" spans="32:32" x14ac:dyDescent="0.2">
      <c r="AF16482" s="679"/>
    </row>
    <row r="16483" spans="32:32" x14ac:dyDescent="0.2">
      <c r="AF16483" s="679"/>
    </row>
    <row r="16484" spans="32:32" x14ac:dyDescent="0.2">
      <c r="AF16484" s="679"/>
    </row>
    <row r="16485" spans="32:32" x14ac:dyDescent="0.2">
      <c r="AF16485" s="679"/>
    </row>
    <row r="16486" spans="32:32" x14ac:dyDescent="0.2">
      <c r="AF16486" s="679"/>
    </row>
    <row r="16487" spans="32:32" x14ac:dyDescent="0.2">
      <c r="AF16487" s="679"/>
    </row>
    <row r="16488" spans="32:32" x14ac:dyDescent="0.2">
      <c r="AF16488" s="679"/>
    </row>
    <row r="16489" spans="32:32" x14ac:dyDescent="0.2">
      <c r="AF16489" s="679"/>
    </row>
    <row r="16490" spans="32:32" x14ac:dyDescent="0.2">
      <c r="AF16490" s="679"/>
    </row>
    <row r="16491" spans="32:32" x14ac:dyDescent="0.2">
      <c r="AF16491" s="679"/>
    </row>
    <row r="16492" spans="32:32" x14ac:dyDescent="0.2">
      <c r="AF16492" s="679"/>
    </row>
    <row r="16493" spans="32:32" x14ac:dyDescent="0.2">
      <c r="AF16493" s="679"/>
    </row>
    <row r="16494" spans="32:32" x14ac:dyDescent="0.2">
      <c r="AF16494" s="679"/>
    </row>
    <row r="16495" spans="32:32" x14ac:dyDescent="0.2">
      <c r="AF16495" s="679"/>
    </row>
    <row r="16496" spans="32:32" x14ac:dyDescent="0.2">
      <c r="AF16496" s="679"/>
    </row>
    <row r="16497" spans="32:32" x14ac:dyDescent="0.2">
      <c r="AF16497" s="679"/>
    </row>
    <row r="16498" spans="32:32" x14ac:dyDescent="0.2">
      <c r="AF16498" s="679"/>
    </row>
    <row r="16499" spans="32:32" x14ac:dyDescent="0.2">
      <c r="AF16499" s="679"/>
    </row>
    <row r="16500" spans="32:32" x14ac:dyDescent="0.2">
      <c r="AF16500" s="679"/>
    </row>
    <row r="16501" spans="32:32" x14ac:dyDescent="0.2">
      <c r="AF16501" s="679"/>
    </row>
    <row r="16502" spans="32:32" x14ac:dyDescent="0.2">
      <c r="AF16502" s="679"/>
    </row>
    <row r="16503" spans="32:32" x14ac:dyDescent="0.2">
      <c r="AF16503" s="679"/>
    </row>
    <row r="16504" spans="32:32" x14ac:dyDescent="0.2">
      <c r="AF16504" s="679"/>
    </row>
    <row r="16505" spans="32:32" x14ac:dyDescent="0.2">
      <c r="AF16505" s="679"/>
    </row>
    <row r="16506" spans="32:32" x14ac:dyDescent="0.2">
      <c r="AF16506" s="679"/>
    </row>
    <row r="16507" spans="32:32" x14ac:dyDescent="0.2">
      <c r="AF16507" s="679"/>
    </row>
    <row r="16508" spans="32:32" x14ac:dyDescent="0.2">
      <c r="AF16508" s="679"/>
    </row>
    <row r="16509" spans="32:32" x14ac:dyDescent="0.2">
      <c r="AF16509" s="679"/>
    </row>
    <row r="16510" spans="32:32" x14ac:dyDescent="0.2">
      <c r="AF16510" s="679"/>
    </row>
    <row r="16511" spans="32:32" x14ac:dyDescent="0.2">
      <c r="AF16511" s="679"/>
    </row>
    <row r="16512" spans="32:32" x14ac:dyDescent="0.2">
      <c r="AF16512" s="679"/>
    </row>
    <row r="16513" spans="32:32" x14ac:dyDescent="0.2">
      <c r="AF16513" s="679"/>
    </row>
    <row r="16514" spans="32:32" x14ac:dyDescent="0.2">
      <c r="AF16514" s="679"/>
    </row>
    <row r="16515" spans="32:32" x14ac:dyDescent="0.2">
      <c r="AF16515" s="679"/>
    </row>
    <row r="16516" spans="32:32" x14ac:dyDescent="0.2">
      <c r="AF16516" s="679"/>
    </row>
    <row r="16517" spans="32:32" x14ac:dyDescent="0.2">
      <c r="AF16517" s="679"/>
    </row>
    <row r="16518" spans="32:32" x14ac:dyDescent="0.2">
      <c r="AF16518" s="679"/>
    </row>
    <row r="16519" spans="32:32" x14ac:dyDescent="0.2">
      <c r="AF16519" s="679"/>
    </row>
    <row r="16520" spans="32:32" x14ac:dyDescent="0.2">
      <c r="AF16520" s="679"/>
    </row>
    <row r="16521" spans="32:32" x14ac:dyDescent="0.2">
      <c r="AF16521" s="679"/>
    </row>
    <row r="16522" spans="32:32" x14ac:dyDescent="0.2">
      <c r="AF16522" s="679"/>
    </row>
    <row r="16523" spans="32:32" x14ac:dyDescent="0.2">
      <c r="AF16523" s="679"/>
    </row>
    <row r="16524" spans="32:32" x14ac:dyDescent="0.2">
      <c r="AF16524" s="679"/>
    </row>
    <row r="16525" spans="32:32" x14ac:dyDescent="0.2">
      <c r="AF16525" s="679"/>
    </row>
    <row r="16526" spans="32:32" x14ac:dyDescent="0.2">
      <c r="AF16526" s="679"/>
    </row>
    <row r="16527" spans="32:32" x14ac:dyDescent="0.2">
      <c r="AF16527" s="679"/>
    </row>
    <row r="16528" spans="32:32" x14ac:dyDescent="0.2">
      <c r="AF16528" s="679"/>
    </row>
    <row r="16529" spans="32:32" x14ac:dyDescent="0.2">
      <c r="AF16529" s="679"/>
    </row>
    <row r="16530" spans="32:32" x14ac:dyDescent="0.2">
      <c r="AF16530" s="679"/>
    </row>
    <row r="16531" spans="32:32" x14ac:dyDescent="0.2">
      <c r="AF16531" s="679"/>
    </row>
    <row r="16532" spans="32:32" x14ac:dyDescent="0.2">
      <c r="AF16532" s="679"/>
    </row>
    <row r="16533" spans="32:32" x14ac:dyDescent="0.2">
      <c r="AF16533" s="679"/>
    </row>
    <row r="16534" spans="32:32" x14ac:dyDescent="0.2">
      <c r="AF16534" s="679"/>
    </row>
    <row r="16535" spans="32:32" x14ac:dyDescent="0.2">
      <c r="AF16535" s="679"/>
    </row>
    <row r="16536" spans="32:32" x14ac:dyDescent="0.2">
      <c r="AF16536" s="679"/>
    </row>
    <row r="16537" spans="32:32" x14ac:dyDescent="0.2">
      <c r="AF16537" s="679"/>
    </row>
    <row r="16538" spans="32:32" x14ac:dyDescent="0.2">
      <c r="AF16538" s="679"/>
    </row>
    <row r="16539" spans="32:32" x14ac:dyDescent="0.2">
      <c r="AF16539" s="679"/>
    </row>
    <row r="16540" spans="32:32" x14ac:dyDescent="0.2">
      <c r="AF16540" s="679"/>
    </row>
    <row r="16541" spans="32:32" x14ac:dyDescent="0.2">
      <c r="AF16541" s="679"/>
    </row>
    <row r="16542" spans="32:32" x14ac:dyDescent="0.2">
      <c r="AF16542" s="679"/>
    </row>
    <row r="16543" spans="32:32" x14ac:dyDescent="0.2">
      <c r="AF16543" s="679"/>
    </row>
    <row r="16544" spans="32:32" x14ac:dyDescent="0.2">
      <c r="AF16544" s="679"/>
    </row>
    <row r="16545" spans="32:32" x14ac:dyDescent="0.2">
      <c r="AF16545" s="679"/>
    </row>
    <row r="16546" spans="32:32" x14ac:dyDescent="0.2">
      <c r="AF16546" s="679"/>
    </row>
    <row r="16547" spans="32:32" x14ac:dyDescent="0.2">
      <c r="AF16547" s="679"/>
    </row>
    <row r="16548" spans="32:32" x14ac:dyDescent="0.2">
      <c r="AF16548" s="679"/>
    </row>
    <row r="16549" spans="32:32" x14ac:dyDescent="0.2">
      <c r="AF16549" s="679"/>
    </row>
    <row r="16550" spans="32:32" x14ac:dyDescent="0.2">
      <c r="AF16550" s="679"/>
    </row>
    <row r="16551" spans="32:32" x14ac:dyDescent="0.2">
      <c r="AF16551" s="679"/>
    </row>
    <row r="16552" spans="32:32" x14ac:dyDescent="0.2">
      <c r="AF16552" s="679"/>
    </row>
    <row r="16553" spans="32:32" x14ac:dyDescent="0.2">
      <c r="AF16553" s="679"/>
    </row>
    <row r="16554" spans="32:32" x14ac:dyDescent="0.2">
      <c r="AF16554" s="679"/>
    </row>
    <row r="16555" spans="32:32" x14ac:dyDescent="0.2">
      <c r="AF16555" s="679"/>
    </row>
    <row r="16556" spans="32:32" x14ac:dyDescent="0.2">
      <c r="AF16556" s="679"/>
    </row>
    <row r="16557" spans="32:32" x14ac:dyDescent="0.2">
      <c r="AF16557" s="679"/>
    </row>
    <row r="16558" spans="32:32" x14ac:dyDescent="0.2">
      <c r="AF16558" s="679"/>
    </row>
    <row r="16559" spans="32:32" x14ac:dyDescent="0.2">
      <c r="AF16559" s="679"/>
    </row>
    <row r="16560" spans="32:32" x14ac:dyDescent="0.2">
      <c r="AF16560" s="679"/>
    </row>
    <row r="16561" spans="32:32" x14ac:dyDescent="0.2">
      <c r="AF16561" s="679"/>
    </row>
    <row r="16562" spans="32:32" x14ac:dyDescent="0.2">
      <c r="AF16562" s="679"/>
    </row>
    <row r="16563" spans="32:32" x14ac:dyDescent="0.2">
      <c r="AF16563" s="679"/>
    </row>
    <row r="16564" spans="32:32" x14ac:dyDescent="0.2">
      <c r="AF16564" s="679"/>
    </row>
    <row r="16565" spans="32:32" x14ac:dyDescent="0.2">
      <c r="AF16565" s="679"/>
    </row>
    <row r="16566" spans="32:32" x14ac:dyDescent="0.2">
      <c r="AF16566" s="679"/>
    </row>
    <row r="16567" spans="32:32" x14ac:dyDescent="0.2">
      <c r="AF16567" s="679"/>
    </row>
    <row r="16568" spans="32:32" x14ac:dyDescent="0.2">
      <c r="AF16568" s="679"/>
    </row>
    <row r="16569" spans="32:32" x14ac:dyDescent="0.2">
      <c r="AF16569" s="679"/>
    </row>
    <row r="16570" spans="32:32" x14ac:dyDescent="0.2">
      <c r="AF16570" s="679"/>
    </row>
    <row r="16571" spans="32:32" x14ac:dyDescent="0.2">
      <c r="AF16571" s="679"/>
    </row>
    <row r="16572" spans="32:32" x14ac:dyDescent="0.2">
      <c r="AF16572" s="679"/>
    </row>
    <row r="16573" spans="32:32" x14ac:dyDescent="0.2">
      <c r="AF16573" s="679"/>
    </row>
    <row r="16574" spans="32:32" x14ac:dyDescent="0.2">
      <c r="AF16574" s="679"/>
    </row>
    <row r="16575" spans="32:32" x14ac:dyDescent="0.2">
      <c r="AF16575" s="679"/>
    </row>
    <row r="16576" spans="32:32" x14ac:dyDescent="0.2">
      <c r="AF16576" s="679"/>
    </row>
    <row r="16577" spans="32:32" x14ac:dyDescent="0.2">
      <c r="AF16577" s="679"/>
    </row>
    <row r="16578" spans="32:32" x14ac:dyDescent="0.2">
      <c r="AF16578" s="679"/>
    </row>
    <row r="16579" spans="32:32" x14ac:dyDescent="0.2">
      <c r="AF16579" s="679"/>
    </row>
    <row r="16580" spans="32:32" x14ac:dyDescent="0.2">
      <c r="AF16580" s="679"/>
    </row>
    <row r="16581" spans="32:32" x14ac:dyDescent="0.2">
      <c r="AF16581" s="679"/>
    </row>
    <row r="16582" spans="32:32" x14ac:dyDescent="0.2">
      <c r="AF16582" s="679"/>
    </row>
    <row r="16583" spans="32:32" x14ac:dyDescent="0.2">
      <c r="AF16583" s="679"/>
    </row>
    <row r="16584" spans="32:32" x14ac:dyDescent="0.2">
      <c r="AF16584" s="679"/>
    </row>
    <row r="16585" spans="32:32" x14ac:dyDescent="0.2">
      <c r="AF16585" s="679"/>
    </row>
    <row r="16586" spans="32:32" x14ac:dyDescent="0.2">
      <c r="AF16586" s="679"/>
    </row>
    <row r="16587" spans="32:32" x14ac:dyDescent="0.2">
      <c r="AF16587" s="679"/>
    </row>
    <row r="16588" spans="32:32" x14ac:dyDescent="0.2">
      <c r="AF16588" s="679"/>
    </row>
    <row r="16589" spans="32:32" x14ac:dyDescent="0.2">
      <c r="AF16589" s="679"/>
    </row>
    <row r="16590" spans="32:32" x14ac:dyDescent="0.2">
      <c r="AF16590" s="679"/>
    </row>
    <row r="16591" spans="32:32" x14ac:dyDescent="0.2">
      <c r="AF16591" s="679"/>
    </row>
    <row r="16592" spans="32:32" x14ac:dyDescent="0.2">
      <c r="AF16592" s="679"/>
    </row>
    <row r="16593" spans="32:32" x14ac:dyDescent="0.2">
      <c r="AF16593" s="679"/>
    </row>
    <row r="16594" spans="32:32" x14ac:dyDescent="0.2">
      <c r="AF16594" s="679"/>
    </row>
    <row r="16595" spans="32:32" x14ac:dyDescent="0.2">
      <c r="AF16595" s="679"/>
    </row>
    <row r="16596" spans="32:32" x14ac:dyDescent="0.2">
      <c r="AF16596" s="679"/>
    </row>
    <row r="16597" spans="32:32" x14ac:dyDescent="0.2">
      <c r="AF16597" s="679"/>
    </row>
    <row r="16598" spans="32:32" x14ac:dyDescent="0.2">
      <c r="AF16598" s="679"/>
    </row>
    <row r="16599" spans="32:32" x14ac:dyDescent="0.2">
      <c r="AF16599" s="679"/>
    </row>
    <row r="16600" spans="32:32" x14ac:dyDescent="0.2">
      <c r="AF16600" s="679"/>
    </row>
    <row r="16601" spans="32:32" x14ac:dyDescent="0.2">
      <c r="AF16601" s="679"/>
    </row>
    <row r="16602" spans="32:32" x14ac:dyDescent="0.2">
      <c r="AF16602" s="679"/>
    </row>
    <row r="16603" spans="32:32" x14ac:dyDescent="0.2">
      <c r="AF16603" s="679"/>
    </row>
    <row r="16604" spans="32:32" x14ac:dyDescent="0.2">
      <c r="AF16604" s="679"/>
    </row>
    <row r="16605" spans="32:32" x14ac:dyDescent="0.2">
      <c r="AF16605" s="679"/>
    </row>
    <row r="16606" spans="32:32" x14ac:dyDescent="0.2">
      <c r="AF16606" s="679"/>
    </row>
    <row r="16607" spans="32:32" x14ac:dyDescent="0.2">
      <c r="AF16607" s="679"/>
    </row>
    <row r="16608" spans="32:32" x14ac:dyDescent="0.2">
      <c r="AF16608" s="679"/>
    </row>
    <row r="16609" spans="32:32" x14ac:dyDescent="0.2">
      <c r="AF16609" s="679"/>
    </row>
    <row r="16610" spans="32:32" x14ac:dyDescent="0.2">
      <c r="AF16610" s="679"/>
    </row>
    <row r="16611" spans="32:32" x14ac:dyDescent="0.2">
      <c r="AF16611" s="679"/>
    </row>
    <row r="16612" spans="32:32" x14ac:dyDescent="0.2">
      <c r="AF16612" s="679"/>
    </row>
    <row r="16613" spans="32:32" x14ac:dyDescent="0.2">
      <c r="AF16613" s="679"/>
    </row>
    <row r="16614" spans="32:32" x14ac:dyDescent="0.2">
      <c r="AF16614" s="679"/>
    </row>
    <row r="16615" spans="32:32" x14ac:dyDescent="0.2">
      <c r="AF16615" s="679"/>
    </row>
    <row r="16616" spans="32:32" x14ac:dyDescent="0.2">
      <c r="AF16616" s="679"/>
    </row>
    <row r="16617" spans="32:32" x14ac:dyDescent="0.2">
      <c r="AF16617" s="679"/>
    </row>
    <row r="16618" spans="32:32" x14ac:dyDescent="0.2">
      <c r="AF16618" s="679"/>
    </row>
    <row r="16619" spans="32:32" x14ac:dyDescent="0.2">
      <c r="AF16619" s="679"/>
    </row>
    <row r="16620" spans="32:32" x14ac:dyDescent="0.2">
      <c r="AF16620" s="679"/>
    </row>
    <row r="16621" spans="32:32" x14ac:dyDescent="0.2">
      <c r="AF16621" s="679"/>
    </row>
    <row r="16622" spans="32:32" x14ac:dyDescent="0.2">
      <c r="AF16622" s="679"/>
    </row>
    <row r="16623" spans="32:32" x14ac:dyDescent="0.2">
      <c r="AF16623" s="679"/>
    </row>
    <row r="16624" spans="32:32" x14ac:dyDescent="0.2">
      <c r="AF16624" s="679"/>
    </row>
    <row r="16625" spans="32:32" x14ac:dyDescent="0.2">
      <c r="AF16625" s="679"/>
    </row>
    <row r="16626" spans="32:32" x14ac:dyDescent="0.2">
      <c r="AF16626" s="679"/>
    </row>
    <row r="16627" spans="32:32" x14ac:dyDescent="0.2">
      <c r="AF16627" s="679"/>
    </row>
    <row r="16628" spans="32:32" x14ac:dyDescent="0.2">
      <c r="AF16628" s="679"/>
    </row>
    <row r="16629" spans="32:32" x14ac:dyDescent="0.2">
      <c r="AF16629" s="679"/>
    </row>
    <row r="16630" spans="32:32" x14ac:dyDescent="0.2">
      <c r="AF16630" s="679"/>
    </row>
    <row r="16631" spans="32:32" x14ac:dyDescent="0.2">
      <c r="AF16631" s="679"/>
    </row>
    <row r="16632" spans="32:32" x14ac:dyDescent="0.2">
      <c r="AF16632" s="679"/>
    </row>
    <row r="16633" spans="32:32" x14ac:dyDescent="0.2">
      <c r="AF16633" s="679"/>
    </row>
    <row r="16634" spans="32:32" x14ac:dyDescent="0.2">
      <c r="AF16634" s="679"/>
    </row>
    <row r="16635" spans="32:32" x14ac:dyDescent="0.2">
      <c r="AF16635" s="679"/>
    </row>
    <row r="16636" spans="32:32" x14ac:dyDescent="0.2">
      <c r="AF16636" s="679"/>
    </row>
    <row r="16637" spans="32:32" x14ac:dyDescent="0.2">
      <c r="AF16637" s="679"/>
    </row>
    <row r="16638" spans="32:32" x14ac:dyDescent="0.2">
      <c r="AF16638" s="679"/>
    </row>
    <row r="16639" spans="32:32" x14ac:dyDescent="0.2">
      <c r="AF16639" s="679"/>
    </row>
    <row r="16640" spans="32:32" x14ac:dyDescent="0.2">
      <c r="AF16640" s="679"/>
    </row>
    <row r="16641" spans="32:32" x14ac:dyDescent="0.2">
      <c r="AF16641" s="679"/>
    </row>
    <row r="16642" spans="32:32" x14ac:dyDescent="0.2">
      <c r="AF16642" s="679"/>
    </row>
    <row r="16643" spans="32:32" x14ac:dyDescent="0.2">
      <c r="AF16643" s="679"/>
    </row>
    <row r="16644" spans="32:32" x14ac:dyDescent="0.2">
      <c r="AF16644" s="679"/>
    </row>
    <row r="16645" spans="32:32" x14ac:dyDescent="0.2">
      <c r="AF16645" s="679"/>
    </row>
    <row r="16646" spans="32:32" x14ac:dyDescent="0.2">
      <c r="AF16646" s="679"/>
    </row>
    <row r="16647" spans="32:32" x14ac:dyDescent="0.2">
      <c r="AF16647" s="679"/>
    </row>
    <row r="16648" spans="32:32" x14ac:dyDescent="0.2">
      <c r="AF16648" s="679"/>
    </row>
    <row r="16649" spans="32:32" x14ac:dyDescent="0.2">
      <c r="AF16649" s="679"/>
    </row>
    <row r="16650" spans="32:32" x14ac:dyDescent="0.2">
      <c r="AF16650" s="679"/>
    </row>
    <row r="16651" spans="32:32" x14ac:dyDescent="0.2">
      <c r="AF16651" s="679"/>
    </row>
    <row r="16652" spans="32:32" x14ac:dyDescent="0.2">
      <c r="AF16652" s="679"/>
    </row>
    <row r="16653" spans="32:32" x14ac:dyDescent="0.2">
      <c r="AF16653" s="679"/>
    </row>
    <row r="16654" spans="32:32" x14ac:dyDescent="0.2">
      <c r="AF16654" s="679"/>
    </row>
    <row r="16655" spans="32:32" x14ac:dyDescent="0.2">
      <c r="AF16655" s="679"/>
    </row>
    <row r="16656" spans="32:32" x14ac:dyDescent="0.2">
      <c r="AF16656" s="679"/>
    </row>
    <row r="16657" spans="32:32" x14ac:dyDescent="0.2">
      <c r="AF16657" s="679"/>
    </row>
    <row r="16658" spans="32:32" x14ac:dyDescent="0.2">
      <c r="AF16658" s="679"/>
    </row>
    <row r="16659" spans="32:32" x14ac:dyDescent="0.2">
      <c r="AF16659" s="679"/>
    </row>
    <row r="16660" spans="32:32" x14ac:dyDescent="0.2">
      <c r="AF16660" s="679"/>
    </row>
    <row r="16661" spans="32:32" x14ac:dyDescent="0.2">
      <c r="AF16661" s="679"/>
    </row>
    <row r="16662" spans="32:32" x14ac:dyDescent="0.2">
      <c r="AF16662" s="679"/>
    </row>
    <row r="16663" spans="32:32" x14ac:dyDescent="0.2">
      <c r="AF16663" s="679"/>
    </row>
    <row r="16664" spans="32:32" x14ac:dyDescent="0.2">
      <c r="AF16664" s="679"/>
    </row>
    <row r="16665" spans="32:32" x14ac:dyDescent="0.2">
      <c r="AF16665" s="679"/>
    </row>
    <row r="16666" spans="32:32" x14ac:dyDescent="0.2">
      <c r="AF16666" s="679"/>
    </row>
    <row r="16667" spans="32:32" x14ac:dyDescent="0.2">
      <c r="AF16667" s="679"/>
    </row>
    <row r="16668" spans="32:32" x14ac:dyDescent="0.2">
      <c r="AF16668" s="679"/>
    </row>
    <row r="16669" spans="32:32" x14ac:dyDescent="0.2">
      <c r="AF16669" s="679"/>
    </row>
    <row r="16670" spans="32:32" x14ac:dyDescent="0.2">
      <c r="AF16670" s="679"/>
    </row>
    <row r="16671" spans="32:32" x14ac:dyDescent="0.2">
      <c r="AF16671" s="679"/>
    </row>
    <row r="16672" spans="32:32" x14ac:dyDescent="0.2">
      <c r="AF16672" s="679"/>
    </row>
    <row r="16673" spans="32:32" x14ac:dyDescent="0.2">
      <c r="AF16673" s="679"/>
    </row>
    <row r="16674" spans="32:32" x14ac:dyDescent="0.2">
      <c r="AF16674" s="679"/>
    </row>
    <row r="16675" spans="32:32" x14ac:dyDescent="0.2">
      <c r="AF16675" s="679"/>
    </row>
    <row r="16676" spans="32:32" x14ac:dyDescent="0.2">
      <c r="AF16676" s="679"/>
    </row>
    <row r="16677" spans="32:32" x14ac:dyDescent="0.2">
      <c r="AF16677" s="679"/>
    </row>
    <row r="16678" spans="32:32" x14ac:dyDescent="0.2">
      <c r="AF16678" s="679"/>
    </row>
    <row r="16679" spans="32:32" x14ac:dyDescent="0.2">
      <c r="AF16679" s="679"/>
    </row>
    <row r="16680" spans="32:32" x14ac:dyDescent="0.2">
      <c r="AF16680" s="679"/>
    </row>
    <row r="16681" spans="32:32" x14ac:dyDescent="0.2">
      <c r="AF16681" s="679"/>
    </row>
    <row r="16682" spans="32:32" x14ac:dyDescent="0.2">
      <c r="AF16682" s="679"/>
    </row>
    <row r="16683" spans="32:32" x14ac:dyDescent="0.2">
      <c r="AF16683" s="679"/>
    </row>
    <row r="16684" spans="32:32" x14ac:dyDescent="0.2">
      <c r="AF16684" s="679"/>
    </row>
    <row r="16685" spans="32:32" x14ac:dyDescent="0.2">
      <c r="AF16685" s="679"/>
    </row>
    <row r="16686" spans="32:32" x14ac:dyDescent="0.2">
      <c r="AF16686" s="679"/>
    </row>
    <row r="16687" spans="32:32" x14ac:dyDescent="0.2">
      <c r="AF16687" s="679"/>
    </row>
    <row r="16688" spans="32:32" x14ac:dyDescent="0.2">
      <c r="AF16688" s="679"/>
    </row>
    <row r="16689" spans="32:32" x14ac:dyDescent="0.2">
      <c r="AF16689" s="679"/>
    </row>
    <row r="16690" spans="32:32" x14ac:dyDescent="0.2">
      <c r="AF16690" s="679"/>
    </row>
    <row r="16691" spans="32:32" x14ac:dyDescent="0.2">
      <c r="AF16691" s="679"/>
    </row>
    <row r="16692" spans="32:32" x14ac:dyDescent="0.2">
      <c r="AF16692" s="679"/>
    </row>
    <row r="16693" spans="32:32" x14ac:dyDescent="0.2">
      <c r="AF16693" s="679"/>
    </row>
    <row r="16694" spans="32:32" x14ac:dyDescent="0.2">
      <c r="AF16694" s="679"/>
    </row>
    <row r="16695" spans="32:32" x14ac:dyDescent="0.2">
      <c r="AF16695" s="679"/>
    </row>
    <row r="16696" spans="32:32" x14ac:dyDescent="0.2">
      <c r="AF16696" s="679"/>
    </row>
    <row r="16697" spans="32:32" x14ac:dyDescent="0.2">
      <c r="AF16697" s="679"/>
    </row>
    <row r="16698" spans="32:32" x14ac:dyDescent="0.2">
      <c r="AF16698" s="679"/>
    </row>
    <row r="16699" spans="32:32" x14ac:dyDescent="0.2">
      <c r="AF16699" s="679"/>
    </row>
    <row r="16700" spans="32:32" x14ac:dyDescent="0.2">
      <c r="AF16700" s="679"/>
    </row>
    <row r="16701" spans="32:32" x14ac:dyDescent="0.2">
      <c r="AF16701" s="679"/>
    </row>
    <row r="16702" spans="32:32" x14ac:dyDescent="0.2">
      <c r="AF16702" s="679"/>
    </row>
    <row r="16703" spans="32:32" x14ac:dyDescent="0.2">
      <c r="AF16703" s="679"/>
    </row>
    <row r="16704" spans="32:32" x14ac:dyDescent="0.2">
      <c r="AF16704" s="679"/>
    </row>
    <row r="16705" spans="32:32" x14ac:dyDescent="0.2">
      <c r="AF16705" s="679"/>
    </row>
    <row r="16706" spans="32:32" x14ac:dyDescent="0.2">
      <c r="AF16706" s="679"/>
    </row>
    <row r="16707" spans="32:32" x14ac:dyDescent="0.2">
      <c r="AF16707" s="679"/>
    </row>
    <row r="16708" spans="32:32" x14ac:dyDescent="0.2">
      <c r="AF16708" s="679"/>
    </row>
    <row r="16709" spans="32:32" x14ac:dyDescent="0.2">
      <c r="AF16709" s="679"/>
    </row>
    <row r="16710" spans="32:32" x14ac:dyDescent="0.2">
      <c r="AF16710" s="679"/>
    </row>
    <row r="16711" spans="32:32" x14ac:dyDescent="0.2">
      <c r="AF16711" s="679"/>
    </row>
    <row r="16712" spans="32:32" x14ac:dyDescent="0.2">
      <c r="AF16712" s="679"/>
    </row>
    <row r="16713" spans="32:32" x14ac:dyDescent="0.2">
      <c r="AF16713" s="679"/>
    </row>
    <row r="16714" spans="32:32" x14ac:dyDescent="0.2">
      <c r="AF16714" s="679"/>
    </row>
    <row r="16715" spans="32:32" x14ac:dyDescent="0.2">
      <c r="AF16715" s="679"/>
    </row>
    <row r="16716" spans="32:32" x14ac:dyDescent="0.2">
      <c r="AF16716" s="679"/>
    </row>
    <row r="16717" spans="32:32" x14ac:dyDescent="0.2">
      <c r="AF16717" s="679"/>
    </row>
    <row r="16718" spans="32:32" x14ac:dyDescent="0.2">
      <c r="AF16718" s="679"/>
    </row>
    <row r="16719" spans="32:32" x14ac:dyDescent="0.2">
      <c r="AF16719" s="679"/>
    </row>
    <row r="16720" spans="32:32" x14ac:dyDescent="0.2">
      <c r="AF16720" s="679"/>
    </row>
    <row r="16721" spans="32:32" x14ac:dyDescent="0.2">
      <c r="AF16721" s="679"/>
    </row>
    <row r="16722" spans="32:32" x14ac:dyDescent="0.2">
      <c r="AF16722" s="679"/>
    </row>
    <row r="16723" spans="32:32" x14ac:dyDescent="0.2">
      <c r="AF16723" s="679"/>
    </row>
    <row r="16724" spans="32:32" x14ac:dyDescent="0.2">
      <c r="AF16724" s="679"/>
    </row>
    <row r="16725" spans="32:32" x14ac:dyDescent="0.2">
      <c r="AF16725" s="679"/>
    </row>
    <row r="16726" spans="32:32" x14ac:dyDescent="0.2">
      <c r="AF16726" s="679"/>
    </row>
    <row r="16727" spans="32:32" x14ac:dyDescent="0.2">
      <c r="AF16727" s="679"/>
    </row>
    <row r="16728" spans="32:32" x14ac:dyDescent="0.2">
      <c r="AF16728" s="679"/>
    </row>
    <row r="16729" spans="32:32" x14ac:dyDescent="0.2">
      <c r="AF16729" s="679"/>
    </row>
    <row r="16730" spans="32:32" x14ac:dyDescent="0.2">
      <c r="AF16730" s="679"/>
    </row>
    <row r="16731" spans="32:32" x14ac:dyDescent="0.2">
      <c r="AF16731" s="679"/>
    </row>
    <row r="16732" spans="32:32" x14ac:dyDescent="0.2">
      <c r="AF16732" s="679"/>
    </row>
    <row r="16733" spans="32:32" x14ac:dyDescent="0.2">
      <c r="AF16733" s="679"/>
    </row>
    <row r="16734" spans="32:32" x14ac:dyDescent="0.2">
      <c r="AF16734" s="679"/>
    </row>
    <row r="16735" spans="32:32" x14ac:dyDescent="0.2">
      <c r="AF16735" s="679"/>
    </row>
    <row r="16736" spans="32:32" x14ac:dyDescent="0.2">
      <c r="AF16736" s="679"/>
    </row>
    <row r="16737" spans="32:32" x14ac:dyDescent="0.2">
      <c r="AF16737" s="679"/>
    </row>
    <row r="16738" spans="32:32" x14ac:dyDescent="0.2">
      <c r="AF16738" s="679"/>
    </row>
    <row r="16739" spans="32:32" x14ac:dyDescent="0.2">
      <c r="AF16739" s="679"/>
    </row>
    <row r="16740" spans="32:32" x14ac:dyDescent="0.2">
      <c r="AF16740" s="679"/>
    </row>
    <row r="16741" spans="32:32" x14ac:dyDescent="0.2">
      <c r="AF16741" s="679"/>
    </row>
    <row r="16742" spans="32:32" x14ac:dyDescent="0.2">
      <c r="AF16742" s="679"/>
    </row>
    <row r="16743" spans="32:32" x14ac:dyDescent="0.2">
      <c r="AF16743" s="679"/>
    </row>
    <row r="16744" spans="32:32" x14ac:dyDescent="0.2">
      <c r="AF16744" s="679"/>
    </row>
    <row r="16745" spans="32:32" x14ac:dyDescent="0.2">
      <c r="AF16745" s="679"/>
    </row>
    <row r="16746" spans="32:32" x14ac:dyDescent="0.2">
      <c r="AF16746" s="679"/>
    </row>
    <row r="16747" spans="32:32" x14ac:dyDescent="0.2">
      <c r="AF16747" s="679"/>
    </row>
    <row r="16748" spans="32:32" x14ac:dyDescent="0.2">
      <c r="AF16748" s="679"/>
    </row>
    <row r="16749" spans="32:32" x14ac:dyDescent="0.2">
      <c r="AF16749" s="679"/>
    </row>
    <row r="16750" spans="32:32" x14ac:dyDescent="0.2">
      <c r="AF16750" s="679"/>
    </row>
    <row r="16751" spans="32:32" x14ac:dyDescent="0.2">
      <c r="AF16751" s="679"/>
    </row>
    <row r="16752" spans="32:32" x14ac:dyDescent="0.2">
      <c r="AF16752" s="679"/>
    </row>
    <row r="16753" spans="32:32" x14ac:dyDescent="0.2">
      <c r="AF16753" s="679"/>
    </row>
    <row r="16754" spans="32:32" x14ac:dyDescent="0.2">
      <c r="AF16754" s="679"/>
    </row>
    <row r="16755" spans="32:32" x14ac:dyDescent="0.2">
      <c r="AF16755" s="679"/>
    </row>
    <row r="16756" spans="32:32" x14ac:dyDescent="0.2">
      <c r="AF16756" s="679"/>
    </row>
    <row r="16757" spans="32:32" x14ac:dyDescent="0.2">
      <c r="AF16757" s="679"/>
    </row>
    <row r="16758" spans="32:32" x14ac:dyDescent="0.2">
      <c r="AF16758" s="679"/>
    </row>
    <row r="16759" spans="32:32" x14ac:dyDescent="0.2">
      <c r="AF16759" s="679"/>
    </row>
    <row r="16760" spans="32:32" x14ac:dyDescent="0.2">
      <c r="AF16760" s="679"/>
    </row>
    <row r="16761" spans="32:32" x14ac:dyDescent="0.2">
      <c r="AF16761" s="679"/>
    </row>
    <row r="16762" spans="32:32" x14ac:dyDescent="0.2">
      <c r="AF16762" s="679"/>
    </row>
    <row r="16763" spans="32:32" x14ac:dyDescent="0.2">
      <c r="AF16763" s="679"/>
    </row>
    <row r="16764" spans="32:32" x14ac:dyDescent="0.2">
      <c r="AF16764" s="679"/>
    </row>
    <row r="16765" spans="32:32" x14ac:dyDescent="0.2">
      <c r="AF16765" s="679"/>
    </row>
    <row r="16766" spans="32:32" x14ac:dyDescent="0.2">
      <c r="AF16766" s="679"/>
    </row>
    <row r="16767" spans="32:32" x14ac:dyDescent="0.2">
      <c r="AF16767" s="679"/>
    </row>
    <row r="16768" spans="32:32" x14ac:dyDescent="0.2">
      <c r="AF16768" s="679"/>
    </row>
    <row r="16769" spans="32:32" x14ac:dyDescent="0.2">
      <c r="AF16769" s="679"/>
    </row>
    <row r="16770" spans="32:32" x14ac:dyDescent="0.2">
      <c r="AF16770" s="679"/>
    </row>
    <row r="16771" spans="32:32" x14ac:dyDescent="0.2">
      <c r="AF16771" s="679"/>
    </row>
    <row r="16772" spans="32:32" x14ac:dyDescent="0.2">
      <c r="AF16772" s="679"/>
    </row>
    <row r="16773" spans="32:32" x14ac:dyDescent="0.2">
      <c r="AF16773" s="679"/>
    </row>
    <row r="16774" spans="32:32" x14ac:dyDescent="0.2">
      <c r="AF16774" s="679"/>
    </row>
    <row r="16775" spans="32:32" x14ac:dyDescent="0.2">
      <c r="AF16775" s="679"/>
    </row>
    <row r="16776" spans="32:32" x14ac:dyDescent="0.2">
      <c r="AF16776" s="679"/>
    </row>
    <row r="16777" spans="32:32" x14ac:dyDescent="0.2">
      <c r="AF16777" s="679"/>
    </row>
    <row r="16778" spans="32:32" x14ac:dyDescent="0.2">
      <c r="AF16778" s="679"/>
    </row>
    <row r="16779" spans="32:32" x14ac:dyDescent="0.2">
      <c r="AF16779" s="679"/>
    </row>
    <row r="16780" spans="32:32" x14ac:dyDescent="0.2">
      <c r="AF16780" s="679"/>
    </row>
    <row r="16781" spans="32:32" x14ac:dyDescent="0.2">
      <c r="AF16781" s="679"/>
    </row>
    <row r="16782" spans="32:32" x14ac:dyDescent="0.2">
      <c r="AF16782" s="679"/>
    </row>
    <row r="16783" spans="32:32" x14ac:dyDescent="0.2">
      <c r="AF16783" s="679"/>
    </row>
    <row r="16784" spans="32:32" x14ac:dyDescent="0.2">
      <c r="AF16784" s="679"/>
    </row>
    <row r="16785" spans="32:32" x14ac:dyDescent="0.2">
      <c r="AF16785" s="679"/>
    </row>
    <row r="16786" spans="32:32" x14ac:dyDescent="0.2">
      <c r="AF16786" s="679"/>
    </row>
    <row r="16787" spans="32:32" x14ac:dyDescent="0.2">
      <c r="AF16787" s="679"/>
    </row>
    <row r="16788" spans="32:32" x14ac:dyDescent="0.2">
      <c r="AF16788" s="679"/>
    </row>
    <row r="16789" spans="32:32" x14ac:dyDescent="0.2">
      <c r="AF16789" s="679"/>
    </row>
    <row r="16790" spans="32:32" x14ac:dyDescent="0.2">
      <c r="AF16790" s="679"/>
    </row>
    <row r="16791" spans="32:32" x14ac:dyDescent="0.2">
      <c r="AF16791" s="679"/>
    </row>
    <row r="16792" spans="32:32" x14ac:dyDescent="0.2">
      <c r="AF16792" s="679"/>
    </row>
    <row r="16793" spans="32:32" x14ac:dyDescent="0.2">
      <c r="AF16793" s="679"/>
    </row>
    <row r="16794" spans="32:32" x14ac:dyDescent="0.2">
      <c r="AF16794" s="679"/>
    </row>
    <row r="16795" spans="32:32" x14ac:dyDescent="0.2">
      <c r="AF16795" s="679"/>
    </row>
    <row r="16796" spans="32:32" x14ac:dyDescent="0.2">
      <c r="AF16796" s="679"/>
    </row>
    <row r="16797" spans="32:32" x14ac:dyDescent="0.2">
      <c r="AF16797" s="679"/>
    </row>
    <row r="16798" spans="32:32" x14ac:dyDescent="0.2">
      <c r="AF16798" s="679"/>
    </row>
    <row r="16799" spans="32:32" x14ac:dyDescent="0.2">
      <c r="AF16799" s="679"/>
    </row>
    <row r="16800" spans="32:32" x14ac:dyDescent="0.2">
      <c r="AF16800" s="679"/>
    </row>
    <row r="16801" spans="32:32" x14ac:dyDescent="0.2">
      <c r="AF16801" s="679"/>
    </row>
    <row r="16802" spans="32:32" x14ac:dyDescent="0.2">
      <c r="AF16802" s="679"/>
    </row>
    <row r="16803" spans="32:32" x14ac:dyDescent="0.2">
      <c r="AF16803" s="679"/>
    </row>
    <row r="16804" spans="32:32" x14ac:dyDescent="0.2">
      <c r="AF16804" s="679"/>
    </row>
    <row r="16805" spans="32:32" x14ac:dyDescent="0.2">
      <c r="AF16805" s="679"/>
    </row>
    <row r="16806" spans="32:32" x14ac:dyDescent="0.2">
      <c r="AF16806" s="679"/>
    </row>
    <row r="16807" spans="32:32" x14ac:dyDescent="0.2">
      <c r="AF16807" s="679"/>
    </row>
    <row r="16808" spans="32:32" x14ac:dyDescent="0.2">
      <c r="AF16808" s="679"/>
    </row>
    <row r="16809" spans="32:32" x14ac:dyDescent="0.2">
      <c r="AF16809" s="679"/>
    </row>
    <row r="16810" spans="32:32" x14ac:dyDescent="0.2">
      <c r="AF16810" s="679"/>
    </row>
    <row r="16811" spans="32:32" x14ac:dyDescent="0.2">
      <c r="AF16811" s="679"/>
    </row>
    <row r="16812" spans="32:32" x14ac:dyDescent="0.2">
      <c r="AF16812" s="679"/>
    </row>
    <row r="16813" spans="32:32" x14ac:dyDescent="0.2">
      <c r="AF16813" s="679"/>
    </row>
    <row r="16814" spans="32:32" x14ac:dyDescent="0.2">
      <c r="AF16814" s="679"/>
    </row>
    <row r="16815" spans="32:32" x14ac:dyDescent="0.2">
      <c r="AF16815" s="679"/>
    </row>
    <row r="16816" spans="32:32" x14ac:dyDescent="0.2">
      <c r="AF16816" s="679"/>
    </row>
    <row r="16817" spans="32:32" x14ac:dyDescent="0.2">
      <c r="AF16817" s="679"/>
    </row>
    <row r="16818" spans="32:32" x14ac:dyDescent="0.2">
      <c r="AF16818" s="679"/>
    </row>
    <row r="16819" spans="32:32" x14ac:dyDescent="0.2">
      <c r="AF16819" s="679"/>
    </row>
    <row r="16820" spans="32:32" x14ac:dyDescent="0.2">
      <c r="AF16820" s="679"/>
    </row>
    <row r="16821" spans="32:32" x14ac:dyDescent="0.2">
      <c r="AF16821" s="679"/>
    </row>
    <row r="16822" spans="32:32" x14ac:dyDescent="0.2">
      <c r="AF16822" s="679"/>
    </row>
    <row r="16823" spans="32:32" x14ac:dyDescent="0.2">
      <c r="AF16823" s="679"/>
    </row>
    <row r="16824" spans="32:32" x14ac:dyDescent="0.2">
      <c r="AF16824" s="679"/>
    </row>
    <row r="16825" spans="32:32" x14ac:dyDescent="0.2">
      <c r="AF16825" s="679"/>
    </row>
    <row r="16826" spans="32:32" x14ac:dyDescent="0.2">
      <c r="AF16826" s="679"/>
    </row>
    <row r="16827" spans="32:32" x14ac:dyDescent="0.2">
      <c r="AF16827" s="679"/>
    </row>
    <row r="16828" spans="32:32" x14ac:dyDescent="0.2">
      <c r="AF16828" s="679"/>
    </row>
    <row r="16829" spans="32:32" x14ac:dyDescent="0.2">
      <c r="AF16829" s="679"/>
    </row>
    <row r="16830" spans="32:32" x14ac:dyDescent="0.2">
      <c r="AF16830" s="679"/>
    </row>
    <row r="16831" spans="32:32" x14ac:dyDescent="0.2">
      <c r="AF16831" s="679"/>
    </row>
    <row r="16832" spans="32:32" x14ac:dyDescent="0.2">
      <c r="AF16832" s="679"/>
    </row>
    <row r="16833" spans="32:32" x14ac:dyDescent="0.2">
      <c r="AF16833" s="679"/>
    </row>
    <row r="16834" spans="32:32" x14ac:dyDescent="0.2">
      <c r="AF16834" s="679"/>
    </row>
    <row r="16835" spans="32:32" x14ac:dyDescent="0.2">
      <c r="AF16835" s="679"/>
    </row>
    <row r="16836" spans="32:32" x14ac:dyDescent="0.2">
      <c r="AF16836" s="679"/>
    </row>
    <row r="16837" spans="32:32" x14ac:dyDescent="0.2">
      <c r="AF16837" s="679"/>
    </row>
    <row r="16838" spans="32:32" x14ac:dyDescent="0.2">
      <c r="AF16838" s="679"/>
    </row>
    <row r="16839" spans="32:32" x14ac:dyDescent="0.2">
      <c r="AF16839" s="679"/>
    </row>
    <row r="16840" spans="32:32" x14ac:dyDescent="0.2">
      <c r="AF16840" s="679"/>
    </row>
    <row r="16841" spans="32:32" x14ac:dyDescent="0.2">
      <c r="AF16841" s="679"/>
    </row>
    <row r="16842" spans="32:32" x14ac:dyDescent="0.2">
      <c r="AF16842" s="679"/>
    </row>
    <row r="16843" spans="32:32" x14ac:dyDescent="0.2">
      <c r="AF16843" s="679"/>
    </row>
    <row r="16844" spans="32:32" x14ac:dyDescent="0.2">
      <c r="AF16844" s="679"/>
    </row>
    <row r="16845" spans="32:32" x14ac:dyDescent="0.2">
      <c r="AF16845" s="679"/>
    </row>
    <row r="16846" spans="32:32" x14ac:dyDescent="0.2">
      <c r="AF16846" s="679"/>
    </row>
    <row r="16847" spans="32:32" x14ac:dyDescent="0.2">
      <c r="AF16847" s="679"/>
    </row>
    <row r="16848" spans="32:32" x14ac:dyDescent="0.2">
      <c r="AF16848" s="679"/>
    </row>
    <row r="16849" spans="32:32" x14ac:dyDescent="0.2">
      <c r="AF16849" s="679"/>
    </row>
    <row r="16850" spans="32:32" x14ac:dyDescent="0.2">
      <c r="AF16850" s="679"/>
    </row>
    <row r="16851" spans="32:32" x14ac:dyDescent="0.2">
      <c r="AF16851" s="679"/>
    </row>
    <row r="16852" spans="32:32" x14ac:dyDescent="0.2">
      <c r="AF16852" s="679"/>
    </row>
    <row r="16853" spans="32:32" x14ac:dyDescent="0.2">
      <c r="AF16853" s="679"/>
    </row>
    <row r="16854" spans="32:32" x14ac:dyDescent="0.2">
      <c r="AF16854" s="679"/>
    </row>
    <row r="16855" spans="32:32" x14ac:dyDescent="0.2">
      <c r="AF16855" s="679"/>
    </row>
    <row r="16856" spans="32:32" x14ac:dyDescent="0.2">
      <c r="AF16856" s="679"/>
    </row>
    <row r="16857" spans="32:32" x14ac:dyDescent="0.2">
      <c r="AF16857" s="679"/>
    </row>
    <row r="16858" spans="32:32" x14ac:dyDescent="0.2">
      <c r="AF16858" s="679"/>
    </row>
    <row r="16859" spans="32:32" x14ac:dyDescent="0.2">
      <c r="AF16859" s="679"/>
    </row>
    <row r="16860" spans="32:32" x14ac:dyDescent="0.2">
      <c r="AF16860" s="679"/>
    </row>
    <row r="16861" spans="32:32" x14ac:dyDescent="0.2">
      <c r="AF16861" s="679"/>
    </row>
    <row r="16862" spans="32:32" x14ac:dyDescent="0.2">
      <c r="AF16862" s="679"/>
    </row>
    <row r="16863" spans="32:32" x14ac:dyDescent="0.2">
      <c r="AF16863" s="679"/>
    </row>
    <row r="16864" spans="32:32" x14ac:dyDescent="0.2">
      <c r="AF16864" s="679"/>
    </row>
    <row r="16865" spans="32:32" x14ac:dyDescent="0.2">
      <c r="AF16865" s="679"/>
    </row>
    <row r="16866" spans="32:32" x14ac:dyDescent="0.2">
      <c r="AF16866" s="679"/>
    </row>
    <row r="16867" spans="32:32" x14ac:dyDescent="0.2">
      <c r="AF16867" s="679"/>
    </row>
    <row r="16868" spans="32:32" x14ac:dyDescent="0.2">
      <c r="AF16868" s="679"/>
    </row>
    <row r="16869" spans="32:32" x14ac:dyDescent="0.2">
      <c r="AF16869" s="679"/>
    </row>
    <row r="16870" spans="32:32" x14ac:dyDescent="0.2">
      <c r="AF16870" s="679"/>
    </row>
    <row r="16871" spans="32:32" x14ac:dyDescent="0.2">
      <c r="AF16871" s="679"/>
    </row>
    <row r="16872" spans="32:32" x14ac:dyDescent="0.2">
      <c r="AF16872" s="679"/>
    </row>
    <row r="16873" spans="32:32" x14ac:dyDescent="0.2">
      <c r="AF16873" s="679"/>
    </row>
    <row r="16874" spans="32:32" x14ac:dyDescent="0.2">
      <c r="AF16874" s="679"/>
    </row>
    <row r="16875" spans="32:32" x14ac:dyDescent="0.2">
      <c r="AF16875" s="679"/>
    </row>
    <row r="16876" spans="32:32" x14ac:dyDescent="0.2">
      <c r="AF16876" s="679"/>
    </row>
    <row r="16877" spans="32:32" x14ac:dyDescent="0.2">
      <c r="AF16877" s="679"/>
    </row>
    <row r="16878" spans="32:32" x14ac:dyDescent="0.2">
      <c r="AF16878" s="679"/>
    </row>
    <row r="16879" spans="32:32" x14ac:dyDescent="0.2">
      <c r="AF16879" s="679"/>
    </row>
    <row r="16880" spans="32:32" x14ac:dyDescent="0.2">
      <c r="AF16880" s="679"/>
    </row>
    <row r="16881" spans="32:32" x14ac:dyDescent="0.2">
      <c r="AF16881" s="679"/>
    </row>
    <row r="16882" spans="32:32" x14ac:dyDescent="0.2">
      <c r="AF16882" s="679"/>
    </row>
    <row r="16883" spans="32:32" x14ac:dyDescent="0.2">
      <c r="AF16883" s="679"/>
    </row>
    <row r="16884" spans="32:32" x14ac:dyDescent="0.2">
      <c r="AF16884" s="679"/>
    </row>
    <row r="16885" spans="32:32" x14ac:dyDescent="0.2">
      <c r="AF16885" s="679"/>
    </row>
    <row r="16886" spans="32:32" x14ac:dyDescent="0.2">
      <c r="AF16886" s="679"/>
    </row>
    <row r="16887" spans="32:32" x14ac:dyDescent="0.2">
      <c r="AF16887" s="679"/>
    </row>
    <row r="16888" spans="32:32" x14ac:dyDescent="0.2">
      <c r="AF16888" s="679"/>
    </row>
    <row r="16889" spans="32:32" x14ac:dyDescent="0.2">
      <c r="AF16889" s="679"/>
    </row>
    <row r="16890" spans="32:32" x14ac:dyDescent="0.2">
      <c r="AF16890" s="679"/>
    </row>
    <row r="16891" spans="32:32" x14ac:dyDescent="0.2">
      <c r="AF16891" s="679"/>
    </row>
    <row r="16892" spans="32:32" x14ac:dyDescent="0.2">
      <c r="AF16892" s="679"/>
    </row>
    <row r="16893" spans="32:32" x14ac:dyDescent="0.2">
      <c r="AF16893" s="679"/>
    </row>
    <row r="16894" spans="32:32" x14ac:dyDescent="0.2">
      <c r="AF16894" s="679"/>
    </row>
    <row r="16895" spans="32:32" x14ac:dyDescent="0.2">
      <c r="AF16895" s="679"/>
    </row>
    <row r="16896" spans="32:32" x14ac:dyDescent="0.2">
      <c r="AF16896" s="679"/>
    </row>
    <row r="16897" spans="32:32" x14ac:dyDescent="0.2">
      <c r="AF16897" s="679"/>
    </row>
    <row r="16898" spans="32:32" x14ac:dyDescent="0.2">
      <c r="AF16898" s="679"/>
    </row>
    <row r="16899" spans="32:32" x14ac:dyDescent="0.2">
      <c r="AF16899" s="679"/>
    </row>
    <row r="16900" spans="32:32" x14ac:dyDescent="0.2">
      <c r="AF16900" s="679"/>
    </row>
    <row r="16901" spans="32:32" x14ac:dyDescent="0.2">
      <c r="AF16901" s="679"/>
    </row>
    <row r="16902" spans="32:32" x14ac:dyDescent="0.2">
      <c r="AF16902" s="679"/>
    </row>
    <row r="16903" spans="32:32" x14ac:dyDescent="0.2">
      <c r="AF16903" s="679"/>
    </row>
    <row r="16904" spans="32:32" x14ac:dyDescent="0.2">
      <c r="AF16904" s="679"/>
    </row>
    <row r="16905" spans="32:32" x14ac:dyDescent="0.2">
      <c r="AF16905" s="679"/>
    </row>
    <row r="16906" spans="32:32" x14ac:dyDescent="0.2">
      <c r="AF16906" s="679"/>
    </row>
    <row r="16907" spans="32:32" x14ac:dyDescent="0.2">
      <c r="AF16907" s="679"/>
    </row>
    <row r="16908" spans="32:32" x14ac:dyDescent="0.2">
      <c r="AF16908" s="679"/>
    </row>
    <row r="16909" spans="32:32" x14ac:dyDescent="0.2">
      <c r="AF16909" s="679"/>
    </row>
    <row r="16910" spans="32:32" x14ac:dyDescent="0.2">
      <c r="AF16910" s="679"/>
    </row>
    <row r="16911" spans="32:32" x14ac:dyDescent="0.2">
      <c r="AF16911" s="679"/>
    </row>
    <row r="16912" spans="32:32" x14ac:dyDescent="0.2">
      <c r="AF16912" s="679"/>
    </row>
    <row r="16913" spans="32:32" x14ac:dyDescent="0.2">
      <c r="AF16913" s="679"/>
    </row>
    <row r="16914" spans="32:32" x14ac:dyDescent="0.2">
      <c r="AF16914" s="679"/>
    </row>
    <row r="16915" spans="32:32" x14ac:dyDescent="0.2">
      <c r="AF16915" s="679"/>
    </row>
    <row r="16916" spans="32:32" x14ac:dyDescent="0.2">
      <c r="AF16916" s="679"/>
    </row>
    <row r="16917" spans="32:32" x14ac:dyDescent="0.2">
      <c r="AF16917" s="679"/>
    </row>
    <row r="16918" spans="32:32" x14ac:dyDescent="0.2">
      <c r="AF16918" s="679"/>
    </row>
    <row r="16919" spans="32:32" x14ac:dyDescent="0.2">
      <c r="AF16919" s="679"/>
    </row>
    <row r="16920" spans="32:32" x14ac:dyDescent="0.2">
      <c r="AF16920" s="679"/>
    </row>
    <row r="16921" spans="32:32" x14ac:dyDescent="0.2">
      <c r="AF16921" s="679"/>
    </row>
    <row r="16922" spans="32:32" x14ac:dyDescent="0.2">
      <c r="AF16922" s="679"/>
    </row>
    <row r="16923" spans="32:32" x14ac:dyDescent="0.2">
      <c r="AF16923" s="679"/>
    </row>
    <row r="16924" spans="32:32" x14ac:dyDescent="0.2">
      <c r="AF16924" s="679"/>
    </row>
    <row r="16925" spans="32:32" x14ac:dyDescent="0.2">
      <c r="AF16925" s="679"/>
    </row>
    <row r="16926" spans="32:32" x14ac:dyDescent="0.2">
      <c r="AF16926" s="679"/>
    </row>
    <row r="16927" spans="32:32" x14ac:dyDescent="0.2">
      <c r="AF16927" s="679"/>
    </row>
    <row r="16928" spans="32:32" x14ac:dyDescent="0.2">
      <c r="AF16928" s="679"/>
    </row>
    <row r="16929" spans="32:32" x14ac:dyDescent="0.2">
      <c r="AF16929" s="679"/>
    </row>
    <row r="16930" spans="32:32" x14ac:dyDescent="0.2">
      <c r="AF16930" s="679"/>
    </row>
    <row r="16931" spans="32:32" x14ac:dyDescent="0.2">
      <c r="AF16931" s="679"/>
    </row>
    <row r="16932" spans="32:32" x14ac:dyDescent="0.2">
      <c r="AF16932" s="679"/>
    </row>
    <row r="16933" spans="32:32" x14ac:dyDescent="0.2">
      <c r="AF16933" s="679"/>
    </row>
    <row r="16934" spans="32:32" x14ac:dyDescent="0.2">
      <c r="AF16934" s="679"/>
    </row>
    <row r="16935" spans="32:32" x14ac:dyDescent="0.2">
      <c r="AF16935" s="679"/>
    </row>
    <row r="16936" spans="32:32" x14ac:dyDescent="0.2">
      <c r="AF16936" s="679"/>
    </row>
    <row r="16937" spans="32:32" x14ac:dyDescent="0.2">
      <c r="AF16937" s="679"/>
    </row>
    <row r="16938" spans="32:32" x14ac:dyDescent="0.2">
      <c r="AF16938" s="679"/>
    </row>
    <row r="16939" spans="32:32" x14ac:dyDescent="0.2">
      <c r="AF16939" s="679"/>
    </row>
    <row r="16940" spans="32:32" x14ac:dyDescent="0.2">
      <c r="AF16940" s="679"/>
    </row>
    <row r="16941" spans="32:32" x14ac:dyDescent="0.2">
      <c r="AF16941" s="679"/>
    </row>
    <row r="16942" spans="32:32" x14ac:dyDescent="0.2">
      <c r="AF16942" s="679"/>
    </row>
    <row r="16943" spans="32:32" x14ac:dyDescent="0.2">
      <c r="AF16943" s="679"/>
    </row>
    <row r="16944" spans="32:32" x14ac:dyDescent="0.2">
      <c r="AF16944" s="679"/>
    </row>
    <row r="16945" spans="32:32" x14ac:dyDescent="0.2">
      <c r="AF16945" s="679"/>
    </row>
    <row r="16946" spans="32:32" x14ac:dyDescent="0.2">
      <c r="AF16946" s="679"/>
    </row>
    <row r="16947" spans="32:32" x14ac:dyDescent="0.2">
      <c r="AF16947" s="679"/>
    </row>
    <row r="16948" spans="32:32" x14ac:dyDescent="0.2">
      <c r="AF16948" s="679"/>
    </row>
    <row r="16949" spans="32:32" x14ac:dyDescent="0.2">
      <c r="AF16949" s="679"/>
    </row>
    <row r="16950" spans="32:32" x14ac:dyDescent="0.2">
      <c r="AF16950" s="679"/>
    </row>
    <row r="16951" spans="32:32" x14ac:dyDescent="0.2">
      <c r="AF16951" s="679"/>
    </row>
    <row r="16952" spans="32:32" x14ac:dyDescent="0.2">
      <c r="AF16952" s="679"/>
    </row>
    <row r="16953" spans="32:32" x14ac:dyDescent="0.2">
      <c r="AF16953" s="679"/>
    </row>
    <row r="16954" spans="32:32" x14ac:dyDescent="0.2">
      <c r="AF16954" s="679"/>
    </row>
    <row r="16955" spans="32:32" x14ac:dyDescent="0.2">
      <c r="AF16955" s="679"/>
    </row>
    <row r="16956" spans="32:32" x14ac:dyDescent="0.2">
      <c r="AF16956" s="679"/>
    </row>
    <row r="16957" spans="32:32" x14ac:dyDescent="0.2">
      <c r="AF16957" s="679"/>
    </row>
    <row r="16958" spans="32:32" x14ac:dyDescent="0.2">
      <c r="AF16958" s="679"/>
    </row>
    <row r="16959" spans="32:32" x14ac:dyDescent="0.2">
      <c r="AF16959" s="679"/>
    </row>
    <row r="16960" spans="32:32" x14ac:dyDescent="0.2">
      <c r="AF16960" s="679"/>
    </row>
    <row r="16961" spans="32:32" x14ac:dyDescent="0.2">
      <c r="AF16961" s="679"/>
    </row>
    <row r="16962" spans="32:32" x14ac:dyDescent="0.2">
      <c r="AF16962" s="679"/>
    </row>
    <row r="16963" spans="32:32" x14ac:dyDescent="0.2">
      <c r="AF16963" s="679"/>
    </row>
    <row r="16964" spans="32:32" x14ac:dyDescent="0.2">
      <c r="AF16964" s="679"/>
    </row>
    <row r="16965" spans="32:32" x14ac:dyDescent="0.2">
      <c r="AF16965" s="679"/>
    </row>
    <row r="16966" spans="32:32" x14ac:dyDescent="0.2">
      <c r="AF16966" s="679"/>
    </row>
    <row r="16967" spans="32:32" x14ac:dyDescent="0.2">
      <c r="AF16967" s="679"/>
    </row>
    <row r="16968" spans="32:32" x14ac:dyDescent="0.2">
      <c r="AF16968" s="679"/>
    </row>
    <row r="16969" spans="32:32" x14ac:dyDescent="0.2">
      <c r="AF16969" s="679"/>
    </row>
    <row r="16970" spans="32:32" x14ac:dyDescent="0.2">
      <c r="AF16970" s="679"/>
    </row>
    <row r="16971" spans="32:32" x14ac:dyDescent="0.2">
      <c r="AF16971" s="679"/>
    </row>
    <row r="16972" spans="32:32" x14ac:dyDescent="0.2">
      <c r="AF16972" s="679"/>
    </row>
    <row r="16973" spans="32:32" x14ac:dyDescent="0.2">
      <c r="AF16973" s="679"/>
    </row>
    <row r="16974" spans="32:32" x14ac:dyDescent="0.2">
      <c r="AF16974" s="679"/>
    </row>
    <row r="16975" spans="32:32" x14ac:dyDescent="0.2">
      <c r="AF16975" s="679"/>
    </row>
    <row r="16976" spans="32:32" x14ac:dyDescent="0.2">
      <c r="AF16976" s="679"/>
    </row>
    <row r="16977" spans="32:32" x14ac:dyDescent="0.2">
      <c r="AF16977" s="679"/>
    </row>
    <row r="16978" spans="32:32" x14ac:dyDescent="0.2">
      <c r="AF16978" s="679"/>
    </row>
    <row r="16979" spans="32:32" x14ac:dyDescent="0.2">
      <c r="AF16979" s="679"/>
    </row>
    <row r="16980" spans="32:32" x14ac:dyDescent="0.2">
      <c r="AF16980" s="679"/>
    </row>
    <row r="16981" spans="32:32" x14ac:dyDescent="0.2">
      <c r="AF16981" s="679"/>
    </row>
    <row r="16982" spans="32:32" x14ac:dyDescent="0.2">
      <c r="AF16982" s="679"/>
    </row>
    <row r="16983" spans="32:32" x14ac:dyDescent="0.2">
      <c r="AF16983" s="679"/>
    </row>
    <row r="16984" spans="32:32" x14ac:dyDescent="0.2">
      <c r="AF16984" s="679"/>
    </row>
    <row r="16985" spans="32:32" x14ac:dyDescent="0.2">
      <c r="AF16985" s="679"/>
    </row>
    <row r="16986" spans="32:32" x14ac:dyDescent="0.2">
      <c r="AF16986" s="679"/>
    </row>
    <row r="16987" spans="32:32" x14ac:dyDescent="0.2">
      <c r="AF16987" s="679"/>
    </row>
    <row r="16988" spans="32:32" x14ac:dyDescent="0.2">
      <c r="AF16988" s="679"/>
    </row>
    <row r="16989" spans="32:32" x14ac:dyDescent="0.2">
      <c r="AF16989" s="679"/>
    </row>
    <row r="16990" spans="32:32" x14ac:dyDescent="0.2">
      <c r="AF16990" s="679"/>
    </row>
    <row r="16991" spans="32:32" x14ac:dyDescent="0.2">
      <c r="AF16991" s="679"/>
    </row>
    <row r="16992" spans="32:32" x14ac:dyDescent="0.2">
      <c r="AF16992" s="679"/>
    </row>
    <row r="16993" spans="32:32" x14ac:dyDescent="0.2">
      <c r="AF16993" s="679"/>
    </row>
    <row r="16994" spans="32:32" x14ac:dyDescent="0.2">
      <c r="AF16994" s="679"/>
    </row>
    <row r="16995" spans="32:32" x14ac:dyDescent="0.2">
      <c r="AF16995" s="679"/>
    </row>
    <row r="16996" spans="32:32" x14ac:dyDescent="0.2">
      <c r="AF16996" s="679"/>
    </row>
    <row r="16997" spans="32:32" x14ac:dyDescent="0.2">
      <c r="AF16997" s="679"/>
    </row>
    <row r="16998" spans="32:32" x14ac:dyDescent="0.2">
      <c r="AF16998" s="679"/>
    </row>
    <row r="16999" spans="32:32" x14ac:dyDescent="0.2">
      <c r="AF16999" s="679"/>
    </row>
    <row r="17000" spans="32:32" x14ac:dyDescent="0.2">
      <c r="AF17000" s="679"/>
    </row>
    <row r="17001" spans="32:32" x14ac:dyDescent="0.2">
      <c r="AF17001" s="679"/>
    </row>
    <row r="17002" spans="32:32" x14ac:dyDescent="0.2">
      <c r="AF17002" s="679"/>
    </row>
    <row r="17003" spans="32:32" x14ac:dyDescent="0.2">
      <c r="AF17003" s="679"/>
    </row>
    <row r="17004" spans="32:32" x14ac:dyDescent="0.2">
      <c r="AF17004" s="679"/>
    </row>
    <row r="17005" spans="32:32" x14ac:dyDescent="0.2">
      <c r="AF17005" s="679"/>
    </row>
    <row r="17006" spans="32:32" x14ac:dyDescent="0.2">
      <c r="AF17006" s="679"/>
    </row>
    <row r="17007" spans="32:32" x14ac:dyDescent="0.2">
      <c r="AF17007" s="679"/>
    </row>
    <row r="17008" spans="32:32" x14ac:dyDescent="0.2">
      <c r="AF17008" s="679"/>
    </row>
    <row r="17009" spans="32:32" x14ac:dyDescent="0.2">
      <c r="AF17009" s="679"/>
    </row>
    <row r="17010" spans="32:32" x14ac:dyDescent="0.2">
      <c r="AF17010" s="679"/>
    </row>
    <row r="17011" spans="32:32" x14ac:dyDescent="0.2">
      <c r="AF17011" s="679"/>
    </row>
    <row r="17012" spans="32:32" x14ac:dyDescent="0.2">
      <c r="AF17012" s="679"/>
    </row>
    <row r="17013" spans="32:32" x14ac:dyDescent="0.2">
      <c r="AF17013" s="679"/>
    </row>
    <row r="17014" spans="32:32" x14ac:dyDescent="0.2">
      <c r="AF17014" s="679"/>
    </row>
    <row r="17015" spans="32:32" x14ac:dyDescent="0.2">
      <c r="AF17015" s="679"/>
    </row>
    <row r="17016" spans="32:32" x14ac:dyDescent="0.2">
      <c r="AF17016" s="679"/>
    </row>
    <row r="17017" spans="32:32" x14ac:dyDescent="0.2">
      <c r="AF17017" s="679"/>
    </row>
    <row r="17018" spans="32:32" x14ac:dyDescent="0.2">
      <c r="AF17018" s="679"/>
    </row>
    <row r="17019" spans="32:32" x14ac:dyDescent="0.2">
      <c r="AF17019" s="679"/>
    </row>
    <row r="17020" spans="32:32" x14ac:dyDescent="0.2">
      <c r="AF17020" s="679"/>
    </row>
    <row r="17021" spans="32:32" x14ac:dyDescent="0.2">
      <c r="AF17021" s="679"/>
    </row>
    <row r="17022" spans="32:32" x14ac:dyDescent="0.2">
      <c r="AF17022" s="679"/>
    </row>
    <row r="17023" spans="32:32" x14ac:dyDescent="0.2">
      <c r="AF17023" s="679"/>
    </row>
    <row r="17024" spans="32:32" x14ac:dyDescent="0.2">
      <c r="AF17024" s="679"/>
    </row>
    <row r="17025" spans="32:32" x14ac:dyDescent="0.2">
      <c r="AF17025" s="679"/>
    </row>
    <row r="17026" spans="32:32" x14ac:dyDescent="0.2">
      <c r="AF17026" s="679"/>
    </row>
    <row r="17027" spans="32:32" x14ac:dyDescent="0.2">
      <c r="AF17027" s="679"/>
    </row>
    <row r="17028" spans="32:32" x14ac:dyDescent="0.2">
      <c r="AF17028" s="679"/>
    </row>
    <row r="17029" spans="32:32" x14ac:dyDescent="0.2">
      <c r="AF17029" s="679"/>
    </row>
    <row r="17030" spans="32:32" x14ac:dyDescent="0.2">
      <c r="AF17030" s="679"/>
    </row>
    <row r="17031" spans="32:32" x14ac:dyDescent="0.2">
      <c r="AF17031" s="679"/>
    </row>
    <row r="17032" spans="32:32" x14ac:dyDescent="0.2">
      <c r="AF17032" s="679"/>
    </row>
    <row r="17033" spans="32:32" x14ac:dyDescent="0.2">
      <c r="AF17033" s="679"/>
    </row>
    <row r="17034" spans="32:32" x14ac:dyDescent="0.2">
      <c r="AF17034" s="679"/>
    </row>
    <row r="17035" spans="32:32" x14ac:dyDescent="0.2">
      <c r="AF17035" s="679"/>
    </row>
    <row r="17036" spans="32:32" x14ac:dyDescent="0.2">
      <c r="AF17036" s="679"/>
    </row>
    <row r="17037" spans="32:32" x14ac:dyDescent="0.2">
      <c r="AF17037" s="679"/>
    </row>
    <row r="17038" spans="32:32" x14ac:dyDescent="0.2">
      <c r="AF17038" s="679"/>
    </row>
    <row r="17039" spans="32:32" x14ac:dyDescent="0.2">
      <c r="AF17039" s="679"/>
    </row>
    <row r="17040" spans="32:32" x14ac:dyDescent="0.2">
      <c r="AF17040" s="679"/>
    </row>
    <row r="17041" spans="32:32" x14ac:dyDescent="0.2">
      <c r="AF17041" s="679"/>
    </row>
    <row r="17042" spans="32:32" x14ac:dyDescent="0.2">
      <c r="AF17042" s="679"/>
    </row>
    <row r="17043" spans="32:32" x14ac:dyDescent="0.2">
      <c r="AF17043" s="679"/>
    </row>
    <row r="17044" spans="32:32" x14ac:dyDescent="0.2">
      <c r="AF17044" s="679"/>
    </row>
    <row r="17045" spans="32:32" x14ac:dyDescent="0.2">
      <c r="AF17045" s="679"/>
    </row>
    <row r="17046" spans="32:32" x14ac:dyDescent="0.2">
      <c r="AF17046" s="679"/>
    </row>
    <row r="17047" spans="32:32" x14ac:dyDescent="0.2">
      <c r="AF17047" s="679"/>
    </row>
    <row r="17048" spans="32:32" x14ac:dyDescent="0.2">
      <c r="AF17048" s="679"/>
    </row>
    <row r="17049" spans="32:32" x14ac:dyDescent="0.2">
      <c r="AF17049" s="679"/>
    </row>
    <row r="17050" spans="32:32" x14ac:dyDescent="0.2">
      <c r="AF17050" s="679"/>
    </row>
    <row r="17051" spans="32:32" x14ac:dyDescent="0.2">
      <c r="AF17051" s="679"/>
    </row>
    <row r="17052" spans="32:32" x14ac:dyDescent="0.2">
      <c r="AF17052" s="679"/>
    </row>
    <row r="17053" spans="32:32" x14ac:dyDescent="0.2">
      <c r="AF17053" s="679"/>
    </row>
    <row r="17054" spans="32:32" x14ac:dyDescent="0.2">
      <c r="AF17054" s="679"/>
    </row>
    <row r="17055" spans="32:32" x14ac:dyDescent="0.2">
      <c r="AF17055" s="679"/>
    </row>
    <row r="17056" spans="32:32" x14ac:dyDescent="0.2">
      <c r="AF17056" s="679"/>
    </row>
    <row r="17057" spans="32:32" x14ac:dyDescent="0.2">
      <c r="AF17057" s="679"/>
    </row>
    <row r="17058" spans="32:32" x14ac:dyDescent="0.2">
      <c r="AF17058" s="679"/>
    </row>
    <row r="17059" spans="32:32" x14ac:dyDescent="0.2">
      <c r="AF17059" s="679"/>
    </row>
    <row r="17060" spans="32:32" x14ac:dyDescent="0.2">
      <c r="AF17060" s="679"/>
    </row>
    <row r="17061" spans="32:32" x14ac:dyDescent="0.2">
      <c r="AF17061" s="679"/>
    </row>
    <row r="17062" spans="32:32" x14ac:dyDescent="0.2">
      <c r="AF17062" s="679"/>
    </row>
    <row r="17063" spans="32:32" x14ac:dyDescent="0.2">
      <c r="AF17063" s="679"/>
    </row>
    <row r="17064" spans="32:32" x14ac:dyDescent="0.2">
      <c r="AF17064" s="679"/>
    </row>
    <row r="17065" spans="32:32" x14ac:dyDescent="0.2">
      <c r="AF17065" s="679"/>
    </row>
    <row r="17066" spans="32:32" x14ac:dyDescent="0.2">
      <c r="AF17066" s="679"/>
    </row>
    <row r="17067" spans="32:32" x14ac:dyDescent="0.2">
      <c r="AF17067" s="679"/>
    </row>
    <row r="17068" spans="32:32" x14ac:dyDescent="0.2">
      <c r="AF17068" s="679"/>
    </row>
    <row r="17069" spans="32:32" x14ac:dyDescent="0.2">
      <c r="AF17069" s="679"/>
    </row>
    <row r="17070" spans="32:32" x14ac:dyDescent="0.2">
      <c r="AF17070" s="679"/>
    </row>
    <row r="17071" spans="32:32" x14ac:dyDescent="0.2">
      <c r="AF17071" s="679"/>
    </row>
    <row r="17072" spans="32:32" x14ac:dyDescent="0.2">
      <c r="AF17072" s="679"/>
    </row>
    <row r="17073" spans="32:32" x14ac:dyDescent="0.2">
      <c r="AF17073" s="679"/>
    </row>
    <row r="17074" spans="32:32" x14ac:dyDescent="0.2">
      <c r="AF17074" s="679"/>
    </row>
    <row r="17075" spans="32:32" x14ac:dyDescent="0.2">
      <c r="AF17075" s="679"/>
    </row>
    <row r="17076" spans="32:32" x14ac:dyDescent="0.2">
      <c r="AF17076" s="679"/>
    </row>
    <row r="17077" spans="32:32" x14ac:dyDescent="0.2">
      <c r="AF17077" s="679"/>
    </row>
    <row r="17078" spans="32:32" x14ac:dyDescent="0.2">
      <c r="AF17078" s="679"/>
    </row>
    <row r="17079" spans="32:32" x14ac:dyDescent="0.2">
      <c r="AF17079" s="679"/>
    </row>
    <row r="17080" spans="32:32" x14ac:dyDescent="0.2">
      <c r="AF17080" s="679"/>
    </row>
    <row r="17081" spans="32:32" x14ac:dyDescent="0.2">
      <c r="AF17081" s="679"/>
    </row>
    <row r="17082" spans="32:32" x14ac:dyDescent="0.2">
      <c r="AF17082" s="679"/>
    </row>
    <row r="17083" spans="32:32" x14ac:dyDescent="0.2">
      <c r="AF17083" s="679"/>
    </row>
    <row r="17084" spans="32:32" x14ac:dyDescent="0.2">
      <c r="AF17084" s="679"/>
    </row>
    <row r="17085" spans="32:32" x14ac:dyDescent="0.2">
      <c r="AF17085" s="679"/>
    </row>
    <row r="17086" spans="32:32" x14ac:dyDescent="0.2">
      <c r="AF17086" s="679"/>
    </row>
    <row r="17087" spans="32:32" x14ac:dyDescent="0.2">
      <c r="AF17087" s="679"/>
    </row>
    <row r="17088" spans="32:32" x14ac:dyDescent="0.2">
      <c r="AF17088" s="679"/>
    </row>
    <row r="17089" spans="32:32" x14ac:dyDescent="0.2">
      <c r="AF17089" s="679"/>
    </row>
    <row r="17090" spans="32:32" x14ac:dyDescent="0.2">
      <c r="AF17090" s="679"/>
    </row>
    <row r="17091" spans="32:32" x14ac:dyDescent="0.2">
      <c r="AF17091" s="679"/>
    </row>
    <row r="17092" spans="32:32" x14ac:dyDescent="0.2">
      <c r="AF17092" s="679"/>
    </row>
    <row r="17093" spans="32:32" x14ac:dyDescent="0.2">
      <c r="AF17093" s="679"/>
    </row>
    <row r="17094" spans="32:32" x14ac:dyDescent="0.2">
      <c r="AF17094" s="679"/>
    </row>
    <row r="17095" spans="32:32" x14ac:dyDescent="0.2">
      <c r="AF17095" s="679"/>
    </row>
    <row r="17096" spans="32:32" x14ac:dyDescent="0.2">
      <c r="AF17096" s="679"/>
    </row>
    <row r="17097" spans="32:32" x14ac:dyDescent="0.2">
      <c r="AF17097" s="679"/>
    </row>
    <row r="17098" spans="32:32" x14ac:dyDescent="0.2">
      <c r="AF17098" s="679"/>
    </row>
    <row r="17099" spans="32:32" x14ac:dyDescent="0.2">
      <c r="AF17099" s="679"/>
    </row>
    <row r="17100" spans="32:32" x14ac:dyDescent="0.2">
      <c r="AF17100" s="679"/>
    </row>
    <row r="17101" spans="32:32" x14ac:dyDescent="0.2">
      <c r="AF17101" s="679"/>
    </row>
    <row r="17102" spans="32:32" x14ac:dyDescent="0.2">
      <c r="AF17102" s="679"/>
    </row>
    <row r="17103" spans="32:32" x14ac:dyDescent="0.2">
      <c r="AF17103" s="679"/>
    </row>
    <row r="17104" spans="32:32" x14ac:dyDescent="0.2">
      <c r="AF17104" s="679"/>
    </row>
    <row r="17105" spans="32:32" x14ac:dyDescent="0.2">
      <c r="AF17105" s="679"/>
    </row>
    <row r="17106" spans="32:32" x14ac:dyDescent="0.2">
      <c r="AF17106" s="679"/>
    </row>
    <row r="17107" spans="32:32" x14ac:dyDescent="0.2">
      <c r="AF17107" s="679"/>
    </row>
    <row r="17108" spans="32:32" x14ac:dyDescent="0.2">
      <c r="AF17108" s="679"/>
    </row>
    <row r="17109" spans="32:32" x14ac:dyDescent="0.2">
      <c r="AF17109" s="679"/>
    </row>
    <row r="17110" spans="32:32" x14ac:dyDescent="0.2">
      <c r="AF17110" s="679"/>
    </row>
    <row r="17111" spans="32:32" x14ac:dyDescent="0.2">
      <c r="AF17111" s="679"/>
    </row>
    <row r="17112" spans="32:32" x14ac:dyDescent="0.2">
      <c r="AF17112" s="679"/>
    </row>
    <row r="17113" spans="32:32" x14ac:dyDescent="0.2">
      <c r="AF17113" s="679"/>
    </row>
    <row r="17114" spans="32:32" x14ac:dyDescent="0.2">
      <c r="AF17114" s="679"/>
    </row>
    <row r="17115" spans="32:32" x14ac:dyDescent="0.2">
      <c r="AF17115" s="679"/>
    </row>
    <row r="17116" spans="32:32" x14ac:dyDescent="0.2">
      <c r="AF17116" s="679"/>
    </row>
    <row r="17117" spans="32:32" x14ac:dyDescent="0.2">
      <c r="AF17117" s="679"/>
    </row>
    <row r="17118" spans="32:32" x14ac:dyDescent="0.2">
      <c r="AF17118" s="679"/>
    </row>
    <row r="17119" spans="32:32" x14ac:dyDescent="0.2">
      <c r="AF17119" s="679"/>
    </row>
    <row r="17120" spans="32:32" x14ac:dyDescent="0.2">
      <c r="AF17120" s="679"/>
    </row>
    <row r="17121" spans="32:32" x14ac:dyDescent="0.2">
      <c r="AF17121" s="679"/>
    </row>
    <row r="17122" spans="32:32" x14ac:dyDescent="0.2">
      <c r="AF17122" s="679"/>
    </row>
    <row r="17123" spans="32:32" x14ac:dyDescent="0.2">
      <c r="AF17123" s="679"/>
    </row>
    <row r="17124" spans="32:32" x14ac:dyDescent="0.2">
      <c r="AF17124" s="679"/>
    </row>
    <row r="17125" spans="32:32" x14ac:dyDescent="0.2">
      <c r="AF17125" s="679"/>
    </row>
    <row r="17126" spans="32:32" x14ac:dyDescent="0.2">
      <c r="AF17126" s="679"/>
    </row>
    <row r="17127" spans="32:32" x14ac:dyDescent="0.2">
      <c r="AF17127" s="679"/>
    </row>
    <row r="17128" spans="32:32" x14ac:dyDescent="0.2">
      <c r="AF17128" s="679"/>
    </row>
    <row r="17129" spans="32:32" x14ac:dyDescent="0.2">
      <c r="AF17129" s="679"/>
    </row>
    <row r="17130" spans="32:32" x14ac:dyDescent="0.2">
      <c r="AF17130" s="679"/>
    </row>
    <row r="17131" spans="32:32" x14ac:dyDescent="0.2">
      <c r="AF17131" s="679"/>
    </row>
    <row r="17132" spans="32:32" x14ac:dyDescent="0.2">
      <c r="AF17132" s="679"/>
    </row>
    <row r="17133" spans="32:32" x14ac:dyDescent="0.2">
      <c r="AF17133" s="679"/>
    </row>
    <row r="17134" spans="32:32" x14ac:dyDescent="0.2">
      <c r="AF17134" s="679"/>
    </row>
    <row r="17135" spans="32:32" x14ac:dyDescent="0.2">
      <c r="AF17135" s="679"/>
    </row>
    <row r="17136" spans="32:32" x14ac:dyDescent="0.2">
      <c r="AF17136" s="679"/>
    </row>
    <row r="17137" spans="32:32" x14ac:dyDescent="0.2">
      <c r="AF17137" s="679"/>
    </row>
    <row r="17138" spans="32:32" x14ac:dyDescent="0.2">
      <c r="AF17138" s="679"/>
    </row>
    <row r="17139" spans="32:32" x14ac:dyDescent="0.2">
      <c r="AF17139" s="679"/>
    </row>
    <row r="17140" spans="32:32" x14ac:dyDescent="0.2">
      <c r="AF17140" s="679"/>
    </row>
    <row r="17141" spans="32:32" x14ac:dyDescent="0.2">
      <c r="AF17141" s="679"/>
    </row>
    <row r="17142" spans="32:32" x14ac:dyDescent="0.2">
      <c r="AF17142" s="679"/>
    </row>
    <row r="17143" spans="32:32" x14ac:dyDescent="0.2">
      <c r="AF17143" s="679"/>
    </row>
    <row r="17144" spans="32:32" x14ac:dyDescent="0.2">
      <c r="AF17144" s="679"/>
    </row>
    <row r="17145" spans="32:32" x14ac:dyDescent="0.2">
      <c r="AF17145" s="679"/>
    </row>
    <row r="17146" spans="32:32" x14ac:dyDescent="0.2">
      <c r="AF17146" s="679"/>
    </row>
    <row r="17147" spans="32:32" x14ac:dyDescent="0.2">
      <c r="AF17147" s="679"/>
    </row>
    <row r="17148" spans="32:32" x14ac:dyDescent="0.2">
      <c r="AF17148" s="679"/>
    </row>
    <row r="17149" spans="32:32" x14ac:dyDescent="0.2">
      <c r="AF17149" s="679"/>
    </row>
    <row r="17150" spans="32:32" x14ac:dyDescent="0.2">
      <c r="AF17150" s="679"/>
    </row>
    <row r="17151" spans="32:32" x14ac:dyDescent="0.2">
      <c r="AF17151" s="679"/>
    </row>
    <row r="17152" spans="32:32" x14ac:dyDescent="0.2">
      <c r="AF17152" s="679"/>
    </row>
    <row r="17153" spans="32:32" x14ac:dyDescent="0.2">
      <c r="AF17153" s="679"/>
    </row>
    <row r="17154" spans="32:32" x14ac:dyDescent="0.2">
      <c r="AF17154" s="679"/>
    </row>
    <row r="17155" spans="32:32" x14ac:dyDescent="0.2">
      <c r="AF17155" s="679"/>
    </row>
    <row r="17156" spans="32:32" x14ac:dyDescent="0.2">
      <c r="AF17156" s="679"/>
    </row>
    <row r="17157" spans="32:32" x14ac:dyDescent="0.2">
      <c r="AF17157" s="679"/>
    </row>
    <row r="17158" spans="32:32" x14ac:dyDescent="0.2">
      <c r="AF17158" s="679"/>
    </row>
    <row r="17159" spans="32:32" x14ac:dyDescent="0.2">
      <c r="AF17159" s="679"/>
    </row>
    <row r="17160" spans="32:32" x14ac:dyDescent="0.2">
      <c r="AF17160" s="679"/>
    </row>
    <row r="17161" spans="32:32" x14ac:dyDescent="0.2">
      <c r="AF17161" s="679"/>
    </row>
    <row r="17162" spans="32:32" x14ac:dyDescent="0.2">
      <c r="AF17162" s="679"/>
    </row>
    <row r="17163" spans="32:32" x14ac:dyDescent="0.2">
      <c r="AF17163" s="679"/>
    </row>
    <row r="17164" spans="32:32" x14ac:dyDescent="0.2">
      <c r="AF17164" s="679"/>
    </row>
    <row r="17165" spans="32:32" x14ac:dyDescent="0.2">
      <c r="AF17165" s="679"/>
    </row>
    <row r="17166" spans="32:32" x14ac:dyDescent="0.2">
      <c r="AF17166" s="679"/>
    </row>
    <row r="17167" spans="32:32" x14ac:dyDescent="0.2">
      <c r="AF17167" s="679"/>
    </row>
    <row r="17168" spans="32:32" x14ac:dyDescent="0.2">
      <c r="AF17168" s="679"/>
    </row>
    <row r="17169" spans="32:32" x14ac:dyDescent="0.2">
      <c r="AF17169" s="679"/>
    </row>
    <row r="17170" spans="32:32" x14ac:dyDescent="0.2">
      <c r="AF17170" s="679"/>
    </row>
    <row r="17171" spans="32:32" x14ac:dyDescent="0.2">
      <c r="AF17171" s="679"/>
    </row>
    <row r="17172" spans="32:32" x14ac:dyDescent="0.2">
      <c r="AF17172" s="679"/>
    </row>
    <row r="17173" spans="32:32" x14ac:dyDescent="0.2">
      <c r="AF17173" s="679"/>
    </row>
    <row r="17174" spans="32:32" x14ac:dyDescent="0.2">
      <c r="AF17174" s="679"/>
    </row>
    <row r="17175" spans="32:32" x14ac:dyDescent="0.2">
      <c r="AF17175" s="679"/>
    </row>
    <row r="17176" spans="32:32" x14ac:dyDescent="0.2">
      <c r="AF17176" s="679"/>
    </row>
    <row r="17177" spans="32:32" x14ac:dyDescent="0.2">
      <c r="AF17177" s="679"/>
    </row>
    <row r="17178" spans="32:32" x14ac:dyDescent="0.2">
      <c r="AF17178" s="679"/>
    </row>
    <row r="17179" spans="32:32" x14ac:dyDescent="0.2">
      <c r="AF17179" s="679"/>
    </row>
    <row r="17180" spans="32:32" x14ac:dyDescent="0.2">
      <c r="AF17180" s="679"/>
    </row>
    <row r="17181" spans="32:32" x14ac:dyDescent="0.2">
      <c r="AF17181" s="679"/>
    </row>
    <row r="17182" spans="32:32" x14ac:dyDescent="0.2">
      <c r="AF17182" s="679"/>
    </row>
    <row r="17183" spans="32:32" x14ac:dyDescent="0.2">
      <c r="AF17183" s="679"/>
    </row>
    <row r="17184" spans="32:32" x14ac:dyDescent="0.2">
      <c r="AF17184" s="679"/>
    </row>
    <row r="17185" spans="32:32" x14ac:dyDescent="0.2">
      <c r="AF17185" s="679"/>
    </row>
    <row r="17186" spans="32:32" x14ac:dyDescent="0.2">
      <c r="AF17186" s="679"/>
    </row>
    <row r="17187" spans="32:32" x14ac:dyDescent="0.2">
      <c r="AF17187" s="679"/>
    </row>
    <row r="17188" spans="32:32" x14ac:dyDescent="0.2">
      <c r="AF17188" s="679"/>
    </row>
    <row r="17189" spans="32:32" x14ac:dyDescent="0.2">
      <c r="AF17189" s="679"/>
    </row>
    <row r="17190" spans="32:32" x14ac:dyDescent="0.2">
      <c r="AF17190" s="679"/>
    </row>
    <row r="17191" spans="32:32" x14ac:dyDescent="0.2">
      <c r="AF17191" s="679"/>
    </row>
    <row r="17192" spans="32:32" x14ac:dyDescent="0.2">
      <c r="AF17192" s="679"/>
    </row>
    <row r="17193" spans="32:32" x14ac:dyDescent="0.2">
      <c r="AF17193" s="679"/>
    </row>
    <row r="17194" spans="32:32" x14ac:dyDescent="0.2">
      <c r="AF17194" s="679"/>
    </row>
    <row r="17195" spans="32:32" x14ac:dyDescent="0.2">
      <c r="AF17195" s="679"/>
    </row>
    <row r="17196" spans="32:32" x14ac:dyDescent="0.2">
      <c r="AF17196" s="679"/>
    </row>
    <row r="17197" spans="32:32" x14ac:dyDescent="0.2">
      <c r="AF17197" s="679"/>
    </row>
    <row r="17198" spans="32:32" x14ac:dyDescent="0.2">
      <c r="AF17198" s="679"/>
    </row>
    <row r="17199" spans="32:32" x14ac:dyDescent="0.2">
      <c r="AF17199" s="679"/>
    </row>
    <row r="17200" spans="32:32" x14ac:dyDescent="0.2">
      <c r="AF17200" s="679"/>
    </row>
    <row r="17201" spans="32:32" x14ac:dyDescent="0.2">
      <c r="AF17201" s="679"/>
    </row>
    <row r="17202" spans="32:32" x14ac:dyDescent="0.2">
      <c r="AF17202" s="679"/>
    </row>
    <row r="17203" spans="32:32" x14ac:dyDescent="0.2">
      <c r="AF17203" s="679"/>
    </row>
    <row r="17204" spans="32:32" x14ac:dyDescent="0.2">
      <c r="AF17204" s="679"/>
    </row>
    <row r="17205" spans="32:32" x14ac:dyDescent="0.2">
      <c r="AF17205" s="679"/>
    </row>
    <row r="17206" spans="32:32" x14ac:dyDescent="0.2">
      <c r="AF17206" s="679"/>
    </row>
    <row r="17207" spans="32:32" x14ac:dyDescent="0.2">
      <c r="AF17207" s="679"/>
    </row>
    <row r="17208" spans="32:32" x14ac:dyDescent="0.2">
      <c r="AF17208" s="679"/>
    </row>
    <row r="17209" spans="32:32" x14ac:dyDescent="0.2">
      <c r="AF17209" s="679"/>
    </row>
    <row r="17210" spans="32:32" x14ac:dyDescent="0.2">
      <c r="AF17210" s="679"/>
    </row>
    <row r="17211" spans="32:32" x14ac:dyDescent="0.2">
      <c r="AF17211" s="679"/>
    </row>
    <row r="17212" spans="32:32" x14ac:dyDescent="0.2">
      <c r="AF17212" s="679"/>
    </row>
    <row r="17213" spans="32:32" x14ac:dyDescent="0.2">
      <c r="AF17213" s="679"/>
    </row>
    <row r="17214" spans="32:32" x14ac:dyDescent="0.2">
      <c r="AF17214" s="679"/>
    </row>
    <row r="17215" spans="32:32" x14ac:dyDescent="0.2">
      <c r="AF17215" s="679"/>
    </row>
    <row r="17216" spans="32:32" x14ac:dyDescent="0.2">
      <c r="AF17216" s="679"/>
    </row>
    <row r="17217" spans="32:32" x14ac:dyDescent="0.2">
      <c r="AF17217" s="679"/>
    </row>
    <row r="17218" spans="32:32" x14ac:dyDescent="0.2">
      <c r="AF17218" s="679"/>
    </row>
    <row r="17219" spans="32:32" x14ac:dyDescent="0.2">
      <c r="AF17219" s="679"/>
    </row>
    <row r="17220" spans="32:32" x14ac:dyDescent="0.2">
      <c r="AF17220" s="679"/>
    </row>
    <row r="17221" spans="32:32" x14ac:dyDescent="0.2">
      <c r="AF17221" s="679"/>
    </row>
    <row r="17222" spans="32:32" x14ac:dyDescent="0.2">
      <c r="AF17222" s="679"/>
    </row>
    <row r="17223" spans="32:32" x14ac:dyDescent="0.2">
      <c r="AF17223" s="679"/>
    </row>
    <row r="17224" spans="32:32" x14ac:dyDescent="0.2">
      <c r="AF17224" s="679"/>
    </row>
    <row r="17225" spans="32:32" x14ac:dyDescent="0.2">
      <c r="AF17225" s="679"/>
    </row>
    <row r="17226" spans="32:32" x14ac:dyDescent="0.2">
      <c r="AF17226" s="679"/>
    </row>
    <row r="17227" spans="32:32" x14ac:dyDescent="0.2">
      <c r="AF17227" s="679"/>
    </row>
    <row r="17228" spans="32:32" x14ac:dyDescent="0.2">
      <c r="AF17228" s="679"/>
    </row>
    <row r="17229" spans="32:32" x14ac:dyDescent="0.2">
      <c r="AF17229" s="679"/>
    </row>
    <row r="17230" spans="32:32" x14ac:dyDescent="0.2">
      <c r="AF17230" s="679"/>
    </row>
    <row r="17231" spans="32:32" x14ac:dyDescent="0.2">
      <c r="AF17231" s="679"/>
    </row>
    <row r="17232" spans="32:32" x14ac:dyDescent="0.2">
      <c r="AF17232" s="679"/>
    </row>
    <row r="17233" spans="32:32" x14ac:dyDescent="0.2">
      <c r="AF17233" s="679"/>
    </row>
    <row r="17234" spans="32:32" x14ac:dyDescent="0.2">
      <c r="AF17234" s="679"/>
    </row>
    <row r="17235" spans="32:32" x14ac:dyDescent="0.2">
      <c r="AF17235" s="679"/>
    </row>
    <row r="17236" spans="32:32" x14ac:dyDescent="0.2">
      <c r="AF17236" s="679"/>
    </row>
    <row r="17237" spans="32:32" x14ac:dyDescent="0.2">
      <c r="AF17237" s="679"/>
    </row>
    <row r="17238" spans="32:32" x14ac:dyDescent="0.2">
      <c r="AF17238" s="679"/>
    </row>
    <row r="17239" spans="32:32" x14ac:dyDescent="0.2">
      <c r="AF17239" s="679"/>
    </row>
    <row r="17240" spans="32:32" x14ac:dyDescent="0.2">
      <c r="AF17240" s="679"/>
    </row>
    <row r="17241" spans="32:32" x14ac:dyDescent="0.2">
      <c r="AF17241" s="679"/>
    </row>
    <row r="17242" spans="32:32" x14ac:dyDescent="0.2">
      <c r="AF17242" s="679"/>
    </row>
    <row r="17243" spans="32:32" x14ac:dyDescent="0.2">
      <c r="AF17243" s="679"/>
    </row>
    <row r="17244" spans="32:32" x14ac:dyDescent="0.2">
      <c r="AF17244" s="679"/>
    </row>
    <row r="17245" spans="32:32" x14ac:dyDescent="0.2">
      <c r="AF17245" s="679"/>
    </row>
    <row r="17246" spans="32:32" x14ac:dyDescent="0.2">
      <c r="AF17246" s="679"/>
    </row>
    <row r="17247" spans="32:32" x14ac:dyDescent="0.2">
      <c r="AF17247" s="679"/>
    </row>
    <row r="17248" spans="32:32" x14ac:dyDescent="0.2">
      <c r="AF17248" s="679"/>
    </row>
    <row r="17249" spans="32:32" x14ac:dyDescent="0.2">
      <c r="AF17249" s="679"/>
    </row>
    <row r="17250" spans="32:32" x14ac:dyDescent="0.2">
      <c r="AF17250" s="679"/>
    </row>
    <row r="17251" spans="32:32" x14ac:dyDescent="0.2">
      <c r="AF17251" s="679"/>
    </row>
    <row r="17252" spans="32:32" x14ac:dyDescent="0.2">
      <c r="AF17252" s="679"/>
    </row>
    <row r="17253" spans="32:32" x14ac:dyDescent="0.2">
      <c r="AF17253" s="679"/>
    </row>
    <row r="17254" spans="32:32" x14ac:dyDescent="0.2">
      <c r="AF17254" s="679"/>
    </row>
    <row r="17255" spans="32:32" x14ac:dyDescent="0.2">
      <c r="AF17255" s="679"/>
    </row>
    <row r="17256" spans="32:32" x14ac:dyDescent="0.2">
      <c r="AF17256" s="679"/>
    </row>
    <row r="17257" spans="32:32" x14ac:dyDescent="0.2">
      <c r="AF17257" s="679"/>
    </row>
    <row r="17258" spans="32:32" x14ac:dyDescent="0.2">
      <c r="AF17258" s="679"/>
    </row>
    <row r="17259" spans="32:32" x14ac:dyDescent="0.2">
      <c r="AF17259" s="679"/>
    </row>
    <row r="17260" spans="32:32" x14ac:dyDescent="0.2">
      <c r="AF17260" s="679"/>
    </row>
    <row r="17261" spans="32:32" x14ac:dyDescent="0.2">
      <c r="AF17261" s="679"/>
    </row>
    <row r="17262" spans="32:32" x14ac:dyDescent="0.2">
      <c r="AF17262" s="679"/>
    </row>
    <row r="17263" spans="32:32" x14ac:dyDescent="0.2">
      <c r="AF17263" s="679"/>
    </row>
    <row r="17264" spans="32:32" x14ac:dyDescent="0.2">
      <c r="AF17264" s="679"/>
    </row>
    <row r="17265" spans="32:32" x14ac:dyDescent="0.2">
      <c r="AF17265" s="679"/>
    </row>
    <row r="17266" spans="32:32" x14ac:dyDescent="0.2">
      <c r="AF17266" s="679"/>
    </row>
    <row r="17267" spans="32:32" x14ac:dyDescent="0.2">
      <c r="AF17267" s="679"/>
    </row>
    <row r="17268" spans="32:32" x14ac:dyDescent="0.2">
      <c r="AF17268" s="679"/>
    </row>
    <row r="17269" spans="32:32" x14ac:dyDescent="0.2">
      <c r="AF17269" s="679"/>
    </row>
    <row r="17270" spans="32:32" x14ac:dyDescent="0.2">
      <c r="AF17270" s="679"/>
    </row>
    <row r="17271" spans="32:32" x14ac:dyDescent="0.2">
      <c r="AF17271" s="679"/>
    </row>
    <row r="17272" spans="32:32" x14ac:dyDescent="0.2">
      <c r="AF17272" s="679"/>
    </row>
    <row r="17273" spans="32:32" x14ac:dyDescent="0.2">
      <c r="AF17273" s="679"/>
    </row>
    <row r="17274" spans="32:32" x14ac:dyDescent="0.2">
      <c r="AF17274" s="679"/>
    </row>
    <row r="17275" spans="32:32" x14ac:dyDescent="0.2">
      <c r="AF17275" s="679"/>
    </row>
    <row r="17276" spans="32:32" x14ac:dyDescent="0.2">
      <c r="AF17276" s="679"/>
    </row>
    <row r="17277" spans="32:32" x14ac:dyDescent="0.2">
      <c r="AF17277" s="679"/>
    </row>
    <row r="17278" spans="32:32" x14ac:dyDescent="0.2">
      <c r="AF17278" s="679"/>
    </row>
    <row r="17279" spans="32:32" x14ac:dyDescent="0.2">
      <c r="AF17279" s="679"/>
    </row>
    <row r="17280" spans="32:32" x14ac:dyDescent="0.2">
      <c r="AF17280" s="679"/>
    </row>
    <row r="17281" spans="32:32" x14ac:dyDescent="0.2">
      <c r="AF17281" s="679"/>
    </row>
    <row r="17282" spans="32:32" x14ac:dyDescent="0.2">
      <c r="AF17282" s="679"/>
    </row>
    <row r="17283" spans="32:32" x14ac:dyDescent="0.2">
      <c r="AF17283" s="679"/>
    </row>
    <row r="17284" spans="32:32" x14ac:dyDescent="0.2">
      <c r="AF17284" s="679"/>
    </row>
    <row r="17285" spans="32:32" x14ac:dyDescent="0.2">
      <c r="AF17285" s="679"/>
    </row>
    <row r="17286" spans="32:32" x14ac:dyDescent="0.2">
      <c r="AF17286" s="679"/>
    </row>
    <row r="17287" spans="32:32" x14ac:dyDescent="0.2">
      <c r="AF17287" s="679"/>
    </row>
    <row r="17288" spans="32:32" x14ac:dyDescent="0.2">
      <c r="AF17288" s="679"/>
    </row>
    <row r="17289" spans="32:32" x14ac:dyDescent="0.2">
      <c r="AF17289" s="679"/>
    </row>
    <row r="17290" spans="32:32" x14ac:dyDescent="0.2">
      <c r="AF17290" s="679"/>
    </row>
    <row r="17291" spans="32:32" x14ac:dyDescent="0.2">
      <c r="AF17291" s="679"/>
    </row>
    <row r="17292" spans="32:32" x14ac:dyDescent="0.2">
      <c r="AF17292" s="679"/>
    </row>
    <row r="17293" spans="32:32" x14ac:dyDescent="0.2">
      <c r="AF17293" s="679"/>
    </row>
    <row r="17294" spans="32:32" x14ac:dyDescent="0.2">
      <c r="AF17294" s="679"/>
    </row>
    <row r="17295" spans="32:32" x14ac:dyDescent="0.2">
      <c r="AF17295" s="679"/>
    </row>
    <row r="17296" spans="32:32" x14ac:dyDescent="0.2">
      <c r="AF17296" s="679"/>
    </row>
    <row r="17297" spans="32:32" x14ac:dyDescent="0.2">
      <c r="AF17297" s="679"/>
    </row>
    <row r="17298" spans="32:32" x14ac:dyDescent="0.2">
      <c r="AF17298" s="679"/>
    </row>
    <row r="17299" spans="32:32" x14ac:dyDescent="0.2">
      <c r="AF17299" s="679"/>
    </row>
    <row r="17300" spans="32:32" x14ac:dyDescent="0.2">
      <c r="AF17300" s="679"/>
    </row>
    <row r="17301" spans="32:32" x14ac:dyDescent="0.2">
      <c r="AF17301" s="679"/>
    </row>
    <row r="17302" spans="32:32" x14ac:dyDescent="0.2">
      <c r="AF17302" s="679"/>
    </row>
    <row r="17303" spans="32:32" x14ac:dyDescent="0.2">
      <c r="AF17303" s="679"/>
    </row>
    <row r="17304" spans="32:32" x14ac:dyDescent="0.2">
      <c r="AF17304" s="679"/>
    </row>
    <row r="17305" spans="32:32" x14ac:dyDescent="0.2">
      <c r="AF17305" s="679"/>
    </row>
    <row r="17306" spans="32:32" x14ac:dyDescent="0.2">
      <c r="AF17306" s="679"/>
    </row>
    <row r="17307" spans="32:32" x14ac:dyDescent="0.2">
      <c r="AF17307" s="679"/>
    </row>
    <row r="17308" spans="32:32" x14ac:dyDescent="0.2">
      <c r="AF17308" s="679"/>
    </row>
    <row r="17309" spans="32:32" x14ac:dyDescent="0.2">
      <c r="AF17309" s="679"/>
    </row>
    <row r="17310" spans="32:32" x14ac:dyDescent="0.2">
      <c r="AF17310" s="679"/>
    </row>
    <row r="17311" spans="32:32" x14ac:dyDescent="0.2">
      <c r="AF17311" s="679"/>
    </row>
    <row r="17312" spans="32:32" x14ac:dyDescent="0.2">
      <c r="AF17312" s="679"/>
    </row>
    <row r="17313" spans="32:32" x14ac:dyDescent="0.2">
      <c r="AF17313" s="679"/>
    </row>
    <row r="17314" spans="32:32" x14ac:dyDescent="0.2">
      <c r="AF17314" s="679"/>
    </row>
    <row r="17315" spans="32:32" x14ac:dyDescent="0.2">
      <c r="AF17315" s="679"/>
    </row>
    <row r="17316" spans="32:32" x14ac:dyDescent="0.2">
      <c r="AF17316" s="679"/>
    </row>
    <row r="17317" spans="32:32" x14ac:dyDescent="0.2">
      <c r="AF17317" s="679"/>
    </row>
    <row r="17318" spans="32:32" x14ac:dyDescent="0.2">
      <c r="AF17318" s="679"/>
    </row>
    <row r="17319" spans="32:32" x14ac:dyDescent="0.2">
      <c r="AF17319" s="679"/>
    </row>
    <row r="17320" spans="32:32" x14ac:dyDescent="0.2">
      <c r="AF17320" s="679"/>
    </row>
    <row r="17321" spans="32:32" x14ac:dyDescent="0.2">
      <c r="AF17321" s="679"/>
    </row>
    <row r="17322" spans="32:32" x14ac:dyDescent="0.2">
      <c r="AF17322" s="679"/>
    </row>
    <row r="17323" spans="32:32" x14ac:dyDescent="0.2">
      <c r="AF17323" s="679"/>
    </row>
    <row r="17324" spans="32:32" x14ac:dyDescent="0.2">
      <c r="AF17324" s="679"/>
    </row>
    <row r="17325" spans="32:32" x14ac:dyDescent="0.2">
      <c r="AF17325" s="679"/>
    </row>
    <row r="17326" spans="32:32" x14ac:dyDescent="0.2">
      <c r="AF17326" s="679"/>
    </row>
    <row r="17327" spans="32:32" x14ac:dyDescent="0.2">
      <c r="AF17327" s="679"/>
    </row>
    <row r="17328" spans="32:32" x14ac:dyDescent="0.2">
      <c r="AF17328" s="679"/>
    </row>
    <row r="17329" spans="32:32" x14ac:dyDescent="0.2">
      <c r="AF17329" s="679"/>
    </row>
    <row r="17330" spans="32:32" x14ac:dyDescent="0.2">
      <c r="AF17330" s="679"/>
    </row>
    <row r="17331" spans="32:32" x14ac:dyDescent="0.2">
      <c r="AF17331" s="679"/>
    </row>
    <row r="17332" spans="32:32" x14ac:dyDescent="0.2">
      <c r="AF17332" s="679"/>
    </row>
    <row r="17333" spans="32:32" x14ac:dyDescent="0.2">
      <c r="AF17333" s="679"/>
    </row>
    <row r="17334" spans="32:32" x14ac:dyDescent="0.2">
      <c r="AF17334" s="679"/>
    </row>
    <row r="17335" spans="32:32" x14ac:dyDescent="0.2">
      <c r="AF17335" s="679"/>
    </row>
    <row r="17336" spans="32:32" x14ac:dyDescent="0.2">
      <c r="AF17336" s="679"/>
    </row>
    <row r="17337" spans="32:32" x14ac:dyDescent="0.2">
      <c r="AF17337" s="679"/>
    </row>
    <row r="17338" spans="32:32" x14ac:dyDescent="0.2">
      <c r="AF17338" s="679"/>
    </row>
    <row r="17339" spans="32:32" x14ac:dyDescent="0.2">
      <c r="AF17339" s="679"/>
    </row>
    <row r="17340" spans="32:32" x14ac:dyDescent="0.2">
      <c r="AF17340" s="679"/>
    </row>
    <row r="17341" spans="32:32" x14ac:dyDescent="0.2">
      <c r="AF17341" s="679"/>
    </row>
    <row r="17342" spans="32:32" x14ac:dyDescent="0.2">
      <c r="AF17342" s="679"/>
    </row>
    <row r="17343" spans="32:32" x14ac:dyDescent="0.2">
      <c r="AF17343" s="679"/>
    </row>
    <row r="17344" spans="32:32" x14ac:dyDescent="0.2">
      <c r="AF17344" s="679"/>
    </row>
    <row r="17345" spans="32:32" x14ac:dyDescent="0.2">
      <c r="AF17345" s="679"/>
    </row>
    <row r="17346" spans="32:32" x14ac:dyDescent="0.2">
      <c r="AF17346" s="679"/>
    </row>
    <row r="17347" spans="32:32" x14ac:dyDescent="0.2">
      <c r="AF17347" s="679"/>
    </row>
    <row r="17348" spans="32:32" x14ac:dyDescent="0.2">
      <c r="AF17348" s="679"/>
    </row>
    <row r="17349" spans="32:32" x14ac:dyDescent="0.2">
      <c r="AF17349" s="679"/>
    </row>
    <row r="17350" spans="32:32" x14ac:dyDescent="0.2">
      <c r="AF17350" s="679"/>
    </row>
    <row r="17351" spans="32:32" x14ac:dyDescent="0.2">
      <c r="AF17351" s="679"/>
    </row>
    <row r="17352" spans="32:32" x14ac:dyDescent="0.2">
      <c r="AF17352" s="679"/>
    </row>
    <row r="17353" spans="32:32" x14ac:dyDescent="0.2">
      <c r="AF17353" s="679"/>
    </row>
    <row r="17354" spans="32:32" x14ac:dyDescent="0.2">
      <c r="AF17354" s="679"/>
    </row>
    <row r="17355" spans="32:32" x14ac:dyDescent="0.2">
      <c r="AF17355" s="679"/>
    </row>
    <row r="17356" spans="32:32" x14ac:dyDescent="0.2">
      <c r="AF17356" s="679"/>
    </row>
    <row r="17357" spans="32:32" x14ac:dyDescent="0.2">
      <c r="AF17357" s="679"/>
    </row>
    <row r="17358" spans="32:32" x14ac:dyDescent="0.2">
      <c r="AF17358" s="679"/>
    </row>
    <row r="17359" spans="32:32" x14ac:dyDescent="0.2">
      <c r="AF17359" s="679"/>
    </row>
    <row r="17360" spans="32:32" x14ac:dyDescent="0.2">
      <c r="AF17360" s="679"/>
    </row>
    <row r="17361" spans="32:32" x14ac:dyDescent="0.2">
      <c r="AF17361" s="679"/>
    </row>
    <row r="17362" spans="32:32" x14ac:dyDescent="0.2">
      <c r="AF17362" s="679"/>
    </row>
    <row r="17363" spans="32:32" x14ac:dyDescent="0.2">
      <c r="AF17363" s="679"/>
    </row>
    <row r="17364" spans="32:32" x14ac:dyDescent="0.2">
      <c r="AF17364" s="679"/>
    </row>
    <row r="17365" spans="32:32" x14ac:dyDescent="0.2">
      <c r="AF17365" s="679"/>
    </row>
    <row r="17366" spans="32:32" x14ac:dyDescent="0.2">
      <c r="AF17366" s="679"/>
    </row>
    <row r="17367" spans="32:32" x14ac:dyDescent="0.2">
      <c r="AF17367" s="679"/>
    </row>
    <row r="17368" spans="32:32" x14ac:dyDescent="0.2">
      <c r="AF17368" s="679"/>
    </row>
    <row r="17369" spans="32:32" x14ac:dyDescent="0.2">
      <c r="AF17369" s="679"/>
    </row>
    <row r="17370" spans="32:32" x14ac:dyDescent="0.2">
      <c r="AF17370" s="679"/>
    </row>
    <row r="17371" spans="32:32" x14ac:dyDescent="0.2">
      <c r="AF17371" s="679"/>
    </row>
    <row r="17372" spans="32:32" x14ac:dyDescent="0.2">
      <c r="AF17372" s="679"/>
    </row>
    <row r="17373" spans="32:32" x14ac:dyDescent="0.2">
      <c r="AF17373" s="679"/>
    </row>
    <row r="17374" spans="32:32" x14ac:dyDescent="0.2">
      <c r="AF17374" s="679"/>
    </row>
    <row r="17375" spans="32:32" x14ac:dyDescent="0.2">
      <c r="AF17375" s="679"/>
    </row>
    <row r="17376" spans="32:32" x14ac:dyDescent="0.2">
      <c r="AF17376" s="679"/>
    </row>
    <row r="17377" spans="32:32" x14ac:dyDescent="0.2">
      <c r="AF17377" s="679"/>
    </row>
    <row r="17378" spans="32:32" x14ac:dyDescent="0.2">
      <c r="AF17378" s="679"/>
    </row>
    <row r="17379" spans="32:32" x14ac:dyDescent="0.2">
      <c r="AF17379" s="679"/>
    </row>
    <row r="17380" spans="32:32" x14ac:dyDescent="0.2">
      <c r="AF17380" s="679"/>
    </row>
    <row r="17381" spans="32:32" x14ac:dyDescent="0.2">
      <c r="AF17381" s="679"/>
    </row>
    <row r="17382" spans="32:32" x14ac:dyDescent="0.2">
      <c r="AF17382" s="679"/>
    </row>
    <row r="17383" spans="32:32" x14ac:dyDescent="0.2">
      <c r="AF17383" s="679"/>
    </row>
    <row r="17384" spans="32:32" x14ac:dyDescent="0.2">
      <c r="AF17384" s="679"/>
    </row>
    <row r="17385" spans="32:32" x14ac:dyDescent="0.2">
      <c r="AF17385" s="679"/>
    </row>
    <row r="17386" spans="32:32" x14ac:dyDescent="0.2">
      <c r="AF17386" s="679"/>
    </row>
    <row r="17387" spans="32:32" x14ac:dyDescent="0.2">
      <c r="AF17387" s="679"/>
    </row>
    <row r="17388" spans="32:32" x14ac:dyDescent="0.2">
      <c r="AF17388" s="679"/>
    </row>
    <row r="17389" spans="32:32" x14ac:dyDescent="0.2">
      <c r="AF17389" s="679"/>
    </row>
    <row r="17390" spans="32:32" x14ac:dyDescent="0.2">
      <c r="AF17390" s="679"/>
    </row>
    <row r="17391" spans="32:32" x14ac:dyDescent="0.2">
      <c r="AF17391" s="679"/>
    </row>
    <row r="17392" spans="32:32" x14ac:dyDescent="0.2">
      <c r="AF17392" s="679"/>
    </row>
    <row r="17393" spans="32:32" x14ac:dyDescent="0.2">
      <c r="AF17393" s="679"/>
    </row>
    <row r="17394" spans="32:32" x14ac:dyDescent="0.2">
      <c r="AF17394" s="679"/>
    </row>
    <row r="17395" spans="32:32" x14ac:dyDescent="0.2">
      <c r="AF17395" s="679"/>
    </row>
    <row r="17396" spans="32:32" x14ac:dyDescent="0.2">
      <c r="AF17396" s="679"/>
    </row>
    <row r="17397" spans="32:32" x14ac:dyDescent="0.2">
      <c r="AF17397" s="679"/>
    </row>
    <row r="17398" spans="32:32" x14ac:dyDescent="0.2">
      <c r="AF17398" s="679"/>
    </row>
    <row r="17399" spans="32:32" x14ac:dyDescent="0.2">
      <c r="AF17399" s="679"/>
    </row>
    <row r="17400" spans="32:32" x14ac:dyDescent="0.2">
      <c r="AF17400" s="679"/>
    </row>
    <row r="17401" spans="32:32" x14ac:dyDescent="0.2">
      <c r="AF17401" s="679"/>
    </row>
    <row r="17402" spans="32:32" x14ac:dyDescent="0.2">
      <c r="AF17402" s="679"/>
    </row>
    <row r="17403" spans="32:32" x14ac:dyDescent="0.2">
      <c r="AF17403" s="679"/>
    </row>
    <row r="17404" spans="32:32" x14ac:dyDescent="0.2">
      <c r="AF17404" s="679"/>
    </row>
    <row r="17405" spans="32:32" x14ac:dyDescent="0.2">
      <c r="AF17405" s="679"/>
    </row>
    <row r="17406" spans="32:32" x14ac:dyDescent="0.2">
      <c r="AF17406" s="679"/>
    </row>
    <row r="17407" spans="32:32" x14ac:dyDescent="0.2">
      <c r="AF17407" s="679"/>
    </row>
    <row r="17408" spans="32:32" x14ac:dyDescent="0.2">
      <c r="AF17408" s="679"/>
    </row>
    <row r="17409" spans="32:32" x14ac:dyDescent="0.2">
      <c r="AF17409" s="679"/>
    </row>
    <row r="17410" spans="32:32" x14ac:dyDescent="0.2">
      <c r="AF17410" s="679"/>
    </row>
    <row r="17411" spans="32:32" x14ac:dyDescent="0.2">
      <c r="AF17411" s="679"/>
    </row>
    <row r="17412" spans="32:32" x14ac:dyDescent="0.2">
      <c r="AF17412" s="679"/>
    </row>
    <row r="17413" spans="32:32" x14ac:dyDescent="0.2">
      <c r="AF17413" s="679"/>
    </row>
    <row r="17414" spans="32:32" x14ac:dyDescent="0.2">
      <c r="AF17414" s="679"/>
    </row>
    <row r="17415" spans="32:32" x14ac:dyDescent="0.2">
      <c r="AF17415" s="679"/>
    </row>
    <row r="17416" spans="32:32" x14ac:dyDescent="0.2">
      <c r="AF17416" s="679"/>
    </row>
    <row r="17417" spans="32:32" x14ac:dyDescent="0.2">
      <c r="AF17417" s="679"/>
    </row>
    <row r="17418" spans="32:32" x14ac:dyDescent="0.2">
      <c r="AF17418" s="679"/>
    </row>
    <row r="17419" spans="32:32" x14ac:dyDescent="0.2">
      <c r="AF17419" s="679"/>
    </row>
    <row r="17420" spans="32:32" x14ac:dyDescent="0.2">
      <c r="AF17420" s="679"/>
    </row>
    <row r="17421" spans="32:32" x14ac:dyDescent="0.2">
      <c r="AF17421" s="679"/>
    </row>
    <row r="17422" spans="32:32" x14ac:dyDescent="0.2">
      <c r="AF17422" s="679"/>
    </row>
    <row r="17423" spans="32:32" x14ac:dyDescent="0.2">
      <c r="AF17423" s="679"/>
    </row>
    <row r="17424" spans="32:32" x14ac:dyDescent="0.2">
      <c r="AF17424" s="679"/>
    </row>
    <row r="17425" spans="32:32" x14ac:dyDescent="0.2">
      <c r="AF17425" s="679"/>
    </row>
    <row r="17426" spans="32:32" x14ac:dyDescent="0.2">
      <c r="AF17426" s="679"/>
    </row>
    <row r="17427" spans="32:32" x14ac:dyDescent="0.2">
      <c r="AF17427" s="679"/>
    </row>
    <row r="17428" spans="32:32" x14ac:dyDescent="0.2">
      <c r="AF17428" s="679"/>
    </row>
    <row r="17429" spans="32:32" x14ac:dyDescent="0.2">
      <c r="AF17429" s="679"/>
    </row>
    <row r="17430" spans="32:32" x14ac:dyDescent="0.2">
      <c r="AF17430" s="679"/>
    </row>
    <row r="17431" spans="32:32" x14ac:dyDescent="0.2">
      <c r="AF17431" s="679"/>
    </row>
    <row r="17432" spans="32:32" x14ac:dyDescent="0.2">
      <c r="AF17432" s="679"/>
    </row>
    <row r="17433" spans="32:32" x14ac:dyDescent="0.2">
      <c r="AF17433" s="679"/>
    </row>
    <row r="17434" spans="32:32" x14ac:dyDescent="0.2">
      <c r="AF17434" s="679"/>
    </row>
    <row r="17435" spans="32:32" x14ac:dyDescent="0.2">
      <c r="AF17435" s="679"/>
    </row>
    <row r="17436" spans="32:32" x14ac:dyDescent="0.2">
      <c r="AF17436" s="679"/>
    </row>
    <row r="17437" spans="32:32" x14ac:dyDescent="0.2">
      <c r="AF17437" s="679"/>
    </row>
    <row r="17438" spans="32:32" x14ac:dyDescent="0.2">
      <c r="AF17438" s="679"/>
    </row>
    <row r="17439" spans="32:32" x14ac:dyDescent="0.2">
      <c r="AF17439" s="679"/>
    </row>
    <row r="17440" spans="32:32" x14ac:dyDescent="0.2">
      <c r="AF17440" s="679"/>
    </row>
    <row r="17441" spans="32:32" x14ac:dyDescent="0.2">
      <c r="AF17441" s="679"/>
    </row>
    <row r="17442" spans="32:32" x14ac:dyDescent="0.2">
      <c r="AF17442" s="679"/>
    </row>
    <row r="17443" spans="32:32" x14ac:dyDescent="0.2">
      <c r="AF17443" s="679"/>
    </row>
    <row r="17444" spans="32:32" x14ac:dyDescent="0.2">
      <c r="AF17444" s="679"/>
    </row>
    <row r="17445" spans="32:32" x14ac:dyDescent="0.2">
      <c r="AF17445" s="679"/>
    </row>
    <row r="17446" spans="32:32" x14ac:dyDescent="0.2">
      <c r="AF17446" s="679"/>
    </row>
    <row r="17447" spans="32:32" x14ac:dyDescent="0.2">
      <c r="AF17447" s="679"/>
    </row>
    <row r="17448" spans="32:32" x14ac:dyDescent="0.2">
      <c r="AF17448" s="679"/>
    </row>
    <row r="17449" spans="32:32" x14ac:dyDescent="0.2">
      <c r="AF17449" s="679"/>
    </row>
    <row r="17450" spans="32:32" x14ac:dyDescent="0.2">
      <c r="AF17450" s="679"/>
    </row>
    <row r="17451" spans="32:32" x14ac:dyDescent="0.2">
      <c r="AF17451" s="679"/>
    </row>
    <row r="17452" spans="32:32" x14ac:dyDescent="0.2">
      <c r="AF17452" s="679"/>
    </row>
    <row r="17453" spans="32:32" x14ac:dyDescent="0.2">
      <c r="AF17453" s="679"/>
    </row>
    <row r="17454" spans="32:32" x14ac:dyDescent="0.2">
      <c r="AF17454" s="679"/>
    </row>
    <row r="17455" spans="32:32" x14ac:dyDescent="0.2">
      <c r="AF17455" s="679"/>
    </row>
    <row r="17456" spans="32:32" x14ac:dyDescent="0.2">
      <c r="AF17456" s="679"/>
    </row>
    <row r="17457" spans="32:32" x14ac:dyDescent="0.2">
      <c r="AF17457" s="679"/>
    </row>
    <row r="17458" spans="32:32" x14ac:dyDescent="0.2">
      <c r="AF17458" s="679"/>
    </row>
    <row r="17459" spans="32:32" x14ac:dyDescent="0.2">
      <c r="AF17459" s="679"/>
    </row>
    <row r="17460" spans="32:32" x14ac:dyDescent="0.2">
      <c r="AF17460" s="679"/>
    </row>
    <row r="17461" spans="32:32" x14ac:dyDescent="0.2">
      <c r="AF17461" s="679"/>
    </row>
    <row r="17462" spans="32:32" x14ac:dyDescent="0.2">
      <c r="AF17462" s="679"/>
    </row>
    <row r="17463" spans="32:32" x14ac:dyDescent="0.2">
      <c r="AF17463" s="679"/>
    </row>
    <row r="17464" spans="32:32" x14ac:dyDescent="0.2">
      <c r="AF17464" s="679"/>
    </row>
    <row r="17465" spans="32:32" x14ac:dyDescent="0.2">
      <c r="AF17465" s="679"/>
    </row>
    <row r="17466" spans="32:32" x14ac:dyDescent="0.2">
      <c r="AF17466" s="679"/>
    </row>
    <row r="17467" spans="32:32" x14ac:dyDescent="0.2">
      <c r="AF17467" s="679"/>
    </row>
    <row r="17468" spans="32:32" x14ac:dyDescent="0.2">
      <c r="AF17468" s="679"/>
    </row>
    <row r="17469" spans="32:32" x14ac:dyDescent="0.2">
      <c r="AF17469" s="679"/>
    </row>
    <row r="17470" spans="32:32" x14ac:dyDescent="0.2">
      <c r="AF17470" s="679"/>
    </row>
    <row r="17471" spans="32:32" x14ac:dyDescent="0.2">
      <c r="AF17471" s="679"/>
    </row>
    <row r="17472" spans="32:32" x14ac:dyDescent="0.2">
      <c r="AF17472" s="679"/>
    </row>
    <row r="17473" spans="32:32" x14ac:dyDescent="0.2">
      <c r="AF17473" s="679"/>
    </row>
    <row r="17474" spans="32:32" x14ac:dyDescent="0.2">
      <c r="AF17474" s="679"/>
    </row>
    <row r="17475" spans="32:32" x14ac:dyDescent="0.2">
      <c r="AF17475" s="679"/>
    </row>
    <row r="17476" spans="32:32" x14ac:dyDescent="0.2">
      <c r="AF17476" s="679"/>
    </row>
    <row r="17477" spans="32:32" x14ac:dyDescent="0.2">
      <c r="AF17477" s="679"/>
    </row>
    <row r="17478" spans="32:32" x14ac:dyDescent="0.2">
      <c r="AF17478" s="679"/>
    </row>
    <row r="17479" spans="32:32" x14ac:dyDescent="0.2">
      <c r="AF17479" s="679"/>
    </row>
    <row r="17480" spans="32:32" x14ac:dyDescent="0.2">
      <c r="AF17480" s="679"/>
    </row>
    <row r="17481" spans="32:32" x14ac:dyDescent="0.2">
      <c r="AF17481" s="679"/>
    </row>
    <row r="17482" spans="32:32" x14ac:dyDescent="0.2">
      <c r="AF17482" s="679"/>
    </row>
    <row r="17483" spans="32:32" x14ac:dyDescent="0.2">
      <c r="AF17483" s="679"/>
    </row>
    <row r="17484" spans="32:32" x14ac:dyDescent="0.2">
      <c r="AF17484" s="679"/>
    </row>
    <row r="17485" spans="32:32" x14ac:dyDescent="0.2">
      <c r="AF17485" s="679"/>
    </row>
    <row r="17486" spans="32:32" x14ac:dyDescent="0.2">
      <c r="AF17486" s="679"/>
    </row>
    <row r="17487" spans="32:32" x14ac:dyDescent="0.2">
      <c r="AF17487" s="679"/>
    </row>
    <row r="17488" spans="32:32" x14ac:dyDescent="0.2">
      <c r="AF17488" s="679"/>
    </row>
    <row r="17489" spans="32:32" x14ac:dyDescent="0.2">
      <c r="AF17489" s="679"/>
    </row>
    <row r="17490" spans="32:32" x14ac:dyDescent="0.2">
      <c r="AF17490" s="679"/>
    </row>
    <row r="17491" spans="32:32" x14ac:dyDescent="0.2">
      <c r="AF17491" s="679"/>
    </row>
    <row r="17492" spans="32:32" x14ac:dyDescent="0.2">
      <c r="AF17492" s="679"/>
    </row>
    <row r="17493" spans="32:32" x14ac:dyDescent="0.2">
      <c r="AF17493" s="679"/>
    </row>
    <row r="17494" spans="32:32" x14ac:dyDescent="0.2">
      <c r="AF17494" s="679"/>
    </row>
    <row r="17495" spans="32:32" x14ac:dyDescent="0.2">
      <c r="AF17495" s="679"/>
    </row>
    <row r="17496" spans="32:32" x14ac:dyDescent="0.2">
      <c r="AF17496" s="679"/>
    </row>
    <row r="17497" spans="32:32" x14ac:dyDescent="0.2">
      <c r="AF17497" s="679"/>
    </row>
    <row r="17498" spans="32:32" x14ac:dyDescent="0.2">
      <c r="AF17498" s="679"/>
    </row>
    <row r="17499" spans="32:32" x14ac:dyDescent="0.2">
      <c r="AF17499" s="679"/>
    </row>
    <row r="17500" spans="32:32" x14ac:dyDescent="0.2">
      <c r="AF17500" s="679"/>
    </row>
    <row r="17501" spans="32:32" x14ac:dyDescent="0.2">
      <c r="AF17501" s="679"/>
    </row>
    <row r="17502" spans="32:32" x14ac:dyDescent="0.2">
      <c r="AF17502" s="679"/>
    </row>
    <row r="17503" spans="32:32" x14ac:dyDescent="0.2">
      <c r="AF17503" s="679"/>
    </row>
    <row r="17504" spans="32:32" x14ac:dyDescent="0.2">
      <c r="AF17504" s="679"/>
    </row>
    <row r="17505" spans="32:32" x14ac:dyDescent="0.2">
      <c r="AF17505" s="679"/>
    </row>
    <row r="17506" spans="32:32" x14ac:dyDescent="0.2">
      <c r="AF17506" s="679"/>
    </row>
    <row r="17507" spans="32:32" x14ac:dyDescent="0.2">
      <c r="AF17507" s="679"/>
    </row>
    <row r="17508" spans="32:32" x14ac:dyDescent="0.2">
      <c r="AF17508" s="679"/>
    </row>
    <row r="17509" spans="32:32" x14ac:dyDescent="0.2">
      <c r="AF17509" s="679"/>
    </row>
    <row r="17510" spans="32:32" x14ac:dyDescent="0.2">
      <c r="AF17510" s="679"/>
    </row>
    <row r="17511" spans="32:32" x14ac:dyDescent="0.2">
      <c r="AF17511" s="679"/>
    </row>
    <row r="17512" spans="32:32" x14ac:dyDescent="0.2">
      <c r="AF17512" s="679"/>
    </row>
    <row r="17513" spans="32:32" x14ac:dyDescent="0.2">
      <c r="AF17513" s="679"/>
    </row>
    <row r="17514" spans="32:32" x14ac:dyDescent="0.2">
      <c r="AF17514" s="679"/>
    </row>
    <row r="17515" spans="32:32" x14ac:dyDescent="0.2">
      <c r="AF17515" s="679"/>
    </row>
    <row r="17516" spans="32:32" x14ac:dyDescent="0.2">
      <c r="AF17516" s="679"/>
    </row>
    <row r="17517" spans="32:32" x14ac:dyDescent="0.2">
      <c r="AF17517" s="679"/>
    </row>
    <row r="17518" spans="32:32" x14ac:dyDescent="0.2">
      <c r="AF17518" s="679"/>
    </row>
    <row r="17519" spans="32:32" x14ac:dyDescent="0.2">
      <c r="AF17519" s="679"/>
    </row>
    <row r="17520" spans="32:32" x14ac:dyDescent="0.2">
      <c r="AF17520" s="679"/>
    </row>
    <row r="17521" spans="32:32" x14ac:dyDescent="0.2">
      <c r="AF17521" s="679"/>
    </row>
    <row r="17522" spans="32:32" x14ac:dyDescent="0.2">
      <c r="AF17522" s="679"/>
    </row>
    <row r="17523" spans="32:32" x14ac:dyDescent="0.2">
      <c r="AF17523" s="679"/>
    </row>
    <row r="17524" spans="32:32" x14ac:dyDescent="0.2">
      <c r="AF17524" s="679"/>
    </row>
    <row r="17525" spans="32:32" x14ac:dyDescent="0.2">
      <c r="AF17525" s="679"/>
    </row>
    <row r="17526" spans="32:32" x14ac:dyDescent="0.2">
      <c r="AF17526" s="679"/>
    </row>
    <row r="17527" spans="32:32" x14ac:dyDescent="0.2">
      <c r="AF17527" s="679"/>
    </row>
    <row r="17528" spans="32:32" x14ac:dyDescent="0.2">
      <c r="AF17528" s="679"/>
    </row>
    <row r="17529" spans="32:32" x14ac:dyDescent="0.2">
      <c r="AF17529" s="679"/>
    </row>
    <row r="17530" spans="32:32" x14ac:dyDescent="0.2">
      <c r="AF17530" s="679"/>
    </row>
    <row r="17531" spans="32:32" x14ac:dyDescent="0.2">
      <c r="AF17531" s="679"/>
    </row>
    <row r="17532" spans="32:32" x14ac:dyDescent="0.2">
      <c r="AF17532" s="679"/>
    </row>
    <row r="17533" spans="32:32" x14ac:dyDescent="0.2">
      <c r="AF17533" s="679"/>
    </row>
    <row r="17534" spans="32:32" x14ac:dyDescent="0.2">
      <c r="AF17534" s="679"/>
    </row>
    <row r="17535" spans="32:32" x14ac:dyDescent="0.2">
      <c r="AF17535" s="679"/>
    </row>
    <row r="17536" spans="32:32" x14ac:dyDescent="0.2">
      <c r="AF17536" s="679"/>
    </row>
    <row r="17537" spans="32:32" x14ac:dyDescent="0.2">
      <c r="AF17537" s="679"/>
    </row>
    <row r="17538" spans="32:32" x14ac:dyDescent="0.2">
      <c r="AF17538" s="679"/>
    </row>
    <row r="17539" spans="32:32" x14ac:dyDescent="0.2">
      <c r="AF17539" s="679"/>
    </row>
    <row r="17540" spans="32:32" x14ac:dyDescent="0.2">
      <c r="AF17540" s="679"/>
    </row>
    <row r="17541" spans="32:32" x14ac:dyDescent="0.2">
      <c r="AF17541" s="679"/>
    </row>
    <row r="17542" spans="32:32" x14ac:dyDescent="0.2">
      <c r="AF17542" s="679"/>
    </row>
    <row r="17543" spans="32:32" x14ac:dyDescent="0.2">
      <c r="AF17543" s="679"/>
    </row>
    <row r="17544" spans="32:32" x14ac:dyDescent="0.2">
      <c r="AF17544" s="679"/>
    </row>
    <row r="17545" spans="32:32" x14ac:dyDescent="0.2">
      <c r="AF17545" s="679"/>
    </row>
    <row r="17546" spans="32:32" x14ac:dyDescent="0.2">
      <c r="AF17546" s="679"/>
    </row>
    <row r="17547" spans="32:32" x14ac:dyDescent="0.2">
      <c r="AF17547" s="679"/>
    </row>
    <row r="17548" spans="32:32" x14ac:dyDescent="0.2">
      <c r="AF17548" s="679"/>
    </row>
    <row r="17549" spans="32:32" x14ac:dyDescent="0.2">
      <c r="AF17549" s="679"/>
    </row>
    <row r="17550" spans="32:32" x14ac:dyDescent="0.2">
      <c r="AF17550" s="679"/>
    </row>
    <row r="17551" spans="32:32" x14ac:dyDescent="0.2">
      <c r="AF17551" s="679"/>
    </row>
    <row r="17552" spans="32:32" x14ac:dyDescent="0.2">
      <c r="AF17552" s="679"/>
    </row>
    <row r="17553" spans="32:32" x14ac:dyDescent="0.2">
      <c r="AF17553" s="679"/>
    </row>
    <row r="17554" spans="32:32" x14ac:dyDescent="0.2">
      <c r="AF17554" s="679"/>
    </row>
    <row r="17555" spans="32:32" x14ac:dyDescent="0.2">
      <c r="AF17555" s="679"/>
    </row>
    <row r="17556" spans="32:32" x14ac:dyDescent="0.2">
      <c r="AF17556" s="679"/>
    </row>
    <row r="17557" spans="32:32" x14ac:dyDescent="0.2">
      <c r="AF17557" s="679"/>
    </row>
    <row r="17558" spans="32:32" x14ac:dyDescent="0.2">
      <c r="AF17558" s="679"/>
    </row>
    <row r="17559" spans="32:32" x14ac:dyDescent="0.2">
      <c r="AF17559" s="679"/>
    </row>
    <row r="17560" spans="32:32" x14ac:dyDescent="0.2">
      <c r="AF17560" s="679"/>
    </row>
    <row r="17561" spans="32:32" x14ac:dyDescent="0.2">
      <c r="AF17561" s="679"/>
    </row>
    <row r="17562" spans="32:32" x14ac:dyDescent="0.2">
      <c r="AF17562" s="679"/>
    </row>
    <row r="17563" spans="32:32" x14ac:dyDescent="0.2">
      <c r="AF17563" s="679"/>
    </row>
    <row r="17564" spans="32:32" x14ac:dyDescent="0.2">
      <c r="AF17564" s="679"/>
    </row>
    <row r="17565" spans="32:32" x14ac:dyDescent="0.2">
      <c r="AF17565" s="679"/>
    </row>
    <row r="17566" spans="32:32" x14ac:dyDescent="0.2">
      <c r="AF17566" s="679"/>
    </row>
    <row r="17567" spans="32:32" x14ac:dyDescent="0.2">
      <c r="AF17567" s="679"/>
    </row>
    <row r="17568" spans="32:32" x14ac:dyDescent="0.2">
      <c r="AF17568" s="679"/>
    </row>
    <row r="17569" spans="32:32" x14ac:dyDescent="0.2">
      <c r="AF17569" s="679"/>
    </row>
    <row r="17570" spans="32:32" x14ac:dyDescent="0.2">
      <c r="AF17570" s="679"/>
    </row>
    <row r="17571" spans="32:32" x14ac:dyDescent="0.2">
      <c r="AF17571" s="679"/>
    </row>
    <row r="17572" spans="32:32" x14ac:dyDescent="0.2">
      <c r="AF17572" s="679"/>
    </row>
    <row r="17573" spans="32:32" x14ac:dyDescent="0.2">
      <c r="AF17573" s="679"/>
    </row>
    <row r="17574" spans="32:32" x14ac:dyDescent="0.2">
      <c r="AF17574" s="679"/>
    </row>
    <row r="17575" spans="32:32" x14ac:dyDescent="0.2">
      <c r="AF17575" s="679"/>
    </row>
    <row r="17576" spans="32:32" x14ac:dyDescent="0.2">
      <c r="AF17576" s="679"/>
    </row>
    <row r="17577" spans="32:32" x14ac:dyDescent="0.2">
      <c r="AF17577" s="679"/>
    </row>
    <row r="17578" spans="32:32" x14ac:dyDescent="0.2">
      <c r="AF17578" s="679"/>
    </row>
    <row r="17579" spans="32:32" x14ac:dyDescent="0.2">
      <c r="AF17579" s="679"/>
    </row>
    <row r="17580" spans="32:32" x14ac:dyDescent="0.2">
      <c r="AF17580" s="679"/>
    </row>
    <row r="17581" spans="32:32" x14ac:dyDescent="0.2">
      <c r="AF17581" s="679"/>
    </row>
    <row r="17582" spans="32:32" x14ac:dyDescent="0.2">
      <c r="AF17582" s="679"/>
    </row>
    <row r="17583" spans="32:32" x14ac:dyDescent="0.2">
      <c r="AF17583" s="679"/>
    </row>
    <row r="17584" spans="32:32" x14ac:dyDescent="0.2">
      <c r="AF17584" s="679"/>
    </row>
    <row r="17585" spans="32:32" x14ac:dyDescent="0.2">
      <c r="AF17585" s="679"/>
    </row>
    <row r="17586" spans="32:32" x14ac:dyDescent="0.2">
      <c r="AF17586" s="679"/>
    </row>
    <row r="17587" spans="32:32" x14ac:dyDescent="0.2">
      <c r="AF17587" s="679"/>
    </row>
    <row r="17588" spans="32:32" x14ac:dyDescent="0.2">
      <c r="AF17588" s="679"/>
    </row>
    <row r="17589" spans="32:32" x14ac:dyDescent="0.2">
      <c r="AF17589" s="679"/>
    </row>
    <row r="17590" spans="32:32" x14ac:dyDescent="0.2">
      <c r="AF17590" s="679"/>
    </row>
    <row r="17591" spans="32:32" x14ac:dyDescent="0.2">
      <c r="AF17591" s="679"/>
    </row>
    <row r="17592" spans="32:32" x14ac:dyDescent="0.2">
      <c r="AF17592" s="679"/>
    </row>
    <row r="17593" spans="32:32" x14ac:dyDescent="0.2">
      <c r="AF17593" s="679"/>
    </row>
    <row r="17594" spans="32:32" x14ac:dyDescent="0.2">
      <c r="AF17594" s="679"/>
    </row>
    <row r="17595" spans="32:32" x14ac:dyDescent="0.2">
      <c r="AF17595" s="679"/>
    </row>
    <row r="17596" spans="32:32" x14ac:dyDescent="0.2">
      <c r="AF17596" s="679"/>
    </row>
    <row r="17597" spans="32:32" x14ac:dyDescent="0.2">
      <c r="AF17597" s="679"/>
    </row>
    <row r="17598" spans="32:32" x14ac:dyDescent="0.2">
      <c r="AF17598" s="679"/>
    </row>
    <row r="17599" spans="32:32" x14ac:dyDescent="0.2">
      <c r="AF17599" s="679"/>
    </row>
    <row r="17600" spans="32:32" x14ac:dyDescent="0.2">
      <c r="AF17600" s="679"/>
    </row>
    <row r="17601" spans="32:32" x14ac:dyDescent="0.2">
      <c r="AF17601" s="679"/>
    </row>
    <row r="17602" spans="32:32" x14ac:dyDescent="0.2">
      <c r="AF17602" s="679"/>
    </row>
    <row r="17603" spans="32:32" x14ac:dyDescent="0.2">
      <c r="AF17603" s="679"/>
    </row>
    <row r="17604" spans="32:32" x14ac:dyDescent="0.2">
      <c r="AF17604" s="679"/>
    </row>
    <row r="17605" spans="32:32" x14ac:dyDescent="0.2">
      <c r="AF17605" s="679"/>
    </row>
    <row r="17606" spans="32:32" x14ac:dyDescent="0.2">
      <c r="AF17606" s="679"/>
    </row>
    <row r="17607" spans="32:32" x14ac:dyDescent="0.2">
      <c r="AF17607" s="679"/>
    </row>
    <row r="17608" spans="32:32" x14ac:dyDescent="0.2">
      <c r="AF17608" s="679"/>
    </row>
    <row r="17609" spans="32:32" x14ac:dyDescent="0.2">
      <c r="AF17609" s="679"/>
    </row>
    <row r="17610" spans="32:32" x14ac:dyDescent="0.2">
      <c r="AF17610" s="679"/>
    </row>
    <row r="17611" spans="32:32" x14ac:dyDescent="0.2">
      <c r="AF17611" s="679"/>
    </row>
    <row r="17612" spans="32:32" x14ac:dyDescent="0.2">
      <c r="AF17612" s="679"/>
    </row>
    <row r="17613" spans="32:32" x14ac:dyDescent="0.2">
      <c r="AF17613" s="679"/>
    </row>
    <row r="17614" spans="32:32" x14ac:dyDescent="0.2">
      <c r="AF17614" s="679"/>
    </row>
    <row r="17615" spans="32:32" x14ac:dyDescent="0.2">
      <c r="AF17615" s="679"/>
    </row>
    <row r="17616" spans="32:32" x14ac:dyDescent="0.2">
      <c r="AF17616" s="679"/>
    </row>
    <row r="17617" spans="32:32" x14ac:dyDescent="0.2">
      <c r="AF17617" s="679"/>
    </row>
    <row r="17618" spans="32:32" x14ac:dyDescent="0.2">
      <c r="AF17618" s="679"/>
    </row>
    <row r="17619" spans="32:32" x14ac:dyDescent="0.2">
      <c r="AF17619" s="679"/>
    </row>
    <row r="17620" spans="32:32" x14ac:dyDescent="0.2">
      <c r="AF17620" s="679"/>
    </row>
    <row r="17621" spans="32:32" x14ac:dyDescent="0.2">
      <c r="AF17621" s="679"/>
    </row>
    <row r="17622" spans="32:32" x14ac:dyDescent="0.2">
      <c r="AF17622" s="679"/>
    </row>
    <row r="17623" spans="32:32" x14ac:dyDescent="0.2">
      <c r="AF17623" s="679"/>
    </row>
    <row r="17624" spans="32:32" x14ac:dyDescent="0.2">
      <c r="AF17624" s="679"/>
    </row>
    <row r="17625" spans="32:32" x14ac:dyDescent="0.2">
      <c r="AF17625" s="679"/>
    </row>
    <row r="17626" spans="32:32" x14ac:dyDescent="0.2">
      <c r="AF17626" s="679"/>
    </row>
    <row r="17627" spans="32:32" x14ac:dyDescent="0.2">
      <c r="AF17627" s="679"/>
    </row>
    <row r="17628" spans="32:32" x14ac:dyDescent="0.2">
      <c r="AF17628" s="679"/>
    </row>
    <row r="17629" spans="32:32" x14ac:dyDescent="0.2">
      <c r="AF17629" s="679"/>
    </row>
    <row r="17630" spans="32:32" x14ac:dyDescent="0.2">
      <c r="AF17630" s="679"/>
    </row>
    <row r="17631" spans="32:32" x14ac:dyDescent="0.2">
      <c r="AF17631" s="679"/>
    </row>
    <row r="17632" spans="32:32" x14ac:dyDescent="0.2">
      <c r="AF17632" s="679"/>
    </row>
    <row r="17633" spans="32:32" x14ac:dyDescent="0.2">
      <c r="AF17633" s="679"/>
    </row>
    <row r="17634" spans="32:32" x14ac:dyDescent="0.2">
      <c r="AF17634" s="679"/>
    </row>
    <row r="17635" spans="32:32" x14ac:dyDescent="0.2">
      <c r="AF17635" s="679"/>
    </row>
    <row r="17636" spans="32:32" x14ac:dyDescent="0.2">
      <c r="AF17636" s="679"/>
    </row>
    <row r="17637" spans="32:32" x14ac:dyDescent="0.2">
      <c r="AF17637" s="679"/>
    </row>
    <row r="17638" spans="32:32" x14ac:dyDescent="0.2">
      <c r="AF17638" s="679"/>
    </row>
    <row r="17639" spans="32:32" x14ac:dyDescent="0.2">
      <c r="AF17639" s="679"/>
    </row>
    <row r="17640" spans="32:32" x14ac:dyDescent="0.2">
      <c r="AF17640" s="679"/>
    </row>
    <row r="17641" spans="32:32" x14ac:dyDescent="0.2">
      <c r="AF17641" s="679"/>
    </row>
    <row r="17642" spans="32:32" x14ac:dyDescent="0.2">
      <c r="AF17642" s="679"/>
    </row>
    <row r="17643" spans="32:32" x14ac:dyDescent="0.2">
      <c r="AF17643" s="679"/>
    </row>
    <row r="17644" spans="32:32" x14ac:dyDescent="0.2">
      <c r="AF17644" s="679"/>
    </row>
    <row r="17645" spans="32:32" x14ac:dyDescent="0.2">
      <c r="AF17645" s="679"/>
    </row>
    <row r="17646" spans="32:32" x14ac:dyDescent="0.2">
      <c r="AF17646" s="679"/>
    </row>
    <row r="17647" spans="32:32" x14ac:dyDescent="0.2">
      <c r="AF17647" s="679"/>
    </row>
    <row r="17648" spans="32:32" x14ac:dyDescent="0.2">
      <c r="AF17648" s="679"/>
    </row>
    <row r="17649" spans="32:32" x14ac:dyDescent="0.2">
      <c r="AF17649" s="679"/>
    </row>
    <row r="17650" spans="32:32" x14ac:dyDescent="0.2">
      <c r="AF17650" s="679"/>
    </row>
    <row r="17651" spans="32:32" x14ac:dyDescent="0.2">
      <c r="AF17651" s="679"/>
    </row>
    <row r="17652" spans="32:32" x14ac:dyDescent="0.2">
      <c r="AF17652" s="679"/>
    </row>
    <row r="17653" spans="32:32" x14ac:dyDescent="0.2">
      <c r="AF17653" s="679"/>
    </row>
    <row r="17654" spans="32:32" x14ac:dyDescent="0.2">
      <c r="AF17654" s="679"/>
    </row>
    <row r="17655" spans="32:32" x14ac:dyDescent="0.2">
      <c r="AF17655" s="679"/>
    </row>
    <row r="17656" spans="32:32" x14ac:dyDescent="0.2">
      <c r="AF17656" s="679"/>
    </row>
    <row r="17657" spans="32:32" x14ac:dyDescent="0.2">
      <c r="AF17657" s="679"/>
    </row>
    <row r="17658" spans="32:32" x14ac:dyDescent="0.2">
      <c r="AF17658" s="679"/>
    </row>
    <row r="17659" spans="32:32" x14ac:dyDescent="0.2">
      <c r="AF17659" s="679"/>
    </row>
    <row r="17660" spans="32:32" x14ac:dyDescent="0.2">
      <c r="AF17660" s="679"/>
    </row>
    <row r="17661" spans="32:32" x14ac:dyDescent="0.2">
      <c r="AF17661" s="679"/>
    </row>
    <row r="17662" spans="32:32" x14ac:dyDescent="0.2">
      <c r="AF17662" s="679"/>
    </row>
    <row r="17663" spans="32:32" x14ac:dyDescent="0.2">
      <c r="AF17663" s="679"/>
    </row>
    <row r="17664" spans="32:32" x14ac:dyDescent="0.2">
      <c r="AF17664" s="679"/>
    </row>
    <row r="17665" spans="32:32" x14ac:dyDescent="0.2">
      <c r="AF17665" s="679"/>
    </row>
    <row r="17666" spans="32:32" x14ac:dyDescent="0.2">
      <c r="AF17666" s="679"/>
    </row>
    <row r="17667" spans="32:32" x14ac:dyDescent="0.2">
      <c r="AF17667" s="679"/>
    </row>
    <row r="17668" spans="32:32" x14ac:dyDescent="0.2">
      <c r="AF17668" s="679"/>
    </row>
    <row r="17669" spans="32:32" x14ac:dyDescent="0.2">
      <c r="AF17669" s="679"/>
    </row>
    <row r="17670" spans="32:32" x14ac:dyDescent="0.2">
      <c r="AF17670" s="679"/>
    </row>
    <row r="17671" spans="32:32" x14ac:dyDescent="0.2">
      <c r="AF17671" s="679"/>
    </row>
    <row r="17672" spans="32:32" x14ac:dyDescent="0.2">
      <c r="AF17672" s="679"/>
    </row>
    <row r="17673" spans="32:32" x14ac:dyDescent="0.2">
      <c r="AF17673" s="679"/>
    </row>
    <row r="17674" spans="32:32" x14ac:dyDescent="0.2">
      <c r="AF17674" s="679"/>
    </row>
    <row r="17675" spans="32:32" x14ac:dyDescent="0.2">
      <c r="AF17675" s="679"/>
    </row>
    <row r="17676" spans="32:32" x14ac:dyDescent="0.2">
      <c r="AF17676" s="679"/>
    </row>
    <row r="17677" spans="32:32" x14ac:dyDescent="0.2">
      <c r="AF17677" s="679"/>
    </row>
    <row r="17678" spans="32:32" x14ac:dyDescent="0.2">
      <c r="AF17678" s="679"/>
    </row>
    <row r="17679" spans="32:32" x14ac:dyDescent="0.2">
      <c r="AF17679" s="679"/>
    </row>
    <row r="17680" spans="32:32" x14ac:dyDescent="0.2">
      <c r="AF17680" s="679"/>
    </row>
    <row r="17681" spans="32:32" x14ac:dyDescent="0.2">
      <c r="AF17681" s="679"/>
    </row>
    <row r="17682" spans="32:32" x14ac:dyDescent="0.2">
      <c r="AF17682" s="679"/>
    </row>
    <row r="17683" spans="32:32" x14ac:dyDescent="0.2">
      <c r="AF17683" s="679"/>
    </row>
    <row r="17684" spans="32:32" x14ac:dyDescent="0.2">
      <c r="AF17684" s="679"/>
    </row>
    <row r="17685" spans="32:32" x14ac:dyDescent="0.2">
      <c r="AF17685" s="679"/>
    </row>
    <row r="17686" spans="32:32" x14ac:dyDescent="0.2">
      <c r="AF17686" s="679"/>
    </row>
    <row r="17687" spans="32:32" x14ac:dyDescent="0.2">
      <c r="AF17687" s="679"/>
    </row>
    <row r="17688" spans="32:32" x14ac:dyDescent="0.2">
      <c r="AF17688" s="679"/>
    </row>
    <row r="17689" spans="32:32" x14ac:dyDescent="0.2">
      <c r="AF17689" s="679"/>
    </row>
    <row r="17690" spans="32:32" x14ac:dyDescent="0.2">
      <c r="AF17690" s="679"/>
    </row>
    <row r="17691" spans="32:32" x14ac:dyDescent="0.2">
      <c r="AF17691" s="679"/>
    </row>
    <row r="17692" spans="32:32" x14ac:dyDescent="0.2">
      <c r="AF17692" s="679"/>
    </row>
    <row r="17693" spans="32:32" x14ac:dyDescent="0.2">
      <c r="AF17693" s="679"/>
    </row>
    <row r="17694" spans="32:32" x14ac:dyDescent="0.2">
      <c r="AF17694" s="679"/>
    </row>
    <row r="17695" spans="32:32" x14ac:dyDescent="0.2">
      <c r="AF17695" s="679"/>
    </row>
    <row r="17696" spans="32:32" x14ac:dyDescent="0.2">
      <c r="AF17696" s="679"/>
    </row>
    <row r="17697" spans="32:32" x14ac:dyDescent="0.2">
      <c r="AF17697" s="679"/>
    </row>
    <row r="17698" spans="32:32" x14ac:dyDescent="0.2">
      <c r="AF17698" s="679"/>
    </row>
    <row r="17699" spans="32:32" x14ac:dyDescent="0.2">
      <c r="AF17699" s="679"/>
    </row>
    <row r="17700" spans="32:32" x14ac:dyDescent="0.2">
      <c r="AF17700" s="679"/>
    </row>
    <row r="17701" spans="32:32" x14ac:dyDescent="0.2">
      <c r="AF17701" s="679"/>
    </row>
    <row r="17702" spans="32:32" x14ac:dyDescent="0.2">
      <c r="AF17702" s="679"/>
    </row>
    <row r="17703" spans="32:32" x14ac:dyDescent="0.2">
      <c r="AF17703" s="679"/>
    </row>
    <row r="17704" spans="32:32" x14ac:dyDescent="0.2">
      <c r="AF17704" s="679"/>
    </row>
    <row r="17705" spans="32:32" x14ac:dyDescent="0.2">
      <c r="AF17705" s="679"/>
    </row>
    <row r="17706" spans="32:32" x14ac:dyDescent="0.2">
      <c r="AF17706" s="679"/>
    </row>
    <row r="17707" spans="32:32" x14ac:dyDescent="0.2">
      <c r="AF17707" s="679"/>
    </row>
    <row r="17708" spans="32:32" x14ac:dyDescent="0.2">
      <c r="AF17708" s="679"/>
    </row>
    <row r="17709" spans="32:32" x14ac:dyDescent="0.2">
      <c r="AF17709" s="679"/>
    </row>
    <row r="17710" spans="32:32" x14ac:dyDescent="0.2">
      <c r="AF17710" s="679"/>
    </row>
    <row r="17711" spans="32:32" x14ac:dyDescent="0.2">
      <c r="AF17711" s="679"/>
    </row>
    <row r="17712" spans="32:32" x14ac:dyDescent="0.2">
      <c r="AF17712" s="679"/>
    </row>
    <row r="17713" spans="32:32" x14ac:dyDescent="0.2">
      <c r="AF17713" s="679"/>
    </row>
    <row r="17714" spans="32:32" x14ac:dyDescent="0.2">
      <c r="AF17714" s="679"/>
    </row>
    <row r="17715" spans="32:32" x14ac:dyDescent="0.2">
      <c r="AF17715" s="679"/>
    </row>
    <row r="17716" spans="32:32" x14ac:dyDescent="0.2">
      <c r="AF17716" s="679"/>
    </row>
    <row r="17717" spans="32:32" x14ac:dyDescent="0.2">
      <c r="AF17717" s="679"/>
    </row>
    <row r="17718" spans="32:32" x14ac:dyDescent="0.2">
      <c r="AF17718" s="679"/>
    </row>
    <row r="17719" spans="32:32" x14ac:dyDescent="0.2">
      <c r="AF17719" s="679"/>
    </row>
    <row r="17720" spans="32:32" x14ac:dyDescent="0.2">
      <c r="AF17720" s="679"/>
    </row>
    <row r="17721" spans="32:32" x14ac:dyDescent="0.2">
      <c r="AF17721" s="679"/>
    </row>
    <row r="17722" spans="32:32" x14ac:dyDescent="0.2">
      <c r="AF17722" s="679"/>
    </row>
    <row r="17723" spans="32:32" x14ac:dyDescent="0.2">
      <c r="AF17723" s="679"/>
    </row>
    <row r="17724" spans="32:32" x14ac:dyDescent="0.2">
      <c r="AF17724" s="679"/>
    </row>
    <row r="17725" spans="32:32" x14ac:dyDescent="0.2">
      <c r="AF17725" s="679"/>
    </row>
    <row r="17726" spans="32:32" x14ac:dyDescent="0.2">
      <c r="AF17726" s="679"/>
    </row>
    <row r="17727" spans="32:32" x14ac:dyDescent="0.2">
      <c r="AF17727" s="679"/>
    </row>
    <row r="17728" spans="32:32" x14ac:dyDescent="0.2">
      <c r="AF17728" s="679"/>
    </row>
    <row r="17729" spans="32:32" x14ac:dyDescent="0.2">
      <c r="AF17729" s="679"/>
    </row>
    <row r="17730" spans="32:32" x14ac:dyDescent="0.2">
      <c r="AF17730" s="679"/>
    </row>
    <row r="17731" spans="32:32" x14ac:dyDescent="0.2">
      <c r="AF17731" s="679"/>
    </row>
    <row r="17732" spans="32:32" x14ac:dyDescent="0.2">
      <c r="AF17732" s="679"/>
    </row>
    <row r="17733" spans="32:32" x14ac:dyDescent="0.2">
      <c r="AF17733" s="679"/>
    </row>
    <row r="17734" spans="32:32" x14ac:dyDescent="0.2">
      <c r="AF17734" s="679"/>
    </row>
    <row r="17735" spans="32:32" x14ac:dyDescent="0.2">
      <c r="AF17735" s="679"/>
    </row>
    <row r="17736" spans="32:32" x14ac:dyDescent="0.2">
      <c r="AF17736" s="679"/>
    </row>
    <row r="17737" spans="32:32" x14ac:dyDescent="0.2">
      <c r="AF17737" s="679"/>
    </row>
    <row r="17738" spans="32:32" x14ac:dyDescent="0.2">
      <c r="AF17738" s="679"/>
    </row>
    <row r="17739" spans="32:32" x14ac:dyDescent="0.2">
      <c r="AF17739" s="679"/>
    </row>
    <row r="17740" spans="32:32" x14ac:dyDescent="0.2">
      <c r="AF17740" s="679"/>
    </row>
    <row r="17741" spans="32:32" x14ac:dyDescent="0.2">
      <c r="AF17741" s="679"/>
    </row>
    <row r="17742" spans="32:32" x14ac:dyDescent="0.2">
      <c r="AF17742" s="679"/>
    </row>
    <row r="17743" spans="32:32" x14ac:dyDescent="0.2">
      <c r="AF17743" s="679"/>
    </row>
    <row r="17744" spans="32:32" x14ac:dyDescent="0.2">
      <c r="AF17744" s="679"/>
    </row>
    <row r="17745" spans="32:32" x14ac:dyDescent="0.2">
      <c r="AF17745" s="679"/>
    </row>
    <row r="17746" spans="32:32" x14ac:dyDescent="0.2">
      <c r="AF17746" s="679"/>
    </row>
    <row r="17747" spans="32:32" x14ac:dyDescent="0.2">
      <c r="AF17747" s="679"/>
    </row>
    <row r="17748" spans="32:32" x14ac:dyDescent="0.2">
      <c r="AF17748" s="679"/>
    </row>
    <row r="17749" spans="32:32" x14ac:dyDescent="0.2">
      <c r="AF17749" s="679"/>
    </row>
    <row r="17750" spans="32:32" x14ac:dyDescent="0.2">
      <c r="AF17750" s="679"/>
    </row>
    <row r="17751" spans="32:32" x14ac:dyDescent="0.2">
      <c r="AF17751" s="679"/>
    </row>
    <row r="17752" spans="32:32" x14ac:dyDescent="0.2">
      <c r="AF17752" s="679"/>
    </row>
    <row r="17753" spans="32:32" x14ac:dyDescent="0.2">
      <c r="AF17753" s="679"/>
    </row>
    <row r="17754" spans="32:32" x14ac:dyDescent="0.2">
      <c r="AF17754" s="679"/>
    </row>
    <row r="17755" spans="32:32" x14ac:dyDescent="0.2">
      <c r="AF17755" s="679"/>
    </row>
    <row r="17756" spans="32:32" x14ac:dyDescent="0.2">
      <c r="AF17756" s="679"/>
    </row>
    <row r="17757" spans="32:32" x14ac:dyDescent="0.2">
      <c r="AF17757" s="679"/>
    </row>
    <row r="17758" spans="32:32" x14ac:dyDescent="0.2">
      <c r="AF17758" s="679"/>
    </row>
    <row r="17759" spans="32:32" x14ac:dyDescent="0.2">
      <c r="AF17759" s="679"/>
    </row>
    <row r="17760" spans="32:32" x14ac:dyDescent="0.2">
      <c r="AF17760" s="679"/>
    </row>
    <row r="17761" spans="32:32" x14ac:dyDescent="0.2">
      <c r="AF17761" s="679"/>
    </row>
    <row r="17762" spans="32:32" x14ac:dyDescent="0.2">
      <c r="AF17762" s="679"/>
    </row>
    <row r="17763" spans="32:32" x14ac:dyDescent="0.2">
      <c r="AF17763" s="679"/>
    </row>
    <row r="17764" spans="32:32" x14ac:dyDescent="0.2">
      <c r="AF17764" s="679"/>
    </row>
    <row r="17765" spans="32:32" x14ac:dyDescent="0.2">
      <c r="AF17765" s="679"/>
    </row>
    <row r="17766" spans="32:32" x14ac:dyDescent="0.2">
      <c r="AF17766" s="679"/>
    </row>
    <row r="17767" spans="32:32" x14ac:dyDescent="0.2">
      <c r="AF17767" s="679"/>
    </row>
    <row r="17768" spans="32:32" x14ac:dyDescent="0.2">
      <c r="AF17768" s="679"/>
    </row>
    <row r="17769" spans="32:32" x14ac:dyDescent="0.2">
      <c r="AF17769" s="679"/>
    </row>
    <row r="17770" spans="32:32" x14ac:dyDescent="0.2">
      <c r="AF17770" s="679"/>
    </row>
    <row r="17771" spans="32:32" x14ac:dyDescent="0.2">
      <c r="AF17771" s="679"/>
    </row>
    <row r="17772" spans="32:32" x14ac:dyDescent="0.2">
      <c r="AF17772" s="679"/>
    </row>
    <row r="17773" spans="32:32" x14ac:dyDescent="0.2">
      <c r="AF17773" s="679"/>
    </row>
    <row r="17774" spans="32:32" x14ac:dyDescent="0.2">
      <c r="AF17774" s="679"/>
    </row>
    <row r="17775" spans="32:32" x14ac:dyDescent="0.2">
      <c r="AF17775" s="679"/>
    </row>
    <row r="17776" spans="32:32" x14ac:dyDescent="0.2">
      <c r="AF17776" s="679"/>
    </row>
    <row r="17777" spans="32:32" x14ac:dyDescent="0.2">
      <c r="AF17777" s="679"/>
    </row>
    <row r="17778" spans="32:32" x14ac:dyDescent="0.2">
      <c r="AF17778" s="679"/>
    </row>
    <row r="17779" spans="32:32" x14ac:dyDescent="0.2">
      <c r="AF17779" s="679"/>
    </row>
    <row r="17780" spans="32:32" x14ac:dyDescent="0.2">
      <c r="AF17780" s="679"/>
    </row>
    <row r="17781" spans="32:32" x14ac:dyDescent="0.2">
      <c r="AF17781" s="679"/>
    </row>
    <row r="17782" spans="32:32" x14ac:dyDescent="0.2">
      <c r="AF17782" s="679"/>
    </row>
    <row r="17783" spans="32:32" x14ac:dyDescent="0.2">
      <c r="AF17783" s="679"/>
    </row>
    <row r="17784" spans="32:32" x14ac:dyDescent="0.2">
      <c r="AF17784" s="679"/>
    </row>
    <row r="17785" spans="32:32" x14ac:dyDescent="0.2">
      <c r="AF17785" s="679"/>
    </row>
    <row r="17786" spans="32:32" x14ac:dyDescent="0.2">
      <c r="AF17786" s="679"/>
    </row>
    <row r="17787" spans="32:32" x14ac:dyDescent="0.2">
      <c r="AF17787" s="679"/>
    </row>
    <row r="17788" spans="32:32" x14ac:dyDescent="0.2">
      <c r="AF17788" s="679"/>
    </row>
    <row r="17789" spans="32:32" x14ac:dyDescent="0.2">
      <c r="AF17789" s="679"/>
    </row>
    <row r="17790" spans="32:32" x14ac:dyDescent="0.2">
      <c r="AF17790" s="679"/>
    </row>
    <row r="17791" spans="32:32" x14ac:dyDescent="0.2">
      <c r="AF17791" s="679"/>
    </row>
    <row r="17792" spans="32:32" x14ac:dyDescent="0.2">
      <c r="AF17792" s="679"/>
    </row>
    <row r="17793" spans="32:32" x14ac:dyDescent="0.2">
      <c r="AF17793" s="679"/>
    </row>
    <row r="17794" spans="32:32" x14ac:dyDescent="0.2">
      <c r="AF17794" s="679"/>
    </row>
    <row r="17795" spans="32:32" x14ac:dyDescent="0.2">
      <c r="AF17795" s="679"/>
    </row>
    <row r="17796" spans="32:32" x14ac:dyDescent="0.2">
      <c r="AF17796" s="679"/>
    </row>
    <row r="17797" spans="32:32" x14ac:dyDescent="0.2">
      <c r="AF17797" s="679"/>
    </row>
    <row r="17798" spans="32:32" x14ac:dyDescent="0.2">
      <c r="AF17798" s="679"/>
    </row>
    <row r="17799" spans="32:32" x14ac:dyDescent="0.2">
      <c r="AF17799" s="679"/>
    </row>
    <row r="17800" spans="32:32" x14ac:dyDescent="0.2">
      <c r="AF17800" s="679"/>
    </row>
    <row r="17801" spans="32:32" x14ac:dyDescent="0.2">
      <c r="AF17801" s="679"/>
    </row>
    <row r="17802" spans="32:32" x14ac:dyDescent="0.2">
      <c r="AF17802" s="679"/>
    </row>
    <row r="17803" spans="32:32" x14ac:dyDescent="0.2">
      <c r="AF17803" s="679"/>
    </row>
    <row r="17804" spans="32:32" x14ac:dyDescent="0.2">
      <c r="AF17804" s="679"/>
    </row>
    <row r="17805" spans="32:32" x14ac:dyDescent="0.2">
      <c r="AF17805" s="679"/>
    </row>
    <row r="17806" spans="32:32" x14ac:dyDescent="0.2">
      <c r="AF17806" s="679"/>
    </row>
    <row r="17807" spans="32:32" x14ac:dyDescent="0.2">
      <c r="AF17807" s="679"/>
    </row>
    <row r="17808" spans="32:32" x14ac:dyDescent="0.2">
      <c r="AF17808" s="679"/>
    </row>
    <row r="17809" spans="32:32" x14ac:dyDescent="0.2">
      <c r="AF17809" s="679"/>
    </row>
    <row r="17810" spans="32:32" x14ac:dyDescent="0.2">
      <c r="AF17810" s="679"/>
    </row>
    <row r="17811" spans="32:32" x14ac:dyDescent="0.2">
      <c r="AF17811" s="679"/>
    </row>
    <row r="17812" spans="32:32" x14ac:dyDescent="0.2">
      <c r="AF17812" s="679"/>
    </row>
    <row r="17813" spans="32:32" x14ac:dyDescent="0.2">
      <c r="AF17813" s="679"/>
    </row>
    <row r="17814" spans="32:32" x14ac:dyDescent="0.2">
      <c r="AF17814" s="679"/>
    </row>
    <row r="17815" spans="32:32" x14ac:dyDescent="0.2">
      <c r="AF17815" s="679"/>
    </row>
    <row r="17816" spans="32:32" x14ac:dyDescent="0.2">
      <c r="AF17816" s="679"/>
    </row>
    <row r="17817" spans="32:32" x14ac:dyDescent="0.2">
      <c r="AF17817" s="679"/>
    </row>
    <row r="17818" spans="32:32" x14ac:dyDescent="0.2">
      <c r="AF17818" s="679"/>
    </row>
    <row r="17819" spans="32:32" x14ac:dyDescent="0.2">
      <c r="AF17819" s="679"/>
    </row>
    <row r="17820" spans="32:32" x14ac:dyDescent="0.2">
      <c r="AF17820" s="679"/>
    </row>
    <row r="17821" spans="32:32" x14ac:dyDescent="0.2">
      <c r="AF17821" s="679"/>
    </row>
    <row r="17822" spans="32:32" x14ac:dyDescent="0.2">
      <c r="AF17822" s="679"/>
    </row>
    <row r="17823" spans="32:32" x14ac:dyDescent="0.2">
      <c r="AF17823" s="679"/>
    </row>
    <row r="17824" spans="32:32" x14ac:dyDescent="0.2">
      <c r="AF17824" s="679"/>
    </row>
    <row r="17825" spans="32:32" x14ac:dyDescent="0.2">
      <c r="AF17825" s="679"/>
    </row>
    <row r="17826" spans="32:32" x14ac:dyDescent="0.2">
      <c r="AF17826" s="679"/>
    </row>
    <row r="17827" spans="32:32" x14ac:dyDescent="0.2">
      <c r="AF17827" s="679"/>
    </row>
    <row r="17828" spans="32:32" x14ac:dyDescent="0.2">
      <c r="AF17828" s="679"/>
    </row>
    <row r="17829" spans="32:32" x14ac:dyDescent="0.2">
      <c r="AF17829" s="679"/>
    </row>
    <row r="17830" spans="32:32" x14ac:dyDescent="0.2">
      <c r="AF17830" s="679"/>
    </row>
    <row r="17831" spans="32:32" x14ac:dyDescent="0.2">
      <c r="AF17831" s="679"/>
    </row>
    <row r="17832" spans="32:32" x14ac:dyDescent="0.2">
      <c r="AF17832" s="679"/>
    </row>
    <row r="17833" spans="32:32" x14ac:dyDescent="0.2">
      <c r="AF17833" s="679"/>
    </row>
    <row r="17834" spans="32:32" x14ac:dyDescent="0.2">
      <c r="AF17834" s="679"/>
    </row>
    <row r="17835" spans="32:32" x14ac:dyDescent="0.2">
      <c r="AF17835" s="679"/>
    </row>
    <row r="17836" spans="32:32" x14ac:dyDescent="0.2">
      <c r="AF17836" s="679"/>
    </row>
    <row r="17837" spans="32:32" x14ac:dyDescent="0.2">
      <c r="AF17837" s="679"/>
    </row>
    <row r="17838" spans="32:32" x14ac:dyDescent="0.2">
      <c r="AF17838" s="679"/>
    </row>
    <row r="17839" spans="32:32" x14ac:dyDescent="0.2">
      <c r="AF17839" s="679"/>
    </row>
    <row r="17840" spans="32:32" x14ac:dyDescent="0.2">
      <c r="AF17840" s="679"/>
    </row>
    <row r="17841" spans="32:32" x14ac:dyDescent="0.2">
      <c r="AF17841" s="679"/>
    </row>
    <row r="17842" spans="32:32" x14ac:dyDescent="0.2">
      <c r="AF17842" s="679"/>
    </row>
    <row r="17843" spans="32:32" x14ac:dyDescent="0.2">
      <c r="AF17843" s="679"/>
    </row>
    <row r="17844" spans="32:32" x14ac:dyDescent="0.2">
      <c r="AF17844" s="679"/>
    </row>
    <row r="17845" spans="32:32" x14ac:dyDescent="0.2">
      <c r="AF17845" s="679"/>
    </row>
    <row r="17846" spans="32:32" x14ac:dyDescent="0.2">
      <c r="AF17846" s="679"/>
    </row>
    <row r="17847" spans="32:32" x14ac:dyDescent="0.2">
      <c r="AF17847" s="679"/>
    </row>
    <row r="17848" spans="32:32" x14ac:dyDescent="0.2">
      <c r="AF17848" s="679"/>
    </row>
    <row r="17849" spans="32:32" x14ac:dyDescent="0.2">
      <c r="AF17849" s="679"/>
    </row>
    <row r="17850" spans="32:32" x14ac:dyDescent="0.2">
      <c r="AF17850" s="679"/>
    </row>
    <row r="17851" spans="32:32" x14ac:dyDescent="0.2">
      <c r="AF17851" s="679"/>
    </row>
    <row r="17852" spans="32:32" x14ac:dyDescent="0.2">
      <c r="AF17852" s="679"/>
    </row>
    <row r="17853" spans="32:32" x14ac:dyDescent="0.2">
      <c r="AF17853" s="679"/>
    </row>
    <row r="17854" spans="32:32" x14ac:dyDescent="0.2">
      <c r="AF17854" s="679"/>
    </row>
    <row r="17855" spans="32:32" x14ac:dyDescent="0.2">
      <c r="AF17855" s="679"/>
    </row>
    <row r="17856" spans="32:32" x14ac:dyDescent="0.2">
      <c r="AF17856" s="679"/>
    </row>
    <row r="17857" spans="32:32" x14ac:dyDescent="0.2">
      <c r="AF17857" s="679"/>
    </row>
    <row r="17858" spans="32:32" x14ac:dyDescent="0.2">
      <c r="AF17858" s="679"/>
    </row>
    <row r="17859" spans="32:32" x14ac:dyDescent="0.2">
      <c r="AF17859" s="679"/>
    </row>
    <row r="17860" spans="32:32" x14ac:dyDescent="0.2">
      <c r="AF17860" s="679"/>
    </row>
    <row r="17861" spans="32:32" x14ac:dyDescent="0.2">
      <c r="AF17861" s="679"/>
    </row>
    <row r="17862" spans="32:32" x14ac:dyDescent="0.2">
      <c r="AF17862" s="679"/>
    </row>
    <row r="17863" spans="32:32" x14ac:dyDescent="0.2">
      <c r="AF17863" s="679"/>
    </row>
    <row r="17864" spans="32:32" x14ac:dyDescent="0.2">
      <c r="AF17864" s="679"/>
    </row>
    <row r="17865" spans="32:32" x14ac:dyDescent="0.2">
      <c r="AF17865" s="679"/>
    </row>
    <row r="17866" spans="32:32" x14ac:dyDescent="0.2">
      <c r="AF17866" s="679"/>
    </row>
    <row r="17867" spans="32:32" x14ac:dyDescent="0.2">
      <c r="AF17867" s="679"/>
    </row>
    <row r="17868" spans="32:32" x14ac:dyDescent="0.2">
      <c r="AF17868" s="679"/>
    </row>
    <row r="17869" spans="32:32" x14ac:dyDescent="0.2">
      <c r="AF17869" s="679"/>
    </row>
    <row r="17870" spans="32:32" x14ac:dyDescent="0.2">
      <c r="AF17870" s="679"/>
    </row>
    <row r="17871" spans="32:32" x14ac:dyDescent="0.2">
      <c r="AF17871" s="679"/>
    </row>
    <row r="17872" spans="32:32" x14ac:dyDescent="0.2">
      <c r="AF17872" s="679"/>
    </row>
    <row r="17873" spans="32:32" x14ac:dyDescent="0.2">
      <c r="AF17873" s="679"/>
    </row>
    <row r="17874" spans="32:32" x14ac:dyDescent="0.2">
      <c r="AF17874" s="679"/>
    </row>
    <row r="17875" spans="32:32" x14ac:dyDescent="0.2">
      <c r="AF17875" s="679"/>
    </row>
    <row r="17876" spans="32:32" x14ac:dyDescent="0.2">
      <c r="AF17876" s="679"/>
    </row>
    <row r="17877" spans="32:32" x14ac:dyDescent="0.2">
      <c r="AF17877" s="679"/>
    </row>
    <row r="17878" spans="32:32" x14ac:dyDescent="0.2">
      <c r="AF17878" s="679"/>
    </row>
    <row r="17879" spans="32:32" x14ac:dyDescent="0.2">
      <c r="AF17879" s="679"/>
    </row>
    <row r="17880" spans="32:32" x14ac:dyDescent="0.2">
      <c r="AF17880" s="679"/>
    </row>
    <row r="17881" spans="32:32" x14ac:dyDescent="0.2">
      <c r="AF17881" s="679"/>
    </row>
    <row r="17882" spans="32:32" x14ac:dyDescent="0.2">
      <c r="AF17882" s="679"/>
    </row>
    <row r="17883" spans="32:32" x14ac:dyDescent="0.2">
      <c r="AF17883" s="679"/>
    </row>
    <row r="17884" spans="32:32" x14ac:dyDescent="0.2">
      <c r="AF17884" s="679"/>
    </row>
    <row r="17885" spans="32:32" x14ac:dyDescent="0.2">
      <c r="AF17885" s="679"/>
    </row>
    <row r="17886" spans="32:32" x14ac:dyDescent="0.2">
      <c r="AF17886" s="679"/>
    </row>
    <row r="17887" spans="32:32" x14ac:dyDescent="0.2">
      <c r="AF17887" s="679"/>
    </row>
    <row r="17888" spans="32:32" x14ac:dyDescent="0.2">
      <c r="AF17888" s="679"/>
    </row>
    <row r="17889" spans="32:32" x14ac:dyDescent="0.2">
      <c r="AF17889" s="679"/>
    </row>
    <row r="17890" spans="32:32" x14ac:dyDescent="0.2">
      <c r="AF17890" s="679"/>
    </row>
    <row r="17891" spans="32:32" x14ac:dyDescent="0.2">
      <c r="AF17891" s="679"/>
    </row>
    <row r="17892" spans="32:32" x14ac:dyDescent="0.2">
      <c r="AF17892" s="679"/>
    </row>
    <row r="17893" spans="32:32" x14ac:dyDescent="0.2">
      <c r="AF17893" s="679"/>
    </row>
    <row r="17894" spans="32:32" x14ac:dyDescent="0.2">
      <c r="AF17894" s="679"/>
    </row>
    <row r="17895" spans="32:32" x14ac:dyDescent="0.2">
      <c r="AF17895" s="679"/>
    </row>
    <row r="17896" spans="32:32" x14ac:dyDescent="0.2">
      <c r="AF17896" s="679"/>
    </row>
    <row r="17897" spans="32:32" x14ac:dyDescent="0.2">
      <c r="AF17897" s="679"/>
    </row>
    <row r="17898" spans="32:32" x14ac:dyDescent="0.2">
      <c r="AF17898" s="679"/>
    </row>
    <row r="17899" spans="32:32" x14ac:dyDescent="0.2">
      <c r="AF17899" s="679"/>
    </row>
    <row r="17900" spans="32:32" x14ac:dyDescent="0.2">
      <c r="AF17900" s="679"/>
    </row>
    <row r="17901" spans="32:32" x14ac:dyDescent="0.2">
      <c r="AF17901" s="679"/>
    </row>
    <row r="17902" spans="32:32" x14ac:dyDescent="0.2">
      <c r="AF17902" s="679"/>
    </row>
    <row r="17903" spans="32:32" x14ac:dyDescent="0.2">
      <c r="AF17903" s="679"/>
    </row>
    <row r="17904" spans="32:32" x14ac:dyDescent="0.2">
      <c r="AF17904" s="679"/>
    </row>
    <row r="17905" spans="32:32" x14ac:dyDescent="0.2">
      <c r="AF17905" s="679"/>
    </row>
    <row r="17906" spans="32:32" x14ac:dyDescent="0.2">
      <c r="AF17906" s="679"/>
    </row>
    <row r="17907" spans="32:32" x14ac:dyDescent="0.2">
      <c r="AF17907" s="679"/>
    </row>
    <row r="17908" spans="32:32" x14ac:dyDescent="0.2">
      <c r="AF17908" s="679"/>
    </row>
    <row r="17909" spans="32:32" x14ac:dyDescent="0.2">
      <c r="AF17909" s="679"/>
    </row>
    <row r="17910" spans="32:32" x14ac:dyDescent="0.2">
      <c r="AF17910" s="679"/>
    </row>
    <row r="17911" spans="32:32" x14ac:dyDescent="0.2">
      <c r="AF17911" s="679"/>
    </row>
    <row r="17912" spans="32:32" x14ac:dyDescent="0.2">
      <c r="AF17912" s="679"/>
    </row>
    <row r="17913" spans="32:32" x14ac:dyDescent="0.2">
      <c r="AF17913" s="679"/>
    </row>
    <row r="17914" spans="32:32" x14ac:dyDescent="0.2">
      <c r="AF17914" s="679"/>
    </row>
    <row r="17915" spans="32:32" x14ac:dyDescent="0.2">
      <c r="AF17915" s="679"/>
    </row>
    <row r="17916" spans="32:32" x14ac:dyDescent="0.2">
      <c r="AF17916" s="679"/>
    </row>
    <row r="17917" spans="32:32" x14ac:dyDescent="0.2">
      <c r="AF17917" s="679"/>
    </row>
    <row r="17918" spans="32:32" x14ac:dyDescent="0.2">
      <c r="AF17918" s="679"/>
    </row>
    <row r="17919" spans="32:32" x14ac:dyDescent="0.2">
      <c r="AF17919" s="679"/>
    </row>
    <row r="17920" spans="32:32" x14ac:dyDescent="0.2">
      <c r="AF17920" s="679"/>
    </row>
    <row r="17921" spans="32:32" x14ac:dyDescent="0.2">
      <c r="AF17921" s="679"/>
    </row>
    <row r="17922" spans="32:32" x14ac:dyDescent="0.2">
      <c r="AF17922" s="679"/>
    </row>
    <row r="17923" spans="32:32" x14ac:dyDescent="0.2">
      <c r="AF17923" s="679"/>
    </row>
    <row r="17924" spans="32:32" x14ac:dyDescent="0.2">
      <c r="AF17924" s="679"/>
    </row>
    <row r="17925" spans="32:32" x14ac:dyDescent="0.2">
      <c r="AF17925" s="679"/>
    </row>
    <row r="17926" spans="32:32" x14ac:dyDescent="0.2">
      <c r="AF17926" s="679"/>
    </row>
    <row r="17927" spans="32:32" x14ac:dyDescent="0.2">
      <c r="AF17927" s="679"/>
    </row>
    <row r="17928" spans="32:32" x14ac:dyDescent="0.2">
      <c r="AF17928" s="679"/>
    </row>
    <row r="17929" spans="32:32" x14ac:dyDescent="0.2">
      <c r="AF17929" s="679"/>
    </row>
    <row r="17930" spans="32:32" x14ac:dyDescent="0.2">
      <c r="AF17930" s="679"/>
    </row>
    <row r="17931" spans="32:32" x14ac:dyDescent="0.2">
      <c r="AF17931" s="679"/>
    </row>
    <row r="17932" spans="32:32" x14ac:dyDescent="0.2">
      <c r="AF17932" s="679"/>
    </row>
    <row r="17933" spans="32:32" x14ac:dyDescent="0.2">
      <c r="AF17933" s="679"/>
    </row>
    <row r="17934" spans="32:32" x14ac:dyDescent="0.2">
      <c r="AF17934" s="679"/>
    </row>
    <row r="17935" spans="32:32" x14ac:dyDescent="0.2">
      <c r="AF17935" s="679"/>
    </row>
    <row r="17936" spans="32:32" x14ac:dyDescent="0.2">
      <c r="AF17936" s="679"/>
    </row>
    <row r="17937" spans="32:32" x14ac:dyDescent="0.2">
      <c r="AF17937" s="679"/>
    </row>
    <row r="17938" spans="32:32" x14ac:dyDescent="0.2">
      <c r="AF17938" s="679"/>
    </row>
    <row r="17939" spans="32:32" x14ac:dyDescent="0.2">
      <c r="AF17939" s="679"/>
    </row>
    <row r="17940" spans="32:32" x14ac:dyDescent="0.2">
      <c r="AF17940" s="679"/>
    </row>
    <row r="17941" spans="32:32" x14ac:dyDescent="0.2">
      <c r="AF17941" s="679"/>
    </row>
    <row r="17942" spans="32:32" x14ac:dyDescent="0.2">
      <c r="AF17942" s="679"/>
    </row>
    <row r="17943" spans="32:32" x14ac:dyDescent="0.2">
      <c r="AF17943" s="679"/>
    </row>
    <row r="17944" spans="32:32" x14ac:dyDescent="0.2">
      <c r="AF17944" s="679"/>
    </row>
    <row r="17945" spans="32:32" x14ac:dyDescent="0.2">
      <c r="AF17945" s="679"/>
    </row>
    <row r="17946" spans="32:32" x14ac:dyDescent="0.2">
      <c r="AF17946" s="679"/>
    </row>
    <row r="17947" spans="32:32" x14ac:dyDescent="0.2">
      <c r="AF17947" s="679"/>
    </row>
    <row r="17948" spans="32:32" x14ac:dyDescent="0.2">
      <c r="AF17948" s="679"/>
    </row>
    <row r="17949" spans="32:32" x14ac:dyDescent="0.2">
      <c r="AF17949" s="679"/>
    </row>
    <row r="17950" spans="32:32" x14ac:dyDescent="0.2">
      <c r="AF17950" s="679"/>
    </row>
    <row r="17951" spans="32:32" x14ac:dyDescent="0.2">
      <c r="AF17951" s="679"/>
    </row>
    <row r="17952" spans="32:32" x14ac:dyDescent="0.2">
      <c r="AF17952" s="679"/>
    </row>
    <row r="17953" spans="32:32" x14ac:dyDescent="0.2">
      <c r="AF17953" s="679"/>
    </row>
    <row r="17954" spans="32:32" x14ac:dyDescent="0.2">
      <c r="AF17954" s="679"/>
    </row>
    <row r="17955" spans="32:32" x14ac:dyDescent="0.2">
      <c r="AF17955" s="679"/>
    </row>
    <row r="17956" spans="32:32" x14ac:dyDescent="0.2">
      <c r="AF17956" s="679"/>
    </row>
    <row r="17957" spans="32:32" x14ac:dyDescent="0.2">
      <c r="AF17957" s="679"/>
    </row>
    <row r="17958" spans="32:32" x14ac:dyDescent="0.2">
      <c r="AF17958" s="679"/>
    </row>
    <row r="17959" spans="32:32" x14ac:dyDescent="0.2">
      <c r="AF17959" s="679"/>
    </row>
    <row r="17960" spans="32:32" x14ac:dyDescent="0.2">
      <c r="AF17960" s="679"/>
    </row>
    <row r="17961" spans="32:32" x14ac:dyDescent="0.2">
      <c r="AF17961" s="679"/>
    </row>
    <row r="17962" spans="32:32" x14ac:dyDescent="0.2">
      <c r="AF17962" s="679"/>
    </row>
    <row r="17963" spans="32:32" x14ac:dyDescent="0.2">
      <c r="AF17963" s="679"/>
    </row>
    <row r="17964" spans="32:32" x14ac:dyDescent="0.2">
      <c r="AF17964" s="679"/>
    </row>
    <row r="17965" spans="32:32" x14ac:dyDescent="0.2">
      <c r="AF17965" s="679"/>
    </row>
    <row r="17966" spans="32:32" x14ac:dyDescent="0.2">
      <c r="AF17966" s="679"/>
    </row>
    <row r="17967" spans="32:32" x14ac:dyDescent="0.2">
      <c r="AF17967" s="679"/>
    </row>
    <row r="17968" spans="32:32" x14ac:dyDescent="0.2">
      <c r="AF17968" s="679"/>
    </row>
    <row r="17969" spans="32:32" x14ac:dyDescent="0.2">
      <c r="AF17969" s="679"/>
    </row>
    <row r="17970" spans="32:32" x14ac:dyDescent="0.2">
      <c r="AF17970" s="679"/>
    </row>
    <row r="17971" spans="32:32" x14ac:dyDescent="0.2">
      <c r="AF17971" s="679"/>
    </row>
    <row r="17972" spans="32:32" x14ac:dyDescent="0.2">
      <c r="AF17972" s="679"/>
    </row>
    <row r="17973" spans="32:32" x14ac:dyDescent="0.2">
      <c r="AF17973" s="679"/>
    </row>
    <row r="17974" spans="32:32" x14ac:dyDescent="0.2">
      <c r="AF17974" s="679"/>
    </row>
    <row r="17975" spans="32:32" x14ac:dyDescent="0.2">
      <c r="AF17975" s="679"/>
    </row>
    <row r="17976" spans="32:32" x14ac:dyDescent="0.2">
      <c r="AF17976" s="679"/>
    </row>
    <row r="17977" spans="32:32" x14ac:dyDescent="0.2">
      <c r="AF17977" s="679"/>
    </row>
    <row r="17978" spans="32:32" x14ac:dyDescent="0.2">
      <c r="AF17978" s="679"/>
    </row>
    <row r="17979" spans="32:32" x14ac:dyDescent="0.2">
      <c r="AF17979" s="679"/>
    </row>
    <row r="17980" spans="32:32" x14ac:dyDescent="0.2">
      <c r="AF17980" s="679"/>
    </row>
    <row r="17981" spans="32:32" x14ac:dyDescent="0.2">
      <c r="AF17981" s="679"/>
    </row>
    <row r="17982" spans="32:32" x14ac:dyDescent="0.2">
      <c r="AF17982" s="679"/>
    </row>
    <row r="17983" spans="32:32" x14ac:dyDescent="0.2">
      <c r="AF17983" s="679"/>
    </row>
    <row r="17984" spans="32:32" x14ac:dyDescent="0.2">
      <c r="AF17984" s="679"/>
    </row>
    <row r="17985" spans="32:32" x14ac:dyDescent="0.2">
      <c r="AF17985" s="679"/>
    </row>
    <row r="17986" spans="32:32" x14ac:dyDescent="0.2">
      <c r="AF17986" s="679"/>
    </row>
    <row r="17987" spans="32:32" x14ac:dyDescent="0.2">
      <c r="AF17987" s="679"/>
    </row>
    <row r="17988" spans="32:32" x14ac:dyDescent="0.2">
      <c r="AF17988" s="679"/>
    </row>
    <row r="17989" spans="32:32" x14ac:dyDescent="0.2">
      <c r="AF17989" s="679"/>
    </row>
    <row r="17990" spans="32:32" x14ac:dyDescent="0.2">
      <c r="AF17990" s="679"/>
    </row>
    <row r="17991" spans="32:32" x14ac:dyDescent="0.2">
      <c r="AF17991" s="679"/>
    </row>
    <row r="17992" spans="32:32" x14ac:dyDescent="0.2">
      <c r="AF17992" s="679"/>
    </row>
    <row r="17993" spans="32:32" x14ac:dyDescent="0.2">
      <c r="AF17993" s="679"/>
    </row>
    <row r="17994" spans="32:32" x14ac:dyDescent="0.2">
      <c r="AF17994" s="679"/>
    </row>
    <row r="17995" spans="32:32" x14ac:dyDescent="0.2">
      <c r="AF17995" s="679"/>
    </row>
    <row r="17996" spans="32:32" x14ac:dyDescent="0.2">
      <c r="AF17996" s="679"/>
    </row>
    <row r="17997" spans="32:32" x14ac:dyDescent="0.2">
      <c r="AF17997" s="679"/>
    </row>
    <row r="17998" spans="32:32" x14ac:dyDescent="0.2">
      <c r="AF17998" s="679"/>
    </row>
    <row r="17999" spans="32:32" x14ac:dyDescent="0.2">
      <c r="AF17999" s="679"/>
    </row>
    <row r="18000" spans="32:32" x14ac:dyDescent="0.2">
      <c r="AF18000" s="679"/>
    </row>
    <row r="18001" spans="32:32" x14ac:dyDescent="0.2">
      <c r="AF18001" s="679"/>
    </row>
    <row r="18002" spans="32:32" x14ac:dyDescent="0.2">
      <c r="AF18002" s="679"/>
    </row>
    <row r="18003" spans="32:32" x14ac:dyDescent="0.2">
      <c r="AF18003" s="679"/>
    </row>
    <row r="18004" spans="32:32" x14ac:dyDescent="0.2">
      <c r="AF18004" s="679"/>
    </row>
    <row r="18005" spans="32:32" x14ac:dyDescent="0.2">
      <c r="AF18005" s="679"/>
    </row>
    <row r="18006" spans="32:32" x14ac:dyDescent="0.2">
      <c r="AF18006" s="679"/>
    </row>
    <row r="18007" spans="32:32" x14ac:dyDescent="0.2">
      <c r="AF18007" s="679"/>
    </row>
    <row r="18008" spans="32:32" x14ac:dyDescent="0.2">
      <c r="AF18008" s="679"/>
    </row>
    <row r="18009" spans="32:32" x14ac:dyDescent="0.2">
      <c r="AF18009" s="679"/>
    </row>
    <row r="18010" spans="32:32" x14ac:dyDescent="0.2">
      <c r="AF18010" s="679"/>
    </row>
    <row r="18011" spans="32:32" x14ac:dyDescent="0.2">
      <c r="AF18011" s="679"/>
    </row>
    <row r="18012" spans="32:32" x14ac:dyDescent="0.2">
      <c r="AF18012" s="679"/>
    </row>
    <row r="18013" spans="32:32" x14ac:dyDescent="0.2">
      <c r="AF18013" s="679"/>
    </row>
    <row r="18014" spans="32:32" x14ac:dyDescent="0.2">
      <c r="AF18014" s="679"/>
    </row>
    <row r="18015" spans="32:32" x14ac:dyDescent="0.2">
      <c r="AF18015" s="679"/>
    </row>
    <row r="18016" spans="32:32" x14ac:dyDescent="0.2">
      <c r="AF18016" s="679"/>
    </row>
    <row r="18017" spans="32:32" x14ac:dyDescent="0.2">
      <c r="AF18017" s="679"/>
    </row>
    <row r="18018" spans="32:32" x14ac:dyDescent="0.2">
      <c r="AF18018" s="679"/>
    </row>
    <row r="18019" spans="32:32" x14ac:dyDescent="0.2">
      <c r="AF18019" s="679"/>
    </row>
    <row r="18020" spans="32:32" x14ac:dyDescent="0.2">
      <c r="AF18020" s="679"/>
    </row>
    <row r="18021" spans="32:32" x14ac:dyDescent="0.2">
      <c r="AF18021" s="679"/>
    </row>
    <row r="18022" spans="32:32" x14ac:dyDescent="0.2">
      <c r="AF18022" s="679"/>
    </row>
    <row r="18023" spans="32:32" x14ac:dyDescent="0.2">
      <c r="AF18023" s="679"/>
    </row>
    <row r="18024" spans="32:32" x14ac:dyDescent="0.2">
      <c r="AF18024" s="679"/>
    </row>
    <row r="18025" spans="32:32" x14ac:dyDescent="0.2">
      <c r="AF18025" s="679"/>
    </row>
    <row r="18026" spans="32:32" x14ac:dyDescent="0.2">
      <c r="AF18026" s="679"/>
    </row>
    <row r="18027" spans="32:32" x14ac:dyDescent="0.2">
      <c r="AF18027" s="679"/>
    </row>
    <row r="18028" spans="32:32" x14ac:dyDescent="0.2">
      <c r="AF18028" s="679"/>
    </row>
    <row r="18029" spans="32:32" x14ac:dyDescent="0.2">
      <c r="AF18029" s="679"/>
    </row>
    <row r="18030" spans="32:32" x14ac:dyDescent="0.2">
      <c r="AF18030" s="679"/>
    </row>
    <row r="18031" spans="32:32" x14ac:dyDescent="0.2">
      <c r="AF18031" s="679"/>
    </row>
    <row r="18032" spans="32:32" x14ac:dyDescent="0.2">
      <c r="AF18032" s="679"/>
    </row>
    <row r="18033" spans="32:32" x14ac:dyDescent="0.2">
      <c r="AF18033" s="679"/>
    </row>
    <row r="18034" spans="32:32" x14ac:dyDescent="0.2">
      <c r="AF18034" s="679"/>
    </row>
    <row r="18035" spans="32:32" x14ac:dyDescent="0.2">
      <c r="AF18035" s="679"/>
    </row>
    <row r="18036" spans="32:32" x14ac:dyDescent="0.2">
      <c r="AF18036" s="679"/>
    </row>
    <row r="18037" spans="32:32" x14ac:dyDescent="0.2">
      <c r="AF18037" s="679"/>
    </row>
    <row r="18038" spans="32:32" x14ac:dyDescent="0.2">
      <c r="AF18038" s="679"/>
    </row>
    <row r="18039" spans="32:32" x14ac:dyDescent="0.2">
      <c r="AF18039" s="679"/>
    </row>
    <row r="18040" spans="32:32" x14ac:dyDescent="0.2">
      <c r="AF18040" s="679"/>
    </row>
    <row r="18041" spans="32:32" x14ac:dyDescent="0.2">
      <c r="AF18041" s="679"/>
    </row>
    <row r="18042" spans="32:32" x14ac:dyDescent="0.2">
      <c r="AF18042" s="679"/>
    </row>
    <row r="18043" spans="32:32" x14ac:dyDescent="0.2">
      <c r="AF18043" s="679"/>
    </row>
    <row r="18044" spans="32:32" x14ac:dyDescent="0.2">
      <c r="AF18044" s="679"/>
    </row>
    <row r="18045" spans="32:32" x14ac:dyDescent="0.2">
      <c r="AF18045" s="679"/>
    </row>
    <row r="18046" spans="32:32" x14ac:dyDescent="0.2">
      <c r="AF18046" s="679"/>
    </row>
    <row r="18047" spans="32:32" x14ac:dyDescent="0.2">
      <c r="AF18047" s="679"/>
    </row>
    <row r="18048" spans="32:32" x14ac:dyDescent="0.2">
      <c r="AF18048" s="679"/>
    </row>
    <row r="18049" spans="32:32" x14ac:dyDescent="0.2">
      <c r="AF18049" s="679"/>
    </row>
    <row r="18050" spans="32:32" x14ac:dyDescent="0.2">
      <c r="AF18050" s="679"/>
    </row>
    <row r="18051" spans="32:32" x14ac:dyDescent="0.2">
      <c r="AF18051" s="679"/>
    </row>
    <row r="18052" spans="32:32" x14ac:dyDescent="0.2">
      <c r="AF18052" s="679"/>
    </row>
    <row r="18053" spans="32:32" x14ac:dyDescent="0.2">
      <c r="AF18053" s="679"/>
    </row>
    <row r="18054" spans="32:32" x14ac:dyDescent="0.2">
      <c r="AF18054" s="679"/>
    </row>
    <row r="18055" spans="32:32" x14ac:dyDescent="0.2">
      <c r="AF18055" s="679"/>
    </row>
    <row r="18056" spans="32:32" x14ac:dyDescent="0.2">
      <c r="AF18056" s="679"/>
    </row>
    <row r="18057" spans="32:32" x14ac:dyDescent="0.2">
      <c r="AF18057" s="679"/>
    </row>
    <row r="18058" spans="32:32" x14ac:dyDescent="0.2">
      <c r="AF18058" s="679"/>
    </row>
    <row r="18059" spans="32:32" x14ac:dyDescent="0.2">
      <c r="AF18059" s="679"/>
    </row>
    <row r="18060" spans="32:32" x14ac:dyDescent="0.2">
      <c r="AF18060" s="679"/>
    </row>
    <row r="18061" spans="32:32" x14ac:dyDescent="0.2">
      <c r="AF18061" s="679"/>
    </row>
    <row r="18062" spans="32:32" x14ac:dyDescent="0.2">
      <c r="AF18062" s="679"/>
    </row>
    <row r="18063" spans="32:32" x14ac:dyDescent="0.2">
      <c r="AF18063" s="679"/>
    </row>
    <row r="18064" spans="32:32" x14ac:dyDescent="0.2">
      <c r="AF18064" s="679"/>
    </row>
    <row r="18065" spans="32:32" x14ac:dyDescent="0.2">
      <c r="AF18065" s="679"/>
    </row>
    <row r="18066" spans="32:32" x14ac:dyDescent="0.2">
      <c r="AF18066" s="679"/>
    </row>
    <row r="18067" spans="32:32" x14ac:dyDescent="0.2">
      <c r="AF18067" s="679"/>
    </row>
    <row r="18068" spans="32:32" x14ac:dyDescent="0.2">
      <c r="AF18068" s="679"/>
    </row>
    <row r="18069" spans="32:32" x14ac:dyDescent="0.2">
      <c r="AF18069" s="679"/>
    </row>
    <row r="18070" spans="32:32" x14ac:dyDescent="0.2">
      <c r="AF18070" s="679"/>
    </row>
    <row r="18071" spans="32:32" x14ac:dyDescent="0.2">
      <c r="AF18071" s="679"/>
    </row>
    <row r="18072" spans="32:32" x14ac:dyDescent="0.2">
      <c r="AF18072" s="679"/>
    </row>
    <row r="18073" spans="32:32" x14ac:dyDescent="0.2">
      <c r="AF18073" s="679"/>
    </row>
    <row r="18074" spans="32:32" x14ac:dyDescent="0.2">
      <c r="AF18074" s="679"/>
    </row>
    <row r="18075" spans="32:32" x14ac:dyDescent="0.2">
      <c r="AF18075" s="679"/>
    </row>
    <row r="18076" spans="32:32" x14ac:dyDescent="0.2">
      <c r="AF18076" s="679"/>
    </row>
    <row r="18077" spans="32:32" x14ac:dyDescent="0.2">
      <c r="AF18077" s="679"/>
    </row>
    <row r="18078" spans="32:32" x14ac:dyDescent="0.2">
      <c r="AF18078" s="679"/>
    </row>
    <row r="18079" spans="32:32" x14ac:dyDescent="0.2">
      <c r="AF18079" s="679"/>
    </row>
    <row r="18080" spans="32:32" x14ac:dyDescent="0.2">
      <c r="AF18080" s="679"/>
    </row>
    <row r="18081" spans="32:32" x14ac:dyDescent="0.2">
      <c r="AF18081" s="679"/>
    </row>
    <row r="18082" spans="32:32" x14ac:dyDescent="0.2">
      <c r="AF18082" s="679"/>
    </row>
    <row r="18083" spans="32:32" x14ac:dyDescent="0.2">
      <c r="AF18083" s="679"/>
    </row>
    <row r="18084" spans="32:32" x14ac:dyDescent="0.2">
      <c r="AF18084" s="679"/>
    </row>
    <row r="18085" spans="32:32" x14ac:dyDescent="0.2">
      <c r="AF18085" s="679"/>
    </row>
    <row r="18086" spans="32:32" x14ac:dyDescent="0.2">
      <c r="AF18086" s="679"/>
    </row>
    <row r="18087" spans="32:32" x14ac:dyDescent="0.2">
      <c r="AF18087" s="679"/>
    </row>
    <row r="18088" spans="32:32" x14ac:dyDescent="0.2">
      <c r="AF18088" s="679"/>
    </row>
    <row r="18089" spans="32:32" x14ac:dyDescent="0.2">
      <c r="AF18089" s="679"/>
    </row>
    <row r="18090" spans="32:32" x14ac:dyDescent="0.2">
      <c r="AF18090" s="679"/>
    </row>
    <row r="18091" spans="32:32" x14ac:dyDescent="0.2">
      <c r="AF18091" s="679"/>
    </row>
    <row r="18092" spans="32:32" x14ac:dyDescent="0.2">
      <c r="AF18092" s="679"/>
    </row>
    <row r="18093" spans="32:32" x14ac:dyDescent="0.2">
      <c r="AF18093" s="679"/>
    </row>
    <row r="18094" spans="32:32" x14ac:dyDescent="0.2">
      <c r="AF18094" s="679"/>
    </row>
    <row r="18095" spans="32:32" x14ac:dyDescent="0.2">
      <c r="AF18095" s="679"/>
    </row>
    <row r="18096" spans="32:32" x14ac:dyDescent="0.2">
      <c r="AF18096" s="679"/>
    </row>
    <row r="18097" spans="32:32" x14ac:dyDescent="0.2">
      <c r="AF18097" s="679"/>
    </row>
    <row r="18098" spans="32:32" x14ac:dyDescent="0.2">
      <c r="AF18098" s="679"/>
    </row>
    <row r="18099" spans="32:32" x14ac:dyDescent="0.2">
      <c r="AF18099" s="679"/>
    </row>
    <row r="18100" spans="32:32" x14ac:dyDescent="0.2">
      <c r="AF18100" s="679"/>
    </row>
    <row r="18101" spans="32:32" x14ac:dyDescent="0.2">
      <c r="AF18101" s="679"/>
    </row>
    <row r="18102" spans="32:32" x14ac:dyDescent="0.2">
      <c r="AF18102" s="679"/>
    </row>
    <row r="18103" spans="32:32" x14ac:dyDescent="0.2">
      <c r="AF18103" s="679"/>
    </row>
    <row r="18104" spans="32:32" x14ac:dyDescent="0.2">
      <c r="AF18104" s="679"/>
    </row>
    <row r="18105" spans="32:32" x14ac:dyDescent="0.2">
      <c r="AF18105" s="679"/>
    </row>
    <row r="18106" spans="32:32" x14ac:dyDescent="0.2">
      <c r="AF18106" s="679"/>
    </row>
    <row r="18107" spans="32:32" x14ac:dyDescent="0.2">
      <c r="AF18107" s="679"/>
    </row>
    <row r="18108" spans="32:32" x14ac:dyDescent="0.2">
      <c r="AF18108" s="679"/>
    </row>
    <row r="18109" spans="32:32" x14ac:dyDescent="0.2">
      <c r="AF18109" s="679"/>
    </row>
    <row r="18110" spans="32:32" x14ac:dyDescent="0.2">
      <c r="AF18110" s="679"/>
    </row>
    <row r="18111" spans="32:32" x14ac:dyDescent="0.2">
      <c r="AF18111" s="679"/>
    </row>
    <row r="18112" spans="32:32" x14ac:dyDescent="0.2">
      <c r="AF18112" s="679"/>
    </row>
    <row r="18113" spans="32:32" x14ac:dyDescent="0.2">
      <c r="AF18113" s="679"/>
    </row>
    <row r="18114" spans="32:32" x14ac:dyDescent="0.2">
      <c r="AF18114" s="679"/>
    </row>
    <row r="18115" spans="32:32" x14ac:dyDescent="0.2">
      <c r="AF18115" s="679"/>
    </row>
    <row r="18116" spans="32:32" x14ac:dyDescent="0.2">
      <c r="AF18116" s="679"/>
    </row>
    <row r="18117" spans="32:32" x14ac:dyDescent="0.2">
      <c r="AF18117" s="679"/>
    </row>
    <row r="18118" spans="32:32" x14ac:dyDescent="0.2">
      <c r="AF18118" s="679"/>
    </row>
    <row r="18119" spans="32:32" x14ac:dyDescent="0.2">
      <c r="AF18119" s="679"/>
    </row>
    <row r="18120" spans="32:32" x14ac:dyDescent="0.2">
      <c r="AF18120" s="679"/>
    </row>
    <row r="18121" spans="32:32" x14ac:dyDescent="0.2">
      <c r="AF18121" s="679"/>
    </row>
    <row r="18122" spans="32:32" x14ac:dyDescent="0.2">
      <c r="AF18122" s="679"/>
    </row>
    <row r="18123" spans="32:32" x14ac:dyDescent="0.2">
      <c r="AF18123" s="679"/>
    </row>
    <row r="18124" spans="32:32" x14ac:dyDescent="0.2">
      <c r="AF18124" s="679"/>
    </row>
    <row r="18125" spans="32:32" x14ac:dyDescent="0.2">
      <c r="AF18125" s="679"/>
    </row>
    <row r="18126" spans="32:32" x14ac:dyDescent="0.2">
      <c r="AF18126" s="679"/>
    </row>
    <row r="18127" spans="32:32" x14ac:dyDescent="0.2">
      <c r="AF18127" s="679"/>
    </row>
    <row r="18128" spans="32:32" x14ac:dyDescent="0.2">
      <c r="AF18128" s="679"/>
    </row>
    <row r="18129" spans="32:32" x14ac:dyDescent="0.2">
      <c r="AF18129" s="679"/>
    </row>
    <row r="18130" spans="32:32" x14ac:dyDescent="0.2">
      <c r="AF18130" s="679"/>
    </row>
    <row r="18131" spans="32:32" x14ac:dyDescent="0.2">
      <c r="AF18131" s="679"/>
    </row>
    <row r="18132" spans="32:32" x14ac:dyDescent="0.2">
      <c r="AF18132" s="679"/>
    </row>
    <row r="18133" spans="32:32" x14ac:dyDescent="0.2">
      <c r="AF18133" s="679"/>
    </row>
    <row r="18134" spans="32:32" x14ac:dyDescent="0.2">
      <c r="AF18134" s="679"/>
    </row>
    <row r="18135" spans="32:32" x14ac:dyDescent="0.2">
      <c r="AF18135" s="679"/>
    </row>
    <row r="18136" spans="32:32" x14ac:dyDescent="0.2">
      <c r="AF18136" s="679"/>
    </row>
    <row r="18137" spans="32:32" x14ac:dyDescent="0.2">
      <c r="AF18137" s="679"/>
    </row>
    <row r="18138" spans="32:32" x14ac:dyDescent="0.2">
      <c r="AF18138" s="679"/>
    </row>
    <row r="18139" spans="32:32" x14ac:dyDescent="0.2">
      <c r="AF18139" s="679"/>
    </row>
    <row r="18140" spans="32:32" x14ac:dyDescent="0.2">
      <c r="AF18140" s="679"/>
    </row>
    <row r="18141" spans="32:32" x14ac:dyDescent="0.2">
      <c r="AF18141" s="679"/>
    </row>
    <row r="18142" spans="32:32" x14ac:dyDescent="0.2">
      <c r="AF18142" s="679"/>
    </row>
    <row r="18143" spans="32:32" x14ac:dyDescent="0.2">
      <c r="AF18143" s="679"/>
    </row>
    <row r="18144" spans="32:32" x14ac:dyDescent="0.2">
      <c r="AF18144" s="679"/>
    </row>
    <row r="18145" spans="32:32" x14ac:dyDescent="0.2">
      <c r="AF18145" s="679"/>
    </row>
    <row r="18146" spans="32:32" x14ac:dyDescent="0.2">
      <c r="AF18146" s="679"/>
    </row>
    <row r="18147" spans="32:32" x14ac:dyDescent="0.2">
      <c r="AF18147" s="679"/>
    </row>
    <row r="18148" spans="32:32" x14ac:dyDescent="0.2">
      <c r="AF18148" s="679"/>
    </row>
    <row r="18149" spans="32:32" x14ac:dyDescent="0.2">
      <c r="AF18149" s="679"/>
    </row>
    <row r="18150" spans="32:32" x14ac:dyDescent="0.2">
      <c r="AF18150" s="679"/>
    </row>
    <row r="18151" spans="32:32" x14ac:dyDescent="0.2">
      <c r="AF18151" s="679"/>
    </row>
    <row r="18152" spans="32:32" x14ac:dyDescent="0.2">
      <c r="AF18152" s="679"/>
    </row>
    <row r="18153" spans="32:32" x14ac:dyDescent="0.2">
      <c r="AF18153" s="679"/>
    </row>
    <row r="18154" spans="32:32" x14ac:dyDescent="0.2">
      <c r="AF18154" s="679"/>
    </row>
    <row r="18155" spans="32:32" x14ac:dyDescent="0.2">
      <c r="AF18155" s="679"/>
    </row>
    <row r="18156" spans="32:32" x14ac:dyDescent="0.2">
      <c r="AF18156" s="679"/>
    </row>
    <row r="18157" spans="32:32" x14ac:dyDescent="0.2">
      <c r="AF18157" s="679"/>
    </row>
    <row r="18158" spans="32:32" x14ac:dyDescent="0.2">
      <c r="AF18158" s="679"/>
    </row>
    <row r="18159" spans="32:32" x14ac:dyDescent="0.2">
      <c r="AF18159" s="679"/>
    </row>
    <row r="18160" spans="32:32" x14ac:dyDescent="0.2">
      <c r="AF18160" s="679"/>
    </row>
    <row r="18161" spans="32:32" x14ac:dyDescent="0.2">
      <c r="AF18161" s="679"/>
    </row>
    <row r="18162" spans="32:32" x14ac:dyDescent="0.2">
      <c r="AF18162" s="679"/>
    </row>
    <row r="18163" spans="32:32" x14ac:dyDescent="0.2">
      <c r="AF18163" s="679"/>
    </row>
    <row r="18164" spans="32:32" x14ac:dyDescent="0.2">
      <c r="AF18164" s="679"/>
    </row>
    <row r="18165" spans="32:32" x14ac:dyDescent="0.2">
      <c r="AF18165" s="679"/>
    </row>
    <row r="18166" spans="32:32" x14ac:dyDescent="0.2">
      <c r="AF18166" s="679"/>
    </row>
    <row r="18167" spans="32:32" x14ac:dyDescent="0.2">
      <c r="AF18167" s="679"/>
    </row>
    <row r="18168" spans="32:32" x14ac:dyDescent="0.2">
      <c r="AF18168" s="679"/>
    </row>
    <row r="18169" spans="32:32" x14ac:dyDescent="0.2">
      <c r="AF18169" s="679"/>
    </row>
    <row r="18170" spans="32:32" x14ac:dyDescent="0.2">
      <c r="AF18170" s="679"/>
    </row>
    <row r="18171" spans="32:32" x14ac:dyDescent="0.2">
      <c r="AF18171" s="679"/>
    </row>
    <row r="18172" spans="32:32" x14ac:dyDescent="0.2">
      <c r="AF18172" s="679"/>
    </row>
    <row r="18173" spans="32:32" x14ac:dyDescent="0.2">
      <c r="AF18173" s="679"/>
    </row>
    <row r="18174" spans="32:32" x14ac:dyDescent="0.2">
      <c r="AF18174" s="679"/>
    </row>
    <row r="18175" spans="32:32" x14ac:dyDescent="0.2">
      <c r="AF18175" s="679"/>
    </row>
    <row r="18176" spans="32:32" x14ac:dyDescent="0.2">
      <c r="AF18176" s="679"/>
    </row>
    <row r="18177" spans="32:32" x14ac:dyDescent="0.2">
      <c r="AF18177" s="679"/>
    </row>
    <row r="18178" spans="32:32" x14ac:dyDescent="0.2">
      <c r="AF18178" s="679"/>
    </row>
    <row r="18179" spans="32:32" x14ac:dyDescent="0.2">
      <c r="AF18179" s="679"/>
    </row>
    <row r="18180" spans="32:32" x14ac:dyDescent="0.2">
      <c r="AF18180" s="679"/>
    </row>
    <row r="18181" spans="32:32" x14ac:dyDescent="0.2">
      <c r="AF18181" s="679"/>
    </row>
    <row r="18182" spans="32:32" x14ac:dyDescent="0.2">
      <c r="AF18182" s="679"/>
    </row>
    <row r="18183" spans="32:32" x14ac:dyDescent="0.2">
      <c r="AF18183" s="679"/>
    </row>
    <row r="18184" spans="32:32" x14ac:dyDescent="0.2">
      <c r="AF18184" s="679"/>
    </row>
    <row r="18185" spans="32:32" x14ac:dyDescent="0.2">
      <c r="AF18185" s="679"/>
    </row>
    <row r="18186" spans="32:32" x14ac:dyDescent="0.2">
      <c r="AF18186" s="679"/>
    </row>
    <row r="18187" spans="32:32" x14ac:dyDescent="0.2">
      <c r="AF18187" s="679"/>
    </row>
    <row r="18188" spans="32:32" x14ac:dyDescent="0.2">
      <c r="AF18188" s="679"/>
    </row>
    <row r="18189" spans="32:32" x14ac:dyDescent="0.2">
      <c r="AF18189" s="679"/>
    </row>
    <row r="18190" spans="32:32" x14ac:dyDescent="0.2">
      <c r="AF18190" s="679"/>
    </row>
    <row r="18191" spans="32:32" x14ac:dyDescent="0.2">
      <c r="AF18191" s="679"/>
    </row>
    <row r="18192" spans="32:32" x14ac:dyDescent="0.2">
      <c r="AF18192" s="679"/>
    </row>
    <row r="18193" spans="32:32" x14ac:dyDescent="0.2">
      <c r="AF18193" s="679"/>
    </row>
    <row r="18194" spans="32:32" x14ac:dyDescent="0.2">
      <c r="AF18194" s="679"/>
    </row>
    <row r="18195" spans="32:32" x14ac:dyDescent="0.2">
      <c r="AF18195" s="679"/>
    </row>
    <row r="18196" spans="32:32" x14ac:dyDescent="0.2">
      <c r="AF18196" s="679"/>
    </row>
    <row r="18197" spans="32:32" x14ac:dyDescent="0.2">
      <c r="AF18197" s="679"/>
    </row>
    <row r="18198" spans="32:32" x14ac:dyDescent="0.2">
      <c r="AF18198" s="679"/>
    </row>
    <row r="18199" spans="32:32" x14ac:dyDescent="0.2">
      <c r="AF18199" s="679"/>
    </row>
    <row r="18200" spans="32:32" x14ac:dyDescent="0.2">
      <c r="AF18200" s="679"/>
    </row>
    <row r="18201" spans="32:32" x14ac:dyDescent="0.2">
      <c r="AF18201" s="679"/>
    </row>
    <row r="18202" spans="32:32" x14ac:dyDescent="0.2">
      <c r="AF18202" s="679"/>
    </row>
    <row r="18203" spans="32:32" x14ac:dyDescent="0.2">
      <c r="AF18203" s="679"/>
    </row>
    <row r="18204" spans="32:32" x14ac:dyDescent="0.2">
      <c r="AF18204" s="679"/>
    </row>
    <row r="18205" spans="32:32" x14ac:dyDescent="0.2">
      <c r="AF18205" s="679"/>
    </row>
    <row r="18206" spans="32:32" x14ac:dyDescent="0.2">
      <c r="AF18206" s="679"/>
    </row>
    <row r="18207" spans="32:32" x14ac:dyDescent="0.2">
      <c r="AF18207" s="679"/>
    </row>
    <row r="18208" spans="32:32" x14ac:dyDescent="0.2">
      <c r="AF18208" s="679"/>
    </row>
    <row r="18209" spans="32:32" x14ac:dyDescent="0.2">
      <c r="AF18209" s="679"/>
    </row>
    <row r="18210" spans="32:32" x14ac:dyDescent="0.2">
      <c r="AF18210" s="679"/>
    </row>
    <row r="18211" spans="32:32" x14ac:dyDescent="0.2">
      <c r="AF18211" s="679"/>
    </row>
    <row r="18212" spans="32:32" x14ac:dyDescent="0.2">
      <c r="AF18212" s="679"/>
    </row>
    <row r="18213" spans="32:32" x14ac:dyDescent="0.2">
      <c r="AF18213" s="679"/>
    </row>
    <row r="18214" spans="32:32" x14ac:dyDescent="0.2">
      <c r="AF18214" s="679"/>
    </row>
    <row r="18215" spans="32:32" x14ac:dyDescent="0.2">
      <c r="AF18215" s="679"/>
    </row>
    <row r="18216" spans="32:32" x14ac:dyDescent="0.2">
      <c r="AF18216" s="679"/>
    </row>
    <row r="18217" spans="32:32" x14ac:dyDescent="0.2">
      <c r="AF18217" s="679"/>
    </row>
    <row r="18218" spans="32:32" x14ac:dyDescent="0.2">
      <c r="AF18218" s="679"/>
    </row>
    <row r="18219" spans="32:32" x14ac:dyDescent="0.2">
      <c r="AF18219" s="679"/>
    </row>
    <row r="18220" spans="32:32" x14ac:dyDescent="0.2">
      <c r="AF18220" s="679"/>
    </row>
    <row r="18221" spans="32:32" x14ac:dyDescent="0.2">
      <c r="AF18221" s="679"/>
    </row>
    <row r="18222" spans="32:32" x14ac:dyDescent="0.2">
      <c r="AF18222" s="679"/>
    </row>
    <row r="18223" spans="32:32" x14ac:dyDescent="0.2">
      <c r="AF18223" s="679"/>
    </row>
    <row r="18224" spans="32:32" x14ac:dyDescent="0.2">
      <c r="AF18224" s="679"/>
    </row>
    <row r="18225" spans="32:32" x14ac:dyDescent="0.2">
      <c r="AF18225" s="679"/>
    </row>
    <row r="18226" spans="32:32" x14ac:dyDescent="0.2">
      <c r="AF18226" s="679"/>
    </row>
    <row r="18227" spans="32:32" x14ac:dyDescent="0.2">
      <c r="AF18227" s="679"/>
    </row>
    <row r="18228" spans="32:32" x14ac:dyDescent="0.2">
      <c r="AF18228" s="679"/>
    </row>
    <row r="18229" spans="32:32" x14ac:dyDescent="0.2">
      <c r="AF18229" s="679"/>
    </row>
    <row r="18230" spans="32:32" x14ac:dyDescent="0.2">
      <c r="AF18230" s="679"/>
    </row>
    <row r="18231" spans="32:32" x14ac:dyDescent="0.2">
      <c r="AF18231" s="679"/>
    </row>
    <row r="18232" spans="32:32" x14ac:dyDescent="0.2">
      <c r="AF18232" s="679"/>
    </row>
    <row r="18233" spans="32:32" x14ac:dyDescent="0.2">
      <c r="AF18233" s="679"/>
    </row>
    <row r="18234" spans="32:32" x14ac:dyDescent="0.2">
      <c r="AF18234" s="679"/>
    </row>
    <row r="18235" spans="32:32" x14ac:dyDescent="0.2">
      <c r="AF18235" s="679"/>
    </row>
    <row r="18236" spans="32:32" x14ac:dyDescent="0.2">
      <c r="AF18236" s="679"/>
    </row>
    <row r="18237" spans="32:32" x14ac:dyDescent="0.2">
      <c r="AF18237" s="679"/>
    </row>
    <row r="18238" spans="32:32" x14ac:dyDescent="0.2">
      <c r="AF18238" s="679"/>
    </row>
    <row r="18239" spans="32:32" x14ac:dyDescent="0.2">
      <c r="AF18239" s="679"/>
    </row>
    <row r="18240" spans="32:32" x14ac:dyDescent="0.2">
      <c r="AF18240" s="679"/>
    </row>
    <row r="18241" spans="32:32" x14ac:dyDescent="0.2">
      <c r="AF18241" s="679"/>
    </row>
    <row r="18242" spans="32:32" x14ac:dyDescent="0.2">
      <c r="AF18242" s="679"/>
    </row>
    <row r="18243" spans="32:32" x14ac:dyDescent="0.2">
      <c r="AF18243" s="679"/>
    </row>
    <row r="18244" spans="32:32" x14ac:dyDescent="0.2">
      <c r="AF18244" s="679"/>
    </row>
    <row r="18245" spans="32:32" x14ac:dyDescent="0.2">
      <c r="AF18245" s="679"/>
    </row>
    <row r="18246" spans="32:32" x14ac:dyDescent="0.2">
      <c r="AF18246" s="679"/>
    </row>
    <row r="18247" spans="32:32" x14ac:dyDescent="0.2">
      <c r="AF18247" s="679"/>
    </row>
    <row r="18248" spans="32:32" x14ac:dyDescent="0.2">
      <c r="AF18248" s="679"/>
    </row>
    <row r="18249" spans="32:32" x14ac:dyDescent="0.2">
      <c r="AF18249" s="679"/>
    </row>
    <row r="18250" spans="32:32" x14ac:dyDescent="0.2">
      <c r="AF18250" s="679"/>
    </row>
    <row r="18251" spans="32:32" x14ac:dyDescent="0.2">
      <c r="AF18251" s="679"/>
    </row>
    <row r="18252" spans="32:32" x14ac:dyDescent="0.2">
      <c r="AF18252" s="679"/>
    </row>
    <row r="18253" spans="32:32" x14ac:dyDescent="0.2">
      <c r="AF18253" s="679"/>
    </row>
    <row r="18254" spans="32:32" x14ac:dyDescent="0.2">
      <c r="AF18254" s="679"/>
    </row>
    <row r="18255" spans="32:32" x14ac:dyDescent="0.2">
      <c r="AF18255" s="679"/>
    </row>
    <row r="18256" spans="32:32" x14ac:dyDescent="0.2">
      <c r="AF18256" s="679"/>
    </row>
    <row r="18257" spans="32:32" x14ac:dyDescent="0.2">
      <c r="AF18257" s="679"/>
    </row>
    <row r="18258" spans="32:32" x14ac:dyDescent="0.2">
      <c r="AF18258" s="679"/>
    </row>
    <row r="18259" spans="32:32" x14ac:dyDescent="0.2">
      <c r="AF18259" s="679"/>
    </row>
    <row r="18260" spans="32:32" x14ac:dyDescent="0.2">
      <c r="AF18260" s="679"/>
    </row>
    <row r="18261" spans="32:32" x14ac:dyDescent="0.2">
      <c r="AF18261" s="679"/>
    </row>
    <row r="18262" spans="32:32" x14ac:dyDescent="0.2">
      <c r="AF18262" s="679"/>
    </row>
    <row r="18263" spans="32:32" x14ac:dyDescent="0.2">
      <c r="AF18263" s="679"/>
    </row>
    <row r="18264" spans="32:32" x14ac:dyDescent="0.2">
      <c r="AF18264" s="679"/>
    </row>
    <row r="18265" spans="32:32" x14ac:dyDescent="0.2">
      <c r="AF18265" s="679"/>
    </row>
    <row r="18266" spans="32:32" x14ac:dyDescent="0.2">
      <c r="AF18266" s="679"/>
    </row>
    <row r="18267" spans="32:32" x14ac:dyDescent="0.2">
      <c r="AF18267" s="679"/>
    </row>
    <row r="18268" spans="32:32" x14ac:dyDescent="0.2">
      <c r="AF18268" s="679"/>
    </row>
    <row r="18269" spans="32:32" x14ac:dyDescent="0.2">
      <c r="AF18269" s="679"/>
    </row>
    <row r="18270" spans="32:32" x14ac:dyDescent="0.2">
      <c r="AF18270" s="679"/>
    </row>
    <row r="18271" spans="32:32" x14ac:dyDescent="0.2">
      <c r="AF18271" s="679"/>
    </row>
    <row r="18272" spans="32:32" x14ac:dyDescent="0.2">
      <c r="AF18272" s="679"/>
    </row>
    <row r="18273" spans="32:32" x14ac:dyDescent="0.2">
      <c r="AF18273" s="679"/>
    </row>
    <row r="18274" spans="32:32" x14ac:dyDescent="0.2">
      <c r="AF18274" s="679"/>
    </row>
    <row r="18275" spans="32:32" x14ac:dyDescent="0.2">
      <c r="AF18275" s="679"/>
    </row>
    <row r="18276" spans="32:32" x14ac:dyDescent="0.2">
      <c r="AF18276" s="679"/>
    </row>
    <row r="18277" spans="32:32" x14ac:dyDescent="0.2">
      <c r="AF18277" s="679"/>
    </row>
    <row r="18278" spans="32:32" x14ac:dyDescent="0.2">
      <c r="AF18278" s="679"/>
    </row>
    <row r="18279" spans="32:32" x14ac:dyDescent="0.2">
      <c r="AF18279" s="679"/>
    </row>
    <row r="18280" spans="32:32" x14ac:dyDescent="0.2">
      <c r="AF18280" s="679"/>
    </row>
    <row r="18281" spans="32:32" x14ac:dyDescent="0.2">
      <c r="AF18281" s="679"/>
    </row>
    <row r="18282" spans="32:32" x14ac:dyDescent="0.2">
      <c r="AF18282" s="679"/>
    </row>
    <row r="18283" spans="32:32" x14ac:dyDescent="0.2">
      <c r="AF18283" s="679"/>
    </row>
    <row r="18284" spans="32:32" x14ac:dyDescent="0.2">
      <c r="AF18284" s="679"/>
    </row>
    <row r="18285" spans="32:32" x14ac:dyDescent="0.2">
      <c r="AF18285" s="679"/>
    </row>
    <row r="18286" spans="32:32" x14ac:dyDescent="0.2">
      <c r="AF18286" s="679"/>
    </row>
    <row r="18287" spans="32:32" x14ac:dyDescent="0.2">
      <c r="AF18287" s="679"/>
    </row>
    <row r="18288" spans="32:32" x14ac:dyDescent="0.2">
      <c r="AF18288" s="679"/>
    </row>
    <row r="18289" spans="32:32" x14ac:dyDescent="0.2">
      <c r="AF18289" s="679"/>
    </row>
    <row r="18290" spans="32:32" x14ac:dyDescent="0.2">
      <c r="AF18290" s="679"/>
    </row>
    <row r="18291" spans="32:32" x14ac:dyDescent="0.2">
      <c r="AF18291" s="679"/>
    </row>
    <row r="18292" spans="32:32" x14ac:dyDescent="0.2">
      <c r="AF18292" s="679"/>
    </row>
    <row r="18293" spans="32:32" x14ac:dyDescent="0.2">
      <c r="AF18293" s="679"/>
    </row>
    <row r="18294" spans="32:32" x14ac:dyDescent="0.2">
      <c r="AF18294" s="679"/>
    </row>
    <row r="18295" spans="32:32" x14ac:dyDescent="0.2">
      <c r="AF18295" s="679"/>
    </row>
    <row r="18296" spans="32:32" x14ac:dyDescent="0.2">
      <c r="AF18296" s="679"/>
    </row>
    <row r="18297" spans="32:32" x14ac:dyDescent="0.2">
      <c r="AF18297" s="679"/>
    </row>
    <row r="18298" spans="32:32" x14ac:dyDescent="0.2">
      <c r="AF18298" s="679"/>
    </row>
    <row r="18299" spans="32:32" x14ac:dyDescent="0.2">
      <c r="AF18299" s="679"/>
    </row>
    <row r="18300" spans="32:32" x14ac:dyDescent="0.2">
      <c r="AF18300" s="679"/>
    </row>
    <row r="18301" spans="32:32" x14ac:dyDescent="0.2">
      <c r="AF18301" s="679"/>
    </row>
    <row r="18302" spans="32:32" x14ac:dyDescent="0.2">
      <c r="AF18302" s="679"/>
    </row>
    <row r="18303" spans="32:32" x14ac:dyDescent="0.2">
      <c r="AF18303" s="679"/>
    </row>
    <row r="18304" spans="32:32" x14ac:dyDescent="0.2">
      <c r="AF18304" s="679"/>
    </row>
    <row r="18305" spans="32:32" x14ac:dyDescent="0.2">
      <c r="AF18305" s="679"/>
    </row>
    <row r="18306" spans="32:32" x14ac:dyDescent="0.2">
      <c r="AF18306" s="679"/>
    </row>
    <row r="18307" spans="32:32" x14ac:dyDescent="0.2">
      <c r="AF18307" s="679"/>
    </row>
    <row r="18308" spans="32:32" x14ac:dyDescent="0.2">
      <c r="AF18308" s="679"/>
    </row>
    <row r="18309" spans="32:32" x14ac:dyDescent="0.2">
      <c r="AF18309" s="679"/>
    </row>
    <row r="18310" spans="32:32" x14ac:dyDescent="0.2">
      <c r="AF18310" s="679"/>
    </row>
    <row r="18311" spans="32:32" x14ac:dyDescent="0.2">
      <c r="AF18311" s="679"/>
    </row>
    <row r="18312" spans="32:32" x14ac:dyDescent="0.2">
      <c r="AF18312" s="679"/>
    </row>
    <row r="18313" spans="32:32" x14ac:dyDescent="0.2">
      <c r="AF18313" s="679"/>
    </row>
    <row r="18314" spans="32:32" x14ac:dyDescent="0.2">
      <c r="AF18314" s="679"/>
    </row>
    <row r="18315" spans="32:32" x14ac:dyDescent="0.2">
      <c r="AF18315" s="679"/>
    </row>
    <row r="18316" spans="32:32" x14ac:dyDescent="0.2">
      <c r="AF18316" s="679"/>
    </row>
    <row r="18317" spans="32:32" x14ac:dyDescent="0.2">
      <c r="AF18317" s="679"/>
    </row>
    <row r="18318" spans="32:32" x14ac:dyDescent="0.2">
      <c r="AF18318" s="679"/>
    </row>
    <row r="18319" spans="32:32" x14ac:dyDescent="0.2">
      <c r="AF18319" s="679"/>
    </row>
    <row r="18320" spans="32:32" x14ac:dyDescent="0.2">
      <c r="AF18320" s="679"/>
    </row>
    <row r="18321" spans="32:32" x14ac:dyDescent="0.2">
      <c r="AF18321" s="679"/>
    </row>
    <row r="18322" spans="32:32" x14ac:dyDescent="0.2">
      <c r="AF18322" s="679"/>
    </row>
    <row r="18323" spans="32:32" x14ac:dyDescent="0.2">
      <c r="AF18323" s="679"/>
    </row>
    <row r="18324" spans="32:32" x14ac:dyDescent="0.2">
      <c r="AF18324" s="679"/>
    </row>
    <row r="18325" spans="32:32" x14ac:dyDescent="0.2">
      <c r="AF18325" s="679"/>
    </row>
    <row r="18326" spans="32:32" x14ac:dyDescent="0.2">
      <c r="AF18326" s="679"/>
    </row>
    <row r="18327" spans="32:32" x14ac:dyDescent="0.2">
      <c r="AF18327" s="679"/>
    </row>
    <row r="18328" spans="32:32" x14ac:dyDescent="0.2">
      <c r="AF18328" s="679"/>
    </row>
    <row r="18329" spans="32:32" x14ac:dyDescent="0.2">
      <c r="AF18329" s="679"/>
    </row>
    <row r="18330" spans="32:32" x14ac:dyDescent="0.2">
      <c r="AF18330" s="679"/>
    </row>
    <row r="18331" spans="32:32" x14ac:dyDescent="0.2">
      <c r="AF18331" s="679"/>
    </row>
    <row r="18332" spans="32:32" x14ac:dyDescent="0.2">
      <c r="AF18332" s="679"/>
    </row>
    <row r="18333" spans="32:32" x14ac:dyDescent="0.2">
      <c r="AF18333" s="679"/>
    </row>
    <row r="18334" spans="32:32" x14ac:dyDescent="0.2">
      <c r="AF18334" s="679"/>
    </row>
    <row r="18335" spans="32:32" x14ac:dyDescent="0.2">
      <c r="AF18335" s="679"/>
    </row>
    <row r="18336" spans="32:32" x14ac:dyDescent="0.2">
      <c r="AF18336" s="679"/>
    </row>
    <row r="18337" spans="32:32" x14ac:dyDescent="0.2">
      <c r="AF18337" s="679"/>
    </row>
    <row r="18338" spans="32:32" x14ac:dyDescent="0.2">
      <c r="AF18338" s="679"/>
    </row>
    <row r="18339" spans="32:32" x14ac:dyDescent="0.2">
      <c r="AF18339" s="679"/>
    </row>
    <row r="18340" spans="32:32" x14ac:dyDescent="0.2">
      <c r="AF18340" s="679"/>
    </row>
    <row r="18341" spans="32:32" x14ac:dyDescent="0.2">
      <c r="AF18341" s="679"/>
    </row>
    <row r="18342" spans="32:32" x14ac:dyDescent="0.2">
      <c r="AF18342" s="679"/>
    </row>
    <row r="18343" spans="32:32" x14ac:dyDescent="0.2">
      <c r="AF18343" s="679"/>
    </row>
    <row r="18344" spans="32:32" x14ac:dyDescent="0.2">
      <c r="AF18344" s="679"/>
    </row>
    <row r="18345" spans="32:32" x14ac:dyDescent="0.2">
      <c r="AF18345" s="679"/>
    </row>
    <row r="18346" spans="32:32" x14ac:dyDescent="0.2">
      <c r="AF18346" s="679"/>
    </row>
    <row r="18347" spans="32:32" x14ac:dyDescent="0.2">
      <c r="AF18347" s="679"/>
    </row>
    <row r="18348" spans="32:32" x14ac:dyDescent="0.2">
      <c r="AF18348" s="679"/>
    </row>
    <row r="18349" spans="32:32" x14ac:dyDescent="0.2">
      <c r="AF18349" s="679"/>
    </row>
    <row r="18350" spans="32:32" x14ac:dyDescent="0.2">
      <c r="AF18350" s="679"/>
    </row>
    <row r="18351" spans="32:32" x14ac:dyDescent="0.2">
      <c r="AF18351" s="679"/>
    </row>
    <row r="18352" spans="32:32" x14ac:dyDescent="0.2">
      <c r="AF18352" s="679"/>
    </row>
    <row r="18353" spans="32:32" x14ac:dyDescent="0.2">
      <c r="AF18353" s="679"/>
    </row>
    <row r="18354" spans="32:32" x14ac:dyDescent="0.2">
      <c r="AF18354" s="679"/>
    </row>
    <row r="18355" spans="32:32" x14ac:dyDescent="0.2">
      <c r="AF18355" s="679"/>
    </row>
    <row r="18356" spans="32:32" x14ac:dyDescent="0.2">
      <c r="AF18356" s="679"/>
    </row>
    <row r="18357" spans="32:32" x14ac:dyDescent="0.2">
      <c r="AF18357" s="679"/>
    </row>
    <row r="18358" spans="32:32" x14ac:dyDescent="0.2">
      <c r="AF18358" s="679"/>
    </row>
    <row r="18359" spans="32:32" x14ac:dyDescent="0.2">
      <c r="AF18359" s="679"/>
    </row>
    <row r="18360" spans="32:32" x14ac:dyDescent="0.2">
      <c r="AF18360" s="679"/>
    </row>
    <row r="18361" spans="32:32" x14ac:dyDescent="0.2">
      <c r="AF18361" s="679"/>
    </row>
    <row r="18362" spans="32:32" x14ac:dyDescent="0.2">
      <c r="AF18362" s="679"/>
    </row>
    <row r="18363" spans="32:32" x14ac:dyDescent="0.2">
      <c r="AF18363" s="679"/>
    </row>
    <row r="18364" spans="32:32" x14ac:dyDescent="0.2">
      <c r="AF18364" s="679"/>
    </row>
    <row r="18365" spans="32:32" x14ac:dyDescent="0.2">
      <c r="AF18365" s="679"/>
    </row>
    <row r="18366" spans="32:32" x14ac:dyDescent="0.2">
      <c r="AF18366" s="679"/>
    </row>
    <row r="18367" spans="32:32" x14ac:dyDescent="0.2">
      <c r="AF18367" s="679"/>
    </row>
    <row r="18368" spans="32:32" x14ac:dyDescent="0.2">
      <c r="AF18368" s="679"/>
    </row>
    <row r="18369" spans="32:32" x14ac:dyDescent="0.2">
      <c r="AF18369" s="679"/>
    </row>
    <row r="18370" spans="32:32" x14ac:dyDescent="0.2">
      <c r="AF18370" s="679"/>
    </row>
    <row r="18371" spans="32:32" x14ac:dyDescent="0.2">
      <c r="AF18371" s="679"/>
    </row>
    <row r="18372" spans="32:32" x14ac:dyDescent="0.2">
      <c r="AF18372" s="679"/>
    </row>
    <row r="18373" spans="32:32" x14ac:dyDescent="0.2">
      <c r="AF18373" s="679"/>
    </row>
    <row r="18374" spans="32:32" x14ac:dyDescent="0.2">
      <c r="AF18374" s="679"/>
    </row>
    <row r="18375" spans="32:32" x14ac:dyDescent="0.2">
      <c r="AF18375" s="679"/>
    </row>
    <row r="18376" spans="32:32" x14ac:dyDescent="0.2">
      <c r="AF18376" s="679"/>
    </row>
    <row r="18377" spans="32:32" x14ac:dyDescent="0.2">
      <c r="AF18377" s="679"/>
    </row>
    <row r="18378" spans="32:32" x14ac:dyDescent="0.2">
      <c r="AF18378" s="679"/>
    </row>
    <row r="18379" spans="32:32" x14ac:dyDescent="0.2">
      <c r="AF18379" s="679"/>
    </row>
    <row r="18380" spans="32:32" x14ac:dyDescent="0.2">
      <c r="AF18380" s="679"/>
    </row>
    <row r="18381" spans="32:32" x14ac:dyDescent="0.2">
      <c r="AF18381" s="679"/>
    </row>
    <row r="18382" spans="32:32" x14ac:dyDescent="0.2">
      <c r="AF18382" s="679"/>
    </row>
    <row r="18383" spans="32:32" x14ac:dyDescent="0.2">
      <c r="AF18383" s="679"/>
    </row>
    <row r="18384" spans="32:32" x14ac:dyDescent="0.2">
      <c r="AF18384" s="679"/>
    </row>
    <row r="18385" spans="32:32" x14ac:dyDescent="0.2">
      <c r="AF18385" s="679"/>
    </row>
    <row r="18386" spans="32:32" x14ac:dyDescent="0.2">
      <c r="AF18386" s="679"/>
    </row>
    <row r="18387" spans="32:32" x14ac:dyDescent="0.2">
      <c r="AF18387" s="679"/>
    </row>
    <row r="18388" spans="32:32" x14ac:dyDescent="0.2">
      <c r="AF18388" s="679"/>
    </row>
    <row r="18389" spans="32:32" x14ac:dyDescent="0.2">
      <c r="AF18389" s="679"/>
    </row>
    <row r="18390" spans="32:32" x14ac:dyDescent="0.2">
      <c r="AF18390" s="679"/>
    </row>
    <row r="18391" spans="32:32" x14ac:dyDescent="0.2">
      <c r="AF18391" s="679"/>
    </row>
    <row r="18392" spans="32:32" x14ac:dyDescent="0.2">
      <c r="AF18392" s="679"/>
    </row>
    <row r="18393" spans="32:32" x14ac:dyDescent="0.2">
      <c r="AF18393" s="679"/>
    </row>
    <row r="18394" spans="32:32" x14ac:dyDescent="0.2">
      <c r="AF18394" s="679"/>
    </row>
    <row r="18395" spans="32:32" x14ac:dyDescent="0.2">
      <c r="AF18395" s="679"/>
    </row>
    <row r="18396" spans="32:32" x14ac:dyDescent="0.2">
      <c r="AF18396" s="679"/>
    </row>
    <row r="18397" spans="32:32" x14ac:dyDescent="0.2">
      <c r="AF18397" s="679"/>
    </row>
    <row r="18398" spans="32:32" x14ac:dyDescent="0.2">
      <c r="AF18398" s="679"/>
    </row>
    <row r="18399" spans="32:32" x14ac:dyDescent="0.2">
      <c r="AF18399" s="679"/>
    </row>
    <row r="18400" spans="32:32" x14ac:dyDescent="0.2">
      <c r="AF18400" s="679"/>
    </row>
    <row r="18401" spans="32:32" x14ac:dyDescent="0.2">
      <c r="AF18401" s="679"/>
    </row>
    <row r="18402" spans="32:32" x14ac:dyDescent="0.2">
      <c r="AF18402" s="679"/>
    </row>
    <row r="18403" spans="32:32" x14ac:dyDescent="0.2">
      <c r="AF18403" s="679"/>
    </row>
    <row r="18404" spans="32:32" x14ac:dyDescent="0.2">
      <c r="AF18404" s="679"/>
    </row>
    <row r="18405" spans="32:32" x14ac:dyDescent="0.2">
      <c r="AF18405" s="679"/>
    </row>
    <row r="18406" spans="32:32" x14ac:dyDescent="0.2">
      <c r="AF18406" s="679"/>
    </row>
    <row r="18407" spans="32:32" x14ac:dyDescent="0.2">
      <c r="AF18407" s="679"/>
    </row>
    <row r="18408" spans="32:32" x14ac:dyDescent="0.2">
      <c r="AF18408" s="679"/>
    </row>
    <row r="18409" spans="32:32" x14ac:dyDescent="0.2">
      <c r="AF18409" s="679"/>
    </row>
    <row r="18410" spans="32:32" x14ac:dyDescent="0.2">
      <c r="AF18410" s="679"/>
    </row>
    <row r="18411" spans="32:32" x14ac:dyDescent="0.2">
      <c r="AF18411" s="679"/>
    </row>
    <row r="18412" spans="32:32" x14ac:dyDescent="0.2">
      <c r="AF18412" s="679"/>
    </row>
    <row r="18413" spans="32:32" x14ac:dyDescent="0.2">
      <c r="AF18413" s="679"/>
    </row>
    <row r="18414" spans="32:32" x14ac:dyDescent="0.2">
      <c r="AF18414" s="679"/>
    </row>
    <row r="18415" spans="32:32" x14ac:dyDescent="0.2">
      <c r="AF18415" s="679"/>
    </row>
    <row r="18416" spans="32:32" x14ac:dyDescent="0.2">
      <c r="AF18416" s="679"/>
    </row>
    <row r="18417" spans="32:32" x14ac:dyDescent="0.2">
      <c r="AF18417" s="679"/>
    </row>
    <row r="18418" spans="32:32" x14ac:dyDescent="0.2">
      <c r="AF18418" s="679"/>
    </row>
    <row r="18419" spans="32:32" x14ac:dyDescent="0.2">
      <c r="AF18419" s="679"/>
    </row>
    <row r="18420" spans="32:32" x14ac:dyDescent="0.2">
      <c r="AF18420" s="679"/>
    </row>
    <row r="18421" spans="32:32" x14ac:dyDescent="0.2">
      <c r="AF18421" s="679"/>
    </row>
    <row r="18422" spans="32:32" x14ac:dyDescent="0.2">
      <c r="AF18422" s="679"/>
    </row>
    <row r="18423" spans="32:32" x14ac:dyDescent="0.2">
      <c r="AF18423" s="679"/>
    </row>
    <row r="18424" spans="32:32" x14ac:dyDescent="0.2">
      <c r="AF18424" s="679"/>
    </row>
    <row r="18425" spans="32:32" x14ac:dyDescent="0.2">
      <c r="AF18425" s="679"/>
    </row>
    <row r="18426" spans="32:32" x14ac:dyDescent="0.2">
      <c r="AF18426" s="679"/>
    </row>
    <row r="18427" spans="32:32" x14ac:dyDescent="0.2">
      <c r="AF18427" s="679"/>
    </row>
    <row r="18428" spans="32:32" x14ac:dyDescent="0.2">
      <c r="AF18428" s="679"/>
    </row>
    <row r="18429" spans="32:32" x14ac:dyDescent="0.2">
      <c r="AF18429" s="679"/>
    </row>
    <row r="18430" spans="32:32" x14ac:dyDescent="0.2">
      <c r="AF18430" s="679"/>
    </row>
    <row r="18431" spans="32:32" x14ac:dyDescent="0.2">
      <c r="AF18431" s="679"/>
    </row>
    <row r="18432" spans="32:32" x14ac:dyDescent="0.2">
      <c r="AF18432" s="679"/>
    </row>
    <row r="18433" spans="32:32" x14ac:dyDescent="0.2">
      <c r="AF18433" s="679"/>
    </row>
    <row r="18434" spans="32:32" x14ac:dyDescent="0.2">
      <c r="AF18434" s="679"/>
    </row>
    <row r="18435" spans="32:32" x14ac:dyDescent="0.2">
      <c r="AF18435" s="679"/>
    </row>
    <row r="18436" spans="32:32" x14ac:dyDescent="0.2">
      <c r="AF18436" s="679"/>
    </row>
    <row r="18437" spans="32:32" x14ac:dyDescent="0.2">
      <c r="AF18437" s="679"/>
    </row>
    <row r="18438" spans="32:32" x14ac:dyDescent="0.2">
      <c r="AF18438" s="679"/>
    </row>
    <row r="18439" spans="32:32" x14ac:dyDescent="0.2">
      <c r="AF18439" s="679"/>
    </row>
    <row r="18440" spans="32:32" x14ac:dyDescent="0.2">
      <c r="AF18440" s="679"/>
    </row>
    <row r="18441" spans="32:32" x14ac:dyDescent="0.2">
      <c r="AF18441" s="679"/>
    </row>
    <row r="18442" spans="32:32" x14ac:dyDescent="0.2">
      <c r="AF18442" s="679"/>
    </row>
    <row r="18443" spans="32:32" x14ac:dyDescent="0.2">
      <c r="AF18443" s="679"/>
    </row>
    <row r="18444" spans="32:32" x14ac:dyDescent="0.2">
      <c r="AF18444" s="679"/>
    </row>
    <row r="18445" spans="32:32" x14ac:dyDescent="0.2">
      <c r="AF18445" s="679"/>
    </row>
    <row r="18446" spans="32:32" x14ac:dyDescent="0.2">
      <c r="AF18446" s="679"/>
    </row>
    <row r="18447" spans="32:32" x14ac:dyDescent="0.2">
      <c r="AF18447" s="679"/>
    </row>
    <row r="18448" spans="32:32" x14ac:dyDescent="0.2">
      <c r="AF18448" s="679"/>
    </row>
    <row r="18449" spans="32:32" x14ac:dyDescent="0.2">
      <c r="AF18449" s="679"/>
    </row>
    <row r="18450" spans="32:32" x14ac:dyDescent="0.2">
      <c r="AF18450" s="679"/>
    </row>
    <row r="18451" spans="32:32" x14ac:dyDescent="0.2">
      <c r="AF18451" s="679"/>
    </row>
    <row r="18452" spans="32:32" x14ac:dyDescent="0.2">
      <c r="AF18452" s="679"/>
    </row>
    <row r="18453" spans="32:32" x14ac:dyDescent="0.2">
      <c r="AF18453" s="679"/>
    </row>
    <row r="18454" spans="32:32" x14ac:dyDescent="0.2">
      <c r="AF18454" s="679"/>
    </row>
    <row r="18455" spans="32:32" x14ac:dyDescent="0.2">
      <c r="AF18455" s="679"/>
    </row>
    <row r="18456" spans="32:32" x14ac:dyDescent="0.2">
      <c r="AF18456" s="679"/>
    </row>
    <row r="18457" spans="32:32" x14ac:dyDescent="0.2">
      <c r="AF18457" s="679"/>
    </row>
    <row r="18458" spans="32:32" x14ac:dyDescent="0.2">
      <c r="AF18458" s="679"/>
    </row>
    <row r="18459" spans="32:32" x14ac:dyDescent="0.2">
      <c r="AF18459" s="679"/>
    </row>
    <row r="18460" spans="32:32" x14ac:dyDescent="0.2">
      <c r="AF18460" s="679"/>
    </row>
    <row r="18461" spans="32:32" x14ac:dyDescent="0.2">
      <c r="AF18461" s="679"/>
    </row>
    <row r="18462" spans="32:32" x14ac:dyDescent="0.2">
      <c r="AF18462" s="679"/>
    </row>
    <row r="18463" spans="32:32" x14ac:dyDescent="0.2">
      <c r="AF18463" s="679"/>
    </row>
    <row r="18464" spans="32:32" x14ac:dyDescent="0.2">
      <c r="AF18464" s="679"/>
    </row>
    <row r="18465" spans="32:32" x14ac:dyDescent="0.2">
      <c r="AF18465" s="679"/>
    </row>
    <row r="18466" spans="32:32" x14ac:dyDescent="0.2">
      <c r="AF18466" s="679"/>
    </row>
    <row r="18467" spans="32:32" x14ac:dyDescent="0.2">
      <c r="AF18467" s="679"/>
    </row>
    <row r="18468" spans="32:32" x14ac:dyDescent="0.2">
      <c r="AF18468" s="679"/>
    </row>
    <row r="18469" spans="32:32" x14ac:dyDescent="0.2">
      <c r="AF18469" s="679"/>
    </row>
    <row r="18470" spans="32:32" x14ac:dyDescent="0.2">
      <c r="AF18470" s="679"/>
    </row>
    <row r="18471" spans="32:32" x14ac:dyDescent="0.2">
      <c r="AF18471" s="679"/>
    </row>
    <row r="18472" spans="32:32" x14ac:dyDescent="0.2">
      <c r="AF18472" s="679"/>
    </row>
    <row r="18473" spans="32:32" x14ac:dyDescent="0.2">
      <c r="AF18473" s="679"/>
    </row>
    <row r="18474" spans="32:32" x14ac:dyDescent="0.2">
      <c r="AF18474" s="679"/>
    </row>
    <row r="18475" spans="32:32" x14ac:dyDescent="0.2">
      <c r="AF18475" s="679"/>
    </row>
    <row r="18476" spans="32:32" x14ac:dyDescent="0.2">
      <c r="AF18476" s="679"/>
    </row>
    <row r="18477" spans="32:32" x14ac:dyDescent="0.2">
      <c r="AF18477" s="679"/>
    </row>
    <row r="18478" spans="32:32" x14ac:dyDescent="0.2">
      <c r="AF18478" s="679"/>
    </row>
    <row r="18479" spans="32:32" x14ac:dyDescent="0.2">
      <c r="AF18479" s="679"/>
    </row>
    <row r="18480" spans="32:32" x14ac:dyDescent="0.2">
      <c r="AF18480" s="679"/>
    </row>
    <row r="18481" spans="32:32" x14ac:dyDescent="0.2">
      <c r="AF18481" s="679"/>
    </row>
    <row r="18482" spans="32:32" x14ac:dyDescent="0.2">
      <c r="AF18482" s="679"/>
    </row>
    <row r="18483" spans="32:32" x14ac:dyDescent="0.2">
      <c r="AF18483" s="679"/>
    </row>
    <row r="18484" spans="32:32" x14ac:dyDescent="0.2">
      <c r="AF18484" s="679"/>
    </row>
    <row r="18485" spans="32:32" x14ac:dyDescent="0.2">
      <c r="AF18485" s="679"/>
    </row>
    <row r="18486" spans="32:32" x14ac:dyDescent="0.2">
      <c r="AF18486" s="679"/>
    </row>
    <row r="18487" spans="32:32" x14ac:dyDescent="0.2">
      <c r="AF18487" s="679"/>
    </row>
    <row r="18488" spans="32:32" x14ac:dyDescent="0.2">
      <c r="AF18488" s="679"/>
    </row>
    <row r="18489" spans="32:32" x14ac:dyDescent="0.2">
      <c r="AF18489" s="679"/>
    </row>
    <row r="18490" spans="32:32" x14ac:dyDescent="0.2">
      <c r="AF18490" s="679"/>
    </row>
    <row r="18491" spans="32:32" x14ac:dyDescent="0.2">
      <c r="AF18491" s="679"/>
    </row>
    <row r="18492" spans="32:32" x14ac:dyDescent="0.2">
      <c r="AF18492" s="679"/>
    </row>
    <row r="18493" spans="32:32" x14ac:dyDescent="0.2">
      <c r="AF18493" s="679"/>
    </row>
    <row r="18494" spans="32:32" x14ac:dyDescent="0.2">
      <c r="AF18494" s="679"/>
    </row>
    <row r="18495" spans="32:32" x14ac:dyDescent="0.2">
      <c r="AF18495" s="679"/>
    </row>
    <row r="18496" spans="32:32" x14ac:dyDescent="0.2">
      <c r="AF18496" s="679"/>
    </row>
    <row r="18497" spans="32:32" x14ac:dyDescent="0.2">
      <c r="AF18497" s="679"/>
    </row>
    <row r="18498" spans="32:32" x14ac:dyDescent="0.2">
      <c r="AF18498" s="679"/>
    </row>
    <row r="18499" spans="32:32" x14ac:dyDescent="0.2">
      <c r="AF18499" s="679"/>
    </row>
    <row r="18500" spans="32:32" x14ac:dyDescent="0.2">
      <c r="AF18500" s="679"/>
    </row>
    <row r="18501" spans="32:32" x14ac:dyDescent="0.2">
      <c r="AF18501" s="679"/>
    </row>
    <row r="18502" spans="32:32" x14ac:dyDescent="0.2">
      <c r="AF18502" s="679"/>
    </row>
    <row r="18503" spans="32:32" x14ac:dyDescent="0.2">
      <c r="AF18503" s="679"/>
    </row>
    <row r="18504" spans="32:32" x14ac:dyDescent="0.2">
      <c r="AF18504" s="679"/>
    </row>
    <row r="18505" spans="32:32" x14ac:dyDescent="0.2">
      <c r="AF18505" s="679"/>
    </row>
    <row r="18506" spans="32:32" x14ac:dyDescent="0.2">
      <c r="AF18506" s="679"/>
    </row>
    <row r="18507" spans="32:32" x14ac:dyDescent="0.2">
      <c r="AF18507" s="679"/>
    </row>
    <row r="18508" spans="32:32" x14ac:dyDescent="0.2">
      <c r="AF18508" s="679"/>
    </row>
    <row r="18509" spans="32:32" x14ac:dyDescent="0.2">
      <c r="AF18509" s="679"/>
    </row>
    <row r="18510" spans="32:32" x14ac:dyDescent="0.2">
      <c r="AF18510" s="679"/>
    </row>
    <row r="18511" spans="32:32" x14ac:dyDescent="0.2">
      <c r="AF18511" s="679"/>
    </row>
    <row r="18512" spans="32:32" x14ac:dyDescent="0.2">
      <c r="AF18512" s="679"/>
    </row>
    <row r="18513" spans="32:32" x14ac:dyDescent="0.2">
      <c r="AF18513" s="679"/>
    </row>
    <row r="18514" spans="32:32" x14ac:dyDescent="0.2">
      <c r="AF18514" s="679"/>
    </row>
    <row r="18515" spans="32:32" x14ac:dyDescent="0.2">
      <c r="AF18515" s="679"/>
    </row>
    <row r="18516" spans="32:32" x14ac:dyDescent="0.2">
      <c r="AF18516" s="679"/>
    </row>
    <row r="18517" spans="32:32" x14ac:dyDescent="0.2">
      <c r="AF18517" s="679"/>
    </row>
    <row r="18518" spans="32:32" x14ac:dyDescent="0.2">
      <c r="AF18518" s="679"/>
    </row>
    <row r="18519" spans="32:32" x14ac:dyDescent="0.2">
      <c r="AF18519" s="679"/>
    </row>
    <row r="18520" spans="32:32" x14ac:dyDescent="0.2">
      <c r="AF18520" s="679"/>
    </row>
    <row r="18521" spans="32:32" x14ac:dyDescent="0.2">
      <c r="AF18521" s="679"/>
    </row>
    <row r="18522" spans="32:32" x14ac:dyDescent="0.2">
      <c r="AF18522" s="679"/>
    </row>
    <row r="18523" spans="32:32" x14ac:dyDescent="0.2">
      <c r="AF18523" s="679"/>
    </row>
    <row r="18524" spans="32:32" x14ac:dyDescent="0.2">
      <c r="AF18524" s="679"/>
    </row>
    <row r="18525" spans="32:32" x14ac:dyDescent="0.2">
      <c r="AF18525" s="679"/>
    </row>
    <row r="18526" spans="32:32" x14ac:dyDescent="0.2">
      <c r="AF18526" s="679"/>
    </row>
    <row r="18527" spans="32:32" x14ac:dyDescent="0.2">
      <c r="AF18527" s="679"/>
    </row>
    <row r="18528" spans="32:32" x14ac:dyDescent="0.2">
      <c r="AF18528" s="679"/>
    </row>
    <row r="18529" spans="32:32" x14ac:dyDescent="0.2">
      <c r="AF18529" s="679"/>
    </row>
    <row r="18530" spans="32:32" x14ac:dyDescent="0.2">
      <c r="AF18530" s="679"/>
    </row>
    <row r="18531" spans="32:32" x14ac:dyDescent="0.2">
      <c r="AF18531" s="679"/>
    </row>
    <row r="18532" spans="32:32" x14ac:dyDescent="0.2">
      <c r="AF18532" s="679"/>
    </row>
    <row r="18533" spans="32:32" x14ac:dyDescent="0.2">
      <c r="AF18533" s="679"/>
    </row>
    <row r="18534" spans="32:32" x14ac:dyDescent="0.2">
      <c r="AF18534" s="679"/>
    </row>
    <row r="18535" spans="32:32" x14ac:dyDescent="0.2">
      <c r="AF18535" s="679"/>
    </row>
    <row r="18536" spans="32:32" x14ac:dyDescent="0.2">
      <c r="AF18536" s="679"/>
    </row>
    <row r="18537" spans="32:32" x14ac:dyDescent="0.2">
      <c r="AF18537" s="679"/>
    </row>
    <row r="18538" spans="32:32" x14ac:dyDescent="0.2">
      <c r="AF18538" s="679"/>
    </row>
    <row r="18539" spans="32:32" x14ac:dyDescent="0.2">
      <c r="AF18539" s="679"/>
    </row>
    <row r="18540" spans="32:32" x14ac:dyDescent="0.2">
      <c r="AF18540" s="679"/>
    </row>
    <row r="18541" spans="32:32" x14ac:dyDescent="0.2">
      <c r="AF18541" s="679"/>
    </row>
    <row r="18542" spans="32:32" x14ac:dyDescent="0.2">
      <c r="AF18542" s="679"/>
    </row>
    <row r="18543" spans="32:32" x14ac:dyDescent="0.2">
      <c r="AF18543" s="679"/>
    </row>
    <row r="18544" spans="32:32" x14ac:dyDescent="0.2">
      <c r="AF18544" s="679"/>
    </row>
    <row r="18545" spans="32:32" x14ac:dyDescent="0.2">
      <c r="AF18545" s="679"/>
    </row>
    <row r="18546" spans="32:32" x14ac:dyDescent="0.2">
      <c r="AF18546" s="679"/>
    </row>
    <row r="18547" spans="32:32" x14ac:dyDescent="0.2">
      <c r="AF18547" s="679"/>
    </row>
    <row r="18548" spans="32:32" x14ac:dyDescent="0.2">
      <c r="AF18548" s="679"/>
    </row>
    <row r="18549" spans="32:32" x14ac:dyDescent="0.2">
      <c r="AF18549" s="679"/>
    </row>
    <row r="18550" spans="32:32" x14ac:dyDescent="0.2">
      <c r="AF18550" s="679"/>
    </row>
    <row r="18551" spans="32:32" x14ac:dyDescent="0.2">
      <c r="AF18551" s="679"/>
    </row>
    <row r="18552" spans="32:32" x14ac:dyDescent="0.2">
      <c r="AF18552" s="679"/>
    </row>
    <row r="18553" spans="32:32" x14ac:dyDescent="0.2">
      <c r="AF18553" s="679"/>
    </row>
    <row r="18554" spans="32:32" x14ac:dyDescent="0.2">
      <c r="AF18554" s="679"/>
    </row>
    <row r="18555" spans="32:32" x14ac:dyDescent="0.2">
      <c r="AF18555" s="679"/>
    </row>
    <row r="18556" spans="32:32" x14ac:dyDescent="0.2">
      <c r="AF18556" s="679"/>
    </row>
    <row r="18557" spans="32:32" x14ac:dyDescent="0.2">
      <c r="AF18557" s="679"/>
    </row>
    <row r="18558" spans="32:32" x14ac:dyDescent="0.2">
      <c r="AF18558" s="679"/>
    </row>
    <row r="18559" spans="32:32" x14ac:dyDescent="0.2">
      <c r="AF18559" s="679"/>
    </row>
    <row r="18560" spans="32:32" x14ac:dyDescent="0.2">
      <c r="AF18560" s="679"/>
    </row>
    <row r="18561" spans="32:32" x14ac:dyDescent="0.2">
      <c r="AF18561" s="679"/>
    </row>
    <row r="18562" spans="32:32" x14ac:dyDescent="0.2">
      <c r="AF18562" s="679"/>
    </row>
    <row r="18563" spans="32:32" x14ac:dyDescent="0.2">
      <c r="AF18563" s="679"/>
    </row>
    <row r="18564" spans="32:32" x14ac:dyDescent="0.2">
      <c r="AF18564" s="679"/>
    </row>
    <row r="18565" spans="32:32" x14ac:dyDescent="0.2">
      <c r="AF18565" s="679"/>
    </row>
    <row r="18566" spans="32:32" x14ac:dyDescent="0.2">
      <c r="AF18566" s="679"/>
    </row>
    <row r="18567" spans="32:32" x14ac:dyDescent="0.2">
      <c r="AF18567" s="679"/>
    </row>
    <row r="18568" spans="32:32" x14ac:dyDescent="0.2">
      <c r="AF18568" s="679"/>
    </row>
    <row r="18569" spans="32:32" x14ac:dyDescent="0.2">
      <c r="AF18569" s="679"/>
    </row>
    <row r="18570" spans="32:32" x14ac:dyDescent="0.2">
      <c r="AF18570" s="679"/>
    </row>
    <row r="18571" spans="32:32" x14ac:dyDescent="0.2">
      <c r="AF18571" s="679"/>
    </row>
    <row r="18572" spans="32:32" x14ac:dyDescent="0.2">
      <c r="AF18572" s="679"/>
    </row>
    <row r="18573" spans="32:32" x14ac:dyDescent="0.2">
      <c r="AF18573" s="679"/>
    </row>
    <row r="18574" spans="32:32" x14ac:dyDescent="0.2">
      <c r="AF18574" s="679"/>
    </row>
    <row r="18575" spans="32:32" x14ac:dyDescent="0.2">
      <c r="AF18575" s="679"/>
    </row>
    <row r="18576" spans="32:32" x14ac:dyDescent="0.2">
      <c r="AF18576" s="679"/>
    </row>
    <row r="18577" spans="32:32" x14ac:dyDescent="0.2">
      <c r="AF18577" s="679"/>
    </row>
    <row r="18578" spans="32:32" x14ac:dyDescent="0.2">
      <c r="AF18578" s="679"/>
    </row>
    <row r="18579" spans="32:32" x14ac:dyDescent="0.2">
      <c r="AF18579" s="679"/>
    </row>
    <row r="18580" spans="32:32" x14ac:dyDescent="0.2">
      <c r="AF18580" s="679"/>
    </row>
    <row r="18581" spans="32:32" x14ac:dyDescent="0.2">
      <c r="AF18581" s="679"/>
    </row>
    <row r="18582" spans="32:32" x14ac:dyDescent="0.2">
      <c r="AF18582" s="679"/>
    </row>
    <row r="18583" spans="32:32" x14ac:dyDescent="0.2">
      <c r="AF18583" s="679"/>
    </row>
    <row r="18584" spans="32:32" x14ac:dyDescent="0.2">
      <c r="AF18584" s="679"/>
    </row>
    <row r="18585" spans="32:32" x14ac:dyDescent="0.2">
      <c r="AF18585" s="679"/>
    </row>
    <row r="18586" spans="32:32" x14ac:dyDescent="0.2">
      <c r="AF18586" s="679"/>
    </row>
    <row r="18587" spans="32:32" x14ac:dyDescent="0.2">
      <c r="AF18587" s="679"/>
    </row>
    <row r="18588" spans="32:32" x14ac:dyDescent="0.2">
      <c r="AF18588" s="679"/>
    </row>
    <row r="18589" spans="32:32" x14ac:dyDescent="0.2">
      <c r="AF18589" s="679"/>
    </row>
    <row r="18590" spans="32:32" x14ac:dyDescent="0.2">
      <c r="AF18590" s="679"/>
    </row>
    <row r="18591" spans="32:32" x14ac:dyDescent="0.2">
      <c r="AF18591" s="679"/>
    </row>
    <row r="18592" spans="32:32" x14ac:dyDescent="0.2">
      <c r="AF18592" s="679"/>
    </row>
    <row r="18593" spans="32:32" x14ac:dyDescent="0.2">
      <c r="AF18593" s="679"/>
    </row>
    <row r="18594" spans="32:32" x14ac:dyDescent="0.2">
      <c r="AF18594" s="679"/>
    </row>
    <row r="18595" spans="32:32" x14ac:dyDescent="0.2">
      <c r="AF18595" s="679"/>
    </row>
    <row r="18596" spans="32:32" x14ac:dyDescent="0.2">
      <c r="AF18596" s="679"/>
    </row>
    <row r="18597" spans="32:32" x14ac:dyDescent="0.2">
      <c r="AF18597" s="679"/>
    </row>
    <row r="18598" spans="32:32" x14ac:dyDescent="0.2">
      <c r="AF18598" s="679"/>
    </row>
    <row r="18599" spans="32:32" x14ac:dyDescent="0.2">
      <c r="AF18599" s="679"/>
    </row>
    <row r="18600" spans="32:32" x14ac:dyDescent="0.2">
      <c r="AF18600" s="679"/>
    </row>
    <row r="18601" spans="32:32" x14ac:dyDescent="0.2">
      <c r="AF18601" s="679"/>
    </row>
    <row r="18602" spans="32:32" x14ac:dyDescent="0.2">
      <c r="AF18602" s="679"/>
    </row>
    <row r="18603" spans="32:32" x14ac:dyDescent="0.2">
      <c r="AF18603" s="679"/>
    </row>
    <row r="18604" spans="32:32" x14ac:dyDescent="0.2">
      <c r="AF18604" s="679"/>
    </row>
    <row r="18605" spans="32:32" x14ac:dyDescent="0.2">
      <c r="AF18605" s="679"/>
    </row>
    <row r="18606" spans="32:32" x14ac:dyDescent="0.2">
      <c r="AF18606" s="679"/>
    </row>
    <row r="18607" spans="32:32" x14ac:dyDescent="0.2">
      <c r="AF18607" s="679"/>
    </row>
    <row r="18608" spans="32:32" x14ac:dyDescent="0.2">
      <c r="AF18608" s="679"/>
    </row>
    <row r="18609" spans="32:32" x14ac:dyDescent="0.2">
      <c r="AF18609" s="679"/>
    </row>
    <row r="18610" spans="32:32" x14ac:dyDescent="0.2">
      <c r="AF18610" s="679"/>
    </row>
    <row r="18611" spans="32:32" x14ac:dyDescent="0.2">
      <c r="AF18611" s="679"/>
    </row>
    <row r="18612" spans="32:32" x14ac:dyDescent="0.2">
      <c r="AF18612" s="679"/>
    </row>
    <row r="18613" spans="32:32" x14ac:dyDescent="0.2">
      <c r="AF18613" s="679"/>
    </row>
    <row r="18614" spans="32:32" x14ac:dyDescent="0.2">
      <c r="AF18614" s="679"/>
    </row>
    <row r="18615" spans="32:32" x14ac:dyDescent="0.2">
      <c r="AF18615" s="679"/>
    </row>
    <row r="18616" spans="32:32" x14ac:dyDescent="0.2">
      <c r="AF18616" s="679"/>
    </row>
    <row r="18617" spans="32:32" x14ac:dyDescent="0.2">
      <c r="AF18617" s="679"/>
    </row>
    <row r="18618" spans="32:32" x14ac:dyDescent="0.2">
      <c r="AF18618" s="679"/>
    </row>
    <row r="18619" spans="32:32" x14ac:dyDescent="0.2">
      <c r="AF18619" s="679"/>
    </row>
    <row r="18620" spans="32:32" x14ac:dyDescent="0.2">
      <c r="AF18620" s="679"/>
    </row>
    <row r="18621" spans="32:32" x14ac:dyDescent="0.2">
      <c r="AF18621" s="679"/>
    </row>
    <row r="18622" spans="32:32" x14ac:dyDescent="0.2">
      <c r="AF18622" s="679"/>
    </row>
    <row r="18623" spans="32:32" x14ac:dyDescent="0.2">
      <c r="AF18623" s="679"/>
    </row>
    <row r="18624" spans="32:32" x14ac:dyDescent="0.2">
      <c r="AF18624" s="679"/>
    </row>
    <row r="18625" spans="32:32" x14ac:dyDescent="0.2">
      <c r="AF18625" s="679"/>
    </row>
    <row r="18626" spans="32:32" x14ac:dyDescent="0.2">
      <c r="AF18626" s="679"/>
    </row>
    <row r="18627" spans="32:32" x14ac:dyDescent="0.2">
      <c r="AF18627" s="679"/>
    </row>
    <row r="18628" spans="32:32" x14ac:dyDescent="0.2">
      <c r="AF18628" s="679"/>
    </row>
    <row r="18629" spans="32:32" x14ac:dyDescent="0.2">
      <c r="AF18629" s="679"/>
    </row>
    <row r="18630" spans="32:32" x14ac:dyDescent="0.2">
      <c r="AF18630" s="679"/>
    </row>
    <row r="18631" spans="32:32" x14ac:dyDescent="0.2">
      <c r="AF18631" s="679"/>
    </row>
    <row r="18632" spans="32:32" x14ac:dyDescent="0.2">
      <c r="AF18632" s="679"/>
    </row>
    <row r="18633" spans="32:32" x14ac:dyDescent="0.2">
      <c r="AF18633" s="679"/>
    </row>
    <row r="18634" spans="32:32" x14ac:dyDescent="0.2">
      <c r="AF18634" s="679"/>
    </row>
    <row r="18635" spans="32:32" x14ac:dyDescent="0.2">
      <c r="AF18635" s="679"/>
    </row>
    <row r="18636" spans="32:32" x14ac:dyDescent="0.2">
      <c r="AF18636" s="679"/>
    </row>
    <row r="18637" spans="32:32" x14ac:dyDescent="0.2">
      <c r="AF18637" s="679"/>
    </row>
    <row r="18638" spans="32:32" x14ac:dyDescent="0.2">
      <c r="AF18638" s="679"/>
    </row>
    <row r="18639" spans="32:32" x14ac:dyDescent="0.2">
      <c r="AF18639" s="679"/>
    </row>
    <row r="18640" spans="32:32" x14ac:dyDescent="0.2">
      <c r="AF18640" s="679"/>
    </row>
    <row r="18641" spans="32:32" x14ac:dyDescent="0.2">
      <c r="AF18641" s="679"/>
    </row>
    <row r="18642" spans="32:32" x14ac:dyDescent="0.2">
      <c r="AF18642" s="679"/>
    </row>
    <row r="18643" spans="32:32" x14ac:dyDescent="0.2">
      <c r="AF18643" s="679"/>
    </row>
    <row r="18644" spans="32:32" x14ac:dyDescent="0.2">
      <c r="AF18644" s="679"/>
    </row>
    <row r="18645" spans="32:32" x14ac:dyDescent="0.2">
      <c r="AF18645" s="679"/>
    </row>
    <row r="18646" spans="32:32" x14ac:dyDescent="0.2">
      <c r="AF18646" s="679"/>
    </row>
    <row r="18647" spans="32:32" x14ac:dyDescent="0.2">
      <c r="AF18647" s="679"/>
    </row>
    <row r="18648" spans="32:32" x14ac:dyDescent="0.2">
      <c r="AF18648" s="679"/>
    </row>
    <row r="18649" spans="32:32" x14ac:dyDescent="0.2">
      <c r="AF18649" s="679"/>
    </row>
    <row r="18650" spans="32:32" x14ac:dyDescent="0.2">
      <c r="AF18650" s="679"/>
    </row>
    <row r="18651" spans="32:32" x14ac:dyDescent="0.2">
      <c r="AF18651" s="679"/>
    </row>
    <row r="18652" spans="32:32" x14ac:dyDescent="0.2">
      <c r="AF18652" s="679"/>
    </row>
    <row r="18653" spans="32:32" x14ac:dyDescent="0.2">
      <c r="AF18653" s="679"/>
    </row>
    <row r="18654" spans="32:32" x14ac:dyDescent="0.2">
      <c r="AF18654" s="679"/>
    </row>
    <row r="18655" spans="32:32" x14ac:dyDescent="0.2">
      <c r="AF18655" s="679"/>
    </row>
    <row r="18656" spans="32:32" x14ac:dyDescent="0.2">
      <c r="AF18656" s="679"/>
    </row>
    <row r="18657" spans="32:32" x14ac:dyDescent="0.2">
      <c r="AF18657" s="679"/>
    </row>
    <row r="18658" spans="32:32" x14ac:dyDescent="0.2">
      <c r="AF18658" s="679"/>
    </row>
    <row r="18659" spans="32:32" x14ac:dyDescent="0.2">
      <c r="AF18659" s="679"/>
    </row>
    <row r="18660" spans="32:32" x14ac:dyDescent="0.2">
      <c r="AF18660" s="679"/>
    </row>
    <row r="18661" spans="32:32" x14ac:dyDescent="0.2">
      <c r="AF18661" s="679"/>
    </row>
    <row r="18662" spans="32:32" x14ac:dyDescent="0.2">
      <c r="AF18662" s="679"/>
    </row>
    <row r="18663" spans="32:32" x14ac:dyDescent="0.2">
      <c r="AF18663" s="679"/>
    </row>
    <row r="18664" spans="32:32" x14ac:dyDescent="0.2">
      <c r="AF18664" s="679"/>
    </row>
    <row r="18665" spans="32:32" x14ac:dyDescent="0.2">
      <c r="AF18665" s="679"/>
    </row>
    <row r="18666" spans="32:32" x14ac:dyDescent="0.2">
      <c r="AF18666" s="679"/>
    </row>
    <row r="18667" spans="32:32" x14ac:dyDescent="0.2">
      <c r="AF18667" s="679"/>
    </row>
    <row r="18668" spans="32:32" x14ac:dyDescent="0.2">
      <c r="AF18668" s="679"/>
    </row>
    <row r="18669" spans="32:32" x14ac:dyDescent="0.2">
      <c r="AF18669" s="679"/>
    </row>
    <row r="18670" spans="32:32" x14ac:dyDescent="0.2">
      <c r="AF18670" s="679"/>
    </row>
    <row r="18671" spans="32:32" x14ac:dyDescent="0.2">
      <c r="AF18671" s="679"/>
    </row>
    <row r="18672" spans="32:32" x14ac:dyDescent="0.2">
      <c r="AF18672" s="679"/>
    </row>
    <row r="18673" spans="32:32" x14ac:dyDescent="0.2">
      <c r="AF18673" s="679"/>
    </row>
    <row r="18674" spans="32:32" x14ac:dyDescent="0.2">
      <c r="AF18674" s="679"/>
    </row>
    <row r="18675" spans="32:32" x14ac:dyDescent="0.2">
      <c r="AF18675" s="679"/>
    </row>
    <row r="18676" spans="32:32" x14ac:dyDescent="0.2">
      <c r="AF18676" s="679"/>
    </row>
    <row r="18677" spans="32:32" x14ac:dyDescent="0.2">
      <c r="AF18677" s="679"/>
    </row>
    <row r="18678" spans="32:32" x14ac:dyDescent="0.2">
      <c r="AF18678" s="679"/>
    </row>
    <row r="18679" spans="32:32" x14ac:dyDescent="0.2">
      <c r="AF18679" s="679"/>
    </row>
    <row r="18680" spans="32:32" x14ac:dyDescent="0.2">
      <c r="AF18680" s="679"/>
    </row>
    <row r="18681" spans="32:32" x14ac:dyDescent="0.2">
      <c r="AF18681" s="679"/>
    </row>
    <row r="18682" spans="32:32" x14ac:dyDescent="0.2">
      <c r="AF18682" s="679"/>
    </row>
    <row r="18683" spans="32:32" x14ac:dyDescent="0.2">
      <c r="AF18683" s="679"/>
    </row>
    <row r="18684" spans="32:32" x14ac:dyDescent="0.2">
      <c r="AF18684" s="679"/>
    </row>
    <row r="18685" spans="32:32" x14ac:dyDescent="0.2">
      <c r="AF18685" s="679"/>
    </row>
    <row r="18686" spans="32:32" x14ac:dyDescent="0.2">
      <c r="AF18686" s="679"/>
    </row>
    <row r="18687" spans="32:32" x14ac:dyDescent="0.2">
      <c r="AF18687" s="679"/>
    </row>
    <row r="18688" spans="32:32" x14ac:dyDescent="0.2">
      <c r="AF18688" s="679"/>
    </row>
    <row r="18689" spans="32:32" x14ac:dyDescent="0.2">
      <c r="AF18689" s="679"/>
    </row>
    <row r="18690" spans="32:32" x14ac:dyDescent="0.2">
      <c r="AF18690" s="679"/>
    </row>
    <row r="18691" spans="32:32" x14ac:dyDescent="0.2">
      <c r="AF18691" s="679"/>
    </row>
    <row r="18692" spans="32:32" x14ac:dyDescent="0.2">
      <c r="AF18692" s="679"/>
    </row>
    <row r="18693" spans="32:32" x14ac:dyDescent="0.2">
      <c r="AF18693" s="679"/>
    </row>
    <row r="18694" spans="32:32" x14ac:dyDescent="0.2">
      <c r="AF18694" s="679"/>
    </row>
    <row r="18695" spans="32:32" x14ac:dyDescent="0.2">
      <c r="AF18695" s="679"/>
    </row>
    <row r="18696" spans="32:32" x14ac:dyDescent="0.2">
      <c r="AF18696" s="679"/>
    </row>
    <row r="18697" spans="32:32" x14ac:dyDescent="0.2">
      <c r="AF18697" s="679"/>
    </row>
    <row r="18698" spans="32:32" x14ac:dyDescent="0.2">
      <c r="AF18698" s="679"/>
    </row>
    <row r="18699" spans="32:32" x14ac:dyDescent="0.2">
      <c r="AF18699" s="679"/>
    </row>
    <row r="18700" spans="32:32" x14ac:dyDescent="0.2">
      <c r="AF18700" s="679"/>
    </row>
    <row r="18701" spans="32:32" x14ac:dyDescent="0.2">
      <c r="AF18701" s="679"/>
    </row>
    <row r="18702" spans="32:32" x14ac:dyDescent="0.2">
      <c r="AF18702" s="679"/>
    </row>
    <row r="18703" spans="32:32" x14ac:dyDescent="0.2">
      <c r="AF18703" s="679"/>
    </row>
    <row r="18704" spans="32:32" x14ac:dyDescent="0.2">
      <c r="AF18704" s="679"/>
    </row>
    <row r="18705" spans="32:32" x14ac:dyDescent="0.2">
      <c r="AF18705" s="679"/>
    </row>
    <row r="18706" spans="32:32" x14ac:dyDescent="0.2">
      <c r="AF18706" s="679"/>
    </row>
    <row r="18707" spans="32:32" x14ac:dyDescent="0.2">
      <c r="AF18707" s="679"/>
    </row>
    <row r="18708" spans="32:32" x14ac:dyDescent="0.2">
      <c r="AF18708" s="679"/>
    </row>
    <row r="18709" spans="32:32" x14ac:dyDescent="0.2">
      <c r="AF18709" s="679"/>
    </row>
    <row r="18710" spans="32:32" x14ac:dyDescent="0.2">
      <c r="AF18710" s="679"/>
    </row>
    <row r="18711" spans="32:32" x14ac:dyDescent="0.2">
      <c r="AF18711" s="679"/>
    </row>
    <row r="18712" spans="32:32" x14ac:dyDescent="0.2">
      <c r="AF18712" s="679"/>
    </row>
    <row r="18713" spans="32:32" x14ac:dyDescent="0.2">
      <c r="AF18713" s="679"/>
    </row>
    <row r="18714" spans="32:32" x14ac:dyDescent="0.2">
      <c r="AF18714" s="679"/>
    </row>
    <row r="18715" spans="32:32" x14ac:dyDescent="0.2">
      <c r="AF18715" s="679"/>
    </row>
    <row r="18716" spans="32:32" x14ac:dyDescent="0.2">
      <c r="AF18716" s="679"/>
    </row>
    <row r="18717" spans="32:32" x14ac:dyDescent="0.2">
      <c r="AF18717" s="679"/>
    </row>
    <row r="18718" spans="32:32" x14ac:dyDescent="0.2">
      <c r="AF18718" s="679"/>
    </row>
    <row r="18719" spans="32:32" x14ac:dyDescent="0.2">
      <c r="AF18719" s="679"/>
    </row>
    <row r="18720" spans="32:32" x14ac:dyDescent="0.2">
      <c r="AF18720" s="679"/>
    </row>
    <row r="18721" spans="32:32" x14ac:dyDescent="0.2">
      <c r="AF18721" s="679"/>
    </row>
    <row r="18722" spans="32:32" x14ac:dyDescent="0.2">
      <c r="AF18722" s="679"/>
    </row>
    <row r="18723" spans="32:32" x14ac:dyDescent="0.2">
      <c r="AF18723" s="679"/>
    </row>
    <row r="18724" spans="32:32" x14ac:dyDescent="0.2">
      <c r="AF18724" s="679"/>
    </row>
    <row r="18725" spans="32:32" x14ac:dyDescent="0.2">
      <c r="AF18725" s="679"/>
    </row>
    <row r="18726" spans="32:32" x14ac:dyDescent="0.2">
      <c r="AF18726" s="679"/>
    </row>
    <row r="18727" spans="32:32" x14ac:dyDescent="0.2">
      <c r="AF18727" s="679"/>
    </row>
    <row r="18728" spans="32:32" x14ac:dyDescent="0.2">
      <c r="AF18728" s="679"/>
    </row>
    <row r="18729" spans="32:32" x14ac:dyDescent="0.2">
      <c r="AF18729" s="679"/>
    </row>
    <row r="18730" spans="32:32" x14ac:dyDescent="0.2">
      <c r="AF18730" s="679"/>
    </row>
    <row r="18731" spans="32:32" x14ac:dyDescent="0.2">
      <c r="AF18731" s="679"/>
    </row>
    <row r="18732" spans="32:32" x14ac:dyDescent="0.2">
      <c r="AF18732" s="679"/>
    </row>
    <row r="18733" spans="32:32" x14ac:dyDescent="0.2">
      <c r="AF18733" s="679"/>
    </row>
    <row r="18734" spans="32:32" x14ac:dyDescent="0.2">
      <c r="AF18734" s="679"/>
    </row>
    <row r="18735" spans="32:32" x14ac:dyDescent="0.2">
      <c r="AF18735" s="679"/>
    </row>
    <row r="18736" spans="32:32" x14ac:dyDescent="0.2">
      <c r="AF18736" s="679"/>
    </row>
    <row r="18737" spans="32:32" x14ac:dyDescent="0.2">
      <c r="AF18737" s="679"/>
    </row>
    <row r="18738" spans="32:32" x14ac:dyDescent="0.2">
      <c r="AF18738" s="679"/>
    </row>
    <row r="18739" spans="32:32" x14ac:dyDescent="0.2">
      <c r="AF18739" s="679"/>
    </row>
    <row r="18740" spans="32:32" x14ac:dyDescent="0.2">
      <c r="AF18740" s="679"/>
    </row>
    <row r="18741" spans="32:32" x14ac:dyDescent="0.2">
      <c r="AF18741" s="679"/>
    </row>
    <row r="18742" spans="32:32" x14ac:dyDescent="0.2">
      <c r="AF18742" s="679"/>
    </row>
    <row r="18743" spans="32:32" x14ac:dyDescent="0.2">
      <c r="AF18743" s="679"/>
    </row>
    <row r="18744" spans="32:32" x14ac:dyDescent="0.2">
      <c r="AF18744" s="679"/>
    </row>
    <row r="18745" spans="32:32" x14ac:dyDescent="0.2">
      <c r="AF18745" s="679"/>
    </row>
    <row r="18746" spans="32:32" x14ac:dyDescent="0.2">
      <c r="AF18746" s="679"/>
    </row>
    <row r="18747" spans="32:32" x14ac:dyDescent="0.2">
      <c r="AF18747" s="679"/>
    </row>
    <row r="18748" spans="32:32" x14ac:dyDescent="0.2">
      <c r="AF18748" s="679"/>
    </row>
    <row r="18749" spans="32:32" x14ac:dyDescent="0.2">
      <c r="AF18749" s="679"/>
    </row>
    <row r="18750" spans="32:32" x14ac:dyDescent="0.2">
      <c r="AF18750" s="679"/>
    </row>
    <row r="18751" spans="32:32" x14ac:dyDescent="0.2">
      <c r="AF18751" s="679"/>
    </row>
    <row r="18752" spans="32:32" x14ac:dyDescent="0.2">
      <c r="AF18752" s="679"/>
    </row>
    <row r="18753" spans="32:32" x14ac:dyDescent="0.2">
      <c r="AF18753" s="679"/>
    </row>
    <row r="18754" spans="32:32" x14ac:dyDescent="0.2">
      <c r="AF18754" s="679"/>
    </row>
    <row r="18755" spans="32:32" x14ac:dyDescent="0.2">
      <c r="AF18755" s="679"/>
    </row>
    <row r="18756" spans="32:32" x14ac:dyDescent="0.2">
      <c r="AF18756" s="679"/>
    </row>
    <row r="18757" spans="32:32" x14ac:dyDescent="0.2">
      <c r="AF18757" s="679"/>
    </row>
    <row r="18758" spans="32:32" x14ac:dyDescent="0.2">
      <c r="AF18758" s="679"/>
    </row>
    <row r="18759" spans="32:32" x14ac:dyDescent="0.2">
      <c r="AF18759" s="679"/>
    </row>
    <row r="18760" spans="32:32" x14ac:dyDescent="0.2">
      <c r="AF18760" s="679"/>
    </row>
    <row r="18761" spans="32:32" x14ac:dyDescent="0.2">
      <c r="AF18761" s="679"/>
    </row>
    <row r="18762" spans="32:32" x14ac:dyDescent="0.2">
      <c r="AF18762" s="679"/>
    </row>
    <row r="18763" spans="32:32" x14ac:dyDescent="0.2">
      <c r="AF18763" s="679"/>
    </row>
    <row r="18764" spans="32:32" x14ac:dyDescent="0.2">
      <c r="AF18764" s="679"/>
    </row>
    <row r="18765" spans="32:32" x14ac:dyDescent="0.2">
      <c r="AF18765" s="679"/>
    </row>
    <row r="18766" spans="32:32" x14ac:dyDescent="0.2">
      <c r="AF18766" s="679"/>
    </row>
    <row r="18767" spans="32:32" x14ac:dyDescent="0.2">
      <c r="AF18767" s="679"/>
    </row>
    <row r="18768" spans="32:32" x14ac:dyDescent="0.2">
      <c r="AF18768" s="679"/>
    </row>
    <row r="18769" spans="32:32" x14ac:dyDescent="0.2">
      <c r="AF18769" s="679"/>
    </row>
    <row r="18770" spans="32:32" x14ac:dyDescent="0.2">
      <c r="AF18770" s="679"/>
    </row>
    <row r="18771" spans="32:32" x14ac:dyDescent="0.2">
      <c r="AF18771" s="679"/>
    </row>
    <row r="18772" spans="32:32" x14ac:dyDescent="0.2">
      <c r="AF18772" s="679"/>
    </row>
    <row r="18773" spans="32:32" x14ac:dyDescent="0.2">
      <c r="AF18773" s="679"/>
    </row>
    <row r="18774" spans="32:32" x14ac:dyDescent="0.2">
      <c r="AF18774" s="679"/>
    </row>
    <row r="18775" spans="32:32" x14ac:dyDescent="0.2">
      <c r="AF18775" s="679"/>
    </row>
    <row r="18776" spans="32:32" x14ac:dyDescent="0.2">
      <c r="AF18776" s="679"/>
    </row>
    <row r="18777" spans="32:32" x14ac:dyDescent="0.2">
      <c r="AF18777" s="679"/>
    </row>
    <row r="18778" spans="32:32" x14ac:dyDescent="0.2">
      <c r="AF18778" s="679"/>
    </row>
    <row r="18779" spans="32:32" x14ac:dyDescent="0.2">
      <c r="AF18779" s="679"/>
    </row>
    <row r="18780" spans="32:32" x14ac:dyDescent="0.2">
      <c r="AF18780" s="679"/>
    </row>
    <row r="18781" spans="32:32" x14ac:dyDescent="0.2">
      <c r="AF18781" s="679"/>
    </row>
    <row r="18782" spans="32:32" x14ac:dyDescent="0.2">
      <c r="AF18782" s="679"/>
    </row>
    <row r="18783" spans="32:32" x14ac:dyDescent="0.2">
      <c r="AF18783" s="679"/>
    </row>
    <row r="18784" spans="32:32" x14ac:dyDescent="0.2">
      <c r="AF18784" s="679"/>
    </row>
    <row r="18785" spans="32:32" x14ac:dyDescent="0.2">
      <c r="AF18785" s="679"/>
    </row>
    <row r="18786" spans="32:32" x14ac:dyDescent="0.2">
      <c r="AF18786" s="679"/>
    </row>
    <row r="18787" spans="32:32" x14ac:dyDescent="0.2">
      <c r="AF18787" s="679"/>
    </row>
    <row r="18788" spans="32:32" x14ac:dyDescent="0.2">
      <c r="AF18788" s="679"/>
    </row>
    <row r="18789" spans="32:32" x14ac:dyDescent="0.2">
      <c r="AF18789" s="679"/>
    </row>
    <row r="18790" spans="32:32" x14ac:dyDescent="0.2">
      <c r="AF18790" s="679"/>
    </row>
    <row r="18791" spans="32:32" x14ac:dyDescent="0.2">
      <c r="AF18791" s="679"/>
    </row>
    <row r="18792" spans="32:32" x14ac:dyDescent="0.2">
      <c r="AF18792" s="679"/>
    </row>
    <row r="18793" spans="32:32" x14ac:dyDescent="0.2">
      <c r="AF18793" s="679"/>
    </row>
    <row r="18794" spans="32:32" x14ac:dyDescent="0.2">
      <c r="AF18794" s="679"/>
    </row>
    <row r="18795" spans="32:32" x14ac:dyDescent="0.2">
      <c r="AF18795" s="679"/>
    </row>
    <row r="18796" spans="32:32" x14ac:dyDescent="0.2">
      <c r="AF18796" s="679"/>
    </row>
    <row r="18797" spans="32:32" x14ac:dyDescent="0.2">
      <c r="AF18797" s="679"/>
    </row>
    <row r="18798" spans="32:32" x14ac:dyDescent="0.2">
      <c r="AF18798" s="679"/>
    </row>
    <row r="18799" spans="32:32" x14ac:dyDescent="0.2">
      <c r="AF18799" s="679"/>
    </row>
    <row r="18800" spans="32:32" x14ac:dyDescent="0.2">
      <c r="AF18800" s="679"/>
    </row>
    <row r="18801" spans="32:32" x14ac:dyDescent="0.2">
      <c r="AF18801" s="679"/>
    </row>
    <row r="18802" spans="32:32" x14ac:dyDescent="0.2">
      <c r="AF18802" s="679"/>
    </row>
    <row r="18803" spans="32:32" x14ac:dyDescent="0.2">
      <c r="AF18803" s="679"/>
    </row>
    <row r="18804" spans="32:32" x14ac:dyDescent="0.2">
      <c r="AF18804" s="679"/>
    </row>
    <row r="18805" spans="32:32" x14ac:dyDescent="0.2">
      <c r="AF18805" s="679"/>
    </row>
    <row r="18806" spans="32:32" x14ac:dyDescent="0.2">
      <c r="AF18806" s="679"/>
    </row>
    <row r="18807" spans="32:32" x14ac:dyDescent="0.2">
      <c r="AF18807" s="679"/>
    </row>
    <row r="18808" spans="32:32" x14ac:dyDescent="0.2">
      <c r="AF18808" s="679"/>
    </row>
    <row r="18809" spans="32:32" x14ac:dyDescent="0.2">
      <c r="AF18809" s="679"/>
    </row>
    <row r="18810" spans="32:32" x14ac:dyDescent="0.2">
      <c r="AF18810" s="679"/>
    </row>
    <row r="18811" spans="32:32" x14ac:dyDescent="0.2">
      <c r="AF18811" s="679"/>
    </row>
    <row r="18812" spans="32:32" x14ac:dyDescent="0.2">
      <c r="AF18812" s="679"/>
    </row>
    <row r="18813" spans="32:32" x14ac:dyDescent="0.2">
      <c r="AF18813" s="679"/>
    </row>
    <row r="18814" spans="32:32" x14ac:dyDescent="0.2">
      <c r="AF18814" s="679"/>
    </row>
    <row r="18815" spans="32:32" x14ac:dyDescent="0.2">
      <c r="AF18815" s="679"/>
    </row>
    <row r="18816" spans="32:32" x14ac:dyDescent="0.2">
      <c r="AF18816" s="679"/>
    </row>
    <row r="18817" spans="32:32" x14ac:dyDescent="0.2">
      <c r="AF18817" s="679"/>
    </row>
    <row r="18818" spans="32:32" x14ac:dyDescent="0.2">
      <c r="AF18818" s="679"/>
    </row>
    <row r="18819" spans="32:32" x14ac:dyDescent="0.2">
      <c r="AF18819" s="679"/>
    </row>
    <row r="18820" spans="32:32" x14ac:dyDescent="0.2">
      <c r="AF18820" s="679"/>
    </row>
    <row r="18821" spans="32:32" x14ac:dyDescent="0.2">
      <c r="AF18821" s="679"/>
    </row>
    <row r="18822" spans="32:32" x14ac:dyDescent="0.2">
      <c r="AF18822" s="679"/>
    </row>
    <row r="18823" spans="32:32" x14ac:dyDescent="0.2">
      <c r="AF18823" s="679"/>
    </row>
    <row r="18824" spans="32:32" x14ac:dyDescent="0.2">
      <c r="AF18824" s="679"/>
    </row>
    <row r="18825" spans="32:32" x14ac:dyDescent="0.2">
      <c r="AF18825" s="679"/>
    </row>
    <row r="18826" spans="32:32" x14ac:dyDescent="0.2">
      <c r="AF18826" s="679"/>
    </row>
    <row r="18827" spans="32:32" x14ac:dyDescent="0.2">
      <c r="AF18827" s="679"/>
    </row>
    <row r="18828" spans="32:32" x14ac:dyDescent="0.2">
      <c r="AF18828" s="679"/>
    </row>
    <row r="18829" spans="32:32" x14ac:dyDescent="0.2">
      <c r="AF18829" s="679"/>
    </row>
    <row r="18830" spans="32:32" x14ac:dyDescent="0.2">
      <c r="AF18830" s="679"/>
    </row>
    <row r="18831" spans="32:32" x14ac:dyDescent="0.2">
      <c r="AF18831" s="679"/>
    </row>
    <row r="18832" spans="32:32" x14ac:dyDescent="0.2">
      <c r="AF18832" s="679"/>
    </row>
    <row r="18833" spans="32:32" x14ac:dyDescent="0.2">
      <c r="AF18833" s="679"/>
    </row>
    <row r="18834" spans="32:32" x14ac:dyDescent="0.2">
      <c r="AF18834" s="679"/>
    </row>
    <row r="18835" spans="32:32" x14ac:dyDescent="0.2">
      <c r="AF18835" s="679"/>
    </row>
    <row r="18836" spans="32:32" x14ac:dyDescent="0.2">
      <c r="AF18836" s="679"/>
    </row>
    <row r="18837" spans="32:32" x14ac:dyDescent="0.2">
      <c r="AF18837" s="679"/>
    </row>
    <row r="18838" spans="32:32" x14ac:dyDescent="0.2">
      <c r="AF18838" s="679"/>
    </row>
    <row r="18839" spans="32:32" x14ac:dyDescent="0.2">
      <c r="AF18839" s="679"/>
    </row>
    <row r="18840" spans="32:32" x14ac:dyDescent="0.2">
      <c r="AF18840" s="679"/>
    </row>
    <row r="18841" spans="32:32" x14ac:dyDescent="0.2">
      <c r="AF18841" s="679"/>
    </row>
    <row r="18842" spans="32:32" x14ac:dyDescent="0.2">
      <c r="AF18842" s="679"/>
    </row>
    <row r="18843" spans="32:32" x14ac:dyDescent="0.2">
      <c r="AF18843" s="679"/>
    </row>
    <row r="18844" spans="32:32" x14ac:dyDescent="0.2">
      <c r="AF18844" s="679"/>
    </row>
    <row r="18845" spans="32:32" x14ac:dyDescent="0.2">
      <c r="AF18845" s="679"/>
    </row>
    <row r="18846" spans="32:32" x14ac:dyDescent="0.2">
      <c r="AF18846" s="679"/>
    </row>
    <row r="18847" spans="32:32" x14ac:dyDescent="0.2">
      <c r="AF18847" s="679"/>
    </row>
    <row r="18848" spans="32:32" x14ac:dyDescent="0.2">
      <c r="AF18848" s="679"/>
    </row>
    <row r="18849" spans="32:32" x14ac:dyDescent="0.2">
      <c r="AF18849" s="679"/>
    </row>
    <row r="18850" spans="32:32" x14ac:dyDescent="0.2">
      <c r="AF18850" s="679"/>
    </row>
    <row r="18851" spans="32:32" x14ac:dyDescent="0.2">
      <c r="AF18851" s="679"/>
    </row>
    <row r="18852" spans="32:32" x14ac:dyDescent="0.2">
      <c r="AF18852" s="679"/>
    </row>
    <row r="18853" spans="32:32" x14ac:dyDescent="0.2">
      <c r="AF18853" s="679"/>
    </row>
    <row r="18854" spans="32:32" x14ac:dyDescent="0.2">
      <c r="AF18854" s="679"/>
    </row>
    <row r="18855" spans="32:32" x14ac:dyDescent="0.2">
      <c r="AF18855" s="679"/>
    </row>
    <row r="18856" spans="32:32" x14ac:dyDescent="0.2">
      <c r="AF18856" s="679"/>
    </row>
    <row r="18857" spans="32:32" x14ac:dyDescent="0.2">
      <c r="AF18857" s="679"/>
    </row>
    <row r="18858" spans="32:32" x14ac:dyDescent="0.2">
      <c r="AF18858" s="679"/>
    </row>
    <row r="18859" spans="32:32" x14ac:dyDescent="0.2">
      <c r="AF18859" s="679"/>
    </row>
    <row r="18860" spans="32:32" x14ac:dyDescent="0.2">
      <c r="AF18860" s="679"/>
    </row>
    <row r="18861" spans="32:32" x14ac:dyDescent="0.2">
      <c r="AF18861" s="679"/>
    </row>
    <row r="18862" spans="32:32" x14ac:dyDescent="0.2">
      <c r="AF18862" s="679"/>
    </row>
    <row r="18863" spans="32:32" x14ac:dyDescent="0.2">
      <c r="AF18863" s="679"/>
    </row>
    <row r="18864" spans="32:32" x14ac:dyDescent="0.2">
      <c r="AF18864" s="679"/>
    </row>
    <row r="18865" spans="32:32" x14ac:dyDescent="0.2">
      <c r="AF18865" s="679"/>
    </row>
    <row r="18866" spans="32:32" x14ac:dyDescent="0.2">
      <c r="AF18866" s="679"/>
    </row>
    <row r="18867" spans="32:32" x14ac:dyDescent="0.2">
      <c r="AF18867" s="679"/>
    </row>
    <row r="18868" spans="32:32" x14ac:dyDescent="0.2">
      <c r="AF18868" s="679"/>
    </row>
    <row r="18869" spans="32:32" x14ac:dyDescent="0.2">
      <c r="AF18869" s="679"/>
    </row>
    <row r="18870" spans="32:32" x14ac:dyDescent="0.2">
      <c r="AF18870" s="679"/>
    </row>
    <row r="18871" spans="32:32" x14ac:dyDescent="0.2">
      <c r="AF18871" s="679"/>
    </row>
    <row r="18872" spans="32:32" x14ac:dyDescent="0.2">
      <c r="AF18872" s="679"/>
    </row>
    <row r="18873" spans="32:32" x14ac:dyDescent="0.2">
      <c r="AF18873" s="679"/>
    </row>
    <row r="18874" spans="32:32" x14ac:dyDescent="0.2">
      <c r="AF18874" s="679"/>
    </row>
    <row r="18875" spans="32:32" x14ac:dyDescent="0.2">
      <c r="AF18875" s="679"/>
    </row>
    <row r="18876" spans="32:32" x14ac:dyDescent="0.2">
      <c r="AF18876" s="679"/>
    </row>
    <row r="18877" spans="32:32" x14ac:dyDescent="0.2">
      <c r="AF18877" s="679"/>
    </row>
    <row r="18878" spans="32:32" x14ac:dyDescent="0.2">
      <c r="AF18878" s="679"/>
    </row>
    <row r="18879" spans="32:32" x14ac:dyDescent="0.2">
      <c r="AF18879" s="679"/>
    </row>
    <row r="18880" spans="32:32" x14ac:dyDescent="0.2">
      <c r="AF18880" s="679"/>
    </row>
    <row r="18881" spans="32:32" x14ac:dyDescent="0.2">
      <c r="AF18881" s="679"/>
    </row>
    <row r="18882" spans="32:32" x14ac:dyDescent="0.2">
      <c r="AF18882" s="679"/>
    </row>
    <row r="18883" spans="32:32" x14ac:dyDescent="0.2">
      <c r="AF18883" s="679"/>
    </row>
    <row r="18884" spans="32:32" x14ac:dyDescent="0.2">
      <c r="AF18884" s="679"/>
    </row>
    <row r="18885" spans="32:32" x14ac:dyDescent="0.2">
      <c r="AF18885" s="679"/>
    </row>
    <row r="18886" spans="32:32" x14ac:dyDescent="0.2">
      <c r="AF18886" s="679"/>
    </row>
    <row r="18887" spans="32:32" x14ac:dyDescent="0.2">
      <c r="AF18887" s="679"/>
    </row>
    <row r="18888" spans="32:32" x14ac:dyDescent="0.2">
      <c r="AF18888" s="679"/>
    </row>
    <row r="18889" spans="32:32" x14ac:dyDescent="0.2">
      <c r="AF18889" s="679"/>
    </row>
    <row r="18890" spans="32:32" x14ac:dyDescent="0.2">
      <c r="AF18890" s="679"/>
    </row>
    <row r="18891" spans="32:32" x14ac:dyDescent="0.2">
      <c r="AF18891" s="679"/>
    </row>
    <row r="18892" spans="32:32" x14ac:dyDescent="0.2">
      <c r="AF18892" s="679"/>
    </row>
    <row r="18893" spans="32:32" x14ac:dyDescent="0.2">
      <c r="AF18893" s="679"/>
    </row>
    <row r="18894" spans="32:32" x14ac:dyDescent="0.2">
      <c r="AF18894" s="679"/>
    </row>
    <row r="18895" spans="32:32" x14ac:dyDescent="0.2">
      <c r="AF18895" s="679"/>
    </row>
    <row r="18896" spans="32:32" x14ac:dyDescent="0.2">
      <c r="AF18896" s="679"/>
    </row>
    <row r="18897" spans="32:32" x14ac:dyDescent="0.2">
      <c r="AF18897" s="679"/>
    </row>
    <row r="18898" spans="32:32" x14ac:dyDescent="0.2">
      <c r="AF18898" s="679"/>
    </row>
    <row r="18899" spans="32:32" x14ac:dyDescent="0.2">
      <c r="AF18899" s="679"/>
    </row>
    <row r="18900" spans="32:32" x14ac:dyDescent="0.2">
      <c r="AF18900" s="679"/>
    </row>
    <row r="18901" spans="32:32" x14ac:dyDescent="0.2">
      <c r="AF18901" s="679"/>
    </row>
    <row r="18902" spans="32:32" x14ac:dyDescent="0.2">
      <c r="AF18902" s="679"/>
    </row>
    <row r="18903" spans="32:32" x14ac:dyDescent="0.2">
      <c r="AF18903" s="679"/>
    </row>
    <row r="18904" spans="32:32" x14ac:dyDescent="0.2">
      <c r="AF18904" s="679"/>
    </row>
    <row r="18905" spans="32:32" x14ac:dyDescent="0.2">
      <c r="AF18905" s="679"/>
    </row>
    <row r="18906" spans="32:32" x14ac:dyDescent="0.2">
      <c r="AF18906" s="679"/>
    </row>
    <row r="18907" spans="32:32" x14ac:dyDescent="0.2">
      <c r="AF18907" s="679"/>
    </row>
    <row r="18908" spans="32:32" x14ac:dyDescent="0.2">
      <c r="AF18908" s="679"/>
    </row>
    <row r="18909" spans="32:32" x14ac:dyDescent="0.2">
      <c r="AF18909" s="679"/>
    </row>
    <row r="18910" spans="32:32" x14ac:dyDescent="0.2">
      <c r="AF18910" s="679"/>
    </row>
    <row r="18911" spans="32:32" x14ac:dyDescent="0.2">
      <c r="AF18911" s="679"/>
    </row>
    <row r="18912" spans="32:32" x14ac:dyDescent="0.2">
      <c r="AF18912" s="679"/>
    </row>
    <row r="18913" spans="32:32" x14ac:dyDescent="0.2">
      <c r="AF18913" s="679"/>
    </row>
    <row r="18914" spans="32:32" x14ac:dyDescent="0.2">
      <c r="AF18914" s="679"/>
    </row>
    <row r="18915" spans="32:32" x14ac:dyDescent="0.2">
      <c r="AF18915" s="679"/>
    </row>
    <row r="18916" spans="32:32" x14ac:dyDescent="0.2">
      <c r="AF18916" s="679"/>
    </row>
    <row r="18917" spans="32:32" x14ac:dyDescent="0.2">
      <c r="AF18917" s="679"/>
    </row>
    <row r="18918" spans="32:32" x14ac:dyDescent="0.2">
      <c r="AF18918" s="679"/>
    </row>
    <row r="18919" spans="32:32" x14ac:dyDescent="0.2">
      <c r="AF18919" s="679"/>
    </row>
    <row r="18920" spans="32:32" x14ac:dyDescent="0.2">
      <c r="AF18920" s="679"/>
    </row>
    <row r="18921" spans="32:32" x14ac:dyDescent="0.2">
      <c r="AF18921" s="679"/>
    </row>
    <row r="18922" spans="32:32" x14ac:dyDescent="0.2">
      <c r="AF18922" s="679"/>
    </row>
    <row r="18923" spans="32:32" x14ac:dyDescent="0.2">
      <c r="AF18923" s="679"/>
    </row>
    <row r="18924" spans="32:32" x14ac:dyDescent="0.2">
      <c r="AF18924" s="679"/>
    </row>
    <row r="18925" spans="32:32" x14ac:dyDescent="0.2">
      <c r="AF18925" s="679"/>
    </row>
    <row r="18926" spans="32:32" x14ac:dyDescent="0.2">
      <c r="AF18926" s="679"/>
    </row>
    <row r="18927" spans="32:32" x14ac:dyDescent="0.2">
      <c r="AF18927" s="679"/>
    </row>
    <row r="18928" spans="32:32" x14ac:dyDescent="0.2">
      <c r="AF18928" s="679"/>
    </row>
    <row r="18929" spans="32:32" x14ac:dyDescent="0.2">
      <c r="AF18929" s="679"/>
    </row>
    <row r="18930" spans="32:32" x14ac:dyDescent="0.2">
      <c r="AF18930" s="679"/>
    </row>
    <row r="18931" spans="32:32" x14ac:dyDescent="0.2">
      <c r="AF18931" s="679"/>
    </row>
    <row r="18932" spans="32:32" x14ac:dyDescent="0.2">
      <c r="AF18932" s="679"/>
    </row>
    <row r="18933" spans="32:32" x14ac:dyDescent="0.2">
      <c r="AF18933" s="679"/>
    </row>
    <row r="18934" spans="32:32" x14ac:dyDescent="0.2">
      <c r="AF18934" s="679"/>
    </row>
    <row r="18935" spans="32:32" x14ac:dyDescent="0.2">
      <c r="AF18935" s="679"/>
    </row>
    <row r="18936" spans="32:32" x14ac:dyDescent="0.2">
      <c r="AF18936" s="679"/>
    </row>
    <row r="18937" spans="32:32" x14ac:dyDescent="0.2">
      <c r="AF18937" s="679"/>
    </row>
    <row r="18938" spans="32:32" x14ac:dyDescent="0.2">
      <c r="AF18938" s="679"/>
    </row>
    <row r="18939" spans="32:32" x14ac:dyDescent="0.2">
      <c r="AF18939" s="679"/>
    </row>
    <row r="18940" spans="32:32" x14ac:dyDescent="0.2">
      <c r="AF18940" s="679"/>
    </row>
    <row r="18941" spans="32:32" x14ac:dyDescent="0.2">
      <c r="AF18941" s="679"/>
    </row>
    <row r="18942" spans="32:32" x14ac:dyDescent="0.2">
      <c r="AF18942" s="679"/>
    </row>
    <row r="18943" spans="32:32" x14ac:dyDescent="0.2">
      <c r="AF18943" s="679"/>
    </row>
    <row r="18944" spans="32:32" x14ac:dyDescent="0.2">
      <c r="AF18944" s="679"/>
    </row>
    <row r="18945" spans="32:32" x14ac:dyDescent="0.2">
      <c r="AF18945" s="679"/>
    </row>
    <row r="18946" spans="32:32" x14ac:dyDescent="0.2">
      <c r="AF18946" s="679"/>
    </row>
    <row r="18947" spans="32:32" x14ac:dyDescent="0.2">
      <c r="AF18947" s="679"/>
    </row>
    <row r="18948" spans="32:32" x14ac:dyDescent="0.2">
      <c r="AF18948" s="679"/>
    </row>
    <row r="18949" spans="32:32" x14ac:dyDescent="0.2">
      <c r="AF18949" s="679"/>
    </row>
    <row r="18950" spans="32:32" x14ac:dyDescent="0.2">
      <c r="AF18950" s="679"/>
    </row>
    <row r="18951" spans="32:32" x14ac:dyDescent="0.2">
      <c r="AF18951" s="679"/>
    </row>
    <row r="18952" spans="32:32" x14ac:dyDescent="0.2">
      <c r="AF18952" s="679"/>
    </row>
    <row r="18953" spans="32:32" x14ac:dyDescent="0.2">
      <c r="AF18953" s="679"/>
    </row>
    <row r="18954" spans="32:32" x14ac:dyDescent="0.2">
      <c r="AF18954" s="679"/>
    </row>
    <row r="18955" spans="32:32" x14ac:dyDescent="0.2">
      <c r="AF18955" s="679"/>
    </row>
    <row r="18956" spans="32:32" x14ac:dyDescent="0.2">
      <c r="AF18956" s="679"/>
    </row>
    <row r="18957" spans="32:32" x14ac:dyDescent="0.2">
      <c r="AF18957" s="679"/>
    </row>
    <row r="18958" spans="32:32" x14ac:dyDescent="0.2">
      <c r="AF18958" s="679"/>
    </row>
    <row r="18959" spans="32:32" x14ac:dyDescent="0.2">
      <c r="AF18959" s="679"/>
    </row>
    <row r="18960" spans="32:32" x14ac:dyDescent="0.2">
      <c r="AF18960" s="679"/>
    </row>
    <row r="18961" spans="32:32" x14ac:dyDescent="0.2">
      <c r="AF18961" s="679"/>
    </row>
    <row r="18962" spans="32:32" x14ac:dyDescent="0.2">
      <c r="AF18962" s="679"/>
    </row>
    <row r="18963" spans="32:32" x14ac:dyDescent="0.2">
      <c r="AF18963" s="679"/>
    </row>
    <row r="18964" spans="32:32" x14ac:dyDescent="0.2">
      <c r="AF18964" s="679"/>
    </row>
    <row r="18965" spans="32:32" x14ac:dyDescent="0.2">
      <c r="AF18965" s="679"/>
    </row>
    <row r="18966" spans="32:32" x14ac:dyDescent="0.2">
      <c r="AF18966" s="679"/>
    </row>
    <row r="18967" spans="32:32" x14ac:dyDescent="0.2">
      <c r="AF18967" s="679"/>
    </row>
    <row r="18968" spans="32:32" x14ac:dyDescent="0.2">
      <c r="AF18968" s="679"/>
    </row>
    <row r="18969" spans="32:32" x14ac:dyDescent="0.2">
      <c r="AF18969" s="679"/>
    </row>
    <row r="18970" spans="32:32" x14ac:dyDescent="0.2">
      <c r="AF18970" s="679"/>
    </row>
    <row r="18971" spans="32:32" x14ac:dyDescent="0.2">
      <c r="AF18971" s="679"/>
    </row>
    <row r="18972" spans="32:32" x14ac:dyDescent="0.2">
      <c r="AF18972" s="679"/>
    </row>
    <row r="18973" spans="32:32" x14ac:dyDescent="0.2">
      <c r="AF18973" s="679"/>
    </row>
    <row r="18974" spans="32:32" x14ac:dyDescent="0.2">
      <c r="AF18974" s="679"/>
    </row>
    <row r="18975" spans="32:32" x14ac:dyDescent="0.2">
      <c r="AF18975" s="679"/>
    </row>
    <row r="18976" spans="32:32" x14ac:dyDescent="0.2">
      <c r="AF18976" s="679"/>
    </row>
    <row r="18977" spans="32:32" x14ac:dyDescent="0.2">
      <c r="AF18977" s="679"/>
    </row>
    <row r="18978" spans="32:32" x14ac:dyDescent="0.2">
      <c r="AF18978" s="679"/>
    </row>
    <row r="18979" spans="32:32" x14ac:dyDescent="0.2">
      <c r="AF18979" s="679"/>
    </row>
    <row r="18980" spans="32:32" x14ac:dyDescent="0.2">
      <c r="AF18980" s="679"/>
    </row>
    <row r="18981" spans="32:32" x14ac:dyDescent="0.2">
      <c r="AF18981" s="679"/>
    </row>
    <row r="18982" spans="32:32" x14ac:dyDescent="0.2">
      <c r="AF18982" s="679"/>
    </row>
    <row r="18983" spans="32:32" x14ac:dyDescent="0.2">
      <c r="AF18983" s="679"/>
    </row>
    <row r="18984" spans="32:32" x14ac:dyDescent="0.2">
      <c r="AF18984" s="679"/>
    </row>
    <row r="18985" spans="32:32" x14ac:dyDescent="0.2">
      <c r="AF18985" s="679"/>
    </row>
    <row r="18986" spans="32:32" x14ac:dyDescent="0.2">
      <c r="AF18986" s="679"/>
    </row>
    <row r="18987" spans="32:32" x14ac:dyDescent="0.2">
      <c r="AF18987" s="679"/>
    </row>
    <row r="18988" spans="32:32" x14ac:dyDescent="0.2">
      <c r="AF18988" s="679"/>
    </row>
    <row r="18989" spans="32:32" x14ac:dyDescent="0.2">
      <c r="AF18989" s="679"/>
    </row>
    <row r="18990" spans="32:32" x14ac:dyDescent="0.2">
      <c r="AF18990" s="679"/>
    </row>
    <row r="18991" spans="32:32" x14ac:dyDescent="0.2">
      <c r="AF18991" s="679"/>
    </row>
    <row r="18992" spans="32:32" x14ac:dyDescent="0.2">
      <c r="AF18992" s="679"/>
    </row>
    <row r="18993" spans="32:32" x14ac:dyDescent="0.2">
      <c r="AF18993" s="679"/>
    </row>
    <row r="18994" spans="32:32" x14ac:dyDescent="0.2">
      <c r="AF18994" s="679"/>
    </row>
    <row r="18995" spans="32:32" x14ac:dyDescent="0.2">
      <c r="AF18995" s="679"/>
    </row>
    <row r="18996" spans="32:32" x14ac:dyDescent="0.2">
      <c r="AF18996" s="679"/>
    </row>
    <row r="18997" spans="32:32" x14ac:dyDescent="0.2">
      <c r="AF18997" s="679"/>
    </row>
    <row r="18998" spans="32:32" x14ac:dyDescent="0.2">
      <c r="AF18998" s="679"/>
    </row>
    <row r="18999" spans="32:32" x14ac:dyDescent="0.2">
      <c r="AF18999" s="679"/>
    </row>
    <row r="19000" spans="32:32" x14ac:dyDescent="0.2">
      <c r="AF19000" s="679"/>
    </row>
    <row r="19001" spans="32:32" x14ac:dyDescent="0.2">
      <c r="AF19001" s="679"/>
    </row>
    <row r="19002" spans="32:32" x14ac:dyDescent="0.2">
      <c r="AF19002" s="679"/>
    </row>
    <row r="19003" spans="32:32" x14ac:dyDescent="0.2">
      <c r="AF19003" s="679"/>
    </row>
    <row r="19004" spans="32:32" x14ac:dyDescent="0.2">
      <c r="AF19004" s="679"/>
    </row>
    <row r="19005" spans="32:32" x14ac:dyDescent="0.2">
      <c r="AF19005" s="679"/>
    </row>
    <row r="19006" spans="32:32" x14ac:dyDescent="0.2">
      <c r="AF19006" s="679"/>
    </row>
    <row r="19007" spans="32:32" x14ac:dyDescent="0.2">
      <c r="AF19007" s="679"/>
    </row>
    <row r="19008" spans="32:32" x14ac:dyDescent="0.2">
      <c r="AF19008" s="679"/>
    </row>
    <row r="19009" spans="32:32" x14ac:dyDescent="0.2">
      <c r="AF19009" s="679"/>
    </row>
    <row r="19010" spans="32:32" x14ac:dyDescent="0.2">
      <c r="AF19010" s="679"/>
    </row>
    <row r="19011" spans="32:32" x14ac:dyDescent="0.2">
      <c r="AF19011" s="679"/>
    </row>
    <row r="19012" spans="32:32" x14ac:dyDescent="0.2">
      <c r="AF19012" s="679"/>
    </row>
    <row r="19013" spans="32:32" x14ac:dyDescent="0.2">
      <c r="AF19013" s="679"/>
    </row>
    <row r="19014" spans="32:32" x14ac:dyDescent="0.2">
      <c r="AF19014" s="679"/>
    </row>
    <row r="19015" spans="32:32" x14ac:dyDescent="0.2">
      <c r="AF19015" s="679"/>
    </row>
    <row r="19016" spans="32:32" x14ac:dyDescent="0.2">
      <c r="AF19016" s="679"/>
    </row>
    <row r="19017" spans="32:32" x14ac:dyDescent="0.2">
      <c r="AF19017" s="679"/>
    </row>
    <row r="19018" spans="32:32" x14ac:dyDescent="0.2">
      <c r="AF19018" s="679"/>
    </row>
    <row r="19019" spans="32:32" x14ac:dyDescent="0.2">
      <c r="AF19019" s="679"/>
    </row>
    <row r="19020" spans="32:32" x14ac:dyDescent="0.2">
      <c r="AF19020" s="679"/>
    </row>
    <row r="19021" spans="32:32" x14ac:dyDescent="0.2">
      <c r="AF19021" s="679"/>
    </row>
    <row r="19022" spans="32:32" x14ac:dyDescent="0.2">
      <c r="AF19022" s="679"/>
    </row>
    <row r="19023" spans="32:32" x14ac:dyDescent="0.2">
      <c r="AF19023" s="679"/>
    </row>
    <row r="19024" spans="32:32" x14ac:dyDescent="0.2">
      <c r="AF19024" s="679"/>
    </row>
    <row r="19025" spans="32:32" x14ac:dyDescent="0.2">
      <c r="AF19025" s="679"/>
    </row>
    <row r="19026" spans="32:32" x14ac:dyDescent="0.2">
      <c r="AF19026" s="679"/>
    </row>
    <row r="19027" spans="32:32" x14ac:dyDescent="0.2">
      <c r="AF19027" s="679"/>
    </row>
    <row r="19028" spans="32:32" x14ac:dyDescent="0.2">
      <c r="AF19028" s="679"/>
    </row>
    <row r="19029" spans="32:32" x14ac:dyDescent="0.2">
      <c r="AF19029" s="679"/>
    </row>
    <row r="19030" spans="32:32" x14ac:dyDescent="0.2">
      <c r="AF19030" s="679"/>
    </row>
    <row r="19031" spans="32:32" x14ac:dyDescent="0.2">
      <c r="AF19031" s="679"/>
    </row>
    <row r="19032" spans="32:32" x14ac:dyDescent="0.2">
      <c r="AF19032" s="679"/>
    </row>
    <row r="19033" spans="32:32" x14ac:dyDescent="0.2">
      <c r="AF19033" s="679"/>
    </row>
    <row r="19034" spans="32:32" x14ac:dyDescent="0.2">
      <c r="AF19034" s="679"/>
    </row>
    <row r="19035" spans="32:32" x14ac:dyDescent="0.2">
      <c r="AF19035" s="679"/>
    </row>
    <row r="19036" spans="32:32" x14ac:dyDescent="0.2">
      <c r="AF19036" s="679"/>
    </row>
    <row r="19037" spans="32:32" x14ac:dyDescent="0.2">
      <c r="AF19037" s="679"/>
    </row>
    <row r="19038" spans="32:32" x14ac:dyDescent="0.2">
      <c r="AF19038" s="679"/>
    </row>
    <row r="19039" spans="32:32" x14ac:dyDescent="0.2">
      <c r="AF19039" s="679"/>
    </row>
    <row r="19040" spans="32:32" x14ac:dyDescent="0.2">
      <c r="AF19040" s="679"/>
    </row>
    <row r="19041" spans="32:32" x14ac:dyDescent="0.2">
      <c r="AF19041" s="679"/>
    </row>
    <row r="19042" spans="32:32" x14ac:dyDescent="0.2">
      <c r="AF19042" s="679"/>
    </row>
    <row r="19043" spans="32:32" x14ac:dyDescent="0.2">
      <c r="AF19043" s="679"/>
    </row>
    <row r="19044" spans="32:32" x14ac:dyDescent="0.2">
      <c r="AF19044" s="679"/>
    </row>
    <row r="19045" spans="32:32" x14ac:dyDescent="0.2">
      <c r="AF19045" s="679"/>
    </row>
    <row r="19046" spans="32:32" x14ac:dyDescent="0.2">
      <c r="AF19046" s="679"/>
    </row>
    <row r="19047" spans="32:32" x14ac:dyDescent="0.2">
      <c r="AF19047" s="679"/>
    </row>
    <row r="19048" spans="32:32" x14ac:dyDescent="0.2">
      <c r="AF19048" s="679"/>
    </row>
    <row r="19049" spans="32:32" x14ac:dyDescent="0.2">
      <c r="AF19049" s="679"/>
    </row>
    <row r="19050" spans="32:32" x14ac:dyDescent="0.2">
      <c r="AF19050" s="679"/>
    </row>
    <row r="19051" spans="32:32" x14ac:dyDescent="0.2">
      <c r="AF19051" s="679"/>
    </row>
    <row r="19052" spans="32:32" x14ac:dyDescent="0.2">
      <c r="AF19052" s="679"/>
    </row>
    <row r="19053" spans="32:32" x14ac:dyDescent="0.2">
      <c r="AF19053" s="679"/>
    </row>
    <row r="19054" spans="32:32" x14ac:dyDescent="0.2">
      <c r="AF19054" s="679"/>
    </row>
    <row r="19055" spans="32:32" x14ac:dyDescent="0.2">
      <c r="AF19055" s="679"/>
    </row>
    <row r="19056" spans="32:32" x14ac:dyDescent="0.2">
      <c r="AF19056" s="679"/>
    </row>
    <row r="19057" spans="32:32" x14ac:dyDescent="0.2">
      <c r="AF19057" s="679"/>
    </row>
    <row r="19058" spans="32:32" x14ac:dyDescent="0.2">
      <c r="AF19058" s="679"/>
    </row>
    <row r="19059" spans="32:32" x14ac:dyDescent="0.2">
      <c r="AF19059" s="679"/>
    </row>
    <row r="19060" spans="32:32" x14ac:dyDescent="0.2">
      <c r="AF19060" s="679"/>
    </row>
    <row r="19061" spans="32:32" x14ac:dyDescent="0.2">
      <c r="AF19061" s="679"/>
    </row>
    <row r="19062" spans="32:32" x14ac:dyDescent="0.2">
      <c r="AF19062" s="679"/>
    </row>
    <row r="19063" spans="32:32" x14ac:dyDescent="0.2">
      <c r="AF19063" s="679"/>
    </row>
    <row r="19064" spans="32:32" x14ac:dyDescent="0.2">
      <c r="AF19064" s="679"/>
    </row>
    <row r="19065" spans="32:32" x14ac:dyDescent="0.2">
      <c r="AF19065" s="679"/>
    </row>
    <row r="19066" spans="32:32" x14ac:dyDescent="0.2">
      <c r="AF19066" s="679"/>
    </row>
    <row r="19067" spans="32:32" x14ac:dyDescent="0.2">
      <c r="AF19067" s="679"/>
    </row>
    <row r="19068" spans="32:32" x14ac:dyDescent="0.2">
      <c r="AF19068" s="679"/>
    </row>
    <row r="19069" spans="32:32" x14ac:dyDescent="0.2">
      <c r="AF19069" s="679"/>
    </row>
    <row r="19070" spans="32:32" x14ac:dyDescent="0.2">
      <c r="AF19070" s="679"/>
    </row>
    <row r="19071" spans="32:32" x14ac:dyDescent="0.2">
      <c r="AF19071" s="679"/>
    </row>
    <row r="19072" spans="32:32" x14ac:dyDescent="0.2">
      <c r="AF19072" s="679"/>
    </row>
    <row r="19073" spans="32:32" x14ac:dyDescent="0.2">
      <c r="AF19073" s="679"/>
    </row>
    <row r="19074" spans="32:32" x14ac:dyDescent="0.2">
      <c r="AF19074" s="679"/>
    </row>
    <row r="19075" spans="32:32" x14ac:dyDescent="0.2">
      <c r="AF19075" s="679"/>
    </row>
    <row r="19076" spans="32:32" x14ac:dyDescent="0.2">
      <c r="AF19076" s="679"/>
    </row>
    <row r="19077" spans="32:32" x14ac:dyDescent="0.2">
      <c r="AF19077" s="679"/>
    </row>
    <row r="19078" spans="32:32" x14ac:dyDescent="0.2">
      <c r="AF19078" s="679"/>
    </row>
    <row r="19079" spans="32:32" x14ac:dyDescent="0.2">
      <c r="AF19079" s="679"/>
    </row>
    <row r="19080" spans="32:32" x14ac:dyDescent="0.2">
      <c r="AF19080" s="679"/>
    </row>
    <row r="19081" spans="32:32" x14ac:dyDescent="0.2">
      <c r="AF19081" s="679"/>
    </row>
    <row r="19082" spans="32:32" x14ac:dyDescent="0.2">
      <c r="AF19082" s="679"/>
    </row>
    <row r="19083" spans="32:32" x14ac:dyDescent="0.2">
      <c r="AF19083" s="679"/>
    </row>
    <row r="19084" spans="32:32" x14ac:dyDescent="0.2">
      <c r="AF19084" s="679"/>
    </row>
    <row r="19085" spans="32:32" x14ac:dyDescent="0.2">
      <c r="AF19085" s="679"/>
    </row>
    <row r="19086" spans="32:32" x14ac:dyDescent="0.2">
      <c r="AF19086" s="679"/>
    </row>
    <row r="19087" spans="32:32" x14ac:dyDescent="0.2">
      <c r="AF19087" s="679"/>
    </row>
    <row r="19088" spans="32:32" x14ac:dyDescent="0.2">
      <c r="AF19088" s="679"/>
    </row>
    <row r="19089" spans="32:32" x14ac:dyDescent="0.2">
      <c r="AF19089" s="679"/>
    </row>
    <row r="19090" spans="32:32" x14ac:dyDescent="0.2">
      <c r="AF19090" s="679"/>
    </row>
    <row r="19091" spans="32:32" x14ac:dyDescent="0.2">
      <c r="AF19091" s="679"/>
    </row>
    <row r="19092" spans="32:32" x14ac:dyDescent="0.2">
      <c r="AF19092" s="679"/>
    </row>
    <row r="19093" spans="32:32" x14ac:dyDescent="0.2">
      <c r="AF19093" s="679"/>
    </row>
    <row r="19094" spans="32:32" x14ac:dyDescent="0.2">
      <c r="AF19094" s="679"/>
    </row>
    <row r="19095" spans="32:32" x14ac:dyDescent="0.2">
      <c r="AF19095" s="679"/>
    </row>
    <row r="19096" spans="32:32" x14ac:dyDescent="0.2">
      <c r="AF19096" s="679"/>
    </row>
    <row r="19097" spans="32:32" x14ac:dyDescent="0.2">
      <c r="AF19097" s="679"/>
    </row>
    <row r="19098" spans="32:32" x14ac:dyDescent="0.2">
      <c r="AF19098" s="679"/>
    </row>
    <row r="19099" spans="32:32" x14ac:dyDescent="0.2">
      <c r="AF19099" s="679"/>
    </row>
    <row r="19100" spans="32:32" x14ac:dyDescent="0.2">
      <c r="AF19100" s="679"/>
    </row>
    <row r="19101" spans="32:32" x14ac:dyDescent="0.2">
      <c r="AF19101" s="679"/>
    </row>
    <row r="19102" spans="32:32" x14ac:dyDescent="0.2">
      <c r="AF19102" s="679"/>
    </row>
    <row r="19103" spans="32:32" x14ac:dyDescent="0.2">
      <c r="AF19103" s="679"/>
    </row>
    <row r="19104" spans="32:32" x14ac:dyDescent="0.2">
      <c r="AF19104" s="679"/>
    </row>
    <row r="19105" spans="32:32" x14ac:dyDescent="0.2">
      <c r="AF19105" s="679"/>
    </row>
    <row r="19106" spans="32:32" x14ac:dyDescent="0.2">
      <c r="AF19106" s="679"/>
    </row>
    <row r="19107" spans="32:32" x14ac:dyDescent="0.2">
      <c r="AF19107" s="679"/>
    </row>
    <row r="19108" spans="32:32" x14ac:dyDescent="0.2">
      <c r="AF19108" s="679"/>
    </row>
    <row r="19109" spans="32:32" x14ac:dyDescent="0.2">
      <c r="AF19109" s="679"/>
    </row>
    <row r="19110" spans="32:32" x14ac:dyDescent="0.2">
      <c r="AF19110" s="679"/>
    </row>
    <row r="19111" spans="32:32" x14ac:dyDescent="0.2">
      <c r="AF19111" s="679"/>
    </row>
    <row r="19112" spans="32:32" x14ac:dyDescent="0.2">
      <c r="AF19112" s="679"/>
    </row>
    <row r="19113" spans="32:32" x14ac:dyDescent="0.2">
      <c r="AF19113" s="679"/>
    </row>
    <row r="19114" spans="32:32" x14ac:dyDescent="0.2">
      <c r="AF19114" s="679"/>
    </row>
    <row r="19115" spans="32:32" x14ac:dyDescent="0.2">
      <c r="AF19115" s="679"/>
    </row>
    <row r="19116" spans="32:32" x14ac:dyDescent="0.2">
      <c r="AF19116" s="679"/>
    </row>
    <row r="19117" spans="32:32" x14ac:dyDescent="0.2">
      <c r="AF19117" s="679"/>
    </row>
    <row r="19118" spans="32:32" x14ac:dyDescent="0.2">
      <c r="AF19118" s="679"/>
    </row>
    <row r="19119" spans="32:32" x14ac:dyDescent="0.2">
      <c r="AF19119" s="679"/>
    </row>
    <row r="19120" spans="32:32" x14ac:dyDescent="0.2">
      <c r="AF19120" s="679"/>
    </row>
    <row r="19121" spans="32:32" x14ac:dyDescent="0.2">
      <c r="AF19121" s="679"/>
    </row>
    <row r="19122" spans="32:32" x14ac:dyDescent="0.2">
      <c r="AF19122" s="679"/>
    </row>
    <row r="19123" spans="32:32" x14ac:dyDescent="0.2">
      <c r="AF19123" s="679"/>
    </row>
    <row r="19124" spans="32:32" x14ac:dyDescent="0.2">
      <c r="AF19124" s="679"/>
    </row>
    <row r="19125" spans="32:32" x14ac:dyDescent="0.2">
      <c r="AF19125" s="679"/>
    </row>
    <row r="19126" spans="32:32" x14ac:dyDescent="0.2">
      <c r="AF19126" s="679"/>
    </row>
    <row r="19127" spans="32:32" x14ac:dyDescent="0.2">
      <c r="AF19127" s="679"/>
    </row>
    <row r="19128" spans="32:32" x14ac:dyDescent="0.2">
      <c r="AF19128" s="679"/>
    </row>
    <row r="19129" spans="32:32" x14ac:dyDescent="0.2">
      <c r="AF19129" s="679"/>
    </row>
    <row r="19130" spans="32:32" x14ac:dyDescent="0.2">
      <c r="AF19130" s="679"/>
    </row>
    <row r="19131" spans="32:32" x14ac:dyDescent="0.2">
      <c r="AF19131" s="679"/>
    </row>
    <row r="19132" spans="32:32" x14ac:dyDescent="0.2">
      <c r="AF19132" s="679"/>
    </row>
    <row r="19133" spans="32:32" x14ac:dyDescent="0.2">
      <c r="AF19133" s="679"/>
    </row>
    <row r="19134" spans="32:32" x14ac:dyDescent="0.2">
      <c r="AF19134" s="679"/>
    </row>
    <row r="19135" spans="32:32" x14ac:dyDescent="0.2">
      <c r="AF19135" s="679"/>
    </row>
    <row r="19136" spans="32:32" x14ac:dyDescent="0.2">
      <c r="AF19136" s="679"/>
    </row>
    <row r="19137" spans="32:32" x14ac:dyDescent="0.2">
      <c r="AF19137" s="679"/>
    </row>
    <row r="19138" spans="32:32" x14ac:dyDescent="0.2">
      <c r="AF19138" s="679"/>
    </row>
    <row r="19139" spans="32:32" x14ac:dyDescent="0.2">
      <c r="AF19139" s="679"/>
    </row>
    <row r="19140" spans="32:32" x14ac:dyDescent="0.2">
      <c r="AF19140" s="679"/>
    </row>
    <row r="19141" spans="32:32" x14ac:dyDescent="0.2">
      <c r="AF19141" s="679"/>
    </row>
    <row r="19142" spans="32:32" x14ac:dyDescent="0.2">
      <c r="AF19142" s="679"/>
    </row>
    <row r="19143" spans="32:32" x14ac:dyDescent="0.2">
      <c r="AF19143" s="679"/>
    </row>
    <row r="19144" spans="32:32" x14ac:dyDescent="0.2">
      <c r="AF19144" s="679"/>
    </row>
    <row r="19145" spans="32:32" x14ac:dyDescent="0.2">
      <c r="AF19145" s="679"/>
    </row>
    <row r="19146" spans="32:32" x14ac:dyDescent="0.2">
      <c r="AF19146" s="679"/>
    </row>
    <row r="19147" spans="32:32" x14ac:dyDescent="0.2">
      <c r="AF19147" s="679"/>
    </row>
    <row r="19148" spans="32:32" x14ac:dyDescent="0.2">
      <c r="AF19148" s="679"/>
    </row>
    <row r="19149" spans="32:32" x14ac:dyDescent="0.2">
      <c r="AF19149" s="679"/>
    </row>
    <row r="19150" spans="32:32" x14ac:dyDescent="0.2">
      <c r="AF19150" s="679"/>
    </row>
    <row r="19151" spans="32:32" x14ac:dyDescent="0.2">
      <c r="AF19151" s="679"/>
    </row>
    <row r="19152" spans="32:32" x14ac:dyDescent="0.2">
      <c r="AF19152" s="679"/>
    </row>
    <row r="19153" spans="32:32" x14ac:dyDescent="0.2">
      <c r="AF19153" s="679"/>
    </row>
    <row r="19154" spans="32:32" x14ac:dyDescent="0.2">
      <c r="AF19154" s="679"/>
    </row>
    <row r="19155" spans="32:32" x14ac:dyDescent="0.2">
      <c r="AF19155" s="679"/>
    </row>
    <row r="19156" spans="32:32" x14ac:dyDescent="0.2">
      <c r="AF19156" s="679"/>
    </row>
    <row r="19157" spans="32:32" x14ac:dyDescent="0.2">
      <c r="AF19157" s="679"/>
    </row>
    <row r="19158" spans="32:32" x14ac:dyDescent="0.2">
      <c r="AF19158" s="679"/>
    </row>
    <row r="19159" spans="32:32" x14ac:dyDescent="0.2">
      <c r="AF19159" s="679"/>
    </row>
    <row r="19160" spans="32:32" x14ac:dyDescent="0.2">
      <c r="AF19160" s="679"/>
    </row>
    <row r="19161" spans="32:32" x14ac:dyDescent="0.2">
      <c r="AF19161" s="679"/>
    </row>
    <row r="19162" spans="32:32" x14ac:dyDescent="0.2">
      <c r="AF19162" s="679"/>
    </row>
    <row r="19163" spans="32:32" x14ac:dyDescent="0.2">
      <c r="AF19163" s="679"/>
    </row>
    <row r="19164" spans="32:32" x14ac:dyDescent="0.2">
      <c r="AF19164" s="679"/>
    </row>
    <row r="19165" spans="32:32" x14ac:dyDescent="0.2">
      <c r="AF19165" s="679"/>
    </row>
    <row r="19166" spans="32:32" x14ac:dyDescent="0.2">
      <c r="AF19166" s="679"/>
    </row>
    <row r="19167" spans="32:32" x14ac:dyDescent="0.2">
      <c r="AF19167" s="679"/>
    </row>
    <row r="19168" spans="32:32" x14ac:dyDescent="0.2">
      <c r="AF19168" s="679"/>
    </row>
    <row r="19169" spans="32:32" x14ac:dyDescent="0.2">
      <c r="AF19169" s="679"/>
    </row>
    <row r="19170" spans="32:32" x14ac:dyDescent="0.2">
      <c r="AF19170" s="679"/>
    </row>
    <row r="19171" spans="32:32" x14ac:dyDescent="0.2">
      <c r="AF19171" s="679"/>
    </row>
    <row r="19172" spans="32:32" x14ac:dyDescent="0.2">
      <c r="AF19172" s="679"/>
    </row>
    <row r="19173" spans="32:32" x14ac:dyDescent="0.2">
      <c r="AF19173" s="679"/>
    </row>
    <row r="19174" spans="32:32" x14ac:dyDescent="0.2">
      <c r="AF19174" s="679"/>
    </row>
    <row r="19175" spans="32:32" x14ac:dyDescent="0.2">
      <c r="AF19175" s="679"/>
    </row>
    <row r="19176" spans="32:32" x14ac:dyDescent="0.2">
      <c r="AF19176" s="679"/>
    </row>
    <row r="19177" spans="32:32" x14ac:dyDescent="0.2">
      <c r="AF19177" s="679"/>
    </row>
    <row r="19178" spans="32:32" x14ac:dyDescent="0.2">
      <c r="AF19178" s="679"/>
    </row>
    <row r="19179" spans="32:32" x14ac:dyDescent="0.2">
      <c r="AF19179" s="679"/>
    </row>
    <row r="19180" spans="32:32" x14ac:dyDescent="0.2">
      <c r="AF19180" s="679"/>
    </row>
    <row r="19181" spans="32:32" x14ac:dyDescent="0.2">
      <c r="AF19181" s="679"/>
    </row>
    <row r="19182" spans="32:32" x14ac:dyDescent="0.2">
      <c r="AF19182" s="679"/>
    </row>
    <row r="19183" spans="32:32" x14ac:dyDescent="0.2">
      <c r="AF19183" s="679"/>
    </row>
    <row r="19184" spans="32:32" x14ac:dyDescent="0.2">
      <c r="AF19184" s="679"/>
    </row>
    <row r="19185" spans="32:32" x14ac:dyDescent="0.2">
      <c r="AF19185" s="679"/>
    </row>
    <row r="19186" spans="32:32" x14ac:dyDescent="0.2">
      <c r="AF19186" s="679"/>
    </row>
    <row r="19187" spans="32:32" x14ac:dyDescent="0.2">
      <c r="AF19187" s="679"/>
    </row>
    <row r="19188" spans="32:32" x14ac:dyDescent="0.2">
      <c r="AF19188" s="679"/>
    </row>
    <row r="19189" spans="32:32" x14ac:dyDescent="0.2">
      <c r="AF19189" s="679"/>
    </row>
    <row r="19190" spans="32:32" x14ac:dyDescent="0.2">
      <c r="AF19190" s="679"/>
    </row>
    <row r="19191" spans="32:32" x14ac:dyDescent="0.2">
      <c r="AF19191" s="679"/>
    </row>
    <row r="19192" spans="32:32" x14ac:dyDescent="0.2">
      <c r="AF19192" s="679"/>
    </row>
    <row r="19193" spans="32:32" x14ac:dyDescent="0.2">
      <c r="AF19193" s="679"/>
    </row>
    <row r="19194" spans="32:32" x14ac:dyDescent="0.2">
      <c r="AF19194" s="679"/>
    </row>
    <row r="19195" spans="32:32" x14ac:dyDescent="0.2">
      <c r="AF19195" s="679"/>
    </row>
    <row r="19196" spans="32:32" x14ac:dyDescent="0.2">
      <c r="AF19196" s="679"/>
    </row>
    <row r="19197" spans="32:32" x14ac:dyDescent="0.2">
      <c r="AF19197" s="679"/>
    </row>
    <row r="19198" spans="32:32" x14ac:dyDescent="0.2">
      <c r="AF19198" s="679"/>
    </row>
    <row r="19199" spans="32:32" x14ac:dyDescent="0.2">
      <c r="AF19199" s="679"/>
    </row>
    <row r="19200" spans="32:32" x14ac:dyDescent="0.2">
      <c r="AF19200" s="679"/>
    </row>
    <row r="19201" spans="32:32" x14ac:dyDescent="0.2">
      <c r="AF19201" s="679"/>
    </row>
    <row r="19202" spans="32:32" x14ac:dyDescent="0.2">
      <c r="AF19202" s="679"/>
    </row>
    <row r="19203" spans="32:32" x14ac:dyDescent="0.2">
      <c r="AF19203" s="679"/>
    </row>
    <row r="19204" spans="32:32" x14ac:dyDescent="0.2">
      <c r="AF19204" s="679"/>
    </row>
    <row r="19205" spans="32:32" x14ac:dyDescent="0.2">
      <c r="AF19205" s="679"/>
    </row>
    <row r="19206" spans="32:32" x14ac:dyDescent="0.2">
      <c r="AF19206" s="679"/>
    </row>
    <row r="19207" spans="32:32" x14ac:dyDescent="0.2">
      <c r="AF19207" s="679"/>
    </row>
    <row r="19208" spans="32:32" x14ac:dyDescent="0.2">
      <c r="AF19208" s="679"/>
    </row>
    <row r="19209" spans="32:32" x14ac:dyDescent="0.2">
      <c r="AF19209" s="679"/>
    </row>
    <row r="19210" spans="32:32" x14ac:dyDescent="0.2">
      <c r="AF19210" s="679"/>
    </row>
    <row r="19211" spans="32:32" x14ac:dyDescent="0.2">
      <c r="AF19211" s="679"/>
    </row>
    <row r="19212" spans="32:32" x14ac:dyDescent="0.2">
      <c r="AF19212" s="679"/>
    </row>
    <row r="19213" spans="32:32" x14ac:dyDescent="0.2">
      <c r="AF19213" s="679"/>
    </row>
    <row r="19214" spans="32:32" x14ac:dyDescent="0.2">
      <c r="AF19214" s="679"/>
    </row>
    <row r="19215" spans="32:32" x14ac:dyDescent="0.2">
      <c r="AF19215" s="679"/>
    </row>
    <row r="19216" spans="32:32" x14ac:dyDescent="0.2">
      <c r="AF19216" s="679"/>
    </row>
    <row r="19217" spans="32:32" x14ac:dyDescent="0.2">
      <c r="AF19217" s="679"/>
    </row>
    <row r="19218" spans="32:32" x14ac:dyDescent="0.2">
      <c r="AF19218" s="679"/>
    </row>
    <row r="19219" spans="32:32" x14ac:dyDescent="0.2">
      <c r="AF19219" s="679"/>
    </row>
    <row r="19220" spans="32:32" x14ac:dyDescent="0.2">
      <c r="AF19220" s="679"/>
    </row>
    <row r="19221" spans="32:32" x14ac:dyDescent="0.2">
      <c r="AF19221" s="679"/>
    </row>
    <row r="19222" spans="32:32" x14ac:dyDescent="0.2">
      <c r="AF19222" s="679"/>
    </row>
    <row r="19223" spans="32:32" x14ac:dyDescent="0.2">
      <c r="AF19223" s="679"/>
    </row>
    <row r="19224" spans="32:32" x14ac:dyDescent="0.2">
      <c r="AF19224" s="679"/>
    </row>
    <row r="19225" spans="32:32" x14ac:dyDescent="0.2">
      <c r="AF19225" s="679"/>
    </row>
    <row r="19226" spans="32:32" x14ac:dyDescent="0.2">
      <c r="AF19226" s="679"/>
    </row>
    <row r="19227" spans="32:32" x14ac:dyDescent="0.2">
      <c r="AF19227" s="679"/>
    </row>
    <row r="19228" spans="32:32" x14ac:dyDescent="0.2">
      <c r="AF19228" s="679"/>
    </row>
    <row r="19229" spans="32:32" x14ac:dyDescent="0.2">
      <c r="AF19229" s="679"/>
    </row>
    <row r="19230" spans="32:32" x14ac:dyDescent="0.2">
      <c r="AF19230" s="679"/>
    </row>
    <row r="19231" spans="32:32" x14ac:dyDescent="0.2">
      <c r="AF19231" s="679"/>
    </row>
    <row r="19232" spans="32:32" x14ac:dyDescent="0.2">
      <c r="AF19232" s="679"/>
    </row>
    <row r="19233" spans="32:32" x14ac:dyDescent="0.2">
      <c r="AF19233" s="679"/>
    </row>
    <row r="19234" spans="32:32" x14ac:dyDescent="0.2">
      <c r="AF19234" s="679"/>
    </row>
    <row r="19235" spans="32:32" x14ac:dyDescent="0.2">
      <c r="AF19235" s="679"/>
    </row>
    <row r="19236" spans="32:32" x14ac:dyDescent="0.2">
      <c r="AF19236" s="679"/>
    </row>
    <row r="19237" spans="32:32" x14ac:dyDescent="0.2">
      <c r="AF19237" s="679"/>
    </row>
    <row r="19238" spans="32:32" x14ac:dyDescent="0.2">
      <c r="AF19238" s="679"/>
    </row>
    <row r="19239" spans="32:32" x14ac:dyDescent="0.2">
      <c r="AF19239" s="679"/>
    </row>
    <row r="19240" spans="32:32" x14ac:dyDescent="0.2">
      <c r="AF19240" s="679"/>
    </row>
    <row r="19241" spans="32:32" x14ac:dyDescent="0.2">
      <c r="AF19241" s="679"/>
    </row>
    <row r="19242" spans="32:32" x14ac:dyDescent="0.2">
      <c r="AF19242" s="679"/>
    </row>
    <row r="19243" spans="32:32" x14ac:dyDescent="0.2">
      <c r="AF19243" s="679"/>
    </row>
    <row r="19244" spans="32:32" x14ac:dyDescent="0.2">
      <c r="AF19244" s="679"/>
    </row>
    <row r="19245" spans="32:32" x14ac:dyDescent="0.2">
      <c r="AF19245" s="679"/>
    </row>
    <row r="19246" spans="32:32" x14ac:dyDescent="0.2">
      <c r="AF19246" s="679"/>
    </row>
    <row r="19247" spans="32:32" x14ac:dyDescent="0.2">
      <c r="AF19247" s="679"/>
    </row>
    <row r="19248" spans="32:32" x14ac:dyDescent="0.2">
      <c r="AF19248" s="679"/>
    </row>
    <row r="19249" spans="32:32" x14ac:dyDescent="0.2">
      <c r="AF19249" s="679"/>
    </row>
    <row r="19250" spans="32:32" x14ac:dyDescent="0.2">
      <c r="AF19250" s="679"/>
    </row>
    <row r="19251" spans="32:32" x14ac:dyDescent="0.2">
      <c r="AF19251" s="679"/>
    </row>
    <row r="19252" spans="32:32" x14ac:dyDescent="0.2">
      <c r="AF19252" s="679"/>
    </row>
    <row r="19253" spans="32:32" x14ac:dyDescent="0.2">
      <c r="AF19253" s="679"/>
    </row>
    <row r="19254" spans="32:32" x14ac:dyDescent="0.2">
      <c r="AF19254" s="679"/>
    </row>
    <row r="19255" spans="32:32" x14ac:dyDescent="0.2">
      <c r="AF19255" s="679"/>
    </row>
    <row r="19256" spans="32:32" x14ac:dyDescent="0.2">
      <c r="AF19256" s="679"/>
    </row>
    <row r="19257" spans="32:32" x14ac:dyDescent="0.2">
      <c r="AF19257" s="679"/>
    </row>
    <row r="19258" spans="32:32" x14ac:dyDescent="0.2">
      <c r="AF19258" s="679"/>
    </row>
    <row r="19259" spans="32:32" x14ac:dyDescent="0.2">
      <c r="AF19259" s="679"/>
    </row>
    <row r="19260" spans="32:32" x14ac:dyDescent="0.2">
      <c r="AF19260" s="679"/>
    </row>
    <row r="19261" spans="32:32" x14ac:dyDescent="0.2">
      <c r="AF19261" s="679"/>
    </row>
    <row r="19262" spans="32:32" x14ac:dyDescent="0.2">
      <c r="AF19262" s="679"/>
    </row>
    <row r="19263" spans="32:32" x14ac:dyDescent="0.2">
      <c r="AF19263" s="679"/>
    </row>
    <row r="19264" spans="32:32" x14ac:dyDescent="0.2">
      <c r="AF19264" s="679"/>
    </row>
    <row r="19265" spans="32:32" x14ac:dyDescent="0.2">
      <c r="AF19265" s="679"/>
    </row>
    <row r="19266" spans="32:32" x14ac:dyDescent="0.2">
      <c r="AF19266" s="679"/>
    </row>
    <row r="19267" spans="32:32" x14ac:dyDescent="0.2">
      <c r="AF19267" s="679"/>
    </row>
    <row r="19268" spans="32:32" x14ac:dyDescent="0.2">
      <c r="AF19268" s="679"/>
    </row>
    <row r="19269" spans="32:32" x14ac:dyDescent="0.2">
      <c r="AF19269" s="679"/>
    </row>
    <row r="19270" spans="32:32" x14ac:dyDescent="0.2">
      <c r="AF19270" s="679"/>
    </row>
    <row r="19271" spans="32:32" x14ac:dyDescent="0.2">
      <c r="AF19271" s="679"/>
    </row>
    <row r="19272" spans="32:32" x14ac:dyDescent="0.2">
      <c r="AF19272" s="679"/>
    </row>
    <row r="19273" spans="32:32" x14ac:dyDescent="0.2">
      <c r="AF19273" s="679"/>
    </row>
    <row r="19274" spans="32:32" x14ac:dyDescent="0.2">
      <c r="AF19274" s="679"/>
    </row>
    <row r="19275" spans="32:32" x14ac:dyDescent="0.2">
      <c r="AF19275" s="679"/>
    </row>
    <row r="19276" spans="32:32" x14ac:dyDescent="0.2">
      <c r="AF19276" s="679"/>
    </row>
    <row r="19277" spans="32:32" x14ac:dyDescent="0.2">
      <c r="AF19277" s="679"/>
    </row>
    <row r="19278" spans="32:32" x14ac:dyDescent="0.2">
      <c r="AF19278" s="679"/>
    </row>
    <row r="19279" spans="32:32" x14ac:dyDescent="0.2">
      <c r="AF19279" s="679"/>
    </row>
    <row r="19280" spans="32:32" x14ac:dyDescent="0.2">
      <c r="AF19280" s="679"/>
    </row>
    <row r="19281" spans="32:32" x14ac:dyDescent="0.2">
      <c r="AF19281" s="679"/>
    </row>
    <row r="19282" spans="32:32" x14ac:dyDescent="0.2">
      <c r="AF19282" s="679"/>
    </row>
    <row r="19283" spans="32:32" x14ac:dyDescent="0.2">
      <c r="AF19283" s="679"/>
    </row>
    <row r="19284" spans="32:32" x14ac:dyDescent="0.2">
      <c r="AF19284" s="679"/>
    </row>
    <row r="19285" spans="32:32" x14ac:dyDescent="0.2">
      <c r="AF19285" s="679"/>
    </row>
    <row r="19286" spans="32:32" x14ac:dyDescent="0.2">
      <c r="AF19286" s="679"/>
    </row>
    <row r="19287" spans="32:32" x14ac:dyDescent="0.2">
      <c r="AF19287" s="679"/>
    </row>
    <row r="19288" spans="32:32" x14ac:dyDescent="0.2">
      <c r="AF19288" s="679"/>
    </row>
    <row r="19289" spans="32:32" x14ac:dyDescent="0.2">
      <c r="AF19289" s="679"/>
    </row>
    <row r="19290" spans="32:32" x14ac:dyDescent="0.2">
      <c r="AF19290" s="679"/>
    </row>
    <row r="19291" spans="32:32" x14ac:dyDescent="0.2">
      <c r="AF19291" s="679"/>
    </row>
    <row r="19292" spans="32:32" x14ac:dyDescent="0.2">
      <c r="AF19292" s="679"/>
    </row>
    <row r="19293" spans="32:32" x14ac:dyDescent="0.2">
      <c r="AF19293" s="679"/>
    </row>
    <row r="19294" spans="32:32" x14ac:dyDescent="0.2">
      <c r="AF19294" s="679"/>
    </row>
    <row r="19295" spans="32:32" x14ac:dyDescent="0.2">
      <c r="AF19295" s="679"/>
    </row>
    <row r="19296" spans="32:32" x14ac:dyDescent="0.2">
      <c r="AF19296" s="679"/>
    </row>
    <row r="19297" spans="32:32" x14ac:dyDescent="0.2">
      <c r="AF19297" s="679"/>
    </row>
    <row r="19298" spans="32:32" x14ac:dyDescent="0.2">
      <c r="AF19298" s="679"/>
    </row>
    <row r="19299" spans="32:32" x14ac:dyDescent="0.2">
      <c r="AF19299" s="679"/>
    </row>
    <row r="19300" spans="32:32" x14ac:dyDescent="0.2">
      <c r="AF19300" s="679"/>
    </row>
    <row r="19301" spans="32:32" x14ac:dyDescent="0.2">
      <c r="AF19301" s="679"/>
    </row>
    <row r="19302" spans="32:32" x14ac:dyDescent="0.2">
      <c r="AF19302" s="679"/>
    </row>
    <row r="19303" spans="32:32" x14ac:dyDescent="0.2">
      <c r="AF19303" s="679"/>
    </row>
    <row r="19304" spans="32:32" x14ac:dyDescent="0.2">
      <c r="AF19304" s="679"/>
    </row>
    <row r="19305" spans="32:32" x14ac:dyDescent="0.2">
      <c r="AF19305" s="679"/>
    </row>
    <row r="19306" spans="32:32" x14ac:dyDescent="0.2">
      <c r="AF19306" s="679"/>
    </row>
    <row r="19307" spans="32:32" x14ac:dyDescent="0.2">
      <c r="AF19307" s="679"/>
    </row>
    <row r="19308" spans="32:32" x14ac:dyDescent="0.2">
      <c r="AF19308" s="679"/>
    </row>
    <row r="19309" spans="32:32" x14ac:dyDescent="0.2">
      <c r="AF19309" s="679"/>
    </row>
    <row r="19310" spans="32:32" x14ac:dyDescent="0.2">
      <c r="AF19310" s="679"/>
    </row>
    <row r="19311" spans="32:32" x14ac:dyDescent="0.2">
      <c r="AF19311" s="679"/>
    </row>
    <row r="19312" spans="32:32" x14ac:dyDescent="0.2">
      <c r="AF19312" s="679"/>
    </row>
    <row r="19313" spans="32:32" x14ac:dyDescent="0.2">
      <c r="AF19313" s="679"/>
    </row>
    <row r="19314" spans="32:32" x14ac:dyDescent="0.2">
      <c r="AF19314" s="679"/>
    </row>
    <row r="19315" spans="32:32" x14ac:dyDescent="0.2">
      <c r="AF19315" s="679"/>
    </row>
    <row r="19316" spans="32:32" x14ac:dyDescent="0.2">
      <c r="AF19316" s="679"/>
    </row>
    <row r="19317" spans="32:32" x14ac:dyDescent="0.2">
      <c r="AF19317" s="679"/>
    </row>
    <row r="19318" spans="32:32" x14ac:dyDescent="0.2">
      <c r="AF19318" s="679"/>
    </row>
    <row r="19319" spans="32:32" x14ac:dyDescent="0.2">
      <c r="AF19319" s="679"/>
    </row>
    <row r="19320" spans="32:32" x14ac:dyDescent="0.2">
      <c r="AF19320" s="679"/>
    </row>
    <row r="19321" spans="32:32" x14ac:dyDescent="0.2">
      <c r="AF19321" s="679"/>
    </row>
    <row r="19322" spans="32:32" x14ac:dyDescent="0.2">
      <c r="AF19322" s="679"/>
    </row>
    <row r="19323" spans="32:32" x14ac:dyDescent="0.2">
      <c r="AF19323" s="679"/>
    </row>
    <row r="19324" spans="32:32" x14ac:dyDescent="0.2">
      <c r="AF19324" s="679"/>
    </row>
    <row r="19325" spans="32:32" x14ac:dyDescent="0.2">
      <c r="AF19325" s="679"/>
    </row>
    <row r="19326" spans="32:32" x14ac:dyDescent="0.2">
      <c r="AF19326" s="679"/>
    </row>
    <row r="19327" spans="32:32" x14ac:dyDescent="0.2">
      <c r="AF19327" s="679"/>
    </row>
    <row r="19328" spans="32:32" x14ac:dyDescent="0.2">
      <c r="AF19328" s="679"/>
    </row>
    <row r="19329" spans="32:32" x14ac:dyDescent="0.2">
      <c r="AF19329" s="679"/>
    </row>
    <row r="19330" spans="32:32" x14ac:dyDescent="0.2">
      <c r="AF19330" s="679"/>
    </row>
    <row r="19331" spans="32:32" x14ac:dyDescent="0.2">
      <c r="AF19331" s="679"/>
    </row>
    <row r="19332" spans="32:32" x14ac:dyDescent="0.2">
      <c r="AF19332" s="679"/>
    </row>
    <row r="19333" spans="32:32" x14ac:dyDescent="0.2">
      <c r="AF19333" s="679"/>
    </row>
    <row r="19334" spans="32:32" x14ac:dyDescent="0.2">
      <c r="AF19334" s="679"/>
    </row>
    <row r="19335" spans="32:32" x14ac:dyDescent="0.2">
      <c r="AF19335" s="679"/>
    </row>
    <row r="19336" spans="32:32" x14ac:dyDescent="0.2">
      <c r="AF19336" s="679"/>
    </row>
    <row r="19337" spans="32:32" x14ac:dyDescent="0.2">
      <c r="AF19337" s="679"/>
    </row>
    <row r="19338" spans="32:32" x14ac:dyDescent="0.2">
      <c r="AF19338" s="679"/>
    </row>
    <row r="19339" spans="32:32" x14ac:dyDescent="0.2">
      <c r="AF19339" s="679"/>
    </row>
    <row r="19340" spans="32:32" x14ac:dyDescent="0.2">
      <c r="AF19340" s="679"/>
    </row>
    <row r="19341" spans="32:32" x14ac:dyDescent="0.2">
      <c r="AF19341" s="679"/>
    </row>
    <row r="19342" spans="32:32" x14ac:dyDescent="0.2">
      <c r="AF19342" s="679"/>
    </row>
    <row r="19343" spans="32:32" x14ac:dyDescent="0.2">
      <c r="AF19343" s="679"/>
    </row>
    <row r="19344" spans="32:32" x14ac:dyDescent="0.2">
      <c r="AF19344" s="679"/>
    </row>
    <row r="19345" spans="32:32" x14ac:dyDescent="0.2">
      <c r="AF19345" s="679"/>
    </row>
    <row r="19346" spans="32:32" x14ac:dyDescent="0.2">
      <c r="AF19346" s="679"/>
    </row>
    <row r="19347" spans="32:32" x14ac:dyDescent="0.2">
      <c r="AF19347" s="679"/>
    </row>
    <row r="19348" spans="32:32" x14ac:dyDescent="0.2">
      <c r="AF19348" s="679"/>
    </row>
    <row r="19349" spans="32:32" x14ac:dyDescent="0.2">
      <c r="AF19349" s="679"/>
    </row>
    <row r="19350" spans="32:32" x14ac:dyDescent="0.2">
      <c r="AF19350" s="679"/>
    </row>
    <row r="19351" spans="32:32" x14ac:dyDescent="0.2">
      <c r="AF19351" s="679"/>
    </row>
    <row r="19352" spans="32:32" x14ac:dyDescent="0.2">
      <c r="AF19352" s="679"/>
    </row>
    <row r="19353" spans="32:32" x14ac:dyDescent="0.2">
      <c r="AF19353" s="679"/>
    </row>
    <row r="19354" spans="32:32" x14ac:dyDescent="0.2">
      <c r="AF19354" s="679"/>
    </row>
    <row r="19355" spans="32:32" x14ac:dyDescent="0.2">
      <c r="AF19355" s="679"/>
    </row>
    <row r="19356" spans="32:32" x14ac:dyDescent="0.2">
      <c r="AF19356" s="679"/>
    </row>
    <row r="19357" spans="32:32" x14ac:dyDescent="0.2">
      <c r="AF19357" s="679"/>
    </row>
    <row r="19358" spans="32:32" x14ac:dyDescent="0.2">
      <c r="AF19358" s="679"/>
    </row>
    <row r="19359" spans="32:32" x14ac:dyDescent="0.2">
      <c r="AF19359" s="679"/>
    </row>
    <row r="19360" spans="32:32" x14ac:dyDescent="0.2">
      <c r="AF19360" s="679"/>
    </row>
    <row r="19361" spans="32:32" x14ac:dyDescent="0.2">
      <c r="AF19361" s="679"/>
    </row>
    <row r="19362" spans="32:32" x14ac:dyDescent="0.2">
      <c r="AF19362" s="679"/>
    </row>
    <row r="19363" spans="32:32" x14ac:dyDescent="0.2">
      <c r="AF19363" s="679"/>
    </row>
    <row r="19364" spans="32:32" x14ac:dyDescent="0.2">
      <c r="AF19364" s="679"/>
    </row>
    <row r="19365" spans="32:32" x14ac:dyDescent="0.2">
      <c r="AF19365" s="679"/>
    </row>
    <row r="19366" spans="32:32" x14ac:dyDescent="0.2">
      <c r="AF19366" s="679"/>
    </row>
    <row r="19367" spans="32:32" x14ac:dyDescent="0.2">
      <c r="AF19367" s="679"/>
    </row>
    <row r="19368" spans="32:32" x14ac:dyDescent="0.2">
      <c r="AF19368" s="679"/>
    </row>
    <row r="19369" spans="32:32" x14ac:dyDescent="0.2">
      <c r="AF19369" s="679"/>
    </row>
    <row r="19370" spans="32:32" x14ac:dyDescent="0.2">
      <c r="AF19370" s="679"/>
    </row>
    <row r="19371" spans="32:32" x14ac:dyDescent="0.2">
      <c r="AF19371" s="679"/>
    </row>
    <row r="19372" spans="32:32" x14ac:dyDescent="0.2">
      <c r="AF19372" s="679"/>
    </row>
    <row r="19373" spans="32:32" x14ac:dyDescent="0.2">
      <c r="AF19373" s="679"/>
    </row>
    <row r="19374" spans="32:32" x14ac:dyDescent="0.2">
      <c r="AF19374" s="679"/>
    </row>
    <row r="19375" spans="32:32" x14ac:dyDescent="0.2">
      <c r="AF19375" s="679"/>
    </row>
    <row r="19376" spans="32:32" x14ac:dyDescent="0.2">
      <c r="AF19376" s="679"/>
    </row>
    <row r="19377" spans="32:32" x14ac:dyDescent="0.2">
      <c r="AF19377" s="679"/>
    </row>
    <row r="19378" spans="32:32" x14ac:dyDescent="0.2">
      <c r="AF19378" s="679"/>
    </row>
    <row r="19379" spans="32:32" x14ac:dyDescent="0.2">
      <c r="AF19379" s="679"/>
    </row>
    <row r="19380" spans="32:32" x14ac:dyDescent="0.2">
      <c r="AF19380" s="679"/>
    </row>
    <row r="19381" spans="32:32" x14ac:dyDescent="0.2">
      <c r="AF19381" s="679"/>
    </row>
    <row r="19382" spans="32:32" x14ac:dyDescent="0.2">
      <c r="AF19382" s="679"/>
    </row>
    <row r="19383" spans="32:32" x14ac:dyDescent="0.2">
      <c r="AF19383" s="679"/>
    </row>
    <row r="19384" spans="32:32" x14ac:dyDescent="0.2">
      <c r="AF19384" s="679"/>
    </row>
    <row r="19385" spans="32:32" x14ac:dyDescent="0.2">
      <c r="AF19385" s="679"/>
    </row>
    <row r="19386" spans="32:32" x14ac:dyDescent="0.2">
      <c r="AF19386" s="679"/>
    </row>
    <row r="19387" spans="32:32" x14ac:dyDescent="0.2">
      <c r="AF19387" s="679"/>
    </row>
    <row r="19388" spans="32:32" x14ac:dyDescent="0.2">
      <c r="AF19388" s="679"/>
    </row>
    <row r="19389" spans="32:32" x14ac:dyDescent="0.2">
      <c r="AF19389" s="679"/>
    </row>
    <row r="19390" spans="32:32" x14ac:dyDescent="0.2">
      <c r="AF19390" s="679"/>
    </row>
    <row r="19391" spans="32:32" x14ac:dyDescent="0.2">
      <c r="AF19391" s="679"/>
    </row>
    <row r="19392" spans="32:32" x14ac:dyDescent="0.2">
      <c r="AF19392" s="679"/>
    </row>
    <row r="19393" spans="32:32" x14ac:dyDescent="0.2">
      <c r="AF19393" s="679"/>
    </row>
    <row r="19394" spans="32:32" x14ac:dyDescent="0.2">
      <c r="AF19394" s="679"/>
    </row>
    <row r="19395" spans="32:32" x14ac:dyDescent="0.2">
      <c r="AF19395" s="679"/>
    </row>
    <row r="19396" spans="32:32" x14ac:dyDescent="0.2">
      <c r="AF19396" s="679"/>
    </row>
    <row r="19397" spans="32:32" x14ac:dyDescent="0.2">
      <c r="AF19397" s="679"/>
    </row>
    <row r="19398" spans="32:32" x14ac:dyDescent="0.2">
      <c r="AF19398" s="679"/>
    </row>
    <row r="19399" spans="32:32" x14ac:dyDescent="0.2">
      <c r="AF19399" s="679"/>
    </row>
    <row r="19400" spans="32:32" x14ac:dyDescent="0.2">
      <c r="AF19400" s="679"/>
    </row>
    <row r="19401" spans="32:32" x14ac:dyDescent="0.2">
      <c r="AF19401" s="679"/>
    </row>
    <row r="19402" spans="32:32" x14ac:dyDescent="0.2">
      <c r="AF19402" s="679"/>
    </row>
    <row r="19403" spans="32:32" x14ac:dyDescent="0.2">
      <c r="AF19403" s="679"/>
    </row>
    <row r="19404" spans="32:32" x14ac:dyDescent="0.2">
      <c r="AF19404" s="679"/>
    </row>
    <row r="19405" spans="32:32" x14ac:dyDescent="0.2">
      <c r="AF19405" s="679"/>
    </row>
    <row r="19406" spans="32:32" x14ac:dyDescent="0.2">
      <c r="AF19406" s="679"/>
    </row>
    <row r="19407" spans="32:32" x14ac:dyDescent="0.2">
      <c r="AF19407" s="679"/>
    </row>
    <row r="19408" spans="32:32" x14ac:dyDescent="0.2">
      <c r="AF19408" s="679"/>
    </row>
    <row r="19409" spans="32:32" x14ac:dyDescent="0.2">
      <c r="AF19409" s="679"/>
    </row>
    <row r="19410" spans="32:32" x14ac:dyDescent="0.2">
      <c r="AF19410" s="679"/>
    </row>
    <row r="19411" spans="32:32" x14ac:dyDescent="0.2">
      <c r="AF19411" s="679"/>
    </row>
    <row r="19412" spans="32:32" x14ac:dyDescent="0.2">
      <c r="AF19412" s="679"/>
    </row>
    <row r="19413" spans="32:32" x14ac:dyDescent="0.2">
      <c r="AF19413" s="679"/>
    </row>
    <row r="19414" spans="32:32" x14ac:dyDescent="0.2">
      <c r="AF19414" s="679"/>
    </row>
    <row r="19415" spans="32:32" x14ac:dyDescent="0.2">
      <c r="AF19415" s="679"/>
    </row>
    <row r="19416" spans="32:32" x14ac:dyDescent="0.2">
      <c r="AF19416" s="679"/>
    </row>
    <row r="19417" spans="32:32" x14ac:dyDescent="0.2">
      <c r="AF19417" s="679"/>
    </row>
    <row r="19418" spans="32:32" x14ac:dyDescent="0.2">
      <c r="AF19418" s="679"/>
    </row>
    <row r="19419" spans="32:32" x14ac:dyDescent="0.2">
      <c r="AF19419" s="679"/>
    </row>
    <row r="19420" spans="32:32" x14ac:dyDescent="0.2">
      <c r="AF19420" s="679"/>
    </row>
    <row r="19421" spans="32:32" x14ac:dyDescent="0.2">
      <c r="AF19421" s="679"/>
    </row>
    <row r="19422" spans="32:32" x14ac:dyDescent="0.2">
      <c r="AF19422" s="679"/>
    </row>
    <row r="19423" spans="32:32" x14ac:dyDescent="0.2">
      <c r="AF19423" s="679"/>
    </row>
    <row r="19424" spans="32:32" x14ac:dyDescent="0.2">
      <c r="AF19424" s="679"/>
    </row>
    <row r="19425" spans="32:32" x14ac:dyDescent="0.2">
      <c r="AF19425" s="679"/>
    </row>
    <row r="19426" spans="32:32" x14ac:dyDescent="0.2">
      <c r="AF19426" s="679"/>
    </row>
    <row r="19427" spans="32:32" x14ac:dyDescent="0.2">
      <c r="AF19427" s="679"/>
    </row>
    <row r="19428" spans="32:32" x14ac:dyDescent="0.2">
      <c r="AF19428" s="679"/>
    </row>
    <row r="19429" spans="32:32" x14ac:dyDescent="0.2">
      <c r="AF19429" s="679"/>
    </row>
    <row r="19430" spans="32:32" x14ac:dyDescent="0.2">
      <c r="AF19430" s="679"/>
    </row>
    <row r="19431" spans="32:32" x14ac:dyDescent="0.2">
      <c r="AF19431" s="679"/>
    </row>
    <row r="19432" spans="32:32" x14ac:dyDescent="0.2">
      <c r="AF19432" s="679"/>
    </row>
    <row r="19433" spans="32:32" x14ac:dyDescent="0.2">
      <c r="AF19433" s="679"/>
    </row>
    <row r="19434" spans="32:32" x14ac:dyDescent="0.2">
      <c r="AF19434" s="679"/>
    </row>
    <row r="19435" spans="32:32" x14ac:dyDescent="0.2">
      <c r="AF19435" s="679"/>
    </row>
    <row r="19436" spans="32:32" x14ac:dyDescent="0.2">
      <c r="AF19436" s="679"/>
    </row>
    <row r="19437" spans="32:32" x14ac:dyDescent="0.2">
      <c r="AF19437" s="679"/>
    </row>
    <row r="19438" spans="32:32" x14ac:dyDescent="0.2">
      <c r="AF19438" s="679"/>
    </row>
    <row r="19439" spans="32:32" x14ac:dyDescent="0.2">
      <c r="AF19439" s="679"/>
    </row>
    <row r="19440" spans="32:32" x14ac:dyDescent="0.2">
      <c r="AF19440" s="679"/>
    </row>
    <row r="19441" spans="32:32" x14ac:dyDescent="0.2">
      <c r="AF19441" s="679"/>
    </row>
    <row r="19442" spans="32:32" x14ac:dyDescent="0.2">
      <c r="AF19442" s="679"/>
    </row>
    <row r="19443" spans="32:32" x14ac:dyDescent="0.2">
      <c r="AF19443" s="679"/>
    </row>
    <row r="19444" spans="32:32" x14ac:dyDescent="0.2">
      <c r="AF19444" s="679"/>
    </row>
    <row r="19445" spans="32:32" x14ac:dyDescent="0.2">
      <c r="AF19445" s="679"/>
    </row>
    <row r="19446" spans="32:32" x14ac:dyDescent="0.2">
      <c r="AF19446" s="679"/>
    </row>
    <row r="19447" spans="32:32" x14ac:dyDescent="0.2">
      <c r="AF19447" s="679"/>
    </row>
    <row r="19448" spans="32:32" x14ac:dyDescent="0.2">
      <c r="AF19448" s="679"/>
    </row>
    <row r="19449" spans="32:32" x14ac:dyDescent="0.2">
      <c r="AF19449" s="679"/>
    </row>
    <row r="19450" spans="32:32" x14ac:dyDescent="0.2">
      <c r="AF19450" s="679"/>
    </row>
    <row r="19451" spans="32:32" x14ac:dyDescent="0.2">
      <c r="AF19451" s="679"/>
    </row>
    <row r="19452" spans="32:32" x14ac:dyDescent="0.2">
      <c r="AF19452" s="679"/>
    </row>
    <row r="19453" spans="32:32" x14ac:dyDescent="0.2">
      <c r="AF19453" s="679"/>
    </row>
    <row r="19454" spans="32:32" x14ac:dyDescent="0.2">
      <c r="AF19454" s="679"/>
    </row>
    <row r="19455" spans="32:32" x14ac:dyDescent="0.2">
      <c r="AF19455" s="679"/>
    </row>
    <row r="19456" spans="32:32" x14ac:dyDescent="0.2">
      <c r="AF19456" s="679"/>
    </row>
    <row r="19457" spans="32:32" x14ac:dyDescent="0.2">
      <c r="AF19457" s="679"/>
    </row>
    <row r="19458" spans="32:32" x14ac:dyDescent="0.2">
      <c r="AF19458" s="679"/>
    </row>
    <row r="19459" spans="32:32" x14ac:dyDescent="0.2">
      <c r="AF19459" s="679"/>
    </row>
    <row r="19460" spans="32:32" x14ac:dyDescent="0.2">
      <c r="AF19460" s="679"/>
    </row>
    <row r="19461" spans="32:32" x14ac:dyDescent="0.2">
      <c r="AF19461" s="679"/>
    </row>
    <row r="19462" spans="32:32" x14ac:dyDescent="0.2">
      <c r="AF19462" s="679"/>
    </row>
    <row r="19463" spans="32:32" x14ac:dyDescent="0.2">
      <c r="AF19463" s="679"/>
    </row>
    <row r="19464" spans="32:32" x14ac:dyDescent="0.2">
      <c r="AF19464" s="679"/>
    </row>
    <row r="19465" spans="32:32" x14ac:dyDescent="0.2">
      <c r="AF19465" s="679"/>
    </row>
    <row r="19466" spans="32:32" x14ac:dyDescent="0.2">
      <c r="AF19466" s="679"/>
    </row>
    <row r="19467" spans="32:32" x14ac:dyDescent="0.2">
      <c r="AF19467" s="679"/>
    </row>
    <row r="19468" spans="32:32" x14ac:dyDescent="0.2">
      <c r="AF19468" s="679"/>
    </row>
    <row r="19469" spans="32:32" x14ac:dyDescent="0.2">
      <c r="AF19469" s="679"/>
    </row>
    <row r="19470" spans="32:32" x14ac:dyDescent="0.2">
      <c r="AF19470" s="679"/>
    </row>
    <row r="19471" spans="32:32" x14ac:dyDescent="0.2">
      <c r="AF19471" s="679"/>
    </row>
    <row r="19472" spans="32:32" x14ac:dyDescent="0.2">
      <c r="AF19472" s="679"/>
    </row>
    <row r="19473" spans="32:32" x14ac:dyDescent="0.2">
      <c r="AF19473" s="679"/>
    </row>
    <row r="19474" spans="32:32" x14ac:dyDescent="0.2">
      <c r="AF19474" s="679"/>
    </row>
    <row r="19475" spans="32:32" x14ac:dyDescent="0.2">
      <c r="AF19475" s="679"/>
    </row>
    <row r="19476" spans="32:32" x14ac:dyDescent="0.2">
      <c r="AF19476" s="679"/>
    </row>
    <row r="19477" spans="32:32" x14ac:dyDescent="0.2">
      <c r="AF19477" s="679"/>
    </row>
    <row r="19478" spans="32:32" x14ac:dyDescent="0.2">
      <c r="AF19478" s="679"/>
    </row>
    <row r="19479" spans="32:32" x14ac:dyDescent="0.2">
      <c r="AF19479" s="679"/>
    </row>
    <row r="19480" spans="32:32" x14ac:dyDescent="0.2">
      <c r="AF19480" s="679"/>
    </row>
    <row r="19481" spans="32:32" x14ac:dyDescent="0.2">
      <c r="AF19481" s="679"/>
    </row>
    <row r="19482" spans="32:32" x14ac:dyDescent="0.2">
      <c r="AF19482" s="679"/>
    </row>
    <row r="19483" spans="32:32" x14ac:dyDescent="0.2">
      <c r="AF19483" s="679"/>
    </row>
    <row r="19484" spans="32:32" x14ac:dyDescent="0.2">
      <c r="AF19484" s="679"/>
    </row>
    <row r="19485" spans="32:32" x14ac:dyDescent="0.2">
      <c r="AF19485" s="679"/>
    </row>
    <row r="19486" spans="32:32" x14ac:dyDescent="0.2">
      <c r="AF19486" s="679"/>
    </row>
    <row r="19487" spans="32:32" x14ac:dyDescent="0.2">
      <c r="AF19487" s="679"/>
    </row>
    <row r="19488" spans="32:32" x14ac:dyDescent="0.2">
      <c r="AF19488" s="679"/>
    </row>
    <row r="19489" spans="32:32" x14ac:dyDescent="0.2">
      <c r="AF19489" s="679"/>
    </row>
    <row r="19490" spans="32:32" x14ac:dyDescent="0.2">
      <c r="AF19490" s="679"/>
    </row>
    <row r="19491" spans="32:32" x14ac:dyDescent="0.2">
      <c r="AF19491" s="679"/>
    </row>
    <row r="19492" spans="32:32" x14ac:dyDescent="0.2">
      <c r="AF19492" s="679"/>
    </row>
    <row r="19493" spans="32:32" x14ac:dyDescent="0.2">
      <c r="AF19493" s="679"/>
    </row>
    <row r="19494" spans="32:32" x14ac:dyDescent="0.2">
      <c r="AF19494" s="679"/>
    </row>
    <row r="19495" spans="32:32" x14ac:dyDescent="0.2">
      <c r="AF19495" s="679"/>
    </row>
    <row r="19496" spans="32:32" x14ac:dyDescent="0.2">
      <c r="AF19496" s="679"/>
    </row>
    <row r="19497" spans="32:32" x14ac:dyDescent="0.2">
      <c r="AF19497" s="679"/>
    </row>
    <row r="19498" spans="32:32" x14ac:dyDescent="0.2">
      <c r="AF19498" s="679"/>
    </row>
    <row r="19499" spans="32:32" x14ac:dyDescent="0.2">
      <c r="AF19499" s="679"/>
    </row>
    <row r="19500" spans="32:32" x14ac:dyDescent="0.2">
      <c r="AF19500" s="679"/>
    </row>
    <row r="19501" spans="32:32" x14ac:dyDescent="0.2">
      <c r="AF19501" s="679"/>
    </row>
    <row r="19502" spans="32:32" x14ac:dyDescent="0.2">
      <c r="AF19502" s="679"/>
    </row>
    <row r="19503" spans="32:32" x14ac:dyDescent="0.2">
      <c r="AF19503" s="679"/>
    </row>
    <row r="19504" spans="32:32" x14ac:dyDescent="0.2">
      <c r="AF19504" s="679"/>
    </row>
    <row r="19505" spans="32:32" x14ac:dyDescent="0.2">
      <c r="AF19505" s="679"/>
    </row>
    <row r="19506" spans="32:32" x14ac:dyDescent="0.2">
      <c r="AF19506" s="679"/>
    </row>
    <row r="19507" spans="32:32" x14ac:dyDescent="0.2">
      <c r="AF19507" s="679"/>
    </row>
    <row r="19508" spans="32:32" x14ac:dyDescent="0.2">
      <c r="AF19508" s="679"/>
    </row>
    <row r="19509" spans="32:32" x14ac:dyDescent="0.2">
      <c r="AF19509" s="679"/>
    </row>
    <row r="19510" spans="32:32" x14ac:dyDescent="0.2">
      <c r="AF19510" s="679"/>
    </row>
    <row r="19511" spans="32:32" x14ac:dyDescent="0.2">
      <c r="AF19511" s="679"/>
    </row>
    <row r="19512" spans="32:32" x14ac:dyDescent="0.2">
      <c r="AF19512" s="679"/>
    </row>
    <row r="19513" spans="32:32" x14ac:dyDescent="0.2">
      <c r="AF19513" s="679"/>
    </row>
    <row r="19514" spans="32:32" x14ac:dyDescent="0.2">
      <c r="AF19514" s="679"/>
    </row>
    <row r="19515" spans="32:32" x14ac:dyDescent="0.2">
      <c r="AF19515" s="679"/>
    </row>
    <row r="19516" spans="32:32" x14ac:dyDescent="0.2">
      <c r="AF19516" s="679"/>
    </row>
    <row r="19517" spans="32:32" x14ac:dyDescent="0.2">
      <c r="AF19517" s="679"/>
    </row>
    <row r="19518" spans="32:32" x14ac:dyDescent="0.2">
      <c r="AF19518" s="679"/>
    </row>
    <row r="19519" spans="32:32" x14ac:dyDescent="0.2">
      <c r="AF19519" s="679"/>
    </row>
    <row r="19520" spans="32:32" x14ac:dyDescent="0.2">
      <c r="AF19520" s="679"/>
    </row>
    <row r="19521" spans="32:32" x14ac:dyDescent="0.2">
      <c r="AF19521" s="679"/>
    </row>
    <row r="19522" spans="32:32" x14ac:dyDescent="0.2">
      <c r="AF19522" s="679"/>
    </row>
    <row r="19523" spans="32:32" x14ac:dyDescent="0.2">
      <c r="AF19523" s="679"/>
    </row>
    <row r="19524" spans="32:32" x14ac:dyDescent="0.2">
      <c r="AF19524" s="679"/>
    </row>
    <row r="19525" spans="32:32" x14ac:dyDescent="0.2">
      <c r="AF19525" s="679"/>
    </row>
    <row r="19526" spans="32:32" x14ac:dyDescent="0.2">
      <c r="AF19526" s="679"/>
    </row>
    <row r="19527" spans="32:32" x14ac:dyDescent="0.2">
      <c r="AF19527" s="679"/>
    </row>
    <row r="19528" spans="32:32" x14ac:dyDescent="0.2">
      <c r="AF19528" s="679"/>
    </row>
    <row r="19529" spans="32:32" x14ac:dyDescent="0.2">
      <c r="AF19529" s="679"/>
    </row>
    <row r="19530" spans="32:32" x14ac:dyDescent="0.2">
      <c r="AF19530" s="679"/>
    </row>
    <row r="19531" spans="32:32" x14ac:dyDescent="0.2">
      <c r="AF19531" s="679"/>
    </row>
    <row r="19532" spans="32:32" x14ac:dyDescent="0.2">
      <c r="AF19532" s="679"/>
    </row>
    <row r="19533" spans="32:32" x14ac:dyDescent="0.2">
      <c r="AF19533" s="679"/>
    </row>
    <row r="19534" spans="32:32" x14ac:dyDescent="0.2">
      <c r="AF19534" s="679"/>
    </row>
    <row r="19535" spans="32:32" x14ac:dyDescent="0.2">
      <c r="AF19535" s="679"/>
    </row>
    <row r="19536" spans="32:32" x14ac:dyDescent="0.2">
      <c r="AF19536" s="679"/>
    </row>
    <row r="19537" spans="32:32" x14ac:dyDescent="0.2">
      <c r="AF19537" s="679"/>
    </row>
    <row r="19538" spans="32:32" x14ac:dyDescent="0.2">
      <c r="AF19538" s="679"/>
    </row>
    <row r="19539" spans="32:32" x14ac:dyDescent="0.2">
      <c r="AF19539" s="679"/>
    </row>
    <row r="19540" spans="32:32" x14ac:dyDescent="0.2">
      <c r="AF19540" s="679"/>
    </row>
    <row r="19541" spans="32:32" x14ac:dyDescent="0.2">
      <c r="AF19541" s="679"/>
    </row>
    <row r="19542" spans="32:32" x14ac:dyDescent="0.2">
      <c r="AF19542" s="679"/>
    </row>
    <row r="19543" spans="32:32" x14ac:dyDescent="0.2">
      <c r="AF19543" s="679"/>
    </row>
    <row r="19544" spans="32:32" x14ac:dyDescent="0.2">
      <c r="AF19544" s="679"/>
    </row>
    <row r="19545" spans="32:32" x14ac:dyDescent="0.2">
      <c r="AF19545" s="679"/>
    </row>
    <row r="19546" spans="32:32" x14ac:dyDescent="0.2">
      <c r="AF19546" s="679"/>
    </row>
    <row r="19547" spans="32:32" x14ac:dyDescent="0.2">
      <c r="AF19547" s="679"/>
    </row>
    <row r="19548" spans="32:32" x14ac:dyDescent="0.2">
      <c r="AF19548" s="679"/>
    </row>
    <row r="19549" spans="32:32" x14ac:dyDescent="0.2">
      <c r="AF19549" s="679"/>
    </row>
    <row r="19550" spans="32:32" x14ac:dyDescent="0.2">
      <c r="AF19550" s="679"/>
    </row>
    <row r="19551" spans="32:32" x14ac:dyDescent="0.2">
      <c r="AF19551" s="679"/>
    </row>
    <row r="19552" spans="32:32" x14ac:dyDescent="0.2">
      <c r="AF19552" s="679"/>
    </row>
    <row r="19553" spans="32:32" x14ac:dyDescent="0.2">
      <c r="AF19553" s="679"/>
    </row>
    <row r="19554" spans="32:32" x14ac:dyDescent="0.2">
      <c r="AF19554" s="679"/>
    </row>
    <row r="19555" spans="32:32" x14ac:dyDescent="0.2">
      <c r="AF19555" s="679"/>
    </row>
    <row r="19556" spans="32:32" x14ac:dyDescent="0.2">
      <c r="AF19556" s="679"/>
    </row>
    <row r="19557" spans="32:32" x14ac:dyDescent="0.2">
      <c r="AF19557" s="679"/>
    </row>
    <row r="19558" spans="32:32" x14ac:dyDescent="0.2">
      <c r="AF19558" s="679"/>
    </row>
    <row r="19559" spans="32:32" x14ac:dyDescent="0.2">
      <c r="AF19559" s="679"/>
    </row>
    <row r="19560" spans="32:32" x14ac:dyDescent="0.2">
      <c r="AF19560" s="679"/>
    </row>
    <row r="19561" spans="32:32" x14ac:dyDescent="0.2">
      <c r="AF19561" s="679"/>
    </row>
    <row r="19562" spans="32:32" x14ac:dyDescent="0.2">
      <c r="AF19562" s="679"/>
    </row>
    <row r="19563" spans="32:32" x14ac:dyDescent="0.2">
      <c r="AF19563" s="679"/>
    </row>
    <row r="19564" spans="32:32" x14ac:dyDescent="0.2">
      <c r="AF19564" s="679"/>
    </row>
    <row r="19565" spans="32:32" x14ac:dyDescent="0.2">
      <c r="AF19565" s="679"/>
    </row>
    <row r="19566" spans="32:32" x14ac:dyDescent="0.2">
      <c r="AF19566" s="679"/>
    </row>
    <row r="19567" spans="32:32" x14ac:dyDescent="0.2">
      <c r="AF19567" s="679"/>
    </row>
    <row r="19568" spans="32:32" x14ac:dyDescent="0.2">
      <c r="AF19568" s="679"/>
    </row>
    <row r="19569" spans="32:32" x14ac:dyDescent="0.2">
      <c r="AF19569" s="679"/>
    </row>
    <row r="19570" spans="32:32" x14ac:dyDescent="0.2">
      <c r="AF19570" s="679"/>
    </row>
    <row r="19571" spans="32:32" x14ac:dyDescent="0.2">
      <c r="AF19571" s="679"/>
    </row>
    <row r="19572" spans="32:32" x14ac:dyDescent="0.2">
      <c r="AF19572" s="679"/>
    </row>
    <row r="19573" spans="32:32" x14ac:dyDescent="0.2">
      <c r="AF19573" s="679"/>
    </row>
    <row r="19574" spans="32:32" x14ac:dyDescent="0.2">
      <c r="AF19574" s="679"/>
    </row>
    <row r="19575" spans="32:32" x14ac:dyDescent="0.2">
      <c r="AF19575" s="679"/>
    </row>
    <row r="19576" spans="32:32" x14ac:dyDescent="0.2">
      <c r="AF19576" s="679"/>
    </row>
    <row r="19577" spans="32:32" x14ac:dyDescent="0.2">
      <c r="AF19577" s="679"/>
    </row>
    <row r="19578" spans="32:32" x14ac:dyDescent="0.2">
      <c r="AF19578" s="679"/>
    </row>
    <row r="19579" spans="32:32" x14ac:dyDescent="0.2">
      <c r="AF19579" s="679"/>
    </row>
    <row r="19580" spans="32:32" x14ac:dyDescent="0.2">
      <c r="AF19580" s="679"/>
    </row>
    <row r="19581" spans="32:32" x14ac:dyDescent="0.2">
      <c r="AF19581" s="679"/>
    </row>
    <row r="19582" spans="32:32" x14ac:dyDescent="0.2">
      <c r="AF19582" s="679"/>
    </row>
    <row r="19583" spans="32:32" x14ac:dyDescent="0.2">
      <c r="AF19583" s="679"/>
    </row>
    <row r="19584" spans="32:32" x14ac:dyDescent="0.2">
      <c r="AF19584" s="679"/>
    </row>
    <row r="19585" spans="32:32" x14ac:dyDescent="0.2">
      <c r="AF19585" s="679"/>
    </row>
    <row r="19586" spans="32:32" x14ac:dyDescent="0.2">
      <c r="AF19586" s="679"/>
    </row>
    <row r="19587" spans="32:32" x14ac:dyDescent="0.2">
      <c r="AF19587" s="679"/>
    </row>
    <row r="19588" spans="32:32" x14ac:dyDescent="0.2">
      <c r="AF19588" s="679"/>
    </row>
    <row r="19589" spans="32:32" x14ac:dyDescent="0.2">
      <c r="AF19589" s="679"/>
    </row>
    <row r="19590" spans="32:32" x14ac:dyDescent="0.2">
      <c r="AF19590" s="679"/>
    </row>
    <row r="19591" spans="32:32" x14ac:dyDescent="0.2">
      <c r="AF19591" s="679"/>
    </row>
    <row r="19592" spans="32:32" x14ac:dyDescent="0.2">
      <c r="AF19592" s="679"/>
    </row>
    <row r="19593" spans="32:32" x14ac:dyDescent="0.2">
      <c r="AF19593" s="679"/>
    </row>
    <row r="19594" spans="32:32" x14ac:dyDescent="0.2">
      <c r="AF19594" s="679"/>
    </row>
    <row r="19595" spans="32:32" x14ac:dyDescent="0.2">
      <c r="AF19595" s="679"/>
    </row>
    <row r="19596" spans="32:32" x14ac:dyDescent="0.2">
      <c r="AF19596" s="679"/>
    </row>
    <row r="19597" spans="32:32" x14ac:dyDescent="0.2">
      <c r="AF19597" s="679"/>
    </row>
    <row r="19598" spans="32:32" x14ac:dyDescent="0.2">
      <c r="AF19598" s="679"/>
    </row>
    <row r="19599" spans="32:32" x14ac:dyDescent="0.2">
      <c r="AF19599" s="679"/>
    </row>
    <row r="19600" spans="32:32" x14ac:dyDescent="0.2">
      <c r="AF19600" s="679"/>
    </row>
    <row r="19601" spans="32:32" x14ac:dyDescent="0.2">
      <c r="AF19601" s="679"/>
    </row>
    <row r="19602" spans="32:32" x14ac:dyDescent="0.2">
      <c r="AF19602" s="679"/>
    </row>
    <row r="19603" spans="32:32" x14ac:dyDescent="0.2">
      <c r="AF19603" s="679"/>
    </row>
    <row r="19604" spans="32:32" x14ac:dyDescent="0.2">
      <c r="AF19604" s="679"/>
    </row>
    <row r="19605" spans="32:32" x14ac:dyDescent="0.2">
      <c r="AF19605" s="679"/>
    </row>
    <row r="19606" spans="32:32" x14ac:dyDescent="0.2">
      <c r="AF19606" s="679"/>
    </row>
    <row r="19607" spans="32:32" x14ac:dyDescent="0.2">
      <c r="AF19607" s="679"/>
    </row>
    <row r="19608" spans="32:32" x14ac:dyDescent="0.2">
      <c r="AF19608" s="679"/>
    </row>
    <row r="19609" spans="32:32" x14ac:dyDescent="0.2">
      <c r="AF19609" s="679"/>
    </row>
    <row r="19610" spans="32:32" x14ac:dyDescent="0.2">
      <c r="AF19610" s="679"/>
    </row>
    <row r="19611" spans="32:32" x14ac:dyDescent="0.2">
      <c r="AF19611" s="679"/>
    </row>
    <row r="19612" spans="32:32" x14ac:dyDescent="0.2">
      <c r="AF19612" s="679"/>
    </row>
    <row r="19613" spans="32:32" x14ac:dyDescent="0.2">
      <c r="AF19613" s="679"/>
    </row>
    <row r="19614" spans="32:32" x14ac:dyDescent="0.2">
      <c r="AF19614" s="679"/>
    </row>
    <row r="19615" spans="32:32" x14ac:dyDescent="0.2">
      <c r="AF19615" s="679"/>
    </row>
    <row r="19616" spans="32:32" x14ac:dyDescent="0.2">
      <c r="AF19616" s="679"/>
    </row>
    <row r="19617" spans="32:32" x14ac:dyDescent="0.2">
      <c r="AF19617" s="679"/>
    </row>
    <row r="19618" spans="32:32" x14ac:dyDescent="0.2">
      <c r="AF19618" s="679"/>
    </row>
    <row r="19619" spans="32:32" x14ac:dyDescent="0.2">
      <c r="AF19619" s="679"/>
    </row>
    <row r="19620" spans="32:32" x14ac:dyDescent="0.2">
      <c r="AF19620" s="679"/>
    </row>
    <row r="19621" spans="32:32" x14ac:dyDescent="0.2">
      <c r="AF19621" s="679"/>
    </row>
    <row r="19622" spans="32:32" x14ac:dyDescent="0.2">
      <c r="AF19622" s="679"/>
    </row>
    <row r="19623" spans="32:32" x14ac:dyDescent="0.2">
      <c r="AF19623" s="679"/>
    </row>
    <row r="19624" spans="32:32" x14ac:dyDescent="0.2">
      <c r="AF19624" s="679"/>
    </row>
    <row r="19625" spans="32:32" x14ac:dyDescent="0.2">
      <c r="AF19625" s="679"/>
    </row>
    <row r="19626" spans="32:32" x14ac:dyDescent="0.2">
      <c r="AF19626" s="679"/>
    </row>
    <row r="19627" spans="32:32" x14ac:dyDescent="0.2">
      <c r="AF19627" s="679"/>
    </row>
    <row r="19628" spans="32:32" x14ac:dyDescent="0.2">
      <c r="AF19628" s="679"/>
    </row>
    <row r="19629" spans="32:32" x14ac:dyDescent="0.2">
      <c r="AF19629" s="679"/>
    </row>
    <row r="19630" spans="32:32" x14ac:dyDescent="0.2">
      <c r="AF19630" s="679"/>
    </row>
    <row r="19631" spans="32:32" x14ac:dyDescent="0.2">
      <c r="AF19631" s="679"/>
    </row>
    <row r="19632" spans="32:32" x14ac:dyDescent="0.2">
      <c r="AF19632" s="679"/>
    </row>
    <row r="19633" spans="32:32" x14ac:dyDescent="0.2">
      <c r="AF19633" s="679"/>
    </row>
    <row r="19634" spans="32:32" x14ac:dyDescent="0.2">
      <c r="AF19634" s="679"/>
    </row>
    <row r="19635" spans="32:32" x14ac:dyDescent="0.2">
      <c r="AF19635" s="679"/>
    </row>
    <row r="19636" spans="32:32" x14ac:dyDescent="0.2">
      <c r="AF19636" s="679"/>
    </row>
    <row r="19637" spans="32:32" x14ac:dyDescent="0.2">
      <c r="AF19637" s="679"/>
    </row>
    <row r="19638" spans="32:32" x14ac:dyDescent="0.2">
      <c r="AF19638" s="679"/>
    </row>
    <row r="19639" spans="32:32" x14ac:dyDescent="0.2">
      <c r="AF19639" s="679"/>
    </row>
    <row r="19640" spans="32:32" x14ac:dyDescent="0.2">
      <c r="AF19640" s="679"/>
    </row>
    <row r="19641" spans="32:32" x14ac:dyDescent="0.2">
      <c r="AF19641" s="679"/>
    </row>
    <row r="19642" spans="32:32" x14ac:dyDescent="0.2">
      <c r="AF19642" s="679"/>
    </row>
    <row r="19643" spans="32:32" x14ac:dyDescent="0.2">
      <c r="AF19643" s="679"/>
    </row>
    <row r="19644" spans="32:32" x14ac:dyDescent="0.2">
      <c r="AF19644" s="679"/>
    </row>
    <row r="19645" spans="32:32" x14ac:dyDescent="0.2">
      <c r="AF19645" s="679"/>
    </row>
    <row r="19646" spans="32:32" x14ac:dyDescent="0.2">
      <c r="AF19646" s="679"/>
    </row>
    <row r="19647" spans="32:32" x14ac:dyDescent="0.2">
      <c r="AF19647" s="679"/>
    </row>
    <row r="19648" spans="32:32" x14ac:dyDescent="0.2">
      <c r="AF19648" s="679"/>
    </row>
    <row r="19649" spans="32:32" x14ac:dyDescent="0.2">
      <c r="AF19649" s="679"/>
    </row>
    <row r="19650" spans="32:32" x14ac:dyDescent="0.2">
      <c r="AF19650" s="679"/>
    </row>
    <row r="19651" spans="32:32" x14ac:dyDescent="0.2">
      <c r="AF19651" s="679"/>
    </row>
    <row r="19652" spans="32:32" x14ac:dyDescent="0.2">
      <c r="AF19652" s="679"/>
    </row>
    <row r="19653" spans="32:32" x14ac:dyDescent="0.2">
      <c r="AF19653" s="679"/>
    </row>
    <row r="19654" spans="32:32" x14ac:dyDescent="0.2">
      <c r="AF19654" s="679"/>
    </row>
    <row r="19655" spans="32:32" x14ac:dyDescent="0.2">
      <c r="AF19655" s="679"/>
    </row>
    <row r="19656" spans="32:32" x14ac:dyDescent="0.2">
      <c r="AF19656" s="679"/>
    </row>
    <row r="19657" spans="32:32" x14ac:dyDescent="0.2">
      <c r="AF19657" s="679"/>
    </row>
    <row r="19658" spans="32:32" x14ac:dyDescent="0.2">
      <c r="AF19658" s="679"/>
    </row>
    <row r="19659" spans="32:32" x14ac:dyDescent="0.2">
      <c r="AF19659" s="679"/>
    </row>
    <row r="19660" spans="32:32" x14ac:dyDescent="0.2">
      <c r="AF19660" s="679"/>
    </row>
    <row r="19661" spans="32:32" x14ac:dyDescent="0.2">
      <c r="AF19661" s="679"/>
    </row>
    <row r="19662" spans="32:32" x14ac:dyDescent="0.2">
      <c r="AF19662" s="679"/>
    </row>
    <row r="19663" spans="32:32" x14ac:dyDescent="0.2">
      <c r="AF19663" s="679"/>
    </row>
    <row r="19664" spans="32:32" x14ac:dyDescent="0.2">
      <c r="AF19664" s="679"/>
    </row>
    <row r="19665" spans="32:32" x14ac:dyDescent="0.2">
      <c r="AF19665" s="679"/>
    </row>
    <row r="19666" spans="32:32" x14ac:dyDescent="0.2">
      <c r="AF19666" s="679"/>
    </row>
    <row r="19667" spans="32:32" x14ac:dyDescent="0.2">
      <c r="AF19667" s="679"/>
    </row>
    <row r="19668" spans="32:32" x14ac:dyDescent="0.2">
      <c r="AF19668" s="679"/>
    </row>
    <row r="19669" spans="32:32" x14ac:dyDescent="0.2">
      <c r="AF19669" s="679"/>
    </row>
    <row r="19670" spans="32:32" x14ac:dyDescent="0.2">
      <c r="AF19670" s="679"/>
    </row>
    <row r="19671" spans="32:32" x14ac:dyDescent="0.2">
      <c r="AF19671" s="679"/>
    </row>
    <row r="19672" spans="32:32" x14ac:dyDescent="0.2">
      <c r="AF19672" s="679"/>
    </row>
    <row r="19673" spans="32:32" x14ac:dyDescent="0.2">
      <c r="AF19673" s="679"/>
    </row>
    <row r="19674" spans="32:32" x14ac:dyDescent="0.2">
      <c r="AF19674" s="679"/>
    </row>
    <row r="19675" spans="32:32" x14ac:dyDescent="0.2">
      <c r="AF19675" s="679"/>
    </row>
    <row r="19676" spans="32:32" x14ac:dyDescent="0.2">
      <c r="AF19676" s="679"/>
    </row>
    <row r="19677" spans="32:32" x14ac:dyDescent="0.2">
      <c r="AF19677" s="679"/>
    </row>
    <row r="19678" spans="32:32" x14ac:dyDescent="0.2">
      <c r="AF19678" s="679"/>
    </row>
    <row r="19679" spans="32:32" x14ac:dyDescent="0.2">
      <c r="AF19679" s="679"/>
    </row>
    <row r="19680" spans="32:32" x14ac:dyDescent="0.2">
      <c r="AF19680" s="679"/>
    </row>
    <row r="19681" spans="32:32" x14ac:dyDescent="0.2">
      <c r="AF19681" s="679"/>
    </row>
    <row r="19682" spans="32:32" x14ac:dyDescent="0.2">
      <c r="AF19682" s="679"/>
    </row>
    <row r="19683" spans="32:32" x14ac:dyDescent="0.2">
      <c r="AF19683" s="679"/>
    </row>
    <row r="19684" spans="32:32" x14ac:dyDescent="0.2">
      <c r="AF19684" s="679"/>
    </row>
    <row r="19685" spans="32:32" x14ac:dyDescent="0.2">
      <c r="AF19685" s="679"/>
    </row>
    <row r="19686" spans="32:32" x14ac:dyDescent="0.2">
      <c r="AF19686" s="679"/>
    </row>
    <row r="19687" spans="32:32" x14ac:dyDescent="0.2">
      <c r="AF19687" s="679"/>
    </row>
    <row r="19688" spans="32:32" x14ac:dyDescent="0.2">
      <c r="AF19688" s="679"/>
    </row>
    <row r="19689" spans="32:32" x14ac:dyDescent="0.2">
      <c r="AF19689" s="679"/>
    </row>
    <row r="19690" spans="32:32" x14ac:dyDescent="0.2">
      <c r="AF19690" s="679"/>
    </row>
    <row r="19691" spans="32:32" x14ac:dyDescent="0.2">
      <c r="AF19691" s="679"/>
    </row>
    <row r="19692" spans="32:32" x14ac:dyDescent="0.2">
      <c r="AF19692" s="679"/>
    </row>
    <row r="19693" spans="32:32" x14ac:dyDescent="0.2">
      <c r="AF19693" s="679"/>
    </row>
    <row r="19694" spans="32:32" x14ac:dyDescent="0.2">
      <c r="AF19694" s="679"/>
    </row>
    <row r="19695" spans="32:32" x14ac:dyDescent="0.2">
      <c r="AF19695" s="679"/>
    </row>
    <row r="19696" spans="32:32" x14ac:dyDescent="0.2">
      <c r="AF19696" s="679"/>
    </row>
    <row r="19697" spans="32:32" x14ac:dyDescent="0.2">
      <c r="AF19697" s="679"/>
    </row>
    <row r="19698" spans="32:32" x14ac:dyDescent="0.2">
      <c r="AF19698" s="679"/>
    </row>
    <row r="19699" spans="32:32" x14ac:dyDescent="0.2">
      <c r="AF19699" s="679"/>
    </row>
    <row r="19700" spans="32:32" x14ac:dyDescent="0.2">
      <c r="AF19700" s="679"/>
    </row>
    <row r="19701" spans="32:32" x14ac:dyDescent="0.2">
      <c r="AF19701" s="679"/>
    </row>
    <row r="19702" spans="32:32" x14ac:dyDescent="0.2">
      <c r="AF19702" s="679"/>
    </row>
    <row r="19703" spans="32:32" x14ac:dyDescent="0.2">
      <c r="AF19703" s="679"/>
    </row>
    <row r="19704" spans="32:32" x14ac:dyDescent="0.2">
      <c r="AF19704" s="679"/>
    </row>
    <row r="19705" spans="32:32" x14ac:dyDescent="0.2">
      <c r="AF19705" s="679"/>
    </row>
    <row r="19706" spans="32:32" x14ac:dyDescent="0.2">
      <c r="AF19706" s="679"/>
    </row>
    <row r="19707" spans="32:32" x14ac:dyDescent="0.2">
      <c r="AF19707" s="679"/>
    </row>
    <row r="19708" spans="32:32" x14ac:dyDescent="0.2">
      <c r="AF19708" s="679"/>
    </row>
    <row r="19709" spans="32:32" x14ac:dyDescent="0.2">
      <c r="AF19709" s="679"/>
    </row>
    <row r="19710" spans="32:32" x14ac:dyDescent="0.2">
      <c r="AF19710" s="679"/>
    </row>
    <row r="19711" spans="32:32" x14ac:dyDescent="0.2">
      <c r="AF19711" s="679"/>
    </row>
    <row r="19712" spans="32:32" x14ac:dyDescent="0.2">
      <c r="AF19712" s="679"/>
    </row>
    <row r="19713" spans="32:32" x14ac:dyDescent="0.2">
      <c r="AF19713" s="679"/>
    </row>
    <row r="19714" spans="32:32" x14ac:dyDescent="0.2">
      <c r="AF19714" s="679"/>
    </row>
    <row r="19715" spans="32:32" x14ac:dyDescent="0.2">
      <c r="AF19715" s="679"/>
    </row>
    <row r="19716" spans="32:32" x14ac:dyDescent="0.2">
      <c r="AF19716" s="679"/>
    </row>
    <row r="19717" spans="32:32" x14ac:dyDescent="0.2">
      <c r="AF19717" s="679"/>
    </row>
    <row r="19718" spans="32:32" x14ac:dyDescent="0.2">
      <c r="AF19718" s="679"/>
    </row>
    <row r="19719" spans="32:32" x14ac:dyDescent="0.2">
      <c r="AF19719" s="679"/>
    </row>
    <row r="19720" spans="32:32" x14ac:dyDescent="0.2">
      <c r="AF19720" s="679"/>
    </row>
    <row r="19721" spans="32:32" x14ac:dyDescent="0.2">
      <c r="AF19721" s="679"/>
    </row>
    <row r="19722" spans="32:32" x14ac:dyDescent="0.2">
      <c r="AF19722" s="679"/>
    </row>
    <row r="19723" spans="32:32" x14ac:dyDescent="0.2">
      <c r="AF19723" s="679"/>
    </row>
    <row r="19724" spans="32:32" x14ac:dyDescent="0.2">
      <c r="AF19724" s="679"/>
    </row>
    <row r="19725" spans="32:32" x14ac:dyDescent="0.2">
      <c r="AF19725" s="679"/>
    </row>
    <row r="19726" spans="32:32" x14ac:dyDescent="0.2">
      <c r="AF19726" s="679"/>
    </row>
    <row r="19727" spans="32:32" x14ac:dyDescent="0.2">
      <c r="AF19727" s="679"/>
    </row>
    <row r="19728" spans="32:32" x14ac:dyDescent="0.2">
      <c r="AF19728" s="679"/>
    </row>
    <row r="19729" spans="32:32" x14ac:dyDescent="0.2">
      <c r="AF19729" s="679"/>
    </row>
    <row r="19730" spans="32:32" x14ac:dyDescent="0.2">
      <c r="AF19730" s="679"/>
    </row>
    <row r="19731" spans="32:32" x14ac:dyDescent="0.2">
      <c r="AF19731" s="679"/>
    </row>
    <row r="19732" spans="32:32" x14ac:dyDescent="0.2">
      <c r="AF19732" s="679"/>
    </row>
    <row r="19733" spans="32:32" x14ac:dyDescent="0.2">
      <c r="AF19733" s="679"/>
    </row>
    <row r="19734" spans="32:32" x14ac:dyDescent="0.2">
      <c r="AF19734" s="679"/>
    </row>
    <row r="19735" spans="32:32" x14ac:dyDescent="0.2">
      <c r="AF19735" s="679"/>
    </row>
    <row r="19736" spans="32:32" x14ac:dyDescent="0.2">
      <c r="AF19736" s="679"/>
    </row>
    <row r="19737" spans="32:32" x14ac:dyDescent="0.2">
      <c r="AF19737" s="679"/>
    </row>
    <row r="19738" spans="32:32" x14ac:dyDescent="0.2">
      <c r="AF19738" s="679"/>
    </row>
    <row r="19739" spans="32:32" x14ac:dyDescent="0.2">
      <c r="AF19739" s="679"/>
    </row>
    <row r="19740" spans="32:32" x14ac:dyDescent="0.2">
      <c r="AF19740" s="679"/>
    </row>
    <row r="19741" spans="32:32" x14ac:dyDescent="0.2">
      <c r="AF19741" s="679"/>
    </row>
    <row r="19742" spans="32:32" x14ac:dyDescent="0.2">
      <c r="AF19742" s="679"/>
    </row>
    <row r="19743" spans="32:32" x14ac:dyDescent="0.2">
      <c r="AF19743" s="679"/>
    </row>
    <row r="19744" spans="32:32" x14ac:dyDescent="0.2">
      <c r="AF19744" s="679"/>
    </row>
    <row r="19745" spans="32:32" x14ac:dyDescent="0.2">
      <c r="AF19745" s="679"/>
    </row>
    <row r="19746" spans="32:32" x14ac:dyDescent="0.2">
      <c r="AF19746" s="679"/>
    </row>
    <row r="19747" spans="32:32" x14ac:dyDescent="0.2">
      <c r="AF19747" s="679"/>
    </row>
    <row r="19748" spans="32:32" x14ac:dyDescent="0.2">
      <c r="AF19748" s="679"/>
    </row>
    <row r="19749" spans="32:32" x14ac:dyDescent="0.2">
      <c r="AF19749" s="679"/>
    </row>
    <row r="19750" spans="32:32" x14ac:dyDescent="0.2">
      <c r="AF19750" s="679"/>
    </row>
    <row r="19751" spans="32:32" x14ac:dyDescent="0.2">
      <c r="AF19751" s="679"/>
    </row>
    <row r="19752" spans="32:32" x14ac:dyDescent="0.2">
      <c r="AF19752" s="679"/>
    </row>
    <row r="19753" spans="32:32" x14ac:dyDescent="0.2">
      <c r="AF19753" s="679"/>
    </row>
    <row r="19754" spans="32:32" x14ac:dyDescent="0.2">
      <c r="AF19754" s="679"/>
    </row>
    <row r="19755" spans="32:32" x14ac:dyDescent="0.2">
      <c r="AF19755" s="679"/>
    </row>
    <row r="19756" spans="32:32" x14ac:dyDescent="0.2">
      <c r="AF19756" s="679"/>
    </row>
    <row r="19757" spans="32:32" x14ac:dyDescent="0.2">
      <c r="AF19757" s="679"/>
    </row>
    <row r="19758" spans="32:32" x14ac:dyDescent="0.2">
      <c r="AF19758" s="679"/>
    </row>
    <row r="19759" spans="32:32" x14ac:dyDescent="0.2">
      <c r="AF19759" s="679"/>
    </row>
    <row r="19760" spans="32:32" x14ac:dyDescent="0.2">
      <c r="AF19760" s="679"/>
    </row>
    <row r="19761" spans="32:32" x14ac:dyDescent="0.2">
      <c r="AF19761" s="679"/>
    </row>
    <row r="19762" spans="32:32" x14ac:dyDescent="0.2">
      <c r="AF19762" s="679"/>
    </row>
    <row r="19763" spans="32:32" x14ac:dyDescent="0.2">
      <c r="AF19763" s="679"/>
    </row>
    <row r="19764" spans="32:32" x14ac:dyDescent="0.2">
      <c r="AF19764" s="679"/>
    </row>
    <row r="19765" spans="32:32" x14ac:dyDescent="0.2">
      <c r="AF19765" s="679"/>
    </row>
    <row r="19766" spans="32:32" x14ac:dyDescent="0.2">
      <c r="AF19766" s="679"/>
    </row>
    <row r="19767" spans="32:32" x14ac:dyDescent="0.2">
      <c r="AF19767" s="679"/>
    </row>
    <row r="19768" spans="32:32" x14ac:dyDescent="0.2">
      <c r="AF19768" s="679"/>
    </row>
    <row r="19769" spans="32:32" x14ac:dyDescent="0.2">
      <c r="AF19769" s="679"/>
    </row>
    <row r="19770" spans="32:32" x14ac:dyDescent="0.2">
      <c r="AF19770" s="679"/>
    </row>
    <row r="19771" spans="32:32" x14ac:dyDescent="0.2">
      <c r="AF19771" s="679"/>
    </row>
    <row r="19772" spans="32:32" x14ac:dyDescent="0.2">
      <c r="AF19772" s="679"/>
    </row>
    <row r="19773" spans="32:32" x14ac:dyDescent="0.2">
      <c r="AF19773" s="679"/>
    </row>
    <row r="19774" spans="32:32" x14ac:dyDescent="0.2">
      <c r="AF19774" s="679"/>
    </row>
    <row r="19775" spans="32:32" x14ac:dyDescent="0.2">
      <c r="AF19775" s="679"/>
    </row>
    <row r="19776" spans="32:32" x14ac:dyDescent="0.2">
      <c r="AF19776" s="679"/>
    </row>
    <row r="19777" spans="32:32" x14ac:dyDescent="0.2">
      <c r="AF19777" s="679"/>
    </row>
    <row r="19778" spans="32:32" x14ac:dyDescent="0.2">
      <c r="AF19778" s="679"/>
    </row>
    <row r="19779" spans="32:32" x14ac:dyDescent="0.2">
      <c r="AF19779" s="679"/>
    </row>
    <row r="19780" spans="32:32" x14ac:dyDescent="0.2">
      <c r="AF19780" s="679"/>
    </row>
    <row r="19781" spans="32:32" x14ac:dyDescent="0.2">
      <c r="AF19781" s="679"/>
    </row>
    <row r="19782" spans="32:32" x14ac:dyDescent="0.2">
      <c r="AF19782" s="679"/>
    </row>
    <row r="19783" spans="32:32" x14ac:dyDescent="0.2">
      <c r="AF19783" s="679"/>
    </row>
    <row r="19784" spans="32:32" x14ac:dyDescent="0.2">
      <c r="AF19784" s="679"/>
    </row>
    <row r="19785" spans="32:32" x14ac:dyDescent="0.2">
      <c r="AF19785" s="679"/>
    </row>
    <row r="19786" spans="32:32" x14ac:dyDescent="0.2">
      <c r="AF19786" s="679"/>
    </row>
    <row r="19787" spans="32:32" x14ac:dyDescent="0.2">
      <c r="AF19787" s="679"/>
    </row>
    <row r="19788" spans="32:32" x14ac:dyDescent="0.2">
      <c r="AF19788" s="679"/>
    </row>
    <row r="19789" spans="32:32" x14ac:dyDescent="0.2">
      <c r="AF19789" s="679"/>
    </row>
    <row r="19790" spans="32:32" x14ac:dyDescent="0.2">
      <c r="AF19790" s="679"/>
    </row>
    <row r="19791" spans="32:32" x14ac:dyDescent="0.2">
      <c r="AF19791" s="679"/>
    </row>
    <row r="19792" spans="32:32" x14ac:dyDescent="0.2">
      <c r="AF19792" s="679"/>
    </row>
    <row r="19793" spans="32:32" x14ac:dyDescent="0.2">
      <c r="AF19793" s="679"/>
    </row>
    <row r="19794" spans="32:32" x14ac:dyDescent="0.2">
      <c r="AF19794" s="679"/>
    </row>
    <row r="19795" spans="32:32" x14ac:dyDescent="0.2">
      <c r="AF19795" s="679"/>
    </row>
    <row r="19796" spans="32:32" x14ac:dyDescent="0.2">
      <c r="AF19796" s="679"/>
    </row>
    <row r="19797" spans="32:32" x14ac:dyDescent="0.2">
      <c r="AF19797" s="679"/>
    </row>
    <row r="19798" spans="32:32" x14ac:dyDescent="0.2">
      <c r="AF19798" s="679"/>
    </row>
    <row r="19799" spans="32:32" x14ac:dyDescent="0.2">
      <c r="AF19799" s="679"/>
    </row>
    <row r="19800" spans="32:32" x14ac:dyDescent="0.2">
      <c r="AF19800" s="679"/>
    </row>
    <row r="19801" spans="32:32" x14ac:dyDescent="0.2">
      <c r="AF19801" s="679"/>
    </row>
    <row r="19802" spans="32:32" x14ac:dyDescent="0.2">
      <c r="AF19802" s="679"/>
    </row>
    <row r="19803" spans="32:32" x14ac:dyDescent="0.2">
      <c r="AF19803" s="679"/>
    </row>
    <row r="19804" spans="32:32" x14ac:dyDescent="0.2">
      <c r="AF19804" s="679"/>
    </row>
    <row r="19805" spans="32:32" x14ac:dyDescent="0.2">
      <c r="AF19805" s="679"/>
    </row>
    <row r="19806" spans="32:32" x14ac:dyDescent="0.2">
      <c r="AF19806" s="679"/>
    </row>
    <row r="19807" spans="32:32" x14ac:dyDescent="0.2">
      <c r="AF19807" s="679"/>
    </row>
    <row r="19808" spans="32:32" x14ac:dyDescent="0.2">
      <c r="AF19808" s="679"/>
    </row>
    <row r="19809" spans="32:32" x14ac:dyDescent="0.2">
      <c r="AF19809" s="679"/>
    </row>
    <row r="19810" spans="32:32" x14ac:dyDescent="0.2">
      <c r="AF19810" s="679"/>
    </row>
    <row r="19811" spans="32:32" x14ac:dyDescent="0.2">
      <c r="AF19811" s="679"/>
    </row>
    <row r="19812" spans="32:32" x14ac:dyDescent="0.2">
      <c r="AF19812" s="679"/>
    </row>
    <row r="19813" spans="32:32" x14ac:dyDescent="0.2">
      <c r="AF19813" s="679"/>
    </row>
    <row r="19814" spans="32:32" x14ac:dyDescent="0.2">
      <c r="AF19814" s="679"/>
    </row>
    <row r="19815" spans="32:32" x14ac:dyDescent="0.2">
      <c r="AF19815" s="679"/>
    </row>
    <row r="19816" spans="32:32" x14ac:dyDescent="0.2">
      <c r="AF19816" s="679"/>
    </row>
    <row r="19817" spans="32:32" x14ac:dyDescent="0.2">
      <c r="AF19817" s="679"/>
    </row>
    <row r="19818" spans="32:32" x14ac:dyDescent="0.2">
      <c r="AF19818" s="679"/>
    </row>
    <row r="19819" spans="32:32" x14ac:dyDescent="0.2">
      <c r="AF19819" s="679"/>
    </row>
    <row r="19820" spans="32:32" x14ac:dyDescent="0.2">
      <c r="AF19820" s="679"/>
    </row>
    <row r="19821" spans="32:32" x14ac:dyDescent="0.2">
      <c r="AF19821" s="679"/>
    </row>
    <row r="19822" spans="32:32" x14ac:dyDescent="0.2">
      <c r="AF19822" s="679"/>
    </row>
    <row r="19823" spans="32:32" x14ac:dyDescent="0.2">
      <c r="AF19823" s="679"/>
    </row>
    <row r="19824" spans="32:32" x14ac:dyDescent="0.2">
      <c r="AF19824" s="679"/>
    </row>
    <row r="19825" spans="32:32" x14ac:dyDescent="0.2">
      <c r="AF19825" s="679"/>
    </row>
    <row r="19826" spans="32:32" x14ac:dyDescent="0.2">
      <c r="AF19826" s="679"/>
    </row>
    <row r="19827" spans="32:32" x14ac:dyDescent="0.2">
      <c r="AF19827" s="679"/>
    </row>
    <row r="19828" spans="32:32" x14ac:dyDescent="0.2">
      <c r="AF19828" s="679"/>
    </row>
    <row r="19829" spans="32:32" x14ac:dyDescent="0.2">
      <c r="AF19829" s="679"/>
    </row>
    <row r="19830" spans="32:32" x14ac:dyDescent="0.2">
      <c r="AF19830" s="679"/>
    </row>
    <row r="19831" spans="32:32" x14ac:dyDescent="0.2">
      <c r="AF19831" s="679"/>
    </row>
    <row r="19832" spans="32:32" x14ac:dyDescent="0.2">
      <c r="AF19832" s="679"/>
    </row>
    <row r="19833" spans="32:32" x14ac:dyDescent="0.2">
      <c r="AF19833" s="679"/>
    </row>
    <row r="19834" spans="32:32" x14ac:dyDescent="0.2">
      <c r="AF19834" s="679"/>
    </row>
    <row r="19835" spans="32:32" x14ac:dyDescent="0.2">
      <c r="AF19835" s="679"/>
    </row>
    <row r="19836" spans="32:32" x14ac:dyDescent="0.2">
      <c r="AF19836" s="679"/>
    </row>
    <row r="19837" spans="32:32" x14ac:dyDescent="0.2">
      <c r="AF19837" s="679"/>
    </row>
    <row r="19838" spans="32:32" x14ac:dyDescent="0.2">
      <c r="AF19838" s="679"/>
    </row>
    <row r="19839" spans="32:32" x14ac:dyDescent="0.2">
      <c r="AF19839" s="679"/>
    </row>
    <row r="19840" spans="32:32" x14ac:dyDescent="0.2">
      <c r="AF19840" s="679"/>
    </row>
    <row r="19841" spans="32:32" x14ac:dyDescent="0.2">
      <c r="AF19841" s="679"/>
    </row>
    <row r="19842" spans="32:32" x14ac:dyDescent="0.2">
      <c r="AF19842" s="679"/>
    </row>
    <row r="19843" spans="32:32" x14ac:dyDescent="0.2">
      <c r="AF19843" s="679"/>
    </row>
    <row r="19844" spans="32:32" x14ac:dyDescent="0.2">
      <c r="AF19844" s="679"/>
    </row>
    <row r="19845" spans="32:32" x14ac:dyDescent="0.2">
      <c r="AF19845" s="679"/>
    </row>
    <row r="19846" spans="32:32" x14ac:dyDescent="0.2">
      <c r="AF19846" s="679"/>
    </row>
    <row r="19847" spans="32:32" x14ac:dyDescent="0.2">
      <c r="AF19847" s="679"/>
    </row>
    <row r="19848" spans="32:32" x14ac:dyDescent="0.2">
      <c r="AF19848" s="679"/>
    </row>
    <row r="19849" spans="32:32" x14ac:dyDescent="0.2">
      <c r="AF19849" s="679"/>
    </row>
    <row r="19850" spans="32:32" x14ac:dyDescent="0.2">
      <c r="AF19850" s="679"/>
    </row>
    <row r="19851" spans="32:32" x14ac:dyDescent="0.2">
      <c r="AF19851" s="679"/>
    </row>
    <row r="19852" spans="32:32" x14ac:dyDescent="0.2">
      <c r="AF19852" s="679"/>
    </row>
    <row r="19853" spans="32:32" x14ac:dyDescent="0.2">
      <c r="AF19853" s="679"/>
    </row>
    <row r="19854" spans="32:32" x14ac:dyDescent="0.2">
      <c r="AF19854" s="679"/>
    </row>
    <row r="19855" spans="32:32" x14ac:dyDescent="0.2">
      <c r="AF19855" s="679"/>
    </row>
    <row r="19856" spans="32:32" x14ac:dyDescent="0.2">
      <c r="AF19856" s="679"/>
    </row>
    <row r="19857" spans="32:32" x14ac:dyDescent="0.2">
      <c r="AF19857" s="679"/>
    </row>
    <row r="19858" spans="32:32" x14ac:dyDescent="0.2">
      <c r="AF19858" s="679"/>
    </row>
    <row r="19859" spans="32:32" x14ac:dyDescent="0.2">
      <c r="AF19859" s="679"/>
    </row>
    <row r="19860" spans="32:32" x14ac:dyDescent="0.2">
      <c r="AF19860" s="679"/>
    </row>
    <row r="19861" spans="32:32" x14ac:dyDescent="0.2">
      <c r="AF19861" s="679"/>
    </row>
    <row r="19862" spans="32:32" x14ac:dyDescent="0.2">
      <c r="AF19862" s="679"/>
    </row>
    <row r="19863" spans="32:32" x14ac:dyDescent="0.2">
      <c r="AF19863" s="679"/>
    </row>
    <row r="19864" spans="32:32" x14ac:dyDescent="0.2">
      <c r="AF19864" s="679"/>
    </row>
    <row r="19865" spans="32:32" x14ac:dyDescent="0.2">
      <c r="AF19865" s="679"/>
    </row>
    <row r="19866" spans="32:32" x14ac:dyDescent="0.2">
      <c r="AF19866" s="679"/>
    </row>
    <row r="19867" spans="32:32" x14ac:dyDescent="0.2">
      <c r="AF19867" s="679"/>
    </row>
    <row r="19868" spans="32:32" x14ac:dyDescent="0.2">
      <c r="AF19868" s="679"/>
    </row>
    <row r="19869" spans="32:32" x14ac:dyDescent="0.2">
      <c r="AF19869" s="679"/>
    </row>
    <row r="19870" spans="32:32" x14ac:dyDescent="0.2">
      <c r="AF19870" s="679"/>
    </row>
    <row r="19871" spans="32:32" x14ac:dyDescent="0.2">
      <c r="AF19871" s="679"/>
    </row>
    <row r="19872" spans="32:32" x14ac:dyDescent="0.2">
      <c r="AF19872" s="679"/>
    </row>
    <row r="19873" spans="32:32" x14ac:dyDescent="0.2">
      <c r="AF19873" s="679"/>
    </row>
    <row r="19874" spans="32:32" x14ac:dyDescent="0.2">
      <c r="AF19874" s="679"/>
    </row>
    <row r="19875" spans="32:32" x14ac:dyDescent="0.2">
      <c r="AF19875" s="679"/>
    </row>
    <row r="19876" spans="32:32" x14ac:dyDescent="0.2">
      <c r="AF19876" s="679"/>
    </row>
    <row r="19877" spans="32:32" x14ac:dyDescent="0.2">
      <c r="AF19877" s="679"/>
    </row>
    <row r="19878" spans="32:32" x14ac:dyDescent="0.2">
      <c r="AF19878" s="679"/>
    </row>
    <row r="19879" spans="32:32" x14ac:dyDescent="0.2">
      <c r="AF19879" s="679"/>
    </row>
    <row r="19880" spans="32:32" x14ac:dyDescent="0.2">
      <c r="AF19880" s="679"/>
    </row>
    <row r="19881" spans="32:32" x14ac:dyDescent="0.2">
      <c r="AF19881" s="679"/>
    </row>
    <row r="19882" spans="32:32" x14ac:dyDescent="0.2">
      <c r="AF19882" s="679"/>
    </row>
    <row r="19883" spans="32:32" x14ac:dyDescent="0.2">
      <c r="AF19883" s="679"/>
    </row>
    <row r="19884" spans="32:32" x14ac:dyDescent="0.2">
      <c r="AF19884" s="679"/>
    </row>
    <row r="19885" spans="32:32" x14ac:dyDescent="0.2">
      <c r="AF19885" s="679"/>
    </row>
    <row r="19886" spans="32:32" x14ac:dyDescent="0.2">
      <c r="AF19886" s="679"/>
    </row>
    <row r="19887" spans="32:32" x14ac:dyDescent="0.2">
      <c r="AF19887" s="679"/>
    </row>
    <row r="19888" spans="32:32" x14ac:dyDescent="0.2">
      <c r="AF19888" s="679"/>
    </row>
    <row r="19889" spans="32:32" x14ac:dyDescent="0.2">
      <c r="AF19889" s="679"/>
    </row>
    <row r="19890" spans="32:32" x14ac:dyDescent="0.2">
      <c r="AF19890" s="679"/>
    </row>
    <row r="19891" spans="32:32" x14ac:dyDescent="0.2">
      <c r="AF19891" s="679"/>
    </row>
    <row r="19892" spans="32:32" x14ac:dyDescent="0.2">
      <c r="AF19892" s="679"/>
    </row>
    <row r="19893" spans="32:32" x14ac:dyDescent="0.2">
      <c r="AF19893" s="679"/>
    </row>
    <row r="19894" spans="32:32" x14ac:dyDescent="0.2">
      <c r="AF19894" s="679"/>
    </row>
    <row r="19895" spans="32:32" x14ac:dyDescent="0.2">
      <c r="AF19895" s="679"/>
    </row>
    <row r="19896" spans="32:32" x14ac:dyDescent="0.2">
      <c r="AF19896" s="679"/>
    </row>
    <row r="19897" spans="32:32" x14ac:dyDescent="0.2">
      <c r="AF19897" s="679"/>
    </row>
    <row r="19898" spans="32:32" x14ac:dyDescent="0.2">
      <c r="AF19898" s="679"/>
    </row>
    <row r="19899" spans="32:32" x14ac:dyDescent="0.2">
      <c r="AF19899" s="679"/>
    </row>
    <row r="19900" spans="32:32" x14ac:dyDescent="0.2">
      <c r="AF19900" s="679"/>
    </row>
    <row r="19901" spans="32:32" x14ac:dyDescent="0.2">
      <c r="AF19901" s="679"/>
    </row>
    <row r="19902" spans="32:32" x14ac:dyDescent="0.2">
      <c r="AF19902" s="679"/>
    </row>
    <row r="19903" spans="32:32" x14ac:dyDescent="0.2">
      <c r="AF19903" s="679"/>
    </row>
    <row r="19904" spans="32:32" x14ac:dyDescent="0.2">
      <c r="AF19904" s="679"/>
    </row>
    <row r="19905" spans="32:32" x14ac:dyDescent="0.2">
      <c r="AF19905" s="679"/>
    </row>
    <row r="19906" spans="32:32" x14ac:dyDescent="0.2">
      <c r="AF19906" s="679"/>
    </row>
    <row r="19907" spans="32:32" x14ac:dyDescent="0.2">
      <c r="AF19907" s="679"/>
    </row>
    <row r="19908" spans="32:32" x14ac:dyDescent="0.2">
      <c r="AF19908" s="679"/>
    </row>
    <row r="19909" spans="32:32" x14ac:dyDescent="0.2">
      <c r="AF19909" s="679"/>
    </row>
    <row r="19910" spans="32:32" x14ac:dyDescent="0.2">
      <c r="AF19910" s="679"/>
    </row>
    <row r="19911" spans="32:32" x14ac:dyDescent="0.2">
      <c r="AF19911" s="679"/>
    </row>
    <row r="19912" spans="32:32" x14ac:dyDescent="0.2">
      <c r="AF19912" s="679"/>
    </row>
    <row r="19913" spans="32:32" x14ac:dyDescent="0.2">
      <c r="AF19913" s="679"/>
    </row>
    <row r="19914" spans="32:32" x14ac:dyDescent="0.2">
      <c r="AF19914" s="679"/>
    </row>
    <row r="19915" spans="32:32" x14ac:dyDescent="0.2">
      <c r="AF19915" s="679"/>
    </row>
    <row r="19916" spans="32:32" x14ac:dyDescent="0.2">
      <c r="AF19916" s="679"/>
    </row>
    <row r="19917" spans="32:32" x14ac:dyDescent="0.2">
      <c r="AF19917" s="679"/>
    </row>
    <row r="19918" spans="32:32" x14ac:dyDescent="0.2">
      <c r="AF19918" s="679"/>
    </row>
    <row r="19919" spans="32:32" x14ac:dyDescent="0.2">
      <c r="AF19919" s="679"/>
    </row>
    <row r="19920" spans="32:32" x14ac:dyDescent="0.2">
      <c r="AF19920" s="679"/>
    </row>
    <row r="19921" spans="32:32" x14ac:dyDescent="0.2">
      <c r="AF19921" s="679"/>
    </row>
    <row r="19922" spans="32:32" x14ac:dyDescent="0.2">
      <c r="AF19922" s="679"/>
    </row>
    <row r="19923" spans="32:32" x14ac:dyDescent="0.2">
      <c r="AF19923" s="679"/>
    </row>
    <row r="19924" spans="32:32" x14ac:dyDescent="0.2">
      <c r="AF19924" s="679"/>
    </row>
    <row r="19925" spans="32:32" x14ac:dyDescent="0.2">
      <c r="AF19925" s="679"/>
    </row>
    <row r="19926" spans="32:32" x14ac:dyDescent="0.2">
      <c r="AF19926" s="679"/>
    </row>
    <row r="19927" spans="32:32" x14ac:dyDescent="0.2">
      <c r="AF19927" s="679"/>
    </row>
    <row r="19928" spans="32:32" x14ac:dyDescent="0.2">
      <c r="AF19928" s="679"/>
    </row>
    <row r="19929" spans="32:32" x14ac:dyDescent="0.2">
      <c r="AF19929" s="679"/>
    </row>
    <row r="19930" spans="32:32" x14ac:dyDescent="0.2">
      <c r="AF19930" s="679"/>
    </row>
    <row r="19931" spans="32:32" x14ac:dyDescent="0.2">
      <c r="AF19931" s="679"/>
    </row>
    <row r="19932" spans="32:32" x14ac:dyDescent="0.2">
      <c r="AF19932" s="679"/>
    </row>
    <row r="19933" spans="32:32" x14ac:dyDescent="0.2">
      <c r="AF19933" s="679"/>
    </row>
    <row r="19934" spans="32:32" x14ac:dyDescent="0.2">
      <c r="AF19934" s="679"/>
    </row>
    <row r="19935" spans="32:32" x14ac:dyDescent="0.2">
      <c r="AF19935" s="679"/>
    </row>
    <row r="19936" spans="32:32" x14ac:dyDescent="0.2">
      <c r="AF19936" s="679"/>
    </row>
    <row r="19937" spans="32:32" x14ac:dyDescent="0.2">
      <c r="AF19937" s="679"/>
    </row>
    <row r="19938" spans="32:32" x14ac:dyDescent="0.2">
      <c r="AF19938" s="679"/>
    </row>
    <row r="19939" spans="32:32" x14ac:dyDescent="0.2">
      <c r="AF19939" s="679"/>
    </row>
    <row r="19940" spans="32:32" x14ac:dyDescent="0.2">
      <c r="AF19940" s="679"/>
    </row>
    <row r="19941" spans="32:32" x14ac:dyDescent="0.2">
      <c r="AF19941" s="679"/>
    </row>
    <row r="19942" spans="32:32" x14ac:dyDescent="0.2">
      <c r="AF19942" s="679"/>
    </row>
    <row r="19943" spans="32:32" x14ac:dyDescent="0.2">
      <c r="AF19943" s="679"/>
    </row>
    <row r="19944" spans="32:32" x14ac:dyDescent="0.2">
      <c r="AF19944" s="679"/>
    </row>
    <row r="19945" spans="32:32" x14ac:dyDescent="0.2">
      <c r="AF19945" s="679"/>
    </row>
    <row r="19946" spans="32:32" x14ac:dyDescent="0.2">
      <c r="AF19946" s="679"/>
    </row>
    <row r="19947" spans="32:32" x14ac:dyDescent="0.2">
      <c r="AF19947" s="679"/>
    </row>
    <row r="19948" spans="32:32" x14ac:dyDescent="0.2">
      <c r="AF19948" s="679"/>
    </row>
    <row r="19949" spans="32:32" x14ac:dyDescent="0.2">
      <c r="AF19949" s="679"/>
    </row>
    <row r="19950" spans="32:32" x14ac:dyDescent="0.2">
      <c r="AF19950" s="679"/>
    </row>
    <row r="19951" spans="32:32" x14ac:dyDescent="0.2">
      <c r="AF19951" s="679"/>
    </row>
    <row r="19952" spans="32:32" x14ac:dyDescent="0.2">
      <c r="AF19952" s="679"/>
    </row>
    <row r="19953" spans="32:32" x14ac:dyDescent="0.2">
      <c r="AF19953" s="679"/>
    </row>
    <row r="19954" spans="32:32" x14ac:dyDescent="0.2">
      <c r="AF19954" s="679"/>
    </row>
    <row r="19955" spans="32:32" x14ac:dyDescent="0.2">
      <c r="AF19955" s="679"/>
    </row>
    <row r="19956" spans="32:32" x14ac:dyDescent="0.2">
      <c r="AF19956" s="679"/>
    </row>
    <row r="19957" spans="32:32" x14ac:dyDescent="0.2">
      <c r="AF19957" s="679"/>
    </row>
    <row r="19958" spans="32:32" x14ac:dyDescent="0.2">
      <c r="AF19958" s="679"/>
    </row>
    <row r="19959" spans="32:32" x14ac:dyDescent="0.2">
      <c r="AF19959" s="679"/>
    </row>
    <row r="19960" spans="32:32" x14ac:dyDescent="0.2">
      <c r="AF19960" s="679"/>
    </row>
    <row r="19961" spans="32:32" x14ac:dyDescent="0.2">
      <c r="AF19961" s="679"/>
    </row>
    <row r="19962" spans="32:32" x14ac:dyDescent="0.2">
      <c r="AF19962" s="679"/>
    </row>
    <row r="19963" spans="32:32" x14ac:dyDescent="0.2">
      <c r="AF19963" s="679"/>
    </row>
    <row r="19964" spans="32:32" x14ac:dyDescent="0.2">
      <c r="AF19964" s="679"/>
    </row>
    <row r="19965" spans="32:32" x14ac:dyDescent="0.2">
      <c r="AF19965" s="679"/>
    </row>
    <row r="19966" spans="32:32" x14ac:dyDescent="0.2">
      <c r="AF19966" s="679"/>
    </row>
    <row r="19967" spans="32:32" x14ac:dyDescent="0.2">
      <c r="AF19967" s="679"/>
    </row>
    <row r="19968" spans="32:32" x14ac:dyDescent="0.2">
      <c r="AF19968" s="679"/>
    </row>
    <row r="19969" spans="32:32" x14ac:dyDescent="0.2">
      <c r="AF19969" s="679"/>
    </row>
    <row r="19970" spans="32:32" x14ac:dyDescent="0.2">
      <c r="AF19970" s="679"/>
    </row>
    <row r="19971" spans="32:32" x14ac:dyDescent="0.2">
      <c r="AF19971" s="679"/>
    </row>
    <row r="19972" spans="32:32" x14ac:dyDescent="0.2">
      <c r="AF19972" s="679"/>
    </row>
    <row r="19973" spans="32:32" x14ac:dyDescent="0.2">
      <c r="AF19973" s="679"/>
    </row>
    <row r="19974" spans="32:32" x14ac:dyDescent="0.2">
      <c r="AF19974" s="679"/>
    </row>
    <row r="19975" spans="32:32" x14ac:dyDescent="0.2">
      <c r="AF19975" s="679"/>
    </row>
    <row r="19976" spans="32:32" x14ac:dyDescent="0.2">
      <c r="AF19976" s="679"/>
    </row>
    <row r="19977" spans="32:32" x14ac:dyDescent="0.2">
      <c r="AF19977" s="679"/>
    </row>
    <row r="19978" spans="32:32" x14ac:dyDescent="0.2">
      <c r="AF19978" s="679"/>
    </row>
    <row r="19979" spans="32:32" x14ac:dyDescent="0.2">
      <c r="AF19979" s="679"/>
    </row>
    <row r="19980" spans="32:32" x14ac:dyDescent="0.2">
      <c r="AF19980" s="679"/>
    </row>
    <row r="19981" spans="32:32" x14ac:dyDescent="0.2">
      <c r="AF19981" s="679"/>
    </row>
    <row r="19982" spans="32:32" x14ac:dyDescent="0.2">
      <c r="AF19982" s="679"/>
    </row>
    <row r="19983" spans="32:32" x14ac:dyDescent="0.2">
      <c r="AF19983" s="679"/>
    </row>
    <row r="19984" spans="32:32" x14ac:dyDescent="0.2">
      <c r="AF19984" s="679"/>
    </row>
    <row r="19985" spans="32:32" x14ac:dyDescent="0.2">
      <c r="AF19985" s="679"/>
    </row>
    <row r="19986" spans="32:32" x14ac:dyDescent="0.2">
      <c r="AF19986" s="679"/>
    </row>
    <row r="19987" spans="32:32" x14ac:dyDescent="0.2">
      <c r="AF19987" s="679"/>
    </row>
    <row r="19988" spans="32:32" x14ac:dyDescent="0.2">
      <c r="AF19988" s="679"/>
    </row>
    <row r="19989" spans="32:32" x14ac:dyDescent="0.2">
      <c r="AF19989" s="679"/>
    </row>
    <row r="19990" spans="32:32" x14ac:dyDescent="0.2">
      <c r="AF19990" s="679"/>
    </row>
    <row r="19991" spans="32:32" x14ac:dyDescent="0.2">
      <c r="AF19991" s="679"/>
    </row>
    <row r="19992" spans="32:32" x14ac:dyDescent="0.2">
      <c r="AF19992" s="679"/>
    </row>
    <row r="19993" spans="32:32" x14ac:dyDescent="0.2">
      <c r="AF19993" s="679"/>
    </row>
    <row r="19994" spans="32:32" x14ac:dyDescent="0.2">
      <c r="AF19994" s="679"/>
    </row>
    <row r="19995" spans="32:32" x14ac:dyDescent="0.2">
      <c r="AF19995" s="679"/>
    </row>
    <row r="19996" spans="32:32" x14ac:dyDescent="0.2">
      <c r="AF19996" s="679"/>
    </row>
    <row r="19997" spans="32:32" x14ac:dyDescent="0.2">
      <c r="AF19997" s="679"/>
    </row>
    <row r="19998" spans="32:32" x14ac:dyDescent="0.2">
      <c r="AF19998" s="679"/>
    </row>
    <row r="19999" spans="32:32" x14ac:dyDescent="0.2">
      <c r="AF19999" s="679"/>
    </row>
    <row r="20000" spans="32:32" x14ac:dyDescent="0.2">
      <c r="AF20000" s="679"/>
    </row>
    <row r="20001" spans="32:32" x14ac:dyDescent="0.2">
      <c r="AF20001" s="679"/>
    </row>
    <row r="20002" spans="32:32" x14ac:dyDescent="0.2">
      <c r="AF20002" s="679"/>
    </row>
    <row r="20003" spans="32:32" x14ac:dyDescent="0.2">
      <c r="AF20003" s="679"/>
    </row>
    <row r="20004" spans="32:32" x14ac:dyDescent="0.2">
      <c r="AF20004" s="679"/>
    </row>
    <row r="20005" spans="32:32" x14ac:dyDescent="0.2">
      <c r="AF20005" s="679"/>
    </row>
    <row r="20006" spans="32:32" x14ac:dyDescent="0.2">
      <c r="AF20006" s="679"/>
    </row>
    <row r="20007" spans="32:32" x14ac:dyDescent="0.2">
      <c r="AF20007" s="679"/>
    </row>
    <row r="20008" spans="32:32" x14ac:dyDescent="0.2">
      <c r="AF20008" s="679"/>
    </row>
    <row r="20009" spans="32:32" x14ac:dyDescent="0.2">
      <c r="AF20009" s="679"/>
    </row>
    <row r="20010" spans="32:32" x14ac:dyDescent="0.2">
      <c r="AF20010" s="679"/>
    </row>
    <row r="20011" spans="32:32" x14ac:dyDescent="0.2">
      <c r="AF20011" s="679"/>
    </row>
    <row r="20012" spans="32:32" x14ac:dyDescent="0.2">
      <c r="AF20012" s="679"/>
    </row>
    <row r="20013" spans="32:32" x14ac:dyDescent="0.2">
      <c r="AF20013" s="679"/>
    </row>
    <row r="20014" spans="32:32" x14ac:dyDescent="0.2">
      <c r="AF20014" s="679"/>
    </row>
    <row r="20015" spans="32:32" x14ac:dyDescent="0.2">
      <c r="AF20015" s="679"/>
    </row>
    <row r="20016" spans="32:32" x14ac:dyDescent="0.2">
      <c r="AF20016" s="679"/>
    </row>
    <row r="20017" spans="32:32" x14ac:dyDescent="0.2">
      <c r="AF20017" s="679"/>
    </row>
    <row r="20018" spans="32:32" x14ac:dyDescent="0.2">
      <c r="AF20018" s="679"/>
    </row>
    <row r="20019" spans="32:32" x14ac:dyDescent="0.2">
      <c r="AF20019" s="679"/>
    </row>
    <row r="20020" spans="32:32" x14ac:dyDescent="0.2">
      <c r="AF20020" s="679"/>
    </row>
    <row r="20021" spans="32:32" x14ac:dyDescent="0.2">
      <c r="AF20021" s="679"/>
    </row>
    <row r="20022" spans="32:32" x14ac:dyDescent="0.2">
      <c r="AF20022" s="679"/>
    </row>
    <row r="20023" spans="32:32" x14ac:dyDescent="0.2">
      <c r="AF20023" s="679"/>
    </row>
    <row r="20024" spans="32:32" x14ac:dyDescent="0.2">
      <c r="AF20024" s="679"/>
    </row>
    <row r="20025" spans="32:32" x14ac:dyDescent="0.2">
      <c r="AF20025" s="679"/>
    </row>
    <row r="20026" spans="32:32" x14ac:dyDescent="0.2">
      <c r="AF20026" s="679"/>
    </row>
    <row r="20027" spans="32:32" x14ac:dyDescent="0.2">
      <c r="AF20027" s="679"/>
    </row>
    <row r="20028" spans="32:32" x14ac:dyDescent="0.2">
      <c r="AF20028" s="679"/>
    </row>
    <row r="20029" spans="32:32" x14ac:dyDescent="0.2">
      <c r="AF20029" s="679"/>
    </row>
    <row r="20030" spans="32:32" x14ac:dyDescent="0.2">
      <c r="AF20030" s="679"/>
    </row>
    <row r="20031" spans="32:32" x14ac:dyDescent="0.2">
      <c r="AF20031" s="679"/>
    </row>
    <row r="20032" spans="32:32" x14ac:dyDescent="0.2">
      <c r="AF20032" s="679"/>
    </row>
    <row r="20033" spans="32:32" x14ac:dyDescent="0.2">
      <c r="AF20033" s="679"/>
    </row>
    <row r="20034" spans="32:32" x14ac:dyDescent="0.2">
      <c r="AF20034" s="679"/>
    </row>
    <row r="20035" spans="32:32" x14ac:dyDescent="0.2">
      <c r="AF20035" s="679"/>
    </row>
    <row r="20036" spans="32:32" x14ac:dyDescent="0.2">
      <c r="AF20036" s="679"/>
    </row>
    <row r="20037" spans="32:32" x14ac:dyDescent="0.2">
      <c r="AF20037" s="679"/>
    </row>
    <row r="20038" spans="32:32" x14ac:dyDescent="0.2">
      <c r="AF20038" s="679"/>
    </row>
    <row r="20039" spans="32:32" x14ac:dyDescent="0.2">
      <c r="AF20039" s="679"/>
    </row>
    <row r="20040" spans="32:32" x14ac:dyDescent="0.2">
      <c r="AF20040" s="679"/>
    </row>
    <row r="20041" spans="32:32" x14ac:dyDescent="0.2">
      <c r="AF20041" s="679"/>
    </row>
    <row r="20042" spans="32:32" x14ac:dyDescent="0.2">
      <c r="AF20042" s="679"/>
    </row>
    <row r="20043" spans="32:32" x14ac:dyDescent="0.2">
      <c r="AF20043" s="679"/>
    </row>
    <row r="20044" spans="32:32" x14ac:dyDescent="0.2">
      <c r="AF20044" s="679"/>
    </row>
    <row r="20045" spans="32:32" x14ac:dyDescent="0.2">
      <c r="AF20045" s="679"/>
    </row>
    <row r="20046" spans="32:32" x14ac:dyDescent="0.2">
      <c r="AF20046" s="679"/>
    </row>
    <row r="20047" spans="32:32" x14ac:dyDescent="0.2">
      <c r="AF20047" s="679"/>
    </row>
    <row r="20048" spans="32:32" x14ac:dyDescent="0.2">
      <c r="AF20048" s="679"/>
    </row>
    <row r="20049" spans="32:32" x14ac:dyDescent="0.2">
      <c r="AF20049" s="679"/>
    </row>
    <row r="20050" spans="32:32" x14ac:dyDescent="0.2">
      <c r="AF20050" s="679"/>
    </row>
    <row r="20051" spans="32:32" x14ac:dyDescent="0.2">
      <c r="AF20051" s="679"/>
    </row>
    <row r="20052" spans="32:32" x14ac:dyDescent="0.2">
      <c r="AF20052" s="679"/>
    </row>
    <row r="20053" spans="32:32" x14ac:dyDescent="0.2">
      <c r="AF20053" s="679"/>
    </row>
    <row r="20054" spans="32:32" x14ac:dyDescent="0.2">
      <c r="AF20054" s="679"/>
    </row>
    <row r="20055" spans="32:32" x14ac:dyDescent="0.2">
      <c r="AF20055" s="679"/>
    </row>
    <row r="20056" spans="32:32" x14ac:dyDescent="0.2">
      <c r="AF20056" s="679"/>
    </row>
    <row r="20057" spans="32:32" x14ac:dyDescent="0.2">
      <c r="AF20057" s="679"/>
    </row>
    <row r="20058" spans="32:32" x14ac:dyDescent="0.2">
      <c r="AF20058" s="679"/>
    </row>
    <row r="20059" spans="32:32" x14ac:dyDescent="0.2">
      <c r="AF20059" s="679"/>
    </row>
    <row r="20060" spans="32:32" x14ac:dyDescent="0.2">
      <c r="AF20060" s="679"/>
    </row>
    <row r="20061" spans="32:32" x14ac:dyDescent="0.2">
      <c r="AF20061" s="679"/>
    </row>
    <row r="20062" spans="32:32" x14ac:dyDescent="0.2">
      <c r="AF20062" s="679"/>
    </row>
    <row r="20063" spans="32:32" x14ac:dyDescent="0.2">
      <c r="AF20063" s="679"/>
    </row>
    <row r="20064" spans="32:32" x14ac:dyDescent="0.2">
      <c r="AF20064" s="679"/>
    </row>
    <row r="20065" spans="32:32" x14ac:dyDescent="0.2">
      <c r="AF20065" s="679"/>
    </row>
    <row r="20066" spans="32:32" x14ac:dyDescent="0.2">
      <c r="AF20066" s="679"/>
    </row>
    <row r="20067" spans="32:32" x14ac:dyDescent="0.2">
      <c r="AF20067" s="679"/>
    </row>
    <row r="20068" spans="32:32" x14ac:dyDescent="0.2">
      <c r="AF20068" s="679"/>
    </row>
    <row r="20069" spans="32:32" x14ac:dyDescent="0.2">
      <c r="AF20069" s="679"/>
    </row>
    <row r="20070" spans="32:32" x14ac:dyDescent="0.2">
      <c r="AF20070" s="679"/>
    </row>
    <row r="20071" spans="32:32" x14ac:dyDescent="0.2">
      <c r="AF20071" s="679"/>
    </row>
    <row r="20072" spans="32:32" x14ac:dyDescent="0.2">
      <c r="AF20072" s="679"/>
    </row>
    <row r="20073" spans="32:32" x14ac:dyDescent="0.2">
      <c r="AF20073" s="679"/>
    </row>
    <row r="20074" spans="32:32" x14ac:dyDescent="0.2">
      <c r="AF20074" s="679"/>
    </row>
    <row r="20075" spans="32:32" x14ac:dyDescent="0.2">
      <c r="AF20075" s="679"/>
    </row>
    <row r="20076" spans="32:32" x14ac:dyDescent="0.2">
      <c r="AF20076" s="679"/>
    </row>
    <row r="20077" spans="32:32" x14ac:dyDescent="0.2">
      <c r="AF20077" s="679"/>
    </row>
    <row r="20078" spans="32:32" x14ac:dyDescent="0.2">
      <c r="AF20078" s="679"/>
    </row>
    <row r="20079" spans="32:32" x14ac:dyDescent="0.2">
      <c r="AF20079" s="679"/>
    </row>
    <row r="20080" spans="32:32" x14ac:dyDescent="0.2">
      <c r="AF20080" s="679"/>
    </row>
    <row r="20081" spans="32:32" x14ac:dyDescent="0.2">
      <c r="AF20081" s="679"/>
    </row>
    <row r="20082" spans="32:32" x14ac:dyDescent="0.2">
      <c r="AF20082" s="679"/>
    </row>
    <row r="20083" spans="32:32" x14ac:dyDescent="0.2">
      <c r="AF20083" s="679"/>
    </row>
    <row r="20084" spans="32:32" x14ac:dyDescent="0.2">
      <c r="AF20084" s="679"/>
    </row>
    <row r="20085" spans="32:32" x14ac:dyDescent="0.2">
      <c r="AF20085" s="679"/>
    </row>
    <row r="20086" spans="32:32" x14ac:dyDescent="0.2">
      <c r="AF20086" s="679"/>
    </row>
    <row r="20087" spans="32:32" x14ac:dyDescent="0.2">
      <c r="AF20087" s="679"/>
    </row>
    <row r="20088" spans="32:32" x14ac:dyDescent="0.2">
      <c r="AF20088" s="679"/>
    </row>
    <row r="20089" spans="32:32" x14ac:dyDescent="0.2">
      <c r="AF20089" s="679"/>
    </row>
    <row r="20090" spans="32:32" x14ac:dyDescent="0.2">
      <c r="AF20090" s="679"/>
    </row>
    <row r="20091" spans="32:32" x14ac:dyDescent="0.2">
      <c r="AF20091" s="679"/>
    </row>
    <row r="20092" spans="32:32" x14ac:dyDescent="0.2">
      <c r="AF20092" s="679"/>
    </row>
    <row r="20093" spans="32:32" x14ac:dyDescent="0.2">
      <c r="AF20093" s="679"/>
    </row>
    <row r="20094" spans="32:32" x14ac:dyDescent="0.2">
      <c r="AF20094" s="679"/>
    </row>
    <row r="20095" spans="32:32" x14ac:dyDescent="0.2">
      <c r="AF20095" s="679"/>
    </row>
    <row r="20096" spans="32:32" x14ac:dyDescent="0.2">
      <c r="AF20096" s="679"/>
    </row>
    <row r="20097" spans="32:32" x14ac:dyDescent="0.2">
      <c r="AF20097" s="679"/>
    </row>
    <row r="20098" spans="32:32" x14ac:dyDescent="0.2">
      <c r="AF20098" s="679"/>
    </row>
    <row r="20099" spans="32:32" x14ac:dyDescent="0.2">
      <c r="AF20099" s="679"/>
    </row>
    <row r="20100" spans="32:32" x14ac:dyDescent="0.2">
      <c r="AF20100" s="679"/>
    </row>
    <row r="20101" spans="32:32" x14ac:dyDescent="0.2">
      <c r="AF20101" s="679"/>
    </row>
    <row r="20102" spans="32:32" x14ac:dyDescent="0.2">
      <c r="AF20102" s="679"/>
    </row>
    <row r="20103" spans="32:32" x14ac:dyDescent="0.2">
      <c r="AF20103" s="679"/>
    </row>
    <row r="20104" spans="32:32" x14ac:dyDescent="0.2">
      <c r="AF20104" s="679"/>
    </row>
    <row r="20105" spans="32:32" x14ac:dyDescent="0.2">
      <c r="AF20105" s="679"/>
    </row>
    <row r="20106" spans="32:32" x14ac:dyDescent="0.2">
      <c r="AF20106" s="679"/>
    </row>
    <row r="20107" spans="32:32" x14ac:dyDescent="0.2">
      <c r="AF20107" s="679"/>
    </row>
    <row r="20108" spans="32:32" x14ac:dyDescent="0.2">
      <c r="AF20108" s="679"/>
    </row>
    <row r="20109" spans="32:32" x14ac:dyDescent="0.2">
      <c r="AF20109" s="679"/>
    </row>
    <row r="20110" spans="32:32" x14ac:dyDescent="0.2">
      <c r="AF20110" s="679"/>
    </row>
    <row r="20111" spans="32:32" x14ac:dyDescent="0.2">
      <c r="AF20111" s="679"/>
    </row>
    <row r="20112" spans="32:32" x14ac:dyDescent="0.2">
      <c r="AF20112" s="679"/>
    </row>
    <row r="20113" spans="32:32" x14ac:dyDescent="0.2">
      <c r="AF20113" s="679"/>
    </row>
    <row r="20114" spans="32:32" x14ac:dyDescent="0.2">
      <c r="AF20114" s="679"/>
    </row>
    <row r="20115" spans="32:32" x14ac:dyDescent="0.2">
      <c r="AF20115" s="679"/>
    </row>
    <row r="20116" spans="32:32" x14ac:dyDescent="0.2">
      <c r="AF20116" s="679"/>
    </row>
    <row r="20117" spans="32:32" x14ac:dyDescent="0.2">
      <c r="AF20117" s="679"/>
    </row>
    <row r="20118" spans="32:32" x14ac:dyDescent="0.2">
      <c r="AF20118" s="679"/>
    </row>
    <row r="20119" spans="32:32" x14ac:dyDescent="0.2">
      <c r="AF20119" s="679"/>
    </row>
    <row r="20120" spans="32:32" x14ac:dyDescent="0.2">
      <c r="AF20120" s="679"/>
    </row>
    <row r="20121" spans="32:32" x14ac:dyDescent="0.2">
      <c r="AF20121" s="679"/>
    </row>
    <row r="20122" spans="32:32" x14ac:dyDescent="0.2">
      <c r="AF20122" s="679"/>
    </row>
    <row r="20123" spans="32:32" x14ac:dyDescent="0.2">
      <c r="AF20123" s="679"/>
    </row>
    <row r="20124" spans="32:32" x14ac:dyDescent="0.2">
      <c r="AF20124" s="679"/>
    </row>
    <row r="20125" spans="32:32" x14ac:dyDescent="0.2">
      <c r="AF20125" s="679"/>
    </row>
    <row r="20126" spans="32:32" x14ac:dyDescent="0.2">
      <c r="AF20126" s="679"/>
    </row>
    <row r="20127" spans="32:32" x14ac:dyDescent="0.2">
      <c r="AF20127" s="679"/>
    </row>
    <row r="20128" spans="32:32" x14ac:dyDescent="0.2">
      <c r="AF20128" s="679"/>
    </row>
    <row r="20129" spans="32:32" x14ac:dyDescent="0.2">
      <c r="AF20129" s="679"/>
    </row>
    <row r="20130" spans="32:32" x14ac:dyDescent="0.2">
      <c r="AF20130" s="679"/>
    </row>
    <row r="20131" spans="32:32" x14ac:dyDescent="0.2">
      <c r="AF20131" s="679"/>
    </row>
    <row r="20132" spans="32:32" x14ac:dyDescent="0.2">
      <c r="AF20132" s="679"/>
    </row>
    <row r="20133" spans="32:32" x14ac:dyDescent="0.2">
      <c r="AF20133" s="679"/>
    </row>
    <row r="20134" spans="32:32" x14ac:dyDescent="0.2">
      <c r="AF20134" s="679"/>
    </row>
    <row r="20135" spans="32:32" x14ac:dyDescent="0.2">
      <c r="AF20135" s="679"/>
    </row>
    <row r="20136" spans="32:32" x14ac:dyDescent="0.2">
      <c r="AF20136" s="679"/>
    </row>
    <row r="20137" spans="32:32" x14ac:dyDescent="0.2">
      <c r="AF20137" s="679"/>
    </row>
    <row r="20138" spans="32:32" x14ac:dyDescent="0.2">
      <c r="AF20138" s="679"/>
    </row>
    <row r="20139" spans="32:32" x14ac:dyDescent="0.2">
      <c r="AF20139" s="679"/>
    </row>
    <row r="20140" spans="32:32" x14ac:dyDescent="0.2">
      <c r="AF20140" s="679"/>
    </row>
    <row r="20141" spans="32:32" x14ac:dyDescent="0.2">
      <c r="AF20141" s="679"/>
    </row>
    <row r="20142" spans="32:32" x14ac:dyDescent="0.2">
      <c r="AF20142" s="679"/>
    </row>
    <row r="20143" spans="32:32" x14ac:dyDescent="0.2">
      <c r="AF20143" s="679"/>
    </row>
    <row r="20144" spans="32:32" x14ac:dyDescent="0.2">
      <c r="AF20144" s="679"/>
    </row>
    <row r="20145" spans="32:32" x14ac:dyDescent="0.2">
      <c r="AF20145" s="679"/>
    </row>
    <row r="20146" spans="32:32" x14ac:dyDescent="0.2">
      <c r="AF20146" s="679"/>
    </row>
    <row r="20147" spans="32:32" x14ac:dyDescent="0.2">
      <c r="AF20147" s="679"/>
    </row>
    <row r="20148" spans="32:32" x14ac:dyDescent="0.2">
      <c r="AF20148" s="679"/>
    </row>
    <row r="20149" spans="32:32" x14ac:dyDescent="0.2">
      <c r="AF20149" s="679"/>
    </row>
    <row r="20150" spans="32:32" x14ac:dyDescent="0.2">
      <c r="AF20150" s="679"/>
    </row>
    <row r="20151" spans="32:32" x14ac:dyDescent="0.2">
      <c r="AF20151" s="679"/>
    </row>
    <row r="20152" spans="32:32" x14ac:dyDescent="0.2">
      <c r="AF20152" s="679"/>
    </row>
    <row r="20153" spans="32:32" x14ac:dyDescent="0.2">
      <c r="AF20153" s="679"/>
    </row>
    <row r="20154" spans="32:32" x14ac:dyDescent="0.2">
      <c r="AF20154" s="679"/>
    </row>
    <row r="20155" spans="32:32" x14ac:dyDescent="0.2">
      <c r="AF20155" s="679"/>
    </row>
    <row r="20156" spans="32:32" x14ac:dyDescent="0.2">
      <c r="AF20156" s="679"/>
    </row>
    <row r="20157" spans="32:32" x14ac:dyDescent="0.2">
      <c r="AF20157" s="679"/>
    </row>
    <row r="20158" spans="32:32" x14ac:dyDescent="0.2">
      <c r="AF20158" s="679"/>
    </row>
    <row r="20159" spans="32:32" x14ac:dyDescent="0.2">
      <c r="AF20159" s="679"/>
    </row>
    <row r="20160" spans="32:32" x14ac:dyDescent="0.2">
      <c r="AF20160" s="679"/>
    </row>
    <row r="20161" spans="32:32" x14ac:dyDescent="0.2">
      <c r="AF20161" s="679"/>
    </row>
    <row r="20162" spans="32:32" x14ac:dyDescent="0.2">
      <c r="AF20162" s="679"/>
    </row>
    <row r="20163" spans="32:32" x14ac:dyDescent="0.2">
      <c r="AF20163" s="679"/>
    </row>
    <row r="20164" spans="32:32" x14ac:dyDescent="0.2">
      <c r="AF20164" s="679"/>
    </row>
    <row r="20165" spans="32:32" x14ac:dyDescent="0.2">
      <c r="AF20165" s="679"/>
    </row>
    <row r="20166" spans="32:32" x14ac:dyDescent="0.2">
      <c r="AF20166" s="679"/>
    </row>
    <row r="20167" spans="32:32" x14ac:dyDescent="0.2">
      <c r="AF20167" s="679"/>
    </row>
    <row r="20168" spans="32:32" x14ac:dyDescent="0.2">
      <c r="AF20168" s="679"/>
    </row>
    <row r="20169" spans="32:32" x14ac:dyDescent="0.2">
      <c r="AF20169" s="679"/>
    </row>
    <row r="20170" spans="32:32" x14ac:dyDescent="0.2">
      <c r="AF20170" s="679"/>
    </row>
    <row r="20171" spans="32:32" x14ac:dyDescent="0.2">
      <c r="AF20171" s="679"/>
    </row>
    <row r="20172" spans="32:32" x14ac:dyDescent="0.2">
      <c r="AF20172" s="679"/>
    </row>
    <row r="20173" spans="32:32" x14ac:dyDescent="0.2">
      <c r="AF20173" s="679"/>
    </row>
    <row r="20174" spans="32:32" x14ac:dyDescent="0.2">
      <c r="AF20174" s="679"/>
    </row>
    <row r="20175" spans="32:32" x14ac:dyDescent="0.2">
      <c r="AF20175" s="679"/>
    </row>
    <row r="20176" spans="32:32" x14ac:dyDescent="0.2">
      <c r="AF20176" s="679"/>
    </row>
    <row r="20177" spans="32:32" x14ac:dyDescent="0.2">
      <c r="AF20177" s="679"/>
    </row>
    <row r="20178" spans="32:32" x14ac:dyDescent="0.2">
      <c r="AF20178" s="679"/>
    </row>
    <row r="20179" spans="32:32" x14ac:dyDescent="0.2">
      <c r="AF20179" s="679"/>
    </row>
    <row r="20180" spans="32:32" x14ac:dyDescent="0.2">
      <c r="AF20180" s="679"/>
    </row>
    <row r="20181" spans="32:32" x14ac:dyDescent="0.2">
      <c r="AF20181" s="679"/>
    </row>
    <row r="20182" spans="32:32" x14ac:dyDescent="0.2">
      <c r="AF20182" s="679"/>
    </row>
    <row r="20183" spans="32:32" x14ac:dyDescent="0.2">
      <c r="AF20183" s="679"/>
    </row>
    <row r="20184" spans="32:32" x14ac:dyDescent="0.2">
      <c r="AF20184" s="679"/>
    </row>
    <row r="20185" spans="32:32" x14ac:dyDescent="0.2">
      <c r="AF20185" s="679"/>
    </row>
    <row r="20186" spans="32:32" x14ac:dyDescent="0.2">
      <c r="AF20186" s="679"/>
    </row>
    <row r="20187" spans="32:32" x14ac:dyDescent="0.2">
      <c r="AF20187" s="679"/>
    </row>
    <row r="20188" spans="32:32" x14ac:dyDescent="0.2">
      <c r="AF20188" s="679"/>
    </row>
    <row r="20189" spans="32:32" x14ac:dyDescent="0.2">
      <c r="AF20189" s="679"/>
    </row>
    <row r="20190" spans="32:32" x14ac:dyDescent="0.2">
      <c r="AF20190" s="679"/>
    </row>
    <row r="20191" spans="32:32" x14ac:dyDescent="0.2">
      <c r="AF20191" s="679"/>
    </row>
    <row r="20192" spans="32:32" x14ac:dyDescent="0.2">
      <c r="AF20192" s="679"/>
    </row>
    <row r="20193" spans="32:32" x14ac:dyDescent="0.2">
      <c r="AF20193" s="679"/>
    </row>
    <row r="20194" spans="32:32" x14ac:dyDescent="0.2">
      <c r="AF20194" s="679"/>
    </row>
    <row r="20195" spans="32:32" x14ac:dyDescent="0.2">
      <c r="AF20195" s="679"/>
    </row>
    <row r="20196" spans="32:32" x14ac:dyDescent="0.2">
      <c r="AF20196" s="679"/>
    </row>
    <row r="20197" spans="32:32" x14ac:dyDescent="0.2">
      <c r="AF20197" s="679"/>
    </row>
    <row r="20198" spans="32:32" x14ac:dyDescent="0.2">
      <c r="AF20198" s="679"/>
    </row>
    <row r="20199" spans="32:32" x14ac:dyDescent="0.2">
      <c r="AF20199" s="679"/>
    </row>
    <row r="20200" spans="32:32" x14ac:dyDescent="0.2">
      <c r="AF20200" s="679"/>
    </row>
    <row r="20201" spans="32:32" x14ac:dyDescent="0.2">
      <c r="AF20201" s="679"/>
    </row>
    <row r="20202" spans="32:32" x14ac:dyDescent="0.2">
      <c r="AF20202" s="679"/>
    </row>
    <row r="20203" spans="32:32" x14ac:dyDescent="0.2">
      <c r="AF20203" s="679"/>
    </row>
    <row r="20204" spans="32:32" x14ac:dyDescent="0.2">
      <c r="AF20204" s="679"/>
    </row>
    <row r="20205" spans="32:32" x14ac:dyDescent="0.2">
      <c r="AF20205" s="679"/>
    </row>
    <row r="20206" spans="32:32" x14ac:dyDescent="0.2">
      <c r="AF20206" s="679"/>
    </row>
    <row r="20207" spans="32:32" x14ac:dyDescent="0.2">
      <c r="AF20207" s="679"/>
    </row>
    <row r="20208" spans="32:32" x14ac:dyDescent="0.2">
      <c r="AF20208" s="679"/>
    </row>
    <row r="20209" spans="32:32" x14ac:dyDescent="0.2">
      <c r="AF20209" s="679"/>
    </row>
    <row r="20210" spans="32:32" x14ac:dyDescent="0.2">
      <c r="AF20210" s="679"/>
    </row>
    <row r="20211" spans="32:32" x14ac:dyDescent="0.2">
      <c r="AF20211" s="679"/>
    </row>
    <row r="20212" spans="32:32" x14ac:dyDescent="0.2">
      <c r="AF20212" s="679"/>
    </row>
    <row r="20213" spans="32:32" x14ac:dyDescent="0.2">
      <c r="AF20213" s="679"/>
    </row>
    <row r="20214" spans="32:32" x14ac:dyDescent="0.2">
      <c r="AF20214" s="679"/>
    </row>
    <row r="20215" spans="32:32" x14ac:dyDescent="0.2">
      <c r="AF20215" s="679"/>
    </row>
    <row r="20216" spans="32:32" x14ac:dyDescent="0.2">
      <c r="AF20216" s="679"/>
    </row>
    <row r="20217" spans="32:32" x14ac:dyDescent="0.2">
      <c r="AF20217" s="679"/>
    </row>
    <row r="20218" spans="32:32" x14ac:dyDescent="0.2">
      <c r="AF20218" s="679"/>
    </row>
    <row r="20219" spans="32:32" x14ac:dyDescent="0.2">
      <c r="AF20219" s="679"/>
    </row>
    <row r="20220" spans="32:32" x14ac:dyDescent="0.2">
      <c r="AF20220" s="679"/>
    </row>
    <row r="20221" spans="32:32" x14ac:dyDescent="0.2">
      <c r="AF20221" s="679"/>
    </row>
    <row r="20222" spans="32:32" x14ac:dyDescent="0.2">
      <c r="AF20222" s="679"/>
    </row>
    <row r="20223" spans="32:32" x14ac:dyDescent="0.2">
      <c r="AF20223" s="679"/>
    </row>
    <row r="20224" spans="32:32" x14ac:dyDescent="0.2">
      <c r="AF20224" s="679"/>
    </row>
    <row r="20225" spans="32:32" x14ac:dyDescent="0.2">
      <c r="AF20225" s="679"/>
    </row>
    <row r="20226" spans="32:32" x14ac:dyDescent="0.2">
      <c r="AF20226" s="679"/>
    </row>
    <row r="20227" spans="32:32" x14ac:dyDescent="0.2">
      <c r="AF20227" s="679"/>
    </row>
    <row r="20228" spans="32:32" x14ac:dyDescent="0.2">
      <c r="AF20228" s="679"/>
    </row>
    <row r="20229" spans="32:32" x14ac:dyDescent="0.2">
      <c r="AF20229" s="679"/>
    </row>
    <row r="20230" spans="32:32" x14ac:dyDescent="0.2">
      <c r="AF20230" s="679"/>
    </row>
    <row r="20231" spans="32:32" x14ac:dyDescent="0.2">
      <c r="AF20231" s="679"/>
    </row>
    <row r="20232" spans="32:32" x14ac:dyDescent="0.2">
      <c r="AF20232" s="679"/>
    </row>
    <row r="20233" spans="32:32" x14ac:dyDescent="0.2">
      <c r="AF20233" s="679"/>
    </row>
    <row r="20234" spans="32:32" x14ac:dyDescent="0.2">
      <c r="AF20234" s="679"/>
    </row>
    <row r="20235" spans="32:32" x14ac:dyDescent="0.2">
      <c r="AF20235" s="679"/>
    </row>
    <row r="20236" spans="32:32" x14ac:dyDescent="0.2">
      <c r="AF20236" s="679"/>
    </row>
    <row r="20237" spans="32:32" x14ac:dyDescent="0.2">
      <c r="AF20237" s="679"/>
    </row>
    <row r="20238" spans="32:32" x14ac:dyDescent="0.2">
      <c r="AF20238" s="679"/>
    </row>
    <row r="20239" spans="32:32" x14ac:dyDescent="0.2">
      <c r="AF20239" s="679"/>
    </row>
    <row r="20240" spans="32:32" x14ac:dyDescent="0.2">
      <c r="AF20240" s="679"/>
    </row>
    <row r="20241" spans="32:32" x14ac:dyDescent="0.2">
      <c r="AF20241" s="679"/>
    </row>
    <row r="20242" spans="32:32" x14ac:dyDescent="0.2">
      <c r="AF20242" s="679"/>
    </row>
    <row r="20243" spans="32:32" x14ac:dyDescent="0.2">
      <c r="AF20243" s="679"/>
    </row>
    <row r="20244" spans="32:32" x14ac:dyDescent="0.2">
      <c r="AF20244" s="679"/>
    </row>
    <row r="20245" spans="32:32" x14ac:dyDescent="0.2">
      <c r="AF20245" s="679"/>
    </row>
    <row r="20246" spans="32:32" x14ac:dyDescent="0.2">
      <c r="AF20246" s="679"/>
    </row>
    <row r="20247" spans="32:32" x14ac:dyDescent="0.2">
      <c r="AF20247" s="679"/>
    </row>
    <row r="20248" spans="32:32" x14ac:dyDescent="0.2">
      <c r="AF20248" s="679"/>
    </row>
    <row r="20249" spans="32:32" x14ac:dyDescent="0.2">
      <c r="AF20249" s="679"/>
    </row>
    <row r="20250" spans="32:32" x14ac:dyDescent="0.2">
      <c r="AF20250" s="679"/>
    </row>
    <row r="20251" spans="32:32" x14ac:dyDescent="0.2">
      <c r="AF20251" s="679"/>
    </row>
    <row r="20252" spans="32:32" x14ac:dyDescent="0.2">
      <c r="AF20252" s="679"/>
    </row>
    <row r="20253" spans="32:32" x14ac:dyDescent="0.2">
      <c r="AF20253" s="679"/>
    </row>
    <row r="20254" spans="32:32" x14ac:dyDescent="0.2">
      <c r="AF20254" s="679"/>
    </row>
    <row r="20255" spans="32:32" x14ac:dyDescent="0.2">
      <c r="AF20255" s="679"/>
    </row>
    <row r="20256" spans="32:32" x14ac:dyDescent="0.2">
      <c r="AF20256" s="679"/>
    </row>
    <row r="20257" spans="32:32" x14ac:dyDescent="0.2">
      <c r="AF20257" s="679"/>
    </row>
    <row r="20258" spans="32:32" x14ac:dyDescent="0.2">
      <c r="AF20258" s="679"/>
    </row>
    <row r="20259" spans="32:32" x14ac:dyDescent="0.2">
      <c r="AF20259" s="679"/>
    </row>
    <row r="20260" spans="32:32" x14ac:dyDescent="0.2">
      <c r="AF20260" s="679"/>
    </row>
    <row r="20261" spans="32:32" x14ac:dyDescent="0.2">
      <c r="AF20261" s="679"/>
    </row>
    <row r="20262" spans="32:32" x14ac:dyDescent="0.2">
      <c r="AF20262" s="679"/>
    </row>
    <row r="20263" spans="32:32" x14ac:dyDescent="0.2">
      <c r="AF20263" s="679"/>
    </row>
    <row r="20264" spans="32:32" x14ac:dyDescent="0.2">
      <c r="AF20264" s="679"/>
    </row>
    <row r="20265" spans="32:32" x14ac:dyDescent="0.2">
      <c r="AF20265" s="679"/>
    </row>
    <row r="20266" spans="32:32" x14ac:dyDescent="0.2">
      <c r="AF20266" s="679"/>
    </row>
    <row r="20267" spans="32:32" x14ac:dyDescent="0.2">
      <c r="AF20267" s="679"/>
    </row>
    <row r="20268" spans="32:32" x14ac:dyDescent="0.2">
      <c r="AF20268" s="679"/>
    </row>
    <row r="20269" spans="32:32" x14ac:dyDescent="0.2">
      <c r="AF20269" s="679"/>
    </row>
    <row r="20270" spans="32:32" x14ac:dyDescent="0.2">
      <c r="AF20270" s="679"/>
    </row>
    <row r="20271" spans="32:32" x14ac:dyDescent="0.2">
      <c r="AF20271" s="679"/>
    </row>
    <row r="20272" spans="32:32" x14ac:dyDescent="0.2">
      <c r="AF20272" s="679"/>
    </row>
    <row r="20273" spans="32:32" x14ac:dyDescent="0.2">
      <c r="AF20273" s="679"/>
    </row>
    <row r="20274" spans="32:32" x14ac:dyDescent="0.2">
      <c r="AF20274" s="679"/>
    </row>
    <row r="20275" spans="32:32" x14ac:dyDescent="0.2">
      <c r="AF20275" s="679"/>
    </row>
    <row r="20276" spans="32:32" x14ac:dyDescent="0.2">
      <c r="AF20276" s="679"/>
    </row>
    <row r="20277" spans="32:32" x14ac:dyDescent="0.2">
      <c r="AF20277" s="679"/>
    </row>
    <row r="20278" spans="32:32" x14ac:dyDescent="0.2">
      <c r="AF20278" s="679"/>
    </row>
    <row r="20279" spans="32:32" x14ac:dyDescent="0.2">
      <c r="AF20279" s="679"/>
    </row>
    <row r="20280" spans="32:32" x14ac:dyDescent="0.2">
      <c r="AF20280" s="679"/>
    </row>
    <row r="20281" spans="32:32" x14ac:dyDescent="0.2">
      <c r="AF20281" s="679"/>
    </row>
    <row r="20282" spans="32:32" x14ac:dyDescent="0.2">
      <c r="AF20282" s="679"/>
    </row>
    <row r="20283" spans="32:32" x14ac:dyDescent="0.2">
      <c r="AF20283" s="679"/>
    </row>
    <row r="20284" spans="32:32" x14ac:dyDescent="0.2">
      <c r="AF20284" s="679"/>
    </row>
    <row r="20285" spans="32:32" x14ac:dyDescent="0.2">
      <c r="AF20285" s="679"/>
    </row>
    <row r="20286" spans="32:32" x14ac:dyDescent="0.2">
      <c r="AF20286" s="679"/>
    </row>
    <row r="20287" spans="32:32" x14ac:dyDescent="0.2">
      <c r="AF20287" s="679"/>
    </row>
    <row r="20288" spans="32:32" x14ac:dyDescent="0.2">
      <c r="AF20288" s="679"/>
    </row>
    <row r="20289" spans="32:32" x14ac:dyDescent="0.2">
      <c r="AF20289" s="679"/>
    </row>
    <row r="20290" spans="32:32" x14ac:dyDescent="0.2">
      <c r="AF20290" s="679"/>
    </row>
    <row r="20291" spans="32:32" x14ac:dyDescent="0.2">
      <c r="AF20291" s="679"/>
    </row>
    <row r="20292" spans="32:32" x14ac:dyDescent="0.2">
      <c r="AF20292" s="679"/>
    </row>
    <row r="20293" spans="32:32" x14ac:dyDescent="0.2">
      <c r="AF20293" s="679"/>
    </row>
    <row r="20294" spans="32:32" x14ac:dyDescent="0.2">
      <c r="AF20294" s="679"/>
    </row>
    <row r="20295" spans="32:32" x14ac:dyDescent="0.2">
      <c r="AF20295" s="679"/>
    </row>
    <row r="20296" spans="32:32" x14ac:dyDescent="0.2">
      <c r="AF20296" s="679"/>
    </row>
    <row r="20297" spans="32:32" x14ac:dyDescent="0.2">
      <c r="AF20297" s="679"/>
    </row>
    <row r="20298" spans="32:32" x14ac:dyDescent="0.2">
      <c r="AF20298" s="679"/>
    </row>
    <row r="20299" spans="32:32" x14ac:dyDescent="0.2">
      <c r="AF20299" s="679"/>
    </row>
    <row r="20300" spans="32:32" x14ac:dyDescent="0.2">
      <c r="AF20300" s="679"/>
    </row>
    <row r="20301" spans="32:32" x14ac:dyDescent="0.2">
      <c r="AF20301" s="679"/>
    </row>
    <row r="20302" spans="32:32" x14ac:dyDescent="0.2">
      <c r="AF20302" s="679"/>
    </row>
    <row r="20303" spans="32:32" x14ac:dyDescent="0.2">
      <c r="AF20303" s="679"/>
    </row>
    <row r="20304" spans="32:32" x14ac:dyDescent="0.2">
      <c r="AF20304" s="679"/>
    </row>
    <row r="20305" spans="32:32" x14ac:dyDescent="0.2">
      <c r="AF20305" s="679"/>
    </row>
    <row r="20306" spans="32:32" x14ac:dyDescent="0.2">
      <c r="AF20306" s="679"/>
    </row>
    <row r="20307" spans="32:32" x14ac:dyDescent="0.2">
      <c r="AF20307" s="679"/>
    </row>
    <row r="20308" spans="32:32" x14ac:dyDescent="0.2">
      <c r="AF20308" s="679"/>
    </row>
    <row r="20309" spans="32:32" x14ac:dyDescent="0.2">
      <c r="AF20309" s="679"/>
    </row>
    <row r="20310" spans="32:32" x14ac:dyDescent="0.2">
      <c r="AF20310" s="679"/>
    </row>
    <row r="20311" spans="32:32" x14ac:dyDescent="0.2">
      <c r="AF20311" s="679"/>
    </row>
    <row r="20312" spans="32:32" x14ac:dyDescent="0.2">
      <c r="AF20312" s="679"/>
    </row>
    <row r="20313" spans="32:32" x14ac:dyDescent="0.2">
      <c r="AF20313" s="679"/>
    </row>
    <row r="20314" spans="32:32" x14ac:dyDescent="0.2">
      <c r="AF20314" s="679"/>
    </row>
    <row r="20315" spans="32:32" x14ac:dyDescent="0.2">
      <c r="AF20315" s="679"/>
    </row>
    <row r="20316" spans="32:32" x14ac:dyDescent="0.2">
      <c r="AF20316" s="679"/>
    </row>
    <row r="20317" spans="32:32" x14ac:dyDescent="0.2">
      <c r="AF20317" s="679"/>
    </row>
    <row r="20318" spans="32:32" x14ac:dyDescent="0.2">
      <c r="AF20318" s="679"/>
    </row>
    <row r="20319" spans="32:32" x14ac:dyDescent="0.2">
      <c r="AF20319" s="679"/>
    </row>
    <row r="20320" spans="32:32" x14ac:dyDescent="0.2">
      <c r="AF20320" s="679"/>
    </row>
    <row r="20321" spans="32:32" x14ac:dyDescent="0.2">
      <c r="AF20321" s="679"/>
    </row>
    <row r="20322" spans="32:32" x14ac:dyDescent="0.2">
      <c r="AF20322" s="679"/>
    </row>
    <row r="20323" spans="32:32" x14ac:dyDescent="0.2">
      <c r="AF20323" s="679"/>
    </row>
    <row r="20324" spans="32:32" x14ac:dyDescent="0.2">
      <c r="AF20324" s="679"/>
    </row>
    <row r="20325" spans="32:32" x14ac:dyDescent="0.2">
      <c r="AF20325" s="679"/>
    </row>
    <row r="20326" spans="32:32" x14ac:dyDescent="0.2">
      <c r="AF20326" s="679"/>
    </row>
    <row r="20327" spans="32:32" x14ac:dyDescent="0.2">
      <c r="AF20327" s="679"/>
    </row>
    <row r="20328" spans="32:32" x14ac:dyDescent="0.2">
      <c r="AF20328" s="679"/>
    </row>
    <row r="20329" spans="32:32" x14ac:dyDescent="0.2">
      <c r="AF20329" s="679"/>
    </row>
    <row r="20330" spans="32:32" x14ac:dyDescent="0.2">
      <c r="AF20330" s="679"/>
    </row>
    <row r="20331" spans="32:32" x14ac:dyDescent="0.2">
      <c r="AF20331" s="679"/>
    </row>
    <row r="20332" spans="32:32" x14ac:dyDescent="0.2">
      <c r="AF20332" s="679"/>
    </row>
    <row r="20333" spans="32:32" x14ac:dyDescent="0.2">
      <c r="AF20333" s="679"/>
    </row>
    <row r="20334" spans="32:32" x14ac:dyDescent="0.2">
      <c r="AF20334" s="679"/>
    </row>
    <row r="20335" spans="32:32" x14ac:dyDescent="0.2">
      <c r="AF20335" s="679"/>
    </row>
    <row r="20336" spans="32:32" x14ac:dyDescent="0.2">
      <c r="AF20336" s="679"/>
    </row>
    <row r="20337" spans="32:32" x14ac:dyDescent="0.2">
      <c r="AF20337" s="679"/>
    </row>
    <row r="20338" spans="32:32" x14ac:dyDescent="0.2">
      <c r="AF20338" s="679"/>
    </row>
    <row r="20339" spans="32:32" x14ac:dyDescent="0.2">
      <c r="AF20339" s="679"/>
    </row>
    <row r="20340" spans="32:32" x14ac:dyDescent="0.2">
      <c r="AF20340" s="679"/>
    </row>
    <row r="20341" spans="32:32" x14ac:dyDescent="0.2">
      <c r="AF20341" s="679"/>
    </row>
    <row r="20342" spans="32:32" x14ac:dyDescent="0.2">
      <c r="AF20342" s="679"/>
    </row>
    <row r="20343" spans="32:32" x14ac:dyDescent="0.2">
      <c r="AF20343" s="679"/>
    </row>
    <row r="20344" spans="32:32" x14ac:dyDescent="0.2">
      <c r="AF20344" s="679"/>
    </row>
    <row r="20345" spans="32:32" x14ac:dyDescent="0.2">
      <c r="AF20345" s="679"/>
    </row>
    <row r="20346" spans="32:32" x14ac:dyDescent="0.2">
      <c r="AF20346" s="679"/>
    </row>
    <row r="20347" spans="32:32" x14ac:dyDescent="0.2">
      <c r="AF20347" s="679"/>
    </row>
    <row r="20348" spans="32:32" x14ac:dyDescent="0.2">
      <c r="AF20348" s="679"/>
    </row>
    <row r="20349" spans="32:32" x14ac:dyDescent="0.2">
      <c r="AF20349" s="679"/>
    </row>
    <row r="20350" spans="32:32" x14ac:dyDescent="0.2">
      <c r="AF20350" s="679"/>
    </row>
    <row r="20351" spans="32:32" x14ac:dyDescent="0.2">
      <c r="AF20351" s="679"/>
    </row>
    <row r="20352" spans="32:32" x14ac:dyDescent="0.2">
      <c r="AF20352" s="679"/>
    </row>
    <row r="20353" spans="32:32" x14ac:dyDescent="0.2">
      <c r="AF20353" s="679"/>
    </row>
    <row r="20354" spans="32:32" x14ac:dyDescent="0.2">
      <c r="AF20354" s="679"/>
    </row>
    <row r="20355" spans="32:32" x14ac:dyDescent="0.2">
      <c r="AF20355" s="679"/>
    </row>
    <row r="20356" spans="32:32" x14ac:dyDescent="0.2">
      <c r="AF20356" s="679"/>
    </row>
    <row r="20357" spans="32:32" x14ac:dyDescent="0.2">
      <c r="AF20357" s="679"/>
    </row>
    <row r="20358" spans="32:32" x14ac:dyDescent="0.2">
      <c r="AF20358" s="679"/>
    </row>
    <row r="20359" spans="32:32" x14ac:dyDescent="0.2">
      <c r="AF20359" s="679"/>
    </row>
    <row r="20360" spans="32:32" x14ac:dyDescent="0.2">
      <c r="AF20360" s="679"/>
    </row>
    <row r="20361" spans="32:32" x14ac:dyDescent="0.2">
      <c r="AF20361" s="679"/>
    </row>
    <row r="20362" spans="32:32" x14ac:dyDescent="0.2">
      <c r="AF20362" s="679"/>
    </row>
    <row r="20363" spans="32:32" x14ac:dyDescent="0.2">
      <c r="AF20363" s="679"/>
    </row>
    <row r="20364" spans="32:32" x14ac:dyDescent="0.2">
      <c r="AF20364" s="679"/>
    </row>
    <row r="20365" spans="32:32" x14ac:dyDescent="0.2">
      <c r="AF20365" s="679"/>
    </row>
    <row r="20366" spans="32:32" x14ac:dyDescent="0.2">
      <c r="AF20366" s="679"/>
    </row>
    <row r="20367" spans="32:32" x14ac:dyDescent="0.2">
      <c r="AF20367" s="679"/>
    </row>
    <row r="20368" spans="32:32" x14ac:dyDescent="0.2">
      <c r="AF20368" s="679"/>
    </row>
    <row r="20369" spans="32:32" x14ac:dyDescent="0.2">
      <c r="AF20369" s="679"/>
    </row>
    <row r="20370" spans="32:32" x14ac:dyDescent="0.2">
      <c r="AF20370" s="679"/>
    </row>
    <row r="20371" spans="32:32" x14ac:dyDescent="0.2">
      <c r="AF20371" s="679"/>
    </row>
    <row r="20372" spans="32:32" x14ac:dyDescent="0.2">
      <c r="AF20372" s="679"/>
    </row>
    <row r="20373" spans="32:32" x14ac:dyDescent="0.2">
      <c r="AF20373" s="679"/>
    </row>
    <row r="20374" spans="32:32" x14ac:dyDescent="0.2">
      <c r="AF20374" s="679"/>
    </row>
    <row r="20375" spans="32:32" x14ac:dyDescent="0.2">
      <c r="AF20375" s="679"/>
    </row>
    <row r="20376" spans="32:32" x14ac:dyDescent="0.2">
      <c r="AF20376" s="679"/>
    </row>
    <row r="20377" spans="32:32" x14ac:dyDescent="0.2">
      <c r="AF20377" s="679"/>
    </row>
    <row r="20378" spans="32:32" x14ac:dyDescent="0.2">
      <c r="AF20378" s="679"/>
    </row>
    <row r="20379" spans="32:32" x14ac:dyDescent="0.2">
      <c r="AF20379" s="679"/>
    </row>
    <row r="20380" spans="32:32" x14ac:dyDescent="0.2">
      <c r="AF20380" s="679"/>
    </row>
    <row r="20381" spans="32:32" x14ac:dyDescent="0.2">
      <c r="AF20381" s="679"/>
    </row>
    <row r="20382" spans="32:32" x14ac:dyDescent="0.2">
      <c r="AF20382" s="679"/>
    </row>
    <row r="20383" spans="32:32" x14ac:dyDescent="0.2">
      <c r="AF20383" s="679"/>
    </row>
    <row r="20384" spans="32:32" x14ac:dyDescent="0.2">
      <c r="AF20384" s="679"/>
    </row>
    <row r="20385" spans="32:32" x14ac:dyDescent="0.2">
      <c r="AF20385" s="679"/>
    </row>
    <row r="20386" spans="32:32" x14ac:dyDescent="0.2">
      <c r="AF20386" s="679"/>
    </row>
    <row r="20387" spans="32:32" x14ac:dyDescent="0.2">
      <c r="AF20387" s="679"/>
    </row>
    <row r="20388" spans="32:32" x14ac:dyDescent="0.2">
      <c r="AF20388" s="679"/>
    </row>
    <row r="20389" spans="32:32" x14ac:dyDescent="0.2">
      <c r="AF20389" s="679"/>
    </row>
    <row r="20390" spans="32:32" x14ac:dyDescent="0.2">
      <c r="AF20390" s="679"/>
    </row>
    <row r="20391" spans="32:32" x14ac:dyDescent="0.2">
      <c r="AF20391" s="679"/>
    </row>
    <row r="20392" spans="32:32" x14ac:dyDescent="0.2">
      <c r="AF20392" s="679"/>
    </row>
    <row r="20393" spans="32:32" x14ac:dyDescent="0.2">
      <c r="AF20393" s="679"/>
    </row>
    <row r="20394" spans="32:32" x14ac:dyDescent="0.2">
      <c r="AF20394" s="679"/>
    </row>
    <row r="20395" spans="32:32" x14ac:dyDescent="0.2">
      <c r="AF20395" s="679"/>
    </row>
    <row r="20396" spans="32:32" x14ac:dyDescent="0.2">
      <c r="AF20396" s="679"/>
    </row>
    <row r="20397" spans="32:32" x14ac:dyDescent="0.2">
      <c r="AF20397" s="679"/>
    </row>
    <row r="20398" spans="32:32" x14ac:dyDescent="0.2">
      <c r="AF20398" s="679"/>
    </row>
    <row r="20399" spans="32:32" x14ac:dyDescent="0.2">
      <c r="AF20399" s="679"/>
    </row>
    <row r="20400" spans="32:32" x14ac:dyDescent="0.2">
      <c r="AF20400" s="679"/>
    </row>
    <row r="20401" spans="32:32" x14ac:dyDescent="0.2">
      <c r="AF20401" s="679"/>
    </row>
    <row r="20402" spans="32:32" x14ac:dyDescent="0.2">
      <c r="AF20402" s="679"/>
    </row>
    <row r="20403" spans="32:32" x14ac:dyDescent="0.2">
      <c r="AF20403" s="679"/>
    </row>
    <row r="20404" spans="32:32" x14ac:dyDescent="0.2">
      <c r="AF20404" s="679"/>
    </row>
    <row r="20405" spans="32:32" x14ac:dyDescent="0.2">
      <c r="AF20405" s="679"/>
    </row>
    <row r="20406" spans="32:32" x14ac:dyDescent="0.2">
      <c r="AF20406" s="679"/>
    </row>
    <row r="20407" spans="32:32" x14ac:dyDescent="0.2">
      <c r="AF20407" s="679"/>
    </row>
    <row r="20408" spans="32:32" x14ac:dyDescent="0.2">
      <c r="AF20408" s="679"/>
    </row>
    <row r="20409" spans="32:32" x14ac:dyDescent="0.2">
      <c r="AF20409" s="679"/>
    </row>
    <row r="20410" spans="32:32" x14ac:dyDescent="0.2">
      <c r="AF20410" s="679"/>
    </row>
    <row r="20411" spans="32:32" x14ac:dyDescent="0.2">
      <c r="AF20411" s="679"/>
    </row>
    <row r="20412" spans="32:32" x14ac:dyDescent="0.2">
      <c r="AF20412" s="679"/>
    </row>
    <row r="20413" spans="32:32" x14ac:dyDescent="0.2">
      <c r="AF20413" s="679"/>
    </row>
    <row r="20414" spans="32:32" x14ac:dyDescent="0.2">
      <c r="AF20414" s="679"/>
    </row>
    <row r="20415" spans="32:32" x14ac:dyDescent="0.2">
      <c r="AF20415" s="679"/>
    </row>
    <row r="20416" spans="32:32" x14ac:dyDescent="0.2">
      <c r="AF20416" s="679"/>
    </row>
    <row r="20417" spans="32:32" x14ac:dyDescent="0.2">
      <c r="AF20417" s="679"/>
    </row>
    <row r="20418" spans="32:32" x14ac:dyDescent="0.2">
      <c r="AF20418" s="679"/>
    </row>
    <row r="20419" spans="32:32" x14ac:dyDescent="0.2">
      <c r="AF20419" s="679"/>
    </row>
    <row r="20420" spans="32:32" x14ac:dyDescent="0.2">
      <c r="AF20420" s="679"/>
    </row>
    <row r="20421" spans="32:32" x14ac:dyDescent="0.2">
      <c r="AF20421" s="679"/>
    </row>
    <row r="20422" spans="32:32" x14ac:dyDescent="0.2">
      <c r="AF20422" s="679"/>
    </row>
    <row r="20423" spans="32:32" x14ac:dyDescent="0.2">
      <c r="AF20423" s="679"/>
    </row>
    <row r="20424" spans="32:32" x14ac:dyDescent="0.2">
      <c r="AF20424" s="679"/>
    </row>
    <row r="20425" spans="32:32" x14ac:dyDescent="0.2">
      <c r="AF20425" s="679"/>
    </row>
    <row r="20426" spans="32:32" x14ac:dyDescent="0.2">
      <c r="AF20426" s="679"/>
    </row>
    <row r="20427" spans="32:32" x14ac:dyDescent="0.2">
      <c r="AF20427" s="679"/>
    </row>
    <row r="20428" spans="32:32" x14ac:dyDescent="0.2">
      <c r="AF20428" s="679"/>
    </row>
    <row r="20429" spans="32:32" x14ac:dyDescent="0.2">
      <c r="AF20429" s="679"/>
    </row>
    <row r="20430" spans="32:32" x14ac:dyDescent="0.2">
      <c r="AF20430" s="679"/>
    </row>
    <row r="20431" spans="32:32" x14ac:dyDescent="0.2">
      <c r="AF20431" s="679"/>
    </row>
    <row r="20432" spans="32:32" x14ac:dyDescent="0.2">
      <c r="AF20432" s="679"/>
    </row>
    <row r="20433" spans="32:32" x14ac:dyDescent="0.2">
      <c r="AF20433" s="679"/>
    </row>
    <row r="20434" spans="32:32" x14ac:dyDescent="0.2">
      <c r="AF20434" s="679"/>
    </row>
    <row r="20435" spans="32:32" x14ac:dyDescent="0.2">
      <c r="AF20435" s="679"/>
    </row>
    <row r="20436" spans="32:32" x14ac:dyDescent="0.2">
      <c r="AF20436" s="679"/>
    </row>
    <row r="20437" spans="32:32" x14ac:dyDescent="0.2">
      <c r="AF20437" s="679"/>
    </row>
    <row r="20438" spans="32:32" x14ac:dyDescent="0.2">
      <c r="AF20438" s="679"/>
    </row>
    <row r="20439" spans="32:32" x14ac:dyDescent="0.2">
      <c r="AF20439" s="679"/>
    </row>
    <row r="20440" spans="32:32" x14ac:dyDescent="0.2">
      <c r="AF20440" s="679"/>
    </row>
    <row r="20441" spans="32:32" x14ac:dyDescent="0.2">
      <c r="AF20441" s="679"/>
    </row>
    <row r="20442" spans="32:32" x14ac:dyDescent="0.2">
      <c r="AF20442" s="679"/>
    </row>
    <row r="20443" spans="32:32" x14ac:dyDescent="0.2">
      <c r="AF20443" s="679"/>
    </row>
    <row r="20444" spans="32:32" x14ac:dyDescent="0.2">
      <c r="AF20444" s="679"/>
    </row>
    <row r="20445" spans="32:32" x14ac:dyDescent="0.2">
      <c r="AF20445" s="679"/>
    </row>
    <row r="20446" spans="32:32" x14ac:dyDescent="0.2">
      <c r="AF20446" s="679"/>
    </row>
    <row r="20447" spans="32:32" x14ac:dyDescent="0.2">
      <c r="AF20447" s="679"/>
    </row>
    <row r="20448" spans="32:32" x14ac:dyDescent="0.2">
      <c r="AF20448" s="679"/>
    </row>
    <row r="20449" spans="32:32" x14ac:dyDescent="0.2">
      <c r="AF20449" s="679"/>
    </row>
    <row r="20450" spans="32:32" x14ac:dyDescent="0.2">
      <c r="AF20450" s="679"/>
    </row>
    <row r="20451" spans="32:32" x14ac:dyDescent="0.2">
      <c r="AF20451" s="679"/>
    </row>
    <row r="20452" spans="32:32" x14ac:dyDescent="0.2">
      <c r="AF20452" s="679"/>
    </row>
    <row r="20453" spans="32:32" x14ac:dyDescent="0.2">
      <c r="AF20453" s="679"/>
    </row>
    <row r="20454" spans="32:32" x14ac:dyDescent="0.2">
      <c r="AF20454" s="679"/>
    </row>
    <row r="20455" spans="32:32" x14ac:dyDescent="0.2">
      <c r="AF20455" s="679"/>
    </row>
    <row r="20456" spans="32:32" x14ac:dyDescent="0.2">
      <c r="AF20456" s="679"/>
    </row>
    <row r="20457" spans="32:32" x14ac:dyDescent="0.2">
      <c r="AF20457" s="679"/>
    </row>
    <row r="20458" spans="32:32" x14ac:dyDescent="0.2">
      <c r="AF20458" s="679"/>
    </row>
    <row r="20459" spans="32:32" x14ac:dyDescent="0.2">
      <c r="AF20459" s="679"/>
    </row>
    <row r="20460" spans="32:32" x14ac:dyDescent="0.2">
      <c r="AF20460" s="679"/>
    </row>
    <row r="20461" spans="32:32" x14ac:dyDescent="0.2">
      <c r="AF20461" s="679"/>
    </row>
    <row r="20462" spans="32:32" x14ac:dyDescent="0.2">
      <c r="AF20462" s="679"/>
    </row>
    <row r="20463" spans="32:32" x14ac:dyDescent="0.2">
      <c r="AF20463" s="679"/>
    </row>
    <row r="20464" spans="32:32" x14ac:dyDescent="0.2">
      <c r="AF20464" s="679"/>
    </row>
    <row r="20465" spans="32:32" x14ac:dyDescent="0.2">
      <c r="AF20465" s="679"/>
    </row>
    <row r="20466" spans="32:32" x14ac:dyDescent="0.2">
      <c r="AF20466" s="679"/>
    </row>
    <row r="20467" spans="32:32" x14ac:dyDescent="0.2">
      <c r="AF20467" s="679"/>
    </row>
    <row r="20468" spans="32:32" x14ac:dyDescent="0.2">
      <c r="AF20468" s="679"/>
    </row>
    <row r="20469" spans="32:32" x14ac:dyDescent="0.2">
      <c r="AF20469" s="679"/>
    </row>
    <row r="20470" spans="32:32" x14ac:dyDescent="0.2">
      <c r="AF20470" s="679"/>
    </row>
    <row r="20471" spans="32:32" x14ac:dyDescent="0.2">
      <c r="AF20471" s="679"/>
    </row>
    <row r="20472" spans="32:32" x14ac:dyDescent="0.2">
      <c r="AF20472" s="679"/>
    </row>
    <row r="20473" spans="32:32" x14ac:dyDescent="0.2">
      <c r="AF20473" s="679"/>
    </row>
    <row r="20474" spans="32:32" x14ac:dyDescent="0.2">
      <c r="AF20474" s="679"/>
    </row>
    <row r="20475" spans="32:32" x14ac:dyDescent="0.2">
      <c r="AF20475" s="679"/>
    </row>
    <row r="20476" spans="32:32" x14ac:dyDescent="0.2">
      <c r="AF20476" s="679"/>
    </row>
    <row r="20477" spans="32:32" x14ac:dyDescent="0.2">
      <c r="AF20477" s="679"/>
    </row>
    <row r="20478" spans="32:32" x14ac:dyDescent="0.2">
      <c r="AF20478" s="679"/>
    </row>
    <row r="20479" spans="32:32" x14ac:dyDescent="0.2">
      <c r="AF20479" s="679"/>
    </row>
    <row r="20480" spans="32:32" x14ac:dyDescent="0.2">
      <c r="AF20480" s="679"/>
    </row>
    <row r="20481" spans="32:32" x14ac:dyDescent="0.2">
      <c r="AF20481" s="679"/>
    </row>
    <row r="20482" spans="32:32" x14ac:dyDescent="0.2">
      <c r="AF20482" s="679"/>
    </row>
    <row r="20483" spans="32:32" x14ac:dyDescent="0.2">
      <c r="AF20483" s="679"/>
    </row>
    <row r="20484" spans="32:32" x14ac:dyDescent="0.2">
      <c r="AF20484" s="679"/>
    </row>
    <row r="20485" spans="32:32" x14ac:dyDescent="0.2">
      <c r="AF20485" s="679"/>
    </row>
    <row r="20486" spans="32:32" x14ac:dyDescent="0.2">
      <c r="AF20486" s="679"/>
    </row>
    <row r="20487" spans="32:32" x14ac:dyDescent="0.2">
      <c r="AF20487" s="679"/>
    </row>
    <row r="20488" spans="32:32" x14ac:dyDescent="0.2">
      <c r="AF20488" s="679"/>
    </row>
    <row r="20489" spans="32:32" x14ac:dyDescent="0.2">
      <c r="AF20489" s="679"/>
    </row>
    <row r="20490" spans="32:32" x14ac:dyDescent="0.2">
      <c r="AF20490" s="679"/>
    </row>
    <row r="20491" spans="32:32" x14ac:dyDescent="0.2">
      <c r="AF20491" s="679"/>
    </row>
    <row r="20492" spans="32:32" x14ac:dyDescent="0.2">
      <c r="AF20492" s="679"/>
    </row>
    <row r="20493" spans="32:32" x14ac:dyDescent="0.2">
      <c r="AF20493" s="679"/>
    </row>
    <row r="20494" spans="32:32" x14ac:dyDescent="0.2">
      <c r="AF20494" s="679"/>
    </row>
    <row r="20495" spans="32:32" x14ac:dyDescent="0.2">
      <c r="AF20495" s="679"/>
    </row>
    <row r="20496" spans="32:32" x14ac:dyDescent="0.2">
      <c r="AF20496" s="679"/>
    </row>
    <row r="20497" spans="32:32" x14ac:dyDescent="0.2">
      <c r="AF20497" s="679"/>
    </row>
    <row r="20498" spans="32:32" x14ac:dyDescent="0.2">
      <c r="AF20498" s="679"/>
    </row>
    <row r="20499" spans="32:32" x14ac:dyDescent="0.2">
      <c r="AF20499" s="679"/>
    </row>
    <row r="20500" spans="32:32" x14ac:dyDescent="0.2">
      <c r="AF20500" s="679"/>
    </row>
    <row r="20501" spans="32:32" x14ac:dyDescent="0.2">
      <c r="AF20501" s="679"/>
    </row>
    <row r="20502" spans="32:32" x14ac:dyDescent="0.2">
      <c r="AF20502" s="679"/>
    </row>
    <row r="20503" spans="32:32" x14ac:dyDescent="0.2">
      <c r="AF20503" s="679"/>
    </row>
    <row r="20504" spans="32:32" x14ac:dyDescent="0.2">
      <c r="AF20504" s="679"/>
    </row>
    <row r="20505" spans="32:32" x14ac:dyDescent="0.2">
      <c r="AF20505" s="679"/>
    </row>
    <row r="20506" spans="32:32" x14ac:dyDescent="0.2">
      <c r="AF20506" s="679"/>
    </row>
    <row r="20507" spans="32:32" x14ac:dyDescent="0.2">
      <c r="AF20507" s="679"/>
    </row>
    <row r="20508" spans="32:32" x14ac:dyDescent="0.2">
      <c r="AF20508" s="679"/>
    </row>
    <row r="20509" spans="32:32" x14ac:dyDescent="0.2">
      <c r="AF20509" s="679"/>
    </row>
    <row r="20510" spans="32:32" x14ac:dyDescent="0.2">
      <c r="AF20510" s="679"/>
    </row>
    <row r="20511" spans="32:32" x14ac:dyDescent="0.2">
      <c r="AF20511" s="679"/>
    </row>
    <row r="20512" spans="32:32" x14ac:dyDescent="0.2">
      <c r="AF20512" s="679"/>
    </row>
    <row r="20513" spans="32:32" x14ac:dyDescent="0.2">
      <c r="AF20513" s="679"/>
    </row>
    <row r="20514" spans="32:32" x14ac:dyDescent="0.2">
      <c r="AF20514" s="679"/>
    </row>
    <row r="20515" spans="32:32" x14ac:dyDescent="0.2">
      <c r="AF20515" s="679"/>
    </row>
    <row r="20516" spans="32:32" x14ac:dyDescent="0.2">
      <c r="AF20516" s="679"/>
    </row>
    <row r="20517" spans="32:32" x14ac:dyDescent="0.2">
      <c r="AF20517" s="679"/>
    </row>
    <row r="20518" spans="32:32" x14ac:dyDescent="0.2">
      <c r="AF20518" s="679"/>
    </row>
    <row r="20519" spans="32:32" x14ac:dyDescent="0.2">
      <c r="AF20519" s="679"/>
    </row>
    <row r="20520" spans="32:32" x14ac:dyDescent="0.2">
      <c r="AF20520" s="679"/>
    </row>
    <row r="20521" spans="32:32" x14ac:dyDescent="0.2">
      <c r="AF20521" s="679"/>
    </row>
    <row r="20522" spans="32:32" x14ac:dyDescent="0.2">
      <c r="AF20522" s="679"/>
    </row>
    <row r="20523" spans="32:32" x14ac:dyDescent="0.2">
      <c r="AF20523" s="679"/>
    </row>
    <row r="20524" spans="32:32" x14ac:dyDescent="0.2">
      <c r="AF20524" s="679"/>
    </row>
    <row r="20525" spans="32:32" x14ac:dyDescent="0.2">
      <c r="AF20525" s="679"/>
    </row>
    <row r="20526" spans="32:32" x14ac:dyDescent="0.2">
      <c r="AF20526" s="679"/>
    </row>
    <row r="20527" spans="32:32" x14ac:dyDescent="0.2">
      <c r="AF20527" s="679"/>
    </row>
    <row r="20528" spans="32:32" x14ac:dyDescent="0.2">
      <c r="AF20528" s="679"/>
    </row>
    <row r="20529" spans="32:32" x14ac:dyDescent="0.2">
      <c r="AF20529" s="679"/>
    </row>
    <row r="20530" spans="32:32" x14ac:dyDescent="0.2">
      <c r="AF20530" s="679"/>
    </row>
    <row r="20531" spans="32:32" x14ac:dyDescent="0.2">
      <c r="AF20531" s="679"/>
    </row>
    <row r="20532" spans="32:32" x14ac:dyDescent="0.2">
      <c r="AF20532" s="679"/>
    </row>
    <row r="20533" spans="32:32" x14ac:dyDescent="0.2">
      <c r="AF20533" s="679"/>
    </row>
    <row r="20534" spans="32:32" x14ac:dyDescent="0.2">
      <c r="AF20534" s="679"/>
    </row>
    <row r="20535" spans="32:32" x14ac:dyDescent="0.2">
      <c r="AF20535" s="679"/>
    </row>
    <row r="20536" spans="32:32" x14ac:dyDescent="0.2">
      <c r="AF20536" s="679"/>
    </row>
    <row r="20537" spans="32:32" x14ac:dyDescent="0.2">
      <c r="AF20537" s="679"/>
    </row>
    <row r="20538" spans="32:32" x14ac:dyDescent="0.2">
      <c r="AF20538" s="679"/>
    </row>
    <row r="20539" spans="32:32" x14ac:dyDescent="0.2">
      <c r="AF20539" s="679"/>
    </row>
    <row r="20540" spans="32:32" x14ac:dyDescent="0.2">
      <c r="AF20540" s="679"/>
    </row>
    <row r="20541" spans="32:32" x14ac:dyDescent="0.2">
      <c r="AF20541" s="679"/>
    </row>
    <row r="20542" spans="32:32" x14ac:dyDescent="0.2">
      <c r="AF20542" s="679"/>
    </row>
    <row r="20543" spans="32:32" x14ac:dyDescent="0.2">
      <c r="AF20543" s="679"/>
    </row>
    <row r="20544" spans="32:32" x14ac:dyDescent="0.2">
      <c r="AF20544" s="679"/>
    </row>
    <row r="20545" spans="32:32" x14ac:dyDescent="0.2">
      <c r="AF20545" s="679"/>
    </row>
    <row r="20546" spans="32:32" x14ac:dyDescent="0.2">
      <c r="AF20546" s="679"/>
    </row>
    <row r="20547" spans="32:32" x14ac:dyDescent="0.2">
      <c r="AF20547" s="679"/>
    </row>
    <row r="20548" spans="32:32" x14ac:dyDescent="0.2">
      <c r="AF20548" s="679"/>
    </row>
    <row r="20549" spans="32:32" x14ac:dyDescent="0.2">
      <c r="AF20549" s="679"/>
    </row>
    <row r="20550" spans="32:32" x14ac:dyDescent="0.2">
      <c r="AF20550" s="679"/>
    </row>
    <row r="20551" spans="32:32" x14ac:dyDescent="0.2">
      <c r="AF20551" s="679"/>
    </row>
    <row r="20552" spans="32:32" x14ac:dyDescent="0.2">
      <c r="AF20552" s="679"/>
    </row>
    <row r="20553" spans="32:32" x14ac:dyDescent="0.2">
      <c r="AF20553" s="679"/>
    </row>
    <row r="20554" spans="32:32" x14ac:dyDescent="0.2">
      <c r="AF20554" s="679"/>
    </row>
    <row r="20555" spans="32:32" x14ac:dyDescent="0.2">
      <c r="AF20555" s="679"/>
    </row>
    <row r="20556" spans="32:32" x14ac:dyDescent="0.2">
      <c r="AF20556" s="679"/>
    </row>
    <row r="20557" spans="32:32" x14ac:dyDescent="0.2">
      <c r="AF20557" s="679"/>
    </row>
    <row r="20558" spans="32:32" x14ac:dyDescent="0.2">
      <c r="AF20558" s="679"/>
    </row>
    <row r="20559" spans="32:32" x14ac:dyDescent="0.2">
      <c r="AF20559" s="679"/>
    </row>
    <row r="20560" spans="32:32" x14ac:dyDescent="0.2">
      <c r="AF20560" s="679"/>
    </row>
    <row r="20561" spans="32:32" x14ac:dyDescent="0.2">
      <c r="AF20561" s="679"/>
    </row>
    <row r="20562" spans="32:32" x14ac:dyDescent="0.2">
      <c r="AF20562" s="679"/>
    </row>
    <row r="20563" spans="32:32" x14ac:dyDescent="0.2">
      <c r="AF20563" s="679"/>
    </row>
    <row r="20564" spans="32:32" x14ac:dyDescent="0.2">
      <c r="AF20564" s="679"/>
    </row>
    <row r="20565" spans="32:32" x14ac:dyDescent="0.2">
      <c r="AF20565" s="679"/>
    </row>
    <row r="20566" spans="32:32" x14ac:dyDescent="0.2">
      <c r="AF20566" s="679"/>
    </row>
    <row r="20567" spans="32:32" x14ac:dyDescent="0.2">
      <c r="AF20567" s="679"/>
    </row>
    <row r="20568" spans="32:32" x14ac:dyDescent="0.2">
      <c r="AF20568" s="679"/>
    </row>
    <row r="20569" spans="32:32" x14ac:dyDescent="0.2">
      <c r="AF20569" s="679"/>
    </row>
    <row r="20570" spans="32:32" x14ac:dyDescent="0.2">
      <c r="AF20570" s="679"/>
    </row>
    <row r="20571" spans="32:32" x14ac:dyDescent="0.2">
      <c r="AF20571" s="679"/>
    </row>
    <row r="20572" spans="32:32" x14ac:dyDescent="0.2">
      <c r="AF20572" s="679"/>
    </row>
    <row r="20573" spans="32:32" x14ac:dyDescent="0.2">
      <c r="AF20573" s="679"/>
    </row>
    <row r="20574" spans="32:32" x14ac:dyDescent="0.2">
      <c r="AF20574" s="679"/>
    </row>
    <row r="20575" spans="32:32" x14ac:dyDescent="0.2">
      <c r="AF20575" s="679"/>
    </row>
    <row r="20576" spans="32:32" x14ac:dyDescent="0.2">
      <c r="AF20576" s="679"/>
    </row>
    <row r="20577" spans="32:32" x14ac:dyDescent="0.2">
      <c r="AF20577" s="679"/>
    </row>
    <row r="20578" spans="32:32" x14ac:dyDescent="0.2">
      <c r="AF20578" s="679"/>
    </row>
    <row r="20579" spans="32:32" x14ac:dyDescent="0.2">
      <c r="AF20579" s="679"/>
    </row>
    <row r="20580" spans="32:32" x14ac:dyDescent="0.2">
      <c r="AF20580" s="679"/>
    </row>
    <row r="20581" spans="32:32" x14ac:dyDescent="0.2">
      <c r="AF20581" s="679"/>
    </row>
    <row r="20582" spans="32:32" x14ac:dyDescent="0.2">
      <c r="AF20582" s="679"/>
    </row>
    <row r="20583" spans="32:32" x14ac:dyDescent="0.2">
      <c r="AF20583" s="679"/>
    </row>
    <row r="20584" spans="32:32" x14ac:dyDescent="0.2">
      <c r="AF20584" s="679"/>
    </row>
    <row r="20585" spans="32:32" x14ac:dyDescent="0.2">
      <c r="AF20585" s="679"/>
    </row>
    <row r="20586" spans="32:32" x14ac:dyDescent="0.2">
      <c r="AF20586" s="679"/>
    </row>
    <row r="20587" spans="32:32" x14ac:dyDescent="0.2">
      <c r="AF20587" s="679"/>
    </row>
    <row r="20588" spans="32:32" x14ac:dyDescent="0.2">
      <c r="AF20588" s="679"/>
    </row>
    <row r="20589" spans="32:32" x14ac:dyDescent="0.2">
      <c r="AF20589" s="679"/>
    </row>
    <row r="20590" spans="32:32" x14ac:dyDescent="0.2">
      <c r="AF20590" s="679"/>
    </row>
    <row r="20591" spans="32:32" x14ac:dyDescent="0.2">
      <c r="AF20591" s="679"/>
    </row>
    <row r="20592" spans="32:32" x14ac:dyDescent="0.2">
      <c r="AF20592" s="679"/>
    </row>
    <row r="20593" spans="32:32" x14ac:dyDescent="0.2">
      <c r="AF20593" s="679"/>
    </row>
    <row r="20594" spans="32:32" x14ac:dyDescent="0.2">
      <c r="AF20594" s="679"/>
    </row>
    <row r="20595" spans="32:32" x14ac:dyDescent="0.2">
      <c r="AF20595" s="679"/>
    </row>
    <row r="20596" spans="32:32" x14ac:dyDescent="0.2">
      <c r="AF20596" s="679"/>
    </row>
    <row r="20597" spans="32:32" x14ac:dyDescent="0.2">
      <c r="AF20597" s="679"/>
    </row>
    <row r="20598" spans="32:32" x14ac:dyDescent="0.2">
      <c r="AF20598" s="679"/>
    </row>
    <row r="20599" spans="32:32" x14ac:dyDescent="0.2">
      <c r="AF20599" s="679"/>
    </row>
    <row r="20600" spans="32:32" x14ac:dyDescent="0.2">
      <c r="AF20600" s="679"/>
    </row>
    <row r="20601" spans="32:32" x14ac:dyDescent="0.2">
      <c r="AF20601" s="679"/>
    </row>
    <row r="20602" spans="32:32" x14ac:dyDescent="0.2">
      <c r="AF20602" s="679"/>
    </row>
    <row r="20603" spans="32:32" x14ac:dyDescent="0.2">
      <c r="AF20603" s="679"/>
    </row>
    <row r="20604" spans="32:32" x14ac:dyDescent="0.2">
      <c r="AF20604" s="679"/>
    </row>
    <row r="20605" spans="32:32" x14ac:dyDescent="0.2">
      <c r="AF20605" s="679"/>
    </row>
    <row r="20606" spans="32:32" x14ac:dyDescent="0.2">
      <c r="AF20606" s="679"/>
    </row>
    <row r="20607" spans="32:32" x14ac:dyDescent="0.2">
      <c r="AF20607" s="679"/>
    </row>
    <row r="20608" spans="32:32" x14ac:dyDescent="0.2">
      <c r="AF20608" s="679"/>
    </row>
    <row r="20609" spans="32:32" x14ac:dyDescent="0.2">
      <c r="AF20609" s="679"/>
    </row>
    <row r="20610" spans="32:32" x14ac:dyDescent="0.2">
      <c r="AF20610" s="679"/>
    </row>
    <row r="20611" spans="32:32" x14ac:dyDescent="0.2">
      <c r="AF20611" s="679"/>
    </row>
    <row r="20612" spans="32:32" x14ac:dyDescent="0.2">
      <c r="AF20612" s="679"/>
    </row>
    <row r="20613" spans="32:32" x14ac:dyDescent="0.2">
      <c r="AF20613" s="679"/>
    </row>
    <row r="20614" spans="32:32" x14ac:dyDescent="0.2">
      <c r="AF20614" s="679"/>
    </row>
    <row r="20615" spans="32:32" x14ac:dyDescent="0.2">
      <c r="AF20615" s="679"/>
    </row>
    <row r="20616" spans="32:32" x14ac:dyDescent="0.2">
      <c r="AF20616" s="679"/>
    </row>
    <row r="20617" spans="32:32" x14ac:dyDescent="0.2">
      <c r="AF20617" s="679"/>
    </row>
    <row r="20618" spans="32:32" x14ac:dyDescent="0.2">
      <c r="AF20618" s="679"/>
    </row>
    <row r="20619" spans="32:32" x14ac:dyDescent="0.2">
      <c r="AF20619" s="679"/>
    </row>
    <row r="20620" spans="32:32" x14ac:dyDescent="0.2">
      <c r="AF20620" s="679"/>
    </row>
    <row r="20621" spans="32:32" x14ac:dyDescent="0.2">
      <c r="AF20621" s="679"/>
    </row>
    <row r="20622" spans="32:32" x14ac:dyDescent="0.2">
      <c r="AF20622" s="679"/>
    </row>
    <row r="20623" spans="32:32" x14ac:dyDescent="0.2">
      <c r="AF20623" s="679"/>
    </row>
    <row r="20624" spans="32:32" x14ac:dyDescent="0.2">
      <c r="AF20624" s="679"/>
    </row>
    <row r="20625" spans="32:32" x14ac:dyDescent="0.2">
      <c r="AF20625" s="679"/>
    </row>
    <row r="20626" spans="32:32" x14ac:dyDescent="0.2">
      <c r="AF20626" s="679"/>
    </row>
    <row r="20627" spans="32:32" x14ac:dyDescent="0.2">
      <c r="AF20627" s="679"/>
    </row>
    <row r="20628" spans="32:32" x14ac:dyDescent="0.2">
      <c r="AF20628" s="679"/>
    </row>
    <row r="20629" spans="32:32" x14ac:dyDescent="0.2">
      <c r="AF20629" s="679"/>
    </row>
    <row r="20630" spans="32:32" x14ac:dyDescent="0.2">
      <c r="AF20630" s="679"/>
    </row>
    <row r="20631" spans="32:32" x14ac:dyDescent="0.2">
      <c r="AF20631" s="679"/>
    </row>
    <row r="20632" spans="32:32" x14ac:dyDescent="0.2">
      <c r="AF20632" s="679"/>
    </row>
    <row r="20633" spans="32:32" x14ac:dyDescent="0.2">
      <c r="AF20633" s="679"/>
    </row>
    <row r="20634" spans="32:32" x14ac:dyDescent="0.2">
      <c r="AF20634" s="679"/>
    </row>
    <row r="20635" spans="32:32" x14ac:dyDescent="0.2">
      <c r="AF20635" s="679"/>
    </row>
    <row r="20636" spans="32:32" x14ac:dyDescent="0.2">
      <c r="AF20636" s="679"/>
    </row>
    <row r="20637" spans="32:32" x14ac:dyDescent="0.2">
      <c r="AF20637" s="679"/>
    </row>
    <row r="20638" spans="32:32" x14ac:dyDescent="0.2">
      <c r="AF20638" s="679"/>
    </row>
    <row r="20639" spans="32:32" x14ac:dyDescent="0.2">
      <c r="AF20639" s="679"/>
    </row>
    <row r="20640" spans="32:32" x14ac:dyDescent="0.2">
      <c r="AF20640" s="679"/>
    </row>
    <row r="20641" spans="32:32" x14ac:dyDescent="0.2">
      <c r="AF20641" s="679"/>
    </row>
    <row r="20642" spans="32:32" x14ac:dyDescent="0.2">
      <c r="AF20642" s="679"/>
    </row>
    <row r="20643" spans="32:32" x14ac:dyDescent="0.2">
      <c r="AF20643" s="679"/>
    </row>
    <row r="20644" spans="32:32" x14ac:dyDescent="0.2">
      <c r="AF20644" s="679"/>
    </row>
    <row r="20645" spans="32:32" x14ac:dyDescent="0.2">
      <c r="AF20645" s="679"/>
    </row>
    <row r="20646" spans="32:32" x14ac:dyDescent="0.2">
      <c r="AF20646" s="679"/>
    </row>
    <row r="20647" spans="32:32" x14ac:dyDescent="0.2">
      <c r="AF20647" s="679"/>
    </row>
    <row r="20648" spans="32:32" x14ac:dyDescent="0.2">
      <c r="AF20648" s="679"/>
    </row>
    <row r="20649" spans="32:32" x14ac:dyDescent="0.2">
      <c r="AF20649" s="679"/>
    </row>
    <row r="20650" spans="32:32" x14ac:dyDescent="0.2">
      <c r="AF20650" s="679"/>
    </row>
    <row r="20651" spans="32:32" x14ac:dyDescent="0.2">
      <c r="AF20651" s="679"/>
    </row>
    <row r="20652" spans="32:32" x14ac:dyDescent="0.2">
      <c r="AF20652" s="679"/>
    </row>
    <row r="20653" spans="32:32" x14ac:dyDescent="0.2">
      <c r="AF20653" s="679"/>
    </row>
    <row r="20654" spans="32:32" x14ac:dyDescent="0.2">
      <c r="AF20654" s="679"/>
    </row>
    <row r="20655" spans="32:32" x14ac:dyDescent="0.2">
      <c r="AF20655" s="679"/>
    </row>
    <row r="20656" spans="32:32" x14ac:dyDescent="0.2">
      <c r="AF20656" s="679"/>
    </row>
    <row r="20657" spans="32:32" x14ac:dyDescent="0.2">
      <c r="AF20657" s="679"/>
    </row>
    <row r="20658" spans="32:32" x14ac:dyDescent="0.2">
      <c r="AF20658" s="679"/>
    </row>
    <row r="20659" spans="32:32" x14ac:dyDescent="0.2">
      <c r="AF20659" s="679"/>
    </row>
    <row r="20660" spans="32:32" x14ac:dyDescent="0.2">
      <c r="AF20660" s="679"/>
    </row>
    <row r="20661" spans="32:32" x14ac:dyDescent="0.2">
      <c r="AF20661" s="679"/>
    </row>
    <row r="20662" spans="32:32" x14ac:dyDescent="0.2">
      <c r="AF20662" s="679"/>
    </row>
    <row r="20663" spans="32:32" x14ac:dyDescent="0.2">
      <c r="AF20663" s="679"/>
    </row>
    <row r="20664" spans="32:32" x14ac:dyDescent="0.2">
      <c r="AF20664" s="679"/>
    </row>
    <row r="20665" spans="32:32" x14ac:dyDescent="0.2">
      <c r="AF20665" s="679"/>
    </row>
    <row r="20666" spans="32:32" x14ac:dyDescent="0.2">
      <c r="AF20666" s="679"/>
    </row>
    <row r="20667" spans="32:32" x14ac:dyDescent="0.2">
      <c r="AF20667" s="679"/>
    </row>
    <row r="20668" spans="32:32" x14ac:dyDescent="0.2">
      <c r="AF20668" s="679"/>
    </row>
    <row r="20669" spans="32:32" x14ac:dyDescent="0.2">
      <c r="AF20669" s="679"/>
    </row>
    <row r="20670" spans="32:32" x14ac:dyDescent="0.2">
      <c r="AF20670" s="679"/>
    </row>
    <row r="20671" spans="32:32" x14ac:dyDescent="0.2">
      <c r="AF20671" s="679"/>
    </row>
    <row r="20672" spans="32:32" x14ac:dyDescent="0.2">
      <c r="AF20672" s="679"/>
    </row>
    <row r="20673" spans="32:32" x14ac:dyDescent="0.2">
      <c r="AF20673" s="679"/>
    </row>
    <row r="20674" spans="32:32" x14ac:dyDescent="0.2">
      <c r="AF20674" s="679"/>
    </row>
    <row r="20675" spans="32:32" x14ac:dyDescent="0.2">
      <c r="AF20675" s="679"/>
    </row>
    <row r="20676" spans="32:32" x14ac:dyDescent="0.2">
      <c r="AF20676" s="679"/>
    </row>
    <row r="20677" spans="32:32" x14ac:dyDescent="0.2">
      <c r="AF20677" s="679"/>
    </row>
    <row r="20678" spans="32:32" x14ac:dyDescent="0.2">
      <c r="AF20678" s="679"/>
    </row>
    <row r="20679" spans="32:32" x14ac:dyDescent="0.2">
      <c r="AF20679" s="679"/>
    </row>
    <row r="20680" spans="32:32" x14ac:dyDescent="0.2">
      <c r="AF20680" s="679"/>
    </row>
    <row r="20681" spans="32:32" x14ac:dyDescent="0.2">
      <c r="AF20681" s="679"/>
    </row>
    <row r="20682" spans="32:32" x14ac:dyDescent="0.2">
      <c r="AF20682" s="679"/>
    </row>
    <row r="20683" spans="32:32" x14ac:dyDescent="0.2">
      <c r="AF20683" s="679"/>
    </row>
    <row r="20684" spans="32:32" x14ac:dyDescent="0.2">
      <c r="AF20684" s="679"/>
    </row>
    <row r="20685" spans="32:32" x14ac:dyDescent="0.2">
      <c r="AF20685" s="679"/>
    </row>
    <row r="20686" spans="32:32" x14ac:dyDescent="0.2">
      <c r="AF20686" s="679"/>
    </row>
    <row r="20687" spans="32:32" x14ac:dyDescent="0.2">
      <c r="AF20687" s="679"/>
    </row>
    <row r="20688" spans="32:32" x14ac:dyDescent="0.2">
      <c r="AF20688" s="679"/>
    </row>
    <row r="20689" spans="32:32" x14ac:dyDescent="0.2">
      <c r="AF20689" s="679"/>
    </row>
    <row r="20690" spans="32:32" x14ac:dyDescent="0.2">
      <c r="AF20690" s="679"/>
    </row>
    <row r="20691" spans="32:32" x14ac:dyDescent="0.2">
      <c r="AF20691" s="679"/>
    </row>
    <row r="20692" spans="32:32" x14ac:dyDescent="0.2">
      <c r="AF20692" s="679"/>
    </row>
    <row r="20693" spans="32:32" x14ac:dyDescent="0.2">
      <c r="AF20693" s="679"/>
    </row>
    <row r="20694" spans="32:32" x14ac:dyDescent="0.2">
      <c r="AF20694" s="679"/>
    </row>
    <row r="20695" spans="32:32" x14ac:dyDescent="0.2">
      <c r="AF20695" s="679"/>
    </row>
    <row r="20696" spans="32:32" x14ac:dyDescent="0.2">
      <c r="AF20696" s="679"/>
    </row>
    <row r="20697" spans="32:32" x14ac:dyDescent="0.2">
      <c r="AF20697" s="679"/>
    </row>
    <row r="20698" spans="32:32" x14ac:dyDescent="0.2">
      <c r="AF20698" s="679"/>
    </row>
    <row r="20699" spans="32:32" x14ac:dyDescent="0.2">
      <c r="AF20699" s="679"/>
    </row>
    <row r="20700" spans="32:32" x14ac:dyDescent="0.2">
      <c r="AF20700" s="679"/>
    </row>
    <row r="20701" spans="32:32" x14ac:dyDescent="0.2">
      <c r="AF20701" s="679"/>
    </row>
    <row r="20702" spans="32:32" x14ac:dyDescent="0.2">
      <c r="AF20702" s="679"/>
    </row>
    <row r="20703" spans="32:32" x14ac:dyDescent="0.2">
      <c r="AF20703" s="679"/>
    </row>
    <row r="20704" spans="32:32" x14ac:dyDescent="0.2">
      <c r="AF20704" s="679"/>
    </row>
    <row r="20705" spans="32:32" x14ac:dyDescent="0.2">
      <c r="AF20705" s="679"/>
    </row>
    <row r="20706" spans="32:32" x14ac:dyDescent="0.2">
      <c r="AF20706" s="679"/>
    </row>
    <row r="20707" spans="32:32" x14ac:dyDescent="0.2">
      <c r="AF20707" s="679"/>
    </row>
    <row r="20708" spans="32:32" x14ac:dyDescent="0.2">
      <c r="AF20708" s="679"/>
    </row>
    <row r="20709" spans="32:32" x14ac:dyDescent="0.2">
      <c r="AF20709" s="679"/>
    </row>
    <row r="20710" spans="32:32" x14ac:dyDescent="0.2">
      <c r="AF20710" s="679"/>
    </row>
    <row r="20711" spans="32:32" x14ac:dyDescent="0.2">
      <c r="AF20711" s="679"/>
    </row>
    <row r="20712" spans="32:32" x14ac:dyDescent="0.2">
      <c r="AF20712" s="679"/>
    </row>
    <row r="20713" spans="32:32" x14ac:dyDescent="0.2">
      <c r="AF20713" s="679"/>
    </row>
    <row r="20714" spans="32:32" x14ac:dyDescent="0.2">
      <c r="AF20714" s="679"/>
    </row>
    <row r="20715" spans="32:32" x14ac:dyDescent="0.2">
      <c r="AF20715" s="679"/>
    </row>
    <row r="20716" spans="32:32" x14ac:dyDescent="0.2">
      <c r="AF20716" s="679"/>
    </row>
    <row r="20717" spans="32:32" x14ac:dyDescent="0.2">
      <c r="AF20717" s="679"/>
    </row>
    <row r="20718" spans="32:32" x14ac:dyDescent="0.2">
      <c r="AF20718" s="679"/>
    </row>
    <row r="20719" spans="32:32" x14ac:dyDescent="0.2">
      <c r="AF20719" s="679"/>
    </row>
    <row r="20720" spans="32:32" x14ac:dyDescent="0.2">
      <c r="AF20720" s="679"/>
    </row>
    <row r="20721" spans="32:32" x14ac:dyDescent="0.2">
      <c r="AF20721" s="679"/>
    </row>
    <row r="20722" spans="32:32" x14ac:dyDescent="0.2">
      <c r="AF20722" s="679"/>
    </row>
    <row r="20723" spans="32:32" x14ac:dyDescent="0.2">
      <c r="AF20723" s="679"/>
    </row>
    <row r="20724" spans="32:32" x14ac:dyDescent="0.2">
      <c r="AF20724" s="679"/>
    </row>
    <row r="20725" spans="32:32" x14ac:dyDescent="0.2">
      <c r="AF20725" s="679"/>
    </row>
    <row r="20726" spans="32:32" x14ac:dyDescent="0.2">
      <c r="AF20726" s="679"/>
    </row>
    <row r="20727" spans="32:32" x14ac:dyDescent="0.2">
      <c r="AF20727" s="679"/>
    </row>
    <row r="20728" spans="32:32" x14ac:dyDescent="0.2">
      <c r="AF20728" s="679"/>
    </row>
    <row r="20729" spans="32:32" x14ac:dyDescent="0.2">
      <c r="AF20729" s="679"/>
    </row>
    <row r="20730" spans="32:32" x14ac:dyDescent="0.2">
      <c r="AF20730" s="679"/>
    </row>
    <row r="20731" spans="32:32" x14ac:dyDescent="0.2">
      <c r="AF20731" s="679"/>
    </row>
    <row r="20732" spans="32:32" x14ac:dyDescent="0.2">
      <c r="AF20732" s="679"/>
    </row>
    <row r="20733" spans="32:32" x14ac:dyDescent="0.2">
      <c r="AF20733" s="679"/>
    </row>
    <row r="20734" spans="32:32" x14ac:dyDescent="0.2">
      <c r="AF20734" s="679"/>
    </row>
    <row r="20735" spans="32:32" x14ac:dyDescent="0.2">
      <c r="AF20735" s="679"/>
    </row>
    <row r="20736" spans="32:32" x14ac:dyDescent="0.2">
      <c r="AF20736" s="679"/>
    </row>
    <row r="20737" spans="32:32" x14ac:dyDescent="0.2">
      <c r="AF20737" s="679"/>
    </row>
    <row r="20738" spans="32:32" x14ac:dyDescent="0.2">
      <c r="AF20738" s="679"/>
    </row>
    <row r="20739" spans="32:32" x14ac:dyDescent="0.2">
      <c r="AF20739" s="679"/>
    </row>
    <row r="20740" spans="32:32" x14ac:dyDescent="0.2">
      <c r="AF20740" s="679"/>
    </row>
    <row r="20741" spans="32:32" x14ac:dyDescent="0.2">
      <c r="AF20741" s="679"/>
    </row>
    <row r="20742" spans="32:32" x14ac:dyDescent="0.2">
      <c r="AF20742" s="679"/>
    </row>
    <row r="20743" spans="32:32" x14ac:dyDescent="0.2">
      <c r="AF20743" s="679"/>
    </row>
    <row r="20744" spans="32:32" x14ac:dyDescent="0.2">
      <c r="AF20744" s="679"/>
    </row>
    <row r="20745" spans="32:32" x14ac:dyDescent="0.2">
      <c r="AF20745" s="679"/>
    </row>
    <row r="20746" spans="32:32" x14ac:dyDescent="0.2">
      <c r="AF20746" s="679"/>
    </row>
    <row r="20747" spans="32:32" x14ac:dyDescent="0.2">
      <c r="AF20747" s="679"/>
    </row>
    <row r="20748" spans="32:32" x14ac:dyDescent="0.2">
      <c r="AF20748" s="679"/>
    </row>
    <row r="20749" spans="32:32" x14ac:dyDescent="0.2">
      <c r="AF20749" s="679"/>
    </row>
    <row r="20750" spans="32:32" x14ac:dyDescent="0.2">
      <c r="AF20750" s="679"/>
    </row>
    <row r="20751" spans="32:32" x14ac:dyDescent="0.2">
      <c r="AF20751" s="679"/>
    </row>
    <row r="20752" spans="32:32" x14ac:dyDescent="0.2">
      <c r="AF20752" s="679"/>
    </row>
    <row r="20753" spans="32:32" x14ac:dyDescent="0.2">
      <c r="AF20753" s="679"/>
    </row>
    <row r="20754" spans="32:32" x14ac:dyDescent="0.2">
      <c r="AF20754" s="679"/>
    </row>
    <row r="20755" spans="32:32" x14ac:dyDescent="0.2">
      <c r="AF20755" s="679"/>
    </row>
    <row r="20756" spans="32:32" x14ac:dyDescent="0.2">
      <c r="AF20756" s="679"/>
    </row>
    <row r="20757" spans="32:32" x14ac:dyDescent="0.2">
      <c r="AF20757" s="679"/>
    </row>
    <row r="20758" spans="32:32" x14ac:dyDescent="0.2">
      <c r="AF20758" s="679"/>
    </row>
    <row r="20759" spans="32:32" x14ac:dyDescent="0.2">
      <c r="AF20759" s="679"/>
    </row>
    <row r="20760" spans="32:32" x14ac:dyDescent="0.2">
      <c r="AF20760" s="679"/>
    </row>
    <row r="20761" spans="32:32" x14ac:dyDescent="0.2">
      <c r="AF20761" s="679"/>
    </row>
    <row r="20762" spans="32:32" x14ac:dyDescent="0.2">
      <c r="AF20762" s="679"/>
    </row>
    <row r="20763" spans="32:32" x14ac:dyDescent="0.2">
      <c r="AF20763" s="679"/>
    </row>
    <row r="20764" spans="32:32" x14ac:dyDescent="0.2">
      <c r="AF20764" s="679"/>
    </row>
    <row r="20765" spans="32:32" x14ac:dyDescent="0.2">
      <c r="AF20765" s="679"/>
    </row>
    <row r="20766" spans="32:32" x14ac:dyDescent="0.2">
      <c r="AF20766" s="679"/>
    </row>
    <row r="20767" spans="32:32" x14ac:dyDescent="0.2">
      <c r="AF20767" s="679"/>
    </row>
    <row r="20768" spans="32:32" x14ac:dyDescent="0.2">
      <c r="AF20768" s="679"/>
    </row>
    <row r="20769" spans="32:32" x14ac:dyDescent="0.2">
      <c r="AF20769" s="679"/>
    </row>
    <row r="20770" spans="32:32" x14ac:dyDescent="0.2">
      <c r="AF20770" s="679"/>
    </row>
    <row r="20771" spans="32:32" x14ac:dyDescent="0.2">
      <c r="AF20771" s="679"/>
    </row>
    <row r="20772" spans="32:32" x14ac:dyDescent="0.2">
      <c r="AF20772" s="679"/>
    </row>
    <row r="20773" spans="32:32" x14ac:dyDescent="0.2">
      <c r="AF20773" s="679"/>
    </row>
    <row r="20774" spans="32:32" x14ac:dyDescent="0.2">
      <c r="AF20774" s="679"/>
    </row>
    <row r="20775" spans="32:32" x14ac:dyDescent="0.2">
      <c r="AF20775" s="679"/>
    </row>
    <row r="20776" spans="32:32" x14ac:dyDescent="0.2">
      <c r="AF20776" s="679"/>
    </row>
    <row r="20777" spans="32:32" x14ac:dyDescent="0.2">
      <c r="AF20777" s="679"/>
    </row>
    <row r="20778" spans="32:32" x14ac:dyDescent="0.2">
      <c r="AF20778" s="679"/>
    </row>
    <row r="20779" spans="32:32" x14ac:dyDescent="0.2">
      <c r="AF20779" s="679"/>
    </row>
    <row r="20780" spans="32:32" x14ac:dyDescent="0.2">
      <c r="AF20780" s="679"/>
    </row>
    <row r="20781" spans="32:32" x14ac:dyDescent="0.2">
      <c r="AF20781" s="679"/>
    </row>
    <row r="20782" spans="32:32" x14ac:dyDescent="0.2">
      <c r="AF20782" s="679"/>
    </row>
    <row r="20783" spans="32:32" x14ac:dyDescent="0.2">
      <c r="AF20783" s="679"/>
    </row>
    <row r="20784" spans="32:32" x14ac:dyDescent="0.2">
      <c r="AF20784" s="679"/>
    </row>
    <row r="20785" spans="32:32" x14ac:dyDescent="0.2">
      <c r="AF20785" s="679"/>
    </row>
    <row r="20786" spans="32:32" x14ac:dyDescent="0.2">
      <c r="AF20786" s="679"/>
    </row>
    <row r="20787" spans="32:32" x14ac:dyDescent="0.2">
      <c r="AF20787" s="679"/>
    </row>
    <row r="20788" spans="32:32" x14ac:dyDescent="0.2">
      <c r="AF20788" s="679"/>
    </row>
    <row r="20789" spans="32:32" x14ac:dyDescent="0.2">
      <c r="AF20789" s="679"/>
    </row>
    <row r="20790" spans="32:32" x14ac:dyDescent="0.2">
      <c r="AF20790" s="679"/>
    </row>
    <row r="20791" spans="32:32" x14ac:dyDescent="0.2">
      <c r="AF20791" s="679"/>
    </row>
    <row r="20792" spans="32:32" x14ac:dyDescent="0.2">
      <c r="AF20792" s="679"/>
    </row>
    <row r="20793" spans="32:32" x14ac:dyDescent="0.2">
      <c r="AF20793" s="679"/>
    </row>
    <row r="20794" spans="32:32" x14ac:dyDescent="0.2">
      <c r="AF20794" s="679"/>
    </row>
    <row r="20795" spans="32:32" x14ac:dyDescent="0.2">
      <c r="AF20795" s="679"/>
    </row>
    <row r="20796" spans="32:32" x14ac:dyDescent="0.2">
      <c r="AF20796" s="679"/>
    </row>
    <row r="20797" spans="32:32" x14ac:dyDescent="0.2">
      <c r="AF20797" s="679"/>
    </row>
    <row r="20798" spans="32:32" x14ac:dyDescent="0.2">
      <c r="AF20798" s="679"/>
    </row>
    <row r="20799" spans="32:32" x14ac:dyDescent="0.2">
      <c r="AF20799" s="679"/>
    </row>
    <row r="20800" spans="32:32" x14ac:dyDescent="0.2">
      <c r="AF20800" s="679"/>
    </row>
    <row r="20801" spans="32:32" x14ac:dyDescent="0.2">
      <c r="AF20801" s="679"/>
    </row>
    <row r="20802" spans="32:32" x14ac:dyDescent="0.2">
      <c r="AF20802" s="679"/>
    </row>
    <row r="20803" spans="32:32" x14ac:dyDescent="0.2">
      <c r="AF20803" s="679"/>
    </row>
    <row r="20804" spans="32:32" x14ac:dyDescent="0.2">
      <c r="AF20804" s="679"/>
    </row>
    <row r="20805" spans="32:32" x14ac:dyDescent="0.2">
      <c r="AF20805" s="679"/>
    </row>
    <row r="20806" spans="32:32" x14ac:dyDescent="0.2">
      <c r="AF20806" s="679"/>
    </row>
    <row r="20807" spans="32:32" x14ac:dyDescent="0.2">
      <c r="AF20807" s="679"/>
    </row>
    <row r="20808" spans="32:32" x14ac:dyDescent="0.2">
      <c r="AF20808" s="679"/>
    </row>
    <row r="20809" spans="32:32" x14ac:dyDescent="0.2">
      <c r="AF20809" s="679"/>
    </row>
    <row r="20810" spans="32:32" x14ac:dyDescent="0.2">
      <c r="AF20810" s="679"/>
    </row>
    <row r="20811" spans="32:32" x14ac:dyDescent="0.2">
      <c r="AF20811" s="679"/>
    </row>
    <row r="20812" spans="32:32" x14ac:dyDescent="0.2">
      <c r="AF20812" s="679"/>
    </row>
    <row r="20813" spans="32:32" x14ac:dyDescent="0.2">
      <c r="AF20813" s="679"/>
    </row>
    <row r="20814" spans="32:32" x14ac:dyDescent="0.2">
      <c r="AF20814" s="679"/>
    </row>
    <row r="20815" spans="32:32" x14ac:dyDescent="0.2">
      <c r="AF20815" s="679"/>
    </row>
    <row r="20816" spans="32:32" x14ac:dyDescent="0.2">
      <c r="AF20816" s="679"/>
    </row>
    <row r="20817" spans="32:32" x14ac:dyDescent="0.2">
      <c r="AF20817" s="679"/>
    </row>
    <row r="20818" spans="32:32" x14ac:dyDescent="0.2">
      <c r="AF20818" s="679"/>
    </row>
    <row r="20819" spans="32:32" x14ac:dyDescent="0.2">
      <c r="AF20819" s="679"/>
    </row>
    <row r="20820" spans="32:32" x14ac:dyDescent="0.2">
      <c r="AF20820" s="679"/>
    </row>
    <row r="20821" spans="32:32" x14ac:dyDescent="0.2">
      <c r="AF20821" s="679"/>
    </row>
    <row r="20822" spans="32:32" x14ac:dyDescent="0.2">
      <c r="AF20822" s="679"/>
    </row>
    <row r="20823" spans="32:32" x14ac:dyDescent="0.2">
      <c r="AF20823" s="679"/>
    </row>
    <row r="20824" spans="32:32" x14ac:dyDescent="0.2">
      <c r="AF20824" s="679"/>
    </row>
    <row r="20825" spans="32:32" x14ac:dyDescent="0.2">
      <c r="AF20825" s="679"/>
    </row>
    <row r="20826" spans="32:32" x14ac:dyDescent="0.2">
      <c r="AF20826" s="679"/>
    </row>
    <row r="20827" spans="32:32" x14ac:dyDescent="0.2">
      <c r="AF20827" s="679"/>
    </row>
    <row r="20828" spans="32:32" x14ac:dyDescent="0.2">
      <c r="AF20828" s="679"/>
    </row>
    <row r="20829" spans="32:32" x14ac:dyDescent="0.2">
      <c r="AF20829" s="679"/>
    </row>
    <row r="20830" spans="32:32" x14ac:dyDescent="0.2">
      <c r="AF20830" s="679"/>
    </row>
    <row r="20831" spans="32:32" x14ac:dyDescent="0.2">
      <c r="AF20831" s="679"/>
    </row>
    <row r="20832" spans="32:32" x14ac:dyDescent="0.2">
      <c r="AF20832" s="679"/>
    </row>
    <row r="20833" spans="32:32" x14ac:dyDescent="0.2">
      <c r="AF20833" s="679"/>
    </row>
    <row r="20834" spans="32:32" x14ac:dyDescent="0.2">
      <c r="AF20834" s="679"/>
    </row>
    <row r="20835" spans="32:32" x14ac:dyDescent="0.2">
      <c r="AF20835" s="679"/>
    </row>
    <row r="20836" spans="32:32" x14ac:dyDescent="0.2">
      <c r="AF20836" s="679"/>
    </row>
    <row r="20837" spans="32:32" x14ac:dyDescent="0.2">
      <c r="AF20837" s="679"/>
    </row>
    <row r="20838" spans="32:32" x14ac:dyDescent="0.2">
      <c r="AF20838" s="679"/>
    </row>
    <row r="20839" spans="32:32" x14ac:dyDescent="0.2">
      <c r="AF20839" s="679"/>
    </row>
    <row r="20840" spans="32:32" x14ac:dyDescent="0.2">
      <c r="AF20840" s="679"/>
    </row>
    <row r="20841" spans="32:32" x14ac:dyDescent="0.2">
      <c r="AF20841" s="679"/>
    </row>
    <row r="20842" spans="32:32" x14ac:dyDescent="0.2">
      <c r="AF20842" s="679"/>
    </row>
    <row r="20843" spans="32:32" x14ac:dyDescent="0.2">
      <c r="AF20843" s="679"/>
    </row>
    <row r="20844" spans="32:32" x14ac:dyDescent="0.2">
      <c r="AF20844" s="679"/>
    </row>
    <row r="20845" spans="32:32" x14ac:dyDescent="0.2">
      <c r="AF20845" s="679"/>
    </row>
    <row r="20846" spans="32:32" x14ac:dyDescent="0.2">
      <c r="AF20846" s="679"/>
    </row>
    <row r="20847" spans="32:32" x14ac:dyDescent="0.2">
      <c r="AF20847" s="679"/>
    </row>
    <row r="20848" spans="32:32" x14ac:dyDescent="0.2">
      <c r="AF20848" s="679"/>
    </row>
    <row r="20849" spans="32:32" x14ac:dyDescent="0.2">
      <c r="AF20849" s="679"/>
    </row>
    <row r="20850" spans="32:32" x14ac:dyDescent="0.2">
      <c r="AF20850" s="679"/>
    </row>
    <row r="20851" spans="32:32" x14ac:dyDescent="0.2">
      <c r="AF20851" s="679"/>
    </row>
    <row r="20852" spans="32:32" x14ac:dyDescent="0.2">
      <c r="AF20852" s="679"/>
    </row>
    <row r="20853" spans="32:32" x14ac:dyDescent="0.2">
      <c r="AF20853" s="679"/>
    </row>
    <row r="20854" spans="32:32" x14ac:dyDescent="0.2">
      <c r="AF20854" s="679"/>
    </row>
    <row r="20855" spans="32:32" x14ac:dyDescent="0.2">
      <c r="AF20855" s="679"/>
    </row>
    <row r="20856" spans="32:32" x14ac:dyDescent="0.2">
      <c r="AF20856" s="679"/>
    </row>
    <row r="20857" spans="32:32" x14ac:dyDescent="0.2">
      <c r="AF20857" s="679"/>
    </row>
    <row r="20858" spans="32:32" x14ac:dyDescent="0.2">
      <c r="AF20858" s="679"/>
    </row>
    <row r="20859" spans="32:32" x14ac:dyDescent="0.2">
      <c r="AF20859" s="679"/>
    </row>
    <row r="20860" spans="32:32" x14ac:dyDescent="0.2">
      <c r="AF20860" s="679"/>
    </row>
    <row r="20861" spans="32:32" x14ac:dyDescent="0.2">
      <c r="AF20861" s="679"/>
    </row>
    <row r="20862" spans="32:32" x14ac:dyDescent="0.2">
      <c r="AF20862" s="679"/>
    </row>
    <row r="20863" spans="32:32" x14ac:dyDescent="0.2">
      <c r="AF20863" s="679"/>
    </row>
    <row r="20864" spans="32:32" x14ac:dyDescent="0.2">
      <c r="AF20864" s="679"/>
    </row>
    <row r="20865" spans="32:32" x14ac:dyDescent="0.2">
      <c r="AF20865" s="679"/>
    </row>
    <row r="20866" spans="32:32" x14ac:dyDescent="0.2">
      <c r="AF20866" s="679"/>
    </row>
    <row r="20867" spans="32:32" x14ac:dyDescent="0.2">
      <c r="AF20867" s="679"/>
    </row>
    <row r="20868" spans="32:32" x14ac:dyDescent="0.2">
      <c r="AF20868" s="679"/>
    </row>
    <row r="20869" spans="32:32" x14ac:dyDescent="0.2">
      <c r="AF20869" s="679"/>
    </row>
    <row r="20870" spans="32:32" x14ac:dyDescent="0.2">
      <c r="AF20870" s="679"/>
    </row>
    <row r="20871" spans="32:32" x14ac:dyDescent="0.2">
      <c r="AF20871" s="679"/>
    </row>
    <row r="20872" spans="32:32" x14ac:dyDescent="0.2">
      <c r="AF20872" s="679"/>
    </row>
    <row r="20873" spans="32:32" x14ac:dyDescent="0.2">
      <c r="AF20873" s="679"/>
    </row>
    <row r="20874" spans="32:32" x14ac:dyDescent="0.2">
      <c r="AF20874" s="679"/>
    </row>
    <row r="20875" spans="32:32" x14ac:dyDescent="0.2">
      <c r="AF20875" s="679"/>
    </row>
    <row r="20876" spans="32:32" x14ac:dyDescent="0.2">
      <c r="AF20876" s="679"/>
    </row>
    <row r="20877" spans="32:32" x14ac:dyDescent="0.2">
      <c r="AF20877" s="679"/>
    </row>
    <row r="20878" spans="32:32" x14ac:dyDescent="0.2">
      <c r="AF20878" s="679"/>
    </row>
    <row r="20879" spans="32:32" x14ac:dyDescent="0.2">
      <c r="AF20879" s="679"/>
    </row>
    <row r="20880" spans="32:32" x14ac:dyDescent="0.2">
      <c r="AF20880" s="679"/>
    </row>
    <row r="20881" spans="32:32" x14ac:dyDescent="0.2">
      <c r="AF20881" s="679"/>
    </row>
    <row r="20882" spans="32:32" x14ac:dyDescent="0.2">
      <c r="AF20882" s="679"/>
    </row>
    <row r="20883" spans="32:32" x14ac:dyDescent="0.2">
      <c r="AF20883" s="679"/>
    </row>
    <row r="20884" spans="32:32" x14ac:dyDescent="0.2">
      <c r="AF20884" s="679"/>
    </row>
    <row r="20885" spans="32:32" x14ac:dyDescent="0.2">
      <c r="AF20885" s="679"/>
    </row>
    <row r="20886" spans="32:32" x14ac:dyDescent="0.2">
      <c r="AF20886" s="679"/>
    </row>
    <row r="20887" spans="32:32" x14ac:dyDescent="0.2">
      <c r="AF20887" s="679"/>
    </row>
    <row r="20888" spans="32:32" x14ac:dyDescent="0.2">
      <c r="AF20888" s="679"/>
    </row>
    <row r="20889" spans="32:32" x14ac:dyDescent="0.2">
      <c r="AF20889" s="679"/>
    </row>
    <row r="20890" spans="32:32" x14ac:dyDescent="0.2">
      <c r="AF20890" s="679"/>
    </row>
    <row r="20891" spans="32:32" x14ac:dyDescent="0.2">
      <c r="AF20891" s="679"/>
    </row>
    <row r="20892" spans="32:32" x14ac:dyDescent="0.2">
      <c r="AF20892" s="679"/>
    </row>
    <row r="20893" spans="32:32" x14ac:dyDescent="0.2">
      <c r="AF20893" s="679"/>
    </row>
    <row r="20894" spans="32:32" x14ac:dyDescent="0.2">
      <c r="AF20894" s="679"/>
    </row>
    <row r="20895" spans="32:32" x14ac:dyDescent="0.2">
      <c r="AF20895" s="679"/>
    </row>
    <row r="20896" spans="32:32" x14ac:dyDescent="0.2">
      <c r="AF20896" s="679"/>
    </row>
    <row r="20897" spans="32:32" x14ac:dyDescent="0.2">
      <c r="AF20897" s="679"/>
    </row>
    <row r="20898" spans="32:32" x14ac:dyDescent="0.2">
      <c r="AF20898" s="679"/>
    </row>
    <row r="20899" spans="32:32" x14ac:dyDescent="0.2">
      <c r="AF20899" s="679"/>
    </row>
    <row r="20900" spans="32:32" x14ac:dyDescent="0.2">
      <c r="AF20900" s="679"/>
    </row>
    <row r="20901" spans="32:32" x14ac:dyDescent="0.2">
      <c r="AF20901" s="679"/>
    </row>
    <row r="20902" spans="32:32" x14ac:dyDescent="0.2">
      <c r="AF20902" s="679"/>
    </row>
    <row r="20903" spans="32:32" x14ac:dyDescent="0.2">
      <c r="AF20903" s="679"/>
    </row>
    <row r="20904" spans="32:32" x14ac:dyDescent="0.2">
      <c r="AF20904" s="679"/>
    </row>
    <row r="20905" spans="32:32" x14ac:dyDescent="0.2">
      <c r="AF20905" s="679"/>
    </row>
    <row r="20906" spans="32:32" x14ac:dyDescent="0.2">
      <c r="AF20906" s="679"/>
    </row>
    <row r="20907" spans="32:32" x14ac:dyDescent="0.2">
      <c r="AF20907" s="679"/>
    </row>
    <row r="20908" spans="32:32" x14ac:dyDescent="0.2">
      <c r="AF20908" s="679"/>
    </row>
    <row r="20909" spans="32:32" x14ac:dyDescent="0.2">
      <c r="AF20909" s="679"/>
    </row>
    <row r="20910" spans="32:32" x14ac:dyDescent="0.2">
      <c r="AF20910" s="679"/>
    </row>
    <row r="20911" spans="32:32" x14ac:dyDescent="0.2">
      <c r="AF20911" s="679"/>
    </row>
    <row r="20912" spans="32:32" x14ac:dyDescent="0.2">
      <c r="AF20912" s="679"/>
    </row>
    <row r="20913" spans="32:32" x14ac:dyDescent="0.2">
      <c r="AF20913" s="679"/>
    </row>
    <row r="20914" spans="32:32" x14ac:dyDescent="0.2">
      <c r="AF20914" s="679"/>
    </row>
    <row r="20915" spans="32:32" x14ac:dyDescent="0.2">
      <c r="AF20915" s="679"/>
    </row>
    <row r="20916" spans="32:32" x14ac:dyDescent="0.2">
      <c r="AF20916" s="679"/>
    </row>
    <row r="20917" spans="32:32" x14ac:dyDescent="0.2">
      <c r="AF20917" s="679"/>
    </row>
    <row r="20918" spans="32:32" x14ac:dyDescent="0.2">
      <c r="AF20918" s="679"/>
    </row>
    <row r="20919" spans="32:32" x14ac:dyDescent="0.2">
      <c r="AF20919" s="679"/>
    </row>
    <row r="20920" spans="32:32" x14ac:dyDescent="0.2">
      <c r="AF20920" s="679"/>
    </row>
    <row r="20921" spans="32:32" x14ac:dyDescent="0.2">
      <c r="AF20921" s="679"/>
    </row>
    <row r="20922" spans="32:32" x14ac:dyDescent="0.2">
      <c r="AF20922" s="679"/>
    </row>
    <row r="20923" spans="32:32" x14ac:dyDescent="0.2">
      <c r="AF20923" s="679"/>
    </row>
    <row r="20924" spans="32:32" x14ac:dyDescent="0.2">
      <c r="AF20924" s="679"/>
    </row>
    <row r="20925" spans="32:32" x14ac:dyDescent="0.2">
      <c r="AF20925" s="679"/>
    </row>
    <row r="20926" spans="32:32" x14ac:dyDescent="0.2">
      <c r="AF20926" s="679"/>
    </row>
    <row r="20927" spans="32:32" x14ac:dyDescent="0.2">
      <c r="AF20927" s="679"/>
    </row>
    <row r="20928" spans="32:32" x14ac:dyDescent="0.2">
      <c r="AF20928" s="679"/>
    </row>
    <row r="20929" spans="32:32" x14ac:dyDescent="0.2">
      <c r="AF20929" s="679"/>
    </row>
    <row r="20930" spans="32:32" x14ac:dyDescent="0.2">
      <c r="AF20930" s="679"/>
    </row>
    <row r="20931" spans="32:32" x14ac:dyDescent="0.2">
      <c r="AF20931" s="679"/>
    </row>
    <row r="20932" spans="32:32" x14ac:dyDescent="0.2">
      <c r="AF20932" s="679"/>
    </row>
    <row r="20933" spans="32:32" x14ac:dyDescent="0.2">
      <c r="AF20933" s="679"/>
    </row>
    <row r="20934" spans="32:32" x14ac:dyDescent="0.2">
      <c r="AF20934" s="679"/>
    </row>
    <row r="20935" spans="32:32" x14ac:dyDescent="0.2">
      <c r="AF20935" s="679"/>
    </row>
    <row r="20936" spans="32:32" x14ac:dyDescent="0.2">
      <c r="AF20936" s="679"/>
    </row>
    <row r="20937" spans="32:32" x14ac:dyDescent="0.2">
      <c r="AF20937" s="679"/>
    </row>
    <row r="20938" spans="32:32" x14ac:dyDescent="0.2">
      <c r="AF20938" s="679"/>
    </row>
    <row r="20939" spans="32:32" x14ac:dyDescent="0.2">
      <c r="AF20939" s="679"/>
    </row>
    <row r="20940" spans="32:32" x14ac:dyDescent="0.2">
      <c r="AF20940" s="679"/>
    </row>
    <row r="20941" spans="32:32" x14ac:dyDescent="0.2">
      <c r="AF20941" s="679"/>
    </row>
    <row r="20942" spans="32:32" x14ac:dyDescent="0.2">
      <c r="AF20942" s="679"/>
    </row>
    <row r="20943" spans="32:32" x14ac:dyDescent="0.2">
      <c r="AF20943" s="679"/>
    </row>
    <row r="20944" spans="32:32" x14ac:dyDescent="0.2">
      <c r="AF20944" s="679"/>
    </row>
    <row r="20945" spans="32:32" x14ac:dyDescent="0.2">
      <c r="AF20945" s="679"/>
    </row>
    <row r="20946" spans="32:32" x14ac:dyDescent="0.2">
      <c r="AF20946" s="679"/>
    </row>
    <row r="20947" spans="32:32" x14ac:dyDescent="0.2">
      <c r="AF20947" s="679"/>
    </row>
    <row r="20948" spans="32:32" x14ac:dyDescent="0.2">
      <c r="AF20948" s="679"/>
    </row>
    <row r="20949" spans="32:32" x14ac:dyDescent="0.2">
      <c r="AF20949" s="679"/>
    </row>
    <row r="20950" spans="32:32" x14ac:dyDescent="0.2">
      <c r="AF20950" s="679"/>
    </row>
    <row r="20951" spans="32:32" x14ac:dyDescent="0.2">
      <c r="AF20951" s="679"/>
    </row>
    <row r="20952" spans="32:32" x14ac:dyDescent="0.2">
      <c r="AF20952" s="679"/>
    </row>
    <row r="20953" spans="32:32" x14ac:dyDescent="0.2">
      <c r="AF20953" s="679"/>
    </row>
    <row r="20954" spans="32:32" x14ac:dyDescent="0.2">
      <c r="AF20954" s="679"/>
    </row>
    <row r="20955" spans="32:32" x14ac:dyDescent="0.2">
      <c r="AF20955" s="679"/>
    </row>
    <row r="20956" spans="32:32" x14ac:dyDescent="0.2">
      <c r="AF20956" s="679"/>
    </row>
    <row r="20957" spans="32:32" x14ac:dyDescent="0.2">
      <c r="AF20957" s="679"/>
    </row>
    <row r="20958" spans="32:32" x14ac:dyDescent="0.2">
      <c r="AF20958" s="679"/>
    </row>
    <row r="20959" spans="32:32" x14ac:dyDescent="0.2">
      <c r="AF20959" s="679"/>
    </row>
    <row r="20960" spans="32:32" x14ac:dyDescent="0.2">
      <c r="AF20960" s="679"/>
    </row>
    <row r="20961" spans="32:32" x14ac:dyDescent="0.2">
      <c r="AF20961" s="679"/>
    </row>
    <row r="20962" spans="32:32" x14ac:dyDescent="0.2">
      <c r="AF20962" s="679"/>
    </row>
    <row r="20963" spans="32:32" x14ac:dyDescent="0.2">
      <c r="AF20963" s="679"/>
    </row>
    <row r="20964" spans="32:32" x14ac:dyDescent="0.2">
      <c r="AF20964" s="679"/>
    </row>
    <row r="20965" spans="32:32" x14ac:dyDescent="0.2">
      <c r="AF20965" s="679"/>
    </row>
    <row r="20966" spans="32:32" x14ac:dyDescent="0.2">
      <c r="AF20966" s="679"/>
    </row>
    <row r="20967" spans="32:32" x14ac:dyDescent="0.2">
      <c r="AF20967" s="679"/>
    </row>
    <row r="20968" spans="32:32" x14ac:dyDescent="0.2">
      <c r="AF20968" s="679"/>
    </row>
    <row r="20969" spans="32:32" x14ac:dyDescent="0.2">
      <c r="AF20969" s="679"/>
    </row>
    <row r="20970" spans="32:32" x14ac:dyDescent="0.2">
      <c r="AF20970" s="679"/>
    </row>
    <row r="20971" spans="32:32" x14ac:dyDescent="0.2">
      <c r="AF20971" s="679"/>
    </row>
    <row r="20972" spans="32:32" x14ac:dyDescent="0.2">
      <c r="AF20972" s="679"/>
    </row>
    <row r="20973" spans="32:32" x14ac:dyDescent="0.2">
      <c r="AF20973" s="679"/>
    </row>
    <row r="20974" spans="32:32" x14ac:dyDescent="0.2">
      <c r="AF20974" s="679"/>
    </row>
    <row r="20975" spans="32:32" x14ac:dyDescent="0.2">
      <c r="AF20975" s="679"/>
    </row>
    <row r="20976" spans="32:32" x14ac:dyDescent="0.2">
      <c r="AF20976" s="679"/>
    </row>
    <row r="20977" spans="32:32" x14ac:dyDescent="0.2">
      <c r="AF20977" s="679"/>
    </row>
    <row r="20978" spans="32:32" x14ac:dyDescent="0.2">
      <c r="AF20978" s="679"/>
    </row>
    <row r="20979" spans="32:32" x14ac:dyDescent="0.2">
      <c r="AF20979" s="679"/>
    </row>
    <row r="20980" spans="32:32" x14ac:dyDescent="0.2">
      <c r="AF20980" s="679"/>
    </row>
    <row r="20981" spans="32:32" x14ac:dyDescent="0.2">
      <c r="AF20981" s="679"/>
    </row>
    <row r="20982" spans="32:32" x14ac:dyDescent="0.2">
      <c r="AF20982" s="679"/>
    </row>
    <row r="20983" spans="32:32" x14ac:dyDescent="0.2">
      <c r="AF20983" s="679"/>
    </row>
    <row r="20984" spans="32:32" x14ac:dyDescent="0.2">
      <c r="AF20984" s="679"/>
    </row>
    <row r="20985" spans="32:32" x14ac:dyDescent="0.2">
      <c r="AF20985" s="679"/>
    </row>
    <row r="20986" spans="32:32" x14ac:dyDescent="0.2">
      <c r="AF20986" s="679"/>
    </row>
    <row r="20987" spans="32:32" x14ac:dyDescent="0.2">
      <c r="AF20987" s="679"/>
    </row>
    <row r="20988" spans="32:32" x14ac:dyDescent="0.2">
      <c r="AF20988" s="679"/>
    </row>
    <row r="20989" spans="32:32" x14ac:dyDescent="0.2">
      <c r="AF20989" s="679"/>
    </row>
    <row r="20990" spans="32:32" x14ac:dyDescent="0.2">
      <c r="AF20990" s="679"/>
    </row>
    <row r="20991" spans="32:32" x14ac:dyDescent="0.2">
      <c r="AF20991" s="679"/>
    </row>
    <row r="20992" spans="32:32" x14ac:dyDescent="0.2">
      <c r="AF20992" s="679"/>
    </row>
    <row r="20993" spans="32:32" x14ac:dyDescent="0.2">
      <c r="AF20993" s="679"/>
    </row>
    <row r="20994" spans="32:32" x14ac:dyDescent="0.2">
      <c r="AF20994" s="679"/>
    </row>
    <row r="20995" spans="32:32" x14ac:dyDescent="0.2">
      <c r="AF20995" s="679"/>
    </row>
    <row r="20996" spans="32:32" x14ac:dyDescent="0.2">
      <c r="AF20996" s="679"/>
    </row>
    <row r="20997" spans="32:32" x14ac:dyDescent="0.2">
      <c r="AF20997" s="679"/>
    </row>
    <row r="20998" spans="32:32" x14ac:dyDescent="0.2">
      <c r="AF20998" s="679"/>
    </row>
    <row r="20999" spans="32:32" x14ac:dyDescent="0.2">
      <c r="AF20999" s="679"/>
    </row>
    <row r="21000" spans="32:32" x14ac:dyDescent="0.2">
      <c r="AF21000" s="679"/>
    </row>
    <row r="21001" spans="32:32" x14ac:dyDescent="0.2">
      <c r="AF21001" s="679"/>
    </row>
    <row r="21002" spans="32:32" x14ac:dyDescent="0.2">
      <c r="AF21002" s="679"/>
    </row>
    <row r="21003" spans="32:32" x14ac:dyDescent="0.2">
      <c r="AF21003" s="679"/>
    </row>
    <row r="21004" spans="32:32" x14ac:dyDescent="0.2">
      <c r="AF21004" s="679"/>
    </row>
    <row r="21005" spans="32:32" x14ac:dyDescent="0.2">
      <c r="AF21005" s="679"/>
    </row>
    <row r="21006" spans="32:32" x14ac:dyDescent="0.2">
      <c r="AF21006" s="679"/>
    </row>
    <row r="21007" spans="32:32" x14ac:dyDescent="0.2">
      <c r="AF21007" s="679"/>
    </row>
    <row r="21008" spans="32:32" x14ac:dyDescent="0.2">
      <c r="AF21008" s="679"/>
    </row>
    <row r="21009" spans="32:32" x14ac:dyDescent="0.2">
      <c r="AF21009" s="679"/>
    </row>
    <row r="21010" spans="32:32" x14ac:dyDescent="0.2">
      <c r="AF21010" s="679"/>
    </row>
    <row r="21011" spans="32:32" x14ac:dyDescent="0.2">
      <c r="AF21011" s="679"/>
    </row>
    <row r="21012" spans="32:32" x14ac:dyDescent="0.2">
      <c r="AF21012" s="679"/>
    </row>
    <row r="21013" spans="32:32" x14ac:dyDescent="0.2">
      <c r="AF21013" s="679"/>
    </row>
    <row r="21014" spans="32:32" x14ac:dyDescent="0.2">
      <c r="AF21014" s="679"/>
    </row>
    <row r="21015" spans="32:32" x14ac:dyDescent="0.2">
      <c r="AF21015" s="679"/>
    </row>
    <row r="21016" spans="32:32" x14ac:dyDescent="0.2">
      <c r="AF21016" s="679"/>
    </row>
    <row r="21017" spans="32:32" x14ac:dyDescent="0.2">
      <c r="AF21017" s="679"/>
    </row>
    <row r="21018" spans="32:32" x14ac:dyDescent="0.2">
      <c r="AF21018" s="679"/>
    </row>
    <row r="21019" spans="32:32" x14ac:dyDescent="0.2">
      <c r="AF21019" s="679"/>
    </row>
    <row r="21020" spans="32:32" x14ac:dyDescent="0.2">
      <c r="AF21020" s="679"/>
    </row>
    <row r="21021" spans="32:32" x14ac:dyDescent="0.2">
      <c r="AF21021" s="679"/>
    </row>
    <row r="21022" spans="32:32" x14ac:dyDescent="0.2">
      <c r="AF21022" s="679"/>
    </row>
    <row r="21023" spans="32:32" x14ac:dyDescent="0.2">
      <c r="AF21023" s="679"/>
    </row>
    <row r="21024" spans="32:32" x14ac:dyDescent="0.2">
      <c r="AF21024" s="679"/>
    </row>
    <row r="21025" spans="32:32" x14ac:dyDescent="0.2">
      <c r="AF21025" s="679"/>
    </row>
    <row r="21026" spans="32:32" x14ac:dyDescent="0.2">
      <c r="AF21026" s="679"/>
    </row>
    <row r="21027" spans="32:32" x14ac:dyDescent="0.2">
      <c r="AF21027" s="679"/>
    </row>
    <row r="21028" spans="32:32" x14ac:dyDescent="0.2">
      <c r="AF21028" s="679"/>
    </row>
    <row r="21029" spans="32:32" x14ac:dyDescent="0.2">
      <c r="AF21029" s="679"/>
    </row>
    <row r="21030" spans="32:32" x14ac:dyDescent="0.2">
      <c r="AF21030" s="679"/>
    </row>
    <row r="21031" spans="32:32" x14ac:dyDescent="0.2">
      <c r="AF21031" s="679"/>
    </row>
    <row r="21032" spans="32:32" x14ac:dyDescent="0.2">
      <c r="AF21032" s="679"/>
    </row>
    <row r="21033" spans="32:32" x14ac:dyDescent="0.2">
      <c r="AF21033" s="679"/>
    </row>
    <row r="21034" spans="32:32" x14ac:dyDescent="0.2">
      <c r="AF21034" s="679"/>
    </row>
    <row r="21035" spans="32:32" x14ac:dyDescent="0.2">
      <c r="AF21035" s="679"/>
    </row>
    <row r="21036" spans="32:32" x14ac:dyDescent="0.2">
      <c r="AF21036" s="679"/>
    </row>
    <row r="21037" spans="32:32" x14ac:dyDescent="0.2">
      <c r="AF21037" s="679"/>
    </row>
    <row r="21038" spans="32:32" x14ac:dyDescent="0.2">
      <c r="AF21038" s="679"/>
    </row>
    <row r="21039" spans="32:32" x14ac:dyDescent="0.2">
      <c r="AF21039" s="679"/>
    </row>
    <row r="21040" spans="32:32" x14ac:dyDescent="0.2">
      <c r="AF21040" s="679"/>
    </row>
    <row r="21041" spans="32:32" x14ac:dyDescent="0.2">
      <c r="AF21041" s="679"/>
    </row>
    <row r="21042" spans="32:32" x14ac:dyDescent="0.2">
      <c r="AF21042" s="679"/>
    </row>
    <row r="21043" spans="32:32" x14ac:dyDescent="0.2">
      <c r="AF21043" s="679"/>
    </row>
    <row r="21044" spans="32:32" x14ac:dyDescent="0.2">
      <c r="AF21044" s="679"/>
    </row>
    <row r="21045" spans="32:32" x14ac:dyDescent="0.2">
      <c r="AF21045" s="679"/>
    </row>
    <row r="21046" spans="32:32" x14ac:dyDescent="0.2">
      <c r="AF21046" s="679"/>
    </row>
    <row r="21047" spans="32:32" x14ac:dyDescent="0.2">
      <c r="AF21047" s="679"/>
    </row>
    <row r="21048" spans="32:32" x14ac:dyDescent="0.2">
      <c r="AF21048" s="679"/>
    </row>
    <row r="21049" spans="32:32" x14ac:dyDescent="0.2">
      <c r="AF21049" s="679"/>
    </row>
    <row r="21050" spans="32:32" x14ac:dyDescent="0.2">
      <c r="AF21050" s="679"/>
    </row>
    <row r="21051" spans="32:32" x14ac:dyDescent="0.2">
      <c r="AF21051" s="679"/>
    </row>
    <row r="21052" spans="32:32" x14ac:dyDescent="0.2">
      <c r="AF21052" s="679"/>
    </row>
    <row r="21053" spans="32:32" x14ac:dyDescent="0.2">
      <c r="AF21053" s="679"/>
    </row>
    <row r="21054" spans="32:32" x14ac:dyDescent="0.2">
      <c r="AF21054" s="679"/>
    </row>
    <row r="21055" spans="32:32" x14ac:dyDescent="0.2">
      <c r="AF21055" s="679"/>
    </row>
    <row r="21056" spans="32:32" x14ac:dyDescent="0.2">
      <c r="AF21056" s="679"/>
    </row>
    <row r="21057" spans="32:32" x14ac:dyDescent="0.2">
      <c r="AF21057" s="679"/>
    </row>
    <row r="21058" spans="32:32" x14ac:dyDescent="0.2">
      <c r="AF21058" s="679"/>
    </row>
    <row r="21059" spans="32:32" x14ac:dyDescent="0.2">
      <c r="AF21059" s="679"/>
    </row>
    <row r="21060" spans="32:32" x14ac:dyDescent="0.2">
      <c r="AF21060" s="679"/>
    </row>
    <row r="21061" spans="32:32" x14ac:dyDescent="0.2">
      <c r="AF21061" s="679"/>
    </row>
    <row r="21062" spans="32:32" x14ac:dyDescent="0.2">
      <c r="AF21062" s="679"/>
    </row>
    <row r="21063" spans="32:32" x14ac:dyDescent="0.2">
      <c r="AF21063" s="679"/>
    </row>
    <row r="21064" spans="32:32" x14ac:dyDescent="0.2">
      <c r="AF21064" s="679"/>
    </row>
    <row r="21065" spans="32:32" x14ac:dyDescent="0.2">
      <c r="AF21065" s="679"/>
    </row>
    <row r="21066" spans="32:32" x14ac:dyDescent="0.2">
      <c r="AF21066" s="679"/>
    </row>
    <row r="21067" spans="32:32" x14ac:dyDescent="0.2">
      <c r="AF21067" s="679"/>
    </row>
    <row r="21068" spans="32:32" x14ac:dyDescent="0.2">
      <c r="AF21068" s="679"/>
    </row>
    <row r="21069" spans="32:32" x14ac:dyDescent="0.2">
      <c r="AF21069" s="679"/>
    </row>
    <row r="21070" spans="32:32" x14ac:dyDescent="0.2">
      <c r="AF21070" s="679"/>
    </row>
    <row r="21071" spans="32:32" x14ac:dyDescent="0.2">
      <c r="AF21071" s="679"/>
    </row>
    <row r="21072" spans="32:32" x14ac:dyDescent="0.2">
      <c r="AF21072" s="679"/>
    </row>
    <row r="21073" spans="32:32" x14ac:dyDescent="0.2">
      <c r="AF21073" s="679"/>
    </row>
    <row r="21074" spans="32:32" x14ac:dyDescent="0.2">
      <c r="AF21074" s="679"/>
    </row>
    <row r="21075" spans="32:32" x14ac:dyDescent="0.2">
      <c r="AF21075" s="679"/>
    </row>
    <row r="21076" spans="32:32" x14ac:dyDescent="0.2">
      <c r="AF21076" s="679"/>
    </row>
    <row r="21077" spans="32:32" x14ac:dyDescent="0.2">
      <c r="AF21077" s="679"/>
    </row>
    <row r="21078" spans="32:32" x14ac:dyDescent="0.2">
      <c r="AF21078" s="679"/>
    </row>
    <row r="21079" spans="32:32" x14ac:dyDescent="0.2">
      <c r="AF21079" s="679"/>
    </row>
    <row r="21080" spans="32:32" x14ac:dyDescent="0.2">
      <c r="AF21080" s="679"/>
    </row>
    <row r="21081" spans="32:32" x14ac:dyDescent="0.2">
      <c r="AF21081" s="679"/>
    </row>
    <row r="21082" spans="32:32" x14ac:dyDescent="0.2">
      <c r="AF21082" s="679"/>
    </row>
    <row r="21083" spans="32:32" x14ac:dyDescent="0.2">
      <c r="AF21083" s="679"/>
    </row>
    <row r="21084" spans="32:32" x14ac:dyDescent="0.2">
      <c r="AF21084" s="679"/>
    </row>
    <row r="21085" spans="32:32" x14ac:dyDescent="0.2">
      <c r="AF21085" s="679"/>
    </row>
    <row r="21086" spans="32:32" x14ac:dyDescent="0.2">
      <c r="AF21086" s="679"/>
    </row>
    <row r="21087" spans="32:32" x14ac:dyDescent="0.2">
      <c r="AF21087" s="679"/>
    </row>
    <row r="21088" spans="32:32" x14ac:dyDescent="0.2">
      <c r="AF21088" s="679"/>
    </row>
    <row r="21089" spans="32:32" x14ac:dyDescent="0.2">
      <c r="AF21089" s="679"/>
    </row>
    <row r="21090" spans="32:32" x14ac:dyDescent="0.2">
      <c r="AF21090" s="679"/>
    </row>
    <row r="21091" spans="32:32" x14ac:dyDescent="0.2">
      <c r="AF21091" s="679"/>
    </row>
    <row r="21092" spans="32:32" x14ac:dyDescent="0.2">
      <c r="AF21092" s="679"/>
    </row>
    <row r="21093" spans="32:32" x14ac:dyDescent="0.2">
      <c r="AF21093" s="679"/>
    </row>
    <row r="21094" spans="32:32" x14ac:dyDescent="0.2">
      <c r="AF21094" s="679"/>
    </row>
    <row r="21095" spans="32:32" x14ac:dyDescent="0.2">
      <c r="AF21095" s="679"/>
    </row>
    <row r="21096" spans="32:32" x14ac:dyDescent="0.2">
      <c r="AF21096" s="679"/>
    </row>
    <row r="21097" spans="32:32" x14ac:dyDescent="0.2">
      <c r="AF21097" s="679"/>
    </row>
    <row r="21098" spans="32:32" x14ac:dyDescent="0.2">
      <c r="AF21098" s="679"/>
    </row>
    <row r="21099" spans="32:32" x14ac:dyDescent="0.2">
      <c r="AF21099" s="679"/>
    </row>
    <row r="21100" spans="32:32" x14ac:dyDescent="0.2">
      <c r="AF21100" s="679"/>
    </row>
    <row r="21101" spans="32:32" x14ac:dyDescent="0.2">
      <c r="AF21101" s="679"/>
    </row>
    <row r="21102" spans="32:32" x14ac:dyDescent="0.2">
      <c r="AF21102" s="679"/>
    </row>
    <row r="21103" spans="32:32" x14ac:dyDescent="0.2">
      <c r="AF21103" s="679"/>
    </row>
    <row r="21104" spans="32:32" x14ac:dyDescent="0.2">
      <c r="AF21104" s="679"/>
    </row>
    <row r="21105" spans="32:32" x14ac:dyDescent="0.2">
      <c r="AF21105" s="679"/>
    </row>
    <row r="21106" spans="32:32" x14ac:dyDescent="0.2">
      <c r="AF21106" s="679"/>
    </row>
    <row r="21107" spans="32:32" x14ac:dyDescent="0.2">
      <c r="AF21107" s="679"/>
    </row>
    <row r="21108" spans="32:32" x14ac:dyDescent="0.2">
      <c r="AF21108" s="679"/>
    </row>
    <row r="21109" spans="32:32" x14ac:dyDescent="0.2">
      <c r="AF21109" s="679"/>
    </row>
    <row r="21110" spans="32:32" x14ac:dyDescent="0.2">
      <c r="AF21110" s="679"/>
    </row>
    <row r="21111" spans="32:32" x14ac:dyDescent="0.2">
      <c r="AF21111" s="679"/>
    </row>
    <row r="21112" spans="32:32" x14ac:dyDescent="0.2">
      <c r="AF21112" s="679"/>
    </row>
    <row r="21113" spans="32:32" x14ac:dyDescent="0.2">
      <c r="AF21113" s="679"/>
    </row>
    <row r="21114" spans="32:32" x14ac:dyDescent="0.2">
      <c r="AF21114" s="679"/>
    </row>
    <row r="21115" spans="32:32" x14ac:dyDescent="0.2">
      <c r="AF21115" s="679"/>
    </row>
    <row r="21116" spans="32:32" x14ac:dyDescent="0.2">
      <c r="AF21116" s="679"/>
    </row>
    <row r="21117" spans="32:32" x14ac:dyDescent="0.2">
      <c r="AF21117" s="679"/>
    </row>
    <row r="21118" spans="32:32" x14ac:dyDescent="0.2">
      <c r="AF21118" s="679"/>
    </row>
    <row r="21119" spans="32:32" x14ac:dyDescent="0.2">
      <c r="AF21119" s="679"/>
    </row>
    <row r="21120" spans="32:32" x14ac:dyDescent="0.2">
      <c r="AF21120" s="679"/>
    </row>
    <row r="21121" spans="32:32" x14ac:dyDescent="0.2">
      <c r="AF21121" s="679"/>
    </row>
    <row r="21122" spans="32:32" x14ac:dyDescent="0.2">
      <c r="AF21122" s="679"/>
    </row>
    <row r="21123" spans="32:32" x14ac:dyDescent="0.2">
      <c r="AF21123" s="679"/>
    </row>
    <row r="21124" spans="32:32" x14ac:dyDescent="0.2">
      <c r="AF21124" s="679"/>
    </row>
    <row r="21125" spans="32:32" x14ac:dyDescent="0.2">
      <c r="AF21125" s="679"/>
    </row>
    <row r="21126" spans="32:32" x14ac:dyDescent="0.2">
      <c r="AF21126" s="679"/>
    </row>
    <row r="21127" spans="32:32" x14ac:dyDescent="0.2">
      <c r="AF21127" s="679"/>
    </row>
    <row r="21128" spans="32:32" x14ac:dyDescent="0.2">
      <c r="AF21128" s="679"/>
    </row>
    <row r="21129" spans="32:32" x14ac:dyDescent="0.2">
      <c r="AF21129" s="679"/>
    </row>
    <row r="21130" spans="32:32" x14ac:dyDescent="0.2">
      <c r="AF21130" s="679"/>
    </row>
    <row r="21131" spans="32:32" x14ac:dyDescent="0.2">
      <c r="AF21131" s="679"/>
    </row>
    <row r="21132" spans="32:32" x14ac:dyDescent="0.2">
      <c r="AF21132" s="679"/>
    </row>
    <row r="21133" spans="32:32" x14ac:dyDescent="0.2">
      <c r="AF21133" s="679"/>
    </row>
    <row r="21134" spans="32:32" x14ac:dyDescent="0.2">
      <c r="AF21134" s="679"/>
    </row>
    <row r="21135" spans="32:32" x14ac:dyDescent="0.2">
      <c r="AF21135" s="679"/>
    </row>
    <row r="21136" spans="32:32" x14ac:dyDescent="0.2">
      <c r="AF21136" s="679"/>
    </row>
    <row r="21137" spans="32:32" x14ac:dyDescent="0.2">
      <c r="AF21137" s="679"/>
    </row>
    <row r="21138" spans="32:32" x14ac:dyDescent="0.2">
      <c r="AF21138" s="679"/>
    </row>
    <row r="21139" spans="32:32" x14ac:dyDescent="0.2">
      <c r="AF21139" s="679"/>
    </row>
    <row r="21140" spans="32:32" x14ac:dyDescent="0.2">
      <c r="AF21140" s="679"/>
    </row>
    <row r="21141" spans="32:32" x14ac:dyDescent="0.2">
      <c r="AF21141" s="679"/>
    </row>
    <row r="21142" spans="32:32" x14ac:dyDescent="0.2">
      <c r="AF21142" s="679"/>
    </row>
    <row r="21143" spans="32:32" x14ac:dyDescent="0.2">
      <c r="AF21143" s="679"/>
    </row>
    <row r="21144" spans="32:32" x14ac:dyDescent="0.2">
      <c r="AF21144" s="679"/>
    </row>
    <row r="21145" spans="32:32" x14ac:dyDescent="0.2">
      <c r="AF21145" s="679"/>
    </row>
    <row r="21146" spans="32:32" x14ac:dyDescent="0.2">
      <c r="AF21146" s="679"/>
    </row>
    <row r="21147" spans="32:32" x14ac:dyDescent="0.2">
      <c r="AF21147" s="679"/>
    </row>
    <row r="21148" spans="32:32" x14ac:dyDescent="0.2">
      <c r="AF21148" s="679"/>
    </row>
    <row r="21149" spans="32:32" x14ac:dyDescent="0.2">
      <c r="AF21149" s="679"/>
    </row>
    <row r="21150" spans="32:32" x14ac:dyDescent="0.2">
      <c r="AF21150" s="679"/>
    </row>
    <row r="21151" spans="32:32" x14ac:dyDescent="0.2">
      <c r="AF21151" s="679"/>
    </row>
    <row r="21152" spans="32:32" x14ac:dyDescent="0.2">
      <c r="AF21152" s="679"/>
    </row>
    <row r="21153" spans="32:32" x14ac:dyDescent="0.2">
      <c r="AF21153" s="679"/>
    </row>
    <row r="21154" spans="32:32" x14ac:dyDescent="0.2">
      <c r="AF21154" s="679"/>
    </row>
    <row r="21155" spans="32:32" x14ac:dyDescent="0.2">
      <c r="AF21155" s="679"/>
    </row>
    <row r="21156" spans="32:32" x14ac:dyDescent="0.2">
      <c r="AF21156" s="679"/>
    </row>
    <row r="21157" spans="32:32" x14ac:dyDescent="0.2">
      <c r="AF21157" s="679"/>
    </row>
    <row r="21158" spans="32:32" x14ac:dyDescent="0.2">
      <c r="AF21158" s="679"/>
    </row>
    <row r="21159" spans="32:32" x14ac:dyDescent="0.2">
      <c r="AF21159" s="679"/>
    </row>
    <row r="21160" spans="32:32" x14ac:dyDescent="0.2">
      <c r="AF21160" s="679"/>
    </row>
    <row r="21161" spans="32:32" x14ac:dyDescent="0.2">
      <c r="AF21161" s="679"/>
    </row>
    <row r="21162" spans="32:32" x14ac:dyDescent="0.2">
      <c r="AF21162" s="679"/>
    </row>
    <row r="21163" spans="32:32" x14ac:dyDescent="0.2">
      <c r="AF21163" s="679"/>
    </row>
    <row r="21164" spans="32:32" x14ac:dyDescent="0.2">
      <c r="AF21164" s="679"/>
    </row>
    <row r="21165" spans="32:32" x14ac:dyDescent="0.2">
      <c r="AF21165" s="679"/>
    </row>
    <row r="21166" spans="32:32" x14ac:dyDescent="0.2">
      <c r="AF21166" s="679"/>
    </row>
    <row r="21167" spans="32:32" x14ac:dyDescent="0.2">
      <c r="AF21167" s="679"/>
    </row>
    <row r="21168" spans="32:32" x14ac:dyDescent="0.2">
      <c r="AF21168" s="679"/>
    </row>
    <row r="21169" spans="32:32" x14ac:dyDescent="0.2">
      <c r="AF21169" s="679"/>
    </row>
    <row r="21170" spans="32:32" x14ac:dyDescent="0.2">
      <c r="AF21170" s="679"/>
    </row>
    <row r="21171" spans="32:32" x14ac:dyDescent="0.2">
      <c r="AF21171" s="679"/>
    </row>
    <row r="21172" spans="32:32" x14ac:dyDescent="0.2">
      <c r="AF21172" s="679"/>
    </row>
    <row r="21173" spans="32:32" x14ac:dyDescent="0.2">
      <c r="AF21173" s="679"/>
    </row>
    <row r="21174" spans="32:32" x14ac:dyDescent="0.2">
      <c r="AF21174" s="679"/>
    </row>
    <row r="21175" spans="32:32" x14ac:dyDescent="0.2">
      <c r="AF21175" s="679"/>
    </row>
    <row r="21176" spans="32:32" x14ac:dyDescent="0.2">
      <c r="AF21176" s="679"/>
    </row>
    <row r="21177" spans="32:32" x14ac:dyDescent="0.2">
      <c r="AF21177" s="679"/>
    </row>
    <row r="21178" spans="32:32" x14ac:dyDescent="0.2">
      <c r="AF21178" s="679"/>
    </row>
    <row r="21179" spans="32:32" x14ac:dyDescent="0.2">
      <c r="AF21179" s="679"/>
    </row>
    <row r="21180" spans="32:32" x14ac:dyDescent="0.2">
      <c r="AF21180" s="679"/>
    </row>
    <row r="21181" spans="32:32" x14ac:dyDescent="0.2">
      <c r="AF21181" s="679"/>
    </row>
    <row r="21182" spans="32:32" x14ac:dyDescent="0.2">
      <c r="AF21182" s="679"/>
    </row>
    <row r="21183" spans="32:32" x14ac:dyDescent="0.2">
      <c r="AF21183" s="679"/>
    </row>
    <row r="21184" spans="32:32" x14ac:dyDescent="0.2">
      <c r="AF21184" s="679"/>
    </row>
    <row r="21185" spans="32:32" x14ac:dyDescent="0.2">
      <c r="AF21185" s="679"/>
    </row>
    <row r="21186" spans="32:32" x14ac:dyDescent="0.2">
      <c r="AF21186" s="679"/>
    </row>
    <row r="21187" spans="32:32" x14ac:dyDescent="0.2">
      <c r="AF21187" s="679"/>
    </row>
    <row r="21188" spans="32:32" x14ac:dyDescent="0.2">
      <c r="AF21188" s="679"/>
    </row>
    <row r="21189" spans="32:32" x14ac:dyDescent="0.2">
      <c r="AF21189" s="679"/>
    </row>
    <row r="21190" spans="32:32" x14ac:dyDescent="0.2">
      <c r="AF21190" s="679"/>
    </row>
    <row r="21191" spans="32:32" x14ac:dyDescent="0.2">
      <c r="AF21191" s="679"/>
    </row>
    <row r="21192" spans="32:32" x14ac:dyDescent="0.2">
      <c r="AF21192" s="679"/>
    </row>
    <row r="21193" spans="32:32" x14ac:dyDescent="0.2">
      <c r="AF21193" s="679"/>
    </row>
    <row r="21194" spans="32:32" x14ac:dyDescent="0.2">
      <c r="AF21194" s="679"/>
    </row>
    <row r="21195" spans="32:32" x14ac:dyDescent="0.2">
      <c r="AF21195" s="679"/>
    </row>
    <row r="21196" spans="32:32" x14ac:dyDescent="0.2">
      <c r="AF21196" s="679"/>
    </row>
    <row r="21197" spans="32:32" x14ac:dyDescent="0.2">
      <c r="AF21197" s="679"/>
    </row>
    <row r="21198" spans="32:32" x14ac:dyDescent="0.2">
      <c r="AF21198" s="679"/>
    </row>
    <row r="21199" spans="32:32" x14ac:dyDescent="0.2">
      <c r="AF21199" s="679"/>
    </row>
    <row r="21200" spans="32:32" x14ac:dyDescent="0.2">
      <c r="AF21200" s="679"/>
    </row>
    <row r="21201" spans="32:32" x14ac:dyDescent="0.2">
      <c r="AF21201" s="679"/>
    </row>
    <row r="21202" spans="32:32" x14ac:dyDescent="0.2">
      <c r="AF21202" s="679"/>
    </row>
    <row r="21203" spans="32:32" x14ac:dyDescent="0.2">
      <c r="AF21203" s="679"/>
    </row>
    <row r="21204" spans="32:32" x14ac:dyDescent="0.2">
      <c r="AF21204" s="679"/>
    </row>
    <row r="21205" spans="32:32" x14ac:dyDescent="0.2">
      <c r="AF21205" s="679"/>
    </row>
    <row r="21206" spans="32:32" x14ac:dyDescent="0.2">
      <c r="AF21206" s="679"/>
    </row>
    <row r="21207" spans="32:32" x14ac:dyDescent="0.2">
      <c r="AF21207" s="679"/>
    </row>
    <row r="21208" spans="32:32" x14ac:dyDescent="0.2">
      <c r="AF21208" s="679"/>
    </row>
    <row r="21209" spans="32:32" x14ac:dyDescent="0.2">
      <c r="AF21209" s="679"/>
    </row>
    <row r="21210" spans="32:32" x14ac:dyDescent="0.2">
      <c r="AF21210" s="679"/>
    </row>
    <row r="21211" spans="32:32" x14ac:dyDescent="0.2">
      <c r="AF21211" s="679"/>
    </row>
    <row r="21212" spans="32:32" x14ac:dyDescent="0.2">
      <c r="AF21212" s="679"/>
    </row>
    <row r="21213" spans="32:32" x14ac:dyDescent="0.2">
      <c r="AF21213" s="679"/>
    </row>
    <row r="21214" spans="32:32" x14ac:dyDescent="0.2">
      <c r="AF21214" s="679"/>
    </row>
    <row r="21215" spans="32:32" x14ac:dyDescent="0.2">
      <c r="AF21215" s="679"/>
    </row>
    <row r="21216" spans="32:32" x14ac:dyDescent="0.2">
      <c r="AF21216" s="679"/>
    </row>
    <row r="21217" spans="32:32" x14ac:dyDescent="0.2">
      <c r="AF21217" s="679"/>
    </row>
    <row r="21218" spans="32:32" x14ac:dyDescent="0.2">
      <c r="AF21218" s="679"/>
    </row>
    <row r="21219" spans="32:32" x14ac:dyDescent="0.2">
      <c r="AF21219" s="679"/>
    </row>
    <row r="21220" spans="32:32" x14ac:dyDescent="0.2">
      <c r="AF21220" s="679"/>
    </row>
    <row r="21221" spans="32:32" x14ac:dyDescent="0.2">
      <c r="AF21221" s="679"/>
    </row>
    <row r="21222" spans="32:32" x14ac:dyDescent="0.2">
      <c r="AF21222" s="679"/>
    </row>
    <row r="21223" spans="32:32" x14ac:dyDescent="0.2">
      <c r="AF21223" s="679"/>
    </row>
    <row r="21224" spans="32:32" x14ac:dyDescent="0.2">
      <c r="AF21224" s="679"/>
    </row>
    <row r="21225" spans="32:32" x14ac:dyDescent="0.2">
      <c r="AF21225" s="679"/>
    </row>
    <row r="21226" spans="32:32" x14ac:dyDescent="0.2">
      <c r="AF21226" s="679"/>
    </row>
    <row r="21227" spans="32:32" x14ac:dyDescent="0.2">
      <c r="AF21227" s="679"/>
    </row>
    <row r="21228" spans="32:32" x14ac:dyDescent="0.2">
      <c r="AF21228" s="679"/>
    </row>
    <row r="21229" spans="32:32" x14ac:dyDescent="0.2">
      <c r="AF21229" s="679"/>
    </row>
    <row r="21230" spans="32:32" x14ac:dyDescent="0.2">
      <c r="AF21230" s="679"/>
    </row>
    <row r="21231" spans="32:32" x14ac:dyDescent="0.2">
      <c r="AF21231" s="679"/>
    </row>
    <row r="21232" spans="32:32" x14ac:dyDescent="0.2">
      <c r="AF21232" s="679"/>
    </row>
    <row r="21233" spans="32:32" x14ac:dyDescent="0.2">
      <c r="AF21233" s="679"/>
    </row>
    <row r="21234" spans="32:32" x14ac:dyDescent="0.2">
      <c r="AF21234" s="679"/>
    </row>
    <row r="21235" spans="32:32" x14ac:dyDescent="0.2">
      <c r="AF21235" s="679"/>
    </row>
    <row r="21236" spans="32:32" x14ac:dyDescent="0.2">
      <c r="AF21236" s="679"/>
    </row>
    <row r="21237" spans="32:32" x14ac:dyDescent="0.2">
      <c r="AF21237" s="679"/>
    </row>
    <row r="21238" spans="32:32" x14ac:dyDescent="0.2">
      <c r="AF21238" s="679"/>
    </row>
    <row r="21239" spans="32:32" x14ac:dyDescent="0.2">
      <c r="AF21239" s="679"/>
    </row>
    <row r="21240" spans="32:32" x14ac:dyDescent="0.2">
      <c r="AF21240" s="679"/>
    </row>
    <row r="21241" spans="32:32" x14ac:dyDescent="0.2">
      <c r="AF21241" s="679"/>
    </row>
    <row r="21242" spans="32:32" x14ac:dyDescent="0.2">
      <c r="AF21242" s="679"/>
    </row>
    <row r="21243" spans="32:32" x14ac:dyDescent="0.2">
      <c r="AF21243" s="679"/>
    </row>
    <row r="21244" spans="32:32" x14ac:dyDescent="0.2">
      <c r="AF21244" s="679"/>
    </row>
    <row r="21245" spans="32:32" x14ac:dyDescent="0.2">
      <c r="AF21245" s="679"/>
    </row>
    <row r="21246" spans="32:32" x14ac:dyDescent="0.2">
      <c r="AF21246" s="679"/>
    </row>
    <row r="21247" spans="32:32" x14ac:dyDescent="0.2">
      <c r="AF21247" s="679"/>
    </row>
    <row r="21248" spans="32:32" x14ac:dyDescent="0.2">
      <c r="AF21248" s="679"/>
    </row>
    <row r="21249" spans="32:32" x14ac:dyDescent="0.2">
      <c r="AF21249" s="679"/>
    </row>
    <row r="21250" spans="32:32" x14ac:dyDescent="0.2">
      <c r="AF21250" s="679"/>
    </row>
    <row r="21251" spans="32:32" x14ac:dyDescent="0.2">
      <c r="AF21251" s="679"/>
    </row>
    <row r="21252" spans="32:32" x14ac:dyDescent="0.2">
      <c r="AF21252" s="679"/>
    </row>
    <row r="21253" spans="32:32" x14ac:dyDescent="0.2">
      <c r="AF21253" s="679"/>
    </row>
    <row r="21254" spans="32:32" x14ac:dyDescent="0.2">
      <c r="AF21254" s="679"/>
    </row>
    <row r="21255" spans="32:32" x14ac:dyDescent="0.2">
      <c r="AF21255" s="679"/>
    </row>
    <row r="21256" spans="32:32" x14ac:dyDescent="0.2">
      <c r="AF21256" s="679"/>
    </row>
    <row r="21257" spans="32:32" x14ac:dyDescent="0.2">
      <c r="AF21257" s="679"/>
    </row>
    <row r="21258" spans="32:32" x14ac:dyDescent="0.2">
      <c r="AF21258" s="679"/>
    </row>
    <row r="21259" spans="32:32" x14ac:dyDescent="0.2">
      <c r="AF21259" s="679"/>
    </row>
    <row r="21260" spans="32:32" x14ac:dyDescent="0.2">
      <c r="AF21260" s="679"/>
    </row>
    <row r="21261" spans="32:32" x14ac:dyDescent="0.2">
      <c r="AF21261" s="679"/>
    </row>
    <row r="21262" spans="32:32" x14ac:dyDescent="0.2">
      <c r="AF21262" s="679"/>
    </row>
    <row r="21263" spans="32:32" x14ac:dyDescent="0.2">
      <c r="AF21263" s="679"/>
    </row>
    <row r="21264" spans="32:32" x14ac:dyDescent="0.2">
      <c r="AF21264" s="679"/>
    </row>
    <row r="21265" spans="32:32" x14ac:dyDescent="0.2">
      <c r="AF21265" s="679"/>
    </row>
    <row r="21266" spans="32:32" x14ac:dyDescent="0.2">
      <c r="AF21266" s="679"/>
    </row>
    <row r="21267" spans="32:32" x14ac:dyDescent="0.2">
      <c r="AF21267" s="679"/>
    </row>
    <row r="21268" spans="32:32" x14ac:dyDescent="0.2">
      <c r="AF21268" s="679"/>
    </row>
    <row r="21269" spans="32:32" x14ac:dyDescent="0.2">
      <c r="AF21269" s="679"/>
    </row>
    <row r="21270" spans="32:32" x14ac:dyDescent="0.2">
      <c r="AF21270" s="679"/>
    </row>
    <row r="21271" spans="32:32" x14ac:dyDescent="0.2">
      <c r="AF21271" s="679"/>
    </row>
    <row r="21272" spans="32:32" x14ac:dyDescent="0.2">
      <c r="AF21272" s="679"/>
    </row>
    <row r="21273" spans="32:32" x14ac:dyDescent="0.2">
      <c r="AF21273" s="679"/>
    </row>
    <row r="21274" spans="32:32" x14ac:dyDescent="0.2">
      <c r="AF21274" s="679"/>
    </row>
    <row r="21275" spans="32:32" x14ac:dyDescent="0.2">
      <c r="AF21275" s="679"/>
    </row>
    <row r="21276" spans="32:32" x14ac:dyDescent="0.2">
      <c r="AF21276" s="679"/>
    </row>
    <row r="21277" spans="32:32" x14ac:dyDescent="0.2">
      <c r="AF21277" s="679"/>
    </row>
    <row r="21278" spans="32:32" x14ac:dyDescent="0.2">
      <c r="AF21278" s="679"/>
    </row>
    <row r="21279" spans="32:32" x14ac:dyDescent="0.2">
      <c r="AF21279" s="679"/>
    </row>
    <row r="21280" spans="32:32" x14ac:dyDescent="0.2">
      <c r="AF21280" s="679"/>
    </row>
    <row r="21281" spans="32:32" x14ac:dyDescent="0.2">
      <c r="AF21281" s="679"/>
    </row>
    <row r="21282" spans="32:32" x14ac:dyDescent="0.2">
      <c r="AF21282" s="679"/>
    </row>
    <row r="21283" spans="32:32" x14ac:dyDescent="0.2">
      <c r="AF21283" s="679"/>
    </row>
    <row r="21284" spans="32:32" x14ac:dyDescent="0.2">
      <c r="AF21284" s="679"/>
    </row>
    <row r="21285" spans="32:32" x14ac:dyDescent="0.2">
      <c r="AF21285" s="679"/>
    </row>
    <row r="21286" spans="32:32" x14ac:dyDescent="0.2">
      <c r="AF21286" s="679"/>
    </row>
    <row r="21287" spans="32:32" x14ac:dyDescent="0.2">
      <c r="AF21287" s="679"/>
    </row>
    <row r="21288" spans="32:32" x14ac:dyDescent="0.2">
      <c r="AF21288" s="679"/>
    </row>
    <row r="21289" spans="32:32" x14ac:dyDescent="0.2">
      <c r="AF21289" s="679"/>
    </row>
    <row r="21290" spans="32:32" x14ac:dyDescent="0.2">
      <c r="AF21290" s="679"/>
    </row>
    <row r="21291" spans="32:32" x14ac:dyDescent="0.2">
      <c r="AF21291" s="679"/>
    </row>
    <row r="21292" spans="32:32" x14ac:dyDescent="0.2">
      <c r="AF21292" s="679"/>
    </row>
    <row r="21293" spans="32:32" x14ac:dyDescent="0.2">
      <c r="AF21293" s="679"/>
    </row>
    <row r="21294" spans="32:32" x14ac:dyDescent="0.2">
      <c r="AF21294" s="679"/>
    </row>
    <row r="21295" spans="32:32" x14ac:dyDescent="0.2">
      <c r="AF21295" s="679"/>
    </row>
    <row r="21296" spans="32:32" x14ac:dyDescent="0.2">
      <c r="AF21296" s="679"/>
    </row>
    <row r="21297" spans="32:32" x14ac:dyDescent="0.2">
      <c r="AF21297" s="679"/>
    </row>
    <row r="21298" spans="32:32" x14ac:dyDescent="0.2">
      <c r="AF21298" s="679"/>
    </row>
    <row r="21299" spans="32:32" x14ac:dyDescent="0.2">
      <c r="AF21299" s="679"/>
    </row>
    <row r="21300" spans="32:32" x14ac:dyDescent="0.2">
      <c r="AF21300" s="679"/>
    </row>
    <row r="21301" spans="32:32" x14ac:dyDescent="0.2">
      <c r="AF21301" s="679"/>
    </row>
    <row r="21302" spans="32:32" x14ac:dyDescent="0.2">
      <c r="AF21302" s="679"/>
    </row>
    <row r="21303" spans="32:32" x14ac:dyDescent="0.2">
      <c r="AF21303" s="679"/>
    </row>
    <row r="21304" spans="32:32" x14ac:dyDescent="0.2">
      <c r="AF21304" s="679"/>
    </row>
    <row r="21305" spans="32:32" x14ac:dyDescent="0.2">
      <c r="AF21305" s="679"/>
    </row>
    <row r="21306" spans="32:32" x14ac:dyDescent="0.2">
      <c r="AF21306" s="679"/>
    </row>
    <row r="21307" spans="32:32" x14ac:dyDescent="0.2">
      <c r="AF21307" s="679"/>
    </row>
    <row r="21308" spans="32:32" x14ac:dyDescent="0.2">
      <c r="AF21308" s="679"/>
    </row>
    <row r="21309" spans="32:32" x14ac:dyDescent="0.2">
      <c r="AF21309" s="679"/>
    </row>
    <row r="21310" spans="32:32" x14ac:dyDescent="0.2">
      <c r="AF21310" s="679"/>
    </row>
    <row r="21311" spans="32:32" x14ac:dyDescent="0.2">
      <c r="AF21311" s="679"/>
    </row>
    <row r="21312" spans="32:32" x14ac:dyDescent="0.2">
      <c r="AF21312" s="679"/>
    </row>
    <row r="21313" spans="32:32" x14ac:dyDescent="0.2">
      <c r="AF21313" s="679"/>
    </row>
    <row r="21314" spans="32:32" x14ac:dyDescent="0.2">
      <c r="AF21314" s="679"/>
    </row>
    <row r="21315" spans="32:32" x14ac:dyDescent="0.2">
      <c r="AF21315" s="679"/>
    </row>
    <row r="21316" spans="32:32" x14ac:dyDescent="0.2">
      <c r="AF21316" s="679"/>
    </row>
    <row r="21317" spans="32:32" x14ac:dyDescent="0.2">
      <c r="AF21317" s="679"/>
    </row>
    <row r="21318" spans="32:32" x14ac:dyDescent="0.2">
      <c r="AF21318" s="679"/>
    </row>
    <row r="21319" spans="32:32" x14ac:dyDescent="0.2">
      <c r="AF21319" s="679"/>
    </row>
    <row r="21320" spans="32:32" x14ac:dyDescent="0.2">
      <c r="AF21320" s="679"/>
    </row>
    <row r="21321" spans="32:32" x14ac:dyDescent="0.2">
      <c r="AF21321" s="679"/>
    </row>
    <row r="21322" spans="32:32" x14ac:dyDescent="0.2">
      <c r="AF21322" s="679"/>
    </row>
    <row r="21323" spans="32:32" x14ac:dyDescent="0.2">
      <c r="AF21323" s="679"/>
    </row>
    <row r="21324" spans="32:32" x14ac:dyDescent="0.2">
      <c r="AF21324" s="679"/>
    </row>
    <row r="21325" spans="32:32" x14ac:dyDescent="0.2">
      <c r="AF21325" s="679"/>
    </row>
    <row r="21326" spans="32:32" x14ac:dyDescent="0.2">
      <c r="AF21326" s="679"/>
    </row>
    <row r="21327" spans="32:32" x14ac:dyDescent="0.2">
      <c r="AF21327" s="679"/>
    </row>
    <row r="21328" spans="32:32" x14ac:dyDescent="0.2">
      <c r="AF21328" s="679"/>
    </row>
    <row r="21329" spans="32:32" x14ac:dyDescent="0.2">
      <c r="AF21329" s="679"/>
    </row>
    <row r="21330" spans="32:32" x14ac:dyDescent="0.2">
      <c r="AF21330" s="679"/>
    </row>
    <row r="21331" spans="32:32" x14ac:dyDescent="0.2">
      <c r="AF21331" s="679"/>
    </row>
    <row r="21332" spans="32:32" x14ac:dyDescent="0.2">
      <c r="AF21332" s="679"/>
    </row>
    <row r="21333" spans="32:32" x14ac:dyDescent="0.2">
      <c r="AF21333" s="679"/>
    </row>
    <row r="21334" spans="32:32" x14ac:dyDescent="0.2">
      <c r="AF21334" s="679"/>
    </row>
    <row r="21335" spans="32:32" x14ac:dyDescent="0.2">
      <c r="AF21335" s="679"/>
    </row>
    <row r="21336" spans="32:32" x14ac:dyDescent="0.2">
      <c r="AF21336" s="679"/>
    </row>
    <row r="21337" spans="32:32" x14ac:dyDescent="0.2">
      <c r="AF21337" s="679"/>
    </row>
    <row r="21338" spans="32:32" x14ac:dyDescent="0.2">
      <c r="AF21338" s="679"/>
    </row>
    <row r="21339" spans="32:32" x14ac:dyDescent="0.2">
      <c r="AF21339" s="679"/>
    </row>
    <row r="21340" spans="32:32" x14ac:dyDescent="0.2">
      <c r="AF21340" s="679"/>
    </row>
    <row r="21341" spans="32:32" x14ac:dyDescent="0.2">
      <c r="AF21341" s="679"/>
    </row>
    <row r="21342" spans="32:32" x14ac:dyDescent="0.2">
      <c r="AF21342" s="679"/>
    </row>
    <row r="21343" spans="32:32" x14ac:dyDescent="0.2">
      <c r="AF21343" s="679"/>
    </row>
    <row r="21344" spans="32:32" x14ac:dyDescent="0.2">
      <c r="AF21344" s="679"/>
    </row>
    <row r="21345" spans="32:32" x14ac:dyDescent="0.2">
      <c r="AF21345" s="679"/>
    </row>
    <row r="21346" spans="32:32" x14ac:dyDescent="0.2">
      <c r="AF21346" s="679"/>
    </row>
    <row r="21347" spans="32:32" x14ac:dyDescent="0.2">
      <c r="AF21347" s="679"/>
    </row>
    <row r="21348" spans="32:32" x14ac:dyDescent="0.2">
      <c r="AF21348" s="679"/>
    </row>
    <row r="21349" spans="32:32" x14ac:dyDescent="0.2">
      <c r="AF21349" s="679"/>
    </row>
    <row r="21350" spans="32:32" x14ac:dyDescent="0.2">
      <c r="AF21350" s="679"/>
    </row>
    <row r="21351" spans="32:32" x14ac:dyDescent="0.2">
      <c r="AF21351" s="679"/>
    </row>
    <row r="21352" spans="32:32" x14ac:dyDescent="0.2">
      <c r="AF21352" s="679"/>
    </row>
    <row r="21353" spans="32:32" x14ac:dyDescent="0.2">
      <c r="AF21353" s="679"/>
    </row>
    <row r="21354" spans="32:32" x14ac:dyDescent="0.2">
      <c r="AF21354" s="679"/>
    </row>
    <row r="21355" spans="32:32" x14ac:dyDescent="0.2">
      <c r="AF21355" s="679"/>
    </row>
    <row r="21356" spans="32:32" x14ac:dyDescent="0.2">
      <c r="AF21356" s="679"/>
    </row>
    <row r="21357" spans="32:32" x14ac:dyDescent="0.2">
      <c r="AF21357" s="679"/>
    </row>
    <row r="21358" spans="32:32" x14ac:dyDescent="0.2">
      <c r="AF21358" s="679"/>
    </row>
    <row r="21359" spans="32:32" x14ac:dyDescent="0.2">
      <c r="AF21359" s="679"/>
    </row>
    <row r="21360" spans="32:32" x14ac:dyDescent="0.2">
      <c r="AF21360" s="679"/>
    </row>
    <row r="21361" spans="32:32" x14ac:dyDescent="0.2">
      <c r="AF21361" s="679"/>
    </row>
    <row r="21362" spans="32:32" x14ac:dyDescent="0.2">
      <c r="AF21362" s="679"/>
    </row>
    <row r="21363" spans="32:32" x14ac:dyDescent="0.2">
      <c r="AF21363" s="679"/>
    </row>
    <row r="21364" spans="32:32" x14ac:dyDescent="0.2">
      <c r="AF21364" s="679"/>
    </row>
    <row r="21365" spans="32:32" x14ac:dyDescent="0.2">
      <c r="AF21365" s="679"/>
    </row>
    <row r="21366" spans="32:32" x14ac:dyDescent="0.2">
      <c r="AF21366" s="679"/>
    </row>
    <row r="21367" spans="32:32" x14ac:dyDescent="0.2">
      <c r="AF21367" s="679"/>
    </row>
    <row r="21368" spans="32:32" x14ac:dyDescent="0.2">
      <c r="AF21368" s="679"/>
    </row>
    <row r="21369" spans="32:32" x14ac:dyDescent="0.2">
      <c r="AF21369" s="679"/>
    </row>
    <row r="21370" spans="32:32" x14ac:dyDescent="0.2">
      <c r="AF21370" s="679"/>
    </row>
    <row r="21371" spans="32:32" x14ac:dyDescent="0.2">
      <c r="AF21371" s="679"/>
    </row>
    <row r="21372" spans="32:32" x14ac:dyDescent="0.2">
      <c r="AF21372" s="679"/>
    </row>
    <row r="21373" spans="32:32" x14ac:dyDescent="0.2">
      <c r="AF21373" s="679"/>
    </row>
    <row r="21374" spans="32:32" x14ac:dyDescent="0.2">
      <c r="AF21374" s="679"/>
    </row>
    <row r="21375" spans="32:32" x14ac:dyDescent="0.2">
      <c r="AF21375" s="679"/>
    </row>
    <row r="21376" spans="32:32" x14ac:dyDescent="0.2">
      <c r="AF21376" s="679"/>
    </row>
    <row r="21377" spans="32:32" x14ac:dyDescent="0.2">
      <c r="AF21377" s="679"/>
    </row>
    <row r="21378" spans="32:32" x14ac:dyDescent="0.2">
      <c r="AF21378" s="679"/>
    </row>
    <row r="21379" spans="32:32" x14ac:dyDescent="0.2">
      <c r="AF21379" s="679"/>
    </row>
    <row r="21380" spans="32:32" x14ac:dyDescent="0.2">
      <c r="AF21380" s="679"/>
    </row>
    <row r="21381" spans="32:32" x14ac:dyDescent="0.2">
      <c r="AF21381" s="679"/>
    </row>
    <row r="21382" spans="32:32" x14ac:dyDescent="0.2">
      <c r="AF21382" s="679"/>
    </row>
    <row r="21383" spans="32:32" x14ac:dyDescent="0.2">
      <c r="AF21383" s="679"/>
    </row>
    <row r="21384" spans="32:32" x14ac:dyDescent="0.2">
      <c r="AF21384" s="679"/>
    </row>
    <row r="21385" spans="32:32" x14ac:dyDescent="0.2">
      <c r="AF21385" s="679"/>
    </row>
    <row r="21386" spans="32:32" x14ac:dyDescent="0.2">
      <c r="AF21386" s="679"/>
    </row>
    <row r="21387" spans="32:32" x14ac:dyDescent="0.2">
      <c r="AF21387" s="679"/>
    </row>
    <row r="21388" spans="32:32" x14ac:dyDescent="0.2">
      <c r="AF21388" s="679"/>
    </row>
    <row r="21389" spans="32:32" x14ac:dyDescent="0.2">
      <c r="AF21389" s="679"/>
    </row>
    <row r="21390" spans="32:32" x14ac:dyDescent="0.2">
      <c r="AF21390" s="679"/>
    </row>
    <row r="21391" spans="32:32" x14ac:dyDescent="0.2">
      <c r="AF21391" s="679"/>
    </row>
    <row r="21392" spans="32:32" x14ac:dyDescent="0.2">
      <c r="AF21392" s="679"/>
    </row>
    <row r="21393" spans="32:32" x14ac:dyDescent="0.2">
      <c r="AF21393" s="679"/>
    </row>
    <row r="21394" spans="32:32" x14ac:dyDescent="0.2">
      <c r="AF21394" s="679"/>
    </row>
    <row r="21395" spans="32:32" x14ac:dyDescent="0.2">
      <c r="AF21395" s="679"/>
    </row>
    <row r="21396" spans="32:32" x14ac:dyDescent="0.2">
      <c r="AF21396" s="679"/>
    </row>
    <row r="21397" spans="32:32" x14ac:dyDescent="0.2">
      <c r="AF21397" s="679"/>
    </row>
    <row r="21398" spans="32:32" x14ac:dyDescent="0.2">
      <c r="AF21398" s="679"/>
    </row>
    <row r="21399" spans="32:32" x14ac:dyDescent="0.2">
      <c r="AF21399" s="679"/>
    </row>
    <row r="21400" spans="32:32" x14ac:dyDescent="0.2">
      <c r="AF21400" s="679"/>
    </row>
    <row r="21401" spans="32:32" x14ac:dyDescent="0.2">
      <c r="AF21401" s="679"/>
    </row>
    <row r="21402" spans="32:32" x14ac:dyDescent="0.2">
      <c r="AF21402" s="679"/>
    </row>
    <row r="21403" spans="32:32" x14ac:dyDescent="0.2">
      <c r="AF21403" s="679"/>
    </row>
    <row r="21404" spans="32:32" x14ac:dyDescent="0.2">
      <c r="AF21404" s="679"/>
    </row>
    <row r="21405" spans="32:32" x14ac:dyDescent="0.2">
      <c r="AF21405" s="679"/>
    </row>
    <row r="21406" spans="32:32" x14ac:dyDescent="0.2">
      <c r="AF21406" s="679"/>
    </row>
    <row r="21407" spans="32:32" x14ac:dyDescent="0.2">
      <c r="AF21407" s="679"/>
    </row>
    <row r="21408" spans="32:32" x14ac:dyDescent="0.2">
      <c r="AF21408" s="679"/>
    </row>
    <row r="21409" spans="32:32" x14ac:dyDescent="0.2">
      <c r="AF21409" s="679"/>
    </row>
    <row r="21410" spans="32:32" x14ac:dyDescent="0.2">
      <c r="AF21410" s="679"/>
    </row>
    <row r="21411" spans="32:32" x14ac:dyDescent="0.2">
      <c r="AF21411" s="679"/>
    </row>
    <row r="21412" spans="32:32" x14ac:dyDescent="0.2">
      <c r="AF21412" s="679"/>
    </row>
    <row r="21413" spans="32:32" x14ac:dyDescent="0.2">
      <c r="AF21413" s="679"/>
    </row>
    <row r="21414" spans="32:32" x14ac:dyDescent="0.2">
      <c r="AF21414" s="679"/>
    </row>
    <row r="21415" spans="32:32" x14ac:dyDescent="0.2">
      <c r="AF21415" s="679"/>
    </row>
    <row r="21416" spans="32:32" x14ac:dyDescent="0.2">
      <c r="AF21416" s="679"/>
    </row>
    <row r="21417" spans="32:32" x14ac:dyDescent="0.2">
      <c r="AF21417" s="679"/>
    </row>
    <row r="21418" spans="32:32" x14ac:dyDescent="0.2">
      <c r="AF21418" s="679"/>
    </row>
    <row r="21419" spans="32:32" x14ac:dyDescent="0.2">
      <c r="AF21419" s="679"/>
    </row>
    <row r="21420" spans="32:32" x14ac:dyDescent="0.2">
      <c r="AF21420" s="679"/>
    </row>
    <row r="21421" spans="32:32" x14ac:dyDescent="0.2">
      <c r="AF21421" s="679"/>
    </row>
    <row r="21422" spans="32:32" x14ac:dyDescent="0.2">
      <c r="AF21422" s="679"/>
    </row>
    <row r="21423" spans="32:32" x14ac:dyDescent="0.2">
      <c r="AF21423" s="679"/>
    </row>
    <row r="21424" spans="32:32" x14ac:dyDescent="0.2">
      <c r="AF21424" s="679"/>
    </row>
    <row r="21425" spans="32:32" x14ac:dyDescent="0.2">
      <c r="AF21425" s="679"/>
    </row>
    <row r="21426" spans="32:32" x14ac:dyDescent="0.2">
      <c r="AF21426" s="679"/>
    </row>
    <row r="21427" spans="32:32" x14ac:dyDescent="0.2">
      <c r="AF21427" s="679"/>
    </row>
    <row r="21428" spans="32:32" x14ac:dyDescent="0.2">
      <c r="AF21428" s="679"/>
    </row>
    <row r="21429" spans="32:32" x14ac:dyDescent="0.2">
      <c r="AF21429" s="679"/>
    </row>
    <row r="21430" spans="32:32" x14ac:dyDescent="0.2">
      <c r="AF21430" s="679"/>
    </row>
    <row r="21431" spans="32:32" x14ac:dyDescent="0.2">
      <c r="AF21431" s="679"/>
    </row>
    <row r="21432" spans="32:32" x14ac:dyDescent="0.2">
      <c r="AF21432" s="679"/>
    </row>
    <row r="21433" spans="32:32" x14ac:dyDescent="0.2">
      <c r="AF21433" s="679"/>
    </row>
    <row r="21434" spans="32:32" x14ac:dyDescent="0.2">
      <c r="AF21434" s="679"/>
    </row>
    <row r="21435" spans="32:32" x14ac:dyDescent="0.2">
      <c r="AF21435" s="679"/>
    </row>
    <row r="21436" spans="32:32" x14ac:dyDescent="0.2">
      <c r="AF21436" s="679"/>
    </row>
    <row r="21437" spans="32:32" x14ac:dyDescent="0.2">
      <c r="AF21437" s="679"/>
    </row>
    <row r="21438" spans="32:32" x14ac:dyDescent="0.2">
      <c r="AF21438" s="679"/>
    </row>
    <row r="21439" spans="32:32" x14ac:dyDescent="0.2">
      <c r="AF21439" s="679"/>
    </row>
    <row r="21440" spans="32:32" x14ac:dyDescent="0.2">
      <c r="AF21440" s="679"/>
    </row>
    <row r="21441" spans="32:32" x14ac:dyDescent="0.2">
      <c r="AF21441" s="679"/>
    </row>
    <row r="21442" spans="32:32" x14ac:dyDescent="0.2">
      <c r="AF21442" s="679"/>
    </row>
    <row r="21443" spans="32:32" x14ac:dyDescent="0.2">
      <c r="AF21443" s="679"/>
    </row>
    <row r="21444" spans="32:32" x14ac:dyDescent="0.2">
      <c r="AF21444" s="679"/>
    </row>
    <row r="21445" spans="32:32" x14ac:dyDescent="0.2">
      <c r="AF21445" s="679"/>
    </row>
    <row r="21446" spans="32:32" x14ac:dyDescent="0.2">
      <c r="AF21446" s="679"/>
    </row>
    <row r="21447" spans="32:32" x14ac:dyDescent="0.2">
      <c r="AF21447" s="679"/>
    </row>
    <row r="21448" spans="32:32" x14ac:dyDescent="0.2">
      <c r="AF21448" s="679"/>
    </row>
    <row r="21449" spans="32:32" x14ac:dyDescent="0.2">
      <c r="AF21449" s="679"/>
    </row>
    <row r="21450" spans="32:32" x14ac:dyDescent="0.2">
      <c r="AF21450" s="679"/>
    </row>
    <row r="21451" spans="32:32" x14ac:dyDescent="0.2">
      <c r="AF21451" s="679"/>
    </row>
    <row r="21452" spans="32:32" x14ac:dyDescent="0.2">
      <c r="AF21452" s="679"/>
    </row>
    <row r="21453" spans="32:32" x14ac:dyDescent="0.2">
      <c r="AF21453" s="679"/>
    </row>
    <row r="21454" spans="32:32" x14ac:dyDescent="0.2">
      <c r="AF21454" s="679"/>
    </row>
    <row r="21455" spans="32:32" x14ac:dyDescent="0.2">
      <c r="AF21455" s="679"/>
    </row>
    <row r="21456" spans="32:32" x14ac:dyDescent="0.2">
      <c r="AF21456" s="679"/>
    </row>
    <row r="21457" spans="32:32" x14ac:dyDescent="0.2">
      <c r="AF21457" s="679"/>
    </row>
    <row r="21458" spans="32:32" x14ac:dyDescent="0.2">
      <c r="AF21458" s="679"/>
    </row>
    <row r="21459" spans="32:32" x14ac:dyDescent="0.2">
      <c r="AF21459" s="679"/>
    </row>
    <row r="21460" spans="32:32" x14ac:dyDescent="0.2">
      <c r="AF21460" s="679"/>
    </row>
    <row r="21461" spans="32:32" x14ac:dyDescent="0.2">
      <c r="AF21461" s="679"/>
    </row>
    <row r="21462" spans="32:32" x14ac:dyDescent="0.2">
      <c r="AF21462" s="679"/>
    </row>
    <row r="21463" spans="32:32" x14ac:dyDescent="0.2">
      <c r="AF21463" s="679"/>
    </row>
    <row r="21464" spans="32:32" x14ac:dyDescent="0.2">
      <c r="AF21464" s="679"/>
    </row>
    <row r="21465" spans="32:32" x14ac:dyDescent="0.2">
      <c r="AF21465" s="679"/>
    </row>
    <row r="21466" spans="32:32" x14ac:dyDescent="0.2">
      <c r="AF21466" s="679"/>
    </row>
    <row r="21467" spans="32:32" x14ac:dyDescent="0.2">
      <c r="AF21467" s="679"/>
    </row>
    <row r="21468" spans="32:32" x14ac:dyDescent="0.2">
      <c r="AF21468" s="679"/>
    </row>
    <row r="21469" spans="32:32" x14ac:dyDescent="0.2">
      <c r="AF21469" s="679"/>
    </row>
    <row r="21470" spans="32:32" x14ac:dyDescent="0.2">
      <c r="AF21470" s="679"/>
    </row>
    <row r="21471" spans="32:32" x14ac:dyDescent="0.2">
      <c r="AF21471" s="679"/>
    </row>
    <row r="21472" spans="32:32" x14ac:dyDescent="0.2">
      <c r="AF21472" s="679"/>
    </row>
    <row r="21473" spans="32:32" x14ac:dyDescent="0.2">
      <c r="AF21473" s="679"/>
    </row>
    <row r="21474" spans="32:32" x14ac:dyDescent="0.2">
      <c r="AF21474" s="679"/>
    </row>
    <row r="21475" spans="32:32" x14ac:dyDescent="0.2">
      <c r="AF21475" s="679"/>
    </row>
    <row r="21476" spans="32:32" x14ac:dyDescent="0.2">
      <c r="AF21476" s="679"/>
    </row>
    <row r="21477" spans="32:32" x14ac:dyDescent="0.2">
      <c r="AF21477" s="679"/>
    </row>
    <row r="21478" spans="32:32" x14ac:dyDescent="0.2">
      <c r="AF21478" s="679"/>
    </row>
    <row r="21479" spans="32:32" x14ac:dyDescent="0.2">
      <c r="AF21479" s="679"/>
    </row>
    <row r="21480" spans="32:32" x14ac:dyDescent="0.2">
      <c r="AF21480" s="679"/>
    </row>
    <row r="21481" spans="32:32" x14ac:dyDescent="0.2">
      <c r="AF21481" s="679"/>
    </row>
    <row r="21482" spans="32:32" x14ac:dyDescent="0.2">
      <c r="AF21482" s="679"/>
    </row>
    <row r="21483" spans="32:32" x14ac:dyDescent="0.2">
      <c r="AF21483" s="679"/>
    </row>
    <row r="21484" spans="32:32" x14ac:dyDescent="0.2">
      <c r="AF21484" s="679"/>
    </row>
    <row r="21485" spans="32:32" x14ac:dyDescent="0.2">
      <c r="AF21485" s="679"/>
    </row>
    <row r="21486" spans="32:32" x14ac:dyDescent="0.2">
      <c r="AF21486" s="679"/>
    </row>
    <row r="21487" spans="32:32" x14ac:dyDescent="0.2">
      <c r="AF21487" s="679"/>
    </row>
    <row r="21488" spans="32:32" x14ac:dyDescent="0.2">
      <c r="AF21488" s="679"/>
    </row>
    <row r="21489" spans="32:32" x14ac:dyDescent="0.2">
      <c r="AF21489" s="679"/>
    </row>
    <row r="21490" spans="32:32" x14ac:dyDescent="0.2">
      <c r="AF21490" s="679"/>
    </row>
    <row r="21491" spans="32:32" x14ac:dyDescent="0.2">
      <c r="AF21491" s="679"/>
    </row>
    <row r="21492" spans="32:32" x14ac:dyDescent="0.2">
      <c r="AF21492" s="679"/>
    </row>
    <row r="21493" spans="32:32" x14ac:dyDescent="0.2">
      <c r="AF21493" s="679"/>
    </row>
    <row r="21494" spans="32:32" x14ac:dyDescent="0.2">
      <c r="AF21494" s="679"/>
    </row>
    <row r="21495" spans="32:32" x14ac:dyDescent="0.2">
      <c r="AF21495" s="679"/>
    </row>
    <row r="21496" spans="32:32" x14ac:dyDescent="0.2">
      <c r="AF21496" s="679"/>
    </row>
    <row r="21497" spans="32:32" x14ac:dyDescent="0.2">
      <c r="AF21497" s="679"/>
    </row>
    <row r="21498" spans="32:32" x14ac:dyDescent="0.2">
      <c r="AF21498" s="679"/>
    </row>
    <row r="21499" spans="32:32" x14ac:dyDescent="0.2">
      <c r="AF21499" s="679"/>
    </row>
    <row r="21500" spans="32:32" x14ac:dyDescent="0.2">
      <c r="AF21500" s="679"/>
    </row>
    <row r="21501" spans="32:32" x14ac:dyDescent="0.2">
      <c r="AF21501" s="679"/>
    </row>
    <row r="21502" spans="32:32" x14ac:dyDescent="0.2">
      <c r="AF21502" s="679"/>
    </row>
    <row r="21503" spans="32:32" x14ac:dyDescent="0.2">
      <c r="AF21503" s="679"/>
    </row>
    <row r="21504" spans="32:32" x14ac:dyDescent="0.2">
      <c r="AF21504" s="679"/>
    </row>
    <row r="21505" spans="32:32" x14ac:dyDescent="0.2">
      <c r="AF21505" s="679"/>
    </row>
    <row r="21506" spans="32:32" x14ac:dyDescent="0.2">
      <c r="AF21506" s="679"/>
    </row>
    <row r="21507" spans="32:32" x14ac:dyDescent="0.2">
      <c r="AF21507" s="679"/>
    </row>
    <row r="21508" spans="32:32" x14ac:dyDescent="0.2">
      <c r="AF21508" s="679"/>
    </row>
    <row r="21509" spans="32:32" x14ac:dyDescent="0.2">
      <c r="AF21509" s="679"/>
    </row>
    <row r="21510" spans="32:32" x14ac:dyDescent="0.2">
      <c r="AF21510" s="679"/>
    </row>
    <row r="21511" spans="32:32" x14ac:dyDescent="0.2">
      <c r="AF21511" s="679"/>
    </row>
    <row r="21512" spans="32:32" x14ac:dyDescent="0.2">
      <c r="AF21512" s="679"/>
    </row>
    <row r="21513" spans="32:32" x14ac:dyDescent="0.2">
      <c r="AF21513" s="679"/>
    </row>
    <row r="21514" spans="32:32" x14ac:dyDescent="0.2">
      <c r="AF21514" s="679"/>
    </row>
    <row r="21515" spans="32:32" x14ac:dyDescent="0.2">
      <c r="AF21515" s="679"/>
    </row>
    <row r="21516" spans="32:32" x14ac:dyDescent="0.2">
      <c r="AF21516" s="679"/>
    </row>
    <row r="21517" spans="32:32" x14ac:dyDescent="0.2">
      <c r="AF21517" s="679"/>
    </row>
    <row r="21518" spans="32:32" x14ac:dyDescent="0.2">
      <c r="AF21518" s="679"/>
    </row>
    <row r="21519" spans="32:32" x14ac:dyDescent="0.2">
      <c r="AF21519" s="679"/>
    </row>
    <row r="21520" spans="32:32" x14ac:dyDescent="0.2">
      <c r="AF21520" s="679"/>
    </row>
    <row r="21521" spans="32:32" x14ac:dyDescent="0.2">
      <c r="AF21521" s="679"/>
    </row>
    <row r="21522" spans="32:32" x14ac:dyDescent="0.2">
      <c r="AF21522" s="679"/>
    </row>
    <row r="21523" spans="32:32" x14ac:dyDescent="0.2">
      <c r="AF21523" s="679"/>
    </row>
    <row r="21524" spans="32:32" x14ac:dyDescent="0.2">
      <c r="AF21524" s="679"/>
    </row>
    <row r="21525" spans="32:32" x14ac:dyDescent="0.2">
      <c r="AF21525" s="679"/>
    </row>
    <row r="21526" spans="32:32" x14ac:dyDescent="0.2">
      <c r="AF21526" s="679"/>
    </row>
    <row r="21527" spans="32:32" x14ac:dyDescent="0.2">
      <c r="AF21527" s="679"/>
    </row>
    <row r="21528" spans="32:32" x14ac:dyDescent="0.2">
      <c r="AF21528" s="679"/>
    </row>
    <row r="21529" spans="32:32" x14ac:dyDescent="0.2">
      <c r="AF21529" s="679"/>
    </row>
    <row r="21530" spans="32:32" x14ac:dyDescent="0.2">
      <c r="AF21530" s="679"/>
    </row>
    <row r="21531" spans="32:32" x14ac:dyDescent="0.2">
      <c r="AF21531" s="679"/>
    </row>
    <row r="21532" spans="32:32" x14ac:dyDescent="0.2">
      <c r="AF21532" s="679"/>
    </row>
    <row r="21533" spans="32:32" x14ac:dyDescent="0.2">
      <c r="AF21533" s="679"/>
    </row>
    <row r="21534" spans="32:32" x14ac:dyDescent="0.2">
      <c r="AF21534" s="679"/>
    </row>
    <row r="21535" spans="32:32" x14ac:dyDescent="0.2">
      <c r="AF21535" s="679"/>
    </row>
    <row r="21536" spans="32:32" x14ac:dyDescent="0.2">
      <c r="AF21536" s="679"/>
    </row>
    <row r="21537" spans="32:32" x14ac:dyDescent="0.2">
      <c r="AF21537" s="679"/>
    </row>
    <row r="21538" spans="32:32" x14ac:dyDescent="0.2">
      <c r="AF21538" s="679"/>
    </row>
    <row r="21539" spans="32:32" x14ac:dyDescent="0.2">
      <c r="AF21539" s="679"/>
    </row>
    <row r="21540" spans="32:32" x14ac:dyDescent="0.2">
      <c r="AF21540" s="679"/>
    </row>
    <row r="21541" spans="32:32" x14ac:dyDescent="0.2">
      <c r="AF21541" s="679"/>
    </row>
    <row r="21542" spans="32:32" x14ac:dyDescent="0.2">
      <c r="AF21542" s="679"/>
    </row>
    <row r="21543" spans="32:32" x14ac:dyDescent="0.2">
      <c r="AF21543" s="679"/>
    </row>
    <row r="21544" spans="32:32" x14ac:dyDescent="0.2">
      <c r="AF21544" s="679"/>
    </row>
    <row r="21545" spans="32:32" x14ac:dyDescent="0.2">
      <c r="AF21545" s="679"/>
    </row>
    <row r="21546" spans="32:32" x14ac:dyDescent="0.2">
      <c r="AF21546" s="679"/>
    </row>
    <row r="21547" spans="32:32" x14ac:dyDescent="0.2">
      <c r="AF21547" s="679"/>
    </row>
    <row r="21548" spans="32:32" x14ac:dyDescent="0.2">
      <c r="AF21548" s="679"/>
    </row>
    <row r="21549" spans="32:32" x14ac:dyDescent="0.2">
      <c r="AF21549" s="679"/>
    </row>
    <row r="21550" spans="32:32" x14ac:dyDescent="0.2">
      <c r="AF21550" s="679"/>
    </row>
    <row r="21551" spans="32:32" x14ac:dyDescent="0.2">
      <c r="AF21551" s="679"/>
    </row>
    <row r="21552" spans="32:32" x14ac:dyDescent="0.2">
      <c r="AF21552" s="679"/>
    </row>
    <row r="21553" spans="32:32" x14ac:dyDescent="0.2">
      <c r="AF21553" s="679"/>
    </row>
    <row r="21554" spans="32:32" x14ac:dyDescent="0.2">
      <c r="AF21554" s="679"/>
    </row>
    <row r="21555" spans="32:32" x14ac:dyDescent="0.2">
      <c r="AF21555" s="679"/>
    </row>
    <row r="21556" spans="32:32" x14ac:dyDescent="0.2">
      <c r="AF21556" s="679"/>
    </row>
    <row r="21557" spans="32:32" x14ac:dyDescent="0.2">
      <c r="AF21557" s="679"/>
    </row>
    <row r="21558" spans="32:32" x14ac:dyDescent="0.2">
      <c r="AF21558" s="679"/>
    </row>
    <row r="21559" spans="32:32" x14ac:dyDescent="0.2">
      <c r="AF21559" s="679"/>
    </row>
    <row r="21560" spans="32:32" x14ac:dyDescent="0.2">
      <c r="AF21560" s="679"/>
    </row>
    <row r="21561" spans="32:32" x14ac:dyDescent="0.2">
      <c r="AF21561" s="679"/>
    </row>
    <row r="21562" spans="32:32" x14ac:dyDescent="0.2">
      <c r="AF21562" s="679"/>
    </row>
    <row r="21563" spans="32:32" x14ac:dyDescent="0.2">
      <c r="AF21563" s="679"/>
    </row>
    <row r="21564" spans="32:32" x14ac:dyDescent="0.2">
      <c r="AF21564" s="679"/>
    </row>
    <row r="21565" spans="32:32" x14ac:dyDescent="0.2">
      <c r="AF21565" s="679"/>
    </row>
    <row r="21566" spans="32:32" x14ac:dyDescent="0.2">
      <c r="AF21566" s="679"/>
    </row>
    <row r="21567" spans="32:32" x14ac:dyDescent="0.2">
      <c r="AF21567" s="679"/>
    </row>
    <row r="21568" spans="32:32" x14ac:dyDescent="0.2">
      <c r="AF21568" s="679"/>
    </row>
    <row r="21569" spans="32:32" x14ac:dyDescent="0.2">
      <c r="AF21569" s="679"/>
    </row>
    <row r="21570" spans="32:32" x14ac:dyDescent="0.2">
      <c r="AF21570" s="679"/>
    </row>
    <row r="21571" spans="32:32" x14ac:dyDescent="0.2">
      <c r="AF21571" s="679"/>
    </row>
    <row r="21572" spans="32:32" x14ac:dyDescent="0.2">
      <c r="AF21572" s="679"/>
    </row>
    <row r="21573" spans="32:32" x14ac:dyDescent="0.2">
      <c r="AF21573" s="679"/>
    </row>
    <row r="21574" spans="32:32" x14ac:dyDescent="0.2">
      <c r="AF21574" s="679"/>
    </row>
    <row r="21575" spans="32:32" x14ac:dyDescent="0.2">
      <c r="AF21575" s="679"/>
    </row>
    <row r="21576" spans="32:32" x14ac:dyDescent="0.2">
      <c r="AF21576" s="679"/>
    </row>
    <row r="21577" spans="32:32" x14ac:dyDescent="0.2">
      <c r="AF21577" s="679"/>
    </row>
    <row r="21578" spans="32:32" x14ac:dyDescent="0.2">
      <c r="AF21578" s="679"/>
    </row>
    <row r="21579" spans="32:32" x14ac:dyDescent="0.2">
      <c r="AF21579" s="679"/>
    </row>
    <row r="21580" spans="32:32" x14ac:dyDescent="0.2">
      <c r="AF21580" s="679"/>
    </row>
    <row r="21581" spans="32:32" x14ac:dyDescent="0.2">
      <c r="AF21581" s="679"/>
    </row>
    <row r="21582" spans="32:32" x14ac:dyDescent="0.2">
      <c r="AF21582" s="679"/>
    </row>
    <row r="21583" spans="32:32" x14ac:dyDescent="0.2">
      <c r="AF21583" s="679"/>
    </row>
    <row r="21584" spans="32:32" x14ac:dyDescent="0.2">
      <c r="AF21584" s="679"/>
    </row>
    <row r="21585" spans="32:32" x14ac:dyDescent="0.2">
      <c r="AF21585" s="679"/>
    </row>
    <row r="21586" spans="32:32" x14ac:dyDescent="0.2">
      <c r="AF21586" s="679"/>
    </row>
    <row r="21587" spans="32:32" x14ac:dyDescent="0.2">
      <c r="AF21587" s="679"/>
    </row>
    <row r="21588" spans="32:32" x14ac:dyDescent="0.2">
      <c r="AF21588" s="679"/>
    </row>
    <row r="21589" spans="32:32" x14ac:dyDescent="0.2">
      <c r="AF21589" s="679"/>
    </row>
    <row r="21590" spans="32:32" x14ac:dyDescent="0.2">
      <c r="AF21590" s="679"/>
    </row>
    <row r="21591" spans="32:32" x14ac:dyDescent="0.2">
      <c r="AF21591" s="679"/>
    </row>
    <row r="21592" spans="32:32" x14ac:dyDescent="0.2">
      <c r="AF21592" s="679"/>
    </row>
    <row r="21593" spans="32:32" x14ac:dyDescent="0.2">
      <c r="AF21593" s="679"/>
    </row>
    <row r="21594" spans="32:32" x14ac:dyDescent="0.2">
      <c r="AF21594" s="679"/>
    </row>
    <row r="21595" spans="32:32" x14ac:dyDescent="0.2">
      <c r="AF21595" s="679"/>
    </row>
    <row r="21596" spans="32:32" x14ac:dyDescent="0.2">
      <c r="AF21596" s="679"/>
    </row>
    <row r="21597" spans="32:32" x14ac:dyDescent="0.2">
      <c r="AF21597" s="679"/>
    </row>
    <row r="21598" spans="32:32" x14ac:dyDescent="0.2">
      <c r="AF21598" s="679"/>
    </row>
    <row r="21599" spans="32:32" x14ac:dyDescent="0.2">
      <c r="AF21599" s="679"/>
    </row>
    <row r="21600" spans="32:32" x14ac:dyDescent="0.2">
      <c r="AF21600" s="679"/>
    </row>
    <row r="21601" spans="32:32" x14ac:dyDescent="0.2">
      <c r="AF21601" s="679"/>
    </row>
    <row r="21602" spans="32:32" x14ac:dyDescent="0.2">
      <c r="AF21602" s="679"/>
    </row>
    <row r="21603" spans="32:32" x14ac:dyDescent="0.2">
      <c r="AF21603" s="679"/>
    </row>
    <row r="21604" spans="32:32" x14ac:dyDescent="0.2">
      <c r="AF21604" s="679"/>
    </row>
    <row r="21605" spans="32:32" x14ac:dyDescent="0.2">
      <c r="AF21605" s="679"/>
    </row>
    <row r="21606" spans="32:32" x14ac:dyDescent="0.2">
      <c r="AF21606" s="679"/>
    </row>
    <row r="21607" spans="32:32" x14ac:dyDescent="0.2">
      <c r="AF21607" s="679"/>
    </row>
    <row r="21608" spans="32:32" x14ac:dyDescent="0.2">
      <c r="AF21608" s="679"/>
    </row>
    <row r="21609" spans="32:32" x14ac:dyDescent="0.2">
      <c r="AF21609" s="679"/>
    </row>
    <row r="21610" spans="32:32" x14ac:dyDescent="0.2">
      <c r="AF21610" s="679"/>
    </row>
    <row r="21611" spans="32:32" x14ac:dyDescent="0.2">
      <c r="AF21611" s="679"/>
    </row>
    <row r="21612" spans="32:32" x14ac:dyDescent="0.2">
      <c r="AF21612" s="679"/>
    </row>
    <row r="21613" spans="32:32" x14ac:dyDescent="0.2">
      <c r="AF21613" s="679"/>
    </row>
    <row r="21614" spans="32:32" x14ac:dyDescent="0.2">
      <c r="AF21614" s="679"/>
    </row>
    <row r="21615" spans="32:32" x14ac:dyDescent="0.2">
      <c r="AF21615" s="679"/>
    </row>
    <row r="21616" spans="32:32" x14ac:dyDescent="0.2">
      <c r="AF21616" s="679"/>
    </row>
    <row r="21617" spans="32:32" x14ac:dyDescent="0.2">
      <c r="AF21617" s="679"/>
    </row>
    <row r="21618" spans="32:32" x14ac:dyDescent="0.2">
      <c r="AF21618" s="679"/>
    </row>
    <row r="21619" spans="32:32" x14ac:dyDescent="0.2">
      <c r="AF21619" s="679"/>
    </row>
    <row r="21620" spans="32:32" x14ac:dyDescent="0.2">
      <c r="AF21620" s="679"/>
    </row>
    <row r="21621" spans="32:32" x14ac:dyDescent="0.2">
      <c r="AF21621" s="679"/>
    </row>
    <row r="21622" spans="32:32" x14ac:dyDescent="0.2">
      <c r="AF21622" s="679"/>
    </row>
    <row r="21623" spans="32:32" x14ac:dyDescent="0.2">
      <c r="AF21623" s="679"/>
    </row>
    <row r="21624" spans="32:32" x14ac:dyDescent="0.2">
      <c r="AF21624" s="679"/>
    </row>
    <row r="21625" spans="32:32" x14ac:dyDescent="0.2">
      <c r="AF21625" s="679"/>
    </row>
    <row r="21626" spans="32:32" x14ac:dyDescent="0.2">
      <c r="AF21626" s="679"/>
    </row>
    <row r="21627" spans="32:32" x14ac:dyDescent="0.2">
      <c r="AF21627" s="679"/>
    </row>
    <row r="21628" spans="32:32" x14ac:dyDescent="0.2">
      <c r="AF21628" s="679"/>
    </row>
    <row r="21629" spans="32:32" x14ac:dyDescent="0.2">
      <c r="AF21629" s="679"/>
    </row>
    <row r="21630" spans="32:32" x14ac:dyDescent="0.2">
      <c r="AF21630" s="679"/>
    </row>
    <row r="21631" spans="32:32" x14ac:dyDescent="0.2">
      <c r="AF21631" s="679"/>
    </row>
    <row r="21632" spans="32:32" x14ac:dyDescent="0.2">
      <c r="AF21632" s="679"/>
    </row>
    <row r="21633" spans="32:32" x14ac:dyDescent="0.2">
      <c r="AF21633" s="679"/>
    </row>
    <row r="21634" spans="32:32" x14ac:dyDescent="0.2">
      <c r="AF21634" s="679"/>
    </row>
    <row r="21635" spans="32:32" x14ac:dyDescent="0.2">
      <c r="AF21635" s="679"/>
    </row>
    <row r="21636" spans="32:32" x14ac:dyDescent="0.2">
      <c r="AF21636" s="679"/>
    </row>
    <row r="21637" spans="32:32" x14ac:dyDescent="0.2">
      <c r="AF21637" s="679"/>
    </row>
    <row r="21638" spans="32:32" x14ac:dyDescent="0.2">
      <c r="AF21638" s="679"/>
    </row>
    <row r="21639" spans="32:32" x14ac:dyDescent="0.2">
      <c r="AF21639" s="679"/>
    </row>
    <row r="21640" spans="32:32" x14ac:dyDescent="0.2">
      <c r="AF21640" s="679"/>
    </row>
    <row r="21641" spans="32:32" x14ac:dyDescent="0.2">
      <c r="AF21641" s="679"/>
    </row>
    <row r="21642" spans="32:32" x14ac:dyDescent="0.2">
      <c r="AF21642" s="679"/>
    </row>
    <row r="21643" spans="32:32" x14ac:dyDescent="0.2">
      <c r="AF21643" s="679"/>
    </row>
    <row r="21644" spans="32:32" x14ac:dyDescent="0.2">
      <c r="AF21644" s="679"/>
    </row>
    <row r="21645" spans="32:32" x14ac:dyDescent="0.2">
      <c r="AF21645" s="679"/>
    </row>
    <row r="21646" spans="32:32" x14ac:dyDescent="0.2">
      <c r="AF21646" s="679"/>
    </row>
    <row r="21647" spans="32:32" x14ac:dyDescent="0.2">
      <c r="AF21647" s="679"/>
    </row>
    <row r="21648" spans="32:32" x14ac:dyDescent="0.2">
      <c r="AF21648" s="679"/>
    </row>
    <row r="21649" spans="32:32" x14ac:dyDescent="0.2">
      <c r="AF21649" s="679"/>
    </row>
    <row r="21650" spans="32:32" x14ac:dyDescent="0.2">
      <c r="AF21650" s="679"/>
    </row>
    <row r="21651" spans="32:32" x14ac:dyDescent="0.2">
      <c r="AF21651" s="679"/>
    </row>
    <row r="21652" spans="32:32" x14ac:dyDescent="0.2">
      <c r="AF21652" s="679"/>
    </row>
    <row r="21653" spans="32:32" x14ac:dyDescent="0.2">
      <c r="AF21653" s="679"/>
    </row>
    <row r="21654" spans="32:32" x14ac:dyDescent="0.2">
      <c r="AF21654" s="679"/>
    </row>
    <row r="21655" spans="32:32" x14ac:dyDescent="0.2">
      <c r="AF21655" s="679"/>
    </row>
    <row r="21656" spans="32:32" x14ac:dyDescent="0.2">
      <c r="AF21656" s="679"/>
    </row>
    <row r="21657" spans="32:32" x14ac:dyDescent="0.2">
      <c r="AF21657" s="679"/>
    </row>
    <row r="21658" spans="32:32" x14ac:dyDescent="0.2">
      <c r="AF21658" s="679"/>
    </row>
    <row r="21659" spans="32:32" x14ac:dyDescent="0.2">
      <c r="AF21659" s="679"/>
    </row>
    <row r="21660" spans="32:32" x14ac:dyDescent="0.2">
      <c r="AF21660" s="679"/>
    </row>
    <row r="21661" spans="32:32" x14ac:dyDescent="0.2">
      <c r="AF21661" s="679"/>
    </row>
    <row r="21662" spans="32:32" x14ac:dyDescent="0.2">
      <c r="AF21662" s="679"/>
    </row>
    <row r="21663" spans="32:32" x14ac:dyDescent="0.2">
      <c r="AF21663" s="679"/>
    </row>
    <row r="21664" spans="32:32" x14ac:dyDescent="0.2">
      <c r="AF21664" s="679"/>
    </row>
    <row r="21665" spans="32:32" x14ac:dyDescent="0.2">
      <c r="AF21665" s="679"/>
    </row>
    <row r="21666" spans="32:32" x14ac:dyDescent="0.2">
      <c r="AF21666" s="679"/>
    </row>
    <row r="21667" spans="32:32" x14ac:dyDescent="0.2">
      <c r="AF21667" s="679"/>
    </row>
    <row r="21668" spans="32:32" x14ac:dyDescent="0.2">
      <c r="AF21668" s="679"/>
    </row>
    <row r="21669" spans="32:32" x14ac:dyDescent="0.2">
      <c r="AF21669" s="679"/>
    </row>
    <row r="21670" spans="32:32" x14ac:dyDescent="0.2">
      <c r="AF21670" s="679"/>
    </row>
    <row r="21671" spans="32:32" x14ac:dyDescent="0.2">
      <c r="AF21671" s="679"/>
    </row>
    <row r="21672" spans="32:32" x14ac:dyDescent="0.2">
      <c r="AF21672" s="679"/>
    </row>
    <row r="21673" spans="32:32" x14ac:dyDescent="0.2">
      <c r="AF21673" s="679"/>
    </row>
    <row r="21674" spans="32:32" x14ac:dyDescent="0.2">
      <c r="AF21674" s="679"/>
    </row>
    <row r="21675" spans="32:32" x14ac:dyDescent="0.2">
      <c r="AF21675" s="679"/>
    </row>
    <row r="21676" spans="32:32" x14ac:dyDescent="0.2">
      <c r="AF21676" s="679"/>
    </row>
    <row r="21677" spans="32:32" x14ac:dyDescent="0.2">
      <c r="AF21677" s="679"/>
    </row>
    <row r="21678" spans="32:32" x14ac:dyDescent="0.2">
      <c r="AF21678" s="679"/>
    </row>
    <row r="21679" spans="32:32" x14ac:dyDescent="0.2">
      <c r="AF21679" s="679"/>
    </row>
    <row r="21680" spans="32:32" x14ac:dyDescent="0.2">
      <c r="AF21680" s="679"/>
    </row>
    <row r="21681" spans="32:32" x14ac:dyDescent="0.2">
      <c r="AF21681" s="679"/>
    </row>
    <row r="21682" spans="32:32" x14ac:dyDescent="0.2">
      <c r="AF21682" s="679"/>
    </row>
    <row r="21683" spans="32:32" x14ac:dyDescent="0.2">
      <c r="AF21683" s="679"/>
    </row>
    <row r="21684" spans="32:32" x14ac:dyDescent="0.2">
      <c r="AF21684" s="679"/>
    </row>
    <row r="21685" spans="32:32" x14ac:dyDescent="0.2">
      <c r="AF21685" s="679"/>
    </row>
    <row r="21686" spans="32:32" x14ac:dyDescent="0.2">
      <c r="AF21686" s="679"/>
    </row>
    <row r="21687" spans="32:32" x14ac:dyDescent="0.2">
      <c r="AF21687" s="679"/>
    </row>
    <row r="21688" spans="32:32" x14ac:dyDescent="0.2">
      <c r="AF21688" s="679"/>
    </row>
    <row r="21689" spans="32:32" x14ac:dyDescent="0.2">
      <c r="AF21689" s="679"/>
    </row>
    <row r="21690" spans="32:32" x14ac:dyDescent="0.2">
      <c r="AF21690" s="679"/>
    </row>
    <row r="21691" spans="32:32" x14ac:dyDescent="0.2">
      <c r="AF21691" s="679"/>
    </row>
    <row r="21692" spans="32:32" x14ac:dyDescent="0.2">
      <c r="AF21692" s="679"/>
    </row>
    <row r="21693" spans="32:32" x14ac:dyDescent="0.2">
      <c r="AF21693" s="679"/>
    </row>
    <row r="21694" spans="32:32" x14ac:dyDescent="0.2">
      <c r="AF21694" s="679"/>
    </row>
    <row r="21695" spans="32:32" x14ac:dyDescent="0.2">
      <c r="AF21695" s="679"/>
    </row>
    <row r="21696" spans="32:32" x14ac:dyDescent="0.2">
      <c r="AF21696" s="679"/>
    </row>
    <row r="21697" spans="32:32" x14ac:dyDescent="0.2">
      <c r="AF21697" s="679"/>
    </row>
    <row r="21698" spans="32:32" x14ac:dyDescent="0.2">
      <c r="AF21698" s="679"/>
    </row>
    <row r="21699" spans="32:32" x14ac:dyDescent="0.2">
      <c r="AF21699" s="679"/>
    </row>
    <row r="21700" spans="32:32" x14ac:dyDescent="0.2">
      <c r="AF21700" s="679"/>
    </row>
    <row r="21701" spans="32:32" x14ac:dyDescent="0.2">
      <c r="AF21701" s="679"/>
    </row>
    <row r="21702" spans="32:32" x14ac:dyDescent="0.2">
      <c r="AF21702" s="679"/>
    </row>
    <row r="21703" spans="32:32" x14ac:dyDescent="0.2">
      <c r="AF21703" s="679"/>
    </row>
    <row r="21704" spans="32:32" x14ac:dyDescent="0.2">
      <c r="AF21704" s="679"/>
    </row>
    <row r="21705" spans="32:32" x14ac:dyDescent="0.2">
      <c r="AF21705" s="679"/>
    </row>
    <row r="21706" spans="32:32" x14ac:dyDescent="0.2">
      <c r="AF21706" s="679"/>
    </row>
    <row r="21707" spans="32:32" x14ac:dyDescent="0.2">
      <c r="AF21707" s="679"/>
    </row>
    <row r="21708" spans="32:32" x14ac:dyDescent="0.2">
      <c r="AF21708" s="679"/>
    </row>
    <row r="21709" spans="32:32" x14ac:dyDescent="0.2">
      <c r="AF21709" s="679"/>
    </row>
    <row r="21710" spans="32:32" x14ac:dyDescent="0.2">
      <c r="AF21710" s="679"/>
    </row>
    <row r="21711" spans="32:32" x14ac:dyDescent="0.2">
      <c r="AF21711" s="679"/>
    </row>
    <row r="21712" spans="32:32" x14ac:dyDescent="0.2">
      <c r="AF21712" s="679"/>
    </row>
    <row r="21713" spans="32:32" x14ac:dyDescent="0.2">
      <c r="AF21713" s="679"/>
    </row>
    <row r="21714" spans="32:32" x14ac:dyDescent="0.2">
      <c r="AF21714" s="679"/>
    </row>
    <row r="21715" spans="32:32" x14ac:dyDescent="0.2">
      <c r="AF21715" s="679"/>
    </row>
    <row r="21716" spans="32:32" x14ac:dyDescent="0.2">
      <c r="AF21716" s="679"/>
    </row>
    <row r="21717" spans="32:32" x14ac:dyDescent="0.2">
      <c r="AF21717" s="679"/>
    </row>
    <row r="21718" spans="32:32" x14ac:dyDescent="0.2">
      <c r="AF21718" s="679"/>
    </row>
    <row r="21719" spans="32:32" x14ac:dyDescent="0.2">
      <c r="AF21719" s="679"/>
    </row>
    <row r="21720" spans="32:32" x14ac:dyDescent="0.2">
      <c r="AF21720" s="679"/>
    </row>
    <row r="21721" spans="32:32" x14ac:dyDescent="0.2">
      <c r="AF21721" s="679"/>
    </row>
    <row r="21722" spans="32:32" x14ac:dyDescent="0.2">
      <c r="AF21722" s="679"/>
    </row>
    <row r="21723" spans="32:32" x14ac:dyDescent="0.2">
      <c r="AF21723" s="679"/>
    </row>
    <row r="21724" spans="32:32" x14ac:dyDescent="0.2">
      <c r="AF21724" s="679"/>
    </row>
    <row r="21725" spans="32:32" x14ac:dyDescent="0.2">
      <c r="AF21725" s="679"/>
    </row>
    <row r="21726" spans="32:32" x14ac:dyDescent="0.2">
      <c r="AF21726" s="679"/>
    </row>
    <row r="21727" spans="32:32" x14ac:dyDescent="0.2">
      <c r="AF21727" s="679"/>
    </row>
    <row r="21728" spans="32:32" x14ac:dyDescent="0.2">
      <c r="AF21728" s="679"/>
    </row>
    <row r="21729" spans="32:32" x14ac:dyDescent="0.2">
      <c r="AF21729" s="679"/>
    </row>
    <row r="21730" spans="32:32" x14ac:dyDescent="0.2">
      <c r="AF21730" s="679"/>
    </row>
    <row r="21731" spans="32:32" x14ac:dyDescent="0.2">
      <c r="AF21731" s="679"/>
    </row>
    <row r="21732" spans="32:32" x14ac:dyDescent="0.2">
      <c r="AF21732" s="679"/>
    </row>
    <row r="21733" spans="32:32" x14ac:dyDescent="0.2">
      <c r="AF21733" s="679"/>
    </row>
    <row r="21734" spans="32:32" x14ac:dyDescent="0.2">
      <c r="AF21734" s="679"/>
    </row>
    <row r="21735" spans="32:32" x14ac:dyDescent="0.2">
      <c r="AF21735" s="679"/>
    </row>
    <row r="21736" spans="32:32" x14ac:dyDescent="0.2">
      <c r="AF21736" s="679"/>
    </row>
    <row r="21737" spans="32:32" x14ac:dyDescent="0.2">
      <c r="AF21737" s="679"/>
    </row>
    <row r="21738" spans="32:32" x14ac:dyDescent="0.2">
      <c r="AF21738" s="679"/>
    </row>
    <row r="21739" spans="32:32" x14ac:dyDescent="0.2">
      <c r="AF21739" s="679"/>
    </row>
    <row r="21740" spans="32:32" x14ac:dyDescent="0.2">
      <c r="AF21740" s="679"/>
    </row>
    <row r="21741" spans="32:32" x14ac:dyDescent="0.2">
      <c r="AF21741" s="679"/>
    </row>
    <row r="21742" spans="32:32" x14ac:dyDescent="0.2">
      <c r="AF21742" s="679"/>
    </row>
    <row r="21743" spans="32:32" x14ac:dyDescent="0.2">
      <c r="AF21743" s="679"/>
    </row>
    <row r="21744" spans="32:32" x14ac:dyDescent="0.2">
      <c r="AF21744" s="679"/>
    </row>
    <row r="21745" spans="32:32" x14ac:dyDescent="0.2">
      <c r="AF21745" s="679"/>
    </row>
    <row r="21746" spans="32:32" x14ac:dyDescent="0.2">
      <c r="AF21746" s="679"/>
    </row>
    <row r="21747" spans="32:32" x14ac:dyDescent="0.2">
      <c r="AF21747" s="679"/>
    </row>
    <row r="21748" spans="32:32" x14ac:dyDescent="0.2">
      <c r="AF21748" s="679"/>
    </row>
    <row r="21749" spans="32:32" x14ac:dyDescent="0.2">
      <c r="AF21749" s="679"/>
    </row>
    <row r="21750" spans="32:32" x14ac:dyDescent="0.2">
      <c r="AF21750" s="679"/>
    </row>
    <row r="21751" spans="32:32" x14ac:dyDescent="0.2">
      <c r="AF21751" s="679"/>
    </row>
    <row r="21752" spans="32:32" x14ac:dyDescent="0.2">
      <c r="AF21752" s="679"/>
    </row>
    <row r="21753" spans="32:32" x14ac:dyDescent="0.2">
      <c r="AF21753" s="679"/>
    </row>
    <row r="21754" spans="32:32" x14ac:dyDescent="0.2">
      <c r="AF21754" s="679"/>
    </row>
    <row r="21755" spans="32:32" x14ac:dyDescent="0.2">
      <c r="AF21755" s="679"/>
    </row>
    <row r="21756" spans="32:32" x14ac:dyDescent="0.2">
      <c r="AF21756" s="679"/>
    </row>
    <row r="21757" spans="32:32" x14ac:dyDescent="0.2">
      <c r="AF21757" s="679"/>
    </row>
    <row r="21758" spans="32:32" x14ac:dyDescent="0.2">
      <c r="AF21758" s="679"/>
    </row>
    <row r="21759" spans="32:32" x14ac:dyDescent="0.2">
      <c r="AF21759" s="679"/>
    </row>
    <row r="21760" spans="32:32" x14ac:dyDescent="0.2">
      <c r="AF21760" s="679"/>
    </row>
    <row r="21761" spans="32:32" x14ac:dyDescent="0.2">
      <c r="AF21761" s="679"/>
    </row>
    <row r="21762" spans="32:32" x14ac:dyDescent="0.2">
      <c r="AF21762" s="679"/>
    </row>
    <row r="21763" spans="32:32" x14ac:dyDescent="0.2">
      <c r="AF21763" s="679"/>
    </row>
    <row r="21764" spans="32:32" x14ac:dyDescent="0.2">
      <c r="AF21764" s="679"/>
    </row>
    <row r="21765" spans="32:32" x14ac:dyDescent="0.2">
      <c r="AF21765" s="679"/>
    </row>
    <row r="21766" spans="32:32" x14ac:dyDescent="0.2">
      <c r="AF21766" s="679"/>
    </row>
    <row r="21767" spans="32:32" x14ac:dyDescent="0.2">
      <c r="AF21767" s="679"/>
    </row>
    <row r="21768" spans="32:32" x14ac:dyDescent="0.2">
      <c r="AF21768" s="679"/>
    </row>
    <row r="21769" spans="32:32" x14ac:dyDescent="0.2">
      <c r="AF21769" s="679"/>
    </row>
    <row r="21770" spans="32:32" x14ac:dyDescent="0.2">
      <c r="AF21770" s="679"/>
    </row>
    <row r="21771" spans="32:32" x14ac:dyDescent="0.2">
      <c r="AF21771" s="679"/>
    </row>
    <row r="21772" spans="32:32" x14ac:dyDescent="0.2">
      <c r="AF21772" s="679"/>
    </row>
    <row r="21773" spans="32:32" x14ac:dyDescent="0.2">
      <c r="AF21773" s="679"/>
    </row>
    <row r="21774" spans="32:32" x14ac:dyDescent="0.2">
      <c r="AF21774" s="679"/>
    </row>
    <row r="21775" spans="32:32" x14ac:dyDescent="0.2">
      <c r="AF21775" s="679"/>
    </row>
    <row r="21776" spans="32:32" x14ac:dyDescent="0.2">
      <c r="AF21776" s="679"/>
    </row>
    <row r="21777" spans="32:32" x14ac:dyDescent="0.2">
      <c r="AF21777" s="679"/>
    </row>
    <row r="21778" spans="32:32" x14ac:dyDescent="0.2">
      <c r="AF21778" s="679"/>
    </row>
    <row r="21779" spans="32:32" x14ac:dyDescent="0.2">
      <c r="AF21779" s="679"/>
    </row>
    <row r="21780" spans="32:32" x14ac:dyDescent="0.2">
      <c r="AF21780" s="679"/>
    </row>
    <row r="21781" spans="32:32" x14ac:dyDescent="0.2">
      <c r="AF21781" s="679"/>
    </row>
    <row r="21782" spans="32:32" x14ac:dyDescent="0.2">
      <c r="AF21782" s="679"/>
    </row>
    <row r="21783" spans="32:32" x14ac:dyDescent="0.2">
      <c r="AF21783" s="679"/>
    </row>
    <row r="21784" spans="32:32" x14ac:dyDescent="0.2">
      <c r="AF21784" s="679"/>
    </row>
    <row r="21785" spans="32:32" x14ac:dyDescent="0.2">
      <c r="AF21785" s="679"/>
    </row>
    <row r="21786" spans="32:32" x14ac:dyDescent="0.2">
      <c r="AF21786" s="679"/>
    </row>
    <row r="21787" spans="32:32" x14ac:dyDescent="0.2">
      <c r="AF21787" s="679"/>
    </row>
    <row r="21788" spans="32:32" x14ac:dyDescent="0.2">
      <c r="AF21788" s="679"/>
    </row>
    <row r="21789" spans="32:32" x14ac:dyDescent="0.2">
      <c r="AF21789" s="679"/>
    </row>
    <row r="21790" spans="32:32" x14ac:dyDescent="0.2">
      <c r="AF21790" s="679"/>
    </row>
    <row r="21791" spans="32:32" x14ac:dyDescent="0.2">
      <c r="AF21791" s="679"/>
    </row>
    <row r="21792" spans="32:32" x14ac:dyDescent="0.2">
      <c r="AF21792" s="679"/>
    </row>
    <row r="21793" spans="32:32" x14ac:dyDescent="0.2">
      <c r="AF21793" s="679"/>
    </row>
    <row r="21794" spans="32:32" x14ac:dyDescent="0.2">
      <c r="AF21794" s="679"/>
    </row>
    <row r="21795" spans="32:32" x14ac:dyDescent="0.2">
      <c r="AF21795" s="679"/>
    </row>
    <row r="21796" spans="32:32" x14ac:dyDescent="0.2">
      <c r="AF21796" s="679"/>
    </row>
    <row r="21797" spans="32:32" x14ac:dyDescent="0.2">
      <c r="AF21797" s="679"/>
    </row>
    <row r="21798" spans="32:32" x14ac:dyDescent="0.2">
      <c r="AF21798" s="679"/>
    </row>
    <row r="21799" spans="32:32" x14ac:dyDescent="0.2">
      <c r="AF21799" s="679"/>
    </row>
    <row r="21800" spans="32:32" x14ac:dyDescent="0.2">
      <c r="AF21800" s="679"/>
    </row>
    <row r="21801" spans="32:32" x14ac:dyDescent="0.2">
      <c r="AF21801" s="679"/>
    </row>
    <row r="21802" spans="32:32" x14ac:dyDescent="0.2">
      <c r="AF21802" s="679"/>
    </row>
    <row r="21803" spans="32:32" x14ac:dyDescent="0.2">
      <c r="AF21803" s="679"/>
    </row>
    <row r="21804" spans="32:32" x14ac:dyDescent="0.2">
      <c r="AF21804" s="679"/>
    </row>
    <row r="21805" spans="32:32" x14ac:dyDescent="0.2">
      <c r="AF21805" s="679"/>
    </row>
    <row r="21806" spans="32:32" x14ac:dyDescent="0.2">
      <c r="AF21806" s="679"/>
    </row>
    <row r="21807" spans="32:32" x14ac:dyDescent="0.2">
      <c r="AF21807" s="679"/>
    </row>
    <row r="21808" spans="32:32" x14ac:dyDescent="0.2">
      <c r="AF21808" s="679"/>
    </row>
    <row r="21809" spans="32:32" x14ac:dyDescent="0.2">
      <c r="AF21809" s="679"/>
    </row>
    <row r="21810" spans="32:32" x14ac:dyDescent="0.2">
      <c r="AF21810" s="679"/>
    </row>
    <row r="21811" spans="32:32" x14ac:dyDescent="0.2">
      <c r="AF21811" s="679"/>
    </row>
    <row r="21812" spans="32:32" x14ac:dyDescent="0.2">
      <c r="AF21812" s="679"/>
    </row>
    <row r="21813" spans="32:32" x14ac:dyDescent="0.2">
      <c r="AF21813" s="679"/>
    </row>
    <row r="21814" spans="32:32" x14ac:dyDescent="0.2">
      <c r="AF21814" s="679"/>
    </row>
    <row r="21815" spans="32:32" x14ac:dyDescent="0.2">
      <c r="AF21815" s="679"/>
    </row>
    <row r="21816" spans="32:32" x14ac:dyDescent="0.2">
      <c r="AF21816" s="679"/>
    </row>
    <row r="21817" spans="32:32" x14ac:dyDescent="0.2">
      <c r="AF21817" s="679"/>
    </row>
    <row r="21818" spans="32:32" x14ac:dyDescent="0.2">
      <c r="AF21818" s="679"/>
    </row>
    <row r="21819" spans="32:32" x14ac:dyDescent="0.2">
      <c r="AF21819" s="679"/>
    </row>
    <row r="21820" spans="32:32" x14ac:dyDescent="0.2">
      <c r="AF21820" s="679"/>
    </row>
    <row r="21821" spans="32:32" x14ac:dyDescent="0.2">
      <c r="AF21821" s="679"/>
    </row>
    <row r="21822" spans="32:32" x14ac:dyDescent="0.2">
      <c r="AF21822" s="679"/>
    </row>
    <row r="21823" spans="32:32" x14ac:dyDescent="0.2">
      <c r="AF21823" s="679"/>
    </row>
    <row r="21824" spans="32:32" x14ac:dyDescent="0.2">
      <c r="AF21824" s="679"/>
    </row>
    <row r="21825" spans="32:32" x14ac:dyDescent="0.2">
      <c r="AF21825" s="679"/>
    </row>
    <row r="21826" spans="32:32" x14ac:dyDescent="0.2">
      <c r="AF21826" s="679"/>
    </row>
    <row r="21827" spans="32:32" x14ac:dyDescent="0.2">
      <c r="AF21827" s="679"/>
    </row>
    <row r="21828" spans="32:32" x14ac:dyDescent="0.2">
      <c r="AF21828" s="679"/>
    </row>
    <row r="21829" spans="32:32" x14ac:dyDescent="0.2">
      <c r="AF21829" s="679"/>
    </row>
    <row r="21830" spans="32:32" x14ac:dyDescent="0.2">
      <c r="AF21830" s="679"/>
    </row>
    <row r="21831" spans="32:32" x14ac:dyDescent="0.2">
      <c r="AF21831" s="679"/>
    </row>
    <row r="21832" spans="32:32" x14ac:dyDescent="0.2">
      <c r="AF21832" s="679"/>
    </row>
    <row r="21833" spans="32:32" x14ac:dyDescent="0.2">
      <c r="AF21833" s="679"/>
    </row>
    <row r="21834" spans="32:32" x14ac:dyDescent="0.2">
      <c r="AF21834" s="679"/>
    </row>
    <row r="21835" spans="32:32" x14ac:dyDescent="0.2">
      <c r="AF21835" s="679"/>
    </row>
    <row r="21836" spans="32:32" x14ac:dyDescent="0.2">
      <c r="AF21836" s="679"/>
    </row>
    <row r="21837" spans="32:32" x14ac:dyDescent="0.2">
      <c r="AF21837" s="679"/>
    </row>
    <row r="21838" spans="32:32" x14ac:dyDescent="0.2">
      <c r="AF21838" s="679"/>
    </row>
    <row r="21839" spans="32:32" x14ac:dyDescent="0.2">
      <c r="AF21839" s="679"/>
    </row>
    <row r="21840" spans="32:32" x14ac:dyDescent="0.2">
      <c r="AF21840" s="679"/>
    </row>
    <row r="21841" spans="32:32" x14ac:dyDescent="0.2">
      <c r="AF21841" s="679"/>
    </row>
    <row r="21842" spans="32:32" x14ac:dyDescent="0.2">
      <c r="AF21842" s="679"/>
    </row>
    <row r="21843" spans="32:32" x14ac:dyDescent="0.2">
      <c r="AF21843" s="679"/>
    </row>
    <row r="21844" spans="32:32" x14ac:dyDescent="0.2">
      <c r="AF21844" s="679"/>
    </row>
    <row r="21845" spans="32:32" x14ac:dyDescent="0.2">
      <c r="AF21845" s="679"/>
    </row>
    <row r="21846" spans="32:32" x14ac:dyDescent="0.2">
      <c r="AF21846" s="679"/>
    </row>
    <row r="21847" spans="32:32" x14ac:dyDescent="0.2">
      <c r="AF21847" s="679"/>
    </row>
    <row r="21848" spans="32:32" x14ac:dyDescent="0.2">
      <c r="AF21848" s="679"/>
    </row>
    <row r="21849" spans="32:32" x14ac:dyDescent="0.2">
      <c r="AF21849" s="679"/>
    </row>
    <row r="21850" spans="32:32" x14ac:dyDescent="0.2">
      <c r="AF21850" s="679"/>
    </row>
    <row r="21851" spans="32:32" x14ac:dyDescent="0.2">
      <c r="AF21851" s="679"/>
    </row>
    <row r="21852" spans="32:32" x14ac:dyDescent="0.2">
      <c r="AF21852" s="679"/>
    </row>
    <row r="21853" spans="32:32" x14ac:dyDescent="0.2">
      <c r="AF21853" s="679"/>
    </row>
    <row r="21854" spans="32:32" x14ac:dyDescent="0.2">
      <c r="AF21854" s="679"/>
    </row>
    <row r="21855" spans="32:32" x14ac:dyDescent="0.2">
      <c r="AF21855" s="679"/>
    </row>
    <row r="21856" spans="32:32" x14ac:dyDescent="0.2">
      <c r="AF21856" s="679"/>
    </row>
    <row r="21857" spans="32:32" x14ac:dyDescent="0.2">
      <c r="AF21857" s="679"/>
    </row>
    <row r="21858" spans="32:32" x14ac:dyDescent="0.2">
      <c r="AF21858" s="679"/>
    </row>
    <row r="21859" spans="32:32" x14ac:dyDescent="0.2">
      <c r="AF21859" s="679"/>
    </row>
    <row r="21860" spans="32:32" x14ac:dyDescent="0.2">
      <c r="AF21860" s="679"/>
    </row>
    <row r="21861" spans="32:32" x14ac:dyDescent="0.2">
      <c r="AF21861" s="679"/>
    </row>
    <row r="21862" spans="32:32" x14ac:dyDescent="0.2">
      <c r="AF21862" s="679"/>
    </row>
    <row r="21863" spans="32:32" x14ac:dyDescent="0.2">
      <c r="AF21863" s="679"/>
    </row>
    <row r="21864" spans="32:32" x14ac:dyDescent="0.2">
      <c r="AF21864" s="679"/>
    </row>
    <row r="21865" spans="32:32" x14ac:dyDescent="0.2">
      <c r="AF21865" s="679"/>
    </row>
    <row r="21866" spans="32:32" x14ac:dyDescent="0.2">
      <c r="AF21866" s="679"/>
    </row>
    <row r="21867" spans="32:32" x14ac:dyDescent="0.2">
      <c r="AF21867" s="679"/>
    </row>
    <row r="21868" spans="32:32" x14ac:dyDescent="0.2">
      <c r="AF21868" s="679"/>
    </row>
    <row r="21869" spans="32:32" x14ac:dyDescent="0.2">
      <c r="AF21869" s="679"/>
    </row>
    <row r="21870" spans="32:32" x14ac:dyDescent="0.2">
      <c r="AF21870" s="679"/>
    </row>
    <row r="21871" spans="32:32" x14ac:dyDescent="0.2">
      <c r="AF21871" s="679"/>
    </row>
    <row r="21872" spans="32:32" x14ac:dyDescent="0.2">
      <c r="AF21872" s="679"/>
    </row>
    <row r="21873" spans="32:32" x14ac:dyDescent="0.2">
      <c r="AF21873" s="679"/>
    </row>
    <row r="21874" spans="32:32" x14ac:dyDescent="0.2">
      <c r="AF21874" s="679"/>
    </row>
    <row r="21875" spans="32:32" x14ac:dyDescent="0.2">
      <c r="AF21875" s="679"/>
    </row>
    <row r="21876" spans="32:32" x14ac:dyDescent="0.2">
      <c r="AF21876" s="679"/>
    </row>
    <row r="21877" spans="32:32" x14ac:dyDescent="0.2">
      <c r="AF21877" s="679"/>
    </row>
    <row r="21878" spans="32:32" x14ac:dyDescent="0.2">
      <c r="AF21878" s="679"/>
    </row>
    <row r="21879" spans="32:32" x14ac:dyDescent="0.2">
      <c r="AF21879" s="679"/>
    </row>
    <row r="21880" spans="32:32" x14ac:dyDescent="0.2">
      <c r="AF21880" s="679"/>
    </row>
    <row r="21881" spans="32:32" x14ac:dyDescent="0.2">
      <c r="AF21881" s="679"/>
    </row>
    <row r="21882" spans="32:32" x14ac:dyDescent="0.2">
      <c r="AF21882" s="679"/>
    </row>
    <row r="21883" spans="32:32" x14ac:dyDescent="0.2">
      <c r="AF21883" s="679"/>
    </row>
    <row r="21884" spans="32:32" x14ac:dyDescent="0.2">
      <c r="AF21884" s="679"/>
    </row>
    <row r="21885" spans="32:32" x14ac:dyDescent="0.2">
      <c r="AF21885" s="679"/>
    </row>
    <row r="21886" spans="32:32" x14ac:dyDescent="0.2">
      <c r="AF21886" s="679"/>
    </row>
    <row r="21887" spans="32:32" x14ac:dyDescent="0.2">
      <c r="AF21887" s="679"/>
    </row>
    <row r="21888" spans="32:32" x14ac:dyDescent="0.2">
      <c r="AF21888" s="679"/>
    </row>
    <row r="21889" spans="32:32" x14ac:dyDescent="0.2">
      <c r="AF21889" s="679"/>
    </row>
    <row r="21890" spans="32:32" x14ac:dyDescent="0.2">
      <c r="AF21890" s="679"/>
    </row>
    <row r="21891" spans="32:32" x14ac:dyDescent="0.2">
      <c r="AF21891" s="679"/>
    </row>
    <row r="21892" spans="32:32" x14ac:dyDescent="0.2">
      <c r="AF21892" s="679"/>
    </row>
    <row r="21893" spans="32:32" x14ac:dyDescent="0.2">
      <c r="AF21893" s="679"/>
    </row>
    <row r="21894" spans="32:32" x14ac:dyDescent="0.2">
      <c r="AF21894" s="679"/>
    </row>
    <row r="21895" spans="32:32" x14ac:dyDescent="0.2">
      <c r="AF21895" s="679"/>
    </row>
    <row r="21896" spans="32:32" x14ac:dyDescent="0.2">
      <c r="AF21896" s="679"/>
    </row>
    <row r="21897" spans="32:32" x14ac:dyDescent="0.2">
      <c r="AF21897" s="679"/>
    </row>
    <row r="21898" spans="32:32" x14ac:dyDescent="0.2">
      <c r="AF21898" s="679"/>
    </row>
    <row r="21899" spans="32:32" x14ac:dyDescent="0.2">
      <c r="AF21899" s="679"/>
    </row>
    <row r="21900" spans="32:32" x14ac:dyDescent="0.2">
      <c r="AF21900" s="679"/>
    </row>
    <row r="21901" spans="32:32" x14ac:dyDescent="0.2">
      <c r="AF21901" s="679"/>
    </row>
    <row r="21902" spans="32:32" x14ac:dyDescent="0.2">
      <c r="AF21902" s="679"/>
    </row>
    <row r="21903" spans="32:32" x14ac:dyDescent="0.2">
      <c r="AF21903" s="679"/>
    </row>
    <row r="21904" spans="32:32" x14ac:dyDescent="0.2">
      <c r="AF21904" s="679"/>
    </row>
    <row r="21905" spans="32:32" x14ac:dyDescent="0.2">
      <c r="AF21905" s="679"/>
    </row>
    <row r="21906" spans="32:32" x14ac:dyDescent="0.2">
      <c r="AF21906" s="679"/>
    </row>
    <row r="21907" spans="32:32" x14ac:dyDescent="0.2">
      <c r="AF21907" s="679"/>
    </row>
    <row r="21908" spans="32:32" x14ac:dyDescent="0.2">
      <c r="AF21908" s="679"/>
    </row>
    <row r="21909" spans="32:32" x14ac:dyDescent="0.2">
      <c r="AF21909" s="679"/>
    </row>
    <row r="21910" spans="32:32" x14ac:dyDescent="0.2">
      <c r="AF21910" s="679"/>
    </row>
    <row r="21911" spans="32:32" x14ac:dyDescent="0.2">
      <c r="AF21911" s="679"/>
    </row>
    <row r="21912" spans="32:32" x14ac:dyDescent="0.2">
      <c r="AF21912" s="679"/>
    </row>
    <row r="21913" spans="32:32" x14ac:dyDescent="0.2">
      <c r="AF21913" s="679"/>
    </row>
    <row r="21914" spans="32:32" x14ac:dyDescent="0.2">
      <c r="AF21914" s="679"/>
    </row>
    <row r="21915" spans="32:32" x14ac:dyDescent="0.2">
      <c r="AF21915" s="679"/>
    </row>
    <row r="21916" spans="32:32" x14ac:dyDescent="0.2">
      <c r="AF21916" s="679"/>
    </row>
    <row r="21917" spans="32:32" x14ac:dyDescent="0.2">
      <c r="AF21917" s="679"/>
    </row>
    <row r="21918" spans="32:32" x14ac:dyDescent="0.2">
      <c r="AF21918" s="679"/>
    </row>
    <row r="21919" spans="32:32" x14ac:dyDescent="0.2">
      <c r="AF21919" s="679"/>
    </row>
    <row r="21920" spans="32:32" x14ac:dyDescent="0.2">
      <c r="AF21920" s="679"/>
    </row>
    <row r="21921" spans="32:32" x14ac:dyDescent="0.2">
      <c r="AF21921" s="679"/>
    </row>
    <row r="21922" spans="32:32" x14ac:dyDescent="0.2">
      <c r="AF21922" s="679"/>
    </row>
    <row r="21923" spans="32:32" x14ac:dyDescent="0.2">
      <c r="AF21923" s="679"/>
    </row>
    <row r="21924" spans="32:32" x14ac:dyDescent="0.2">
      <c r="AF21924" s="679"/>
    </row>
    <row r="21925" spans="32:32" x14ac:dyDescent="0.2">
      <c r="AF21925" s="679"/>
    </row>
    <row r="21926" spans="32:32" x14ac:dyDescent="0.2">
      <c r="AF21926" s="679"/>
    </row>
    <row r="21927" spans="32:32" x14ac:dyDescent="0.2">
      <c r="AF21927" s="679"/>
    </row>
    <row r="21928" spans="32:32" x14ac:dyDescent="0.2">
      <c r="AF21928" s="679"/>
    </row>
    <row r="21929" spans="32:32" x14ac:dyDescent="0.2">
      <c r="AF21929" s="679"/>
    </row>
    <row r="21930" spans="32:32" x14ac:dyDescent="0.2">
      <c r="AF21930" s="679"/>
    </row>
    <row r="21931" spans="32:32" x14ac:dyDescent="0.2">
      <c r="AF21931" s="679"/>
    </row>
    <row r="21932" spans="32:32" x14ac:dyDescent="0.2">
      <c r="AF21932" s="679"/>
    </row>
    <row r="21933" spans="32:32" x14ac:dyDescent="0.2">
      <c r="AF21933" s="679"/>
    </row>
    <row r="21934" spans="32:32" x14ac:dyDescent="0.2">
      <c r="AF21934" s="679"/>
    </row>
    <row r="21935" spans="32:32" x14ac:dyDescent="0.2">
      <c r="AF21935" s="679"/>
    </row>
    <row r="21936" spans="32:32" x14ac:dyDescent="0.2">
      <c r="AF21936" s="679"/>
    </row>
    <row r="21937" spans="32:32" x14ac:dyDescent="0.2">
      <c r="AF21937" s="679"/>
    </row>
    <row r="21938" spans="32:32" x14ac:dyDescent="0.2">
      <c r="AF21938" s="679"/>
    </row>
    <row r="21939" spans="32:32" x14ac:dyDescent="0.2">
      <c r="AF21939" s="679"/>
    </row>
    <row r="21940" spans="32:32" x14ac:dyDescent="0.2">
      <c r="AF21940" s="679"/>
    </row>
    <row r="21941" spans="32:32" x14ac:dyDescent="0.2">
      <c r="AF21941" s="679"/>
    </row>
    <row r="21942" spans="32:32" x14ac:dyDescent="0.2">
      <c r="AF21942" s="679"/>
    </row>
    <row r="21943" spans="32:32" x14ac:dyDescent="0.2">
      <c r="AF21943" s="679"/>
    </row>
    <row r="21944" spans="32:32" x14ac:dyDescent="0.2">
      <c r="AF21944" s="679"/>
    </row>
    <row r="21945" spans="32:32" x14ac:dyDescent="0.2">
      <c r="AF21945" s="679"/>
    </row>
    <row r="21946" spans="32:32" x14ac:dyDescent="0.2">
      <c r="AF21946" s="679"/>
    </row>
    <row r="21947" spans="32:32" x14ac:dyDescent="0.2">
      <c r="AF21947" s="679"/>
    </row>
    <row r="21948" spans="32:32" x14ac:dyDescent="0.2">
      <c r="AF21948" s="679"/>
    </row>
    <row r="21949" spans="32:32" x14ac:dyDescent="0.2">
      <c r="AF21949" s="679"/>
    </row>
    <row r="21950" spans="32:32" x14ac:dyDescent="0.2">
      <c r="AF21950" s="679"/>
    </row>
    <row r="21951" spans="32:32" x14ac:dyDescent="0.2">
      <c r="AF21951" s="679"/>
    </row>
    <row r="21952" spans="32:32" x14ac:dyDescent="0.2">
      <c r="AF21952" s="679"/>
    </row>
    <row r="21953" spans="32:32" x14ac:dyDescent="0.2">
      <c r="AF21953" s="679"/>
    </row>
    <row r="21954" spans="32:32" x14ac:dyDescent="0.2">
      <c r="AF21954" s="679"/>
    </row>
    <row r="21955" spans="32:32" x14ac:dyDescent="0.2">
      <c r="AF21955" s="679"/>
    </row>
    <row r="21956" spans="32:32" x14ac:dyDescent="0.2">
      <c r="AF21956" s="679"/>
    </row>
    <row r="21957" spans="32:32" x14ac:dyDescent="0.2">
      <c r="AF21957" s="679"/>
    </row>
    <row r="21958" spans="32:32" x14ac:dyDescent="0.2">
      <c r="AF21958" s="679"/>
    </row>
    <row r="21959" spans="32:32" x14ac:dyDescent="0.2">
      <c r="AF21959" s="679"/>
    </row>
    <row r="21960" spans="32:32" x14ac:dyDescent="0.2">
      <c r="AF21960" s="679"/>
    </row>
    <row r="21961" spans="32:32" x14ac:dyDescent="0.2">
      <c r="AF21961" s="679"/>
    </row>
    <row r="21962" spans="32:32" x14ac:dyDescent="0.2">
      <c r="AF21962" s="679"/>
    </row>
    <row r="21963" spans="32:32" x14ac:dyDescent="0.2">
      <c r="AF21963" s="679"/>
    </row>
    <row r="21964" spans="32:32" x14ac:dyDescent="0.2">
      <c r="AF21964" s="679"/>
    </row>
    <row r="21965" spans="32:32" x14ac:dyDescent="0.2">
      <c r="AF21965" s="679"/>
    </row>
    <row r="21966" spans="32:32" x14ac:dyDescent="0.2">
      <c r="AF21966" s="679"/>
    </row>
    <row r="21967" spans="32:32" x14ac:dyDescent="0.2">
      <c r="AF21967" s="679"/>
    </row>
    <row r="21968" spans="32:32" x14ac:dyDescent="0.2">
      <c r="AF21968" s="679"/>
    </row>
    <row r="21969" spans="32:32" x14ac:dyDescent="0.2">
      <c r="AF21969" s="679"/>
    </row>
    <row r="21970" spans="32:32" x14ac:dyDescent="0.2">
      <c r="AF21970" s="679"/>
    </row>
    <row r="21971" spans="32:32" x14ac:dyDescent="0.2">
      <c r="AF21971" s="679"/>
    </row>
    <row r="21972" spans="32:32" x14ac:dyDescent="0.2">
      <c r="AF21972" s="679"/>
    </row>
    <row r="21973" spans="32:32" x14ac:dyDescent="0.2">
      <c r="AF21973" s="679"/>
    </row>
    <row r="21974" spans="32:32" x14ac:dyDescent="0.2">
      <c r="AF21974" s="679"/>
    </row>
    <row r="21975" spans="32:32" x14ac:dyDescent="0.2">
      <c r="AF21975" s="679"/>
    </row>
    <row r="21976" spans="32:32" x14ac:dyDescent="0.2">
      <c r="AF21976" s="679"/>
    </row>
    <row r="21977" spans="32:32" x14ac:dyDescent="0.2">
      <c r="AF21977" s="679"/>
    </row>
    <row r="21978" spans="32:32" x14ac:dyDescent="0.2">
      <c r="AF21978" s="679"/>
    </row>
    <row r="21979" spans="32:32" x14ac:dyDescent="0.2">
      <c r="AF21979" s="679"/>
    </row>
    <row r="21980" spans="32:32" x14ac:dyDescent="0.2">
      <c r="AF21980" s="679"/>
    </row>
    <row r="21981" spans="32:32" x14ac:dyDescent="0.2">
      <c r="AF21981" s="679"/>
    </row>
    <row r="21982" spans="32:32" x14ac:dyDescent="0.2">
      <c r="AF21982" s="679"/>
    </row>
    <row r="21983" spans="32:32" x14ac:dyDescent="0.2">
      <c r="AF21983" s="679"/>
    </row>
    <row r="21984" spans="32:32" x14ac:dyDescent="0.2">
      <c r="AF21984" s="679"/>
    </row>
    <row r="21985" spans="32:32" x14ac:dyDescent="0.2">
      <c r="AF21985" s="679"/>
    </row>
    <row r="21986" spans="32:32" x14ac:dyDescent="0.2">
      <c r="AF21986" s="679"/>
    </row>
    <row r="21987" spans="32:32" x14ac:dyDescent="0.2">
      <c r="AF21987" s="679"/>
    </row>
    <row r="21988" spans="32:32" x14ac:dyDescent="0.2">
      <c r="AF21988" s="679"/>
    </row>
    <row r="21989" spans="32:32" x14ac:dyDescent="0.2">
      <c r="AF21989" s="679"/>
    </row>
    <row r="21990" spans="32:32" x14ac:dyDescent="0.2">
      <c r="AF21990" s="679"/>
    </row>
    <row r="21991" spans="32:32" x14ac:dyDescent="0.2">
      <c r="AF21991" s="679"/>
    </row>
    <row r="21992" spans="32:32" x14ac:dyDescent="0.2">
      <c r="AF21992" s="679"/>
    </row>
    <row r="21993" spans="32:32" x14ac:dyDescent="0.2">
      <c r="AF21993" s="679"/>
    </row>
    <row r="21994" spans="32:32" x14ac:dyDescent="0.2">
      <c r="AF21994" s="679"/>
    </row>
    <row r="21995" spans="32:32" x14ac:dyDescent="0.2">
      <c r="AF21995" s="679"/>
    </row>
    <row r="21996" spans="32:32" x14ac:dyDescent="0.2">
      <c r="AF21996" s="679"/>
    </row>
    <row r="21997" spans="32:32" x14ac:dyDescent="0.2">
      <c r="AF21997" s="679"/>
    </row>
    <row r="21998" spans="32:32" x14ac:dyDescent="0.2">
      <c r="AF21998" s="679"/>
    </row>
    <row r="21999" spans="32:32" x14ac:dyDescent="0.2">
      <c r="AF21999" s="679"/>
    </row>
    <row r="22000" spans="32:32" x14ac:dyDescent="0.2">
      <c r="AF22000" s="679"/>
    </row>
    <row r="22001" spans="32:32" x14ac:dyDescent="0.2">
      <c r="AF22001" s="679"/>
    </row>
    <row r="22002" spans="32:32" x14ac:dyDescent="0.2">
      <c r="AF22002" s="679"/>
    </row>
    <row r="22003" spans="32:32" x14ac:dyDescent="0.2">
      <c r="AF22003" s="679"/>
    </row>
    <row r="22004" spans="32:32" x14ac:dyDescent="0.2">
      <c r="AF22004" s="679"/>
    </row>
    <row r="22005" spans="32:32" x14ac:dyDescent="0.2">
      <c r="AF22005" s="679"/>
    </row>
    <row r="22006" spans="32:32" x14ac:dyDescent="0.2">
      <c r="AF22006" s="679"/>
    </row>
    <row r="22007" spans="32:32" x14ac:dyDescent="0.2">
      <c r="AF22007" s="679"/>
    </row>
    <row r="22008" spans="32:32" x14ac:dyDescent="0.2">
      <c r="AF22008" s="679"/>
    </row>
    <row r="22009" spans="32:32" x14ac:dyDescent="0.2">
      <c r="AF22009" s="679"/>
    </row>
    <row r="22010" spans="32:32" x14ac:dyDescent="0.2">
      <c r="AF22010" s="679"/>
    </row>
    <row r="22011" spans="32:32" x14ac:dyDescent="0.2">
      <c r="AF22011" s="679"/>
    </row>
    <row r="22012" spans="32:32" x14ac:dyDescent="0.2">
      <c r="AF22012" s="679"/>
    </row>
    <row r="22013" spans="32:32" x14ac:dyDescent="0.2">
      <c r="AF22013" s="679"/>
    </row>
    <row r="22014" spans="32:32" x14ac:dyDescent="0.2">
      <c r="AF22014" s="679"/>
    </row>
    <row r="22015" spans="32:32" x14ac:dyDescent="0.2">
      <c r="AF22015" s="679"/>
    </row>
    <row r="22016" spans="32:32" x14ac:dyDescent="0.2">
      <c r="AF22016" s="679"/>
    </row>
    <row r="22017" spans="32:32" x14ac:dyDescent="0.2">
      <c r="AF22017" s="679"/>
    </row>
    <row r="22018" spans="32:32" x14ac:dyDescent="0.2">
      <c r="AF22018" s="679"/>
    </row>
    <row r="22019" spans="32:32" x14ac:dyDescent="0.2">
      <c r="AF22019" s="679"/>
    </row>
    <row r="22020" spans="32:32" x14ac:dyDescent="0.2">
      <c r="AF22020" s="679"/>
    </row>
    <row r="22021" spans="32:32" x14ac:dyDescent="0.2">
      <c r="AF22021" s="679"/>
    </row>
    <row r="22022" spans="32:32" x14ac:dyDescent="0.2">
      <c r="AF22022" s="679"/>
    </row>
    <row r="22023" spans="32:32" x14ac:dyDescent="0.2">
      <c r="AF22023" s="679"/>
    </row>
    <row r="22024" spans="32:32" x14ac:dyDescent="0.2">
      <c r="AF22024" s="679"/>
    </row>
    <row r="22025" spans="32:32" x14ac:dyDescent="0.2">
      <c r="AF22025" s="679"/>
    </row>
    <row r="22026" spans="32:32" x14ac:dyDescent="0.2">
      <c r="AF22026" s="679"/>
    </row>
    <row r="22027" spans="32:32" x14ac:dyDescent="0.2">
      <c r="AF22027" s="679"/>
    </row>
    <row r="22028" spans="32:32" x14ac:dyDescent="0.2">
      <c r="AF22028" s="679"/>
    </row>
    <row r="22029" spans="32:32" x14ac:dyDescent="0.2">
      <c r="AF22029" s="679"/>
    </row>
    <row r="22030" spans="32:32" x14ac:dyDescent="0.2">
      <c r="AF22030" s="679"/>
    </row>
    <row r="22031" spans="32:32" x14ac:dyDescent="0.2">
      <c r="AF22031" s="679"/>
    </row>
    <row r="22032" spans="32:32" x14ac:dyDescent="0.2">
      <c r="AF22032" s="679"/>
    </row>
    <row r="22033" spans="32:32" x14ac:dyDescent="0.2">
      <c r="AF22033" s="679"/>
    </row>
    <row r="22034" spans="32:32" x14ac:dyDescent="0.2">
      <c r="AF22034" s="679"/>
    </row>
    <row r="22035" spans="32:32" x14ac:dyDescent="0.2">
      <c r="AF22035" s="679"/>
    </row>
    <row r="22036" spans="32:32" x14ac:dyDescent="0.2">
      <c r="AF22036" s="679"/>
    </row>
    <row r="22037" spans="32:32" x14ac:dyDescent="0.2">
      <c r="AF22037" s="679"/>
    </row>
    <row r="22038" spans="32:32" x14ac:dyDescent="0.2">
      <c r="AF22038" s="679"/>
    </row>
    <row r="22039" spans="32:32" x14ac:dyDescent="0.2">
      <c r="AF22039" s="679"/>
    </row>
    <row r="22040" spans="32:32" x14ac:dyDescent="0.2">
      <c r="AF22040" s="679"/>
    </row>
    <row r="22041" spans="32:32" x14ac:dyDescent="0.2">
      <c r="AF22041" s="679"/>
    </row>
    <row r="22042" spans="32:32" x14ac:dyDescent="0.2">
      <c r="AF22042" s="679"/>
    </row>
    <row r="22043" spans="32:32" x14ac:dyDescent="0.2">
      <c r="AF22043" s="679"/>
    </row>
    <row r="22044" spans="32:32" x14ac:dyDescent="0.2">
      <c r="AF22044" s="679"/>
    </row>
    <row r="22045" spans="32:32" x14ac:dyDescent="0.2">
      <c r="AF22045" s="679"/>
    </row>
    <row r="22046" spans="32:32" x14ac:dyDescent="0.2">
      <c r="AF22046" s="679"/>
    </row>
    <row r="22047" spans="32:32" x14ac:dyDescent="0.2">
      <c r="AF22047" s="679"/>
    </row>
    <row r="22048" spans="32:32" x14ac:dyDescent="0.2">
      <c r="AF22048" s="679"/>
    </row>
    <row r="22049" spans="32:32" x14ac:dyDescent="0.2">
      <c r="AF22049" s="679"/>
    </row>
    <row r="22050" spans="32:32" x14ac:dyDescent="0.2">
      <c r="AF22050" s="679"/>
    </row>
    <row r="22051" spans="32:32" x14ac:dyDescent="0.2">
      <c r="AF22051" s="679"/>
    </row>
    <row r="22052" spans="32:32" x14ac:dyDescent="0.2">
      <c r="AF22052" s="679"/>
    </row>
    <row r="22053" spans="32:32" x14ac:dyDescent="0.2">
      <c r="AF22053" s="679"/>
    </row>
    <row r="22054" spans="32:32" x14ac:dyDescent="0.2">
      <c r="AF22054" s="679"/>
    </row>
    <row r="22055" spans="32:32" x14ac:dyDescent="0.2">
      <c r="AF22055" s="679"/>
    </row>
    <row r="22056" spans="32:32" x14ac:dyDescent="0.2">
      <c r="AF22056" s="679"/>
    </row>
    <row r="22057" spans="32:32" x14ac:dyDescent="0.2">
      <c r="AF22057" s="679"/>
    </row>
    <row r="22058" spans="32:32" x14ac:dyDescent="0.2">
      <c r="AF22058" s="679"/>
    </row>
    <row r="22059" spans="32:32" x14ac:dyDescent="0.2">
      <c r="AF22059" s="679"/>
    </row>
    <row r="22060" spans="32:32" x14ac:dyDescent="0.2">
      <c r="AF22060" s="679"/>
    </row>
    <row r="22061" spans="32:32" x14ac:dyDescent="0.2">
      <c r="AF22061" s="679"/>
    </row>
    <row r="22062" spans="32:32" x14ac:dyDescent="0.2">
      <c r="AF22062" s="679"/>
    </row>
    <row r="22063" spans="32:32" x14ac:dyDescent="0.2">
      <c r="AF22063" s="679"/>
    </row>
    <row r="22064" spans="32:32" x14ac:dyDescent="0.2">
      <c r="AF22064" s="679"/>
    </row>
    <row r="22065" spans="32:32" x14ac:dyDescent="0.2">
      <c r="AF22065" s="679"/>
    </row>
    <row r="22066" spans="32:32" x14ac:dyDescent="0.2">
      <c r="AF22066" s="679"/>
    </row>
    <row r="22067" spans="32:32" x14ac:dyDescent="0.2">
      <c r="AF22067" s="679"/>
    </row>
    <row r="22068" spans="32:32" x14ac:dyDescent="0.2">
      <c r="AF22068" s="679"/>
    </row>
    <row r="22069" spans="32:32" x14ac:dyDescent="0.2">
      <c r="AF22069" s="679"/>
    </row>
    <row r="22070" spans="32:32" x14ac:dyDescent="0.2">
      <c r="AF22070" s="679"/>
    </row>
    <row r="22071" spans="32:32" x14ac:dyDescent="0.2">
      <c r="AF22071" s="679"/>
    </row>
    <row r="22072" spans="32:32" x14ac:dyDescent="0.2">
      <c r="AF22072" s="679"/>
    </row>
    <row r="22073" spans="32:32" x14ac:dyDescent="0.2">
      <c r="AF22073" s="679"/>
    </row>
    <row r="22074" spans="32:32" x14ac:dyDescent="0.2">
      <c r="AF22074" s="679"/>
    </row>
    <row r="22075" spans="32:32" x14ac:dyDescent="0.2">
      <c r="AF22075" s="679"/>
    </row>
    <row r="22076" spans="32:32" x14ac:dyDescent="0.2">
      <c r="AF22076" s="679"/>
    </row>
    <row r="22077" spans="32:32" x14ac:dyDescent="0.2">
      <c r="AF22077" s="679"/>
    </row>
    <row r="22078" spans="32:32" x14ac:dyDescent="0.2">
      <c r="AF22078" s="679"/>
    </row>
    <row r="22079" spans="32:32" x14ac:dyDescent="0.2">
      <c r="AF22079" s="679"/>
    </row>
    <row r="22080" spans="32:32" x14ac:dyDescent="0.2">
      <c r="AF22080" s="679"/>
    </row>
    <row r="22081" spans="32:32" x14ac:dyDescent="0.2">
      <c r="AF22081" s="679"/>
    </row>
    <row r="22082" spans="32:32" x14ac:dyDescent="0.2">
      <c r="AF22082" s="679"/>
    </row>
    <row r="22083" spans="32:32" x14ac:dyDescent="0.2">
      <c r="AF22083" s="679"/>
    </row>
    <row r="22084" spans="32:32" x14ac:dyDescent="0.2">
      <c r="AF22084" s="679"/>
    </row>
    <row r="22085" spans="32:32" x14ac:dyDescent="0.2">
      <c r="AF22085" s="679"/>
    </row>
    <row r="22086" spans="32:32" x14ac:dyDescent="0.2">
      <c r="AF22086" s="679"/>
    </row>
    <row r="22087" spans="32:32" x14ac:dyDescent="0.2">
      <c r="AF22087" s="679"/>
    </row>
    <row r="22088" spans="32:32" x14ac:dyDescent="0.2">
      <c r="AF22088" s="679"/>
    </row>
    <row r="22089" spans="32:32" x14ac:dyDescent="0.2">
      <c r="AF22089" s="679"/>
    </row>
    <row r="22090" spans="32:32" x14ac:dyDescent="0.2">
      <c r="AF22090" s="679"/>
    </row>
    <row r="22091" spans="32:32" x14ac:dyDescent="0.2">
      <c r="AF22091" s="679"/>
    </row>
    <row r="22092" spans="32:32" x14ac:dyDescent="0.2">
      <c r="AF22092" s="679"/>
    </row>
    <row r="22093" spans="32:32" x14ac:dyDescent="0.2">
      <c r="AF22093" s="679"/>
    </row>
    <row r="22094" spans="32:32" x14ac:dyDescent="0.2">
      <c r="AF22094" s="679"/>
    </row>
    <row r="22095" spans="32:32" x14ac:dyDescent="0.2">
      <c r="AF22095" s="679"/>
    </row>
    <row r="22096" spans="32:32" x14ac:dyDescent="0.2">
      <c r="AF22096" s="679"/>
    </row>
    <row r="22097" spans="32:32" x14ac:dyDescent="0.2">
      <c r="AF22097" s="679"/>
    </row>
    <row r="22098" spans="32:32" x14ac:dyDescent="0.2">
      <c r="AF22098" s="679"/>
    </row>
    <row r="22099" spans="32:32" x14ac:dyDescent="0.2">
      <c r="AF22099" s="679"/>
    </row>
    <row r="22100" spans="32:32" x14ac:dyDescent="0.2">
      <c r="AF22100" s="679"/>
    </row>
    <row r="22101" spans="32:32" x14ac:dyDescent="0.2">
      <c r="AF22101" s="679"/>
    </row>
    <row r="22102" spans="32:32" x14ac:dyDescent="0.2">
      <c r="AF22102" s="679"/>
    </row>
    <row r="22103" spans="32:32" x14ac:dyDescent="0.2">
      <c r="AF22103" s="679"/>
    </row>
    <row r="22104" spans="32:32" x14ac:dyDescent="0.2">
      <c r="AF22104" s="679"/>
    </row>
    <row r="22105" spans="32:32" x14ac:dyDescent="0.2">
      <c r="AF22105" s="679"/>
    </row>
    <row r="22106" spans="32:32" x14ac:dyDescent="0.2">
      <c r="AF22106" s="679"/>
    </row>
    <row r="22107" spans="32:32" x14ac:dyDescent="0.2">
      <c r="AF22107" s="679"/>
    </row>
    <row r="22108" spans="32:32" x14ac:dyDescent="0.2">
      <c r="AF22108" s="679"/>
    </row>
    <row r="22109" spans="32:32" x14ac:dyDescent="0.2">
      <c r="AF22109" s="679"/>
    </row>
    <row r="22110" spans="32:32" x14ac:dyDescent="0.2">
      <c r="AF22110" s="679"/>
    </row>
    <row r="22111" spans="32:32" x14ac:dyDescent="0.2">
      <c r="AF22111" s="679"/>
    </row>
    <row r="22112" spans="32:32" x14ac:dyDescent="0.2">
      <c r="AF22112" s="679"/>
    </row>
    <row r="22113" spans="32:32" x14ac:dyDescent="0.2">
      <c r="AF22113" s="679"/>
    </row>
    <row r="22114" spans="32:32" x14ac:dyDescent="0.2">
      <c r="AF22114" s="679"/>
    </row>
    <row r="22115" spans="32:32" x14ac:dyDescent="0.2">
      <c r="AF22115" s="679"/>
    </row>
    <row r="22116" spans="32:32" x14ac:dyDescent="0.2">
      <c r="AF22116" s="679"/>
    </row>
    <row r="22117" spans="32:32" x14ac:dyDescent="0.2">
      <c r="AF22117" s="679"/>
    </row>
    <row r="22118" spans="32:32" x14ac:dyDescent="0.2">
      <c r="AF22118" s="679"/>
    </row>
    <row r="22119" spans="32:32" x14ac:dyDescent="0.2">
      <c r="AF22119" s="679"/>
    </row>
    <row r="22120" spans="32:32" x14ac:dyDescent="0.2">
      <c r="AF22120" s="679"/>
    </row>
    <row r="22121" spans="32:32" x14ac:dyDescent="0.2">
      <c r="AF22121" s="679"/>
    </row>
    <row r="22122" spans="32:32" x14ac:dyDescent="0.2">
      <c r="AF22122" s="679"/>
    </row>
    <row r="22123" spans="32:32" x14ac:dyDescent="0.2">
      <c r="AF22123" s="679"/>
    </row>
    <row r="22124" spans="32:32" x14ac:dyDescent="0.2">
      <c r="AF22124" s="679"/>
    </row>
    <row r="22125" spans="32:32" x14ac:dyDescent="0.2">
      <c r="AF22125" s="679"/>
    </row>
    <row r="22126" spans="32:32" x14ac:dyDescent="0.2">
      <c r="AF22126" s="679"/>
    </row>
    <row r="22127" spans="32:32" x14ac:dyDescent="0.2">
      <c r="AF22127" s="679"/>
    </row>
    <row r="22128" spans="32:32" x14ac:dyDescent="0.2">
      <c r="AF22128" s="679"/>
    </row>
    <row r="22129" spans="32:32" x14ac:dyDescent="0.2">
      <c r="AF22129" s="679"/>
    </row>
    <row r="22130" spans="32:32" x14ac:dyDescent="0.2">
      <c r="AF22130" s="679"/>
    </row>
    <row r="22131" spans="32:32" x14ac:dyDescent="0.2">
      <c r="AF22131" s="679"/>
    </row>
    <row r="22132" spans="32:32" x14ac:dyDescent="0.2">
      <c r="AF22132" s="679"/>
    </row>
    <row r="22133" spans="32:32" x14ac:dyDescent="0.2">
      <c r="AF22133" s="679"/>
    </row>
    <row r="22134" spans="32:32" x14ac:dyDescent="0.2">
      <c r="AF22134" s="679"/>
    </row>
    <row r="22135" spans="32:32" x14ac:dyDescent="0.2">
      <c r="AF22135" s="679"/>
    </row>
    <row r="22136" spans="32:32" x14ac:dyDescent="0.2">
      <c r="AF22136" s="679"/>
    </row>
    <row r="22137" spans="32:32" x14ac:dyDescent="0.2">
      <c r="AF22137" s="679"/>
    </row>
    <row r="22138" spans="32:32" x14ac:dyDescent="0.2">
      <c r="AF22138" s="679"/>
    </row>
    <row r="22139" spans="32:32" x14ac:dyDescent="0.2">
      <c r="AF22139" s="679"/>
    </row>
    <row r="22140" spans="32:32" x14ac:dyDescent="0.2">
      <c r="AF22140" s="679"/>
    </row>
    <row r="22141" spans="32:32" x14ac:dyDescent="0.2">
      <c r="AF22141" s="679"/>
    </row>
    <row r="22142" spans="32:32" x14ac:dyDescent="0.2">
      <c r="AF22142" s="679"/>
    </row>
    <row r="22143" spans="32:32" x14ac:dyDescent="0.2">
      <c r="AF22143" s="679"/>
    </row>
    <row r="22144" spans="32:32" x14ac:dyDescent="0.2">
      <c r="AF22144" s="679"/>
    </row>
    <row r="22145" spans="32:32" x14ac:dyDescent="0.2">
      <c r="AF22145" s="679"/>
    </row>
    <row r="22146" spans="32:32" x14ac:dyDescent="0.2">
      <c r="AF22146" s="679"/>
    </row>
    <row r="22147" spans="32:32" x14ac:dyDescent="0.2">
      <c r="AF22147" s="679"/>
    </row>
    <row r="22148" spans="32:32" x14ac:dyDescent="0.2">
      <c r="AF22148" s="679"/>
    </row>
    <row r="22149" spans="32:32" x14ac:dyDescent="0.2">
      <c r="AF22149" s="679"/>
    </row>
    <row r="22150" spans="32:32" x14ac:dyDescent="0.2">
      <c r="AF22150" s="679"/>
    </row>
    <row r="22151" spans="32:32" x14ac:dyDescent="0.2">
      <c r="AF22151" s="679"/>
    </row>
    <row r="22152" spans="32:32" x14ac:dyDescent="0.2">
      <c r="AF22152" s="679"/>
    </row>
    <row r="22153" spans="32:32" x14ac:dyDescent="0.2">
      <c r="AF22153" s="679"/>
    </row>
    <row r="22154" spans="32:32" x14ac:dyDescent="0.2">
      <c r="AF22154" s="679"/>
    </row>
    <row r="22155" spans="32:32" x14ac:dyDescent="0.2">
      <c r="AF22155" s="679"/>
    </row>
    <row r="22156" spans="32:32" x14ac:dyDescent="0.2">
      <c r="AF22156" s="679"/>
    </row>
    <row r="22157" spans="32:32" x14ac:dyDescent="0.2">
      <c r="AF22157" s="679"/>
    </row>
    <row r="22158" spans="32:32" x14ac:dyDescent="0.2">
      <c r="AF22158" s="679"/>
    </row>
    <row r="22159" spans="32:32" x14ac:dyDescent="0.2">
      <c r="AF22159" s="679"/>
    </row>
    <row r="22160" spans="32:32" x14ac:dyDescent="0.2">
      <c r="AF22160" s="679"/>
    </row>
    <row r="22161" spans="32:32" x14ac:dyDescent="0.2">
      <c r="AF22161" s="679"/>
    </row>
    <row r="22162" spans="32:32" x14ac:dyDescent="0.2">
      <c r="AF22162" s="679"/>
    </row>
    <row r="22163" spans="32:32" x14ac:dyDescent="0.2">
      <c r="AF22163" s="679"/>
    </row>
    <row r="22164" spans="32:32" x14ac:dyDescent="0.2">
      <c r="AF22164" s="679"/>
    </row>
    <row r="22165" spans="32:32" x14ac:dyDescent="0.2">
      <c r="AF22165" s="679"/>
    </row>
    <row r="22166" spans="32:32" x14ac:dyDescent="0.2">
      <c r="AF22166" s="679"/>
    </row>
    <row r="22167" spans="32:32" x14ac:dyDescent="0.2">
      <c r="AF22167" s="679"/>
    </row>
    <row r="22168" spans="32:32" x14ac:dyDescent="0.2">
      <c r="AF22168" s="679"/>
    </row>
    <row r="22169" spans="32:32" x14ac:dyDescent="0.2">
      <c r="AF22169" s="679"/>
    </row>
    <row r="22170" spans="32:32" x14ac:dyDescent="0.2">
      <c r="AF22170" s="679"/>
    </row>
    <row r="22171" spans="32:32" x14ac:dyDescent="0.2">
      <c r="AF22171" s="679"/>
    </row>
    <row r="22172" spans="32:32" x14ac:dyDescent="0.2">
      <c r="AF22172" s="679"/>
    </row>
    <row r="22173" spans="32:32" x14ac:dyDescent="0.2">
      <c r="AF22173" s="679"/>
    </row>
    <row r="22174" spans="32:32" x14ac:dyDescent="0.2">
      <c r="AF22174" s="679"/>
    </row>
    <row r="22175" spans="32:32" x14ac:dyDescent="0.2">
      <c r="AF22175" s="679"/>
    </row>
    <row r="22176" spans="32:32" x14ac:dyDescent="0.2">
      <c r="AF22176" s="679"/>
    </row>
    <row r="22177" spans="32:32" x14ac:dyDescent="0.2">
      <c r="AF22177" s="679"/>
    </row>
    <row r="22178" spans="32:32" x14ac:dyDescent="0.2">
      <c r="AF22178" s="679"/>
    </row>
    <row r="22179" spans="32:32" x14ac:dyDescent="0.2">
      <c r="AF22179" s="679"/>
    </row>
    <row r="22180" spans="32:32" x14ac:dyDescent="0.2">
      <c r="AF22180" s="679"/>
    </row>
    <row r="22181" spans="32:32" x14ac:dyDescent="0.2">
      <c r="AF22181" s="679"/>
    </row>
    <row r="22182" spans="32:32" x14ac:dyDescent="0.2">
      <c r="AF22182" s="679"/>
    </row>
    <row r="22183" spans="32:32" x14ac:dyDescent="0.2">
      <c r="AF22183" s="679"/>
    </row>
    <row r="22184" spans="32:32" x14ac:dyDescent="0.2">
      <c r="AF22184" s="679"/>
    </row>
    <row r="22185" spans="32:32" x14ac:dyDescent="0.2">
      <c r="AF22185" s="679"/>
    </row>
    <row r="22186" spans="32:32" x14ac:dyDescent="0.2">
      <c r="AF22186" s="679"/>
    </row>
    <row r="22187" spans="32:32" x14ac:dyDescent="0.2">
      <c r="AF22187" s="679"/>
    </row>
    <row r="22188" spans="32:32" x14ac:dyDescent="0.2">
      <c r="AF22188" s="679"/>
    </row>
    <row r="22189" spans="32:32" x14ac:dyDescent="0.2">
      <c r="AF22189" s="679"/>
    </row>
    <row r="22190" spans="32:32" x14ac:dyDescent="0.2">
      <c r="AF22190" s="679"/>
    </row>
    <row r="22191" spans="32:32" x14ac:dyDescent="0.2">
      <c r="AF22191" s="679"/>
    </row>
    <row r="22192" spans="32:32" x14ac:dyDescent="0.2">
      <c r="AF22192" s="679"/>
    </row>
    <row r="22193" spans="32:32" x14ac:dyDescent="0.2">
      <c r="AF22193" s="679"/>
    </row>
    <row r="22194" spans="32:32" x14ac:dyDescent="0.2">
      <c r="AF22194" s="679"/>
    </row>
    <row r="22195" spans="32:32" x14ac:dyDescent="0.2">
      <c r="AF22195" s="679"/>
    </row>
    <row r="22196" spans="32:32" x14ac:dyDescent="0.2">
      <c r="AF22196" s="679"/>
    </row>
    <row r="22197" spans="32:32" x14ac:dyDescent="0.2">
      <c r="AF22197" s="679"/>
    </row>
    <row r="22198" spans="32:32" x14ac:dyDescent="0.2">
      <c r="AF22198" s="679"/>
    </row>
    <row r="22199" spans="32:32" x14ac:dyDescent="0.2">
      <c r="AF22199" s="679"/>
    </row>
    <row r="22200" spans="32:32" x14ac:dyDescent="0.2">
      <c r="AF22200" s="679"/>
    </row>
    <row r="22201" spans="32:32" x14ac:dyDescent="0.2">
      <c r="AF22201" s="679"/>
    </row>
    <row r="22202" spans="32:32" x14ac:dyDescent="0.2">
      <c r="AF22202" s="679"/>
    </row>
    <row r="22203" spans="32:32" x14ac:dyDescent="0.2">
      <c r="AF22203" s="679"/>
    </row>
    <row r="22204" spans="32:32" x14ac:dyDescent="0.2">
      <c r="AF22204" s="679"/>
    </row>
    <row r="22205" spans="32:32" x14ac:dyDescent="0.2">
      <c r="AF22205" s="679"/>
    </row>
    <row r="22206" spans="32:32" x14ac:dyDescent="0.2">
      <c r="AF22206" s="679"/>
    </row>
    <row r="22207" spans="32:32" x14ac:dyDescent="0.2">
      <c r="AF22207" s="679"/>
    </row>
    <row r="22208" spans="32:32" x14ac:dyDescent="0.2">
      <c r="AF22208" s="679"/>
    </row>
    <row r="22209" spans="32:32" x14ac:dyDescent="0.2">
      <c r="AF22209" s="679"/>
    </row>
    <row r="22210" spans="32:32" x14ac:dyDescent="0.2">
      <c r="AF22210" s="679"/>
    </row>
    <row r="22211" spans="32:32" x14ac:dyDescent="0.2">
      <c r="AF22211" s="679"/>
    </row>
    <row r="22212" spans="32:32" x14ac:dyDescent="0.2">
      <c r="AF22212" s="679"/>
    </row>
    <row r="22213" spans="32:32" x14ac:dyDescent="0.2">
      <c r="AF22213" s="679"/>
    </row>
    <row r="22214" spans="32:32" x14ac:dyDescent="0.2">
      <c r="AF22214" s="679"/>
    </row>
    <row r="22215" spans="32:32" x14ac:dyDescent="0.2">
      <c r="AF22215" s="679"/>
    </row>
    <row r="22216" spans="32:32" x14ac:dyDescent="0.2">
      <c r="AF22216" s="679"/>
    </row>
    <row r="22217" spans="32:32" x14ac:dyDescent="0.2">
      <c r="AF22217" s="679"/>
    </row>
    <row r="22218" spans="32:32" x14ac:dyDescent="0.2">
      <c r="AF22218" s="679"/>
    </row>
    <row r="22219" spans="32:32" x14ac:dyDescent="0.2">
      <c r="AF22219" s="679"/>
    </row>
    <row r="22220" spans="32:32" x14ac:dyDescent="0.2">
      <c r="AF22220" s="679"/>
    </row>
    <row r="22221" spans="32:32" x14ac:dyDescent="0.2">
      <c r="AF22221" s="679"/>
    </row>
    <row r="22222" spans="32:32" x14ac:dyDescent="0.2">
      <c r="AF22222" s="679"/>
    </row>
    <row r="22223" spans="32:32" x14ac:dyDescent="0.2">
      <c r="AF22223" s="679"/>
    </row>
    <row r="22224" spans="32:32" x14ac:dyDescent="0.2">
      <c r="AF22224" s="679"/>
    </row>
    <row r="22225" spans="32:32" x14ac:dyDescent="0.2">
      <c r="AF22225" s="679"/>
    </row>
    <row r="22226" spans="32:32" x14ac:dyDescent="0.2">
      <c r="AF22226" s="679"/>
    </row>
    <row r="22227" spans="32:32" x14ac:dyDescent="0.2">
      <c r="AF22227" s="679"/>
    </row>
    <row r="22228" spans="32:32" x14ac:dyDescent="0.2">
      <c r="AF22228" s="679"/>
    </row>
    <row r="22229" spans="32:32" x14ac:dyDescent="0.2">
      <c r="AF22229" s="679"/>
    </row>
    <row r="22230" spans="32:32" x14ac:dyDescent="0.2">
      <c r="AF22230" s="679"/>
    </row>
    <row r="22231" spans="32:32" x14ac:dyDescent="0.2">
      <c r="AF22231" s="679"/>
    </row>
    <row r="22232" spans="32:32" x14ac:dyDescent="0.2">
      <c r="AF22232" s="679"/>
    </row>
    <row r="22233" spans="32:32" x14ac:dyDescent="0.2">
      <c r="AF22233" s="679"/>
    </row>
    <row r="22234" spans="32:32" x14ac:dyDescent="0.2">
      <c r="AF22234" s="679"/>
    </row>
    <row r="22235" spans="32:32" x14ac:dyDescent="0.2">
      <c r="AF22235" s="679"/>
    </row>
    <row r="22236" spans="32:32" x14ac:dyDescent="0.2">
      <c r="AF22236" s="679"/>
    </row>
    <row r="22237" spans="32:32" x14ac:dyDescent="0.2">
      <c r="AF22237" s="679"/>
    </row>
    <row r="22238" spans="32:32" x14ac:dyDescent="0.2">
      <c r="AF22238" s="679"/>
    </row>
    <row r="22239" spans="32:32" x14ac:dyDescent="0.2">
      <c r="AF22239" s="679"/>
    </row>
    <row r="22240" spans="32:32" x14ac:dyDescent="0.2">
      <c r="AF22240" s="679"/>
    </row>
    <row r="22241" spans="32:32" x14ac:dyDescent="0.2">
      <c r="AF22241" s="679"/>
    </row>
    <row r="22242" spans="32:32" x14ac:dyDescent="0.2">
      <c r="AF22242" s="679"/>
    </row>
    <row r="22243" spans="32:32" x14ac:dyDescent="0.2">
      <c r="AF22243" s="679"/>
    </row>
    <row r="22244" spans="32:32" x14ac:dyDescent="0.2">
      <c r="AF22244" s="679"/>
    </row>
    <row r="22245" spans="32:32" x14ac:dyDescent="0.2">
      <c r="AF22245" s="679"/>
    </row>
    <row r="22246" spans="32:32" x14ac:dyDescent="0.2">
      <c r="AF22246" s="679"/>
    </row>
    <row r="22247" spans="32:32" x14ac:dyDescent="0.2">
      <c r="AF22247" s="679"/>
    </row>
    <row r="22248" spans="32:32" x14ac:dyDescent="0.2">
      <c r="AF22248" s="679"/>
    </row>
    <row r="22249" spans="32:32" x14ac:dyDescent="0.2">
      <c r="AF22249" s="679"/>
    </row>
    <row r="22250" spans="32:32" x14ac:dyDescent="0.2">
      <c r="AF22250" s="679"/>
    </row>
    <row r="22251" spans="32:32" x14ac:dyDescent="0.2">
      <c r="AF22251" s="679"/>
    </row>
    <row r="22252" spans="32:32" x14ac:dyDescent="0.2">
      <c r="AF22252" s="679"/>
    </row>
    <row r="22253" spans="32:32" x14ac:dyDescent="0.2">
      <c r="AF22253" s="679"/>
    </row>
    <row r="22254" spans="32:32" x14ac:dyDescent="0.2">
      <c r="AF22254" s="679"/>
    </row>
    <row r="22255" spans="32:32" x14ac:dyDescent="0.2">
      <c r="AF22255" s="679"/>
    </row>
    <row r="22256" spans="32:32" x14ac:dyDescent="0.2">
      <c r="AF22256" s="679"/>
    </row>
    <row r="22257" spans="32:32" x14ac:dyDescent="0.2">
      <c r="AF22257" s="679"/>
    </row>
    <row r="22258" spans="32:32" x14ac:dyDescent="0.2">
      <c r="AF22258" s="679"/>
    </row>
    <row r="22259" spans="32:32" x14ac:dyDescent="0.2">
      <c r="AF22259" s="679"/>
    </row>
    <row r="22260" spans="32:32" x14ac:dyDescent="0.2">
      <c r="AF22260" s="679"/>
    </row>
    <row r="22261" spans="32:32" x14ac:dyDescent="0.2">
      <c r="AF22261" s="679"/>
    </row>
    <row r="22262" spans="32:32" x14ac:dyDescent="0.2">
      <c r="AF22262" s="679"/>
    </row>
    <row r="22263" spans="32:32" x14ac:dyDescent="0.2">
      <c r="AF22263" s="679"/>
    </row>
    <row r="22264" spans="32:32" x14ac:dyDescent="0.2">
      <c r="AF22264" s="679"/>
    </row>
    <row r="22265" spans="32:32" x14ac:dyDescent="0.2">
      <c r="AF22265" s="679"/>
    </row>
    <row r="22266" spans="32:32" x14ac:dyDescent="0.2">
      <c r="AF22266" s="679"/>
    </row>
    <row r="22267" spans="32:32" x14ac:dyDescent="0.2">
      <c r="AF22267" s="679"/>
    </row>
    <row r="22268" spans="32:32" x14ac:dyDescent="0.2">
      <c r="AF22268" s="679"/>
    </row>
    <row r="22269" spans="32:32" x14ac:dyDescent="0.2">
      <c r="AF22269" s="679"/>
    </row>
    <row r="22270" spans="32:32" x14ac:dyDescent="0.2">
      <c r="AF22270" s="679"/>
    </row>
    <row r="22271" spans="32:32" x14ac:dyDescent="0.2">
      <c r="AF22271" s="679"/>
    </row>
    <row r="22272" spans="32:32" x14ac:dyDescent="0.2">
      <c r="AF22272" s="679"/>
    </row>
    <row r="22273" spans="32:32" x14ac:dyDescent="0.2">
      <c r="AF22273" s="679"/>
    </row>
    <row r="22274" spans="32:32" x14ac:dyDescent="0.2">
      <c r="AF22274" s="679"/>
    </row>
    <row r="22275" spans="32:32" x14ac:dyDescent="0.2">
      <c r="AF22275" s="679"/>
    </row>
    <row r="22276" spans="32:32" x14ac:dyDescent="0.2">
      <c r="AF22276" s="679"/>
    </row>
    <row r="22277" spans="32:32" x14ac:dyDescent="0.2">
      <c r="AF22277" s="679"/>
    </row>
    <row r="22278" spans="32:32" x14ac:dyDescent="0.2">
      <c r="AF22278" s="679"/>
    </row>
    <row r="22279" spans="32:32" x14ac:dyDescent="0.2">
      <c r="AF22279" s="679"/>
    </row>
    <row r="22280" spans="32:32" x14ac:dyDescent="0.2">
      <c r="AF22280" s="679"/>
    </row>
    <row r="22281" spans="32:32" x14ac:dyDescent="0.2">
      <c r="AF22281" s="679"/>
    </row>
    <row r="22282" spans="32:32" x14ac:dyDescent="0.2">
      <c r="AF22282" s="679"/>
    </row>
    <row r="22283" spans="32:32" x14ac:dyDescent="0.2">
      <c r="AF22283" s="679"/>
    </row>
    <row r="22284" spans="32:32" x14ac:dyDescent="0.2">
      <c r="AF22284" s="679"/>
    </row>
    <row r="22285" spans="32:32" x14ac:dyDescent="0.2">
      <c r="AF22285" s="679"/>
    </row>
    <row r="22286" spans="32:32" x14ac:dyDescent="0.2">
      <c r="AF22286" s="679"/>
    </row>
    <row r="22287" spans="32:32" x14ac:dyDescent="0.2">
      <c r="AF22287" s="679"/>
    </row>
    <row r="22288" spans="32:32" x14ac:dyDescent="0.2">
      <c r="AF22288" s="679"/>
    </row>
    <row r="22289" spans="32:32" x14ac:dyDescent="0.2">
      <c r="AF22289" s="679"/>
    </row>
    <row r="22290" spans="32:32" x14ac:dyDescent="0.2">
      <c r="AF22290" s="679"/>
    </row>
    <row r="22291" spans="32:32" x14ac:dyDescent="0.2">
      <c r="AF22291" s="679"/>
    </row>
    <row r="22292" spans="32:32" x14ac:dyDescent="0.2">
      <c r="AF22292" s="679"/>
    </row>
    <row r="22293" spans="32:32" x14ac:dyDescent="0.2">
      <c r="AF22293" s="679"/>
    </row>
    <row r="22294" spans="32:32" x14ac:dyDescent="0.2">
      <c r="AF22294" s="679"/>
    </row>
    <row r="22295" spans="32:32" x14ac:dyDescent="0.2">
      <c r="AF22295" s="679"/>
    </row>
    <row r="22296" spans="32:32" x14ac:dyDescent="0.2">
      <c r="AF22296" s="679"/>
    </row>
    <row r="22297" spans="32:32" x14ac:dyDescent="0.2">
      <c r="AF22297" s="679"/>
    </row>
    <row r="22298" spans="32:32" x14ac:dyDescent="0.2">
      <c r="AF22298" s="679"/>
    </row>
    <row r="22299" spans="32:32" x14ac:dyDescent="0.2">
      <c r="AF22299" s="679"/>
    </row>
    <row r="22300" spans="32:32" x14ac:dyDescent="0.2">
      <c r="AF22300" s="679"/>
    </row>
    <row r="22301" spans="32:32" x14ac:dyDescent="0.2">
      <c r="AF22301" s="679"/>
    </row>
    <row r="22302" spans="32:32" x14ac:dyDescent="0.2">
      <c r="AF22302" s="679"/>
    </row>
    <row r="22303" spans="32:32" x14ac:dyDescent="0.2">
      <c r="AF22303" s="679"/>
    </row>
    <row r="22304" spans="32:32" x14ac:dyDescent="0.2">
      <c r="AF22304" s="679"/>
    </row>
    <row r="22305" spans="32:32" x14ac:dyDescent="0.2">
      <c r="AF22305" s="679"/>
    </row>
    <row r="22306" spans="32:32" x14ac:dyDescent="0.2">
      <c r="AF22306" s="679"/>
    </row>
    <row r="22307" spans="32:32" x14ac:dyDescent="0.2">
      <c r="AF22307" s="679"/>
    </row>
    <row r="22308" spans="32:32" x14ac:dyDescent="0.2">
      <c r="AF22308" s="679"/>
    </row>
    <row r="22309" spans="32:32" x14ac:dyDescent="0.2">
      <c r="AF22309" s="679"/>
    </row>
    <row r="22310" spans="32:32" x14ac:dyDescent="0.2">
      <c r="AF22310" s="679"/>
    </row>
    <row r="22311" spans="32:32" x14ac:dyDescent="0.2">
      <c r="AF22311" s="679"/>
    </row>
    <row r="22312" spans="32:32" x14ac:dyDescent="0.2">
      <c r="AF22312" s="679"/>
    </row>
    <row r="22313" spans="32:32" x14ac:dyDescent="0.2">
      <c r="AF22313" s="679"/>
    </row>
    <row r="22314" spans="32:32" x14ac:dyDescent="0.2">
      <c r="AF22314" s="679"/>
    </row>
    <row r="22315" spans="32:32" x14ac:dyDescent="0.2">
      <c r="AF22315" s="679"/>
    </row>
    <row r="22316" spans="32:32" x14ac:dyDescent="0.2">
      <c r="AF22316" s="679"/>
    </row>
    <row r="22317" spans="32:32" x14ac:dyDescent="0.2">
      <c r="AF22317" s="679"/>
    </row>
    <row r="22318" spans="32:32" x14ac:dyDescent="0.2">
      <c r="AF22318" s="679"/>
    </row>
    <row r="22319" spans="32:32" x14ac:dyDescent="0.2">
      <c r="AF22319" s="679"/>
    </row>
    <row r="22320" spans="32:32" x14ac:dyDescent="0.2">
      <c r="AF22320" s="679"/>
    </row>
    <row r="22321" spans="32:32" x14ac:dyDescent="0.2">
      <c r="AF22321" s="679"/>
    </row>
    <row r="22322" spans="32:32" x14ac:dyDescent="0.2">
      <c r="AF22322" s="679"/>
    </row>
    <row r="22323" spans="32:32" x14ac:dyDescent="0.2">
      <c r="AF22323" s="679"/>
    </row>
    <row r="22324" spans="32:32" x14ac:dyDescent="0.2">
      <c r="AF22324" s="679"/>
    </row>
    <row r="22325" spans="32:32" x14ac:dyDescent="0.2">
      <c r="AF22325" s="679"/>
    </row>
    <row r="22326" spans="32:32" x14ac:dyDescent="0.2">
      <c r="AF22326" s="679"/>
    </row>
    <row r="22327" spans="32:32" x14ac:dyDescent="0.2">
      <c r="AF22327" s="679"/>
    </row>
    <row r="22328" spans="32:32" x14ac:dyDescent="0.2">
      <c r="AF22328" s="679"/>
    </row>
    <row r="22329" spans="32:32" x14ac:dyDescent="0.2">
      <c r="AF22329" s="679"/>
    </row>
    <row r="22330" spans="32:32" x14ac:dyDescent="0.2">
      <c r="AF22330" s="679"/>
    </row>
    <row r="22331" spans="32:32" x14ac:dyDescent="0.2">
      <c r="AF22331" s="679"/>
    </row>
    <row r="22332" spans="32:32" x14ac:dyDescent="0.2">
      <c r="AF22332" s="679"/>
    </row>
    <row r="22333" spans="32:32" x14ac:dyDescent="0.2">
      <c r="AF22333" s="679"/>
    </row>
    <row r="22334" spans="32:32" x14ac:dyDescent="0.2">
      <c r="AF22334" s="679"/>
    </row>
    <row r="22335" spans="32:32" x14ac:dyDescent="0.2">
      <c r="AF22335" s="679"/>
    </row>
    <row r="22336" spans="32:32" x14ac:dyDescent="0.2">
      <c r="AF22336" s="679"/>
    </row>
    <row r="22337" spans="32:32" x14ac:dyDescent="0.2">
      <c r="AF22337" s="679"/>
    </row>
    <row r="22338" spans="32:32" x14ac:dyDescent="0.2">
      <c r="AF22338" s="679"/>
    </row>
    <row r="22339" spans="32:32" x14ac:dyDescent="0.2">
      <c r="AF22339" s="679"/>
    </row>
    <row r="22340" spans="32:32" x14ac:dyDescent="0.2">
      <c r="AF22340" s="679"/>
    </row>
    <row r="22341" spans="32:32" x14ac:dyDescent="0.2">
      <c r="AF22341" s="679"/>
    </row>
    <row r="22342" spans="32:32" x14ac:dyDescent="0.2">
      <c r="AF22342" s="679"/>
    </row>
    <row r="22343" spans="32:32" x14ac:dyDescent="0.2">
      <c r="AF22343" s="679"/>
    </row>
    <row r="22344" spans="32:32" x14ac:dyDescent="0.2">
      <c r="AF22344" s="679"/>
    </row>
    <row r="22345" spans="32:32" x14ac:dyDescent="0.2">
      <c r="AF22345" s="679"/>
    </row>
    <row r="22346" spans="32:32" x14ac:dyDescent="0.2">
      <c r="AF22346" s="679"/>
    </row>
    <row r="22347" spans="32:32" x14ac:dyDescent="0.2">
      <c r="AF22347" s="679"/>
    </row>
    <row r="22348" spans="32:32" x14ac:dyDescent="0.2">
      <c r="AF22348" s="679"/>
    </row>
    <row r="22349" spans="32:32" x14ac:dyDescent="0.2">
      <c r="AF22349" s="679"/>
    </row>
    <row r="22350" spans="32:32" x14ac:dyDescent="0.2">
      <c r="AF22350" s="679"/>
    </row>
    <row r="22351" spans="32:32" x14ac:dyDescent="0.2">
      <c r="AF22351" s="679"/>
    </row>
    <row r="22352" spans="32:32" x14ac:dyDescent="0.2">
      <c r="AF22352" s="679"/>
    </row>
    <row r="22353" spans="32:32" x14ac:dyDescent="0.2">
      <c r="AF22353" s="679"/>
    </row>
    <row r="22354" spans="32:32" x14ac:dyDescent="0.2">
      <c r="AF22354" s="679"/>
    </row>
    <row r="22355" spans="32:32" x14ac:dyDescent="0.2">
      <c r="AF22355" s="679"/>
    </row>
    <row r="22356" spans="32:32" x14ac:dyDescent="0.2">
      <c r="AF22356" s="679"/>
    </row>
    <row r="22357" spans="32:32" x14ac:dyDescent="0.2">
      <c r="AF22357" s="679"/>
    </row>
    <row r="22358" spans="32:32" x14ac:dyDescent="0.2">
      <c r="AF22358" s="679"/>
    </row>
    <row r="22359" spans="32:32" x14ac:dyDescent="0.2">
      <c r="AF22359" s="679"/>
    </row>
    <row r="22360" spans="32:32" x14ac:dyDescent="0.2">
      <c r="AF22360" s="679"/>
    </row>
    <row r="22361" spans="32:32" x14ac:dyDescent="0.2">
      <c r="AF22361" s="679"/>
    </row>
    <row r="22362" spans="32:32" x14ac:dyDescent="0.2">
      <c r="AF22362" s="679"/>
    </row>
    <row r="22363" spans="32:32" x14ac:dyDescent="0.2">
      <c r="AF22363" s="679"/>
    </row>
    <row r="22364" spans="32:32" x14ac:dyDescent="0.2">
      <c r="AF22364" s="679"/>
    </row>
    <row r="22365" spans="32:32" x14ac:dyDescent="0.2">
      <c r="AF22365" s="679"/>
    </row>
    <row r="22366" spans="32:32" x14ac:dyDescent="0.2">
      <c r="AF22366" s="679"/>
    </row>
    <row r="22367" spans="32:32" x14ac:dyDescent="0.2">
      <c r="AF22367" s="679"/>
    </row>
    <row r="22368" spans="32:32" x14ac:dyDescent="0.2">
      <c r="AF22368" s="679"/>
    </row>
    <row r="22369" spans="32:32" x14ac:dyDescent="0.2">
      <c r="AF22369" s="679"/>
    </row>
    <row r="22370" spans="32:32" x14ac:dyDescent="0.2">
      <c r="AF22370" s="679"/>
    </row>
    <row r="22371" spans="32:32" x14ac:dyDescent="0.2">
      <c r="AF22371" s="679"/>
    </row>
    <row r="22372" spans="32:32" x14ac:dyDescent="0.2">
      <c r="AF22372" s="679"/>
    </row>
    <row r="22373" spans="32:32" x14ac:dyDescent="0.2">
      <c r="AF22373" s="679"/>
    </row>
    <row r="22374" spans="32:32" x14ac:dyDescent="0.2">
      <c r="AF22374" s="679"/>
    </row>
    <row r="22375" spans="32:32" x14ac:dyDescent="0.2">
      <c r="AF22375" s="679"/>
    </row>
    <row r="22376" spans="32:32" x14ac:dyDescent="0.2">
      <c r="AF22376" s="679"/>
    </row>
    <row r="22377" spans="32:32" x14ac:dyDescent="0.2">
      <c r="AF22377" s="679"/>
    </row>
    <row r="22378" spans="32:32" x14ac:dyDescent="0.2">
      <c r="AF22378" s="679"/>
    </row>
    <row r="22379" spans="32:32" x14ac:dyDescent="0.2">
      <c r="AF22379" s="679"/>
    </row>
    <row r="22380" spans="32:32" x14ac:dyDescent="0.2">
      <c r="AF22380" s="679"/>
    </row>
    <row r="22381" spans="32:32" x14ac:dyDescent="0.2">
      <c r="AF22381" s="679"/>
    </row>
    <row r="22382" spans="32:32" x14ac:dyDescent="0.2">
      <c r="AF22382" s="679"/>
    </row>
    <row r="22383" spans="32:32" x14ac:dyDescent="0.2">
      <c r="AF22383" s="679"/>
    </row>
    <row r="22384" spans="32:32" x14ac:dyDescent="0.2">
      <c r="AF22384" s="679"/>
    </row>
    <row r="22385" spans="32:32" x14ac:dyDescent="0.2">
      <c r="AF22385" s="679"/>
    </row>
    <row r="22386" spans="32:32" x14ac:dyDescent="0.2">
      <c r="AF22386" s="679"/>
    </row>
    <row r="22387" spans="32:32" x14ac:dyDescent="0.2">
      <c r="AF22387" s="679"/>
    </row>
    <row r="22388" spans="32:32" x14ac:dyDescent="0.2">
      <c r="AF22388" s="679"/>
    </row>
    <row r="22389" spans="32:32" x14ac:dyDescent="0.2">
      <c r="AF22389" s="679"/>
    </row>
    <row r="22390" spans="32:32" x14ac:dyDescent="0.2">
      <c r="AF22390" s="679"/>
    </row>
    <row r="22391" spans="32:32" x14ac:dyDescent="0.2">
      <c r="AF22391" s="679"/>
    </row>
    <row r="22392" spans="32:32" x14ac:dyDescent="0.2">
      <c r="AF22392" s="679"/>
    </row>
    <row r="22393" spans="32:32" x14ac:dyDescent="0.2">
      <c r="AF22393" s="679"/>
    </row>
    <row r="22394" spans="32:32" x14ac:dyDescent="0.2">
      <c r="AF22394" s="679"/>
    </row>
    <row r="22395" spans="32:32" x14ac:dyDescent="0.2">
      <c r="AF22395" s="679"/>
    </row>
    <row r="22396" spans="32:32" x14ac:dyDescent="0.2">
      <c r="AF22396" s="679"/>
    </row>
    <row r="22397" spans="32:32" x14ac:dyDescent="0.2">
      <c r="AF22397" s="679"/>
    </row>
    <row r="22398" spans="32:32" x14ac:dyDescent="0.2">
      <c r="AF22398" s="679"/>
    </row>
    <row r="22399" spans="32:32" x14ac:dyDescent="0.2">
      <c r="AF22399" s="679"/>
    </row>
    <row r="22400" spans="32:32" x14ac:dyDescent="0.2">
      <c r="AF22400" s="679"/>
    </row>
    <row r="22401" spans="32:32" x14ac:dyDescent="0.2">
      <c r="AF22401" s="679"/>
    </row>
    <row r="22402" spans="32:32" x14ac:dyDescent="0.2">
      <c r="AF22402" s="679"/>
    </row>
    <row r="22403" spans="32:32" x14ac:dyDescent="0.2">
      <c r="AF22403" s="679"/>
    </row>
    <row r="22404" spans="32:32" x14ac:dyDescent="0.2">
      <c r="AF22404" s="679"/>
    </row>
    <row r="22405" spans="32:32" x14ac:dyDescent="0.2">
      <c r="AF22405" s="679"/>
    </row>
    <row r="22406" spans="32:32" x14ac:dyDescent="0.2">
      <c r="AF22406" s="679"/>
    </row>
    <row r="22407" spans="32:32" x14ac:dyDescent="0.2">
      <c r="AF22407" s="679"/>
    </row>
    <row r="22408" spans="32:32" x14ac:dyDescent="0.2">
      <c r="AF22408" s="679"/>
    </row>
    <row r="22409" spans="32:32" x14ac:dyDescent="0.2">
      <c r="AF22409" s="679"/>
    </row>
    <row r="22410" spans="32:32" x14ac:dyDescent="0.2">
      <c r="AF22410" s="679"/>
    </row>
    <row r="22411" spans="32:32" x14ac:dyDescent="0.2">
      <c r="AF22411" s="679"/>
    </row>
    <row r="22412" spans="32:32" x14ac:dyDescent="0.2">
      <c r="AF22412" s="679"/>
    </row>
    <row r="22413" spans="32:32" x14ac:dyDescent="0.2">
      <c r="AF22413" s="679"/>
    </row>
    <row r="22414" spans="32:32" x14ac:dyDescent="0.2">
      <c r="AF22414" s="679"/>
    </row>
    <row r="22415" spans="32:32" x14ac:dyDescent="0.2">
      <c r="AF22415" s="679"/>
    </row>
    <row r="22416" spans="32:32" x14ac:dyDescent="0.2">
      <c r="AF22416" s="679"/>
    </row>
    <row r="22417" spans="32:32" x14ac:dyDescent="0.2">
      <c r="AF22417" s="679"/>
    </row>
    <row r="22418" spans="32:32" x14ac:dyDescent="0.2">
      <c r="AF22418" s="679"/>
    </row>
    <row r="22419" spans="32:32" x14ac:dyDescent="0.2">
      <c r="AF22419" s="679"/>
    </row>
    <row r="22420" spans="32:32" x14ac:dyDescent="0.2">
      <c r="AF22420" s="679"/>
    </row>
    <row r="22421" spans="32:32" x14ac:dyDescent="0.2">
      <c r="AF22421" s="679"/>
    </row>
    <row r="22422" spans="32:32" x14ac:dyDescent="0.2">
      <c r="AF22422" s="679"/>
    </row>
    <row r="22423" spans="32:32" x14ac:dyDescent="0.2">
      <c r="AF22423" s="679"/>
    </row>
    <row r="22424" spans="32:32" x14ac:dyDescent="0.2">
      <c r="AF22424" s="679"/>
    </row>
    <row r="22425" spans="32:32" x14ac:dyDescent="0.2">
      <c r="AF22425" s="679"/>
    </row>
    <row r="22426" spans="32:32" x14ac:dyDescent="0.2">
      <c r="AF22426" s="679"/>
    </row>
    <row r="22427" spans="32:32" x14ac:dyDescent="0.2">
      <c r="AF22427" s="679"/>
    </row>
    <row r="22428" spans="32:32" x14ac:dyDescent="0.2">
      <c r="AF22428" s="679"/>
    </row>
    <row r="22429" spans="32:32" x14ac:dyDescent="0.2">
      <c r="AF22429" s="679"/>
    </row>
    <row r="22430" spans="32:32" x14ac:dyDescent="0.2">
      <c r="AF22430" s="679"/>
    </row>
    <row r="22431" spans="32:32" x14ac:dyDescent="0.2">
      <c r="AF22431" s="679"/>
    </row>
    <row r="22432" spans="32:32" x14ac:dyDescent="0.2">
      <c r="AF22432" s="679"/>
    </row>
    <row r="22433" spans="32:32" x14ac:dyDescent="0.2">
      <c r="AF22433" s="679"/>
    </row>
    <row r="22434" spans="32:32" x14ac:dyDescent="0.2">
      <c r="AF22434" s="679"/>
    </row>
    <row r="22435" spans="32:32" x14ac:dyDescent="0.2">
      <c r="AF22435" s="679"/>
    </row>
    <row r="22436" spans="32:32" x14ac:dyDescent="0.2">
      <c r="AF22436" s="679"/>
    </row>
    <row r="22437" spans="32:32" x14ac:dyDescent="0.2">
      <c r="AF22437" s="679"/>
    </row>
    <row r="22438" spans="32:32" x14ac:dyDescent="0.2">
      <c r="AF22438" s="679"/>
    </row>
    <row r="22439" spans="32:32" x14ac:dyDescent="0.2">
      <c r="AF22439" s="679"/>
    </row>
    <row r="22440" spans="32:32" x14ac:dyDescent="0.2">
      <c r="AF22440" s="679"/>
    </row>
    <row r="22441" spans="32:32" x14ac:dyDescent="0.2">
      <c r="AF22441" s="679"/>
    </row>
    <row r="22442" spans="32:32" x14ac:dyDescent="0.2">
      <c r="AF22442" s="679"/>
    </row>
    <row r="22443" spans="32:32" x14ac:dyDescent="0.2">
      <c r="AF22443" s="679"/>
    </row>
    <row r="22444" spans="32:32" x14ac:dyDescent="0.2">
      <c r="AF22444" s="679"/>
    </row>
    <row r="22445" spans="32:32" x14ac:dyDescent="0.2">
      <c r="AF22445" s="679"/>
    </row>
    <row r="22446" spans="32:32" x14ac:dyDescent="0.2">
      <c r="AF22446" s="679"/>
    </row>
    <row r="22447" spans="32:32" x14ac:dyDescent="0.2">
      <c r="AF22447" s="679"/>
    </row>
    <row r="22448" spans="32:32" x14ac:dyDescent="0.2">
      <c r="AF22448" s="679"/>
    </row>
    <row r="22449" spans="32:32" x14ac:dyDescent="0.2">
      <c r="AF22449" s="679"/>
    </row>
    <row r="22450" spans="32:32" x14ac:dyDescent="0.2">
      <c r="AF22450" s="679"/>
    </row>
    <row r="22451" spans="32:32" x14ac:dyDescent="0.2">
      <c r="AF22451" s="679"/>
    </row>
    <row r="22452" spans="32:32" x14ac:dyDescent="0.2">
      <c r="AF22452" s="679"/>
    </row>
    <row r="22453" spans="32:32" x14ac:dyDescent="0.2">
      <c r="AF22453" s="679"/>
    </row>
    <row r="22454" spans="32:32" x14ac:dyDescent="0.2">
      <c r="AF22454" s="679"/>
    </row>
    <row r="22455" spans="32:32" x14ac:dyDescent="0.2">
      <c r="AF22455" s="679"/>
    </row>
    <row r="22456" spans="32:32" x14ac:dyDescent="0.2">
      <c r="AF22456" s="679"/>
    </row>
    <row r="22457" spans="32:32" x14ac:dyDescent="0.2">
      <c r="AF22457" s="679"/>
    </row>
    <row r="22458" spans="32:32" x14ac:dyDescent="0.2">
      <c r="AF22458" s="679"/>
    </row>
    <row r="22459" spans="32:32" x14ac:dyDescent="0.2">
      <c r="AF22459" s="679"/>
    </row>
    <row r="22460" spans="32:32" x14ac:dyDescent="0.2">
      <c r="AF22460" s="679"/>
    </row>
    <row r="22461" spans="32:32" x14ac:dyDescent="0.2">
      <c r="AF22461" s="679"/>
    </row>
    <row r="22462" spans="32:32" x14ac:dyDescent="0.2">
      <c r="AF22462" s="679"/>
    </row>
    <row r="22463" spans="32:32" x14ac:dyDescent="0.2">
      <c r="AF22463" s="679"/>
    </row>
    <row r="22464" spans="32:32" x14ac:dyDescent="0.2">
      <c r="AF22464" s="679"/>
    </row>
    <row r="22465" spans="32:32" x14ac:dyDescent="0.2">
      <c r="AF22465" s="679"/>
    </row>
    <row r="22466" spans="32:32" x14ac:dyDescent="0.2">
      <c r="AF22466" s="679"/>
    </row>
    <row r="22467" spans="32:32" x14ac:dyDescent="0.2">
      <c r="AF22467" s="679"/>
    </row>
    <row r="22468" spans="32:32" x14ac:dyDescent="0.2">
      <c r="AF22468" s="679"/>
    </row>
    <row r="22469" spans="32:32" x14ac:dyDescent="0.2">
      <c r="AF22469" s="679"/>
    </row>
    <row r="22470" spans="32:32" x14ac:dyDescent="0.2">
      <c r="AF22470" s="679"/>
    </row>
    <row r="22471" spans="32:32" x14ac:dyDescent="0.2">
      <c r="AF22471" s="679"/>
    </row>
    <row r="22472" spans="32:32" x14ac:dyDescent="0.2">
      <c r="AF22472" s="679"/>
    </row>
    <row r="22473" spans="32:32" x14ac:dyDescent="0.2">
      <c r="AF22473" s="679"/>
    </row>
    <row r="22474" spans="32:32" x14ac:dyDescent="0.2">
      <c r="AF22474" s="679"/>
    </row>
    <row r="22475" spans="32:32" x14ac:dyDescent="0.2">
      <c r="AF22475" s="679"/>
    </row>
    <row r="22476" spans="32:32" x14ac:dyDescent="0.2">
      <c r="AF22476" s="679"/>
    </row>
    <row r="22477" spans="32:32" x14ac:dyDescent="0.2">
      <c r="AF22477" s="679"/>
    </row>
    <row r="22478" spans="32:32" x14ac:dyDescent="0.2">
      <c r="AF22478" s="679"/>
    </row>
    <row r="22479" spans="32:32" x14ac:dyDescent="0.2">
      <c r="AF22479" s="679"/>
    </row>
    <row r="22480" spans="32:32" x14ac:dyDescent="0.2">
      <c r="AF22480" s="679"/>
    </row>
    <row r="22481" spans="32:32" x14ac:dyDescent="0.2">
      <c r="AF22481" s="679"/>
    </row>
    <row r="22482" spans="32:32" x14ac:dyDescent="0.2">
      <c r="AF22482" s="679"/>
    </row>
    <row r="22483" spans="32:32" x14ac:dyDescent="0.2">
      <c r="AF22483" s="679"/>
    </row>
    <row r="22484" spans="32:32" x14ac:dyDescent="0.2">
      <c r="AF22484" s="679"/>
    </row>
    <row r="22485" spans="32:32" x14ac:dyDescent="0.2">
      <c r="AF22485" s="679"/>
    </row>
    <row r="22486" spans="32:32" x14ac:dyDescent="0.2">
      <c r="AF22486" s="679"/>
    </row>
    <row r="22487" spans="32:32" x14ac:dyDescent="0.2">
      <c r="AF22487" s="679"/>
    </row>
    <row r="22488" spans="32:32" x14ac:dyDescent="0.2">
      <c r="AF22488" s="679"/>
    </row>
    <row r="22489" spans="32:32" x14ac:dyDescent="0.2">
      <c r="AF22489" s="679"/>
    </row>
    <row r="22490" spans="32:32" x14ac:dyDescent="0.2">
      <c r="AF22490" s="679"/>
    </row>
    <row r="22491" spans="32:32" x14ac:dyDescent="0.2">
      <c r="AF22491" s="679"/>
    </row>
    <row r="22492" spans="32:32" x14ac:dyDescent="0.2">
      <c r="AF22492" s="679"/>
    </row>
    <row r="22493" spans="32:32" x14ac:dyDescent="0.2">
      <c r="AF22493" s="679"/>
    </row>
    <row r="22494" spans="32:32" x14ac:dyDescent="0.2">
      <c r="AF22494" s="679"/>
    </row>
    <row r="22495" spans="32:32" x14ac:dyDescent="0.2">
      <c r="AF22495" s="679"/>
    </row>
    <row r="22496" spans="32:32" x14ac:dyDescent="0.2">
      <c r="AF22496" s="679"/>
    </row>
    <row r="22497" spans="32:32" x14ac:dyDescent="0.2">
      <c r="AF22497" s="679"/>
    </row>
    <row r="22498" spans="32:32" x14ac:dyDescent="0.2">
      <c r="AF22498" s="679"/>
    </row>
    <row r="22499" spans="32:32" x14ac:dyDescent="0.2">
      <c r="AF22499" s="679"/>
    </row>
    <row r="22500" spans="32:32" x14ac:dyDescent="0.2">
      <c r="AF22500" s="679"/>
    </row>
    <row r="22501" spans="32:32" x14ac:dyDescent="0.2">
      <c r="AF22501" s="679"/>
    </row>
    <row r="22502" spans="32:32" x14ac:dyDescent="0.2">
      <c r="AF22502" s="679"/>
    </row>
    <row r="22503" spans="32:32" x14ac:dyDescent="0.2">
      <c r="AF22503" s="679"/>
    </row>
    <row r="22504" spans="32:32" x14ac:dyDescent="0.2">
      <c r="AF22504" s="679"/>
    </row>
    <row r="22505" spans="32:32" x14ac:dyDescent="0.2">
      <c r="AF22505" s="679"/>
    </row>
    <row r="22506" spans="32:32" x14ac:dyDescent="0.2">
      <c r="AF22506" s="679"/>
    </row>
    <row r="22507" spans="32:32" x14ac:dyDescent="0.2">
      <c r="AF22507" s="679"/>
    </row>
    <row r="22508" spans="32:32" x14ac:dyDescent="0.2">
      <c r="AF22508" s="679"/>
    </row>
    <row r="22509" spans="32:32" x14ac:dyDescent="0.2">
      <c r="AF22509" s="679"/>
    </row>
    <row r="22510" spans="32:32" x14ac:dyDescent="0.2">
      <c r="AF22510" s="679"/>
    </row>
    <row r="22511" spans="32:32" x14ac:dyDescent="0.2">
      <c r="AF22511" s="679"/>
    </row>
    <row r="22512" spans="32:32" x14ac:dyDescent="0.2">
      <c r="AF22512" s="679"/>
    </row>
    <row r="22513" spans="32:32" x14ac:dyDescent="0.2">
      <c r="AF22513" s="679"/>
    </row>
    <row r="22514" spans="32:32" x14ac:dyDescent="0.2">
      <c r="AF22514" s="679"/>
    </row>
    <row r="22515" spans="32:32" x14ac:dyDescent="0.2">
      <c r="AF22515" s="679"/>
    </row>
    <row r="22516" spans="32:32" x14ac:dyDescent="0.2">
      <c r="AF22516" s="679"/>
    </row>
    <row r="22517" spans="32:32" x14ac:dyDescent="0.2">
      <c r="AF22517" s="679"/>
    </row>
    <row r="22518" spans="32:32" x14ac:dyDescent="0.2">
      <c r="AF22518" s="679"/>
    </row>
    <row r="22519" spans="32:32" x14ac:dyDescent="0.2">
      <c r="AF22519" s="679"/>
    </row>
    <row r="22520" spans="32:32" x14ac:dyDescent="0.2">
      <c r="AF22520" s="679"/>
    </row>
    <row r="22521" spans="32:32" x14ac:dyDescent="0.2">
      <c r="AF22521" s="679"/>
    </row>
    <row r="22522" spans="32:32" x14ac:dyDescent="0.2">
      <c r="AF22522" s="679"/>
    </row>
    <row r="22523" spans="32:32" x14ac:dyDescent="0.2">
      <c r="AF22523" s="679"/>
    </row>
    <row r="22524" spans="32:32" x14ac:dyDescent="0.2">
      <c r="AF22524" s="679"/>
    </row>
    <row r="22525" spans="32:32" x14ac:dyDescent="0.2">
      <c r="AF22525" s="679"/>
    </row>
    <row r="22526" spans="32:32" x14ac:dyDescent="0.2">
      <c r="AF22526" s="679"/>
    </row>
    <row r="22527" spans="32:32" x14ac:dyDescent="0.2">
      <c r="AF22527" s="679"/>
    </row>
    <row r="22528" spans="32:32" x14ac:dyDescent="0.2">
      <c r="AF22528" s="679"/>
    </row>
    <row r="22529" spans="32:32" x14ac:dyDescent="0.2">
      <c r="AF22529" s="679"/>
    </row>
    <row r="22530" spans="32:32" x14ac:dyDescent="0.2">
      <c r="AF22530" s="679"/>
    </row>
    <row r="22531" spans="32:32" x14ac:dyDescent="0.2">
      <c r="AF22531" s="679"/>
    </row>
    <row r="22532" spans="32:32" x14ac:dyDescent="0.2">
      <c r="AF22532" s="679"/>
    </row>
    <row r="22533" spans="32:32" x14ac:dyDescent="0.2">
      <c r="AF22533" s="679"/>
    </row>
    <row r="22534" spans="32:32" x14ac:dyDescent="0.2">
      <c r="AF22534" s="679"/>
    </row>
    <row r="22535" spans="32:32" x14ac:dyDescent="0.2">
      <c r="AF22535" s="679"/>
    </row>
    <row r="22536" spans="32:32" x14ac:dyDescent="0.2">
      <c r="AF22536" s="679"/>
    </row>
    <row r="22537" spans="32:32" x14ac:dyDescent="0.2">
      <c r="AF22537" s="679"/>
    </row>
    <row r="22538" spans="32:32" x14ac:dyDescent="0.2">
      <c r="AF22538" s="679"/>
    </row>
    <row r="22539" spans="32:32" x14ac:dyDescent="0.2">
      <c r="AF22539" s="679"/>
    </row>
    <row r="22540" spans="32:32" x14ac:dyDescent="0.2">
      <c r="AF22540" s="679"/>
    </row>
    <row r="22541" spans="32:32" x14ac:dyDescent="0.2">
      <c r="AF22541" s="679"/>
    </row>
    <row r="22542" spans="32:32" x14ac:dyDescent="0.2">
      <c r="AF22542" s="679"/>
    </row>
    <row r="22543" spans="32:32" x14ac:dyDescent="0.2">
      <c r="AF22543" s="679"/>
    </row>
    <row r="22544" spans="32:32" x14ac:dyDescent="0.2">
      <c r="AF22544" s="679"/>
    </row>
    <row r="22545" spans="32:32" x14ac:dyDescent="0.2">
      <c r="AF22545" s="679"/>
    </row>
    <row r="22546" spans="32:32" x14ac:dyDescent="0.2">
      <c r="AF22546" s="679"/>
    </row>
    <row r="22547" spans="32:32" x14ac:dyDescent="0.2">
      <c r="AF22547" s="679"/>
    </row>
    <row r="22548" spans="32:32" x14ac:dyDescent="0.2">
      <c r="AF22548" s="679"/>
    </row>
    <row r="22549" spans="32:32" x14ac:dyDescent="0.2">
      <c r="AF22549" s="679"/>
    </row>
    <row r="22550" spans="32:32" x14ac:dyDescent="0.2">
      <c r="AF22550" s="679"/>
    </row>
    <row r="22551" spans="32:32" x14ac:dyDescent="0.2">
      <c r="AF22551" s="679"/>
    </row>
    <row r="22552" spans="32:32" x14ac:dyDescent="0.2">
      <c r="AF22552" s="679"/>
    </row>
    <row r="22553" spans="32:32" x14ac:dyDescent="0.2">
      <c r="AF22553" s="679"/>
    </row>
    <row r="22554" spans="32:32" x14ac:dyDescent="0.2">
      <c r="AF22554" s="679"/>
    </row>
    <row r="22555" spans="32:32" x14ac:dyDescent="0.2">
      <c r="AF22555" s="679"/>
    </row>
    <row r="22556" spans="32:32" x14ac:dyDescent="0.2">
      <c r="AF22556" s="679"/>
    </row>
    <row r="22557" spans="32:32" x14ac:dyDescent="0.2">
      <c r="AF22557" s="679"/>
    </row>
    <row r="22558" spans="32:32" x14ac:dyDescent="0.2">
      <c r="AF22558" s="679"/>
    </row>
    <row r="22559" spans="32:32" x14ac:dyDescent="0.2">
      <c r="AF22559" s="679"/>
    </row>
    <row r="22560" spans="32:32" x14ac:dyDescent="0.2">
      <c r="AF22560" s="679"/>
    </row>
    <row r="22561" spans="32:32" x14ac:dyDescent="0.2">
      <c r="AF22561" s="679"/>
    </row>
    <row r="22562" spans="32:32" x14ac:dyDescent="0.2">
      <c r="AF22562" s="679"/>
    </row>
    <row r="22563" spans="32:32" x14ac:dyDescent="0.2">
      <c r="AF22563" s="679"/>
    </row>
    <row r="22564" spans="32:32" x14ac:dyDescent="0.2">
      <c r="AF22564" s="679"/>
    </row>
    <row r="22565" spans="32:32" x14ac:dyDescent="0.2">
      <c r="AF22565" s="679"/>
    </row>
    <row r="22566" spans="32:32" x14ac:dyDescent="0.2">
      <c r="AF22566" s="679"/>
    </row>
    <row r="22567" spans="32:32" x14ac:dyDescent="0.2">
      <c r="AF22567" s="679"/>
    </row>
    <row r="22568" spans="32:32" x14ac:dyDescent="0.2">
      <c r="AF22568" s="679"/>
    </row>
    <row r="22569" spans="32:32" x14ac:dyDescent="0.2">
      <c r="AF22569" s="679"/>
    </row>
    <row r="22570" spans="32:32" x14ac:dyDescent="0.2">
      <c r="AF22570" s="679"/>
    </row>
    <row r="22571" spans="32:32" x14ac:dyDescent="0.2">
      <c r="AF22571" s="679"/>
    </row>
    <row r="22572" spans="32:32" x14ac:dyDescent="0.2">
      <c r="AF22572" s="679"/>
    </row>
    <row r="22573" spans="32:32" x14ac:dyDescent="0.2">
      <c r="AF22573" s="679"/>
    </row>
    <row r="22574" spans="32:32" x14ac:dyDescent="0.2">
      <c r="AF22574" s="679"/>
    </row>
    <row r="22575" spans="32:32" x14ac:dyDescent="0.2">
      <c r="AF22575" s="679"/>
    </row>
    <row r="22576" spans="32:32" x14ac:dyDescent="0.2">
      <c r="AF22576" s="679"/>
    </row>
    <row r="22577" spans="32:32" x14ac:dyDescent="0.2">
      <c r="AF22577" s="679"/>
    </row>
    <row r="22578" spans="32:32" x14ac:dyDescent="0.2">
      <c r="AF22578" s="679"/>
    </row>
    <row r="22579" spans="32:32" x14ac:dyDescent="0.2">
      <c r="AF22579" s="679"/>
    </row>
    <row r="22580" spans="32:32" x14ac:dyDescent="0.2">
      <c r="AF22580" s="679"/>
    </row>
    <row r="22581" spans="32:32" x14ac:dyDescent="0.2">
      <c r="AF22581" s="679"/>
    </row>
    <row r="22582" spans="32:32" x14ac:dyDescent="0.2">
      <c r="AF22582" s="679"/>
    </row>
    <row r="22583" spans="32:32" x14ac:dyDescent="0.2">
      <c r="AF22583" s="679"/>
    </row>
    <row r="22584" spans="32:32" x14ac:dyDescent="0.2">
      <c r="AF22584" s="679"/>
    </row>
    <row r="22585" spans="32:32" x14ac:dyDescent="0.2">
      <c r="AF22585" s="679"/>
    </row>
    <row r="22586" spans="32:32" x14ac:dyDescent="0.2">
      <c r="AF22586" s="679"/>
    </row>
    <row r="22587" spans="32:32" x14ac:dyDescent="0.2">
      <c r="AF22587" s="679"/>
    </row>
    <row r="22588" spans="32:32" x14ac:dyDescent="0.2">
      <c r="AF22588" s="679"/>
    </row>
    <row r="22589" spans="32:32" x14ac:dyDescent="0.2">
      <c r="AF22589" s="679"/>
    </row>
    <row r="22590" spans="32:32" x14ac:dyDescent="0.2">
      <c r="AF22590" s="679"/>
    </row>
    <row r="22591" spans="32:32" x14ac:dyDescent="0.2">
      <c r="AF22591" s="679"/>
    </row>
    <row r="22592" spans="32:32" x14ac:dyDescent="0.2">
      <c r="AF22592" s="679"/>
    </row>
    <row r="22593" spans="32:32" x14ac:dyDescent="0.2">
      <c r="AF22593" s="679"/>
    </row>
    <row r="22594" spans="32:32" x14ac:dyDescent="0.2">
      <c r="AF22594" s="679"/>
    </row>
    <row r="22595" spans="32:32" x14ac:dyDescent="0.2">
      <c r="AF22595" s="679"/>
    </row>
    <row r="22596" spans="32:32" x14ac:dyDescent="0.2">
      <c r="AF22596" s="679"/>
    </row>
    <row r="22597" spans="32:32" x14ac:dyDescent="0.2">
      <c r="AF22597" s="679"/>
    </row>
    <row r="22598" spans="32:32" x14ac:dyDescent="0.2">
      <c r="AF22598" s="679"/>
    </row>
    <row r="22599" spans="32:32" x14ac:dyDescent="0.2">
      <c r="AF22599" s="679"/>
    </row>
    <row r="22600" spans="32:32" x14ac:dyDescent="0.2">
      <c r="AF22600" s="679"/>
    </row>
    <row r="22601" spans="32:32" x14ac:dyDescent="0.2">
      <c r="AF22601" s="679"/>
    </row>
    <row r="22602" spans="32:32" x14ac:dyDescent="0.2">
      <c r="AF22602" s="679"/>
    </row>
    <row r="22603" spans="32:32" x14ac:dyDescent="0.2">
      <c r="AF22603" s="679"/>
    </row>
    <row r="22604" spans="32:32" x14ac:dyDescent="0.2">
      <c r="AF22604" s="679"/>
    </row>
    <row r="22605" spans="32:32" x14ac:dyDescent="0.2">
      <c r="AF22605" s="679"/>
    </row>
    <row r="22606" spans="32:32" x14ac:dyDescent="0.2">
      <c r="AF22606" s="679"/>
    </row>
    <row r="22607" spans="32:32" x14ac:dyDescent="0.2">
      <c r="AF22607" s="679"/>
    </row>
    <row r="22608" spans="32:32" x14ac:dyDescent="0.2">
      <c r="AF22608" s="679"/>
    </row>
    <row r="22609" spans="32:32" x14ac:dyDescent="0.2">
      <c r="AF22609" s="679"/>
    </row>
    <row r="22610" spans="32:32" x14ac:dyDescent="0.2">
      <c r="AF22610" s="679"/>
    </row>
    <row r="22611" spans="32:32" x14ac:dyDescent="0.2">
      <c r="AF22611" s="679"/>
    </row>
    <row r="22612" spans="32:32" x14ac:dyDescent="0.2">
      <c r="AF22612" s="679"/>
    </row>
    <row r="22613" spans="32:32" x14ac:dyDescent="0.2">
      <c r="AF22613" s="679"/>
    </row>
    <row r="22614" spans="32:32" x14ac:dyDescent="0.2">
      <c r="AF22614" s="679"/>
    </row>
    <row r="22615" spans="32:32" x14ac:dyDescent="0.2">
      <c r="AF22615" s="679"/>
    </row>
    <row r="22616" spans="32:32" x14ac:dyDescent="0.2">
      <c r="AF22616" s="679"/>
    </row>
    <row r="22617" spans="32:32" x14ac:dyDescent="0.2">
      <c r="AF22617" s="679"/>
    </row>
    <row r="22618" spans="32:32" x14ac:dyDescent="0.2">
      <c r="AF22618" s="679"/>
    </row>
    <row r="22619" spans="32:32" x14ac:dyDescent="0.2">
      <c r="AF22619" s="679"/>
    </row>
    <row r="22620" spans="32:32" x14ac:dyDescent="0.2">
      <c r="AF22620" s="679"/>
    </row>
    <row r="22621" spans="32:32" x14ac:dyDescent="0.2">
      <c r="AF22621" s="679"/>
    </row>
    <row r="22622" spans="32:32" x14ac:dyDescent="0.2">
      <c r="AF22622" s="679"/>
    </row>
    <row r="22623" spans="32:32" x14ac:dyDescent="0.2">
      <c r="AF22623" s="679"/>
    </row>
    <row r="22624" spans="32:32" x14ac:dyDescent="0.2">
      <c r="AF22624" s="679"/>
    </row>
    <row r="22625" spans="32:32" x14ac:dyDescent="0.2">
      <c r="AF22625" s="679"/>
    </row>
    <row r="22626" spans="32:32" x14ac:dyDescent="0.2">
      <c r="AF22626" s="679"/>
    </row>
    <row r="22627" spans="32:32" x14ac:dyDescent="0.2">
      <c r="AF22627" s="679"/>
    </row>
    <row r="22628" spans="32:32" x14ac:dyDescent="0.2">
      <c r="AF22628" s="679"/>
    </row>
    <row r="22629" spans="32:32" x14ac:dyDescent="0.2">
      <c r="AF22629" s="679"/>
    </row>
    <row r="22630" spans="32:32" x14ac:dyDescent="0.2">
      <c r="AF22630" s="679"/>
    </row>
    <row r="22631" spans="32:32" x14ac:dyDescent="0.2">
      <c r="AF22631" s="679"/>
    </row>
    <row r="22632" spans="32:32" x14ac:dyDescent="0.2">
      <c r="AF22632" s="679"/>
    </row>
    <row r="22633" spans="32:32" x14ac:dyDescent="0.2">
      <c r="AF22633" s="679"/>
    </row>
    <row r="22634" spans="32:32" x14ac:dyDescent="0.2">
      <c r="AF22634" s="679"/>
    </row>
    <row r="22635" spans="32:32" x14ac:dyDescent="0.2">
      <c r="AF22635" s="679"/>
    </row>
    <row r="22636" spans="32:32" x14ac:dyDescent="0.2">
      <c r="AF22636" s="679"/>
    </row>
    <row r="22637" spans="32:32" x14ac:dyDescent="0.2">
      <c r="AF22637" s="679"/>
    </row>
    <row r="22638" spans="32:32" x14ac:dyDescent="0.2">
      <c r="AF22638" s="679"/>
    </row>
    <row r="22639" spans="32:32" x14ac:dyDescent="0.2">
      <c r="AF22639" s="679"/>
    </row>
    <row r="22640" spans="32:32" x14ac:dyDescent="0.2">
      <c r="AF22640" s="679"/>
    </row>
    <row r="22641" spans="32:32" x14ac:dyDescent="0.2">
      <c r="AF22641" s="679"/>
    </row>
    <row r="22642" spans="32:32" x14ac:dyDescent="0.2">
      <c r="AF22642" s="679"/>
    </row>
    <row r="22643" spans="32:32" x14ac:dyDescent="0.2">
      <c r="AF22643" s="679"/>
    </row>
    <row r="22644" spans="32:32" x14ac:dyDescent="0.2">
      <c r="AF22644" s="679"/>
    </row>
    <row r="22645" spans="32:32" x14ac:dyDescent="0.2">
      <c r="AF22645" s="679"/>
    </row>
    <row r="22646" spans="32:32" x14ac:dyDescent="0.2">
      <c r="AF22646" s="679"/>
    </row>
    <row r="22647" spans="32:32" x14ac:dyDescent="0.2">
      <c r="AF22647" s="679"/>
    </row>
    <row r="22648" spans="32:32" x14ac:dyDescent="0.2">
      <c r="AF22648" s="679"/>
    </row>
    <row r="22649" spans="32:32" x14ac:dyDescent="0.2">
      <c r="AF22649" s="679"/>
    </row>
    <row r="22650" spans="32:32" x14ac:dyDescent="0.2">
      <c r="AF22650" s="679"/>
    </row>
    <row r="22651" spans="32:32" x14ac:dyDescent="0.2">
      <c r="AF22651" s="679"/>
    </row>
    <row r="22652" spans="32:32" x14ac:dyDescent="0.2">
      <c r="AF22652" s="679"/>
    </row>
    <row r="22653" spans="32:32" x14ac:dyDescent="0.2">
      <c r="AF22653" s="679"/>
    </row>
    <row r="22654" spans="32:32" x14ac:dyDescent="0.2">
      <c r="AF22654" s="679"/>
    </row>
    <row r="22655" spans="32:32" x14ac:dyDescent="0.2">
      <c r="AF22655" s="679"/>
    </row>
    <row r="22656" spans="32:32" x14ac:dyDescent="0.2">
      <c r="AF22656" s="679"/>
    </row>
    <row r="22657" spans="32:32" x14ac:dyDescent="0.2">
      <c r="AF22657" s="679"/>
    </row>
    <row r="22658" spans="32:32" x14ac:dyDescent="0.2">
      <c r="AF22658" s="679"/>
    </row>
    <row r="22659" spans="32:32" x14ac:dyDescent="0.2">
      <c r="AF22659" s="679"/>
    </row>
    <row r="22660" spans="32:32" x14ac:dyDescent="0.2">
      <c r="AF22660" s="679"/>
    </row>
    <row r="22661" spans="32:32" x14ac:dyDescent="0.2">
      <c r="AF22661" s="679"/>
    </row>
    <row r="22662" spans="32:32" x14ac:dyDescent="0.2">
      <c r="AF22662" s="679"/>
    </row>
    <row r="22663" spans="32:32" x14ac:dyDescent="0.2">
      <c r="AF22663" s="679"/>
    </row>
    <row r="22664" spans="32:32" x14ac:dyDescent="0.2">
      <c r="AF22664" s="679"/>
    </row>
    <row r="22665" spans="32:32" x14ac:dyDescent="0.2">
      <c r="AF22665" s="679"/>
    </row>
    <row r="22666" spans="32:32" x14ac:dyDescent="0.2">
      <c r="AF22666" s="679"/>
    </row>
    <row r="22667" spans="32:32" x14ac:dyDescent="0.2">
      <c r="AF22667" s="679"/>
    </row>
    <row r="22668" spans="32:32" x14ac:dyDescent="0.2">
      <c r="AF22668" s="679"/>
    </row>
    <row r="22669" spans="32:32" x14ac:dyDescent="0.2">
      <c r="AF22669" s="679"/>
    </row>
    <row r="22670" spans="32:32" x14ac:dyDescent="0.2">
      <c r="AF22670" s="679"/>
    </row>
    <row r="22671" spans="32:32" x14ac:dyDescent="0.2">
      <c r="AF22671" s="679"/>
    </row>
    <row r="22672" spans="32:32" x14ac:dyDescent="0.2">
      <c r="AF22672" s="679"/>
    </row>
    <row r="22673" spans="32:32" x14ac:dyDescent="0.2">
      <c r="AF22673" s="679"/>
    </row>
    <row r="22674" spans="32:32" x14ac:dyDescent="0.2">
      <c r="AF22674" s="679"/>
    </row>
    <row r="22675" spans="32:32" x14ac:dyDescent="0.2">
      <c r="AF22675" s="679"/>
    </row>
    <row r="22676" spans="32:32" x14ac:dyDescent="0.2">
      <c r="AF22676" s="679"/>
    </row>
    <row r="22677" spans="32:32" x14ac:dyDescent="0.2">
      <c r="AF22677" s="679"/>
    </row>
    <row r="22678" spans="32:32" x14ac:dyDescent="0.2">
      <c r="AF22678" s="679"/>
    </row>
    <row r="22679" spans="32:32" x14ac:dyDescent="0.2">
      <c r="AF22679" s="679"/>
    </row>
    <row r="22680" spans="32:32" x14ac:dyDescent="0.2">
      <c r="AF22680" s="679"/>
    </row>
    <row r="22681" spans="32:32" x14ac:dyDescent="0.2">
      <c r="AF22681" s="679"/>
    </row>
    <row r="22682" spans="32:32" x14ac:dyDescent="0.2">
      <c r="AF22682" s="679"/>
    </row>
    <row r="22683" spans="32:32" x14ac:dyDescent="0.2">
      <c r="AF22683" s="679"/>
    </row>
    <row r="22684" spans="32:32" x14ac:dyDescent="0.2">
      <c r="AF22684" s="679"/>
    </row>
    <row r="22685" spans="32:32" x14ac:dyDescent="0.2">
      <c r="AF22685" s="679"/>
    </row>
    <row r="22686" spans="32:32" x14ac:dyDescent="0.2">
      <c r="AF22686" s="679"/>
    </row>
    <row r="22687" spans="32:32" x14ac:dyDescent="0.2">
      <c r="AF22687" s="679"/>
    </row>
    <row r="22688" spans="32:32" x14ac:dyDescent="0.2">
      <c r="AF22688" s="679"/>
    </row>
    <row r="22689" spans="32:32" x14ac:dyDescent="0.2">
      <c r="AF22689" s="679"/>
    </row>
    <row r="22690" spans="32:32" x14ac:dyDescent="0.2">
      <c r="AF22690" s="679"/>
    </row>
    <row r="22691" spans="32:32" x14ac:dyDescent="0.2">
      <c r="AF22691" s="679"/>
    </row>
    <row r="22692" spans="32:32" x14ac:dyDescent="0.2">
      <c r="AF22692" s="679"/>
    </row>
    <row r="22693" spans="32:32" x14ac:dyDescent="0.2">
      <c r="AF22693" s="679"/>
    </row>
    <row r="22694" spans="32:32" x14ac:dyDescent="0.2">
      <c r="AF22694" s="679"/>
    </row>
    <row r="22695" spans="32:32" x14ac:dyDescent="0.2">
      <c r="AF22695" s="679"/>
    </row>
    <row r="22696" spans="32:32" x14ac:dyDescent="0.2">
      <c r="AF22696" s="679"/>
    </row>
    <row r="22697" spans="32:32" x14ac:dyDescent="0.2">
      <c r="AF22697" s="679"/>
    </row>
    <row r="22698" spans="32:32" x14ac:dyDescent="0.2">
      <c r="AF22698" s="679"/>
    </row>
    <row r="22699" spans="32:32" x14ac:dyDescent="0.2">
      <c r="AF22699" s="679"/>
    </row>
    <row r="22700" spans="32:32" x14ac:dyDescent="0.2">
      <c r="AF22700" s="679"/>
    </row>
    <row r="22701" spans="32:32" x14ac:dyDescent="0.2">
      <c r="AF22701" s="679"/>
    </row>
    <row r="22702" spans="32:32" x14ac:dyDescent="0.2">
      <c r="AF22702" s="679"/>
    </row>
    <row r="22703" spans="32:32" x14ac:dyDescent="0.2">
      <c r="AF22703" s="679"/>
    </row>
    <row r="22704" spans="32:32" x14ac:dyDescent="0.2">
      <c r="AF22704" s="679"/>
    </row>
    <row r="22705" spans="32:32" x14ac:dyDescent="0.2">
      <c r="AF22705" s="679"/>
    </row>
    <row r="22706" spans="32:32" x14ac:dyDescent="0.2">
      <c r="AF22706" s="679"/>
    </row>
    <row r="22707" spans="32:32" x14ac:dyDescent="0.2">
      <c r="AF22707" s="679"/>
    </row>
    <row r="22708" spans="32:32" x14ac:dyDescent="0.2">
      <c r="AF22708" s="679"/>
    </row>
    <row r="22709" spans="32:32" x14ac:dyDescent="0.2">
      <c r="AF22709" s="679"/>
    </row>
    <row r="22710" spans="32:32" x14ac:dyDescent="0.2">
      <c r="AF22710" s="679"/>
    </row>
    <row r="22711" spans="32:32" x14ac:dyDescent="0.2">
      <c r="AF22711" s="679"/>
    </row>
    <row r="22712" spans="32:32" x14ac:dyDescent="0.2">
      <c r="AF22712" s="679"/>
    </row>
    <row r="22713" spans="32:32" x14ac:dyDescent="0.2">
      <c r="AF22713" s="679"/>
    </row>
    <row r="22714" spans="32:32" x14ac:dyDescent="0.2">
      <c r="AF22714" s="679"/>
    </row>
    <row r="22715" spans="32:32" x14ac:dyDescent="0.2">
      <c r="AF22715" s="679"/>
    </row>
    <row r="22716" spans="32:32" x14ac:dyDescent="0.2">
      <c r="AF22716" s="679"/>
    </row>
    <row r="22717" spans="32:32" x14ac:dyDescent="0.2">
      <c r="AF22717" s="679"/>
    </row>
    <row r="22718" spans="32:32" x14ac:dyDescent="0.2">
      <c r="AF22718" s="679"/>
    </row>
    <row r="22719" spans="32:32" x14ac:dyDescent="0.2">
      <c r="AF22719" s="679"/>
    </row>
    <row r="22720" spans="32:32" x14ac:dyDescent="0.2">
      <c r="AF22720" s="679"/>
    </row>
    <row r="22721" spans="32:32" x14ac:dyDescent="0.2">
      <c r="AF22721" s="679"/>
    </row>
    <row r="22722" spans="32:32" x14ac:dyDescent="0.2">
      <c r="AF22722" s="679"/>
    </row>
    <row r="22723" spans="32:32" x14ac:dyDescent="0.2">
      <c r="AF22723" s="679"/>
    </row>
    <row r="22724" spans="32:32" x14ac:dyDescent="0.2">
      <c r="AF22724" s="679"/>
    </row>
    <row r="22725" spans="32:32" x14ac:dyDescent="0.2">
      <c r="AF22725" s="679"/>
    </row>
    <row r="22726" spans="32:32" x14ac:dyDescent="0.2">
      <c r="AF22726" s="679"/>
    </row>
    <row r="22727" spans="32:32" x14ac:dyDescent="0.2">
      <c r="AF22727" s="679"/>
    </row>
    <row r="22728" spans="32:32" x14ac:dyDescent="0.2">
      <c r="AF22728" s="679"/>
    </row>
    <row r="22729" spans="32:32" x14ac:dyDescent="0.2">
      <c r="AF22729" s="679"/>
    </row>
    <row r="22730" spans="32:32" x14ac:dyDescent="0.2">
      <c r="AF22730" s="679"/>
    </row>
    <row r="22731" spans="32:32" x14ac:dyDescent="0.2">
      <c r="AF22731" s="679"/>
    </row>
    <row r="22732" spans="32:32" x14ac:dyDescent="0.2">
      <c r="AF22732" s="679"/>
    </row>
    <row r="22733" spans="32:32" x14ac:dyDescent="0.2">
      <c r="AF22733" s="679"/>
    </row>
    <row r="22734" spans="32:32" x14ac:dyDescent="0.2">
      <c r="AF22734" s="679"/>
    </row>
    <row r="22735" spans="32:32" x14ac:dyDescent="0.2">
      <c r="AF22735" s="679"/>
    </row>
    <row r="22736" spans="32:32" x14ac:dyDescent="0.2">
      <c r="AF22736" s="679"/>
    </row>
    <row r="22737" spans="32:32" x14ac:dyDescent="0.2">
      <c r="AF22737" s="679"/>
    </row>
    <row r="22738" spans="32:32" x14ac:dyDescent="0.2">
      <c r="AF22738" s="679"/>
    </row>
    <row r="22739" spans="32:32" x14ac:dyDescent="0.2">
      <c r="AF22739" s="679"/>
    </row>
    <row r="22740" spans="32:32" x14ac:dyDescent="0.2">
      <c r="AF22740" s="679"/>
    </row>
    <row r="22741" spans="32:32" x14ac:dyDescent="0.2">
      <c r="AF22741" s="679"/>
    </row>
    <row r="22742" spans="32:32" x14ac:dyDescent="0.2">
      <c r="AF22742" s="679"/>
    </row>
    <row r="22743" spans="32:32" x14ac:dyDescent="0.2">
      <c r="AF22743" s="679"/>
    </row>
    <row r="22744" spans="32:32" x14ac:dyDescent="0.2">
      <c r="AF22744" s="679"/>
    </row>
    <row r="22745" spans="32:32" x14ac:dyDescent="0.2">
      <c r="AF22745" s="679"/>
    </row>
    <row r="22746" spans="32:32" x14ac:dyDescent="0.2">
      <c r="AF22746" s="679"/>
    </row>
    <row r="22747" spans="32:32" x14ac:dyDescent="0.2">
      <c r="AF22747" s="679"/>
    </row>
    <row r="22748" spans="32:32" x14ac:dyDescent="0.2">
      <c r="AF22748" s="679"/>
    </row>
    <row r="22749" spans="32:32" x14ac:dyDescent="0.2">
      <c r="AF22749" s="679"/>
    </row>
    <row r="22750" spans="32:32" x14ac:dyDescent="0.2">
      <c r="AF22750" s="679"/>
    </row>
    <row r="22751" spans="32:32" x14ac:dyDescent="0.2">
      <c r="AF22751" s="679"/>
    </row>
    <row r="22752" spans="32:32" x14ac:dyDescent="0.2">
      <c r="AF22752" s="679"/>
    </row>
    <row r="22753" spans="32:32" x14ac:dyDescent="0.2">
      <c r="AF22753" s="679"/>
    </row>
    <row r="22754" spans="32:32" x14ac:dyDescent="0.2">
      <c r="AF22754" s="679"/>
    </row>
    <row r="22755" spans="32:32" x14ac:dyDescent="0.2">
      <c r="AF22755" s="679"/>
    </row>
    <row r="22756" spans="32:32" x14ac:dyDescent="0.2">
      <c r="AF22756" s="679"/>
    </row>
    <row r="22757" spans="32:32" x14ac:dyDescent="0.2">
      <c r="AF22757" s="679"/>
    </row>
    <row r="22758" spans="32:32" x14ac:dyDescent="0.2">
      <c r="AF22758" s="679"/>
    </row>
    <row r="22759" spans="32:32" x14ac:dyDescent="0.2">
      <c r="AF22759" s="679"/>
    </row>
    <row r="22760" spans="32:32" x14ac:dyDescent="0.2">
      <c r="AF22760" s="679"/>
    </row>
    <row r="22761" spans="32:32" x14ac:dyDescent="0.2">
      <c r="AF22761" s="679"/>
    </row>
    <row r="22762" spans="32:32" x14ac:dyDescent="0.2">
      <c r="AF22762" s="679"/>
    </row>
    <row r="22763" spans="32:32" x14ac:dyDescent="0.2">
      <c r="AF22763" s="679"/>
    </row>
    <row r="22764" spans="32:32" x14ac:dyDescent="0.2">
      <c r="AF22764" s="679"/>
    </row>
    <row r="22765" spans="32:32" x14ac:dyDescent="0.2">
      <c r="AF22765" s="679"/>
    </row>
    <row r="22766" spans="32:32" x14ac:dyDescent="0.2">
      <c r="AF22766" s="679"/>
    </row>
    <row r="22767" spans="32:32" x14ac:dyDescent="0.2">
      <c r="AF22767" s="679"/>
    </row>
    <row r="22768" spans="32:32" x14ac:dyDescent="0.2">
      <c r="AF22768" s="679"/>
    </row>
    <row r="22769" spans="32:32" x14ac:dyDescent="0.2">
      <c r="AF22769" s="679"/>
    </row>
    <row r="22770" spans="32:32" x14ac:dyDescent="0.2">
      <c r="AF22770" s="679"/>
    </row>
    <row r="22771" spans="32:32" x14ac:dyDescent="0.2">
      <c r="AF22771" s="679"/>
    </row>
    <row r="22772" spans="32:32" x14ac:dyDescent="0.2">
      <c r="AF22772" s="679"/>
    </row>
    <row r="22773" spans="32:32" x14ac:dyDescent="0.2">
      <c r="AF22773" s="679"/>
    </row>
    <row r="22774" spans="32:32" x14ac:dyDescent="0.2">
      <c r="AF22774" s="679"/>
    </row>
    <row r="22775" spans="32:32" x14ac:dyDescent="0.2">
      <c r="AF22775" s="679"/>
    </row>
    <row r="22776" spans="32:32" x14ac:dyDescent="0.2">
      <c r="AF22776" s="679"/>
    </row>
    <row r="22777" spans="32:32" x14ac:dyDescent="0.2">
      <c r="AF22777" s="679"/>
    </row>
    <row r="22778" spans="32:32" x14ac:dyDescent="0.2">
      <c r="AF22778" s="679"/>
    </row>
    <row r="22779" spans="32:32" x14ac:dyDescent="0.2">
      <c r="AF22779" s="679"/>
    </row>
    <row r="22780" spans="32:32" x14ac:dyDescent="0.2">
      <c r="AF22780" s="679"/>
    </row>
    <row r="22781" spans="32:32" x14ac:dyDescent="0.2">
      <c r="AF22781" s="679"/>
    </row>
    <row r="22782" spans="32:32" x14ac:dyDescent="0.2">
      <c r="AF22782" s="679"/>
    </row>
    <row r="22783" spans="32:32" x14ac:dyDescent="0.2">
      <c r="AF22783" s="679"/>
    </row>
    <row r="22784" spans="32:32" x14ac:dyDescent="0.2">
      <c r="AF22784" s="679"/>
    </row>
    <row r="22785" spans="32:32" x14ac:dyDescent="0.2">
      <c r="AF22785" s="679"/>
    </row>
    <row r="22786" spans="32:32" x14ac:dyDescent="0.2">
      <c r="AF22786" s="679"/>
    </row>
    <row r="22787" spans="32:32" x14ac:dyDescent="0.2">
      <c r="AF22787" s="679"/>
    </row>
    <row r="22788" spans="32:32" x14ac:dyDescent="0.2">
      <c r="AF22788" s="679"/>
    </row>
    <row r="22789" spans="32:32" x14ac:dyDescent="0.2">
      <c r="AF22789" s="679"/>
    </row>
    <row r="22790" spans="32:32" x14ac:dyDescent="0.2">
      <c r="AF22790" s="679"/>
    </row>
    <row r="22791" spans="32:32" x14ac:dyDescent="0.2">
      <c r="AF22791" s="679"/>
    </row>
    <row r="22792" spans="32:32" x14ac:dyDescent="0.2">
      <c r="AF22792" s="679"/>
    </row>
    <row r="22793" spans="32:32" x14ac:dyDescent="0.2">
      <c r="AF22793" s="679"/>
    </row>
    <row r="22794" spans="32:32" x14ac:dyDescent="0.2">
      <c r="AF22794" s="679"/>
    </row>
    <row r="22795" spans="32:32" x14ac:dyDescent="0.2">
      <c r="AF22795" s="679"/>
    </row>
    <row r="22796" spans="32:32" x14ac:dyDescent="0.2">
      <c r="AF22796" s="679"/>
    </row>
    <row r="22797" spans="32:32" x14ac:dyDescent="0.2">
      <c r="AF22797" s="679"/>
    </row>
    <row r="22798" spans="32:32" x14ac:dyDescent="0.2">
      <c r="AF22798" s="679"/>
    </row>
    <row r="22799" spans="32:32" x14ac:dyDescent="0.2">
      <c r="AF22799" s="679"/>
    </row>
    <row r="22800" spans="32:32" x14ac:dyDescent="0.2">
      <c r="AF22800" s="679"/>
    </row>
    <row r="22801" spans="32:32" x14ac:dyDescent="0.2">
      <c r="AF22801" s="679"/>
    </row>
    <row r="22802" spans="32:32" x14ac:dyDescent="0.2">
      <c r="AF22802" s="679"/>
    </row>
    <row r="22803" spans="32:32" x14ac:dyDescent="0.2">
      <c r="AF22803" s="679"/>
    </row>
    <row r="22804" spans="32:32" x14ac:dyDescent="0.2">
      <c r="AF22804" s="679"/>
    </row>
    <row r="22805" spans="32:32" x14ac:dyDescent="0.2">
      <c r="AF22805" s="679"/>
    </row>
    <row r="22806" spans="32:32" x14ac:dyDescent="0.2">
      <c r="AF22806" s="679"/>
    </row>
    <row r="22807" spans="32:32" x14ac:dyDescent="0.2">
      <c r="AF22807" s="679"/>
    </row>
    <row r="22808" spans="32:32" x14ac:dyDescent="0.2">
      <c r="AF22808" s="679"/>
    </row>
    <row r="22809" spans="32:32" x14ac:dyDescent="0.2">
      <c r="AF22809" s="679"/>
    </row>
    <row r="22810" spans="32:32" x14ac:dyDescent="0.2">
      <c r="AF22810" s="679"/>
    </row>
    <row r="22811" spans="32:32" x14ac:dyDescent="0.2">
      <c r="AF22811" s="679"/>
    </row>
    <row r="22812" spans="32:32" x14ac:dyDescent="0.2">
      <c r="AF22812" s="679"/>
    </row>
    <row r="22813" spans="32:32" x14ac:dyDescent="0.2">
      <c r="AF22813" s="679"/>
    </row>
    <row r="22814" spans="32:32" x14ac:dyDescent="0.2">
      <c r="AF22814" s="679"/>
    </row>
    <row r="22815" spans="32:32" x14ac:dyDescent="0.2">
      <c r="AF22815" s="679"/>
    </row>
    <row r="22816" spans="32:32" x14ac:dyDescent="0.2">
      <c r="AF22816" s="679"/>
    </row>
    <row r="22817" spans="32:32" x14ac:dyDescent="0.2">
      <c r="AF22817" s="679"/>
    </row>
    <row r="22818" spans="32:32" x14ac:dyDescent="0.2">
      <c r="AF22818" s="679"/>
    </row>
    <row r="22819" spans="32:32" x14ac:dyDescent="0.2">
      <c r="AF22819" s="679"/>
    </row>
    <row r="22820" spans="32:32" x14ac:dyDescent="0.2">
      <c r="AF22820" s="679"/>
    </row>
    <row r="22821" spans="32:32" x14ac:dyDescent="0.2">
      <c r="AF22821" s="679"/>
    </row>
    <row r="22822" spans="32:32" x14ac:dyDescent="0.2">
      <c r="AF22822" s="679"/>
    </row>
    <row r="22823" spans="32:32" x14ac:dyDescent="0.2">
      <c r="AF22823" s="679"/>
    </row>
    <row r="22824" spans="32:32" x14ac:dyDescent="0.2">
      <c r="AF22824" s="679"/>
    </row>
    <row r="22825" spans="32:32" x14ac:dyDescent="0.2">
      <c r="AF22825" s="679"/>
    </row>
    <row r="22826" spans="32:32" x14ac:dyDescent="0.2">
      <c r="AF22826" s="679"/>
    </row>
    <row r="22827" spans="32:32" x14ac:dyDescent="0.2">
      <c r="AF22827" s="679"/>
    </row>
    <row r="22828" spans="32:32" x14ac:dyDescent="0.2">
      <c r="AF22828" s="679"/>
    </row>
    <row r="22829" spans="32:32" x14ac:dyDescent="0.2">
      <c r="AF22829" s="679"/>
    </row>
    <row r="22830" spans="32:32" x14ac:dyDescent="0.2">
      <c r="AF22830" s="679"/>
    </row>
    <row r="22831" spans="32:32" x14ac:dyDescent="0.2">
      <c r="AF22831" s="679"/>
    </row>
    <row r="22832" spans="32:32" x14ac:dyDescent="0.2">
      <c r="AF22832" s="679"/>
    </row>
    <row r="22833" spans="32:32" x14ac:dyDescent="0.2">
      <c r="AF22833" s="679"/>
    </row>
    <row r="22834" spans="32:32" x14ac:dyDescent="0.2">
      <c r="AF22834" s="679"/>
    </row>
    <row r="22835" spans="32:32" x14ac:dyDescent="0.2">
      <c r="AF22835" s="679"/>
    </row>
    <row r="22836" spans="32:32" x14ac:dyDescent="0.2">
      <c r="AF22836" s="679"/>
    </row>
    <row r="22837" spans="32:32" x14ac:dyDescent="0.2">
      <c r="AF22837" s="679"/>
    </row>
    <row r="22838" spans="32:32" x14ac:dyDescent="0.2">
      <c r="AF22838" s="679"/>
    </row>
    <row r="22839" spans="32:32" x14ac:dyDescent="0.2">
      <c r="AF22839" s="679"/>
    </row>
    <row r="22840" spans="32:32" x14ac:dyDescent="0.2">
      <c r="AF22840" s="679"/>
    </row>
    <row r="22841" spans="32:32" x14ac:dyDescent="0.2">
      <c r="AF22841" s="679"/>
    </row>
    <row r="22842" spans="32:32" x14ac:dyDescent="0.2">
      <c r="AF22842" s="679"/>
    </row>
    <row r="22843" spans="32:32" x14ac:dyDescent="0.2">
      <c r="AF22843" s="679"/>
    </row>
    <row r="22844" spans="32:32" x14ac:dyDescent="0.2">
      <c r="AF22844" s="679"/>
    </row>
    <row r="22845" spans="32:32" x14ac:dyDescent="0.2">
      <c r="AF22845" s="679"/>
    </row>
    <row r="22846" spans="32:32" x14ac:dyDescent="0.2">
      <c r="AF22846" s="679"/>
    </row>
    <row r="22847" spans="32:32" x14ac:dyDescent="0.2">
      <c r="AF22847" s="679"/>
    </row>
    <row r="22848" spans="32:32" x14ac:dyDescent="0.2">
      <c r="AF22848" s="679"/>
    </row>
    <row r="22849" spans="32:32" x14ac:dyDescent="0.2">
      <c r="AF22849" s="679"/>
    </row>
    <row r="22850" spans="32:32" x14ac:dyDescent="0.2">
      <c r="AF22850" s="679"/>
    </row>
    <row r="22851" spans="32:32" x14ac:dyDescent="0.2">
      <c r="AF22851" s="679"/>
    </row>
    <row r="22852" spans="32:32" x14ac:dyDescent="0.2">
      <c r="AF22852" s="679"/>
    </row>
    <row r="22853" spans="32:32" x14ac:dyDescent="0.2">
      <c r="AF22853" s="679"/>
    </row>
    <row r="22854" spans="32:32" x14ac:dyDescent="0.2">
      <c r="AF22854" s="679"/>
    </row>
    <row r="22855" spans="32:32" x14ac:dyDescent="0.2">
      <c r="AF22855" s="679"/>
    </row>
    <row r="22856" spans="32:32" x14ac:dyDescent="0.2">
      <c r="AF22856" s="679"/>
    </row>
    <row r="22857" spans="32:32" x14ac:dyDescent="0.2">
      <c r="AF22857" s="679"/>
    </row>
    <row r="22858" spans="32:32" x14ac:dyDescent="0.2">
      <c r="AF22858" s="679"/>
    </row>
    <row r="22859" spans="32:32" x14ac:dyDescent="0.2">
      <c r="AF22859" s="679"/>
    </row>
    <row r="22860" spans="32:32" x14ac:dyDescent="0.2">
      <c r="AF22860" s="679"/>
    </row>
    <row r="22861" spans="32:32" x14ac:dyDescent="0.2">
      <c r="AF22861" s="679"/>
    </row>
    <row r="22862" spans="32:32" x14ac:dyDescent="0.2">
      <c r="AF22862" s="679"/>
    </row>
    <row r="22863" spans="32:32" x14ac:dyDescent="0.2">
      <c r="AF22863" s="679"/>
    </row>
    <row r="22864" spans="32:32" x14ac:dyDescent="0.2">
      <c r="AF22864" s="679"/>
    </row>
    <row r="22865" spans="32:32" x14ac:dyDescent="0.2">
      <c r="AF22865" s="679"/>
    </row>
    <row r="22866" spans="32:32" x14ac:dyDescent="0.2">
      <c r="AF22866" s="679"/>
    </row>
    <row r="22867" spans="32:32" x14ac:dyDescent="0.2">
      <c r="AF22867" s="679"/>
    </row>
    <row r="22868" spans="32:32" x14ac:dyDescent="0.2">
      <c r="AF22868" s="679"/>
    </row>
    <row r="22869" spans="32:32" x14ac:dyDescent="0.2">
      <c r="AF22869" s="679"/>
    </row>
    <row r="22870" spans="32:32" x14ac:dyDescent="0.2">
      <c r="AF22870" s="679"/>
    </row>
    <row r="22871" spans="32:32" x14ac:dyDescent="0.2">
      <c r="AF22871" s="679"/>
    </row>
    <row r="22872" spans="32:32" x14ac:dyDescent="0.2">
      <c r="AF22872" s="679"/>
    </row>
    <row r="22873" spans="32:32" x14ac:dyDescent="0.2">
      <c r="AF22873" s="679"/>
    </row>
    <row r="22874" spans="32:32" x14ac:dyDescent="0.2">
      <c r="AF22874" s="679"/>
    </row>
    <row r="22875" spans="32:32" x14ac:dyDescent="0.2">
      <c r="AF22875" s="679"/>
    </row>
    <row r="22876" spans="32:32" x14ac:dyDescent="0.2">
      <c r="AF22876" s="679"/>
    </row>
    <row r="22877" spans="32:32" x14ac:dyDescent="0.2">
      <c r="AF22877" s="679"/>
    </row>
    <row r="22878" spans="32:32" x14ac:dyDescent="0.2">
      <c r="AF22878" s="679"/>
    </row>
    <row r="22879" spans="32:32" x14ac:dyDescent="0.2">
      <c r="AF22879" s="679"/>
    </row>
    <row r="22880" spans="32:32" x14ac:dyDescent="0.2">
      <c r="AF22880" s="679"/>
    </row>
    <row r="22881" spans="32:32" x14ac:dyDescent="0.2">
      <c r="AF22881" s="679"/>
    </row>
    <row r="22882" spans="32:32" x14ac:dyDescent="0.2">
      <c r="AF22882" s="679"/>
    </row>
    <row r="22883" spans="32:32" x14ac:dyDescent="0.2">
      <c r="AF22883" s="679"/>
    </row>
    <row r="22884" spans="32:32" x14ac:dyDescent="0.2">
      <c r="AF22884" s="679"/>
    </row>
    <row r="22885" spans="32:32" x14ac:dyDescent="0.2">
      <c r="AF22885" s="679"/>
    </row>
    <row r="22886" spans="32:32" x14ac:dyDescent="0.2">
      <c r="AF22886" s="679"/>
    </row>
    <row r="22887" spans="32:32" x14ac:dyDescent="0.2">
      <c r="AF22887" s="679"/>
    </row>
    <row r="22888" spans="32:32" x14ac:dyDescent="0.2">
      <c r="AF22888" s="679"/>
    </row>
    <row r="22889" spans="32:32" x14ac:dyDescent="0.2">
      <c r="AF22889" s="679"/>
    </row>
    <row r="22890" spans="32:32" x14ac:dyDescent="0.2">
      <c r="AF22890" s="679"/>
    </row>
    <row r="22891" spans="32:32" x14ac:dyDescent="0.2">
      <c r="AF22891" s="679"/>
    </row>
    <row r="22892" spans="32:32" x14ac:dyDescent="0.2">
      <c r="AF22892" s="679"/>
    </row>
    <row r="22893" spans="32:32" x14ac:dyDescent="0.2">
      <c r="AF22893" s="679"/>
    </row>
    <row r="22894" spans="32:32" x14ac:dyDescent="0.2">
      <c r="AF22894" s="679"/>
    </row>
    <row r="22895" spans="32:32" x14ac:dyDescent="0.2">
      <c r="AF22895" s="679"/>
    </row>
    <row r="22896" spans="32:32" x14ac:dyDescent="0.2">
      <c r="AF22896" s="679"/>
    </row>
    <row r="22897" spans="32:32" x14ac:dyDescent="0.2">
      <c r="AF22897" s="679"/>
    </row>
    <row r="22898" spans="32:32" x14ac:dyDescent="0.2">
      <c r="AF22898" s="679"/>
    </row>
    <row r="22899" spans="32:32" x14ac:dyDescent="0.2">
      <c r="AF22899" s="679"/>
    </row>
    <row r="22900" spans="32:32" x14ac:dyDescent="0.2">
      <c r="AF22900" s="679"/>
    </row>
    <row r="22901" spans="32:32" x14ac:dyDescent="0.2">
      <c r="AF22901" s="679"/>
    </row>
    <row r="22902" spans="32:32" x14ac:dyDescent="0.2">
      <c r="AF22902" s="679"/>
    </row>
    <row r="22903" spans="32:32" x14ac:dyDescent="0.2">
      <c r="AF22903" s="679"/>
    </row>
    <row r="22904" spans="32:32" x14ac:dyDescent="0.2">
      <c r="AF22904" s="679"/>
    </row>
    <row r="22905" spans="32:32" x14ac:dyDescent="0.2">
      <c r="AF22905" s="679"/>
    </row>
    <row r="22906" spans="32:32" x14ac:dyDescent="0.2">
      <c r="AF22906" s="679"/>
    </row>
    <row r="22907" spans="32:32" x14ac:dyDescent="0.2">
      <c r="AF22907" s="679"/>
    </row>
    <row r="22908" spans="32:32" x14ac:dyDescent="0.2">
      <c r="AF22908" s="679"/>
    </row>
    <row r="22909" spans="32:32" x14ac:dyDescent="0.2">
      <c r="AF22909" s="679"/>
    </row>
    <row r="22910" spans="32:32" x14ac:dyDescent="0.2">
      <c r="AF22910" s="679"/>
    </row>
    <row r="22911" spans="32:32" x14ac:dyDescent="0.2">
      <c r="AF22911" s="679"/>
    </row>
    <row r="22912" spans="32:32" x14ac:dyDescent="0.2">
      <c r="AF22912" s="679"/>
    </row>
    <row r="22913" spans="32:32" x14ac:dyDescent="0.2">
      <c r="AF22913" s="679"/>
    </row>
    <row r="22914" spans="32:32" x14ac:dyDescent="0.2">
      <c r="AF22914" s="679"/>
    </row>
    <row r="22915" spans="32:32" x14ac:dyDescent="0.2">
      <c r="AF22915" s="679"/>
    </row>
    <row r="22916" spans="32:32" x14ac:dyDescent="0.2">
      <c r="AF22916" s="679"/>
    </row>
    <row r="22917" spans="32:32" x14ac:dyDescent="0.2">
      <c r="AF22917" s="679"/>
    </row>
    <row r="22918" spans="32:32" x14ac:dyDescent="0.2">
      <c r="AF22918" s="679"/>
    </row>
    <row r="22919" spans="32:32" x14ac:dyDescent="0.2">
      <c r="AF22919" s="679"/>
    </row>
    <row r="22920" spans="32:32" x14ac:dyDescent="0.2">
      <c r="AF22920" s="679"/>
    </row>
    <row r="22921" spans="32:32" x14ac:dyDescent="0.2">
      <c r="AF22921" s="679"/>
    </row>
    <row r="22922" spans="32:32" x14ac:dyDescent="0.2">
      <c r="AF22922" s="679"/>
    </row>
    <row r="22923" spans="32:32" x14ac:dyDescent="0.2">
      <c r="AF22923" s="679"/>
    </row>
    <row r="22924" spans="32:32" x14ac:dyDescent="0.2">
      <c r="AF22924" s="679"/>
    </row>
    <row r="22925" spans="32:32" x14ac:dyDescent="0.2">
      <c r="AF22925" s="679"/>
    </row>
    <row r="22926" spans="32:32" x14ac:dyDescent="0.2">
      <c r="AF22926" s="679"/>
    </row>
    <row r="22927" spans="32:32" x14ac:dyDescent="0.2">
      <c r="AF22927" s="679"/>
    </row>
    <row r="22928" spans="32:32" x14ac:dyDescent="0.2">
      <c r="AF22928" s="679"/>
    </row>
    <row r="22929" spans="32:32" x14ac:dyDescent="0.2">
      <c r="AF22929" s="679"/>
    </row>
    <row r="22930" spans="32:32" x14ac:dyDescent="0.2">
      <c r="AF22930" s="679"/>
    </row>
    <row r="22931" spans="32:32" x14ac:dyDescent="0.2">
      <c r="AF22931" s="679"/>
    </row>
    <row r="22932" spans="32:32" x14ac:dyDescent="0.2">
      <c r="AF22932" s="679"/>
    </row>
    <row r="22933" spans="32:32" x14ac:dyDescent="0.2">
      <c r="AF22933" s="679"/>
    </row>
    <row r="22934" spans="32:32" x14ac:dyDescent="0.2">
      <c r="AF22934" s="679"/>
    </row>
    <row r="22935" spans="32:32" x14ac:dyDescent="0.2">
      <c r="AF22935" s="679"/>
    </row>
    <row r="22936" spans="32:32" x14ac:dyDescent="0.2">
      <c r="AF22936" s="679"/>
    </row>
    <row r="22937" spans="32:32" x14ac:dyDescent="0.2">
      <c r="AF22937" s="679"/>
    </row>
    <row r="22938" spans="32:32" x14ac:dyDescent="0.2">
      <c r="AF22938" s="679"/>
    </row>
    <row r="22939" spans="32:32" x14ac:dyDescent="0.2">
      <c r="AF22939" s="679"/>
    </row>
    <row r="22940" spans="32:32" x14ac:dyDescent="0.2">
      <c r="AF22940" s="679"/>
    </row>
    <row r="22941" spans="32:32" x14ac:dyDescent="0.2">
      <c r="AF22941" s="679"/>
    </row>
    <row r="22942" spans="32:32" x14ac:dyDescent="0.2">
      <c r="AF22942" s="679"/>
    </row>
    <row r="22943" spans="32:32" x14ac:dyDescent="0.2">
      <c r="AF22943" s="679"/>
    </row>
    <row r="22944" spans="32:32" x14ac:dyDescent="0.2">
      <c r="AF22944" s="679"/>
    </row>
    <row r="22945" spans="32:32" x14ac:dyDescent="0.2">
      <c r="AF22945" s="679"/>
    </row>
    <row r="22946" spans="32:32" x14ac:dyDescent="0.2">
      <c r="AF22946" s="679"/>
    </row>
    <row r="22947" spans="32:32" x14ac:dyDescent="0.2">
      <c r="AF22947" s="679"/>
    </row>
    <row r="22948" spans="32:32" x14ac:dyDescent="0.2">
      <c r="AF22948" s="679"/>
    </row>
    <row r="22949" spans="32:32" x14ac:dyDescent="0.2">
      <c r="AF22949" s="679"/>
    </row>
    <row r="22950" spans="32:32" x14ac:dyDescent="0.2">
      <c r="AF22950" s="679"/>
    </row>
    <row r="22951" spans="32:32" x14ac:dyDescent="0.2">
      <c r="AF22951" s="679"/>
    </row>
    <row r="22952" spans="32:32" x14ac:dyDescent="0.2">
      <c r="AF22952" s="679"/>
    </row>
    <row r="22953" spans="32:32" x14ac:dyDescent="0.2">
      <c r="AF22953" s="679"/>
    </row>
    <row r="22954" spans="32:32" x14ac:dyDescent="0.2">
      <c r="AF22954" s="679"/>
    </row>
    <row r="22955" spans="32:32" x14ac:dyDescent="0.2">
      <c r="AF22955" s="679"/>
    </row>
    <row r="22956" spans="32:32" x14ac:dyDescent="0.2">
      <c r="AF22956" s="679"/>
    </row>
    <row r="22957" spans="32:32" x14ac:dyDescent="0.2">
      <c r="AF22957" s="679"/>
    </row>
    <row r="22958" spans="32:32" x14ac:dyDescent="0.2">
      <c r="AF22958" s="679"/>
    </row>
    <row r="22959" spans="32:32" x14ac:dyDescent="0.2">
      <c r="AF22959" s="679"/>
    </row>
    <row r="22960" spans="32:32" x14ac:dyDescent="0.2">
      <c r="AF22960" s="679"/>
    </row>
    <row r="22961" spans="32:32" x14ac:dyDescent="0.2">
      <c r="AF22961" s="679"/>
    </row>
    <row r="22962" spans="32:32" x14ac:dyDescent="0.2">
      <c r="AF22962" s="679"/>
    </row>
    <row r="22963" spans="32:32" x14ac:dyDescent="0.2">
      <c r="AF22963" s="679"/>
    </row>
    <row r="22964" spans="32:32" x14ac:dyDescent="0.2">
      <c r="AF22964" s="679"/>
    </row>
    <row r="22965" spans="32:32" x14ac:dyDescent="0.2">
      <c r="AF22965" s="679"/>
    </row>
    <row r="22966" spans="32:32" x14ac:dyDescent="0.2">
      <c r="AF22966" s="679"/>
    </row>
    <row r="22967" spans="32:32" x14ac:dyDescent="0.2">
      <c r="AF22967" s="679"/>
    </row>
    <row r="22968" spans="32:32" x14ac:dyDescent="0.2">
      <c r="AF22968" s="679"/>
    </row>
    <row r="22969" spans="32:32" x14ac:dyDescent="0.2">
      <c r="AF22969" s="679"/>
    </row>
    <row r="22970" spans="32:32" x14ac:dyDescent="0.2">
      <c r="AF22970" s="679"/>
    </row>
    <row r="22971" spans="32:32" x14ac:dyDescent="0.2">
      <c r="AF22971" s="679"/>
    </row>
    <row r="22972" spans="32:32" x14ac:dyDescent="0.2">
      <c r="AF22972" s="679"/>
    </row>
    <row r="22973" spans="32:32" x14ac:dyDescent="0.2">
      <c r="AF22973" s="679"/>
    </row>
    <row r="22974" spans="32:32" x14ac:dyDescent="0.2">
      <c r="AF22974" s="679"/>
    </row>
    <row r="22975" spans="32:32" x14ac:dyDescent="0.2">
      <c r="AF22975" s="679"/>
    </row>
    <row r="22976" spans="32:32" x14ac:dyDescent="0.2">
      <c r="AF22976" s="679"/>
    </row>
    <row r="22977" spans="32:32" x14ac:dyDescent="0.2">
      <c r="AF22977" s="679"/>
    </row>
    <row r="22978" spans="32:32" x14ac:dyDescent="0.2">
      <c r="AF22978" s="679"/>
    </row>
    <row r="22979" spans="32:32" x14ac:dyDescent="0.2">
      <c r="AF22979" s="679"/>
    </row>
    <row r="22980" spans="32:32" x14ac:dyDescent="0.2">
      <c r="AF22980" s="679"/>
    </row>
    <row r="22981" spans="32:32" x14ac:dyDescent="0.2">
      <c r="AF22981" s="679"/>
    </row>
    <row r="22982" spans="32:32" x14ac:dyDescent="0.2">
      <c r="AF22982" s="679"/>
    </row>
    <row r="22983" spans="32:32" x14ac:dyDescent="0.2">
      <c r="AF22983" s="679"/>
    </row>
    <row r="22984" spans="32:32" x14ac:dyDescent="0.2">
      <c r="AF22984" s="679"/>
    </row>
    <row r="22985" spans="32:32" x14ac:dyDescent="0.2">
      <c r="AF22985" s="679"/>
    </row>
    <row r="22986" spans="32:32" x14ac:dyDescent="0.2">
      <c r="AF22986" s="679"/>
    </row>
    <row r="22987" spans="32:32" x14ac:dyDescent="0.2">
      <c r="AF22987" s="679"/>
    </row>
    <row r="22988" spans="32:32" x14ac:dyDescent="0.2">
      <c r="AF22988" s="679"/>
    </row>
    <row r="22989" spans="32:32" x14ac:dyDescent="0.2">
      <c r="AF22989" s="679"/>
    </row>
    <row r="22990" spans="32:32" x14ac:dyDescent="0.2">
      <c r="AF22990" s="679"/>
    </row>
    <row r="22991" spans="32:32" x14ac:dyDescent="0.2">
      <c r="AF22991" s="679"/>
    </row>
    <row r="22992" spans="32:32" x14ac:dyDescent="0.2">
      <c r="AF22992" s="679"/>
    </row>
    <row r="22993" spans="32:32" x14ac:dyDescent="0.2">
      <c r="AF22993" s="679"/>
    </row>
    <row r="22994" spans="32:32" x14ac:dyDescent="0.2">
      <c r="AF22994" s="679"/>
    </row>
    <row r="22995" spans="32:32" x14ac:dyDescent="0.2">
      <c r="AF22995" s="679"/>
    </row>
    <row r="22996" spans="32:32" x14ac:dyDescent="0.2">
      <c r="AF22996" s="679"/>
    </row>
    <row r="22997" spans="32:32" x14ac:dyDescent="0.2">
      <c r="AF22997" s="679"/>
    </row>
    <row r="22998" spans="32:32" x14ac:dyDescent="0.2">
      <c r="AF22998" s="679"/>
    </row>
    <row r="22999" spans="32:32" x14ac:dyDescent="0.2">
      <c r="AF22999" s="679"/>
    </row>
    <row r="23000" spans="32:32" x14ac:dyDescent="0.2">
      <c r="AF23000" s="679"/>
    </row>
    <row r="23001" spans="32:32" x14ac:dyDescent="0.2">
      <c r="AF23001" s="679"/>
    </row>
    <row r="23002" spans="32:32" x14ac:dyDescent="0.2">
      <c r="AF23002" s="679"/>
    </row>
    <row r="23003" spans="32:32" x14ac:dyDescent="0.2">
      <c r="AF23003" s="679"/>
    </row>
    <row r="23004" spans="32:32" x14ac:dyDescent="0.2">
      <c r="AF23004" s="679"/>
    </row>
    <row r="23005" spans="32:32" x14ac:dyDescent="0.2">
      <c r="AF23005" s="679"/>
    </row>
    <row r="23006" spans="32:32" x14ac:dyDescent="0.2">
      <c r="AF23006" s="679"/>
    </row>
    <row r="23007" spans="32:32" x14ac:dyDescent="0.2">
      <c r="AF23007" s="679"/>
    </row>
    <row r="23008" spans="32:32" x14ac:dyDescent="0.2">
      <c r="AF23008" s="679"/>
    </row>
    <row r="23009" spans="32:32" x14ac:dyDescent="0.2">
      <c r="AF23009" s="679"/>
    </row>
    <row r="23010" spans="32:32" x14ac:dyDescent="0.2">
      <c r="AF23010" s="679"/>
    </row>
    <row r="23011" spans="32:32" x14ac:dyDescent="0.2">
      <c r="AF23011" s="679"/>
    </row>
    <row r="23012" spans="32:32" x14ac:dyDescent="0.2">
      <c r="AF23012" s="679"/>
    </row>
    <row r="23013" spans="32:32" x14ac:dyDescent="0.2">
      <c r="AF23013" s="679"/>
    </row>
    <row r="23014" spans="32:32" x14ac:dyDescent="0.2">
      <c r="AF23014" s="679"/>
    </row>
    <row r="23015" spans="32:32" x14ac:dyDescent="0.2">
      <c r="AF23015" s="679"/>
    </row>
    <row r="23016" spans="32:32" x14ac:dyDescent="0.2">
      <c r="AF23016" s="679"/>
    </row>
    <row r="23017" spans="32:32" x14ac:dyDescent="0.2">
      <c r="AF23017" s="679"/>
    </row>
    <row r="23018" spans="32:32" x14ac:dyDescent="0.2">
      <c r="AF23018" s="679"/>
    </row>
    <row r="23019" spans="32:32" x14ac:dyDescent="0.2">
      <c r="AF23019" s="679"/>
    </row>
    <row r="23020" spans="32:32" x14ac:dyDescent="0.2">
      <c r="AF23020" s="679"/>
    </row>
    <row r="23021" spans="32:32" x14ac:dyDescent="0.2">
      <c r="AF23021" s="679"/>
    </row>
    <row r="23022" spans="32:32" x14ac:dyDescent="0.2">
      <c r="AF23022" s="679"/>
    </row>
    <row r="23023" spans="32:32" x14ac:dyDescent="0.2">
      <c r="AF23023" s="679"/>
    </row>
    <row r="23024" spans="32:32" x14ac:dyDescent="0.2">
      <c r="AF23024" s="679"/>
    </row>
    <row r="23025" spans="32:32" x14ac:dyDescent="0.2">
      <c r="AF23025" s="679"/>
    </row>
    <row r="23026" spans="32:32" x14ac:dyDescent="0.2">
      <c r="AF23026" s="679"/>
    </row>
    <row r="23027" spans="32:32" x14ac:dyDescent="0.2">
      <c r="AF23027" s="679"/>
    </row>
    <row r="23028" spans="32:32" x14ac:dyDescent="0.2">
      <c r="AF23028" s="679"/>
    </row>
    <row r="23029" spans="32:32" x14ac:dyDescent="0.2">
      <c r="AF23029" s="679"/>
    </row>
    <row r="23030" spans="32:32" x14ac:dyDescent="0.2">
      <c r="AF23030" s="679"/>
    </row>
    <row r="23031" spans="32:32" x14ac:dyDescent="0.2">
      <c r="AF23031" s="679"/>
    </row>
    <row r="23032" spans="32:32" x14ac:dyDescent="0.2">
      <c r="AF23032" s="679"/>
    </row>
    <row r="23033" spans="32:32" x14ac:dyDescent="0.2">
      <c r="AF23033" s="679"/>
    </row>
    <row r="23034" spans="32:32" x14ac:dyDescent="0.2">
      <c r="AF23034" s="679"/>
    </row>
    <row r="23035" spans="32:32" x14ac:dyDescent="0.2">
      <c r="AF23035" s="679"/>
    </row>
    <row r="23036" spans="32:32" x14ac:dyDescent="0.2">
      <c r="AF23036" s="679"/>
    </row>
    <row r="23037" spans="32:32" x14ac:dyDescent="0.2">
      <c r="AF23037" s="679"/>
    </row>
    <row r="23038" spans="32:32" x14ac:dyDescent="0.2">
      <c r="AF23038" s="679"/>
    </row>
    <row r="23039" spans="32:32" x14ac:dyDescent="0.2">
      <c r="AF23039" s="679"/>
    </row>
    <row r="23040" spans="32:32" x14ac:dyDescent="0.2">
      <c r="AF23040" s="679"/>
    </row>
    <row r="23041" spans="32:32" x14ac:dyDescent="0.2">
      <c r="AF23041" s="679"/>
    </row>
    <row r="23042" spans="32:32" x14ac:dyDescent="0.2">
      <c r="AF23042" s="679"/>
    </row>
    <row r="23043" spans="32:32" x14ac:dyDescent="0.2">
      <c r="AF23043" s="679"/>
    </row>
    <row r="23044" spans="32:32" x14ac:dyDescent="0.2">
      <c r="AF23044" s="679"/>
    </row>
    <row r="23045" spans="32:32" x14ac:dyDescent="0.2">
      <c r="AF23045" s="679"/>
    </row>
    <row r="23046" spans="32:32" x14ac:dyDescent="0.2">
      <c r="AF23046" s="679"/>
    </row>
    <row r="23047" spans="32:32" x14ac:dyDescent="0.2">
      <c r="AF23047" s="679"/>
    </row>
    <row r="23048" spans="32:32" x14ac:dyDescent="0.2">
      <c r="AF23048" s="679"/>
    </row>
    <row r="23049" spans="32:32" x14ac:dyDescent="0.2">
      <c r="AF23049" s="679"/>
    </row>
    <row r="23050" spans="32:32" x14ac:dyDescent="0.2">
      <c r="AF23050" s="679"/>
    </row>
    <row r="23051" spans="32:32" x14ac:dyDescent="0.2">
      <c r="AF23051" s="679"/>
    </row>
    <row r="23052" spans="32:32" x14ac:dyDescent="0.2">
      <c r="AF23052" s="679"/>
    </row>
    <row r="23053" spans="32:32" x14ac:dyDescent="0.2">
      <c r="AF23053" s="679"/>
    </row>
    <row r="23054" spans="32:32" x14ac:dyDescent="0.2">
      <c r="AF23054" s="679"/>
    </row>
    <row r="23055" spans="32:32" x14ac:dyDescent="0.2">
      <c r="AF23055" s="679"/>
    </row>
    <row r="23056" spans="32:32" x14ac:dyDescent="0.2">
      <c r="AF23056" s="679"/>
    </row>
    <row r="23057" spans="32:32" x14ac:dyDescent="0.2">
      <c r="AF23057" s="679"/>
    </row>
    <row r="23058" spans="32:32" x14ac:dyDescent="0.2">
      <c r="AF23058" s="679"/>
    </row>
    <row r="23059" spans="32:32" x14ac:dyDescent="0.2">
      <c r="AF23059" s="679"/>
    </row>
    <row r="23060" spans="32:32" x14ac:dyDescent="0.2">
      <c r="AF23060" s="679"/>
    </row>
    <row r="23061" spans="32:32" x14ac:dyDescent="0.2">
      <c r="AF23061" s="679"/>
    </row>
    <row r="23062" spans="32:32" x14ac:dyDescent="0.2">
      <c r="AF23062" s="679"/>
    </row>
    <row r="23063" spans="32:32" x14ac:dyDescent="0.2">
      <c r="AF23063" s="679"/>
    </row>
    <row r="23064" spans="32:32" x14ac:dyDescent="0.2">
      <c r="AF23064" s="679"/>
    </row>
    <row r="23065" spans="32:32" x14ac:dyDescent="0.2">
      <c r="AF23065" s="679"/>
    </row>
    <row r="23066" spans="32:32" x14ac:dyDescent="0.2">
      <c r="AF23066" s="679"/>
    </row>
    <row r="23067" spans="32:32" x14ac:dyDescent="0.2">
      <c r="AF23067" s="679"/>
    </row>
    <row r="23068" spans="32:32" x14ac:dyDescent="0.2">
      <c r="AF23068" s="679"/>
    </row>
    <row r="23069" spans="32:32" x14ac:dyDescent="0.2">
      <c r="AF23069" s="679"/>
    </row>
    <row r="23070" spans="32:32" x14ac:dyDescent="0.2">
      <c r="AF23070" s="679"/>
    </row>
    <row r="23071" spans="32:32" x14ac:dyDescent="0.2">
      <c r="AF23071" s="679"/>
    </row>
    <row r="23072" spans="32:32" x14ac:dyDescent="0.2">
      <c r="AF23072" s="679"/>
    </row>
    <row r="23073" spans="32:32" x14ac:dyDescent="0.2">
      <c r="AF23073" s="679"/>
    </row>
    <row r="23074" spans="32:32" x14ac:dyDescent="0.2">
      <c r="AF23074" s="679"/>
    </row>
    <row r="23075" spans="32:32" x14ac:dyDescent="0.2">
      <c r="AF23075" s="679"/>
    </row>
    <row r="23076" spans="32:32" x14ac:dyDescent="0.2">
      <c r="AF23076" s="679"/>
    </row>
    <row r="23077" spans="32:32" x14ac:dyDescent="0.2">
      <c r="AF23077" s="679"/>
    </row>
    <row r="23078" spans="32:32" x14ac:dyDescent="0.2">
      <c r="AF23078" s="679"/>
    </row>
    <row r="23079" spans="32:32" x14ac:dyDescent="0.2">
      <c r="AF23079" s="679"/>
    </row>
    <row r="23080" spans="32:32" x14ac:dyDescent="0.2">
      <c r="AF23080" s="679"/>
    </row>
    <row r="23081" spans="32:32" x14ac:dyDescent="0.2">
      <c r="AF23081" s="679"/>
    </row>
    <row r="23082" spans="32:32" x14ac:dyDescent="0.2">
      <c r="AF23082" s="679"/>
    </row>
    <row r="23083" spans="32:32" x14ac:dyDescent="0.2">
      <c r="AF23083" s="679"/>
    </row>
    <row r="23084" spans="32:32" x14ac:dyDescent="0.2">
      <c r="AF23084" s="679"/>
    </row>
    <row r="23085" spans="32:32" x14ac:dyDescent="0.2">
      <c r="AF23085" s="679"/>
    </row>
    <row r="23086" spans="32:32" x14ac:dyDescent="0.2">
      <c r="AF23086" s="679"/>
    </row>
    <row r="23087" spans="32:32" x14ac:dyDescent="0.2">
      <c r="AF23087" s="679"/>
    </row>
    <row r="23088" spans="32:32" x14ac:dyDescent="0.2">
      <c r="AF23088" s="679"/>
    </row>
    <row r="23089" spans="32:32" x14ac:dyDescent="0.2">
      <c r="AF23089" s="679"/>
    </row>
    <row r="23090" spans="32:32" x14ac:dyDescent="0.2">
      <c r="AF23090" s="679"/>
    </row>
    <row r="23091" spans="32:32" x14ac:dyDescent="0.2">
      <c r="AF23091" s="679"/>
    </row>
    <row r="23092" spans="32:32" x14ac:dyDescent="0.2">
      <c r="AF23092" s="679"/>
    </row>
    <row r="23093" spans="32:32" x14ac:dyDescent="0.2">
      <c r="AF23093" s="679"/>
    </row>
    <row r="23094" spans="32:32" x14ac:dyDescent="0.2">
      <c r="AF23094" s="679"/>
    </row>
    <row r="23095" spans="32:32" x14ac:dyDescent="0.2">
      <c r="AF23095" s="679"/>
    </row>
    <row r="23096" spans="32:32" x14ac:dyDescent="0.2">
      <c r="AF23096" s="679"/>
    </row>
    <row r="23097" spans="32:32" x14ac:dyDescent="0.2">
      <c r="AF23097" s="679"/>
    </row>
    <row r="23098" spans="32:32" x14ac:dyDescent="0.2">
      <c r="AF23098" s="679"/>
    </row>
    <row r="23099" spans="32:32" x14ac:dyDescent="0.2">
      <c r="AF23099" s="679"/>
    </row>
    <row r="23100" spans="32:32" x14ac:dyDescent="0.2">
      <c r="AF23100" s="679"/>
    </row>
    <row r="23101" spans="32:32" x14ac:dyDescent="0.2">
      <c r="AF23101" s="679"/>
    </row>
    <row r="23102" spans="32:32" x14ac:dyDescent="0.2">
      <c r="AF23102" s="679"/>
    </row>
    <row r="23103" spans="32:32" x14ac:dyDescent="0.2">
      <c r="AF23103" s="679"/>
    </row>
    <row r="23104" spans="32:32" x14ac:dyDescent="0.2">
      <c r="AF23104" s="679"/>
    </row>
    <row r="23105" spans="32:32" x14ac:dyDescent="0.2">
      <c r="AF23105" s="679"/>
    </row>
    <row r="23106" spans="32:32" x14ac:dyDescent="0.2">
      <c r="AF23106" s="679"/>
    </row>
    <row r="23107" spans="32:32" x14ac:dyDescent="0.2">
      <c r="AF23107" s="679"/>
    </row>
    <row r="23108" spans="32:32" x14ac:dyDescent="0.2">
      <c r="AF23108" s="679"/>
    </row>
    <row r="23109" spans="32:32" x14ac:dyDescent="0.2">
      <c r="AF23109" s="679"/>
    </row>
    <row r="23110" spans="32:32" x14ac:dyDescent="0.2">
      <c r="AF23110" s="679"/>
    </row>
    <row r="23111" spans="32:32" x14ac:dyDescent="0.2">
      <c r="AF23111" s="679"/>
    </row>
    <row r="23112" spans="32:32" x14ac:dyDescent="0.2">
      <c r="AF23112" s="679"/>
    </row>
    <row r="23113" spans="32:32" x14ac:dyDescent="0.2">
      <c r="AF23113" s="679"/>
    </row>
    <row r="23114" spans="32:32" x14ac:dyDescent="0.2">
      <c r="AF23114" s="679"/>
    </row>
    <row r="23115" spans="32:32" x14ac:dyDescent="0.2">
      <c r="AF23115" s="679"/>
    </row>
    <row r="23116" spans="32:32" x14ac:dyDescent="0.2">
      <c r="AF23116" s="679"/>
    </row>
    <row r="23117" spans="32:32" x14ac:dyDescent="0.2">
      <c r="AF23117" s="679"/>
    </row>
    <row r="23118" spans="32:32" x14ac:dyDescent="0.2">
      <c r="AF23118" s="679"/>
    </row>
    <row r="23119" spans="32:32" x14ac:dyDescent="0.2">
      <c r="AF23119" s="679"/>
    </row>
    <row r="23120" spans="32:32" x14ac:dyDescent="0.2">
      <c r="AF23120" s="679"/>
    </row>
    <row r="23121" spans="32:32" x14ac:dyDescent="0.2">
      <c r="AF23121" s="679"/>
    </row>
    <row r="23122" spans="32:32" x14ac:dyDescent="0.2">
      <c r="AF23122" s="679"/>
    </row>
    <row r="23123" spans="32:32" x14ac:dyDescent="0.2">
      <c r="AF23123" s="679"/>
    </row>
    <row r="23124" spans="32:32" x14ac:dyDescent="0.2">
      <c r="AF23124" s="679"/>
    </row>
    <row r="23125" spans="32:32" x14ac:dyDescent="0.2">
      <c r="AF23125" s="679"/>
    </row>
    <row r="23126" spans="32:32" x14ac:dyDescent="0.2">
      <c r="AF23126" s="679"/>
    </row>
    <row r="23127" spans="32:32" x14ac:dyDescent="0.2">
      <c r="AF23127" s="679"/>
    </row>
    <row r="23128" spans="32:32" x14ac:dyDescent="0.2">
      <c r="AF23128" s="679"/>
    </row>
    <row r="23129" spans="32:32" x14ac:dyDescent="0.2">
      <c r="AF23129" s="679"/>
    </row>
    <row r="23130" spans="32:32" x14ac:dyDescent="0.2">
      <c r="AF23130" s="679"/>
    </row>
    <row r="23131" spans="32:32" x14ac:dyDescent="0.2">
      <c r="AF23131" s="679"/>
    </row>
    <row r="23132" spans="32:32" x14ac:dyDescent="0.2">
      <c r="AF23132" s="679"/>
    </row>
    <row r="23133" spans="32:32" x14ac:dyDescent="0.2">
      <c r="AF23133" s="679"/>
    </row>
    <row r="23134" spans="32:32" x14ac:dyDescent="0.2">
      <c r="AF23134" s="679"/>
    </row>
    <row r="23135" spans="32:32" x14ac:dyDescent="0.2">
      <c r="AF23135" s="679"/>
    </row>
    <row r="23136" spans="32:32" x14ac:dyDescent="0.2">
      <c r="AF23136" s="679"/>
    </row>
    <row r="23137" spans="32:32" x14ac:dyDescent="0.2">
      <c r="AF23137" s="679"/>
    </row>
    <row r="23138" spans="32:32" x14ac:dyDescent="0.2">
      <c r="AF23138" s="679"/>
    </row>
    <row r="23139" spans="32:32" x14ac:dyDescent="0.2">
      <c r="AF23139" s="679"/>
    </row>
    <row r="23140" spans="32:32" x14ac:dyDescent="0.2">
      <c r="AF23140" s="679"/>
    </row>
    <row r="23141" spans="32:32" x14ac:dyDescent="0.2">
      <c r="AF23141" s="679"/>
    </row>
    <row r="23142" spans="32:32" x14ac:dyDescent="0.2">
      <c r="AF23142" s="679"/>
    </row>
    <row r="23143" spans="32:32" x14ac:dyDescent="0.2">
      <c r="AF23143" s="679"/>
    </row>
    <row r="23144" spans="32:32" x14ac:dyDescent="0.2">
      <c r="AF23144" s="679"/>
    </row>
    <row r="23145" spans="32:32" x14ac:dyDescent="0.2">
      <c r="AF23145" s="679"/>
    </row>
    <row r="23146" spans="32:32" x14ac:dyDescent="0.2">
      <c r="AF23146" s="679"/>
    </row>
    <row r="23147" spans="32:32" x14ac:dyDescent="0.2">
      <c r="AF23147" s="679"/>
    </row>
    <row r="23148" spans="32:32" x14ac:dyDescent="0.2">
      <c r="AF23148" s="679"/>
    </row>
    <row r="23149" spans="32:32" x14ac:dyDescent="0.2">
      <c r="AF23149" s="679"/>
    </row>
    <row r="23150" spans="32:32" x14ac:dyDescent="0.2">
      <c r="AF23150" s="679"/>
    </row>
    <row r="23151" spans="32:32" x14ac:dyDescent="0.2">
      <c r="AF23151" s="679"/>
    </row>
    <row r="23152" spans="32:32" x14ac:dyDescent="0.2">
      <c r="AF23152" s="679"/>
    </row>
    <row r="23153" spans="32:32" x14ac:dyDescent="0.2">
      <c r="AF23153" s="679"/>
    </row>
    <row r="23154" spans="32:32" x14ac:dyDescent="0.2">
      <c r="AF23154" s="679"/>
    </row>
    <row r="23155" spans="32:32" x14ac:dyDescent="0.2">
      <c r="AF23155" s="679"/>
    </row>
    <row r="23156" spans="32:32" x14ac:dyDescent="0.2">
      <c r="AF23156" s="679"/>
    </row>
    <row r="23157" spans="32:32" x14ac:dyDescent="0.2">
      <c r="AF23157" s="679"/>
    </row>
    <row r="23158" spans="32:32" x14ac:dyDescent="0.2">
      <c r="AF23158" s="679"/>
    </row>
    <row r="23159" spans="32:32" x14ac:dyDescent="0.2">
      <c r="AF23159" s="679"/>
    </row>
    <row r="23160" spans="32:32" x14ac:dyDescent="0.2">
      <c r="AF23160" s="679"/>
    </row>
    <row r="23161" spans="32:32" x14ac:dyDescent="0.2">
      <c r="AF23161" s="679"/>
    </row>
    <row r="23162" spans="32:32" x14ac:dyDescent="0.2">
      <c r="AF23162" s="679"/>
    </row>
    <row r="23163" spans="32:32" x14ac:dyDescent="0.2">
      <c r="AF23163" s="679"/>
    </row>
    <row r="23164" spans="32:32" x14ac:dyDescent="0.2">
      <c r="AF23164" s="679"/>
    </row>
    <row r="23165" spans="32:32" x14ac:dyDescent="0.2">
      <c r="AF23165" s="679"/>
    </row>
    <row r="23166" spans="32:32" x14ac:dyDescent="0.2">
      <c r="AF23166" s="679"/>
    </row>
    <row r="23167" spans="32:32" x14ac:dyDescent="0.2">
      <c r="AF23167" s="679"/>
    </row>
    <row r="23168" spans="32:32" x14ac:dyDescent="0.2">
      <c r="AF23168" s="679"/>
    </row>
    <row r="23169" spans="32:32" x14ac:dyDescent="0.2">
      <c r="AF23169" s="679"/>
    </row>
    <row r="23170" spans="32:32" x14ac:dyDescent="0.2">
      <c r="AF23170" s="679"/>
    </row>
    <row r="23171" spans="32:32" x14ac:dyDescent="0.2">
      <c r="AF23171" s="679"/>
    </row>
    <row r="23172" spans="32:32" x14ac:dyDescent="0.2">
      <c r="AF23172" s="679"/>
    </row>
    <row r="23173" spans="32:32" x14ac:dyDescent="0.2">
      <c r="AF23173" s="679"/>
    </row>
    <row r="23174" spans="32:32" x14ac:dyDescent="0.2">
      <c r="AF23174" s="679"/>
    </row>
    <row r="23175" spans="32:32" x14ac:dyDescent="0.2">
      <c r="AF23175" s="679"/>
    </row>
    <row r="23176" spans="32:32" x14ac:dyDescent="0.2">
      <c r="AF23176" s="679"/>
    </row>
    <row r="23177" spans="32:32" x14ac:dyDescent="0.2">
      <c r="AF23177" s="679"/>
    </row>
    <row r="23178" spans="32:32" x14ac:dyDescent="0.2">
      <c r="AF23178" s="679"/>
    </row>
    <row r="23179" spans="32:32" x14ac:dyDescent="0.2">
      <c r="AF23179" s="679"/>
    </row>
    <row r="23180" spans="32:32" x14ac:dyDescent="0.2">
      <c r="AF23180" s="679"/>
    </row>
    <row r="23181" spans="32:32" x14ac:dyDescent="0.2">
      <c r="AF23181" s="679"/>
    </row>
    <row r="23182" spans="32:32" x14ac:dyDescent="0.2">
      <c r="AF23182" s="679"/>
    </row>
    <row r="23183" spans="32:32" x14ac:dyDescent="0.2">
      <c r="AF23183" s="679"/>
    </row>
    <row r="23184" spans="32:32" x14ac:dyDescent="0.2">
      <c r="AF23184" s="679"/>
    </row>
    <row r="23185" spans="32:32" x14ac:dyDescent="0.2">
      <c r="AF23185" s="679"/>
    </row>
    <row r="23186" spans="32:32" x14ac:dyDescent="0.2">
      <c r="AF23186" s="679"/>
    </row>
    <row r="23187" spans="32:32" x14ac:dyDescent="0.2">
      <c r="AF23187" s="679"/>
    </row>
    <row r="23188" spans="32:32" x14ac:dyDescent="0.2">
      <c r="AF23188" s="679"/>
    </row>
    <row r="23189" spans="32:32" x14ac:dyDescent="0.2">
      <c r="AF23189" s="679"/>
    </row>
    <row r="23190" spans="32:32" x14ac:dyDescent="0.2">
      <c r="AF23190" s="679"/>
    </row>
    <row r="23191" spans="32:32" x14ac:dyDescent="0.2">
      <c r="AF23191" s="679"/>
    </row>
    <row r="23192" spans="32:32" x14ac:dyDescent="0.2">
      <c r="AF23192" s="679"/>
    </row>
    <row r="23193" spans="32:32" x14ac:dyDescent="0.2">
      <c r="AF23193" s="679"/>
    </row>
    <row r="23194" spans="32:32" x14ac:dyDescent="0.2">
      <c r="AF23194" s="679"/>
    </row>
    <row r="23195" spans="32:32" x14ac:dyDescent="0.2">
      <c r="AF23195" s="679"/>
    </row>
    <row r="23196" spans="32:32" x14ac:dyDescent="0.2">
      <c r="AF23196" s="679"/>
    </row>
    <row r="23197" spans="32:32" x14ac:dyDescent="0.2">
      <c r="AF23197" s="679"/>
    </row>
    <row r="23198" spans="32:32" x14ac:dyDescent="0.2">
      <c r="AF23198" s="679"/>
    </row>
    <row r="23199" spans="32:32" x14ac:dyDescent="0.2">
      <c r="AF23199" s="679"/>
    </row>
    <row r="23200" spans="32:32" x14ac:dyDescent="0.2">
      <c r="AF23200" s="679"/>
    </row>
    <row r="23201" spans="32:32" x14ac:dyDescent="0.2">
      <c r="AF23201" s="679"/>
    </row>
    <row r="23202" spans="32:32" x14ac:dyDescent="0.2">
      <c r="AF23202" s="679"/>
    </row>
    <row r="23203" spans="32:32" x14ac:dyDescent="0.2">
      <c r="AF23203" s="679"/>
    </row>
    <row r="23204" spans="32:32" x14ac:dyDescent="0.2">
      <c r="AF23204" s="679"/>
    </row>
    <row r="23205" spans="32:32" x14ac:dyDescent="0.2">
      <c r="AF23205" s="679"/>
    </row>
    <row r="23206" spans="32:32" x14ac:dyDescent="0.2">
      <c r="AF23206" s="679"/>
    </row>
    <row r="23207" spans="32:32" x14ac:dyDescent="0.2">
      <c r="AF23207" s="679"/>
    </row>
    <row r="23208" spans="32:32" x14ac:dyDescent="0.2">
      <c r="AF23208" s="679"/>
    </row>
    <row r="23209" spans="32:32" x14ac:dyDescent="0.2">
      <c r="AF23209" s="679"/>
    </row>
    <row r="23210" spans="32:32" x14ac:dyDescent="0.2">
      <c r="AF23210" s="679"/>
    </row>
    <row r="23211" spans="32:32" x14ac:dyDescent="0.2">
      <c r="AF23211" s="679"/>
    </row>
    <row r="23212" spans="32:32" x14ac:dyDescent="0.2">
      <c r="AF23212" s="679"/>
    </row>
    <row r="23213" spans="32:32" x14ac:dyDescent="0.2">
      <c r="AF23213" s="679"/>
    </row>
    <row r="23214" spans="32:32" x14ac:dyDescent="0.2">
      <c r="AF23214" s="679"/>
    </row>
    <row r="23215" spans="32:32" x14ac:dyDescent="0.2">
      <c r="AF23215" s="679"/>
    </row>
    <row r="23216" spans="32:32" x14ac:dyDescent="0.2">
      <c r="AF23216" s="679"/>
    </row>
    <row r="23217" spans="32:32" x14ac:dyDescent="0.2">
      <c r="AF23217" s="679"/>
    </row>
    <row r="23218" spans="32:32" x14ac:dyDescent="0.2">
      <c r="AF23218" s="679"/>
    </row>
    <row r="23219" spans="32:32" x14ac:dyDescent="0.2">
      <c r="AF23219" s="679"/>
    </row>
    <row r="23220" spans="32:32" x14ac:dyDescent="0.2">
      <c r="AF23220" s="679"/>
    </row>
    <row r="23221" spans="32:32" x14ac:dyDescent="0.2">
      <c r="AF23221" s="679"/>
    </row>
    <row r="23222" spans="32:32" x14ac:dyDescent="0.2">
      <c r="AF23222" s="679"/>
    </row>
    <row r="23223" spans="32:32" x14ac:dyDescent="0.2">
      <c r="AF23223" s="679"/>
    </row>
    <row r="23224" spans="32:32" x14ac:dyDescent="0.2">
      <c r="AF23224" s="679"/>
    </row>
    <row r="23225" spans="32:32" x14ac:dyDescent="0.2">
      <c r="AF23225" s="679"/>
    </row>
    <row r="23226" spans="32:32" x14ac:dyDescent="0.2">
      <c r="AF23226" s="679"/>
    </row>
    <row r="23227" spans="32:32" x14ac:dyDescent="0.2">
      <c r="AF23227" s="679"/>
    </row>
    <row r="23228" spans="32:32" x14ac:dyDescent="0.2">
      <c r="AF23228" s="679"/>
    </row>
    <row r="23229" spans="32:32" x14ac:dyDescent="0.2">
      <c r="AF23229" s="679"/>
    </row>
    <row r="23230" spans="32:32" x14ac:dyDescent="0.2">
      <c r="AF23230" s="679"/>
    </row>
    <row r="23231" spans="32:32" x14ac:dyDescent="0.2">
      <c r="AF23231" s="679"/>
    </row>
    <row r="23232" spans="32:32" x14ac:dyDescent="0.2">
      <c r="AF23232" s="679"/>
    </row>
    <row r="23233" spans="32:32" x14ac:dyDescent="0.2">
      <c r="AF23233" s="679"/>
    </row>
    <row r="23234" spans="32:32" x14ac:dyDescent="0.2">
      <c r="AF23234" s="679"/>
    </row>
    <row r="23235" spans="32:32" x14ac:dyDescent="0.2">
      <c r="AF23235" s="679"/>
    </row>
    <row r="23236" spans="32:32" x14ac:dyDescent="0.2">
      <c r="AF23236" s="679"/>
    </row>
    <row r="23237" spans="32:32" x14ac:dyDescent="0.2">
      <c r="AF23237" s="679"/>
    </row>
    <row r="23238" spans="32:32" x14ac:dyDescent="0.2">
      <c r="AF23238" s="679"/>
    </row>
    <row r="23239" spans="32:32" x14ac:dyDescent="0.2">
      <c r="AF23239" s="679"/>
    </row>
    <row r="23240" spans="32:32" x14ac:dyDescent="0.2">
      <c r="AF23240" s="679"/>
    </row>
    <row r="23241" spans="32:32" x14ac:dyDescent="0.2">
      <c r="AF23241" s="679"/>
    </row>
    <row r="23242" spans="32:32" x14ac:dyDescent="0.2">
      <c r="AF23242" s="679"/>
    </row>
    <row r="23243" spans="32:32" x14ac:dyDescent="0.2">
      <c r="AF23243" s="679"/>
    </row>
    <row r="23244" spans="32:32" x14ac:dyDescent="0.2">
      <c r="AF23244" s="679"/>
    </row>
    <row r="23245" spans="32:32" x14ac:dyDescent="0.2">
      <c r="AF23245" s="679"/>
    </row>
    <row r="23246" spans="32:32" x14ac:dyDescent="0.2">
      <c r="AF23246" s="679"/>
    </row>
    <row r="23247" spans="32:32" x14ac:dyDescent="0.2">
      <c r="AF23247" s="679"/>
    </row>
    <row r="23248" spans="32:32" x14ac:dyDescent="0.2">
      <c r="AF23248" s="679"/>
    </row>
    <row r="23249" spans="32:32" x14ac:dyDescent="0.2">
      <c r="AF23249" s="679"/>
    </row>
    <row r="23250" spans="32:32" x14ac:dyDescent="0.2">
      <c r="AF23250" s="679"/>
    </row>
    <row r="23251" spans="32:32" x14ac:dyDescent="0.2">
      <c r="AF23251" s="679"/>
    </row>
    <row r="23252" spans="32:32" x14ac:dyDescent="0.2">
      <c r="AF23252" s="679"/>
    </row>
    <row r="23253" spans="32:32" x14ac:dyDescent="0.2">
      <c r="AF23253" s="679"/>
    </row>
    <row r="23254" spans="32:32" x14ac:dyDescent="0.2">
      <c r="AF23254" s="679"/>
    </row>
    <row r="23255" spans="32:32" x14ac:dyDescent="0.2">
      <c r="AF23255" s="679"/>
    </row>
    <row r="23256" spans="32:32" x14ac:dyDescent="0.2">
      <c r="AF23256" s="679"/>
    </row>
    <row r="23257" spans="32:32" x14ac:dyDescent="0.2">
      <c r="AF23257" s="679"/>
    </row>
    <row r="23258" spans="32:32" x14ac:dyDescent="0.2">
      <c r="AF23258" s="679"/>
    </row>
    <row r="23259" spans="32:32" x14ac:dyDescent="0.2">
      <c r="AF23259" s="679"/>
    </row>
    <row r="23260" spans="32:32" x14ac:dyDescent="0.2">
      <c r="AF23260" s="679"/>
    </row>
    <row r="23261" spans="32:32" x14ac:dyDescent="0.2">
      <c r="AF23261" s="679"/>
    </row>
    <row r="23262" spans="32:32" x14ac:dyDescent="0.2">
      <c r="AF23262" s="679"/>
    </row>
    <row r="23263" spans="32:32" x14ac:dyDescent="0.2">
      <c r="AF23263" s="679"/>
    </row>
    <row r="23264" spans="32:32" x14ac:dyDescent="0.2">
      <c r="AF23264" s="679"/>
    </row>
    <row r="23265" spans="32:32" x14ac:dyDescent="0.2">
      <c r="AF23265" s="679"/>
    </row>
    <row r="23266" spans="32:32" x14ac:dyDescent="0.2">
      <c r="AF23266" s="679"/>
    </row>
    <row r="23267" spans="32:32" x14ac:dyDescent="0.2">
      <c r="AF23267" s="679"/>
    </row>
    <row r="23268" spans="32:32" x14ac:dyDescent="0.2">
      <c r="AF23268" s="679"/>
    </row>
    <row r="23269" spans="32:32" x14ac:dyDescent="0.2">
      <c r="AF23269" s="679"/>
    </row>
    <row r="23270" spans="32:32" x14ac:dyDescent="0.2">
      <c r="AF23270" s="679"/>
    </row>
    <row r="23271" spans="32:32" x14ac:dyDescent="0.2">
      <c r="AF23271" s="679"/>
    </row>
    <row r="23272" spans="32:32" x14ac:dyDescent="0.2">
      <c r="AF23272" s="679"/>
    </row>
    <row r="23273" spans="32:32" x14ac:dyDescent="0.2">
      <c r="AF23273" s="679"/>
    </row>
    <row r="23274" spans="32:32" x14ac:dyDescent="0.2">
      <c r="AF23274" s="679"/>
    </row>
    <row r="23275" spans="32:32" x14ac:dyDescent="0.2">
      <c r="AF23275" s="679"/>
    </row>
    <row r="23276" spans="32:32" x14ac:dyDescent="0.2">
      <c r="AF23276" s="679"/>
    </row>
    <row r="23277" spans="32:32" x14ac:dyDescent="0.2">
      <c r="AF23277" s="679"/>
    </row>
    <row r="23278" spans="32:32" x14ac:dyDescent="0.2">
      <c r="AF23278" s="679"/>
    </row>
    <row r="23279" spans="32:32" x14ac:dyDescent="0.2">
      <c r="AF23279" s="679"/>
    </row>
    <row r="23280" spans="32:32" x14ac:dyDescent="0.2">
      <c r="AF23280" s="679"/>
    </row>
    <row r="23281" spans="32:32" x14ac:dyDescent="0.2">
      <c r="AF23281" s="679"/>
    </row>
    <row r="23282" spans="32:32" x14ac:dyDescent="0.2">
      <c r="AF23282" s="679"/>
    </row>
    <row r="23283" spans="32:32" x14ac:dyDescent="0.2">
      <c r="AF23283" s="679"/>
    </row>
    <row r="23284" spans="32:32" x14ac:dyDescent="0.2">
      <c r="AF23284" s="679"/>
    </row>
    <row r="23285" spans="32:32" x14ac:dyDescent="0.2">
      <c r="AF23285" s="679"/>
    </row>
    <row r="23286" spans="32:32" x14ac:dyDescent="0.2">
      <c r="AF23286" s="679"/>
    </row>
    <row r="23287" spans="32:32" x14ac:dyDescent="0.2">
      <c r="AF23287" s="679"/>
    </row>
    <row r="23288" spans="32:32" x14ac:dyDescent="0.2">
      <c r="AF23288" s="679"/>
    </row>
    <row r="23289" spans="32:32" x14ac:dyDescent="0.2">
      <c r="AF23289" s="679"/>
    </row>
    <row r="23290" spans="32:32" x14ac:dyDescent="0.2">
      <c r="AF23290" s="679"/>
    </row>
    <row r="23291" spans="32:32" x14ac:dyDescent="0.2">
      <c r="AF23291" s="679"/>
    </row>
    <row r="23292" spans="32:32" x14ac:dyDescent="0.2">
      <c r="AF23292" s="679"/>
    </row>
    <row r="23293" spans="32:32" x14ac:dyDescent="0.2">
      <c r="AF23293" s="679"/>
    </row>
    <row r="23294" spans="32:32" x14ac:dyDescent="0.2">
      <c r="AF23294" s="679"/>
    </row>
    <row r="23295" spans="32:32" x14ac:dyDescent="0.2">
      <c r="AF23295" s="679"/>
    </row>
    <row r="23296" spans="32:32" x14ac:dyDescent="0.2">
      <c r="AF23296" s="679"/>
    </row>
    <row r="23297" spans="32:32" x14ac:dyDescent="0.2">
      <c r="AF23297" s="679"/>
    </row>
    <row r="23298" spans="32:32" x14ac:dyDescent="0.2">
      <c r="AF23298" s="679"/>
    </row>
    <row r="23299" spans="32:32" x14ac:dyDescent="0.2">
      <c r="AF23299" s="679"/>
    </row>
    <row r="23300" spans="32:32" x14ac:dyDescent="0.2">
      <c r="AF23300" s="679"/>
    </row>
    <row r="23301" spans="32:32" x14ac:dyDescent="0.2">
      <c r="AF23301" s="679"/>
    </row>
    <row r="23302" spans="32:32" x14ac:dyDescent="0.2">
      <c r="AF23302" s="679"/>
    </row>
    <row r="23303" spans="32:32" x14ac:dyDescent="0.2">
      <c r="AF23303" s="679"/>
    </row>
    <row r="23304" spans="32:32" x14ac:dyDescent="0.2">
      <c r="AF23304" s="679"/>
    </row>
    <row r="23305" spans="32:32" x14ac:dyDescent="0.2">
      <c r="AF23305" s="679"/>
    </row>
    <row r="23306" spans="32:32" x14ac:dyDescent="0.2">
      <c r="AF23306" s="679"/>
    </row>
    <row r="23307" spans="32:32" x14ac:dyDescent="0.2">
      <c r="AF23307" s="679"/>
    </row>
    <row r="23308" spans="32:32" x14ac:dyDescent="0.2">
      <c r="AF23308" s="679"/>
    </row>
    <row r="23309" spans="32:32" x14ac:dyDescent="0.2">
      <c r="AF23309" s="679"/>
    </row>
    <row r="23310" spans="32:32" x14ac:dyDescent="0.2">
      <c r="AF23310" s="679"/>
    </row>
    <row r="23311" spans="32:32" x14ac:dyDescent="0.2">
      <c r="AF23311" s="679"/>
    </row>
    <row r="23312" spans="32:32" x14ac:dyDescent="0.2">
      <c r="AF23312" s="679"/>
    </row>
    <row r="23313" spans="32:32" x14ac:dyDescent="0.2">
      <c r="AF23313" s="679"/>
    </row>
    <row r="23314" spans="32:32" x14ac:dyDescent="0.2">
      <c r="AF23314" s="679"/>
    </row>
    <row r="23315" spans="32:32" x14ac:dyDescent="0.2">
      <c r="AF23315" s="679"/>
    </row>
    <row r="23316" spans="32:32" x14ac:dyDescent="0.2">
      <c r="AF23316" s="679"/>
    </row>
    <row r="23317" spans="32:32" x14ac:dyDescent="0.2">
      <c r="AF23317" s="679"/>
    </row>
    <row r="23318" spans="32:32" x14ac:dyDescent="0.2">
      <c r="AF23318" s="679"/>
    </row>
    <row r="23319" spans="32:32" x14ac:dyDescent="0.2">
      <c r="AF23319" s="679"/>
    </row>
    <row r="23320" spans="32:32" x14ac:dyDescent="0.2">
      <c r="AF23320" s="679"/>
    </row>
    <row r="23321" spans="32:32" x14ac:dyDescent="0.2">
      <c r="AF23321" s="679"/>
    </row>
    <row r="23322" spans="32:32" x14ac:dyDescent="0.2">
      <c r="AF23322" s="679"/>
    </row>
    <row r="23323" spans="32:32" x14ac:dyDescent="0.2">
      <c r="AF23323" s="679"/>
    </row>
    <row r="23324" spans="32:32" x14ac:dyDescent="0.2">
      <c r="AF23324" s="679"/>
    </row>
    <row r="23325" spans="32:32" x14ac:dyDescent="0.2">
      <c r="AF23325" s="679"/>
    </row>
    <row r="23326" spans="32:32" x14ac:dyDescent="0.2">
      <c r="AF23326" s="679"/>
    </row>
    <row r="23327" spans="32:32" x14ac:dyDescent="0.2">
      <c r="AF23327" s="679"/>
    </row>
    <row r="23328" spans="32:32" x14ac:dyDescent="0.2">
      <c r="AF23328" s="679"/>
    </row>
    <row r="23329" spans="32:32" x14ac:dyDescent="0.2">
      <c r="AF23329" s="679"/>
    </row>
    <row r="23330" spans="32:32" x14ac:dyDescent="0.2">
      <c r="AF23330" s="679"/>
    </row>
    <row r="23331" spans="32:32" x14ac:dyDescent="0.2">
      <c r="AF23331" s="679"/>
    </row>
    <row r="23332" spans="32:32" x14ac:dyDescent="0.2">
      <c r="AF23332" s="679"/>
    </row>
    <row r="23333" spans="32:32" x14ac:dyDescent="0.2">
      <c r="AF23333" s="679"/>
    </row>
    <row r="23334" spans="32:32" x14ac:dyDescent="0.2">
      <c r="AF23334" s="679"/>
    </row>
    <row r="23335" spans="32:32" x14ac:dyDescent="0.2">
      <c r="AF23335" s="679"/>
    </row>
    <row r="23336" spans="32:32" x14ac:dyDescent="0.2">
      <c r="AF23336" s="679"/>
    </row>
    <row r="23337" spans="32:32" x14ac:dyDescent="0.2">
      <c r="AF23337" s="679"/>
    </row>
    <row r="23338" spans="32:32" x14ac:dyDescent="0.2">
      <c r="AF23338" s="679"/>
    </row>
    <row r="23339" spans="32:32" x14ac:dyDescent="0.2">
      <c r="AF23339" s="679"/>
    </row>
    <row r="23340" spans="32:32" x14ac:dyDescent="0.2">
      <c r="AF23340" s="679"/>
    </row>
    <row r="23341" spans="32:32" x14ac:dyDescent="0.2">
      <c r="AF23341" s="679"/>
    </row>
    <row r="23342" spans="32:32" x14ac:dyDescent="0.2">
      <c r="AF23342" s="679"/>
    </row>
    <row r="23343" spans="32:32" x14ac:dyDescent="0.2">
      <c r="AF23343" s="679"/>
    </row>
    <row r="23344" spans="32:32" x14ac:dyDescent="0.2">
      <c r="AF23344" s="679"/>
    </row>
    <row r="23345" spans="32:32" x14ac:dyDescent="0.2">
      <c r="AF23345" s="679"/>
    </row>
    <row r="23346" spans="32:32" x14ac:dyDescent="0.2">
      <c r="AF23346" s="679"/>
    </row>
    <row r="23347" spans="32:32" x14ac:dyDescent="0.2">
      <c r="AF23347" s="679"/>
    </row>
    <row r="23348" spans="32:32" x14ac:dyDescent="0.2">
      <c r="AF23348" s="679"/>
    </row>
    <row r="23349" spans="32:32" x14ac:dyDescent="0.2">
      <c r="AF23349" s="679"/>
    </row>
    <row r="23350" spans="32:32" x14ac:dyDescent="0.2">
      <c r="AF23350" s="679"/>
    </row>
    <row r="23351" spans="32:32" x14ac:dyDescent="0.2">
      <c r="AF23351" s="679"/>
    </row>
    <row r="23352" spans="32:32" x14ac:dyDescent="0.2">
      <c r="AF23352" s="679"/>
    </row>
    <row r="23353" spans="32:32" x14ac:dyDescent="0.2">
      <c r="AF23353" s="679"/>
    </row>
    <row r="23354" spans="32:32" x14ac:dyDescent="0.2">
      <c r="AF23354" s="679"/>
    </row>
    <row r="23355" spans="32:32" x14ac:dyDescent="0.2">
      <c r="AF23355" s="679"/>
    </row>
    <row r="23356" spans="32:32" x14ac:dyDescent="0.2">
      <c r="AF23356" s="679"/>
    </row>
    <row r="23357" spans="32:32" x14ac:dyDescent="0.2">
      <c r="AF23357" s="679"/>
    </row>
    <row r="23358" spans="32:32" x14ac:dyDescent="0.2">
      <c r="AF23358" s="679"/>
    </row>
    <row r="23359" spans="32:32" x14ac:dyDescent="0.2">
      <c r="AF23359" s="679"/>
    </row>
    <row r="23360" spans="32:32" x14ac:dyDescent="0.2">
      <c r="AF23360" s="679"/>
    </row>
    <row r="23361" spans="32:32" x14ac:dyDescent="0.2">
      <c r="AF23361" s="679"/>
    </row>
    <row r="23362" spans="32:32" x14ac:dyDescent="0.2">
      <c r="AF23362" s="679"/>
    </row>
    <row r="23363" spans="32:32" x14ac:dyDescent="0.2">
      <c r="AF23363" s="679"/>
    </row>
    <row r="23364" spans="32:32" x14ac:dyDescent="0.2">
      <c r="AF23364" s="679"/>
    </row>
    <row r="23365" spans="32:32" x14ac:dyDescent="0.2">
      <c r="AF23365" s="679"/>
    </row>
    <row r="23366" spans="32:32" x14ac:dyDescent="0.2">
      <c r="AF23366" s="679"/>
    </row>
    <row r="23367" spans="32:32" x14ac:dyDescent="0.2">
      <c r="AF23367" s="679"/>
    </row>
    <row r="23368" spans="32:32" x14ac:dyDescent="0.2">
      <c r="AF23368" s="679"/>
    </row>
    <row r="23369" spans="32:32" x14ac:dyDescent="0.2">
      <c r="AF23369" s="679"/>
    </row>
    <row r="23370" spans="32:32" x14ac:dyDescent="0.2">
      <c r="AF23370" s="679"/>
    </row>
    <row r="23371" spans="32:32" x14ac:dyDescent="0.2">
      <c r="AF23371" s="679"/>
    </row>
    <row r="23372" spans="32:32" x14ac:dyDescent="0.2">
      <c r="AF23372" s="679"/>
    </row>
    <row r="23373" spans="32:32" x14ac:dyDescent="0.2">
      <c r="AF23373" s="679"/>
    </row>
    <row r="23374" spans="32:32" x14ac:dyDescent="0.2">
      <c r="AF23374" s="679"/>
    </row>
    <row r="23375" spans="32:32" x14ac:dyDescent="0.2">
      <c r="AF23375" s="679"/>
    </row>
    <row r="23376" spans="32:32" x14ac:dyDescent="0.2">
      <c r="AF23376" s="679"/>
    </row>
    <row r="23377" spans="32:32" x14ac:dyDescent="0.2">
      <c r="AF23377" s="679"/>
    </row>
    <row r="23378" spans="32:32" x14ac:dyDescent="0.2">
      <c r="AF23378" s="679"/>
    </row>
    <row r="23379" spans="32:32" x14ac:dyDescent="0.2">
      <c r="AF23379" s="679"/>
    </row>
    <row r="23380" spans="32:32" x14ac:dyDescent="0.2">
      <c r="AF23380" s="679"/>
    </row>
    <row r="23381" spans="32:32" x14ac:dyDescent="0.2">
      <c r="AF23381" s="679"/>
    </row>
    <row r="23382" spans="32:32" x14ac:dyDescent="0.2">
      <c r="AF23382" s="679"/>
    </row>
    <row r="23383" spans="32:32" x14ac:dyDescent="0.2">
      <c r="AF23383" s="679"/>
    </row>
    <row r="23384" spans="32:32" x14ac:dyDescent="0.2">
      <c r="AF23384" s="679"/>
    </row>
    <row r="23385" spans="32:32" x14ac:dyDescent="0.2">
      <c r="AF23385" s="679"/>
    </row>
    <row r="23386" spans="32:32" x14ac:dyDescent="0.2">
      <c r="AF23386" s="679"/>
    </row>
    <row r="23387" spans="32:32" x14ac:dyDescent="0.2">
      <c r="AF23387" s="679"/>
    </row>
    <row r="23388" spans="32:32" x14ac:dyDescent="0.2">
      <c r="AF23388" s="679"/>
    </row>
    <row r="23389" spans="32:32" x14ac:dyDescent="0.2">
      <c r="AF23389" s="679"/>
    </row>
    <row r="23390" spans="32:32" x14ac:dyDescent="0.2">
      <c r="AF23390" s="679"/>
    </row>
    <row r="23391" spans="32:32" x14ac:dyDescent="0.2">
      <c r="AF23391" s="679"/>
    </row>
    <row r="23392" spans="32:32" x14ac:dyDescent="0.2">
      <c r="AF23392" s="679"/>
    </row>
    <row r="23393" spans="32:32" x14ac:dyDescent="0.2">
      <c r="AF23393" s="679"/>
    </row>
    <row r="23394" spans="32:32" x14ac:dyDescent="0.2">
      <c r="AF23394" s="679"/>
    </row>
    <row r="23395" spans="32:32" x14ac:dyDescent="0.2">
      <c r="AF23395" s="679"/>
    </row>
    <row r="23396" spans="32:32" x14ac:dyDescent="0.2">
      <c r="AF23396" s="679"/>
    </row>
    <row r="23397" spans="32:32" x14ac:dyDescent="0.2">
      <c r="AF23397" s="679"/>
    </row>
    <row r="23398" spans="32:32" x14ac:dyDescent="0.2">
      <c r="AF23398" s="679"/>
    </row>
    <row r="23399" spans="32:32" x14ac:dyDescent="0.2">
      <c r="AF23399" s="679"/>
    </row>
    <row r="23400" spans="32:32" x14ac:dyDescent="0.2">
      <c r="AF23400" s="679"/>
    </row>
    <row r="23401" spans="32:32" x14ac:dyDescent="0.2">
      <c r="AF23401" s="679"/>
    </row>
    <row r="23402" spans="32:32" x14ac:dyDescent="0.2">
      <c r="AF23402" s="679"/>
    </row>
    <row r="23403" spans="32:32" x14ac:dyDescent="0.2">
      <c r="AF23403" s="679"/>
    </row>
    <row r="23404" spans="32:32" x14ac:dyDescent="0.2">
      <c r="AF23404" s="679"/>
    </row>
    <row r="23405" spans="32:32" x14ac:dyDescent="0.2">
      <c r="AF23405" s="679"/>
    </row>
    <row r="23406" spans="32:32" x14ac:dyDescent="0.2">
      <c r="AF23406" s="679"/>
    </row>
    <row r="23407" spans="32:32" x14ac:dyDescent="0.2">
      <c r="AF23407" s="679"/>
    </row>
    <row r="23408" spans="32:32" x14ac:dyDescent="0.2">
      <c r="AF23408" s="679"/>
    </row>
    <row r="23409" spans="32:32" x14ac:dyDescent="0.2">
      <c r="AF23409" s="679"/>
    </row>
    <row r="23410" spans="32:32" x14ac:dyDescent="0.2">
      <c r="AF23410" s="679"/>
    </row>
    <row r="23411" spans="32:32" x14ac:dyDescent="0.2">
      <c r="AF23411" s="679"/>
    </row>
    <row r="23412" spans="32:32" x14ac:dyDescent="0.2">
      <c r="AF23412" s="679"/>
    </row>
    <row r="23413" spans="32:32" x14ac:dyDescent="0.2">
      <c r="AF23413" s="679"/>
    </row>
    <row r="23414" spans="32:32" x14ac:dyDescent="0.2">
      <c r="AF23414" s="679"/>
    </row>
    <row r="23415" spans="32:32" x14ac:dyDescent="0.2">
      <c r="AF23415" s="679"/>
    </row>
    <row r="23416" spans="32:32" x14ac:dyDescent="0.2">
      <c r="AF23416" s="679"/>
    </row>
    <row r="23417" spans="32:32" x14ac:dyDescent="0.2">
      <c r="AF23417" s="679"/>
    </row>
    <row r="23418" spans="32:32" x14ac:dyDescent="0.2">
      <c r="AF23418" s="679"/>
    </row>
    <row r="23419" spans="32:32" x14ac:dyDescent="0.2">
      <c r="AF23419" s="679"/>
    </row>
    <row r="23420" spans="32:32" x14ac:dyDescent="0.2">
      <c r="AF23420" s="679"/>
    </row>
    <row r="23421" spans="32:32" x14ac:dyDescent="0.2">
      <c r="AF23421" s="679"/>
    </row>
    <row r="23422" spans="32:32" x14ac:dyDescent="0.2">
      <c r="AF23422" s="679"/>
    </row>
    <row r="23423" spans="32:32" x14ac:dyDescent="0.2">
      <c r="AF23423" s="679"/>
    </row>
    <row r="23424" spans="32:32" x14ac:dyDescent="0.2">
      <c r="AF23424" s="679"/>
    </row>
    <row r="23425" spans="32:32" x14ac:dyDescent="0.2">
      <c r="AF23425" s="679"/>
    </row>
    <row r="23426" spans="32:32" x14ac:dyDescent="0.2">
      <c r="AF23426" s="679"/>
    </row>
    <row r="23427" spans="32:32" x14ac:dyDescent="0.2">
      <c r="AF23427" s="679"/>
    </row>
    <row r="23428" spans="32:32" x14ac:dyDescent="0.2">
      <c r="AF23428" s="679"/>
    </row>
    <row r="23429" spans="32:32" x14ac:dyDescent="0.2">
      <c r="AF23429" s="679"/>
    </row>
    <row r="23430" spans="32:32" x14ac:dyDescent="0.2">
      <c r="AF23430" s="679"/>
    </row>
    <row r="23431" spans="32:32" x14ac:dyDescent="0.2">
      <c r="AF23431" s="679"/>
    </row>
    <row r="23432" spans="32:32" x14ac:dyDescent="0.2">
      <c r="AF23432" s="679"/>
    </row>
    <row r="23433" spans="32:32" x14ac:dyDescent="0.2">
      <c r="AF23433" s="679"/>
    </row>
    <row r="23434" spans="32:32" x14ac:dyDescent="0.2">
      <c r="AF23434" s="679"/>
    </row>
    <row r="23435" spans="32:32" x14ac:dyDescent="0.2">
      <c r="AF23435" s="679"/>
    </row>
    <row r="23436" spans="32:32" x14ac:dyDescent="0.2">
      <c r="AF23436" s="679"/>
    </row>
    <row r="23437" spans="32:32" x14ac:dyDescent="0.2">
      <c r="AF23437" s="679"/>
    </row>
    <row r="23438" spans="32:32" x14ac:dyDescent="0.2">
      <c r="AF23438" s="679"/>
    </row>
    <row r="23439" spans="32:32" x14ac:dyDescent="0.2">
      <c r="AF23439" s="679"/>
    </row>
    <row r="23440" spans="32:32" x14ac:dyDescent="0.2">
      <c r="AF23440" s="679"/>
    </row>
    <row r="23441" spans="32:32" x14ac:dyDescent="0.2">
      <c r="AF23441" s="679"/>
    </row>
    <row r="23442" spans="32:32" x14ac:dyDescent="0.2">
      <c r="AF23442" s="679"/>
    </row>
    <row r="23443" spans="32:32" x14ac:dyDescent="0.2">
      <c r="AF23443" s="679"/>
    </row>
    <row r="23444" spans="32:32" x14ac:dyDescent="0.2">
      <c r="AF23444" s="679"/>
    </row>
    <row r="23445" spans="32:32" x14ac:dyDescent="0.2">
      <c r="AF23445" s="679"/>
    </row>
    <row r="23446" spans="32:32" x14ac:dyDescent="0.2">
      <c r="AF23446" s="679"/>
    </row>
    <row r="23447" spans="32:32" x14ac:dyDescent="0.2">
      <c r="AF23447" s="679"/>
    </row>
    <row r="23448" spans="32:32" x14ac:dyDescent="0.2">
      <c r="AF23448" s="679"/>
    </row>
    <row r="23449" spans="32:32" x14ac:dyDescent="0.2">
      <c r="AF23449" s="679"/>
    </row>
    <row r="23450" spans="32:32" x14ac:dyDescent="0.2">
      <c r="AF23450" s="679"/>
    </row>
    <row r="23451" spans="32:32" x14ac:dyDescent="0.2">
      <c r="AF23451" s="679"/>
    </row>
    <row r="23452" spans="32:32" x14ac:dyDescent="0.2">
      <c r="AF23452" s="679"/>
    </row>
    <row r="23453" spans="32:32" x14ac:dyDescent="0.2">
      <c r="AF23453" s="679"/>
    </row>
    <row r="23454" spans="32:32" x14ac:dyDescent="0.2">
      <c r="AF23454" s="679"/>
    </row>
    <row r="23455" spans="32:32" x14ac:dyDescent="0.2">
      <c r="AF23455" s="679"/>
    </row>
    <row r="23456" spans="32:32" x14ac:dyDescent="0.2">
      <c r="AF23456" s="679"/>
    </row>
    <row r="23457" spans="32:32" x14ac:dyDescent="0.2">
      <c r="AF23457" s="679"/>
    </row>
    <row r="23458" spans="32:32" x14ac:dyDescent="0.2">
      <c r="AF23458" s="679"/>
    </row>
    <row r="23459" spans="32:32" x14ac:dyDescent="0.2">
      <c r="AF23459" s="679"/>
    </row>
    <row r="23460" spans="32:32" x14ac:dyDescent="0.2">
      <c r="AF23460" s="679"/>
    </row>
    <row r="23461" spans="32:32" x14ac:dyDescent="0.2">
      <c r="AF23461" s="679"/>
    </row>
    <row r="23462" spans="32:32" x14ac:dyDescent="0.2">
      <c r="AF23462" s="679"/>
    </row>
    <row r="23463" spans="32:32" x14ac:dyDescent="0.2">
      <c r="AF23463" s="679"/>
    </row>
    <row r="23464" spans="32:32" x14ac:dyDescent="0.2">
      <c r="AF23464" s="679"/>
    </row>
    <row r="23465" spans="32:32" x14ac:dyDescent="0.2">
      <c r="AF23465" s="679"/>
    </row>
    <row r="23466" spans="32:32" x14ac:dyDescent="0.2">
      <c r="AF23466" s="679"/>
    </row>
    <row r="23467" spans="32:32" x14ac:dyDescent="0.2">
      <c r="AF23467" s="679"/>
    </row>
    <row r="23468" spans="32:32" x14ac:dyDescent="0.2">
      <c r="AF23468" s="679"/>
    </row>
    <row r="23469" spans="32:32" x14ac:dyDescent="0.2">
      <c r="AF23469" s="679"/>
    </row>
    <row r="23470" spans="32:32" x14ac:dyDescent="0.2">
      <c r="AF23470" s="679"/>
    </row>
    <row r="23471" spans="32:32" x14ac:dyDescent="0.2">
      <c r="AF23471" s="679"/>
    </row>
    <row r="23472" spans="32:32" x14ac:dyDescent="0.2">
      <c r="AF23472" s="679"/>
    </row>
    <row r="23473" spans="32:32" x14ac:dyDescent="0.2">
      <c r="AF23473" s="679"/>
    </row>
    <row r="23474" spans="32:32" x14ac:dyDescent="0.2">
      <c r="AF23474" s="679"/>
    </row>
    <row r="23475" spans="32:32" x14ac:dyDescent="0.2">
      <c r="AF23475" s="679"/>
    </row>
    <row r="23476" spans="32:32" x14ac:dyDescent="0.2">
      <c r="AF23476" s="679"/>
    </row>
    <row r="23477" spans="32:32" x14ac:dyDescent="0.2">
      <c r="AF23477" s="679"/>
    </row>
    <row r="23478" spans="32:32" x14ac:dyDescent="0.2">
      <c r="AF23478" s="679"/>
    </row>
    <row r="23479" spans="32:32" x14ac:dyDescent="0.2">
      <c r="AF23479" s="679"/>
    </row>
    <row r="23480" spans="32:32" x14ac:dyDescent="0.2">
      <c r="AF23480" s="679"/>
    </row>
    <row r="23481" spans="32:32" x14ac:dyDescent="0.2">
      <c r="AF23481" s="679"/>
    </row>
    <row r="23482" spans="32:32" x14ac:dyDescent="0.2">
      <c r="AF23482" s="679"/>
    </row>
    <row r="23483" spans="32:32" x14ac:dyDescent="0.2">
      <c r="AF23483" s="679"/>
    </row>
    <row r="23484" spans="32:32" x14ac:dyDescent="0.2">
      <c r="AF23484" s="679"/>
    </row>
    <row r="23485" spans="32:32" x14ac:dyDescent="0.2">
      <c r="AF23485" s="679"/>
    </row>
    <row r="23486" spans="32:32" x14ac:dyDescent="0.2">
      <c r="AF23486" s="679"/>
    </row>
    <row r="23487" spans="32:32" x14ac:dyDescent="0.2">
      <c r="AF23487" s="679"/>
    </row>
    <row r="23488" spans="32:32" x14ac:dyDescent="0.2">
      <c r="AF23488" s="679"/>
    </row>
    <row r="23489" spans="32:32" x14ac:dyDescent="0.2">
      <c r="AF23489" s="679"/>
    </row>
    <row r="23490" spans="32:32" x14ac:dyDescent="0.2">
      <c r="AF23490" s="679"/>
    </row>
    <row r="23491" spans="32:32" x14ac:dyDescent="0.2">
      <c r="AF23491" s="679"/>
    </row>
    <row r="23492" spans="32:32" x14ac:dyDescent="0.2">
      <c r="AF23492" s="679"/>
    </row>
    <row r="23493" spans="32:32" x14ac:dyDescent="0.2">
      <c r="AF23493" s="679"/>
    </row>
    <row r="23494" spans="32:32" x14ac:dyDescent="0.2">
      <c r="AF23494" s="679"/>
    </row>
    <row r="23495" spans="32:32" x14ac:dyDescent="0.2">
      <c r="AF23495" s="679"/>
    </row>
    <row r="23496" spans="32:32" x14ac:dyDescent="0.2">
      <c r="AF23496" s="679"/>
    </row>
    <row r="23497" spans="32:32" x14ac:dyDescent="0.2">
      <c r="AF23497" s="679"/>
    </row>
    <row r="23498" spans="32:32" x14ac:dyDescent="0.2">
      <c r="AF23498" s="679"/>
    </row>
    <row r="23499" spans="32:32" x14ac:dyDescent="0.2">
      <c r="AF23499" s="679"/>
    </row>
    <row r="23500" spans="32:32" x14ac:dyDescent="0.2">
      <c r="AF23500" s="679"/>
    </row>
    <row r="23501" spans="32:32" x14ac:dyDescent="0.2">
      <c r="AF23501" s="679"/>
    </row>
    <row r="23502" spans="32:32" x14ac:dyDescent="0.2">
      <c r="AF23502" s="679"/>
    </row>
    <row r="23503" spans="32:32" x14ac:dyDescent="0.2">
      <c r="AF23503" s="679"/>
    </row>
    <row r="23504" spans="32:32" x14ac:dyDescent="0.2">
      <c r="AF23504" s="679"/>
    </row>
    <row r="23505" spans="32:32" x14ac:dyDescent="0.2">
      <c r="AF23505" s="679"/>
    </row>
    <row r="23506" spans="32:32" x14ac:dyDescent="0.2">
      <c r="AF23506" s="679"/>
    </row>
    <row r="23507" spans="32:32" x14ac:dyDescent="0.2">
      <c r="AF23507" s="679"/>
    </row>
    <row r="23508" spans="32:32" x14ac:dyDescent="0.2">
      <c r="AF23508" s="679"/>
    </row>
    <row r="23509" spans="32:32" x14ac:dyDescent="0.2">
      <c r="AF23509" s="679"/>
    </row>
    <row r="23510" spans="32:32" x14ac:dyDescent="0.2">
      <c r="AF23510" s="679"/>
    </row>
    <row r="23511" spans="32:32" x14ac:dyDescent="0.2">
      <c r="AF23511" s="679"/>
    </row>
    <row r="23512" spans="32:32" x14ac:dyDescent="0.2">
      <c r="AF23512" s="679"/>
    </row>
    <row r="23513" spans="32:32" x14ac:dyDescent="0.2">
      <c r="AF23513" s="679"/>
    </row>
    <row r="23514" spans="32:32" x14ac:dyDescent="0.2">
      <c r="AF23514" s="679"/>
    </row>
    <row r="23515" spans="32:32" x14ac:dyDescent="0.2">
      <c r="AF23515" s="679"/>
    </row>
    <row r="23516" spans="32:32" x14ac:dyDescent="0.2">
      <c r="AF23516" s="679"/>
    </row>
    <row r="23517" spans="32:32" x14ac:dyDescent="0.2">
      <c r="AF23517" s="679"/>
    </row>
    <row r="23518" spans="32:32" x14ac:dyDescent="0.2">
      <c r="AF23518" s="679"/>
    </row>
    <row r="23519" spans="32:32" x14ac:dyDescent="0.2">
      <c r="AF23519" s="679"/>
    </row>
    <row r="23520" spans="32:32" x14ac:dyDescent="0.2">
      <c r="AF23520" s="679"/>
    </row>
    <row r="23521" spans="32:32" x14ac:dyDescent="0.2">
      <c r="AF23521" s="679"/>
    </row>
    <row r="23522" spans="32:32" x14ac:dyDescent="0.2">
      <c r="AF23522" s="679"/>
    </row>
    <row r="23523" spans="32:32" x14ac:dyDescent="0.2">
      <c r="AF23523" s="679"/>
    </row>
    <row r="23524" spans="32:32" x14ac:dyDescent="0.2">
      <c r="AF23524" s="679"/>
    </row>
    <row r="23525" spans="32:32" x14ac:dyDescent="0.2">
      <c r="AF23525" s="679"/>
    </row>
    <row r="23526" spans="32:32" x14ac:dyDescent="0.2">
      <c r="AF23526" s="679"/>
    </row>
    <row r="23527" spans="32:32" x14ac:dyDescent="0.2">
      <c r="AF23527" s="679"/>
    </row>
    <row r="23528" spans="32:32" x14ac:dyDescent="0.2">
      <c r="AF23528" s="679"/>
    </row>
    <row r="23529" spans="32:32" x14ac:dyDescent="0.2">
      <c r="AF23529" s="679"/>
    </row>
    <row r="23530" spans="32:32" x14ac:dyDescent="0.2">
      <c r="AF23530" s="679"/>
    </row>
    <row r="23531" spans="32:32" x14ac:dyDescent="0.2">
      <c r="AF23531" s="679"/>
    </row>
    <row r="23532" spans="32:32" x14ac:dyDescent="0.2">
      <c r="AF23532" s="679"/>
    </row>
    <row r="23533" spans="32:32" x14ac:dyDescent="0.2">
      <c r="AF23533" s="679"/>
    </row>
    <row r="23534" spans="32:32" x14ac:dyDescent="0.2">
      <c r="AF23534" s="679"/>
    </row>
    <row r="23535" spans="32:32" x14ac:dyDescent="0.2">
      <c r="AF23535" s="679"/>
    </row>
    <row r="23536" spans="32:32" x14ac:dyDescent="0.2">
      <c r="AF23536" s="679"/>
    </row>
    <row r="23537" spans="32:32" x14ac:dyDescent="0.2">
      <c r="AF23537" s="679"/>
    </row>
    <row r="23538" spans="32:32" x14ac:dyDescent="0.2">
      <c r="AF23538" s="679"/>
    </row>
    <row r="23539" spans="32:32" x14ac:dyDescent="0.2">
      <c r="AF23539" s="679"/>
    </row>
    <row r="23540" spans="32:32" x14ac:dyDescent="0.2">
      <c r="AF23540" s="679"/>
    </row>
    <row r="23541" spans="32:32" x14ac:dyDescent="0.2">
      <c r="AF23541" s="679"/>
    </row>
    <row r="23542" spans="32:32" x14ac:dyDescent="0.2">
      <c r="AF23542" s="679"/>
    </row>
    <row r="23543" spans="32:32" x14ac:dyDescent="0.2">
      <c r="AF23543" s="679"/>
    </row>
    <row r="23544" spans="32:32" x14ac:dyDescent="0.2">
      <c r="AF23544" s="679"/>
    </row>
    <row r="23545" spans="32:32" x14ac:dyDescent="0.2">
      <c r="AF23545" s="679"/>
    </row>
    <row r="23546" spans="32:32" x14ac:dyDescent="0.2">
      <c r="AF23546" s="679"/>
    </row>
    <row r="23547" spans="32:32" x14ac:dyDescent="0.2">
      <c r="AF23547" s="679"/>
    </row>
    <row r="23548" spans="32:32" x14ac:dyDescent="0.2">
      <c r="AF23548" s="679"/>
    </row>
    <row r="23549" spans="32:32" x14ac:dyDescent="0.2">
      <c r="AF23549" s="679"/>
    </row>
    <row r="23550" spans="32:32" x14ac:dyDescent="0.2">
      <c r="AF23550" s="679"/>
    </row>
    <row r="23551" spans="32:32" x14ac:dyDescent="0.2">
      <c r="AF23551" s="679"/>
    </row>
    <row r="23552" spans="32:32" x14ac:dyDescent="0.2">
      <c r="AF23552" s="679"/>
    </row>
    <row r="23553" spans="32:32" x14ac:dyDescent="0.2">
      <c r="AF23553" s="679"/>
    </row>
    <row r="23554" spans="32:32" x14ac:dyDescent="0.2">
      <c r="AF23554" s="679"/>
    </row>
    <row r="23555" spans="32:32" x14ac:dyDescent="0.2">
      <c r="AF23555" s="679"/>
    </row>
    <row r="23556" spans="32:32" x14ac:dyDescent="0.2">
      <c r="AF23556" s="679"/>
    </row>
    <row r="23557" spans="32:32" x14ac:dyDescent="0.2">
      <c r="AF23557" s="679"/>
    </row>
    <row r="23558" spans="32:32" x14ac:dyDescent="0.2">
      <c r="AF23558" s="679"/>
    </row>
    <row r="23559" spans="32:32" x14ac:dyDescent="0.2">
      <c r="AF23559" s="679"/>
    </row>
    <row r="23560" spans="32:32" x14ac:dyDescent="0.2">
      <c r="AF23560" s="679"/>
    </row>
    <row r="23561" spans="32:32" x14ac:dyDescent="0.2">
      <c r="AF23561" s="679"/>
    </row>
    <row r="23562" spans="32:32" x14ac:dyDescent="0.2">
      <c r="AF23562" s="679"/>
    </row>
    <row r="23563" spans="32:32" x14ac:dyDescent="0.2">
      <c r="AF23563" s="679"/>
    </row>
    <row r="23564" spans="32:32" x14ac:dyDescent="0.2">
      <c r="AF23564" s="679"/>
    </row>
    <row r="23565" spans="32:32" x14ac:dyDescent="0.2">
      <c r="AF23565" s="679"/>
    </row>
    <row r="23566" spans="32:32" x14ac:dyDescent="0.2">
      <c r="AF23566" s="679"/>
    </row>
    <row r="23567" spans="32:32" x14ac:dyDescent="0.2">
      <c r="AF23567" s="679"/>
    </row>
    <row r="23568" spans="32:32" x14ac:dyDescent="0.2">
      <c r="AF23568" s="679"/>
    </row>
    <row r="23569" spans="32:32" x14ac:dyDescent="0.2">
      <c r="AF23569" s="679"/>
    </row>
    <row r="23570" spans="32:32" x14ac:dyDescent="0.2">
      <c r="AF23570" s="679"/>
    </row>
    <row r="23571" spans="32:32" x14ac:dyDescent="0.2">
      <c r="AF23571" s="679"/>
    </row>
    <row r="23572" spans="32:32" x14ac:dyDescent="0.2">
      <c r="AF23572" s="679"/>
    </row>
    <row r="23573" spans="32:32" x14ac:dyDescent="0.2">
      <c r="AF23573" s="679"/>
    </row>
    <row r="23574" spans="32:32" x14ac:dyDescent="0.2">
      <c r="AF23574" s="679"/>
    </row>
    <row r="23575" spans="32:32" x14ac:dyDescent="0.2">
      <c r="AF23575" s="679"/>
    </row>
    <row r="23576" spans="32:32" x14ac:dyDescent="0.2">
      <c r="AF23576" s="679"/>
    </row>
    <row r="23577" spans="32:32" x14ac:dyDescent="0.2">
      <c r="AF23577" s="679"/>
    </row>
    <row r="23578" spans="32:32" x14ac:dyDescent="0.2">
      <c r="AF23578" s="679"/>
    </row>
    <row r="23579" spans="32:32" x14ac:dyDescent="0.2">
      <c r="AF23579" s="679"/>
    </row>
    <row r="23580" spans="32:32" x14ac:dyDescent="0.2">
      <c r="AF23580" s="679"/>
    </row>
    <row r="23581" spans="32:32" x14ac:dyDescent="0.2">
      <c r="AF23581" s="679"/>
    </row>
    <row r="23582" spans="32:32" x14ac:dyDescent="0.2">
      <c r="AF23582" s="679"/>
    </row>
    <row r="23583" spans="32:32" x14ac:dyDescent="0.2">
      <c r="AF23583" s="679"/>
    </row>
    <row r="23584" spans="32:32" x14ac:dyDescent="0.2">
      <c r="AF23584" s="679"/>
    </row>
    <row r="23585" spans="32:32" x14ac:dyDescent="0.2">
      <c r="AF23585" s="679"/>
    </row>
    <row r="23586" spans="32:32" x14ac:dyDescent="0.2">
      <c r="AF23586" s="679"/>
    </row>
    <row r="23587" spans="32:32" x14ac:dyDescent="0.2">
      <c r="AF23587" s="679"/>
    </row>
    <row r="23588" spans="32:32" x14ac:dyDescent="0.2">
      <c r="AF23588" s="679"/>
    </row>
    <row r="23589" spans="32:32" x14ac:dyDescent="0.2">
      <c r="AF23589" s="679"/>
    </row>
    <row r="23590" spans="32:32" x14ac:dyDescent="0.2">
      <c r="AF23590" s="679"/>
    </row>
    <row r="23591" spans="32:32" x14ac:dyDescent="0.2">
      <c r="AF23591" s="679"/>
    </row>
    <row r="23592" spans="32:32" x14ac:dyDescent="0.2">
      <c r="AF23592" s="679"/>
    </row>
    <row r="23593" spans="32:32" x14ac:dyDescent="0.2">
      <c r="AF23593" s="679"/>
    </row>
    <row r="23594" spans="32:32" x14ac:dyDescent="0.2">
      <c r="AF23594" s="679"/>
    </row>
    <row r="23595" spans="32:32" x14ac:dyDescent="0.2">
      <c r="AF23595" s="679"/>
    </row>
    <row r="23596" spans="32:32" x14ac:dyDescent="0.2">
      <c r="AF23596" s="679"/>
    </row>
    <row r="23597" spans="32:32" x14ac:dyDescent="0.2">
      <c r="AF23597" s="679"/>
    </row>
    <row r="23598" spans="32:32" x14ac:dyDescent="0.2">
      <c r="AF23598" s="679"/>
    </row>
    <row r="23599" spans="32:32" x14ac:dyDescent="0.2">
      <c r="AF23599" s="679"/>
    </row>
    <row r="23600" spans="32:32" x14ac:dyDescent="0.2">
      <c r="AF23600" s="679"/>
    </row>
    <row r="23601" spans="32:32" x14ac:dyDescent="0.2">
      <c r="AF23601" s="679"/>
    </row>
    <row r="23602" spans="32:32" x14ac:dyDescent="0.2">
      <c r="AF23602" s="679"/>
    </row>
    <row r="23603" spans="32:32" x14ac:dyDescent="0.2">
      <c r="AF23603" s="679"/>
    </row>
    <row r="23604" spans="32:32" x14ac:dyDescent="0.2">
      <c r="AF23604" s="679"/>
    </row>
    <row r="23605" spans="32:32" x14ac:dyDescent="0.2">
      <c r="AF23605" s="679"/>
    </row>
    <row r="23606" spans="32:32" x14ac:dyDescent="0.2">
      <c r="AF23606" s="679"/>
    </row>
    <row r="23607" spans="32:32" x14ac:dyDescent="0.2">
      <c r="AF23607" s="679"/>
    </row>
    <row r="23608" spans="32:32" x14ac:dyDescent="0.2">
      <c r="AF23608" s="679"/>
    </row>
    <row r="23609" spans="32:32" x14ac:dyDescent="0.2">
      <c r="AF23609" s="679"/>
    </row>
    <row r="23610" spans="32:32" x14ac:dyDescent="0.2">
      <c r="AF23610" s="679"/>
    </row>
    <row r="23611" spans="32:32" x14ac:dyDescent="0.2">
      <c r="AF23611" s="679"/>
    </row>
    <row r="23612" spans="32:32" x14ac:dyDescent="0.2">
      <c r="AF23612" s="679"/>
    </row>
    <row r="23613" spans="32:32" x14ac:dyDescent="0.2">
      <c r="AF23613" s="679"/>
    </row>
    <row r="23614" spans="32:32" x14ac:dyDescent="0.2">
      <c r="AF23614" s="679"/>
    </row>
    <row r="23615" spans="32:32" x14ac:dyDescent="0.2">
      <c r="AF23615" s="679"/>
    </row>
    <row r="23616" spans="32:32" x14ac:dyDescent="0.2">
      <c r="AF23616" s="679"/>
    </row>
    <row r="23617" spans="32:32" x14ac:dyDescent="0.2">
      <c r="AF23617" s="679"/>
    </row>
    <row r="23618" spans="32:32" x14ac:dyDescent="0.2">
      <c r="AF23618" s="679"/>
    </row>
    <row r="23619" spans="32:32" x14ac:dyDescent="0.2">
      <c r="AF23619" s="679"/>
    </row>
    <row r="23620" spans="32:32" x14ac:dyDescent="0.2">
      <c r="AF23620" s="679"/>
    </row>
    <row r="23621" spans="32:32" x14ac:dyDescent="0.2">
      <c r="AF23621" s="679"/>
    </row>
    <row r="23622" spans="32:32" x14ac:dyDescent="0.2">
      <c r="AF23622" s="679"/>
    </row>
    <row r="23623" spans="32:32" x14ac:dyDescent="0.2">
      <c r="AF23623" s="679"/>
    </row>
    <row r="23624" spans="32:32" x14ac:dyDescent="0.2">
      <c r="AF23624" s="679"/>
    </row>
    <row r="23625" spans="32:32" x14ac:dyDescent="0.2">
      <c r="AF23625" s="679"/>
    </row>
    <row r="23626" spans="32:32" x14ac:dyDescent="0.2">
      <c r="AF23626" s="679"/>
    </row>
    <row r="23627" spans="32:32" x14ac:dyDescent="0.2">
      <c r="AF23627" s="679"/>
    </row>
    <row r="23628" spans="32:32" x14ac:dyDescent="0.2">
      <c r="AF23628" s="679"/>
    </row>
    <row r="23629" spans="32:32" x14ac:dyDescent="0.2">
      <c r="AF23629" s="679"/>
    </row>
    <row r="23630" spans="32:32" x14ac:dyDescent="0.2">
      <c r="AF23630" s="679"/>
    </row>
    <row r="23631" spans="32:32" x14ac:dyDescent="0.2">
      <c r="AF23631" s="679"/>
    </row>
    <row r="23632" spans="32:32" x14ac:dyDescent="0.2">
      <c r="AF23632" s="679"/>
    </row>
    <row r="23633" spans="32:32" x14ac:dyDescent="0.2">
      <c r="AF23633" s="679"/>
    </row>
    <row r="23634" spans="32:32" x14ac:dyDescent="0.2">
      <c r="AF23634" s="679"/>
    </row>
    <row r="23635" spans="32:32" x14ac:dyDescent="0.2">
      <c r="AF23635" s="679"/>
    </row>
    <row r="23636" spans="32:32" x14ac:dyDescent="0.2">
      <c r="AF23636" s="679"/>
    </row>
    <row r="23637" spans="32:32" x14ac:dyDescent="0.2">
      <c r="AF23637" s="679"/>
    </row>
    <row r="23638" spans="32:32" x14ac:dyDescent="0.2">
      <c r="AF23638" s="679"/>
    </row>
    <row r="23639" spans="32:32" x14ac:dyDescent="0.2">
      <c r="AF23639" s="679"/>
    </row>
    <row r="23640" spans="32:32" x14ac:dyDescent="0.2">
      <c r="AF23640" s="679"/>
    </row>
    <row r="23641" spans="32:32" x14ac:dyDescent="0.2">
      <c r="AF23641" s="679"/>
    </row>
    <row r="23642" spans="32:32" x14ac:dyDescent="0.2">
      <c r="AF23642" s="679"/>
    </row>
    <row r="23643" spans="32:32" x14ac:dyDescent="0.2">
      <c r="AF23643" s="679"/>
    </row>
    <row r="23644" spans="32:32" x14ac:dyDescent="0.2">
      <c r="AF23644" s="679"/>
    </row>
    <row r="23645" spans="32:32" x14ac:dyDescent="0.2">
      <c r="AF23645" s="679"/>
    </row>
    <row r="23646" spans="32:32" x14ac:dyDescent="0.2">
      <c r="AF23646" s="679"/>
    </row>
    <row r="23647" spans="32:32" x14ac:dyDescent="0.2">
      <c r="AF23647" s="679"/>
    </row>
    <row r="23648" spans="32:32" x14ac:dyDescent="0.2">
      <c r="AF23648" s="679"/>
    </row>
    <row r="23649" spans="32:32" x14ac:dyDescent="0.2">
      <c r="AF23649" s="679"/>
    </row>
    <row r="23650" spans="32:32" x14ac:dyDescent="0.2">
      <c r="AF23650" s="679"/>
    </row>
    <row r="23651" spans="32:32" x14ac:dyDescent="0.2">
      <c r="AF23651" s="679"/>
    </row>
    <row r="23652" spans="32:32" x14ac:dyDescent="0.2">
      <c r="AF23652" s="679"/>
    </row>
    <row r="23653" spans="32:32" x14ac:dyDescent="0.2">
      <c r="AF23653" s="679"/>
    </row>
    <row r="23654" spans="32:32" x14ac:dyDescent="0.2">
      <c r="AF23654" s="679"/>
    </row>
    <row r="23655" spans="32:32" x14ac:dyDescent="0.2">
      <c r="AF23655" s="679"/>
    </row>
    <row r="23656" spans="32:32" x14ac:dyDescent="0.2">
      <c r="AF23656" s="679"/>
    </row>
    <row r="23657" spans="32:32" x14ac:dyDescent="0.2">
      <c r="AF23657" s="679"/>
    </row>
    <row r="23658" spans="32:32" x14ac:dyDescent="0.2">
      <c r="AF23658" s="679"/>
    </row>
    <row r="23659" spans="32:32" x14ac:dyDescent="0.2">
      <c r="AF23659" s="679"/>
    </row>
    <row r="23660" spans="32:32" x14ac:dyDescent="0.2">
      <c r="AF23660" s="679"/>
    </row>
    <row r="23661" spans="32:32" x14ac:dyDescent="0.2">
      <c r="AF23661" s="679"/>
    </row>
    <row r="23662" spans="32:32" x14ac:dyDescent="0.2">
      <c r="AF23662" s="679"/>
    </row>
    <row r="23663" spans="32:32" x14ac:dyDescent="0.2">
      <c r="AF23663" s="679"/>
    </row>
    <row r="23664" spans="32:32" x14ac:dyDescent="0.2">
      <c r="AF23664" s="679"/>
    </row>
    <row r="23665" spans="32:32" x14ac:dyDescent="0.2">
      <c r="AF23665" s="679"/>
    </row>
    <row r="23666" spans="32:32" x14ac:dyDescent="0.2">
      <c r="AF23666" s="679"/>
    </row>
    <row r="23667" spans="32:32" x14ac:dyDescent="0.2">
      <c r="AF23667" s="679"/>
    </row>
    <row r="23668" spans="32:32" x14ac:dyDescent="0.2">
      <c r="AF23668" s="679"/>
    </row>
    <row r="23669" spans="32:32" x14ac:dyDescent="0.2">
      <c r="AF23669" s="679"/>
    </row>
    <row r="23670" spans="32:32" x14ac:dyDescent="0.2">
      <c r="AF23670" s="679"/>
    </row>
    <row r="23671" spans="32:32" x14ac:dyDescent="0.2">
      <c r="AF23671" s="679"/>
    </row>
    <row r="23672" spans="32:32" x14ac:dyDescent="0.2">
      <c r="AF23672" s="679"/>
    </row>
    <row r="23673" spans="32:32" x14ac:dyDescent="0.2">
      <c r="AF23673" s="679"/>
    </row>
    <row r="23674" spans="32:32" x14ac:dyDescent="0.2">
      <c r="AF23674" s="679"/>
    </row>
    <row r="23675" spans="32:32" x14ac:dyDescent="0.2">
      <c r="AF23675" s="679"/>
    </row>
    <row r="23676" spans="32:32" x14ac:dyDescent="0.2">
      <c r="AF23676" s="679"/>
    </row>
    <row r="23677" spans="32:32" x14ac:dyDescent="0.2">
      <c r="AF23677" s="679"/>
    </row>
    <row r="23678" spans="32:32" x14ac:dyDescent="0.2">
      <c r="AF23678" s="679"/>
    </row>
    <row r="23679" spans="32:32" x14ac:dyDescent="0.2">
      <c r="AF23679" s="679"/>
    </row>
    <row r="23680" spans="32:32" x14ac:dyDescent="0.2">
      <c r="AF23680" s="679"/>
    </row>
    <row r="23681" spans="32:32" x14ac:dyDescent="0.2">
      <c r="AF23681" s="679"/>
    </row>
    <row r="23682" spans="32:32" x14ac:dyDescent="0.2">
      <c r="AF23682" s="679"/>
    </row>
    <row r="23683" spans="32:32" x14ac:dyDescent="0.2">
      <c r="AF23683" s="679"/>
    </row>
    <row r="23684" spans="32:32" x14ac:dyDescent="0.2">
      <c r="AF23684" s="679"/>
    </row>
    <row r="23685" spans="32:32" x14ac:dyDescent="0.2">
      <c r="AF23685" s="679"/>
    </row>
    <row r="23686" spans="32:32" x14ac:dyDescent="0.2">
      <c r="AF23686" s="679"/>
    </row>
    <row r="23687" spans="32:32" x14ac:dyDescent="0.2">
      <c r="AF23687" s="679"/>
    </row>
    <row r="23688" spans="32:32" x14ac:dyDescent="0.2">
      <c r="AF23688" s="679"/>
    </row>
    <row r="23689" spans="32:32" x14ac:dyDescent="0.2">
      <c r="AF23689" s="679"/>
    </row>
    <row r="23690" spans="32:32" x14ac:dyDescent="0.2">
      <c r="AF23690" s="679"/>
    </row>
    <row r="23691" spans="32:32" x14ac:dyDescent="0.2">
      <c r="AF23691" s="679"/>
    </row>
    <row r="23692" spans="32:32" x14ac:dyDescent="0.2">
      <c r="AF23692" s="679"/>
    </row>
    <row r="23693" spans="32:32" x14ac:dyDescent="0.2">
      <c r="AF23693" s="679"/>
    </row>
    <row r="23694" spans="32:32" x14ac:dyDescent="0.2">
      <c r="AF23694" s="679"/>
    </row>
    <row r="23695" spans="32:32" x14ac:dyDescent="0.2">
      <c r="AF23695" s="679"/>
    </row>
    <row r="23696" spans="32:32" x14ac:dyDescent="0.2">
      <c r="AF23696" s="679"/>
    </row>
    <row r="23697" spans="32:32" x14ac:dyDescent="0.2">
      <c r="AF23697" s="679"/>
    </row>
    <row r="23698" spans="32:32" x14ac:dyDescent="0.2">
      <c r="AF23698" s="679"/>
    </row>
    <row r="23699" spans="32:32" x14ac:dyDescent="0.2">
      <c r="AF23699" s="679"/>
    </row>
    <row r="23700" spans="32:32" x14ac:dyDescent="0.2">
      <c r="AF23700" s="679"/>
    </row>
    <row r="23701" spans="32:32" x14ac:dyDescent="0.2">
      <c r="AF23701" s="679"/>
    </row>
    <row r="23702" spans="32:32" x14ac:dyDescent="0.2">
      <c r="AF23702" s="679"/>
    </row>
    <row r="23703" spans="32:32" x14ac:dyDescent="0.2">
      <c r="AF23703" s="679"/>
    </row>
    <row r="23704" spans="32:32" x14ac:dyDescent="0.2">
      <c r="AF23704" s="679"/>
    </row>
    <row r="23705" spans="32:32" x14ac:dyDescent="0.2">
      <c r="AF23705" s="679"/>
    </row>
    <row r="23706" spans="32:32" x14ac:dyDescent="0.2">
      <c r="AF23706" s="679"/>
    </row>
    <row r="23707" spans="32:32" x14ac:dyDescent="0.2">
      <c r="AF23707" s="679"/>
    </row>
    <row r="23708" spans="32:32" x14ac:dyDescent="0.2">
      <c r="AF23708" s="679"/>
    </row>
    <row r="23709" spans="32:32" x14ac:dyDescent="0.2">
      <c r="AF23709" s="679"/>
    </row>
    <row r="23710" spans="32:32" x14ac:dyDescent="0.2">
      <c r="AF23710" s="679"/>
    </row>
    <row r="23711" spans="32:32" x14ac:dyDescent="0.2">
      <c r="AF23711" s="679"/>
    </row>
    <row r="23712" spans="32:32" x14ac:dyDescent="0.2">
      <c r="AF23712" s="679"/>
    </row>
    <row r="23713" spans="32:32" x14ac:dyDescent="0.2">
      <c r="AF23713" s="679"/>
    </row>
    <row r="23714" spans="32:32" x14ac:dyDescent="0.2">
      <c r="AF23714" s="679"/>
    </row>
    <row r="23715" spans="32:32" x14ac:dyDescent="0.2">
      <c r="AF23715" s="679"/>
    </row>
    <row r="23716" spans="32:32" x14ac:dyDescent="0.2">
      <c r="AF23716" s="679"/>
    </row>
    <row r="23717" spans="32:32" x14ac:dyDescent="0.2">
      <c r="AF23717" s="679"/>
    </row>
    <row r="23718" spans="32:32" x14ac:dyDescent="0.2">
      <c r="AF23718" s="679"/>
    </row>
    <row r="23719" spans="32:32" x14ac:dyDescent="0.2">
      <c r="AF23719" s="679"/>
    </row>
    <row r="23720" spans="32:32" x14ac:dyDescent="0.2">
      <c r="AF23720" s="679"/>
    </row>
    <row r="23721" spans="32:32" x14ac:dyDescent="0.2">
      <c r="AF23721" s="679"/>
    </row>
    <row r="23722" spans="32:32" x14ac:dyDescent="0.2">
      <c r="AF23722" s="679"/>
    </row>
    <row r="23723" spans="32:32" x14ac:dyDescent="0.2">
      <c r="AF23723" s="679"/>
    </row>
    <row r="23724" spans="32:32" x14ac:dyDescent="0.2">
      <c r="AF23724" s="679"/>
    </row>
    <row r="23725" spans="32:32" x14ac:dyDescent="0.2">
      <c r="AF23725" s="679"/>
    </row>
    <row r="23726" spans="32:32" x14ac:dyDescent="0.2">
      <c r="AF23726" s="679"/>
    </row>
    <row r="23727" spans="32:32" x14ac:dyDescent="0.2">
      <c r="AF23727" s="679"/>
    </row>
    <row r="23728" spans="32:32" x14ac:dyDescent="0.2">
      <c r="AF23728" s="679"/>
    </row>
    <row r="23729" spans="32:32" x14ac:dyDescent="0.2">
      <c r="AF23729" s="679"/>
    </row>
    <row r="23730" spans="32:32" x14ac:dyDescent="0.2">
      <c r="AF23730" s="679"/>
    </row>
    <row r="23731" spans="32:32" x14ac:dyDescent="0.2">
      <c r="AF23731" s="679"/>
    </row>
    <row r="23732" spans="32:32" x14ac:dyDescent="0.2">
      <c r="AF23732" s="679"/>
    </row>
    <row r="23733" spans="32:32" x14ac:dyDescent="0.2">
      <c r="AF23733" s="679"/>
    </row>
    <row r="23734" spans="32:32" x14ac:dyDescent="0.2">
      <c r="AF23734" s="679"/>
    </row>
    <row r="23735" spans="32:32" x14ac:dyDescent="0.2">
      <c r="AF23735" s="679"/>
    </row>
    <row r="23736" spans="32:32" x14ac:dyDescent="0.2">
      <c r="AF23736" s="679"/>
    </row>
    <row r="23737" spans="32:32" x14ac:dyDescent="0.2">
      <c r="AF23737" s="679"/>
    </row>
    <row r="23738" spans="32:32" x14ac:dyDescent="0.2">
      <c r="AF23738" s="679"/>
    </row>
    <row r="23739" spans="32:32" x14ac:dyDescent="0.2">
      <c r="AF23739" s="679"/>
    </row>
    <row r="23740" spans="32:32" x14ac:dyDescent="0.2">
      <c r="AF23740" s="679"/>
    </row>
    <row r="23741" spans="32:32" x14ac:dyDescent="0.2">
      <c r="AF23741" s="679"/>
    </row>
    <row r="23742" spans="32:32" x14ac:dyDescent="0.2">
      <c r="AF23742" s="679"/>
    </row>
    <row r="23743" spans="32:32" x14ac:dyDescent="0.2">
      <c r="AF23743" s="679"/>
    </row>
    <row r="23744" spans="32:32" x14ac:dyDescent="0.2">
      <c r="AF23744" s="679"/>
    </row>
    <row r="23745" spans="32:32" x14ac:dyDescent="0.2">
      <c r="AF23745" s="679"/>
    </row>
    <row r="23746" spans="32:32" x14ac:dyDescent="0.2">
      <c r="AF23746" s="679"/>
    </row>
    <row r="23747" spans="32:32" x14ac:dyDescent="0.2">
      <c r="AF23747" s="679"/>
    </row>
    <row r="23748" spans="32:32" x14ac:dyDescent="0.2">
      <c r="AF23748" s="679"/>
    </row>
    <row r="23749" spans="32:32" x14ac:dyDescent="0.2">
      <c r="AF23749" s="679"/>
    </row>
    <row r="23750" spans="32:32" x14ac:dyDescent="0.2">
      <c r="AF23750" s="679"/>
    </row>
    <row r="23751" spans="32:32" x14ac:dyDescent="0.2">
      <c r="AF23751" s="679"/>
    </row>
    <row r="23752" spans="32:32" x14ac:dyDescent="0.2">
      <c r="AF23752" s="679"/>
    </row>
    <row r="23753" spans="32:32" x14ac:dyDescent="0.2">
      <c r="AF23753" s="679"/>
    </row>
    <row r="23754" spans="32:32" x14ac:dyDescent="0.2">
      <c r="AF23754" s="679"/>
    </row>
    <row r="23755" spans="32:32" x14ac:dyDescent="0.2">
      <c r="AF23755" s="679"/>
    </row>
    <row r="23756" spans="32:32" x14ac:dyDescent="0.2">
      <c r="AF23756" s="679"/>
    </row>
    <row r="23757" spans="32:32" x14ac:dyDescent="0.2">
      <c r="AF23757" s="679"/>
    </row>
    <row r="23758" spans="32:32" x14ac:dyDescent="0.2">
      <c r="AF23758" s="679"/>
    </row>
    <row r="23759" spans="32:32" x14ac:dyDescent="0.2">
      <c r="AF23759" s="679"/>
    </row>
    <row r="23760" spans="32:32" x14ac:dyDescent="0.2">
      <c r="AF23760" s="679"/>
    </row>
    <row r="23761" spans="32:32" x14ac:dyDescent="0.2">
      <c r="AF23761" s="679"/>
    </row>
    <row r="23762" spans="32:32" x14ac:dyDescent="0.2">
      <c r="AF23762" s="679"/>
    </row>
    <row r="23763" spans="32:32" x14ac:dyDescent="0.2">
      <c r="AF23763" s="679"/>
    </row>
    <row r="23764" spans="32:32" x14ac:dyDescent="0.2">
      <c r="AF23764" s="679"/>
    </row>
    <row r="23765" spans="32:32" x14ac:dyDescent="0.2">
      <c r="AF23765" s="679"/>
    </row>
    <row r="23766" spans="32:32" x14ac:dyDescent="0.2">
      <c r="AF23766" s="679"/>
    </row>
    <row r="23767" spans="32:32" x14ac:dyDescent="0.2">
      <c r="AF23767" s="679"/>
    </row>
    <row r="23768" spans="32:32" x14ac:dyDescent="0.2">
      <c r="AF23768" s="679"/>
    </row>
    <row r="23769" spans="32:32" x14ac:dyDescent="0.2">
      <c r="AF23769" s="679"/>
    </row>
    <row r="23770" spans="32:32" x14ac:dyDescent="0.2">
      <c r="AF23770" s="679"/>
    </row>
    <row r="23771" spans="32:32" x14ac:dyDescent="0.2">
      <c r="AF23771" s="679"/>
    </row>
    <row r="23772" spans="32:32" x14ac:dyDescent="0.2">
      <c r="AF23772" s="679"/>
    </row>
    <row r="23773" spans="32:32" x14ac:dyDescent="0.2">
      <c r="AF23773" s="679"/>
    </row>
    <row r="23774" spans="32:32" x14ac:dyDescent="0.2">
      <c r="AF23774" s="679"/>
    </row>
    <row r="23775" spans="32:32" x14ac:dyDescent="0.2">
      <c r="AF23775" s="679"/>
    </row>
    <row r="23776" spans="32:32" x14ac:dyDescent="0.2">
      <c r="AF23776" s="679"/>
    </row>
    <row r="23777" spans="32:32" x14ac:dyDescent="0.2">
      <c r="AF23777" s="679"/>
    </row>
    <row r="23778" spans="32:32" x14ac:dyDescent="0.2">
      <c r="AF23778" s="679"/>
    </row>
    <row r="23779" spans="32:32" x14ac:dyDescent="0.2">
      <c r="AF23779" s="679"/>
    </row>
    <row r="23780" spans="32:32" x14ac:dyDescent="0.2">
      <c r="AF23780" s="679"/>
    </row>
    <row r="23781" spans="32:32" x14ac:dyDescent="0.2">
      <c r="AF23781" s="679"/>
    </row>
    <row r="23782" spans="32:32" x14ac:dyDescent="0.2">
      <c r="AF23782" s="679"/>
    </row>
    <row r="23783" spans="32:32" x14ac:dyDescent="0.2">
      <c r="AF23783" s="679"/>
    </row>
    <row r="23784" spans="32:32" x14ac:dyDescent="0.2">
      <c r="AF23784" s="679"/>
    </row>
    <row r="23785" spans="32:32" x14ac:dyDescent="0.2">
      <c r="AF23785" s="679"/>
    </row>
    <row r="23786" spans="32:32" x14ac:dyDescent="0.2">
      <c r="AF23786" s="679"/>
    </row>
    <row r="23787" spans="32:32" x14ac:dyDescent="0.2">
      <c r="AF23787" s="679"/>
    </row>
    <row r="23788" spans="32:32" x14ac:dyDescent="0.2">
      <c r="AF23788" s="679"/>
    </row>
    <row r="23789" spans="32:32" x14ac:dyDescent="0.2">
      <c r="AF23789" s="679"/>
    </row>
    <row r="23790" spans="32:32" x14ac:dyDescent="0.2">
      <c r="AF23790" s="679"/>
    </row>
    <row r="23791" spans="32:32" x14ac:dyDescent="0.2">
      <c r="AF23791" s="679"/>
    </row>
    <row r="23792" spans="32:32" x14ac:dyDescent="0.2">
      <c r="AF23792" s="679"/>
    </row>
    <row r="23793" spans="32:32" x14ac:dyDescent="0.2">
      <c r="AF23793" s="679"/>
    </row>
    <row r="23794" spans="32:32" x14ac:dyDescent="0.2">
      <c r="AF23794" s="679"/>
    </row>
    <row r="23795" spans="32:32" x14ac:dyDescent="0.2">
      <c r="AF23795" s="679"/>
    </row>
    <row r="23796" spans="32:32" x14ac:dyDescent="0.2">
      <c r="AF23796" s="679"/>
    </row>
    <row r="23797" spans="32:32" x14ac:dyDescent="0.2">
      <c r="AF23797" s="679"/>
    </row>
    <row r="23798" spans="32:32" x14ac:dyDescent="0.2">
      <c r="AF23798" s="679"/>
    </row>
    <row r="23799" spans="32:32" x14ac:dyDescent="0.2">
      <c r="AF23799" s="679"/>
    </row>
    <row r="23800" spans="32:32" x14ac:dyDescent="0.2">
      <c r="AF23800" s="679"/>
    </row>
    <row r="23801" spans="32:32" x14ac:dyDescent="0.2">
      <c r="AF23801" s="679"/>
    </row>
    <row r="23802" spans="32:32" x14ac:dyDescent="0.2">
      <c r="AF23802" s="679"/>
    </row>
    <row r="23803" spans="32:32" x14ac:dyDescent="0.2">
      <c r="AF23803" s="679"/>
    </row>
    <row r="23804" spans="32:32" x14ac:dyDescent="0.2">
      <c r="AF23804" s="679"/>
    </row>
    <row r="23805" spans="32:32" x14ac:dyDescent="0.2">
      <c r="AF23805" s="679"/>
    </row>
    <row r="23806" spans="32:32" x14ac:dyDescent="0.2">
      <c r="AF23806" s="679"/>
    </row>
    <row r="23807" spans="32:32" x14ac:dyDescent="0.2">
      <c r="AF23807" s="679"/>
    </row>
    <row r="23808" spans="32:32" x14ac:dyDescent="0.2">
      <c r="AF23808" s="679"/>
    </row>
    <row r="23809" spans="32:32" x14ac:dyDescent="0.2">
      <c r="AF23809" s="679"/>
    </row>
    <row r="23810" spans="32:32" x14ac:dyDescent="0.2">
      <c r="AF23810" s="679"/>
    </row>
    <row r="23811" spans="32:32" x14ac:dyDescent="0.2">
      <c r="AF23811" s="679"/>
    </row>
    <row r="23812" spans="32:32" x14ac:dyDescent="0.2">
      <c r="AF23812" s="679"/>
    </row>
    <row r="23813" spans="32:32" x14ac:dyDescent="0.2">
      <c r="AF23813" s="679"/>
    </row>
    <row r="23814" spans="32:32" x14ac:dyDescent="0.2">
      <c r="AF23814" s="679"/>
    </row>
    <row r="23815" spans="32:32" x14ac:dyDescent="0.2">
      <c r="AF23815" s="679"/>
    </row>
    <row r="23816" spans="32:32" x14ac:dyDescent="0.2">
      <c r="AF23816" s="679"/>
    </row>
    <row r="23817" spans="32:32" x14ac:dyDescent="0.2">
      <c r="AF23817" s="679"/>
    </row>
    <row r="23818" spans="32:32" x14ac:dyDescent="0.2">
      <c r="AF23818" s="679"/>
    </row>
    <row r="23819" spans="32:32" x14ac:dyDescent="0.2">
      <c r="AF23819" s="679"/>
    </row>
    <row r="23820" spans="32:32" x14ac:dyDescent="0.2">
      <c r="AF23820" s="679"/>
    </row>
    <row r="23821" spans="32:32" x14ac:dyDescent="0.2">
      <c r="AF23821" s="679"/>
    </row>
    <row r="23822" spans="32:32" x14ac:dyDescent="0.2">
      <c r="AF23822" s="679"/>
    </row>
    <row r="23823" spans="32:32" x14ac:dyDescent="0.2">
      <c r="AF23823" s="679"/>
    </row>
    <row r="23824" spans="32:32" x14ac:dyDescent="0.2">
      <c r="AF23824" s="679"/>
    </row>
    <row r="23825" spans="32:32" x14ac:dyDescent="0.2">
      <c r="AF23825" s="679"/>
    </row>
    <row r="23826" spans="32:32" x14ac:dyDescent="0.2">
      <c r="AF23826" s="679"/>
    </row>
    <row r="23827" spans="32:32" x14ac:dyDescent="0.2">
      <c r="AF23827" s="679"/>
    </row>
    <row r="23828" spans="32:32" x14ac:dyDescent="0.2">
      <c r="AF23828" s="679"/>
    </row>
    <row r="23829" spans="32:32" x14ac:dyDescent="0.2">
      <c r="AF23829" s="679"/>
    </row>
    <row r="23830" spans="32:32" x14ac:dyDescent="0.2">
      <c r="AF23830" s="679"/>
    </row>
    <row r="23831" spans="32:32" x14ac:dyDescent="0.2">
      <c r="AF23831" s="679"/>
    </row>
    <row r="23832" spans="32:32" x14ac:dyDescent="0.2">
      <c r="AF23832" s="679"/>
    </row>
    <row r="23833" spans="32:32" x14ac:dyDescent="0.2">
      <c r="AF23833" s="679"/>
    </row>
    <row r="23834" spans="32:32" x14ac:dyDescent="0.2">
      <c r="AF23834" s="679"/>
    </row>
    <row r="23835" spans="32:32" x14ac:dyDescent="0.2">
      <c r="AF23835" s="679"/>
    </row>
    <row r="23836" spans="32:32" x14ac:dyDescent="0.2">
      <c r="AF23836" s="679"/>
    </row>
    <row r="23837" spans="32:32" x14ac:dyDescent="0.2">
      <c r="AF23837" s="679"/>
    </row>
    <row r="23838" spans="32:32" x14ac:dyDescent="0.2">
      <c r="AF23838" s="679"/>
    </row>
    <row r="23839" spans="32:32" x14ac:dyDescent="0.2">
      <c r="AF23839" s="679"/>
    </row>
    <row r="23840" spans="32:32" x14ac:dyDescent="0.2">
      <c r="AF23840" s="679"/>
    </row>
    <row r="23841" spans="32:32" x14ac:dyDescent="0.2">
      <c r="AF23841" s="679"/>
    </row>
    <row r="23842" spans="32:32" x14ac:dyDescent="0.2">
      <c r="AF23842" s="679"/>
    </row>
    <row r="23843" spans="32:32" x14ac:dyDescent="0.2">
      <c r="AF23843" s="679"/>
    </row>
    <row r="23844" spans="32:32" x14ac:dyDescent="0.2">
      <c r="AF23844" s="679"/>
    </row>
    <row r="23845" spans="32:32" x14ac:dyDescent="0.2">
      <c r="AF23845" s="679"/>
    </row>
    <row r="23846" spans="32:32" x14ac:dyDescent="0.2">
      <c r="AF23846" s="679"/>
    </row>
    <row r="23847" spans="32:32" x14ac:dyDescent="0.2">
      <c r="AF23847" s="679"/>
    </row>
    <row r="23848" spans="32:32" x14ac:dyDescent="0.2">
      <c r="AF23848" s="679"/>
    </row>
    <row r="23849" spans="32:32" x14ac:dyDescent="0.2">
      <c r="AF23849" s="679"/>
    </row>
    <row r="23850" spans="32:32" x14ac:dyDescent="0.2">
      <c r="AF23850" s="679"/>
    </row>
    <row r="23851" spans="32:32" x14ac:dyDescent="0.2">
      <c r="AF23851" s="679"/>
    </row>
    <row r="23852" spans="32:32" x14ac:dyDescent="0.2">
      <c r="AF23852" s="679"/>
    </row>
    <row r="23853" spans="32:32" x14ac:dyDescent="0.2">
      <c r="AF23853" s="679"/>
    </row>
    <row r="23854" spans="32:32" x14ac:dyDescent="0.2">
      <c r="AF23854" s="679"/>
    </row>
    <row r="23855" spans="32:32" x14ac:dyDescent="0.2">
      <c r="AF23855" s="679"/>
    </row>
    <row r="23856" spans="32:32" x14ac:dyDescent="0.2">
      <c r="AF23856" s="679"/>
    </row>
    <row r="23857" spans="32:32" x14ac:dyDescent="0.2">
      <c r="AF23857" s="679"/>
    </row>
    <row r="23858" spans="32:32" x14ac:dyDescent="0.2">
      <c r="AF23858" s="679"/>
    </row>
    <row r="23859" spans="32:32" x14ac:dyDescent="0.2">
      <c r="AF23859" s="679"/>
    </row>
    <row r="23860" spans="32:32" x14ac:dyDescent="0.2">
      <c r="AF23860" s="679"/>
    </row>
    <row r="23861" spans="32:32" x14ac:dyDescent="0.2">
      <c r="AF23861" s="679"/>
    </row>
    <row r="23862" spans="32:32" x14ac:dyDescent="0.2">
      <c r="AF23862" s="679"/>
    </row>
    <row r="23863" spans="32:32" x14ac:dyDescent="0.2">
      <c r="AF23863" s="679"/>
    </row>
    <row r="23864" spans="32:32" x14ac:dyDescent="0.2">
      <c r="AF23864" s="679"/>
    </row>
    <row r="23865" spans="32:32" x14ac:dyDescent="0.2">
      <c r="AF23865" s="679"/>
    </row>
    <row r="23866" spans="32:32" x14ac:dyDescent="0.2">
      <c r="AF23866" s="679"/>
    </row>
    <row r="23867" spans="32:32" x14ac:dyDescent="0.2">
      <c r="AF23867" s="679"/>
    </row>
    <row r="23868" spans="32:32" x14ac:dyDescent="0.2">
      <c r="AF23868" s="679"/>
    </row>
    <row r="23869" spans="32:32" x14ac:dyDescent="0.2">
      <c r="AF23869" s="679"/>
    </row>
    <row r="23870" spans="32:32" x14ac:dyDescent="0.2">
      <c r="AF23870" s="679"/>
    </row>
    <row r="23871" spans="32:32" x14ac:dyDescent="0.2">
      <c r="AF23871" s="679"/>
    </row>
    <row r="23872" spans="32:32" x14ac:dyDescent="0.2">
      <c r="AF23872" s="679"/>
    </row>
    <row r="23873" spans="32:32" x14ac:dyDescent="0.2">
      <c r="AF23873" s="679"/>
    </row>
    <row r="23874" spans="32:32" x14ac:dyDescent="0.2">
      <c r="AF23874" s="679"/>
    </row>
    <row r="23875" spans="32:32" x14ac:dyDescent="0.2">
      <c r="AF23875" s="679"/>
    </row>
    <row r="23876" spans="32:32" x14ac:dyDescent="0.2">
      <c r="AF23876" s="679"/>
    </row>
    <row r="23877" spans="32:32" x14ac:dyDescent="0.2">
      <c r="AF23877" s="679"/>
    </row>
    <row r="23878" spans="32:32" x14ac:dyDescent="0.2">
      <c r="AF23878" s="679"/>
    </row>
    <row r="23879" spans="32:32" x14ac:dyDescent="0.2">
      <c r="AF23879" s="679"/>
    </row>
    <row r="23880" spans="32:32" x14ac:dyDescent="0.2">
      <c r="AF23880" s="679"/>
    </row>
    <row r="23881" spans="32:32" x14ac:dyDescent="0.2">
      <c r="AF23881" s="679"/>
    </row>
    <row r="23882" spans="32:32" x14ac:dyDescent="0.2">
      <c r="AF23882" s="679"/>
    </row>
    <row r="23883" spans="32:32" x14ac:dyDescent="0.2">
      <c r="AF23883" s="679"/>
    </row>
    <row r="23884" spans="32:32" x14ac:dyDescent="0.2">
      <c r="AF23884" s="679"/>
    </row>
    <row r="23885" spans="32:32" x14ac:dyDescent="0.2">
      <c r="AF23885" s="679"/>
    </row>
    <row r="23886" spans="32:32" x14ac:dyDescent="0.2">
      <c r="AF23886" s="679"/>
    </row>
    <row r="23887" spans="32:32" x14ac:dyDescent="0.2">
      <c r="AF23887" s="679"/>
    </row>
    <row r="23888" spans="32:32" x14ac:dyDescent="0.2">
      <c r="AF23888" s="679"/>
    </row>
    <row r="23889" spans="32:32" x14ac:dyDescent="0.2">
      <c r="AF23889" s="679"/>
    </row>
    <row r="23890" spans="32:32" x14ac:dyDescent="0.2">
      <c r="AF23890" s="679"/>
    </row>
    <row r="23891" spans="32:32" x14ac:dyDescent="0.2">
      <c r="AF23891" s="679"/>
    </row>
    <row r="23892" spans="32:32" x14ac:dyDescent="0.2">
      <c r="AF23892" s="679"/>
    </row>
    <row r="23893" spans="32:32" x14ac:dyDescent="0.2">
      <c r="AF23893" s="679"/>
    </row>
    <row r="23894" spans="32:32" x14ac:dyDescent="0.2">
      <c r="AF23894" s="679"/>
    </row>
    <row r="23895" spans="32:32" x14ac:dyDescent="0.2">
      <c r="AF23895" s="679"/>
    </row>
    <row r="23896" spans="32:32" x14ac:dyDescent="0.2">
      <c r="AF23896" s="679"/>
    </row>
    <row r="23897" spans="32:32" x14ac:dyDescent="0.2">
      <c r="AF23897" s="679"/>
    </row>
    <row r="23898" spans="32:32" x14ac:dyDescent="0.2">
      <c r="AF23898" s="679"/>
    </row>
    <row r="23899" spans="32:32" x14ac:dyDescent="0.2">
      <c r="AF23899" s="679"/>
    </row>
    <row r="23900" spans="32:32" x14ac:dyDescent="0.2">
      <c r="AF23900" s="679"/>
    </row>
    <row r="23901" spans="32:32" x14ac:dyDescent="0.2">
      <c r="AF23901" s="679"/>
    </row>
    <row r="23902" spans="32:32" x14ac:dyDescent="0.2">
      <c r="AF23902" s="679"/>
    </row>
    <row r="23903" spans="32:32" x14ac:dyDescent="0.2">
      <c r="AF23903" s="679"/>
    </row>
    <row r="23904" spans="32:32" x14ac:dyDescent="0.2">
      <c r="AF23904" s="679"/>
    </row>
    <row r="23905" spans="32:32" x14ac:dyDescent="0.2">
      <c r="AF23905" s="679"/>
    </row>
    <row r="23906" spans="32:32" x14ac:dyDescent="0.2">
      <c r="AF23906" s="679"/>
    </row>
    <row r="23907" spans="32:32" x14ac:dyDescent="0.2">
      <c r="AF23907" s="679"/>
    </row>
    <row r="23908" spans="32:32" x14ac:dyDescent="0.2">
      <c r="AF23908" s="679"/>
    </row>
    <row r="23909" spans="32:32" x14ac:dyDescent="0.2">
      <c r="AF23909" s="679"/>
    </row>
    <row r="23910" spans="32:32" x14ac:dyDescent="0.2">
      <c r="AF23910" s="679"/>
    </row>
    <row r="23911" spans="32:32" x14ac:dyDescent="0.2">
      <c r="AF23911" s="679"/>
    </row>
    <row r="23912" spans="32:32" x14ac:dyDescent="0.2">
      <c r="AF23912" s="679"/>
    </row>
    <row r="23913" spans="32:32" x14ac:dyDescent="0.2">
      <c r="AF23913" s="679"/>
    </row>
    <row r="23914" spans="32:32" x14ac:dyDescent="0.2">
      <c r="AF23914" s="679"/>
    </row>
    <row r="23915" spans="32:32" x14ac:dyDescent="0.2">
      <c r="AF23915" s="679"/>
    </row>
    <row r="23916" spans="32:32" x14ac:dyDescent="0.2">
      <c r="AF23916" s="679"/>
    </row>
    <row r="23917" spans="32:32" x14ac:dyDescent="0.2">
      <c r="AF23917" s="679"/>
    </row>
    <row r="23918" spans="32:32" x14ac:dyDescent="0.2">
      <c r="AF23918" s="679"/>
    </row>
    <row r="23919" spans="32:32" x14ac:dyDescent="0.2">
      <c r="AF23919" s="679"/>
    </row>
    <row r="23920" spans="32:32" x14ac:dyDescent="0.2">
      <c r="AF23920" s="679"/>
    </row>
    <row r="23921" spans="32:32" x14ac:dyDescent="0.2">
      <c r="AF23921" s="679"/>
    </row>
    <row r="23922" spans="32:32" x14ac:dyDescent="0.2">
      <c r="AF23922" s="679"/>
    </row>
    <row r="23923" spans="32:32" x14ac:dyDescent="0.2">
      <c r="AF23923" s="679"/>
    </row>
    <row r="23924" spans="32:32" x14ac:dyDescent="0.2">
      <c r="AF23924" s="679"/>
    </row>
    <row r="23925" spans="32:32" x14ac:dyDescent="0.2">
      <c r="AF23925" s="679"/>
    </row>
    <row r="23926" spans="32:32" x14ac:dyDescent="0.2">
      <c r="AF23926" s="679"/>
    </row>
    <row r="23927" spans="32:32" x14ac:dyDescent="0.2">
      <c r="AF23927" s="679"/>
    </row>
    <row r="23928" spans="32:32" x14ac:dyDescent="0.2">
      <c r="AF23928" s="679"/>
    </row>
    <row r="23929" spans="32:32" x14ac:dyDescent="0.2">
      <c r="AF23929" s="679"/>
    </row>
    <row r="23930" spans="32:32" x14ac:dyDescent="0.2">
      <c r="AF23930" s="679"/>
    </row>
    <row r="23931" spans="32:32" x14ac:dyDescent="0.2">
      <c r="AF23931" s="679"/>
    </row>
    <row r="23932" spans="32:32" x14ac:dyDescent="0.2">
      <c r="AF23932" s="679"/>
    </row>
    <row r="23933" spans="32:32" x14ac:dyDescent="0.2">
      <c r="AF23933" s="679"/>
    </row>
    <row r="23934" spans="32:32" x14ac:dyDescent="0.2">
      <c r="AF23934" s="679"/>
    </row>
    <row r="23935" spans="32:32" x14ac:dyDescent="0.2">
      <c r="AF23935" s="679"/>
    </row>
    <row r="23936" spans="32:32" x14ac:dyDescent="0.2">
      <c r="AF23936" s="679"/>
    </row>
    <row r="23937" spans="32:32" x14ac:dyDescent="0.2">
      <c r="AF23937" s="679"/>
    </row>
    <row r="23938" spans="32:32" x14ac:dyDescent="0.2">
      <c r="AF23938" s="679"/>
    </row>
    <row r="23939" spans="32:32" x14ac:dyDescent="0.2">
      <c r="AF23939" s="679"/>
    </row>
    <row r="23940" spans="32:32" x14ac:dyDescent="0.2">
      <c r="AF23940" s="679"/>
    </row>
    <row r="23941" spans="32:32" x14ac:dyDescent="0.2">
      <c r="AF23941" s="679"/>
    </row>
    <row r="23942" spans="32:32" x14ac:dyDescent="0.2">
      <c r="AF23942" s="679"/>
    </row>
    <row r="23943" spans="32:32" x14ac:dyDescent="0.2">
      <c r="AF23943" s="679"/>
    </row>
    <row r="23944" spans="32:32" x14ac:dyDescent="0.2">
      <c r="AF23944" s="679"/>
    </row>
    <row r="23945" spans="32:32" x14ac:dyDescent="0.2">
      <c r="AF23945" s="679"/>
    </row>
    <row r="23946" spans="32:32" x14ac:dyDescent="0.2">
      <c r="AF23946" s="679"/>
    </row>
    <row r="23947" spans="32:32" x14ac:dyDescent="0.2">
      <c r="AF23947" s="679"/>
    </row>
    <row r="23948" spans="32:32" x14ac:dyDescent="0.2">
      <c r="AF23948" s="679"/>
    </row>
    <row r="23949" spans="32:32" x14ac:dyDescent="0.2">
      <c r="AF23949" s="679"/>
    </row>
    <row r="23950" spans="32:32" x14ac:dyDescent="0.2">
      <c r="AF23950" s="679"/>
    </row>
    <row r="23951" spans="32:32" x14ac:dyDescent="0.2">
      <c r="AF23951" s="679"/>
    </row>
    <row r="23952" spans="32:32" x14ac:dyDescent="0.2">
      <c r="AF23952" s="679"/>
    </row>
    <row r="23953" spans="32:32" x14ac:dyDescent="0.2">
      <c r="AF23953" s="679"/>
    </row>
    <row r="23954" spans="32:32" x14ac:dyDescent="0.2">
      <c r="AF23954" s="679"/>
    </row>
    <row r="23955" spans="32:32" x14ac:dyDescent="0.2">
      <c r="AF23955" s="679"/>
    </row>
    <row r="23956" spans="32:32" x14ac:dyDescent="0.2">
      <c r="AF23956" s="679"/>
    </row>
    <row r="23957" spans="32:32" x14ac:dyDescent="0.2">
      <c r="AF23957" s="679"/>
    </row>
    <row r="23958" spans="32:32" x14ac:dyDescent="0.2">
      <c r="AF23958" s="679"/>
    </row>
    <row r="23959" spans="32:32" x14ac:dyDescent="0.2">
      <c r="AF23959" s="679"/>
    </row>
    <row r="23960" spans="32:32" x14ac:dyDescent="0.2">
      <c r="AF23960" s="679"/>
    </row>
    <row r="23961" spans="32:32" x14ac:dyDescent="0.2">
      <c r="AF23961" s="679"/>
    </row>
    <row r="23962" spans="32:32" x14ac:dyDescent="0.2">
      <c r="AF23962" s="679"/>
    </row>
    <row r="23963" spans="32:32" x14ac:dyDescent="0.2">
      <c r="AF23963" s="679"/>
    </row>
    <row r="23964" spans="32:32" x14ac:dyDescent="0.2">
      <c r="AF23964" s="679"/>
    </row>
    <row r="23965" spans="32:32" x14ac:dyDescent="0.2">
      <c r="AF23965" s="679"/>
    </row>
    <row r="23966" spans="32:32" x14ac:dyDescent="0.2">
      <c r="AF23966" s="679"/>
    </row>
    <row r="23967" spans="32:32" x14ac:dyDescent="0.2">
      <c r="AF23967" s="679"/>
    </row>
    <row r="23968" spans="32:32" x14ac:dyDescent="0.2">
      <c r="AF23968" s="679"/>
    </row>
    <row r="23969" spans="32:32" x14ac:dyDescent="0.2">
      <c r="AF23969" s="679"/>
    </row>
    <row r="23970" spans="32:32" x14ac:dyDescent="0.2">
      <c r="AF23970" s="679"/>
    </row>
    <row r="23971" spans="32:32" x14ac:dyDescent="0.2">
      <c r="AF23971" s="679"/>
    </row>
    <row r="23972" spans="32:32" x14ac:dyDescent="0.2">
      <c r="AF23972" s="679"/>
    </row>
    <row r="23973" spans="32:32" x14ac:dyDescent="0.2">
      <c r="AF23973" s="679"/>
    </row>
    <row r="23974" spans="32:32" x14ac:dyDescent="0.2">
      <c r="AF23974" s="679"/>
    </row>
    <row r="23975" spans="32:32" x14ac:dyDescent="0.2">
      <c r="AF23975" s="679"/>
    </row>
    <row r="23976" spans="32:32" x14ac:dyDescent="0.2">
      <c r="AF23976" s="679"/>
    </row>
    <row r="23977" spans="32:32" x14ac:dyDescent="0.2">
      <c r="AF23977" s="679"/>
    </row>
    <row r="23978" spans="32:32" x14ac:dyDescent="0.2">
      <c r="AF23978" s="679"/>
    </row>
    <row r="23979" spans="32:32" x14ac:dyDescent="0.2">
      <c r="AF23979" s="679"/>
    </row>
    <row r="23980" spans="32:32" x14ac:dyDescent="0.2">
      <c r="AF23980" s="679"/>
    </row>
    <row r="23981" spans="32:32" x14ac:dyDescent="0.2">
      <c r="AF23981" s="679"/>
    </row>
    <row r="23982" spans="32:32" x14ac:dyDescent="0.2">
      <c r="AF23982" s="679"/>
    </row>
    <row r="23983" spans="32:32" x14ac:dyDescent="0.2">
      <c r="AF23983" s="679"/>
    </row>
    <row r="23984" spans="32:32" x14ac:dyDescent="0.2">
      <c r="AF23984" s="679"/>
    </row>
    <row r="23985" spans="32:32" x14ac:dyDescent="0.2">
      <c r="AF23985" s="679"/>
    </row>
    <row r="23986" spans="32:32" x14ac:dyDescent="0.2">
      <c r="AF23986" s="679"/>
    </row>
    <row r="23987" spans="32:32" x14ac:dyDescent="0.2">
      <c r="AF23987" s="679"/>
    </row>
    <row r="23988" spans="32:32" x14ac:dyDescent="0.2">
      <c r="AF23988" s="679"/>
    </row>
    <row r="23989" spans="32:32" x14ac:dyDescent="0.2">
      <c r="AF23989" s="679"/>
    </row>
    <row r="23990" spans="32:32" x14ac:dyDescent="0.2">
      <c r="AF23990" s="679"/>
    </row>
    <row r="23991" spans="32:32" x14ac:dyDescent="0.2">
      <c r="AF23991" s="679"/>
    </row>
    <row r="23992" spans="32:32" x14ac:dyDescent="0.2">
      <c r="AF23992" s="679"/>
    </row>
    <row r="23993" spans="32:32" x14ac:dyDescent="0.2">
      <c r="AF23993" s="679"/>
    </row>
    <row r="23994" spans="32:32" x14ac:dyDescent="0.2">
      <c r="AF23994" s="679"/>
    </row>
    <row r="23995" spans="32:32" x14ac:dyDescent="0.2">
      <c r="AF23995" s="679"/>
    </row>
    <row r="23996" spans="32:32" x14ac:dyDescent="0.2">
      <c r="AF23996" s="679"/>
    </row>
    <row r="23997" spans="32:32" x14ac:dyDescent="0.2">
      <c r="AF23997" s="679"/>
    </row>
    <row r="23998" spans="32:32" x14ac:dyDescent="0.2">
      <c r="AF23998" s="679"/>
    </row>
    <row r="23999" spans="32:32" x14ac:dyDescent="0.2">
      <c r="AF23999" s="679"/>
    </row>
    <row r="24000" spans="32:32" x14ac:dyDescent="0.2">
      <c r="AF24000" s="679"/>
    </row>
    <row r="24001" spans="32:32" x14ac:dyDescent="0.2">
      <c r="AF24001" s="679"/>
    </row>
    <row r="24002" spans="32:32" x14ac:dyDescent="0.2">
      <c r="AF24002" s="679"/>
    </row>
    <row r="24003" spans="32:32" x14ac:dyDescent="0.2">
      <c r="AF24003" s="679"/>
    </row>
    <row r="24004" spans="32:32" x14ac:dyDescent="0.2">
      <c r="AF24004" s="679"/>
    </row>
    <row r="24005" spans="32:32" x14ac:dyDescent="0.2">
      <c r="AF24005" s="679"/>
    </row>
    <row r="24006" spans="32:32" x14ac:dyDescent="0.2">
      <c r="AF24006" s="679"/>
    </row>
    <row r="24007" spans="32:32" x14ac:dyDescent="0.2">
      <c r="AF24007" s="679"/>
    </row>
    <row r="24008" spans="32:32" x14ac:dyDescent="0.2">
      <c r="AF24008" s="679"/>
    </row>
    <row r="24009" spans="32:32" x14ac:dyDescent="0.2">
      <c r="AF24009" s="679"/>
    </row>
    <row r="24010" spans="32:32" x14ac:dyDescent="0.2">
      <c r="AF24010" s="679"/>
    </row>
    <row r="24011" spans="32:32" x14ac:dyDescent="0.2">
      <c r="AF24011" s="679"/>
    </row>
    <row r="24012" spans="32:32" x14ac:dyDescent="0.2">
      <c r="AF24012" s="679"/>
    </row>
    <row r="24013" spans="32:32" x14ac:dyDescent="0.2">
      <c r="AF24013" s="679"/>
    </row>
    <row r="24014" spans="32:32" x14ac:dyDescent="0.2">
      <c r="AF24014" s="679"/>
    </row>
    <row r="24015" spans="32:32" x14ac:dyDescent="0.2">
      <c r="AF24015" s="679"/>
    </row>
    <row r="24016" spans="32:32" x14ac:dyDescent="0.2">
      <c r="AF24016" s="679"/>
    </row>
    <row r="24017" spans="32:32" x14ac:dyDescent="0.2">
      <c r="AF24017" s="679"/>
    </row>
    <row r="24018" spans="32:32" x14ac:dyDescent="0.2">
      <c r="AF24018" s="679"/>
    </row>
    <row r="24019" spans="32:32" x14ac:dyDescent="0.2">
      <c r="AF24019" s="679"/>
    </row>
    <row r="24020" spans="32:32" x14ac:dyDescent="0.2">
      <c r="AF24020" s="679"/>
    </row>
    <row r="24021" spans="32:32" x14ac:dyDescent="0.2">
      <c r="AF24021" s="679"/>
    </row>
    <row r="24022" spans="32:32" x14ac:dyDescent="0.2">
      <c r="AF24022" s="679"/>
    </row>
    <row r="24023" spans="32:32" x14ac:dyDescent="0.2">
      <c r="AF24023" s="679"/>
    </row>
    <row r="24024" spans="32:32" x14ac:dyDescent="0.2">
      <c r="AF24024" s="679"/>
    </row>
    <row r="24025" spans="32:32" x14ac:dyDescent="0.2">
      <c r="AF24025" s="679"/>
    </row>
    <row r="24026" spans="32:32" x14ac:dyDescent="0.2">
      <c r="AF24026" s="679"/>
    </row>
    <row r="24027" spans="32:32" x14ac:dyDescent="0.2">
      <c r="AF24027" s="679"/>
    </row>
    <row r="24028" spans="32:32" x14ac:dyDescent="0.2">
      <c r="AF24028" s="679"/>
    </row>
    <row r="24029" spans="32:32" x14ac:dyDescent="0.2">
      <c r="AF24029" s="679"/>
    </row>
    <row r="24030" spans="32:32" x14ac:dyDescent="0.2">
      <c r="AF24030" s="679"/>
    </row>
    <row r="24031" spans="32:32" x14ac:dyDescent="0.2">
      <c r="AF24031" s="679"/>
    </row>
    <row r="24032" spans="32:32" x14ac:dyDescent="0.2">
      <c r="AF24032" s="679"/>
    </row>
    <row r="24033" spans="32:32" x14ac:dyDescent="0.2">
      <c r="AF24033" s="679"/>
    </row>
    <row r="24034" spans="32:32" x14ac:dyDescent="0.2">
      <c r="AF24034" s="679"/>
    </row>
    <row r="24035" spans="32:32" x14ac:dyDescent="0.2">
      <c r="AF24035" s="679"/>
    </row>
    <row r="24036" spans="32:32" x14ac:dyDescent="0.2">
      <c r="AF24036" s="679"/>
    </row>
    <row r="24037" spans="32:32" x14ac:dyDescent="0.2">
      <c r="AF24037" s="679"/>
    </row>
    <row r="24038" spans="32:32" x14ac:dyDescent="0.2">
      <c r="AF24038" s="679"/>
    </row>
    <row r="24039" spans="32:32" x14ac:dyDescent="0.2">
      <c r="AF24039" s="679"/>
    </row>
    <row r="24040" spans="32:32" x14ac:dyDescent="0.2">
      <c r="AF24040" s="679"/>
    </row>
    <row r="24041" spans="32:32" x14ac:dyDescent="0.2">
      <c r="AF24041" s="679"/>
    </row>
    <row r="24042" spans="32:32" x14ac:dyDescent="0.2">
      <c r="AF24042" s="679"/>
    </row>
    <row r="24043" spans="32:32" x14ac:dyDescent="0.2">
      <c r="AF24043" s="679"/>
    </row>
    <row r="24044" spans="32:32" x14ac:dyDescent="0.2">
      <c r="AF24044" s="679"/>
    </row>
    <row r="24045" spans="32:32" x14ac:dyDescent="0.2">
      <c r="AF24045" s="679"/>
    </row>
    <row r="24046" spans="32:32" x14ac:dyDescent="0.2">
      <c r="AF24046" s="679"/>
    </row>
    <row r="24047" spans="32:32" x14ac:dyDescent="0.2">
      <c r="AF24047" s="679"/>
    </row>
    <row r="24048" spans="32:32" x14ac:dyDescent="0.2">
      <c r="AF24048" s="679"/>
    </row>
    <row r="24049" spans="32:32" x14ac:dyDescent="0.2">
      <c r="AF24049" s="679"/>
    </row>
    <row r="24050" spans="32:32" x14ac:dyDescent="0.2">
      <c r="AF24050" s="679"/>
    </row>
    <row r="24051" spans="32:32" x14ac:dyDescent="0.2">
      <c r="AF24051" s="679"/>
    </row>
    <row r="24052" spans="32:32" x14ac:dyDescent="0.2">
      <c r="AF24052" s="679"/>
    </row>
    <row r="24053" spans="32:32" x14ac:dyDescent="0.2">
      <c r="AF24053" s="679"/>
    </row>
    <row r="24054" spans="32:32" x14ac:dyDescent="0.2">
      <c r="AF24054" s="679"/>
    </row>
    <row r="24055" spans="32:32" x14ac:dyDescent="0.2">
      <c r="AF24055" s="679"/>
    </row>
    <row r="24056" spans="32:32" x14ac:dyDescent="0.2">
      <c r="AF24056" s="679"/>
    </row>
    <row r="24057" spans="32:32" x14ac:dyDescent="0.2">
      <c r="AF24057" s="679"/>
    </row>
    <row r="24058" spans="32:32" x14ac:dyDescent="0.2">
      <c r="AF24058" s="679"/>
    </row>
    <row r="24059" spans="32:32" x14ac:dyDescent="0.2">
      <c r="AF24059" s="679"/>
    </row>
    <row r="24060" spans="32:32" x14ac:dyDescent="0.2">
      <c r="AF24060" s="679"/>
    </row>
    <row r="24061" spans="32:32" x14ac:dyDescent="0.2">
      <c r="AF24061" s="679"/>
    </row>
    <row r="24062" spans="32:32" x14ac:dyDescent="0.2">
      <c r="AF24062" s="679"/>
    </row>
    <row r="24063" spans="32:32" x14ac:dyDescent="0.2">
      <c r="AF24063" s="679"/>
    </row>
    <row r="24064" spans="32:32" x14ac:dyDescent="0.2">
      <c r="AF24064" s="679"/>
    </row>
    <row r="24065" spans="32:32" x14ac:dyDescent="0.2">
      <c r="AF24065" s="679"/>
    </row>
    <row r="24066" spans="32:32" x14ac:dyDescent="0.2">
      <c r="AF24066" s="679"/>
    </row>
    <row r="24067" spans="32:32" x14ac:dyDescent="0.2">
      <c r="AF24067" s="679"/>
    </row>
    <row r="24068" spans="32:32" x14ac:dyDescent="0.2">
      <c r="AF24068" s="679"/>
    </row>
    <row r="24069" spans="32:32" x14ac:dyDescent="0.2">
      <c r="AF24069" s="679"/>
    </row>
    <row r="24070" spans="32:32" x14ac:dyDescent="0.2">
      <c r="AF24070" s="679"/>
    </row>
    <row r="24071" spans="32:32" x14ac:dyDescent="0.2">
      <c r="AF24071" s="679"/>
    </row>
    <row r="24072" spans="32:32" x14ac:dyDescent="0.2">
      <c r="AF24072" s="679"/>
    </row>
    <row r="24073" spans="32:32" x14ac:dyDescent="0.2">
      <c r="AF24073" s="679"/>
    </row>
    <row r="24074" spans="32:32" x14ac:dyDescent="0.2">
      <c r="AF24074" s="679"/>
    </row>
    <row r="24075" spans="32:32" x14ac:dyDescent="0.2">
      <c r="AF24075" s="679"/>
    </row>
    <row r="24076" spans="32:32" x14ac:dyDescent="0.2">
      <c r="AF24076" s="679"/>
    </row>
    <row r="24077" spans="32:32" x14ac:dyDescent="0.2">
      <c r="AF24077" s="679"/>
    </row>
    <row r="24078" spans="32:32" x14ac:dyDescent="0.2">
      <c r="AF24078" s="679"/>
    </row>
    <row r="24079" spans="32:32" x14ac:dyDescent="0.2">
      <c r="AF24079" s="679"/>
    </row>
    <row r="24080" spans="32:32" x14ac:dyDescent="0.2">
      <c r="AF24080" s="679"/>
    </row>
    <row r="24081" spans="32:32" x14ac:dyDescent="0.2">
      <c r="AF24081" s="679"/>
    </row>
    <row r="24082" spans="32:32" x14ac:dyDescent="0.2">
      <c r="AF24082" s="679"/>
    </row>
    <row r="24083" spans="32:32" x14ac:dyDescent="0.2">
      <c r="AF24083" s="679"/>
    </row>
    <row r="24084" spans="32:32" x14ac:dyDescent="0.2">
      <c r="AF24084" s="679"/>
    </row>
    <row r="24085" spans="32:32" x14ac:dyDescent="0.2">
      <c r="AF24085" s="679"/>
    </row>
    <row r="24086" spans="32:32" x14ac:dyDescent="0.2">
      <c r="AF24086" s="679"/>
    </row>
    <row r="24087" spans="32:32" x14ac:dyDescent="0.2">
      <c r="AF24087" s="679"/>
    </row>
    <row r="24088" spans="32:32" x14ac:dyDescent="0.2">
      <c r="AF24088" s="679"/>
    </row>
    <row r="24089" spans="32:32" x14ac:dyDescent="0.2">
      <c r="AF24089" s="679"/>
    </row>
    <row r="24090" spans="32:32" x14ac:dyDescent="0.2">
      <c r="AF24090" s="679"/>
    </row>
    <row r="24091" spans="32:32" x14ac:dyDescent="0.2">
      <c r="AF24091" s="679"/>
    </row>
    <row r="24092" spans="32:32" x14ac:dyDescent="0.2">
      <c r="AF24092" s="679"/>
    </row>
    <row r="24093" spans="32:32" x14ac:dyDescent="0.2">
      <c r="AF24093" s="679"/>
    </row>
    <row r="24094" spans="32:32" x14ac:dyDescent="0.2">
      <c r="AF24094" s="679"/>
    </row>
    <row r="24095" spans="32:32" x14ac:dyDescent="0.2">
      <c r="AF24095" s="679"/>
    </row>
    <row r="24096" spans="32:32" x14ac:dyDescent="0.2">
      <c r="AF24096" s="679"/>
    </row>
    <row r="24097" spans="32:32" x14ac:dyDescent="0.2">
      <c r="AF24097" s="679"/>
    </row>
    <row r="24098" spans="32:32" x14ac:dyDescent="0.2">
      <c r="AF24098" s="679"/>
    </row>
    <row r="24099" spans="32:32" x14ac:dyDescent="0.2">
      <c r="AF24099" s="679"/>
    </row>
    <row r="24100" spans="32:32" x14ac:dyDescent="0.2">
      <c r="AF24100" s="679"/>
    </row>
    <row r="24101" spans="32:32" x14ac:dyDescent="0.2">
      <c r="AF24101" s="679"/>
    </row>
    <row r="24102" spans="32:32" x14ac:dyDescent="0.2">
      <c r="AF24102" s="679"/>
    </row>
    <row r="24103" spans="32:32" x14ac:dyDescent="0.2">
      <c r="AF24103" s="679"/>
    </row>
    <row r="24104" spans="32:32" x14ac:dyDescent="0.2">
      <c r="AF24104" s="679"/>
    </row>
    <row r="24105" spans="32:32" x14ac:dyDescent="0.2">
      <c r="AF24105" s="679"/>
    </row>
    <row r="24106" spans="32:32" x14ac:dyDescent="0.2">
      <c r="AF24106" s="679"/>
    </row>
    <row r="24107" spans="32:32" x14ac:dyDescent="0.2">
      <c r="AF24107" s="679"/>
    </row>
    <row r="24108" spans="32:32" x14ac:dyDescent="0.2">
      <c r="AF24108" s="679"/>
    </row>
    <row r="24109" spans="32:32" x14ac:dyDescent="0.2">
      <c r="AF24109" s="679"/>
    </row>
    <row r="24110" spans="32:32" x14ac:dyDescent="0.2">
      <c r="AF24110" s="679"/>
    </row>
    <row r="24111" spans="32:32" x14ac:dyDescent="0.2">
      <c r="AF24111" s="679"/>
    </row>
    <row r="24112" spans="32:32" x14ac:dyDescent="0.2">
      <c r="AF24112" s="679"/>
    </row>
    <row r="24113" spans="32:32" x14ac:dyDescent="0.2">
      <c r="AF24113" s="679"/>
    </row>
    <row r="24114" spans="32:32" x14ac:dyDescent="0.2">
      <c r="AF24114" s="679"/>
    </row>
    <row r="24115" spans="32:32" x14ac:dyDescent="0.2">
      <c r="AF24115" s="679"/>
    </row>
    <row r="24116" spans="32:32" x14ac:dyDescent="0.2">
      <c r="AF24116" s="679"/>
    </row>
    <row r="24117" spans="32:32" x14ac:dyDescent="0.2">
      <c r="AF24117" s="679"/>
    </row>
    <row r="24118" spans="32:32" x14ac:dyDescent="0.2">
      <c r="AF24118" s="679"/>
    </row>
    <row r="24119" spans="32:32" x14ac:dyDescent="0.2">
      <c r="AF24119" s="679"/>
    </row>
    <row r="24120" spans="32:32" x14ac:dyDescent="0.2">
      <c r="AF24120" s="679"/>
    </row>
    <row r="24121" spans="32:32" x14ac:dyDescent="0.2">
      <c r="AF24121" s="679"/>
    </row>
    <row r="24122" spans="32:32" x14ac:dyDescent="0.2">
      <c r="AF24122" s="679"/>
    </row>
    <row r="24123" spans="32:32" x14ac:dyDescent="0.2">
      <c r="AF24123" s="679"/>
    </row>
    <row r="24124" spans="32:32" x14ac:dyDescent="0.2">
      <c r="AF24124" s="679"/>
    </row>
    <row r="24125" spans="32:32" x14ac:dyDescent="0.2">
      <c r="AF24125" s="679"/>
    </row>
    <row r="24126" spans="32:32" x14ac:dyDescent="0.2">
      <c r="AF24126" s="679"/>
    </row>
    <row r="24127" spans="32:32" x14ac:dyDescent="0.2">
      <c r="AF24127" s="679"/>
    </row>
    <row r="24128" spans="32:32" x14ac:dyDescent="0.2">
      <c r="AF24128" s="679"/>
    </row>
    <row r="24129" spans="32:32" x14ac:dyDescent="0.2">
      <c r="AF24129" s="679"/>
    </row>
    <row r="24130" spans="32:32" x14ac:dyDescent="0.2">
      <c r="AF24130" s="679"/>
    </row>
    <row r="24131" spans="32:32" x14ac:dyDescent="0.2">
      <c r="AF24131" s="679"/>
    </row>
    <row r="24132" spans="32:32" x14ac:dyDescent="0.2">
      <c r="AF24132" s="679"/>
    </row>
    <row r="24133" spans="32:32" x14ac:dyDescent="0.2">
      <c r="AF24133" s="679"/>
    </row>
    <row r="24134" spans="32:32" x14ac:dyDescent="0.2">
      <c r="AF24134" s="679"/>
    </row>
    <row r="24135" spans="32:32" x14ac:dyDescent="0.2">
      <c r="AF24135" s="679"/>
    </row>
    <row r="24136" spans="32:32" x14ac:dyDescent="0.2">
      <c r="AF24136" s="679"/>
    </row>
    <row r="24137" spans="32:32" x14ac:dyDescent="0.2">
      <c r="AF24137" s="679"/>
    </row>
    <row r="24138" spans="32:32" x14ac:dyDescent="0.2">
      <c r="AF24138" s="679"/>
    </row>
    <row r="24139" spans="32:32" x14ac:dyDescent="0.2">
      <c r="AF24139" s="679"/>
    </row>
    <row r="24140" spans="32:32" x14ac:dyDescent="0.2">
      <c r="AF24140" s="679"/>
    </row>
    <row r="24141" spans="32:32" x14ac:dyDescent="0.2">
      <c r="AF24141" s="679"/>
    </row>
    <row r="24142" spans="32:32" x14ac:dyDescent="0.2">
      <c r="AF24142" s="679"/>
    </row>
    <row r="24143" spans="32:32" x14ac:dyDescent="0.2">
      <c r="AF24143" s="679"/>
    </row>
    <row r="24144" spans="32:32" x14ac:dyDescent="0.2">
      <c r="AF24144" s="679"/>
    </row>
    <row r="24145" spans="32:32" x14ac:dyDescent="0.2">
      <c r="AF24145" s="679"/>
    </row>
    <row r="24146" spans="32:32" x14ac:dyDescent="0.2">
      <c r="AF24146" s="679"/>
    </row>
    <row r="24147" spans="32:32" x14ac:dyDescent="0.2">
      <c r="AF24147" s="679"/>
    </row>
    <row r="24148" spans="32:32" x14ac:dyDescent="0.2">
      <c r="AF24148" s="679"/>
    </row>
    <row r="24149" spans="32:32" x14ac:dyDescent="0.2">
      <c r="AF24149" s="679"/>
    </row>
    <row r="24150" spans="32:32" x14ac:dyDescent="0.2">
      <c r="AF24150" s="679"/>
    </row>
    <row r="24151" spans="32:32" x14ac:dyDescent="0.2">
      <c r="AF24151" s="679"/>
    </row>
    <row r="24152" spans="32:32" x14ac:dyDescent="0.2">
      <c r="AF24152" s="679"/>
    </row>
    <row r="24153" spans="32:32" x14ac:dyDescent="0.2">
      <c r="AF24153" s="679"/>
    </row>
    <row r="24154" spans="32:32" x14ac:dyDescent="0.2">
      <c r="AF24154" s="679"/>
    </row>
    <row r="24155" spans="32:32" x14ac:dyDescent="0.2">
      <c r="AF24155" s="679"/>
    </row>
    <row r="24156" spans="32:32" x14ac:dyDescent="0.2">
      <c r="AF24156" s="679"/>
    </row>
    <row r="24157" spans="32:32" x14ac:dyDescent="0.2">
      <c r="AF24157" s="679"/>
    </row>
    <row r="24158" spans="32:32" x14ac:dyDescent="0.2">
      <c r="AF24158" s="679"/>
    </row>
    <row r="24159" spans="32:32" x14ac:dyDescent="0.2">
      <c r="AF24159" s="679"/>
    </row>
    <row r="24160" spans="32:32" x14ac:dyDescent="0.2">
      <c r="AF24160" s="679"/>
    </row>
    <row r="24161" spans="32:32" x14ac:dyDescent="0.2">
      <c r="AF24161" s="679"/>
    </row>
    <row r="24162" spans="32:32" x14ac:dyDescent="0.2">
      <c r="AF24162" s="679"/>
    </row>
    <row r="24163" spans="32:32" x14ac:dyDescent="0.2">
      <c r="AF24163" s="679"/>
    </row>
    <row r="24164" spans="32:32" x14ac:dyDescent="0.2">
      <c r="AF24164" s="679"/>
    </row>
    <row r="24165" spans="32:32" x14ac:dyDescent="0.2">
      <c r="AF24165" s="679"/>
    </row>
    <row r="24166" spans="32:32" x14ac:dyDescent="0.2">
      <c r="AF24166" s="679"/>
    </row>
    <row r="24167" spans="32:32" x14ac:dyDescent="0.2">
      <c r="AF24167" s="679"/>
    </row>
    <row r="24168" spans="32:32" x14ac:dyDescent="0.2">
      <c r="AF24168" s="679"/>
    </row>
    <row r="24169" spans="32:32" x14ac:dyDescent="0.2">
      <c r="AF24169" s="679"/>
    </row>
    <row r="24170" spans="32:32" x14ac:dyDescent="0.2">
      <c r="AF24170" s="679"/>
    </row>
    <row r="24171" spans="32:32" x14ac:dyDescent="0.2">
      <c r="AF24171" s="679"/>
    </row>
    <row r="24172" spans="32:32" x14ac:dyDescent="0.2">
      <c r="AF24172" s="679"/>
    </row>
    <row r="24173" spans="32:32" x14ac:dyDescent="0.2">
      <c r="AF24173" s="679"/>
    </row>
    <row r="24174" spans="32:32" x14ac:dyDescent="0.2">
      <c r="AF24174" s="679"/>
    </row>
    <row r="24175" spans="32:32" x14ac:dyDescent="0.2">
      <c r="AF24175" s="679"/>
    </row>
    <row r="24176" spans="32:32" x14ac:dyDescent="0.2">
      <c r="AF24176" s="679"/>
    </row>
    <row r="24177" spans="32:32" x14ac:dyDescent="0.2">
      <c r="AF24177" s="679"/>
    </row>
    <row r="24178" spans="32:32" x14ac:dyDescent="0.2">
      <c r="AF24178" s="679"/>
    </row>
    <row r="24179" spans="32:32" x14ac:dyDescent="0.2">
      <c r="AF24179" s="679"/>
    </row>
    <row r="24180" spans="32:32" x14ac:dyDescent="0.2">
      <c r="AF24180" s="679"/>
    </row>
    <row r="24181" spans="32:32" x14ac:dyDescent="0.2">
      <c r="AF24181" s="679"/>
    </row>
    <row r="24182" spans="32:32" x14ac:dyDescent="0.2">
      <c r="AF24182" s="679"/>
    </row>
    <row r="24183" spans="32:32" x14ac:dyDescent="0.2">
      <c r="AF24183" s="679"/>
    </row>
    <row r="24184" spans="32:32" x14ac:dyDescent="0.2">
      <c r="AF24184" s="679"/>
    </row>
    <row r="24185" spans="32:32" x14ac:dyDescent="0.2">
      <c r="AF24185" s="679"/>
    </row>
    <row r="24186" spans="32:32" x14ac:dyDescent="0.2">
      <c r="AF24186" s="679"/>
    </row>
    <row r="24187" spans="32:32" x14ac:dyDescent="0.2">
      <c r="AF24187" s="679"/>
    </row>
    <row r="24188" spans="32:32" x14ac:dyDescent="0.2">
      <c r="AF24188" s="679"/>
    </row>
    <row r="24189" spans="32:32" x14ac:dyDescent="0.2">
      <c r="AF24189" s="679"/>
    </row>
    <row r="24190" spans="32:32" x14ac:dyDescent="0.2">
      <c r="AF24190" s="679"/>
    </row>
    <row r="24191" spans="32:32" x14ac:dyDescent="0.2">
      <c r="AF24191" s="679"/>
    </row>
    <row r="24192" spans="32:32" x14ac:dyDescent="0.2">
      <c r="AF24192" s="679"/>
    </row>
    <row r="24193" spans="32:32" x14ac:dyDescent="0.2">
      <c r="AF24193" s="679"/>
    </row>
    <row r="24194" spans="32:32" x14ac:dyDescent="0.2">
      <c r="AF24194" s="679"/>
    </row>
    <row r="24195" spans="32:32" x14ac:dyDescent="0.2">
      <c r="AF24195" s="679"/>
    </row>
    <row r="24196" spans="32:32" x14ac:dyDescent="0.2">
      <c r="AF24196" s="679"/>
    </row>
    <row r="24197" spans="32:32" x14ac:dyDescent="0.2">
      <c r="AF24197" s="679"/>
    </row>
    <row r="24198" spans="32:32" x14ac:dyDescent="0.2">
      <c r="AF24198" s="679"/>
    </row>
    <row r="24199" spans="32:32" x14ac:dyDescent="0.2">
      <c r="AF24199" s="679"/>
    </row>
    <row r="24200" spans="32:32" x14ac:dyDescent="0.2">
      <c r="AF24200" s="679"/>
    </row>
    <row r="24201" spans="32:32" x14ac:dyDescent="0.2">
      <c r="AF24201" s="679"/>
    </row>
    <row r="24202" spans="32:32" x14ac:dyDescent="0.2">
      <c r="AF24202" s="679"/>
    </row>
    <row r="24203" spans="32:32" x14ac:dyDescent="0.2">
      <c r="AF24203" s="679"/>
    </row>
    <row r="24204" spans="32:32" x14ac:dyDescent="0.2">
      <c r="AF24204" s="679"/>
    </row>
    <row r="24205" spans="32:32" x14ac:dyDescent="0.2">
      <c r="AF24205" s="679"/>
    </row>
    <row r="24206" spans="32:32" x14ac:dyDescent="0.2">
      <c r="AF24206" s="679"/>
    </row>
    <row r="24207" spans="32:32" x14ac:dyDescent="0.2">
      <c r="AF24207" s="679"/>
    </row>
    <row r="24208" spans="32:32" x14ac:dyDescent="0.2">
      <c r="AF24208" s="679"/>
    </row>
    <row r="24209" spans="32:32" x14ac:dyDescent="0.2">
      <c r="AF24209" s="679"/>
    </row>
    <row r="24210" spans="32:32" x14ac:dyDescent="0.2">
      <c r="AF24210" s="679"/>
    </row>
    <row r="24211" spans="32:32" x14ac:dyDescent="0.2">
      <c r="AF24211" s="679"/>
    </row>
    <row r="24212" spans="32:32" x14ac:dyDescent="0.2">
      <c r="AF24212" s="679"/>
    </row>
    <row r="24213" spans="32:32" x14ac:dyDescent="0.2">
      <c r="AF24213" s="679"/>
    </row>
    <row r="24214" spans="32:32" x14ac:dyDescent="0.2">
      <c r="AF24214" s="679"/>
    </row>
    <row r="24215" spans="32:32" x14ac:dyDescent="0.2">
      <c r="AF24215" s="679"/>
    </row>
    <row r="24216" spans="32:32" x14ac:dyDescent="0.2">
      <c r="AF24216" s="679"/>
    </row>
    <row r="24217" spans="32:32" x14ac:dyDescent="0.2">
      <c r="AF24217" s="679"/>
    </row>
    <row r="24218" spans="32:32" x14ac:dyDescent="0.2">
      <c r="AF24218" s="679"/>
    </row>
    <row r="24219" spans="32:32" x14ac:dyDescent="0.2">
      <c r="AF24219" s="679"/>
    </row>
    <row r="24220" spans="32:32" x14ac:dyDescent="0.2">
      <c r="AF24220" s="679"/>
    </row>
    <row r="24221" spans="32:32" x14ac:dyDescent="0.2">
      <c r="AF24221" s="679"/>
    </row>
    <row r="24222" spans="32:32" x14ac:dyDescent="0.2">
      <c r="AF24222" s="679"/>
    </row>
    <row r="24223" spans="32:32" x14ac:dyDescent="0.2">
      <c r="AF24223" s="679"/>
    </row>
    <row r="24224" spans="32:32" x14ac:dyDescent="0.2">
      <c r="AF24224" s="679"/>
    </row>
    <row r="24225" spans="32:32" x14ac:dyDescent="0.2">
      <c r="AF24225" s="679"/>
    </row>
    <row r="24226" spans="32:32" x14ac:dyDescent="0.2">
      <c r="AF24226" s="679"/>
    </row>
    <row r="24227" spans="32:32" x14ac:dyDescent="0.2">
      <c r="AF24227" s="679"/>
    </row>
    <row r="24228" spans="32:32" x14ac:dyDescent="0.2">
      <c r="AF24228" s="679"/>
    </row>
    <row r="24229" spans="32:32" x14ac:dyDescent="0.2">
      <c r="AF24229" s="679"/>
    </row>
    <row r="24230" spans="32:32" x14ac:dyDescent="0.2">
      <c r="AF24230" s="679"/>
    </row>
    <row r="24231" spans="32:32" x14ac:dyDescent="0.2">
      <c r="AF24231" s="679"/>
    </row>
    <row r="24232" spans="32:32" x14ac:dyDescent="0.2">
      <c r="AF24232" s="679"/>
    </row>
    <row r="24233" spans="32:32" x14ac:dyDescent="0.2">
      <c r="AF24233" s="679"/>
    </row>
    <row r="24234" spans="32:32" x14ac:dyDescent="0.2">
      <c r="AF24234" s="679"/>
    </row>
    <row r="24235" spans="32:32" x14ac:dyDescent="0.2">
      <c r="AF24235" s="679"/>
    </row>
    <row r="24236" spans="32:32" x14ac:dyDescent="0.2">
      <c r="AF24236" s="679"/>
    </row>
    <row r="24237" spans="32:32" x14ac:dyDescent="0.2">
      <c r="AF24237" s="679"/>
    </row>
    <row r="24238" spans="32:32" x14ac:dyDescent="0.2">
      <c r="AF24238" s="679"/>
    </row>
    <row r="24239" spans="32:32" x14ac:dyDescent="0.2">
      <c r="AF24239" s="679"/>
    </row>
    <row r="24240" spans="32:32" x14ac:dyDescent="0.2">
      <c r="AF24240" s="679"/>
    </row>
    <row r="24241" spans="32:32" x14ac:dyDescent="0.2">
      <c r="AF24241" s="679"/>
    </row>
    <row r="24242" spans="32:32" x14ac:dyDescent="0.2">
      <c r="AF24242" s="679"/>
    </row>
    <row r="24243" spans="32:32" x14ac:dyDescent="0.2">
      <c r="AF24243" s="679"/>
    </row>
    <row r="24244" spans="32:32" x14ac:dyDescent="0.2">
      <c r="AF24244" s="679"/>
    </row>
    <row r="24245" spans="32:32" x14ac:dyDescent="0.2">
      <c r="AF24245" s="679"/>
    </row>
    <row r="24246" spans="32:32" x14ac:dyDescent="0.2">
      <c r="AF24246" s="679"/>
    </row>
    <row r="24247" spans="32:32" x14ac:dyDescent="0.2">
      <c r="AF24247" s="679"/>
    </row>
    <row r="24248" spans="32:32" x14ac:dyDescent="0.2">
      <c r="AF24248" s="679"/>
    </row>
    <row r="24249" spans="32:32" x14ac:dyDescent="0.2">
      <c r="AF24249" s="679"/>
    </row>
    <row r="24250" spans="32:32" x14ac:dyDescent="0.2">
      <c r="AF24250" s="679"/>
    </row>
    <row r="24251" spans="32:32" x14ac:dyDescent="0.2">
      <c r="AF24251" s="679"/>
    </row>
    <row r="24252" spans="32:32" x14ac:dyDescent="0.2">
      <c r="AF24252" s="679"/>
    </row>
    <row r="24253" spans="32:32" x14ac:dyDescent="0.2">
      <c r="AF24253" s="679"/>
    </row>
    <row r="24254" spans="32:32" x14ac:dyDescent="0.2">
      <c r="AF24254" s="679"/>
    </row>
    <row r="24255" spans="32:32" x14ac:dyDescent="0.2">
      <c r="AF24255" s="679"/>
    </row>
    <row r="24256" spans="32:32" x14ac:dyDescent="0.2">
      <c r="AF24256" s="679"/>
    </row>
    <row r="24257" spans="32:32" x14ac:dyDescent="0.2">
      <c r="AF24257" s="679"/>
    </row>
    <row r="24258" spans="32:32" x14ac:dyDescent="0.2">
      <c r="AF24258" s="679"/>
    </row>
    <row r="24259" spans="32:32" x14ac:dyDescent="0.2">
      <c r="AF24259" s="679"/>
    </row>
    <row r="24260" spans="32:32" x14ac:dyDescent="0.2">
      <c r="AF24260" s="679"/>
    </row>
    <row r="24261" spans="32:32" x14ac:dyDescent="0.2">
      <c r="AF24261" s="679"/>
    </row>
    <row r="24262" spans="32:32" x14ac:dyDescent="0.2">
      <c r="AF24262" s="679"/>
    </row>
    <row r="24263" spans="32:32" x14ac:dyDescent="0.2">
      <c r="AF24263" s="679"/>
    </row>
    <row r="24264" spans="32:32" x14ac:dyDescent="0.2">
      <c r="AF24264" s="679"/>
    </row>
    <row r="24265" spans="32:32" x14ac:dyDescent="0.2">
      <c r="AF24265" s="679"/>
    </row>
    <row r="24266" spans="32:32" x14ac:dyDescent="0.2">
      <c r="AF24266" s="679"/>
    </row>
    <row r="24267" spans="32:32" x14ac:dyDescent="0.2">
      <c r="AF24267" s="679"/>
    </row>
    <row r="24268" spans="32:32" x14ac:dyDescent="0.2">
      <c r="AF24268" s="679"/>
    </row>
    <row r="24269" spans="32:32" x14ac:dyDescent="0.2">
      <c r="AF24269" s="679"/>
    </row>
    <row r="24270" spans="32:32" x14ac:dyDescent="0.2">
      <c r="AF24270" s="679"/>
    </row>
    <row r="24271" spans="32:32" x14ac:dyDescent="0.2">
      <c r="AF24271" s="679"/>
    </row>
    <row r="24272" spans="32:32" x14ac:dyDescent="0.2">
      <c r="AF24272" s="679"/>
    </row>
    <row r="24273" spans="32:32" x14ac:dyDescent="0.2">
      <c r="AF24273" s="679"/>
    </row>
    <row r="24274" spans="32:32" x14ac:dyDescent="0.2">
      <c r="AF24274" s="679"/>
    </row>
    <row r="24275" spans="32:32" x14ac:dyDescent="0.2">
      <c r="AF24275" s="679"/>
    </row>
    <row r="24276" spans="32:32" x14ac:dyDescent="0.2">
      <c r="AF24276" s="679"/>
    </row>
    <row r="24277" spans="32:32" x14ac:dyDescent="0.2">
      <c r="AF24277" s="679"/>
    </row>
    <row r="24278" spans="32:32" x14ac:dyDescent="0.2">
      <c r="AF24278" s="679"/>
    </row>
    <row r="24279" spans="32:32" x14ac:dyDescent="0.2">
      <c r="AF24279" s="679"/>
    </row>
    <row r="24280" spans="32:32" x14ac:dyDescent="0.2">
      <c r="AF24280" s="679"/>
    </row>
    <row r="24281" spans="32:32" x14ac:dyDescent="0.2">
      <c r="AF24281" s="679"/>
    </row>
    <row r="24282" spans="32:32" x14ac:dyDescent="0.2">
      <c r="AF24282" s="679"/>
    </row>
    <row r="24283" spans="32:32" x14ac:dyDescent="0.2">
      <c r="AF24283" s="679"/>
    </row>
    <row r="24284" spans="32:32" x14ac:dyDescent="0.2">
      <c r="AF24284" s="679"/>
    </row>
    <row r="24285" spans="32:32" x14ac:dyDescent="0.2">
      <c r="AF24285" s="679"/>
    </row>
    <row r="24286" spans="32:32" x14ac:dyDescent="0.2">
      <c r="AF24286" s="679"/>
    </row>
    <row r="24287" spans="32:32" x14ac:dyDescent="0.2">
      <c r="AF24287" s="679"/>
    </row>
    <row r="24288" spans="32:32" x14ac:dyDescent="0.2">
      <c r="AF24288" s="679"/>
    </row>
    <row r="24289" spans="32:32" x14ac:dyDescent="0.2">
      <c r="AF24289" s="679"/>
    </row>
    <row r="24290" spans="32:32" x14ac:dyDescent="0.2">
      <c r="AF24290" s="679"/>
    </row>
    <row r="24291" spans="32:32" x14ac:dyDescent="0.2">
      <c r="AF24291" s="679"/>
    </row>
    <row r="24292" spans="32:32" x14ac:dyDescent="0.2">
      <c r="AF24292" s="679"/>
    </row>
    <row r="24293" spans="32:32" x14ac:dyDescent="0.2">
      <c r="AF24293" s="679"/>
    </row>
    <row r="24294" spans="32:32" x14ac:dyDescent="0.2">
      <c r="AF24294" s="679"/>
    </row>
    <row r="24295" spans="32:32" x14ac:dyDescent="0.2">
      <c r="AF24295" s="679"/>
    </row>
    <row r="24296" spans="32:32" x14ac:dyDescent="0.2">
      <c r="AF24296" s="679"/>
    </row>
    <row r="24297" spans="32:32" x14ac:dyDescent="0.2">
      <c r="AF24297" s="679"/>
    </row>
    <row r="24298" spans="32:32" x14ac:dyDescent="0.2">
      <c r="AF24298" s="679"/>
    </row>
    <row r="24299" spans="32:32" x14ac:dyDescent="0.2">
      <c r="AF24299" s="679"/>
    </row>
    <row r="24300" spans="32:32" x14ac:dyDescent="0.2">
      <c r="AF24300" s="679"/>
    </row>
    <row r="24301" spans="32:32" x14ac:dyDescent="0.2">
      <c r="AF24301" s="679"/>
    </row>
    <row r="24302" spans="32:32" x14ac:dyDescent="0.2">
      <c r="AF24302" s="679"/>
    </row>
    <row r="24303" spans="32:32" x14ac:dyDescent="0.2">
      <c r="AF24303" s="679"/>
    </row>
    <row r="24304" spans="32:32" x14ac:dyDescent="0.2">
      <c r="AF24304" s="679"/>
    </row>
    <row r="24305" spans="32:32" x14ac:dyDescent="0.2">
      <c r="AF24305" s="679"/>
    </row>
    <row r="24306" spans="32:32" x14ac:dyDescent="0.2">
      <c r="AF24306" s="679"/>
    </row>
    <row r="24307" spans="32:32" x14ac:dyDescent="0.2">
      <c r="AF24307" s="679"/>
    </row>
    <row r="24308" spans="32:32" x14ac:dyDescent="0.2">
      <c r="AF24308" s="679"/>
    </row>
    <row r="24309" spans="32:32" x14ac:dyDescent="0.2">
      <c r="AF24309" s="679"/>
    </row>
    <row r="24310" spans="32:32" x14ac:dyDescent="0.2">
      <c r="AF24310" s="679"/>
    </row>
    <row r="24311" spans="32:32" x14ac:dyDescent="0.2">
      <c r="AF24311" s="679"/>
    </row>
    <row r="24312" spans="32:32" x14ac:dyDescent="0.2">
      <c r="AF24312" s="679"/>
    </row>
    <row r="24313" spans="32:32" x14ac:dyDescent="0.2">
      <c r="AF24313" s="679"/>
    </row>
    <row r="24314" spans="32:32" x14ac:dyDescent="0.2">
      <c r="AF24314" s="679"/>
    </row>
    <row r="24315" spans="32:32" x14ac:dyDescent="0.2">
      <c r="AF24315" s="679"/>
    </row>
    <row r="24316" spans="32:32" x14ac:dyDescent="0.2">
      <c r="AF24316" s="679"/>
    </row>
    <row r="24317" spans="32:32" x14ac:dyDescent="0.2">
      <c r="AF24317" s="679"/>
    </row>
    <row r="24318" spans="32:32" x14ac:dyDescent="0.2">
      <c r="AF24318" s="679"/>
    </row>
    <row r="24319" spans="32:32" x14ac:dyDescent="0.2">
      <c r="AF24319" s="679"/>
    </row>
    <row r="24320" spans="32:32" x14ac:dyDescent="0.2">
      <c r="AF24320" s="679"/>
    </row>
    <row r="24321" spans="32:32" x14ac:dyDescent="0.2">
      <c r="AF24321" s="679"/>
    </row>
    <row r="24322" spans="32:32" x14ac:dyDescent="0.2">
      <c r="AF24322" s="679"/>
    </row>
    <row r="24323" spans="32:32" x14ac:dyDescent="0.2">
      <c r="AF24323" s="679"/>
    </row>
    <row r="24324" spans="32:32" x14ac:dyDescent="0.2">
      <c r="AF24324" s="679"/>
    </row>
    <row r="24325" spans="32:32" x14ac:dyDescent="0.2">
      <c r="AF24325" s="679"/>
    </row>
    <row r="24326" spans="32:32" x14ac:dyDescent="0.2">
      <c r="AF24326" s="679"/>
    </row>
    <row r="24327" spans="32:32" x14ac:dyDescent="0.2">
      <c r="AF24327" s="679"/>
    </row>
    <row r="24328" spans="32:32" x14ac:dyDescent="0.2">
      <c r="AF24328" s="679"/>
    </row>
    <row r="24329" spans="32:32" x14ac:dyDescent="0.2">
      <c r="AF24329" s="679"/>
    </row>
    <row r="24330" spans="32:32" x14ac:dyDescent="0.2">
      <c r="AF24330" s="679"/>
    </row>
    <row r="24331" spans="32:32" x14ac:dyDescent="0.2">
      <c r="AF24331" s="679"/>
    </row>
    <row r="24332" spans="32:32" x14ac:dyDescent="0.2">
      <c r="AF24332" s="679"/>
    </row>
    <row r="24333" spans="32:32" x14ac:dyDescent="0.2">
      <c r="AF24333" s="679"/>
    </row>
    <row r="24334" spans="32:32" x14ac:dyDescent="0.2">
      <c r="AF24334" s="679"/>
    </row>
    <row r="24335" spans="32:32" x14ac:dyDescent="0.2">
      <c r="AF24335" s="679"/>
    </row>
    <row r="24336" spans="32:32" x14ac:dyDescent="0.2">
      <c r="AF24336" s="679"/>
    </row>
    <row r="24337" spans="32:32" x14ac:dyDescent="0.2">
      <c r="AF24337" s="679"/>
    </row>
    <row r="24338" spans="32:32" x14ac:dyDescent="0.2">
      <c r="AF24338" s="679"/>
    </row>
    <row r="24339" spans="32:32" x14ac:dyDescent="0.2">
      <c r="AF24339" s="679"/>
    </row>
    <row r="24340" spans="32:32" x14ac:dyDescent="0.2">
      <c r="AF24340" s="679"/>
    </row>
    <row r="24341" spans="32:32" x14ac:dyDescent="0.2">
      <c r="AF24341" s="679"/>
    </row>
    <row r="24342" spans="32:32" x14ac:dyDescent="0.2">
      <c r="AF24342" s="679"/>
    </row>
    <row r="24343" spans="32:32" x14ac:dyDescent="0.2">
      <c r="AF24343" s="679"/>
    </row>
    <row r="24344" spans="32:32" x14ac:dyDescent="0.2">
      <c r="AF24344" s="679"/>
    </row>
    <row r="24345" spans="32:32" x14ac:dyDescent="0.2">
      <c r="AF24345" s="679"/>
    </row>
    <row r="24346" spans="32:32" x14ac:dyDescent="0.2">
      <c r="AF24346" s="679"/>
    </row>
    <row r="24347" spans="32:32" x14ac:dyDescent="0.2">
      <c r="AF24347" s="679"/>
    </row>
    <row r="24348" spans="32:32" x14ac:dyDescent="0.2">
      <c r="AF24348" s="679"/>
    </row>
    <row r="24349" spans="32:32" x14ac:dyDescent="0.2">
      <c r="AF24349" s="679"/>
    </row>
    <row r="24350" spans="32:32" x14ac:dyDescent="0.2">
      <c r="AF24350" s="679"/>
    </row>
    <row r="24351" spans="32:32" x14ac:dyDescent="0.2">
      <c r="AF24351" s="679"/>
    </row>
    <row r="24352" spans="32:32" x14ac:dyDescent="0.2">
      <c r="AF24352" s="679"/>
    </row>
    <row r="24353" spans="32:32" x14ac:dyDescent="0.2">
      <c r="AF24353" s="679"/>
    </row>
    <row r="24354" spans="32:32" x14ac:dyDescent="0.2">
      <c r="AF24354" s="679"/>
    </row>
    <row r="24355" spans="32:32" x14ac:dyDescent="0.2">
      <c r="AF24355" s="679"/>
    </row>
    <row r="24356" spans="32:32" x14ac:dyDescent="0.2">
      <c r="AF24356" s="679"/>
    </row>
    <row r="24357" spans="32:32" x14ac:dyDescent="0.2">
      <c r="AF24357" s="679"/>
    </row>
    <row r="24358" spans="32:32" x14ac:dyDescent="0.2">
      <c r="AF24358" s="679"/>
    </row>
    <row r="24359" spans="32:32" x14ac:dyDescent="0.2">
      <c r="AF24359" s="679"/>
    </row>
    <row r="24360" spans="32:32" x14ac:dyDescent="0.2">
      <c r="AF24360" s="679"/>
    </row>
    <row r="24361" spans="32:32" x14ac:dyDescent="0.2">
      <c r="AF24361" s="679"/>
    </row>
    <row r="24362" spans="32:32" x14ac:dyDescent="0.2">
      <c r="AF24362" s="679"/>
    </row>
    <row r="24363" spans="32:32" x14ac:dyDescent="0.2">
      <c r="AF24363" s="679"/>
    </row>
    <row r="24364" spans="32:32" x14ac:dyDescent="0.2">
      <c r="AF24364" s="679"/>
    </row>
    <row r="24365" spans="32:32" x14ac:dyDescent="0.2">
      <c r="AF24365" s="679"/>
    </row>
    <row r="24366" spans="32:32" x14ac:dyDescent="0.2">
      <c r="AF24366" s="679"/>
    </row>
    <row r="24367" spans="32:32" x14ac:dyDescent="0.2">
      <c r="AF24367" s="679"/>
    </row>
    <row r="24368" spans="32:32" x14ac:dyDescent="0.2">
      <c r="AF24368" s="679"/>
    </row>
    <row r="24369" spans="32:32" x14ac:dyDescent="0.2">
      <c r="AF24369" s="679"/>
    </row>
    <row r="24370" spans="32:32" x14ac:dyDescent="0.2">
      <c r="AF24370" s="679"/>
    </row>
    <row r="24371" spans="32:32" x14ac:dyDescent="0.2">
      <c r="AF24371" s="679"/>
    </row>
    <row r="24372" spans="32:32" x14ac:dyDescent="0.2">
      <c r="AF24372" s="679"/>
    </row>
    <row r="24373" spans="32:32" x14ac:dyDescent="0.2">
      <c r="AF24373" s="679"/>
    </row>
    <row r="24374" spans="32:32" x14ac:dyDescent="0.2">
      <c r="AF24374" s="679"/>
    </row>
    <row r="24375" spans="32:32" x14ac:dyDescent="0.2">
      <c r="AF24375" s="679"/>
    </row>
    <row r="24376" spans="32:32" x14ac:dyDescent="0.2">
      <c r="AF24376" s="679"/>
    </row>
    <row r="24377" spans="32:32" x14ac:dyDescent="0.2">
      <c r="AF24377" s="679"/>
    </row>
    <row r="24378" spans="32:32" x14ac:dyDescent="0.2">
      <c r="AF24378" s="679"/>
    </row>
    <row r="24379" spans="32:32" x14ac:dyDescent="0.2">
      <c r="AF24379" s="679"/>
    </row>
    <row r="24380" spans="32:32" x14ac:dyDescent="0.2">
      <c r="AF24380" s="679"/>
    </row>
    <row r="24381" spans="32:32" x14ac:dyDescent="0.2">
      <c r="AF24381" s="679"/>
    </row>
    <row r="24382" spans="32:32" x14ac:dyDescent="0.2">
      <c r="AF24382" s="679"/>
    </row>
    <row r="24383" spans="32:32" x14ac:dyDescent="0.2">
      <c r="AF24383" s="679"/>
    </row>
    <row r="24384" spans="32:32" x14ac:dyDescent="0.2">
      <c r="AF24384" s="679"/>
    </row>
    <row r="24385" spans="32:32" x14ac:dyDescent="0.2">
      <c r="AF24385" s="679"/>
    </row>
    <row r="24386" spans="32:32" x14ac:dyDescent="0.2">
      <c r="AF24386" s="679"/>
    </row>
    <row r="24387" spans="32:32" x14ac:dyDescent="0.2">
      <c r="AF24387" s="679"/>
    </row>
    <row r="24388" spans="32:32" x14ac:dyDescent="0.2">
      <c r="AF24388" s="679"/>
    </row>
    <row r="24389" spans="32:32" x14ac:dyDescent="0.2">
      <c r="AF24389" s="679"/>
    </row>
    <row r="24390" spans="32:32" x14ac:dyDescent="0.2">
      <c r="AF24390" s="679"/>
    </row>
    <row r="24391" spans="32:32" x14ac:dyDescent="0.2">
      <c r="AF24391" s="679"/>
    </row>
    <row r="24392" spans="32:32" x14ac:dyDescent="0.2">
      <c r="AF24392" s="679"/>
    </row>
    <row r="24393" spans="32:32" x14ac:dyDescent="0.2">
      <c r="AF24393" s="679"/>
    </row>
    <row r="24394" spans="32:32" x14ac:dyDescent="0.2">
      <c r="AF24394" s="679"/>
    </row>
    <row r="24395" spans="32:32" x14ac:dyDescent="0.2">
      <c r="AF24395" s="679"/>
    </row>
    <row r="24396" spans="32:32" x14ac:dyDescent="0.2">
      <c r="AF24396" s="679"/>
    </row>
    <row r="24397" spans="32:32" x14ac:dyDescent="0.2">
      <c r="AF24397" s="679"/>
    </row>
    <row r="24398" spans="32:32" x14ac:dyDescent="0.2">
      <c r="AF24398" s="679"/>
    </row>
    <row r="24399" spans="32:32" x14ac:dyDescent="0.2">
      <c r="AF24399" s="679"/>
    </row>
    <row r="24400" spans="32:32" x14ac:dyDescent="0.2">
      <c r="AF24400" s="679"/>
    </row>
    <row r="24401" spans="32:32" x14ac:dyDescent="0.2">
      <c r="AF24401" s="679"/>
    </row>
    <row r="24402" spans="32:32" x14ac:dyDescent="0.2">
      <c r="AF24402" s="679"/>
    </row>
    <row r="24403" spans="32:32" x14ac:dyDescent="0.2">
      <c r="AF24403" s="679"/>
    </row>
    <row r="24404" spans="32:32" x14ac:dyDescent="0.2">
      <c r="AF24404" s="679"/>
    </row>
    <row r="24405" spans="32:32" x14ac:dyDescent="0.2">
      <c r="AF24405" s="679"/>
    </row>
    <row r="24406" spans="32:32" x14ac:dyDescent="0.2">
      <c r="AF24406" s="679"/>
    </row>
    <row r="24407" spans="32:32" x14ac:dyDescent="0.2">
      <c r="AF24407" s="679"/>
    </row>
    <row r="24408" spans="32:32" x14ac:dyDescent="0.2">
      <c r="AF24408" s="679"/>
    </row>
    <row r="24409" spans="32:32" x14ac:dyDescent="0.2">
      <c r="AF24409" s="679"/>
    </row>
    <row r="24410" spans="32:32" x14ac:dyDescent="0.2">
      <c r="AF24410" s="679"/>
    </row>
    <row r="24411" spans="32:32" x14ac:dyDescent="0.2">
      <c r="AF24411" s="679"/>
    </row>
    <row r="24412" spans="32:32" x14ac:dyDescent="0.2">
      <c r="AF24412" s="679"/>
    </row>
    <row r="24413" spans="32:32" x14ac:dyDescent="0.2">
      <c r="AF24413" s="679"/>
    </row>
    <row r="24414" spans="32:32" x14ac:dyDescent="0.2">
      <c r="AF24414" s="679"/>
    </row>
    <row r="24415" spans="32:32" x14ac:dyDescent="0.2">
      <c r="AF24415" s="679"/>
    </row>
    <row r="24416" spans="32:32" x14ac:dyDescent="0.2">
      <c r="AF24416" s="679"/>
    </row>
    <row r="24417" spans="32:32" x14ac:dyDescent="0.2">
      <c r="AF24417" s="679"/>
    </row>
    <row r="24418" spans="32:32" x14ac:dyDescent="0.2">
      <c r="AF24418" s="679"/>
    </row>
    <row r="24419" spans="32:32" x14ac:dyDescent="0.2">
      <c r="AF24419" s="679"/>
    </row>
    <row r="24420" spans="32:32" x14ac:dyDescent="0.2">
      <c r="AF24420" s="679"/>
    </row>
    <row r="24421" spans="32:32" x14ac:dyDescent="0.2">
      <c r="AF24421" s="679"/>
    </row>
    <row r="24422" spans="32:32" x14ac:dyDescent="0.2">
      <c r="AF24422" s="679"/>
    </row>
    <row r="24423" spans="32:32" x14ac:dyDescent="0.2">
      <c r="AF24423" s="679"/>
    </row>
    <row r="24424" spans="32:32" x14ac:dyDescent="0.2">
      <c r="AF24424" s="679"/>
    </row>
    <row r="24425" spans="32:32" x14ac:dyDescent="0.2">
      <c r="AF24425" s="679"/>
    </row>
    <row r="24426" spans="32:32" x14ac:dyDescent="0.2">
      <c r="AF24426" s="679"/>
    </row>
    <row r="24427" spans="32:32" x14ac:dyDescent="0.2">
      <c r="AF24427" s="679"/>
    </row>
    <row r="24428" spans="32:32" x14ac:dyDescent="0.2">
      <c r="AF24428" s="679"/>
    </row>
    <row r="24429" spans="32:32" x14ac:dyDescent="0.2">
      <c r="AF24429" s="679"/>
    </row>
    <row r="24430" spans="32:32" x14ac:dyDescent="0.2">
      <c r="AF24430" s="679"/>
    </row>
    <row r="24431" spans="32:32" x14ac:dyDescent="0.2">
      <c r="AF24431" s="679"/>
    </row>
    <row r="24432" spans="32:32" x14ac:dyDescent="0.2">
      <c r="AF24432" s="679"/>
    </row>
    <row r="24433" spans="32:32" x14ac:dyDescent="0.2">
      <c r="AF24433" s="679"/>
    </row>
    <row r="24434" spans="32:32" x14ac:dyDescent="0.2">
      <c r="AF24434" s="679"/>
    </row>
    <row r="24435" spans="32:32" x14ac:dyDescent="0.2">
      <c r="AF24435" s="679"/>
    </row>
    <row r="24436" spans="32:32" x14ac:dyDescent="0.2">
      <c r="AF24436" s="679"/>
    </row>
    <row r="24437" spans="32:32" x14ac:dyDescent="0.2">
      <c r="AF24437" s="679"/>
    </row>
    <row r="24438" spans="32:32" x14ac:dyDescent="0.2">
      <c r="AF24438" s="679"/>
    </row>
    <row r="24439" spans="32:32" x14ac:dyDescent="0.2">
      <c r="AF24439" s="679"/>
    </row>
    <row r="24440" spans="32:32" x14ac:dyDescent="0.2">
      <c r="AF24440" s="679"/>
    </row>
    <row r="24441" spans="32:32" x14ac:dyDescent="0.2">
      <c r="AF24441" s="679"/>
    </row>
    <row r="24442" spans="32:32" x14ac:dyDescent="0.2">
      <c r="AF24442" s="679"/>
    </row>
    <row r="24443" spans="32:32" x14ac:dyDescent="0.2">
      <c r="AF24443" s="679"/>
    </row>
    <row r="24444" spans="32:32" x14ac:dyDescent="0.2">
      <c r="AF24444" s="679"/>
    </row>
    <row r="24445" spans="32:32" x14ac:dyDescent="0.2">
      <c r="AF24445" s="679"/>
    </row>
    <row r="24446" spans="32:32" x14ac:dyDescent="0.2">
      <c r="AF24446" s="679"/>
    </row>
    <row r="24447" spans="32:32" x14ac:dyDescent="0.2">
      <c r="AF24447" s="679"/>
    </row>
    <row r="24448" spans="32:32" x14ac:dyDescent="0.2">
      <c r="AF24448" s="679"/>
    </row>
    <row r="24449" spans="32:32" x14ac:dyDescent="0.2">
      <c r="AF24449" s="679"/>
    </row>
    <row r="24450" spans="32:32" x14ac:dyDescent="0.2">
      <c r="AF24450" s="679"/>
    </row>
    <row r="24451" spans="32:32" x14ac:dyDescent="0.2">
      <c r="AF24451" s="679"/>
    </row>
    <row r="24452" spans="32:32" x14ac:dyDescent="0.2">
      <c r="AF24452" s="679"/>
    </row>
    <row r="24453" spans="32:32" x14ac:dyDescent="0.2">
      <c r="AF24453" s="679"/>
    </row>
    <row r="24454" spans="32:32" x14ac:dyDescent="0.2">
      <c r="AF24454" s="679"/>
    </row>
    <row r="24455" spans="32:32" x14ac:dyDescent="0.2">
      <c r="AF24455" s="679"/>
    </row>
    <row r="24456" spans="32:32" x14ac:dyDescent="0.2">
      <c r="AF24456" s="679"/>
    </row>
    <row r="24457" spans="32:32" x14ac:dyDescent="0.2">
      <c r="AF24457" s="679"/>
    </row>
    <row r="24458" spans="32:32" x14ac:dyDescent="0.2">
      <c r="AF24458" s="679"/>
    </row>
    <row r="24459" spans="32:32" x14ac:dyDescent="0.2">
      <c r="AF24459" s="679"/>
    </row>
    <row r="24460" spans="32:32" x14ac:dyDescent="0.2">
      <c r="AF24460" s="679"/>
    </row>
    <row r="24461" spans="32:32" x14ac:dyDescent="0.2">
      <c r="AF24461" s="679"/>
    </row>
    <row r="24462" spans="32:32" x14ac:dyDescent="0.2">
      <c r="AF24462" s="679"/>
    </row>
    <row r="24463" spans="32:32" x14ac:dyDescent="0.2">
      <c r="AF24463" s="679"/>
    </row>
    <row r="24464" spans="32:32" x14ac:dyDescent="0.2">
      <c r="AF24464" s="679"/>
    </row>
    <row r="24465" spans="32:32" x14ac:dyDescent="0.2">
      <c r="AF24465" s="679"/>
    </row>
    <row r="24466" spans="32:32" x14ac:dyDescent="0.2">
      <c r="AF24466" s="679"/>
    </row>
    <row r="24467" spans="32:32" x14ac:dyDescent="0.2">
      <c r="AF24467" s="679"/>
    </row>
    <row r="24468" spans="32:32" x14ac:dyDescent="0.2">
      <c r="AF24468" s="679"/>
    </row>
    <row r="24469" spans="32:32" x14ac:dyDescent="0.2">
      <c r="AF24469" s="679"/>
    </row>
    <row r="24470" spans="32:32" x14ac:dyDescent="0.2">
      <c r="AF24470" s="679"/>
    </row>
    <row r="24471" spans="32:32" x14ac:dyDescent="0.2">
      <c r="AF24471" s="679"/>
    </row>
    <row r="24472" spans="32:32" x14ac:dyDescent="0.2">
      <c r="AF24472" s="679"/>
    </row>
    <row r="24473" spans="32:32" x14ac:dyDescent="0.2">
      <c r="AF24473" s="679"/>
    </row>
    <row r="24474" spans="32:32" x14ac:dyDescent="0.2">
      <c r="AF24474" s="679"/>
    </row>
    <row r="24475" spans="32:32" x14ac:dyDescent="0.2">
      <c r="AF24475" s="679"/>
    </row>
    <row r="24476" spans="32:32" x14ac:dyDescent="0.2">
      <c r="AF24476" s="679"/>
    </row>
    <row r="24477" spans="32:32" x14ac:dyDescent="0.2">
      <c r="AF24477" s="679"/>
    </row>
    <row r="24478" spans="32:32" x14ac:dyDescent="0.2">
      <c r="AF24478" s="679"/>
    </row>
    <row r="24479" spans="32:32" x14ac:dyDescent="0.2">
      <c r="AF24479" s="679"/>
    </row>
    <row r="24480" spans="32:32" x14ac:dyDescent="0.2">
      <c r="AF24480" s="679"/>
    </row>
    <row r="24481" spans="32:32" x14ac:dyDescent="0.2">
      <c r="AF24481" s="679"/>
    </row>
    <row r="24482" spans="32:32" x14ac:dyDescent="0.2">
      <c r="AF24482" s="679"/>
    </row>
    <row r="24483" spans="32:32" x14ac:dyDescent="0.2">
      <c r="AF24483" s="679"/>
    </row>
    <row r="24484" spans="32:32" x14ac:dyDescent="0.2">
      <c r="AF24484" s="679"/>
    </row>
    <row r="24485" spans="32:32" x14ac:dyDescent="0.2">
      <c r="AF24485" s="679"/>
    </row>
    <row r="24486" spans="32:32" x14ac:dyDescent="0.2">
      <c r="AF24486" s="679"/>
    </row>
    <row r="24487" spans="32:32" x14ac:dyDescent="0.2">
      <c r="AF24487" s="679"/>
    </row>
    <row r="24488" spans="32:32" x14ac:dyDescent="0.2">
      <c r="AF24488" s="679"/>
    </row>
    <row r="24489" spans="32:32" x14ac:dyDescent="0.2">
      <c r="AF24489" s="679"/>
    </row>
    <row r="24490" spans="32:32" x14ac:dyDescent="0.2">
      <c r="AF24490" s="679"/>
    </row>
    <row r="24491" spans="32:32" x14ac:dyDescent="0.2">
      <c r="AF24491" s="679"/>
    </row>
    <row r="24492" spans="32:32" x14ac:dyDescent="0.2">
      <c r="AF24492" s="679"/>
    </row>
    <row r="24493" spans="32:32" x14ac:dyDescent="0.2">
      <c r="AF24493" s="679"/>
    </row>
    <row r="24494" spans="32:32" x14ac:dyDescent="0.2">
      <c r="AF24494" s="679"/>
    </row>
    <row r="24495" spans="32:32" x14ac:dyDescent="0.2">
      <c r="AF24495" s="679"/>
    </row>
    <row r="24496" spans="32:32" x14ac:dyDescent="0.2">
      <c r="AF24496" s="679"/>
    </row>
    <row r="24497" spans="32:32" x14ac:dyDescent="0.2">
      <c r="AF24497" s="679"/>
    </row>
    <row r="24498" spans="32:32" x14ac:dyDescent="0.2">
      <c r="AF24498" s="679"/>
    </row>
    <row r="24499" spans="32:32" x14ac:dyDescent="0.2">
      <c r="AF24499" s="679"/>
    </row>
    <row r="24500" spans="32:32" x14ac:dyDescent="0.2">
      <c r="AF24500" s="679"/>
    </row>
    <row r="24501" spans="32:32" x14ac:dyDescent="0.2">
      <c r="AF24501" s="679"/>
    </row>
    <row r="24502" spans="32:32" x14ac:dyDescent="0.2">
      <c r="AF24502" s="679"/>
    </row>
    <row r="24503" spans="32:32" x14ac:dyDescent="0.2">
      <c r="AF24503" s="679"/>
    </row>
    <row r="24504" spans="32:32" x14ac:dyDescent="0.2">
      <c r="AF24504" s="679"/>
    </row>
    <row r="24505" spans="32:32" x14ac:dyDescent="0.2">
      <c r="AF24505" s="679"/>
    </row>
    <row r="24506" spans="32:32" x14ac:dyDescent="0.2">
      <c r="AF24506" s="679"/>
    </row>
    <row r="24507" spans="32:32" x14ac:dyDescent="0.2">
      <c r="AF24507" s="679"/>
    </row>
    <row r="24508" spans="32:32" x14ac:dyDescent="0.2">
      <c r="AF24508" s="679"/>
    </row>
    <row r="24509" spans="32:32" x14ac:dyDescent="0.2">
      <c r="AF24509" s="679"/>
    </row>
    <row r="24510" spans="32:32" x14ac:dyDescent="0.2">
      <c r="AF24510" s="679"/>
    </row>
    <row r="24511" spans="32:32" x14ac:dyDescent="0.2">
      <c r="AF24511" s="679"/>
    </row>
    <row r="24512" spans="32:32" x14ac:dyDescent="0.2">
      <c r="AF24512" s="679"/>
    </row>
    <row r="24513" spans="32:32" x14ac:dyDescent="0.2">
      <c r="AF24513" s="679"/>
    </row>
    <row r="24514" spans="32:32" x14ac:dyDescent="0.2">
      <c r="AF24514" s="679"/>
    </row>
    <row r="24515" spans="32:32" x14ac:dyDescent="0.2">
      <c r="AF24515" s="679"/>
    </row>
    <row r="24516" spans="32:32" x14ac:dyDescent="0.2">
      <c r="AF24516" s="679"/>
    </row>
    <row r="24517" spans="32:32" x14ac:dyDescent="0.2">
      <c r="AF24517" s="679"/>
    </row>
    <row r="24518" spans="32:32" x14ac:dyDescent="0.2">
      <c r="AF24518" s="679"/>
    </row>
    <row r="24519" spans="32:32" x14ac:dyDescent="0.2">
      <c r="AF24519" s="679"/>
    </row>
    <row r="24520" spans="32:32" x14ac:dyDescent="0.2">
      <c r="AF24520" s="679"/>
    </row>
    <row r="24521" spans="32:32" x14ac:dyDescent="0.2">
      <c r="AF24521" s="679"/>
    </row>
    <row r="24522" spans="32:32" x14ac:dyDescent="0.2">
      <c r="AF24522" s="679"/>
    </row>
    <row r="24523" spans="32:32" x14ac:dyDescent="0.2">
      <c r="AF24523" s="679"/>
    </row>
    <row r="24524" spans="32:32" x14ac:dyDescent="0.2">
      <c r="AF24524" s="679"/>
    </row>
    <row r="24525" spans="32:32" x14ac:dyDescent="0.2">
      <c r="AF24525" s="679"/>
    </row>
    <row r="24526" spans="32:32" x14ac:dyDescent="0.2">
      <c r="AF24526" s="679"/>
    </row>
    <row r="24527" spans="32:32" x14ac:dyDescent="0.2">
      <c r="AF24527" s="679"/>
    </row>
    <row r="24528" spans="32:32" x14ac:dyDescent="0.2">
      <c r="AF24528" s="679"/>
    </row>
    <row r="24529" spans="32:32" x14ac:dyDescent="0.2">
      <c r="AF24529" s="679"/>
    </row>
    <row r="24530" spans="32:32" x14ac:dyDescent="0.2">
      <c r="AF24530" s="679"/>
    </row>
    <row r="24531" spans="32:32" x14ac:dyDescent="0.2">
      <c r="AF24531" s="679"/>
    </row>
    <row r="24532" spans="32:32" x14ac:dyDescent="0.2">
      <c r="AF24532" s="679"/>
    </row>
    <row r="24533" spans="32:32" x14ac:dyDescent="0.2">
      <c r="AF24533" s="679"/>
    </row>
    <row r="24534" spans="32:32" x14ac:dyDescent="0.2">
      <c r="AF24534" s="679"/>
    </row>
    <row r="24535" spans="32:32" x14ac:dyDescent="0.2">
      <c r="AF24535" s="679"/>
    </row>
    <row r="24536" spans="32:32" x14ac:dyDescent="0.2">
      <c r="AF24536" s="679"/>
    </row>
    <row r="24537" spans="32:32" x14ac:dyDescent="0.2">
      <c r="AF24537" s="679"/>
    </row>
    <row r="24538" spans="32:32" x14ac:dyDescent="0.2">
      <c r="AF24538" s="679"/>
    </row>
    <row r="24539" spans="32:32" x14ac:dyDescent="0.2">
      <c r="AF24539" s="679"/>
    </row>
    <row r="24540" spans="32:32" x14ac:dyDescent="0.2">
      <c r="AF24540" s="679"/>
    </row>
    <row r="24541" spans="32:32" x14ac:dyDescent="0.2">
      <c r="AF24541" s="679"/>
    </row>
    <row r="24542" spans="32:32" x14ac:dyDescent="0.2">
      <c r="AF24542" s="679"/>
    </row>
    <row r="24543" spans="32:32" x14ac:dyDescent="0.2">
      <c r="AF24543" s="679"/>
    </row>
    <row r="24544" spans="32:32" x14ac:dyDescent="0.2">
      <c r="AF24544" s="679"/>
    </row>
    <row r="24545" spans="32:32" x14ac:dyDescent="0.2">
      <c r="AF24545" s="679"/>
    </row>
    <row r="24546" spans="32:32" x14ac:dyDescent="0.2">
      <c r="AF24546" s="679"/>
    </row>
    <row r="24547" spans="32:32" x14ac:dyDescent="0.2">
      <c r="AF24547" s="679"/>
    </row>
    <row r="24548" spans="32:32" x14ac:dyDescent="0.2">
      <c r="AF24548" s="679"/>
    </row>
    <row r="24549" spans="32:32" x14ac:dyDescent="0.2">
      <c r="AF24549" s="679"/>
    </row>
    <row r="24550" spans="32:32" x14ac:dyDescent="0.2">
      <c r="AF24550" s="679"/>
    </row>
    <row r="24551" spans="32:32" x14ac:dyDescent="0.2">
      <c r="AF24551" s="679"/>
    </row>
    <row r="24552" spans="32:32" x14ac:dyDescent="0.2">
      <c r="AF24552" s="679"/>
    </row>
    <row r="24553" spans="32:32" x14ac:dyDescent="0.2">
      <c r="AF24553" s="679"/>
    </row>
    <row r="24554" spans="32:32" x14ac:dyDescent="0.2">
      <c r="AF24554" s="679"/>
    </row>
    <row r="24555" spans="32:32" x14ac:dyDescent="0.2">
      <c r="AF24555" s="679"/>
    </row>
    <row r="24556" spans="32:32" x14ac:dyDescent="0.2">
      <c r="AF24556" s="679"/>
    </row>
    <row r="24557" spans="32:32" x14ac:dyDescent="0.2">
      <c r="AF24557" s="679"/>
    </row>
    <row r="24558" spans="32:32" x14ac:dyDescent="0.2">
      <c r="AF24558" s="679"/>
    </row>
    <row r="24559" spans="32:32" x14ac:dyDescent="0.2">
      <c r="AF24559" s="679"/>
    </row>
    <row r="24560" spans="32:32" x14ac:dyDescent="0.2">
      <c r="AF24560" s="679"/>
    </row>
    <row r="24561" spans="32:32" x14ac:dyDescent="0.2">
      <c r="AF24561" s="679"/>
    </row>
    <row r="24562" spans="32:32" x14ac:dyDescent="0.2">
      <c r="AF24562" s="679"/>
    </row>
    <row r="24563" spans="32:32" x14ac:dyDescent="0.2">
      <c r="AF24563" s="679"/>
    </row>
    <row r="24564" spans="32:32" x14ac:dyDescent="0.2">
      <c r="AF24564" s="679"/>
    </row>
    <row r="24565" spans="32:32" x14ac:dyDescent="0.2">
      <c r="AF24565" s="679"/>
    </row>
    <row r="24566" spans="32:32" x14ac:dyDescent="0.2">
      <c r="AF24566" s="679"/>
    </row>
    <row r="24567" spans="32:32" x14ac:dyDescent="0.2">
      <c r="AF24567" s="679"/>
    </row>
    <row r="24568" spans="32:32" x14ac:dyDescent="0.2">
      <c r="AF24568" s="679"/>
    </row>
    <row r="24569" spans="32:32" x14ac:dyDescent="0.2">
      <c r="AF24569" s="679"/>
    </row>
    <row r="24570" spans="32:32" x14ac:dyDescent="0.2">
      <c r="AF24570" s="679"/>
    </row>
    <row r="24571" spans="32:32" x14ac:dyDescent="0.2">
      <c r="AF24571" s="679"/>
    </row>
    <row r="24572" spans="32:32" x14ac:dyDescent="0.2">
      <c r="AF24572" s="679"/>
    </row>
    <row r="24573" spans="32:32" x14ac:dyDescent="0.2">
      <c r="AF24573" s="679"/>
    </row>
    <row r="24574" spans="32:32" x14ac:dyDescent="0.2">
      <c r="AF24574" s="679"/>
    </row>
    <row r="24575" spans="32:32" x14ac:dyDescent="0.2">
      <c r="AF24575" s="679"/>
    </row>
    <row r="24576" spans="32:32" x14ac:dyDescent="0.2">
      <c r="AF24576" s="679"/>
    </row>
    <row r="24577" spans="32:32" x14ac:dyDescent="0.2">
      <c r="AF24577" s="679"/>
    </row>
    <row r="24578" spans="32:32" x14ac:dyDescent="0.2">
      <c r="AF24578" s="679"/>
    </row>
    <row r="24579" spans="32:32" x14ac:dyDescent="0.2">
      <c r="AF24579" s="679"/>
    </row>
    <row r="24580" spans="32:32" x14ac:dyDescent="0.2">
      <c r="AF24580" s="679"/>
    </row>
    <row r="24581" spans="32:32" x14ac:dyDescent="0.2">
      <c r="AF24581" s="679"/>
    </row>
    <row r="24582" spans="32:32" x14ac:dyDescent="0.2">
      <c r="AF24582" s="679"/>
    </row>
    <row r="24583" spans="32:32" x14ac:dyDescent="0.2">
      <c r="AF24583" s="679"/>
    </row>
    <row r="24584" spans="32:32" x14ac:dyDescent="0.2">
      <c r="AF24584" s="679"/>
    </row>
    <row r="24585" spans="32:32" x14ac:dyDescent="0.2">
      <c r="AF24585" s="679"/>
    </row>
    <row r="24586" spans="32:32" x14ac:dyDescent="0.2">
      <c r="AF24586" s="679"/>
    </row>
    <row r="24587" spans="32:32" x14ac:dyDescent="0.2">
      <c r="AF24587" s="679"/>
    </row>
    <row r="24588" spans="32:32" x14ac:dyDescent="0.2">
      <c r="AF24588" s="679"/>
    </row>
    <row r="24589" spans="32:32" x14ac:dyDescent="0.2">
      <c r="AF24589" s="679"/>
    </row>
    <row r="24590" spans="32:32" x14ac:dyDescent="0.2">
      <c r="AF24590" s="679"/>
    </row>
    <row r="24591" spans="32:32" x14ac:dyDescent="0.2">
      <c r="AF24591" s="679"/>
    </row>
    <row r="24592" spans="32:32" x14ac:dyDescent="0.2">
      <c r="AF24592" s="679"/>
    </row>
    <row r="24593" spans="32:32" x14ac:dyDescent="0.2">
      <c r="AF24593" s="679"/>
    </row>
    <row r="24594" spans="32:32" x14ac:dyDescent="0.2">
      <c r="AF24594" s="679"/>
    </row>
    <row r="24595" spans="32:32" x14ac:dyDescent="0.2">
      <c r="AF24595" s="679"/>
    </row>
    <row r="24596" spans="32:32" x14ac:dyDescent="0.2">
      <c r="AF24596" s="679"/>
    </row>
    <row r="24597" spans="32:32" x14ac:dyDescent="0.2">
      <c r="AF24597" s="679"/>
    </row>
    <row r="24598" spans="32:32" x14ac:dyDescent="0.2">
      <c r="AF24598" s="679"/>
    </row>
    <row r="24599" spans="32:32" x14ac:dyDescent="0.2">
      <c r="AF24599" s="679"/>
    </row>
    <row r="24600" spans="32:32" x14ac:dyDescent="0.2">
      <c r="AF24600" s="679"/>
    </row>
    <row r="24601" spans="32:32" x14ac:dyDescent="0.2">
      <c r="AF24601" s="679"/>
    </row>
    <row r="24602" spans="32:32" x14ac:dyDescent="0.2">
      <c r="AF24602" s="679"/>
    </row>
    <row r="24603" spans="32:32" x14ac:dyDescent="0.2">
      <c r="AF24603" s="679"/>
    </row>
    <row r="24604" spans="32:32" x14ac:dyDescent="0.2">
      <c r="AF24604" s="679"/>
    </row>
    <row r="24605" spans="32:32" x14ac:dyDescent="0.2">
      <c r="AF24605" s="679"/>
    </row>
    <row r="24606" spans="32:32" x14ac:dyDescent="0.2">
      <c r="AF24606" s="679"/>
    </row>
    <row r="24607" spans="32:32" x14ac:dyDescent="0.2">
      <c r="AF24607" s="679"/>
    </row>
    <row r="24608" spans="32:32" x14ac:dyDescent="0.2">
      <c r="AF24608" s="679"/>
    </row>
    <row r="24609" spans="32:32" x14ac:dyDescent="0.2">
      <c r="AF24609" s="679"/>
    </row>
    <row r="24610" spans="32:32" x14ac:dyDescent="0.2">
      <c r="AF24610" s="679"/>
    </row>
    <row r="24611" spans="32:32" x14ac:dyDescent="0.2">
      <c r="AF24611" s="679"/>
    </row>
    <row r="24612" spans="32:32" x14ac:dyDescent="0.2">
      <c r="AF24612" s="679"/>
    </row>
    <row r="24613" spans="32:32" x14ac:dyDescent="0.2">
      <c r="AF24613" s="679"/>
    </row>
    <row r="24614" spans="32:32" x14ac:dyDescent="0.2">
      <c r="AF24614" s="679"/>
    </row>
    <row r="24615" spans="32:32" x14ac:dyDescent="0.2">
      <c r="AF24615" s="679"/>
    </row>
    <row r="24616" spans="32:32" x14ac:dyDescent="0.2">
      <c r="AF24616" s="679"/>
    </row>
    <row r="24617" spans="32:32" x14ac:dyDescent="0.2">
      <c r="AF24617" s="679"/>
    </row>
    <row r="24618" spans="32:32" x14ac:dyDescent="0.2">
      <c r="AF24618" s="679"/>
    </row>
    <row r="24619" spans="32:32" x14ac:dyDescent="0.2">
      <c r="AF24619" s="679"/>
    </row>
    <row r="24620" spans="32:32" x14ac:dyDescent="0.2">
      <c r="AF24620" s="679"/>
    </row>
    <row r="24621" spans="32:32" x14ac:dyDescent="0.2">
      <c r="AF24621" s="679"/>
    </row>
    <row r="24622" spans="32:32" x14ac:dyDescent="0.2">
      <c r="AF24622" s="679"/>
    </row>
    <row r="24623" spans="32:32" x14ac:dyDescent="0.2">
      <c r="AF24623" s="679"/>
    </row>
    <row r="24624" spans="32:32" x14ac:dyDescent="0.2">
      <c r="AF24624" s="679"/>
    </row>
    <row r="24625" spans="32:32" x14ac:dyDescent="0.2">
      <c r="AF24625" s="679"/>
    </row>
    <row r="24626" spans="32:32" x14ac:dyDescent="0.2">
      <c r="AF24626" s="679"/>
    </row>
    <row r="24627" spans="32:32" x14ac:dyDescent="0.2">
      <c r="AF24627" s="679"/>
    </row>
    <row r="24628" spans="32:32" x14ac:dyDescent="0.2">
      <c r="AF24628" s="679"/>
    </row>
    <row r="24629" spans="32:32" x14ac:dyDescent="0.2">
      <c r="AF24629" s="679"/>
    </row>
    <row r="24630" spans="32:32" x14ac:dyDescent="0.2">
      <c r="AF24630" s="679"/>
    </row>
    <row r="24631" spans="32:32" x14ac:dyDescent="0.2">
      <c r="AF24631" s="679"/>
    </row>
    <row r="24632" spans="32:32" x14ac:dyDescent="0.2">
      <c r="AF24632" s="679"/>
    </row>
    <row r="24633" spans="32:32" x14ac:dyDescent="0.2">
      <c r="AF24633" s="679"/>
    </row>
    <row r="24634" spans="32:32" x14ac:dyDescent="0.2">
      <c r="AF24634" s="679"/>
    </row>
    <row r="24635" spans="32:32" x14ac:dyDescent="0.2">
      <c r="AF24635" s="679"/>
    </row>
    <row r="24636" spans="32:32" x14ac:dyDescent="0.2">
      <c r="AF24636" s="679"/>
    </row>
    <row r="24637" spans="32:32" x14ac:dyDescent="0.2">
      <c r="AF24637" s="679"/>
    </row>
    <row r="24638" spans="32:32" x14ac:dyDescent="0.2">
      <c r="AF24638" s="679"/>
    </row>
    <row r="24639" spans="32:32" x14ac:dyDescent="0.2">
      <c r="AF24639" s="679"/>
    </row>
    <row r="24640" spans="32:32" x14ac:dyDescent="0.2">
      <c r="AF24640" s="679"/>
    </row>
    <row r="24641" spans="32:32" x14ac:dyDescent="0.2">
      <c r="AF24641" s="679"/>
    </row>
    <row r="24642" spans="32:32" x14ac:dyDescent="0.2">
      <c r="AF24642" s="679"/>
    </row>
    <row r="24643" spans="32:32" x14ac:dyDescent="0.2">
      <c r="AF24643" s="679"/>
    </row>
    <row r="24644" spans="32:32" x14ac:dyDescent="0.2">
      <c r="AF24644" s="679"/>
    </row>
    <row r="24645" spans="32:32" x14ac:dyDescent="0.2">
      <c r="AF24645" s="679"/>
    </row>
    <row r="24646" spans="32:32" x14ac:dyDescent="0.2">
      <c r="AF24646" s="679"/>
    </row>
    <row r="24647" spans="32:32" x14ac:dyDescent="0.2">
      <c r="AF24647" s="679"/>
    </row>
    <row r="24648" spans="32:32" x14ac:dyDescent="0.2">
      <c r="AF24648" s="679"/>
    </row>
    <row r="24649" spans="32:32" x14ac:dyDescent="0.2">
      <c r="AF24649" s="679"/>
    </row>
    <row r="24650" spans="32:32" x14ac:dyDescent="0.2">
      <c r="AF24650" s="679"/>
    </row>
    <row r="24651" spans="32:32" x14ac:dyDescent="0.2">
      <c r="AF24651" s="679"/>
    </row>
    <row r="24652" spans="32:32" x14ac:dyDescent="0.2">
      <c r="AF24652" s="679"/>
    </row>
    <row r="24653" spans="32:32" x14ac:dyDescent="0.2">
      <c r="AF24653" s="679"/>
    </row>
    <row r="24654" spans="32:32" x14ac:dyDescent="0.2">
      <c r="AF24654" s="679"/>
    </row>
    <row r="24655" spans="32:32" x14ac:dyDescent="0.2">
      <c r="AF24655" s="679"/>
    </row>
    <row r="24656" spans="32:32" x14ac:dyDescent="0.2">
      <c r="AF24656" s="679"/>
    </row>
    <row r="24657" spans="32:32" x14ac:dyDescent="0.2">
      <c r="AF24657" s="679"/>
    </row>
    <row r="24658" spans="32:32" x14ac:dyDescent="0.2">
      <c r="AF24658" s="679"/>
    </row>
    <row r="24659" spans="32:32" x14ac:dyDescent="0.2">
      <c r="AF24659" s="679"/>
    </row>
    <row r="24660" spans="32:32" x14ac:dyDescent="0.2">
      <c r="AF24660" s="679"/>
    </row>
    <row r="24661" spans="32:32" x14ac:dyDescent="0.2">
      <c r="AF24661" s="679"/>
    </row>
    <row r="24662" spans="32:32" x14ac:dyDescent="0.2">
      <c r="AF24662" s="679"/>
    </row>
    <row r="24663" spans="32:32" x14ac:dyDescent="0.2">
      <c r="AF24663" s="679"/>
    </row>
    <row r="24664" spans="32:32" x14ac:dyDescent="0.2">
      <c r="AF24664" s="679"/>
    </row>
    <row r="24665" spans="32:32" x14ac:dyDescent="0.2">
      <c r="AF24665" s="679"/>
    </row>
    <row r="24666" spans="32:32" x14ac:dyDescent="0.2">
      <c r="AF24666" s="679"/>
    </row>
    <row r="24667" spans="32:32" x14ac:dyDescent="0.2">
      <c r="AF24667" s="679"/>
    </row>
    <row r="24668" spans="32:32" x14ac:dyDescent="0.2">
      <c r="AF24668" s="679"/>
    </row>
    <row r="24669" spans="32:32" x14ac:dyDescent="0.2">
      <c r="AF24669" s="679"/>
    </row>
    <row r="24670" spans="32:32" x14ac:dyDescent="0.2">
      <c r="AF24670" s="679"/>
    </row>
    <row r="24671" spans="32:32" x14ac:dyDescent="0.2">
      <c r="AF24671" s="679"/>
    </row>
    <row r="24672" spans="32:32" x14ac:dyDescent="0.2">
      <c r="AF24672" s="679"/>
    </row>
    <row r="24673" spans="32:32" x14ac:dyDescent="0.2">
      <c r="AF24673" s="679"/>
    </row>
    <row r="24674" spans="32:32" x14ac:dyDescent="0.2">
      <c r="AF24674" s="679"/>
    </row>
    <row r="24675" spans="32:32" x14ac:dyDescent="0.2">
      <c r="AF24675" s="679"/>
    </row>
    <row r="24676" spans="32:32" x14ac:dyDescent="0.2">
      <c r="AF24676" s="679"/>
    </row>
    <row r="24677" spans="32:32" x14ac:dyDescent="0.2">
      <c r="AF24677" s="679"/>
    </row>
    <row r="24678" spans="32:32" x14ac:dyDescent="0.2">
      <c r="AF24678" s="679"/>
    </row>
    <row r="24679" spans="32:32" x14ac:dyDescent="0.2">
      <c r="AF24679" s="679"/>
    </row>
    <row r="24680" spans="32:32" x14ac:dyDescent="0.2">
      <c r="AF24680" s="679"/>
    </row>
    <row r="24681" spans="32:32" x14ac:dyDescent="0.2">
      <c r="AF24681" s="679"/>
    </row>
    <row r="24682" spans="32:32" x14ac:dyDescent="0.2">
      <c r="AF24682" s="679"/>
    </row>
    <row r="24683" spans="32:32" x14ac:dyDescent="0.2">
      <c r="AF24683" s="679"/>
    </row>
    <row r="24684" spans="32:32" x14ac:dyDescent="0.2">
      <c r="AF24684" s="679"/>
    </row>
    <row r="24685" spans="32:32" x14ac:dyDescent="0.2">
      <c r="AF24685" s="679"/>
    </row>
    <row r="24686" spans="32:32" x14ac:dyDescent="0.2">
      <c r="AF24686" s="679"/>
    </row>
    <row r="24687" spans="32:32" x14ac:dyDescent="0.2">
      <c r="AF24687" s="679"/>
    </row>
    <row r="24688" spans="32:32" x14ac:dyDescent="0.2">
      <c r="AF24688" s="679"/>
    </row>
    <row r="24689" spans="32:32" x14ac:dyDescent="0.2">
      <c r="AF24689" s="679"/>
    </row>
    <row r="24690" spans="32:32" x14ac:dyDescent="0.2">
      <c r="AF24690" s="679"/>
    </row>
    <row r="24691" spans="32:32" x14ac:dyDescent="0.2">
      <c r="AF24691" s="679"/>
    </row>
    <row r="24692" spans="32:32" x14ac:dyDescent="0.2">
      <c r="AF24692" s="679"/>
    </row>
    <row r="24693" spans="32:32" x14ac:dyDescent="0.2">
      <c r="AF24693" s="679"/>
    </row>
    <row r="24694" spans="32:32" x14ac:dyDescent="0.2">
      <c r="AF24694" s="679"/>
    </row>
    <row r="24695" spans="32:32" x14ac:dyDescent="0.2">
      <c r="AF24695" s="679"/>
    </row>
    <row r="24696" spans="32:32" x14ac:dyDescent="0.2">
      <c r="AF24696" s="679"/>
    </row>
    <row r="24697" spans="32:32" x14ac:dyDescent="0.2">
      <c r="AF24697" s="679"/>
    </row>
    <row r="24698" spans="32:32" x14ac:dyDescent="0.2">
      <c r="AF24698" s="679"/>
    </row>
    <row r="24699" spans="32:32" x14ac:dyDescent="0.2">
      <c r="AF24699" s="679"/>
    </row>
    <row r="24700" spans="32:32" x14ac:dyDescent="0.2">
      <c r="AF24700" s="679"/>
    </row>
    <row r="24701" spans="32:32" x14ac:dyDescent="0.2">
      <c r="AF24701" s="679"/>
    </row>
    <row r="24702" spans="32:32" x14ac:dyDescent="0.2">
      <c r="AF24702" s="679"/>
    </row>
    <row r="24703" spans="32:32" x14ac:dyDescent="0.2">
      <c r="AF24703" s="679"/>
    </row>
    <row r="24704" spans="32:32" x14ac:dyDescent="0.2">
      <c r="AF24704" s="679"/>
    </row>
    <row r="24705" spans="32:32" x14ac:dyDescent="0.2">
      <c r="AF24705" s="679"/>
    </row>
    <row r="24706" spans="32:32" x14ac:dyDescent="0.2">
      <c r="AF24706" s="679"/>
    </row>
    <row r="24707" spans="32:32" x14ac:dyDescent="0.2">
      <c r="AF24707" s="679"/>
    </row>
    <row r="24708" spans="32:32" x14ac:dyDescent="0.2">
      <c r="AF24708" s="679"/>
    </row>
    <row r="24709" spans="32:32" x14ac:dyDescent="0.2">
      <c r="AF24709" s="679"/>
    </row>
    <row r="24710" spans="32:32" x14ac:dyDescent="0.2">
      <c r="AF24710" s="679"/>
    </row>
    <row r="24711" spans="32:32" x14ac:dyDescent="0.2">
      <c r="AF24711" s="679"/>
    </row>
    <row r="24712" spans="32:32" x14ac:dyDescent="0.2">
      <c r="AF24712" s="679"/>
    </row>
    <row r="24713" spans="32:32" x14ac:dyDescent="0.2">
      <c r="AF24713" s="679"/>
    </row>
    <row r="24714" spans="32:32" x14ac:dyDescent="0.2">
      <c r="AF24714" s="679"/>
    </row>
    <row r="24715" spans="32:32" x14ac:dyDescent="0.2">
      <c r="AF24715" s="679"/>
    </row>
    <row r="24716" spans="32:32" x14ac:dyDescent="0.2">
      <c r="AF24716" s="679"/>
    </row>
    <row r="24717" spans="32:32" x14ac:dyDescent="0.2">
      <c r="AF24717" s="679"/>
    </row>
    <row r="24718" spans="32:32" x14ac:dyDescent="0.2">
      <c r="AF24718" s="679"/>
    </row>
    <row r="24719" spans="32:32" x14ac:dyDescent="0.2">
      <c r="AF24719" s="679"/>
    </row>
    <row r="24720" spans="32:32" x14ac:dyDescent="0.2">
      <c r="AF24720" s="679"/>
    </row>
    <row r="24721" spans="32:32" x14ac:dyDescent="0.2">
      <c r="AF24721" s="679"/>
    </row>
    <row r="24722" spans="32:32" x14ac:dyDescent="0.2">
      <c r="AF24722" s="679"/>
    </row>
    <row r="24723" spans="32:32" x14ac:dyDescent="0.2">
      <c r="AF24723" s="679"/>
    </row>
    <row r="24724" spans="32:32" x14ac:dyDescent="0.2">
      <c r="AF24724" s="679"/>
    </row>
    <row r="24725" spans="32:32" x14ac:dyDescent="0.2">
      <c r="AF24725" s="679"/>
    </row>
    <row r="24726" spans="32:32" x14ac:dyDescent="0.2">
      <c r="AF24726" s="679"/>
    </row>
    <row r="24727" spans="32:32" x14ac:dyDescent="0.2">
      <c r="AF24727" s="679"/>
    </row>
    <row r="24728" spans="32:32" x14ac:dyDescent="0.2">
      <c r="AF24728" s="679"/>
    </row>
    <row r="24729" spans="32:32" x14ac:dyDescent="0.2">
      <c r="AF24729" s="679"/>
    </row>
    <row r="24730" spans="32:32" x14ac:dyDescent="0.2">
      <c r="AF24730" s="679"/>
    </row>
    <row r="24731" spans="32:32" x14ac:dyDescent="0.2">
      <c r="AF24731" s="679"/>
    </row>
    <row r="24732" spans="32:32" x14ac:dyDescent="0.2">
      <c r="AF24732" s="679"/>
    </row>
    <row r="24733" spans="32:32" x14ac:dyDescent="0.2">
      <c r="AF24733" s="679"/>
    </row>
    <row r="24734" spans="32:32" x14ac:dyDescent="0.2">
      <c r="AF24734" s="679"/>
    </row>
    <row r="24735" spans="32:32" x14ac:dyDescent="0.2">
      <c r="AF24735" s="679"/>
    </row>
    <row r="24736" spans="32:32" x14ac:dyDescent="0.2">
      <c r="AF24736" s="679"/>
    </row>
    <row r="24737" spans="32:32" x14ac:dyDescent="0.2">
      <c r="AF24737" s="679"/>
    </row>
    <row r="24738" spans="32:32" x14ac:dyDescent="0.2">
      <c r="AF24738" s="679"/>
    </row>
    <row r="24739" spans="32:32" x14ac:dyDescent="0.2">
      <c r="AF24739" s="679"/>
    </row>
    <row r="24740" spans="32:32" x14ac:dyDescent="0.2">
      <c r="AF24740" s="679"/>
    </row>
    <row r="24741" spans="32:32" x14ac:dyDescent="0.2">
      <c r="AF24741" s="679"/>
    </row>
    <row r="24742" spans="32:32" x14ac:dyDescent="0.2">
      <c r="AF24742" s="679"/>
    </row>
    <row r="24743" spans="32:32" x14ac:dyDescent="0.2">
      <c r="AF24743" s="679"/>
    </row>
    <row r="24744" spans="32:32" x14ac:dyDescent="0.2">
      <c r="AF24744" s="679"/>
    </row>
    <row r="24745" spans="32:32" x14ac:dyDescent="0.2">
      <c r="AF24745" s="679"/>
    </row>
    <row r="24746" spans="32:32" x14ac:dyDescent="0.2">
      <c r="AF24746" s="679"/>
    </row>
    <row r="24747" spans="32:32" x14ac:dyDescent="0.2">
      <c r="AF24747" s="679"/>
    </row>
    <row r="24748" spans="32:32" x14ac:dyDescent="0.2">
      <c r="AF24748" s="679"/>
    </row>
    <row r="24749" spans="32:32" x14ac:dyDescent="0.2">
      <c r="AF24749" s="679"/>
    </row>
    <row r="24750" spans="32:32" x14ac:dyDescent="0.2">
      <c r="AF24750" s="679"/>
    </row>
    <row r="24751" spans="32:32" x14ac:dyDescent="0.2">
      <c r="AF24751" s="679"/>
    </row>
    <row r="24752" spans="32:32" x14ac:dyDescent="0.2">
      <c r="AF24752" s="679"/>
    </row>
    <row r="24753" spans="32:32" x14ac:dyDescent="0.2">
      <c r="AF24753" s="679"/>
    </row>
    <row r="24754" spans="32:32" x14ac:dyDescent="0.2">
      <c r="AF24754" s="679"/>
    </row>
    <row r="24755" spans="32:32" x14ac:dyDescent="0.2">
      <c r="AF24755" s="679"/>
    </row>
    <row r="24756" spans="32:32" x14ac:dyDescent="0.2">
      <c r="AF24756" s="679"/>
    </row>
    <row r="24757" spans="32:32" x14ac:dyDescent="0.2">
      <c r="AF24757" s="679"/>
    </row>
    <row r="24758" spans="32:32" x14ac:dyDescent="0.2">
      <c r="AF24758" s="679"/>
    </row>
    <row r="24759" spans="32:32" x14ac:dyDescent="0.2">
      <c r="AF24759" s="679"/>
    </row>
    <row r="24760" spans="32:32" x14ac:dyDescent="0.2">
      <c r="AF24760" s="679"/>
    </row>
    <row r="24761" spans="32:32" x14ac:dyDescent="0.2">
      <c r="AF24761" s="679"/>
    </row>
    <row r="24762" spans="32:32" x14ac:dyDescent="0.2">
      <c r="AF24762" s="679"/>
    </row>
    <row r="24763" spans="32:32" x14ac:dyDescent="0.2">
      <c r="AF24763" s="679"/>
    </row>
    <row r="24764" spans="32:32" x14ac:dyDescent="0.2">
      <c r="AF24764" s="679"/>
    </row>
    <row r="24765" spans="32:32" x14ac:dyDescent="0.2">
      <c r="AF24765" s="679"/>
    </row>
    <row r="24766" spans="32:32" x14ac:dyDescent="0.2">
      <c r="AF24766" s="679"/>
    </row>
    <row r="24767" spans="32:32" x14ac:dyDescent="0.2">
      <c r="AF24767" s="679"/>
    </row>
    <row r="24768" spans="32:32" x14ac:dyDescent="0.2">
      <c r="AF24768" s="679"/>
    </row>
    <row r="24769" spans="32:32" x14ac:dyDescent="0.2">
      <c r="AF24769" s="679"/>
    </row>
    <row r="24770" spans="32:32" x14ac:dyDescent="0.2">
      <c r="AF24770" s="679"/>
    </row>
    <row r="24771" spans="32:32" x14ac:dyDescent="0.2">
      <c r="AF24771" s="679"/>
    </row>
    <row r="24772" spans="32:32" x14ac:dyDescent="0.2">
      <c r="AF24772" s="679"/>
    </row>
    <row r="24773" spans="32:32" x14ac:dyDescent="0.2">
      <c r="AF24773" s="679"/>
    </row>
    <row r="24774" spans="32:32" x14ac:dyDescent="0.2">
      <c r="AF24774" s="679"/>
    </row>
    <row r="24775" spans="32:32" x14ac:dyDescent="0.2">
      <c r="AF24775" s="679"/>
    </row>
    <row r="24776" spans="32:32" x14ac:dyDescent="0.2">
      <c r="AF24776" s="679"/>
    </row>
    <row r="24777" spans="32:32" x14ac:dyDescent="0.2">
      <c r="AF24777" s="679"/>
    </row>
    <row r="24778" spans="32:32" x14ac:dyDescent="0.2">
      <c r="AF24778" s="679"/>
    </row>
    <row r="24779" spans="32:32" x14ac:dyDescent="0.2">
      <c r="AF24779" s="679"/>
    </row>
    <row r="24780" spans="32:32" x14ac:dyDescent="0.2">
      <c r="AF24780" s="679"/>
    </row>
    <row r="24781" spans="32:32" x14ac:dyDescent="0.2">
      <c r="AF24781" s="679"/>
    </row>
    <row r="24782" spans="32:32" x14ac:dyDescent="0.2">
      <c r="AF24782" s="679"/>
    </row>
    <row r="24783" spans="32:32" x14ac:dyDescent="0.2">
      <c r="AF24783" s="679"/>
    </row>
    <row r="24784" spans="32:32" x14ac:dyDescent="0.2">
      <c r="AF24784" s="679"/>
    </row>
    <row r="24785" spans="32:32" x14ac:dyDescent="0.2">
      <c r="AF24785" s="679"/>
    </row>
    <row r="24786" spans="32:32" x14ac:dyDescent="0.2">
      <c r="AF24786" s="679"/>
    </row>
    <row r="24787" spans="32:32" x14ac:dyDescent="0.2">
      <c r="AF24787" s="679"/>
    </row>
    <row r="24788" spans="32:32" x14ac:dyDescent="0.2">
      <c r="AF24788" s="679"/>
    </row>
    <row r="24789" spans="32:32" x14ac:dyDescent="0.2">
      <c r="AF24789" s="679"/>
    </row>
    <row r="24790" spans="32:32" x14ac:dyDescent="0.2">
      <c r="AF24790" s="679"/>
    </row>
    <row r="24791" spans="32:32" x14ac:dyDescent="0.2">
      <c r="AF24791" s="679"/>
    </row>
    <row r="24792" spans="32:32" x14ac:dyDescent="0.2">
      <c r="AF24792" s="679"/>
    </row>
    <row r="24793" spans="32:32" x14ac:dyDescent="0.2">
      <c r="AF24793" s="679"/>
    </row>
    <row r="24794" spans="32:32" x14ac:dyDescent="0.2">
      <c r="AF24794" s="679"/>
    </row>
    <row r="24795" spans="32:32" x14ac:dyDescent="0.2">
      <c r="AF24795" s="679"/>
    </row>
    <row r="24796" spans="32:32" x14ac:dyDescent="0.2">
      <c r="AF24796" s="679"/>
    </row>
    <row r="24797" spans="32:32" x14ac:dyDescent="0.2">
      <c r="AF24797" s="679"/>
    </row>
    <row r="24798" spans="32:32" x14ac:dyDescent="0.2">
      <c r="AF24798" s="679"/>
    </row>
    <row r="24799" spans="32:32" x14ac:dyDescent="0.2">
      <c r="AF24799" s="679"/>
    </row>
    <row r="24800" spans="32:32" x14ac:dyDescent="0.2">
      <c r="AF24800" s="679"/>
    </row>
    <row r="24801" spans="32:32" x14ac:dyDescent="0.2">
      <c r="AF24801" s="679"/>
    </row>
    <row r="24802" spans="32:32" x14ac:dyDescent="0.2">
      <c r="AF24802" s="679"/>
    </row>
    <row r="24803" spans="32:32" x14ac:dyDescent="0.2">
      <c r="AF24803" s="679"/>
    </row>
    <row r="24804" spans="32:32" x14ac:dyDescent="0.2">
      <c r="AF24804" s="679"/>
    </row>
    <row r="24805" spans="32:32" x14ac:dyDescent="0.2">
      <c r="AF24805" s="679"/>
    </row>
    <row r="24806" spans="32:32" x14ac:dyDescent="0.2">
      <c r="AF24806" s="679"/>
    </row>
    <row r="24807" spans="32:32" x14ac:dyDescent="0.2">
      <c r="AF24807" s="679"/>
    </row>
    <row r="24808" spans="32:32" x14ac:dyDescent="0.2">
      <c r="AF24808" s="679"/>
    </row>
    <row r="24809" spans="32:32" x14ac:dyDescent="0.2">
      <c r="AF24809" s="679"/>
    </row>
    <row r="24810" spans="32:32" x14ac:dyDescent="0.2">
      <c r="AF24810" s="679"/>
    </row>
    <row r="24811" spans="32:32" x14ac:dyDescent="0.2">
      <c r="AF24811" s="679"/>
    </row>
    <row r="24812" spans="32:32" x14ac:dyDescent="0.2">
      <c r="AF24812" s="679"/>
    </row>
    <row r="24813" spans="32:32" x14ac:dyDescent="0.2">
      <c r="AF24813" s="679"/>
    </row>
    <row r="24814" spans="32:32" x14ac:dyDescent="0.2">
      <c r="AF24814" s="679"/>
    </row>
    <row r="24815" spans="32:32" x14ac:dyDescent="0.2">
      <c r="AF24815" s="679"/>
    </row>
    <row r="24816" spans="32:32" x14ac:dyDescent="0.2">
      <c r="AF24816" s="679"/>
    </row>
    <row r="24817" spans="32:32" x14ac:dyDescent="0.2">
      <c r="AF24817" s="679"/>
    </row>
    <row r="24818" spans="32:32" x14ac:dyDescent="0.2">
      <c r="AF24818" s="679"/>
    </row>
    <row r="24819" spans="32:32" x14ac:dyDescent="0.2">
      <c r="AF24819" s="679"/>
    </row>
    <row r="24820" spans="32:32" x14ac:dyDescent="0.2">
      <c r="AF24820" s="679"/>
    </row>
    <row r="24821" spans="32:32" x14ac:dyDescent="0.2">
      <c r="AF24821" s="679"/>
    </row>
    <row r="24822" spans="32:32" x14ac:dyDescent="0.2">
      <c r="AF24822" s="679"/>
    </row>
    <row r="24823" spans="32:32" x14ac:dyDescent="0.2">
      <c r="AF24823" s="679"/>
    </row>
    <row r="24824" spans="32:32" x14ac:dyDescent="0.2">
      <c r="AF24824" s="679"/>
    </row>
    <row r="24825" spans="32:32" x14ac:dyDescent="0.2">
      <c r="AF24825" s="679"/>
    </row>
    <row r="24826" spans="32:32" x14ac:dyDescent="0.2">
      <c r="AF24826" s="679"/>
    </row>
    <row r="24827" spans="32:32" x14ac:dyDescent="0.2">
      <c r="AF24827" s="679"/>
    </row>
    <row r="24828" spans="32:32" x14ac:dyDescent="0.2">
      <c r="AF24828" s="679"/>
    </row>
    <row r="24829" spans="32:32" x14ac:dyDescent="0.2">
      <c r="AF24829" s="679"/>
    </row>
    <row r="24830" spans="32:32" x14ac:dyDescent="0.2">
      <c r="AF24830" s="679"/>
    </row>
    <row r="24831" spans="32:32" x14ac:dyDescent="0.2">
      <c r="AF24831" s="679"/>
    </row>
    <row r="24832" spans="32:32" x14ac:dyDescent="0.2">
      <c r="AF24832" s="679"/>
    </row>
    <row r="24833" spans="32:32" x14ac:dyDescent="0.2">
      <c r="AF24833" s="679"/>
    </row>
    <row r="24834" spans="32:32" x14ac:dyDescent="0.2">
      <c r="AF24834" s="679"/>
    </row>
    <row r="24835" spans="32:32" x14ac:dyDescent="0.2">
      <c r="AF24835" s="679"/>
    </row>
    <row r="24836" spans="32:32" x14ac:dyDescent="0.2">
      <c r="AF24836" s="679"/>
    </row>
    <row r="24837" spans="32:32" x14ac:dyDescent="0.2">
      <c r="AF24837" s="679"/>
    </row>
    <row r="24838" spans="32:32" x14ac:dyDescent="0.2">
      <c r="AF24838" s="679"/>
    </row>
    <row r="24839" spans="32:32" x14ac:dyDescent="0.2">
      <c r="AF24839" s="679"/>
    </row>
    <row r="24840" spans="32:32" x14ac:dyDescent="0.2">
      <c r="AF24840" s="679"/>
    </row>
    <row r="24841" spans="32:32" x14ac:dyDescent="0.2">
      <c r="AF24841" s="679"/>
    </row>
    <row r="24842" spans="32:32" x14ac:dyDescent="0.2">
      <c r="AF24842" s="679"/>
    </row>
    <row r="24843" spans="32:32" x14ac:dyDescent="0.2">
      <c r="AF24843" s="679"/>
    </row>
    <row r="24844" spans="32:32" x14ac:dyDescent="0.2">
      <c r="AF24844" s="679"/>
    </row>
    <row r="24845" spans="32:32" x14ac:dyDescent="0.2">
      <c r="AF24845" s="679"/>
    </row>
    <row r="24846" spans="32:32" x14ac:dyDescent="0.2">
      <c r="AF24846" s="679"/>
    </row>
    <row r="24847" spans="32:32" x14ac:dyDescent="0.2">
      <c r="AF24847" s="679"/>
    </row>
    <row r="24848" spans="32:32" x14ac:dyDescent="0.2">
      <c r="AF24848" s="679"/>
    </row>
    <row r="24849" spans="32:32" x14ac:dyDescent="0.2">
      <c r="AF24849" s="679"/>
    </row>
    <row r="24850" spans="32:32" x14ac:dyDescent="0.2">
      <c r="AF24850" s="679"/>
    </row>
    <row r="24851" spans="32:32" x14ac:dyDescent="0.2">
      <c r="AF24851" s="679"/>
    </row>
    <row r="24852" spans="32:32" x14ac:dyDescent="0.2">
      <c r="AF24852" s="679"/>
    </row>
    <row r="24853" spans="32:32" x14ac:dyDescent="0.2">
      <c r="AF24853" s="679"/>
    </row>
    <row r="24854" spans="32:32" x14ac:dyDescent="0.2">
      <c r="AF24854" s="679"/>
    </row>
    <row r="24855" spans="32:32" x14ac:dyDescent="0.2">
      <c r="AF24855" s="679"/>
    </row>
    <row r="24856" spans="32:32" x14ac:dyDescent="0.2">
      <c r="AF24856" s="679"/>
    </row>
    <row r="24857" spans="32:32" x14ac:dyDescent="0.2">
      <c r="AF24857" s="679"/>
    </row>
    <row r="24858" spans="32:32" x14ac:dyDescent="0.2">
      <c r="AF24858" s="679"/>
    </row>
    <row r="24859" spans="32:32" x14ac:dyDescent="0.2">
      <c r="AF24859" s="679"/>
    </row>
    <row r="24860" spans="32:32" x14ac:dyDescent="0.2">
      <c r="AF24860" s="679"/>
    </row>
    <row r="24861" spans="32:32" x14ac:dyDescent="0.2">
      <c r="AF24861" s="679"/>
    </row>
    <row r="24862" spans="32:32" x14ac:dyDescent="0.2">
      <c r="AF24862" s="679"/>
    </row>
    <row r="24863" spans="32:32" x14ac:dyDescent="0.2">
      <c r="AF24863" s="679"/>
    </row>
    <row r="24864" spans="32:32" x14ac:dyDescent="0.2">
      <c r="AF24864" s="679"/>
    </row>
    <row r="24865" spans="32:32" x14ac:dyDescent="0.2">
      <c r="AF24865" s="679"/>
    </row>
    <row r="24866" spans="32:32" x14ac:dyDescent="0.2">
      <c r="AF24866" s="679"/>
    </row>
    <row r="24867" spans="32:32" x14ac:dyDescent="0.2">
      <c r="AF24867" s="679"/>
    </row>
    <row r="24868" spans="32:32" x14ac:dyDescent="0.2">
      <c r="AF24868" s="679"/>
    </row>
    <row r="24869" spans="32:32" x14ac:dyDescent="0.2">
      <c r="AF24869" s="679"/>
    </row>
    <row r="24870" spans="32:32" x14ac:dyDescent="0.2">
      <c r="AF24870" s="679"/>
    </row>
    <row r="24871" spans="32:32" x14ac:dyDescent="0.2">
      <c r="AF24871" s="679"/>
    </row>
    <row r="24872" spans="32:32" x14ac:dyDescent="0.2">
      <c r="AF24872" s="679"/>
    </row>
    <row r="24873" spans="32:32" x14ac:dyDescent="0.2">
      <c r="AF24873" s="679"/>
    </row>
    <row r="24874" spans="32:32" x14ac:dyDescent="0.2">
      <c r="AF24874" s="679"/>
    </row>
    <row r="24875" spans="32:32" x14ac:dyDescent="0.2">
      <c r="AF24875" s="679"/>
    </row>
    <row r="24876" spans="32:32" x14ac:dyDescent="0.2">
      <c r="AF24876" s="679"/>
    </row>
    <row r="24877" spans="32:32" x14ac:dyDescent="0.2">
      <c r="AF24877" s="679"/>
    </row>
    <row r="24878" spans="32:32" x14ac:dyDescent="0.2">
      <c r="AF24878" s="679"/>
    </row>
    <row r="24879" spans="32:32" x14ac:dyDescent="0.2">
      <c r="AF24879" s="679"/>
    </row>
    <row r="24880" spans="32:32" x14ac:dyDescent="0.2">
      <c r="AF24880" s="679"/>
    </row>
    <row r="24881" spans="32:32" x14ac:dyDescent="0.2">
      <c r="AF24881" s="679"/>
    </row>
    <row r="24882" spans="32:32" x14ac:dyDescent="0.2">
      <c r="AF24882" s="679"/>
    </row>
    <row r="24883" spans="32:32" x14ac:dyDescent="0.2">
      <c r="AF24883" s="679"/>
    </row>
    <row r="24884" spans="32:32" x14ac:dyDescent="0.2">
      <c r="AF24884" s="679"/>
    </row>
    <row r="24885" spans="32:32" x14ac:dyDescent="0.2">
      <c r="AF24885" s="679"/>
    </row>
    <row r="24886" spans="32:32" x14ac:dyDescent="0.2">
      <c r="AF24886" s="679"/>
    </row>
    <row r="24887" spans="32:32" x14ac:dyDescent="0.2">
      <c r="AF24887" s="679"/>
    </row>
    <row r="24888" spans="32:32" x14ac:dyDescent="0.2">
      <c r="AF24888" s="679"/>
    </row>
    <row r="24889" spans="32:32" x14ac:dyDescent="0.2">
      <c r="AF24889" s="679"/>
    </row>
    <row r="24890" spans="32:32" x14ac:dyDescent="0.2">
      <c r="AF24890" s="679"/>
    </row>
    <row r="24891" spans="32:32" x14ac:dyDescent="0.2">
      <c r="AF24891" s="679"/>
    </row>
    <row r="24892" spans="32:32" x14ac:dyDescent="0.2">
      <c r="AF24892" s="679"/>
    </row>
    <row r="24893" spans="32:32" x14ac:dyDescent="0.2">
      <c r="AF24893" s="679"/>
    </row>
    <row r="24894" spans="32:32" x14ac:dyDescent="0.2">
      <c r="AF24894" s="679"/>
    </row>
    <row r="24895" spans="32:32" x14ac:dyDescent="0.2">
      <c r="AF24895" s="679"/>
    </row>
    <row r="24896" spans="32:32" x14ac:dyDescent="0.2">
      <c r="AF24896" s="679"/>
    </row>
    <row r="24897" spans="32:32" x14ac:dyDescent="0.2">
      <c r="AF24897" s="679"/>
    </row>
    <row r="24898" spans="32:32" x14ac:dyDescent="0.2">
      <c r="AF24898" s="679"/>
    </row>
    <row r="24899" spans="32:32" x14ac:dyDescent="0.2">
      <c r="AF24899" s="679"/>
    </row>
    <row r="24900" spans="32:32" x14ac:dyDescent="0.2">
      <c r="AF24900" s="679"/>
    </row>
    <row r="24901" spans="32:32" x14ac:dyDescent="0.2">
      <c r="AF24901" s="679"/>
    </row>
    <row r="24902" spans="32:32" x14ac:dyDescent="0.2">
      <c r="AF24902" s="679"/>
    </row>
    <row r="24903" spans="32:32" x14ac:dyDescent="0.2">
      <c r="AF24903" s="679"/>
    </row>
    <row r="24904" spans="32:32" x14ac:dyDescent="0.2">
      <c r="AF24904" s="679"/>
    </row>
    <row r="24905" spans="32:32" x14ac:dyDescent="0.2">
      <c r="AF24905" s="679"/>
    </row>
    <row r="24906" spans="32:32" x14ac:dyDescent="0.2">
      <c r="AF24906" s="679"/>
    </row>
    <row r="24907" spans="32:32" x14ac:dyDescent="0.2">
      <c r="AF24907" s="679"/>
    </row>
    <row r="24908" spans="32:32" x14ac:dyDescent="0.2">
      <c r="AF24908" s="679"/>
    </row>
    <row r="24909" spans="32:32" x14ac:dyDescent="0.2">
      <c r="AF24909" s="679"/>
    </row>
    <row r="24910" spans="32:32" x14ac:dyDescent="0.2">
      <c r="AF24910" s="679"/>
    </row>
    <row r="24911" spans="32:32" x14ac:dyDescent="0.2">
      <c r="AF24911" s="679"/>
    </row>
    <row r="24912" spans="32:32" x14ac:dyDescent="0.2">
      <c r="AF24912" s="679"/>
    </row>
    <row r="24913" spans="32:32" x14ac:dyDescent="0.2">
      <c r="AF24913" s="679"/>
    </row>
    <row r="24914" spans="32:32" x14ac:dyDescent="0.2">
      <c r="AF24914" s="679"/>
    </row>
    <row r="24915" spans="32:32" x14ac:dyDescent="0.2">
      <c r="AF24915" s="679"/>
    </row>
    <row r="24916" spans="32:32" x14ac:dyDescent="0.2">
      <c r="AF24916" s="679"/>
    </row>
    <row r="24917" spans="32:32" x14ac:dyDescent="0.2">
      <c r="AF24917" s="679"/>
    </row>
    <row r="24918" spans="32:32" x14ac:dyDescent="0.2">
      <c r="AF24918" s="679"/>
    </row>
    <row r="24919" spans="32:32" x14ac:dyDescent="0.2">
      <c r="AF24919" s="679"/>
    </row>
    <row r="24920" spans="32:32" x14ac:dyDescent="0.2">
      <c r="AF24920" s="679"/>
    </row>
    <row r="24921" spans="32:32" x14ac:dyDescent="0.2">
      <c r="AF24921" s="679"/>
    </row>
    <row r="24922" spans="32:32" x14ac:dyDescent="0.2">
      <c r="AF24922" s="679"/>
    </row>
    <row r="24923" spans="32:32" x14ac:dyDescent="0.2">
      <c r="AF24923" s="679"/>
    </row>
    <row r="24924" spans="32:32" x14ac:dyDescent="0.2">
      <c r="AF24924" s="679"/>
    </row>
    <row r="24925" spans="32:32" x14ac:dyDescent="0.2">
      <c r="AF24925" s="679"/>
    </row>
    <row r="24926" spans="32:32" x14ac:dyDescent="0.2">
      <c r="AF24926" s="679"/>
    </row>
    <row r="24927" spans="32:32" x14ac:dyDescent="0.2">
      <c r="AF24927" s="679"/>
    </row>
    <row r="24928" spans="32:32" x14ac:dyDescent="0.2">
      <c r="AF24928" s="679"/>
    </row>
    <row r="24929" spans="32:32" x14ac:dyDescent="0.2">
      <c r="AF24929" s="679"/>
    </row>
    <row r="24930" spans="32:32" x14ac:dyDescent="0.2">
      <c r="AF24930" s="679"/>
    </row>
    <row r="24931" spans="32:32" x14ac:dyDescent="0.2">
      <c r="AF24931" s="679"/>
    </row>
    <row r="24932" spans="32:32" x14ac:dyDescent="0.2">
      <c r="AF24932" s="679"/>
    </row>
    <row r="24933" spans="32:32" x14ac:dyDescent="0.2">
      <c r="AF24933" s="679"/>
    </row>
    <row r="24934" spans="32:32" x14ac:dyDescent="0.2">
      <c r="AF24934" s="679"/>
    </row>
    <row r="24935" spans="32:32" x14ac:dyDescent="0.2">
      <c r="AF24935" s="679"/>
    </row>
    <row r="24936" spans="32:32" x14ac:dyDescent="0.2">
      <c r="AF24936" s="679"/>
    </row>
    <row r="24937" spans="32:32" x14ac:dyDescent="0.2">
      <c r="AF24937" s="679"/>
    </row>
    <row r="24938" spans="32:32" x14ac:dyDescent="0.2">
      <c r="AF24938" s="679"/>
    </row>
    <row r="24939" spans="32:32" x14ac:dyDescent="0.2">
      <c r="AF24939" s="679"/>
    </row>
    <row r="24940" spans="32:32" x14ac:dyDescent="0.2">
      <c r="AF24940" s="679"/>
    </row>
    <row r="24941" spans="32:32" x14ac:dyDescent="0.2">
      <c r="AF24941" s="679"/>
    </row>
    <row r="24942" spans="32:32" x14ac:dyDescent="0.2">
      <c r="AF24942" s="679"/>
    </row>
    <row r="24943" spans="32:32" x14ac:dyDescent="0.2">
      <c r="AF24943" s="679"/>
    </row>
    <row r="24944" spans="32:32" x14ac:dyDescent="0.2">
      <c r="AF24944" s="679"/>
    </row>
    <row r="24945" spans="32:32" x14ac:dyDescent="0.2">
      <c r="AF24945" s="679"/>
    </row>
    <row r="24946" spans="32:32" x14ac:dyDescent="0.2">
      <c r="AF24946" s="679"/>
    </row>
    <row r="24947" spans="32:32" x14ac:dyDescent="0.2">
      <c r="AF24947" s="679"/>
    </row>
    <row r="24948" spans="32:32" x14ac:dyDescent="0.2">
      <c r="AF24948" s="679"/>
    </row>
    <row r="24949" spans="32:32" x14ac:dyDescent="0.2">
      <c r="AF24949" s="679"/>
    </row>
    <row r="24950" spans="32:32" x14ac:dyDescent="0.2">
      <c r="AF24950" s="679"/>
    </row>
    <row r="24951" spans="32:32" x14ac:dyDescent="0.2">
      <c r="AF24951" s="679"/>
    </row>
    <row r="24952" spans="32:32" x14ac:dyDescent="0.2">
      <c r="AF24952" s="679"/>
    </row>
    <row r="24953" spans="32:32" x14ac:dyDescent="0.2">
      <c r="AF24953" s="679"/>
    </row>
    <row r="24954" spans="32:32" x14ac:dyDescent="0.2">
      <c r="AF24954" s="679"/>
    </row>
    <row r="24955" spans="32:32" x14ac:dyDescent="0.2">
      <c r="AF24955" s="679"/>
    </row>
    <row r="24956" spans="32:32" x14ac:dyDescent="0.2">
      <c r="AF24956" s="679"/>
    </row>
    <row r="24957" spans="32:32" x14ac:dyDescent="0.2">
      <c r="AF24957" s="679"/>
    </row>
    <row r="24958" spans="32:32" x14ac:dyDescent="0.2">
      <c r="AF24958" s="679"/>
    </row>
    <row r="24959" spans="32:32" x14ac:dyDescent="0.2">
      <c r="AF24959" s="679"/>
    </row>
    <row r="24960" spans="32:32" x14ac:dyDescent="0.2">
      <c r="AF24960" s="679"/>
    </row>
    <row r="24961" spans="32:32" x14ac:dyDescent="0.2">
      <c r="AF24961" s="679"/>
    </row>
    <row r="24962" spans="32:32" x14ac:dyDescent="0.2">
      <c r="AF24962" s="679"/>
    </row>
    <row r="24963" spans="32:32" x14ac:dyDescent="0.2">
      <c r="AF24963" s="679"/>
    </row>
    <row r="24964" spans="32:32" x14ac:dyDescent="0.2">
      <c r="AF24964" s="679"/>
    </row>
    <row r="24965" spans="32:32" x14ac:dyDescent="0.2">
      <c r="AF24965" s="679"/>
    </row>
    <row r="24966" spans="32:32" x14ac:dyDescent="0.2">
      <c r="AF24966" s="679"/>
    </row>
    <row r="24967" spans="32:32" x14ac:dyDescent="0.2">
      <c r="AF24967" s="679"/>
    </row>
    <row r="24968" spans="32:32" x14ac:dyDescent="0.2">
      <c r="AF24968" s="679"/>
    </row>
    <row r="24969" spans="32:32" x14ac:dyDescent="0.2">
      <c r="AF24969" s="679"/>
    </row>
    <row r="24970" spans="32:32" x14ac:dyDescent="0.2">
      <c r="AF24970" s="679"/>
    </row>
    <row r="24971" spans="32:32" x14ac:dyDescent="0.2">
      <c r="AF24971" s="679"/>
    </row>
    <row r="24972" spans="32:32" x14ac:dyDescent="0.2">
      <c r="AF24972" s="679"/>
    </row>
    <row r="24973" spans="32:32" x14ac:dyDescent="0.2">
      <c r="AF24973" s="679"/>
    </row>
    <row r="24974" spans="32:32" x14ac:dyDescent="0.2">
      <c r="AF24974" s="679"/>
    </row>
    <row r="24975" spans="32:32" x14ac:dyDescent="0.2">
      <c r="AF24975" s="679"/>
    </row>
    <row r="24976" spans="32:32" x14ac:dyDescent="0.2">
      <c r="AF24976" s="679"/>
    </row>
    <row r="24977" spans="32:32" x14ac:dyDescent="0.2">
      <c r="AF24977" s="679"/>
    </row>
    <row r="24978" spans="32:32" x14ac:dyDescent="0.2">
      <c r="AF24978" s="679"/>
    </row>
    <row r="24979" spans="32:32" x14ac:dyDescent="0.2">
      <c r="AF24979" s="679"/>
    </row>
    <row r="24980" spans="32:32" x14ac:dyDescent="0.2">
      <c r="AF24980" s="679"/>
    </row>
    <row r="24981" spans="32:32" x14ac:dyDescent="0.2">
      <c r="AF24981" s="679"/>
    </row>
    <row r="24982" spans="32:32" x14ac:dyDescent="0.2">
      <c r="AF24982" s="679"/>
    </row>
    <row r="24983" spans="32:32" x14ac:dyDescent="0.2">
      <c r="AF24983" s="679"/>
    </row>
    <row r="24984" spans="32:32" x14ac:dyDescent="0.2">
      <c r="AF24984" s="679"/>
    </row>
    <row r="24985" spans="32:32" x14ac:dyDescent="0.2">
      <c r="AF24985" s="679"/>
    </row>
    <row r="24986" spans="32:32" x14ac:dyDescent="0.2">
      <c r="AF24986" s="679"/>
    </row>
    <row r="24987" spans="32:32" x14ac:dyDescent="0.2">
      <c r="AF24987" s="679"/>
    </row>
    <row r="24988" spans="32:32" x14ac:dyDescent="0.2">
      <c r="AF24988" s="679"/>
    </row>
    <row r="24989" spans="32:32" x14ac:dyDescent="0.2">
      <c r="AF24989" s="679"/>
    </row>
    <row r="24990" spans="32:32" x14ac:dyDescent="0.2">
      <c r="AF24990" s="679"/>
    </row>
    <row r="24991" spans="32:32" x14ac:dyDescent="0.2">
      <c r="AF24991" s="679"/>
    </row>
    <row r="24992" spans="32:32" x14ac:dyDescent="0.2">
      <c r="AF24992" s="679"/>
    </row>
    <row r="24993" spans="32:32" x14ac:dyDescent="0.2">
      <c r="AF24993" s="679"/>
    </row>
    <row r="24994" spans="32:32" x14ac:dyDescent="0.2">
      <c r="AF24994" s="679"/>
    </row>
    <row r="24995" spans="32:32" x14ac:dyDescent="0.2">
      <c r="AF24995" s="679"/>
    </row>
    <row r="24996" spans="32:32" x14ac:dyDescent="0.2">
      <c r="AF24996" s="679"/>
    </row>
    <row r="24997" spans="32:32" x14ac:dyDescent="0.2">
      <c r="AF24997" s="679"/>
    </row>
    <row r="24998" spans="32:32" x14ac:dyDescent="0.2">
      <c r="AF24998" s="679"/>
    </row>
    <row r="24999" spans="32:32" x14ac:dyDescent="0.2">
      <c r="AF24999" s="679"/>
    </row>
    <row r="25000" spans="32:32" x14ac:dyDescent="0.2">
      <c r="AF25000" s="679"/>
    </row>
    <row r="25001" spans="32:32" x14ac:dyDescent="0.2">
      <c r="AF25001" s="679"/>
    </row>
    <row r="25002" spans="32:32" x14ac:dyDescent="0.2">
      <c r="AF25002" s="679"/>
    </row>
    <row r="25003" spans="32:32" x14ac:dyDescent="0.2">
      <c r="AF25003" s="679"/>
    </row>
    <row r="25004" spans="32:32" x14ac:dyDescent="0.2">
      <c r="AF25004" s="679"/>
    </row>
    <row r="25005" spans="32:32" x14ac:dyDescent="0.2">
      <c r="AF25005" s="679"/>
    </row>
    <row r="25006" spans="32:32" x14ac:dyDescent="0.2">
      <c r="AF25006" s="679"/>
    </row>
    <row r="25007" spans="32:32" x14ac:dyDescent="0.2">
      <c r="AF25007" s="679"/>
    </row>
    <row r="25008" spans="32:32" x14ac:dyDescent="0.2">
      <c r="AF25008" s="679"/>
    </row>
    <row r="25009" spans="32:32" x14ac:dyDescent="0.2">
      <c r="AF25009" s="679"/>
    </row>
    <row r="25010" spans="32:32" x14ac:dyDescent="0.2">
      <c r="AF25010" s="679"/>
    </row>
    <row r="25011" spans="32:32" x14ac:dyDescent="0.2">
      <c r="AF25011" s="679"/>
    </row>
    <row r="25012" spans="32:32" x14ac:dyDescent="0.2">
      <c r="AF25012" s="679"/>
    </row>
    <row r="25013" spans="32:32" x14ac:dyDescent="0.2">
      <c r="AF25013" s="679"/>
    </row>
    <row r="25014" spans="32:32" x14ac:dyDescent="0.2">
      <c r="AF25014" s="679"/>
    </row>
    <row r="25015" spans="32:32" x14ac:dyDescent="0.2">
      <c r="AF25015" s="679"/>
    </row>
    <row r="25016" spans="32:32" x14ac:dyDescent="0.2">
      <c r="AF25016" s="679"/>
    </row>
    <row r="25017" spans="32:32" x14ac:dyDescent="0.2">
      <c r="AF25017" s="679"/>
    </row>
    <row r="25018" spans="32:32" x14ac:dyDescent="0.2">
      <c r="AF25018" s="679"/>
    </row>
    <row r="25019" spans="32:32" x14ac:dyDescent="0.2">
      <c r="AF25019" s="679"/>
    </row>
    <row r="25020" spans="32:32" x14ac:dyDescent="0.2">
      <c r="AF25020" s="679"/>
    </row>
    <row r="25021" spans="32:32" x14ac:dyDescent="0.2">
      <c r="AF25021" s="679"/>
    </row>
    <row r="25022" spans="32:32" x14ac:dyDescent="0.2">
      <c r="AF25022" s="679"/>
    </row>
    <row r="25023" spans="32:32" x14ac:dyDescent="0.2">
      <c r="AF25023" s="679"/>
    </row>
    <row r="25024" spans="32:32" x14ac:dyDescent="0.2">
      <c r="AF25024" s="679"/>
    </row>
    <row r="25025" spans="32:32" x14ac:dyDescent="0.2">
      <c r="AF25025" s="679"/>
    </row>
    <row r="25026" spans="32:32" x14ac:dyDescent="0.2">
      <c r="AF25026" s="679"/>
    </row>
    <row r="25027" spans="32:32" x14ac:dyDescent="0.2">
      <c r="AF25027" s="679"/>
    </row>
    <row r="25028" spans="32:32" x14ac:dyDescent="0.2">
      <c r="AF25028" s="679"/>
    </row>
    <row r="25029" spans="32:32" x14ac:dyDescent="0.2">
      <c r="AF25029" s="679"/>
    </row>
    <row r="25030" spans="32:32" x14ac:dyDescent="0.2">
      <c r="AF25030" s="679"/>
    </row>
    <row r="25031" spans="32:32" x14ac:dyDescent="0.2">
      <c r="AF25031" s="679"/>
    </row>
    <row r="25032" spans="32:32" x14ac:dyDescent="0.2">
      <c r="AF25032" s="679"/>
    </row>
    <row r="25033" spans="32:32" x14ac:dyDescent="0.2">
      <c r="AF25033" s="679"/>
    </row>
    <row r="25034" spans="32:32" x14ac:dyDescent="0.2">
      <c r="AF25034" s="679"/>
    </row>
    <row r="25035" spans="32:32" x14ac:dyDescent="0.2">
      <c r="AF25035" s="679"/>
    </row>
    <row r="25036" spans="32:32" x14ac:dyDescent="0.2">
      <c r="AF25036" s="679"/>
    </row>
    <row r="25037" spans="32:32" x14ac:dyDescent="0.2">
      <c r="AF25037" s="679"/>
    </row>
    <row r="25038" spans="32:32" x14ac:dyDescent="0.2">
      <c r="AF25038" s="679"/>
    </row>
    <row r="25039" spans="32:32" x14ac:dyDescent="0.2">
      <c r="AF25039" s="679"/>
    </row>
    <row r="25040" spans="32:32" x14ac:dyDescent="0.2">
      <c r="AF25040" s="679"/>
    </row>
    <row r="25041" spans="32:32" x14ac:dyDescent="0.2">
      <c r="AF25041" s="679"/>
    </row>
    <row r="25042" spans="32:32" x14ac:dyDescent="0.2">
      <c r="AF25042" s="679"/>
    </row>
    <row r="25043" spans="32:32" x14ac:dyDescent="0.2">
      <c r="AF25043" s="679"/>
    </row>
    <row r="25044" spans="32:32" x14ac:dyDescent="0.2">
      <c r="AF25044" s="679"/>
    </row>
    <row r="25045" spans="32:32" x14ac:dyDescent="0.2">
      <c r="AF25045" s="679"/>
    </row>
    <row r="25046" spans="32:32" x14ac:dyDescent="0.2">
      <c r="AF25046" s="679"/>
    </row>
    <row r="25047" spans="32:32" x14ac:dyDescent="0.2">
      <c r="AF25047" s="679"/>
    </row>
    <row r="25048" spans="32:32" x14ac:dyDescent="0.2">
      <c r="AF25048" s="679"/>
    </row>
    <row r="25049" spans="32:32" x14ac:dyDescent="0.2">
      <c r="AF25049" s="679"/>
    </row>
    <row r="25050" spans="32:32" x14ac:dyDescent="0.2">
      <c r="AF25050" s="679"/>
    </row>
    <row r="25051" spans="32:32" x14ac:dyDescent="0.2">
      <c r="AF25051" s="679"/>
    </row>
    <row r="25052" spans="32:32" x14ac:dyDescent="0.2">
      <c r="AF25052" s="679"/>
    </row>
    <row r="25053" spans="32:32" x14ac:dyDescent="0.2">
      <c r="AF25053" s="679"/>
    </row>
    <row r="25054" spans="32:32" x14ac:dyDescent="0.2">
      <c r="AF25054" s="679"/>
    </row>
    <row r="25055" spans="32:32" x14ac:dyDescent="0.2">
      <c r="AF25055" s="679"/>
    </row>
    <row r="25056" spans="32:32" x14ac:dyDescent="0.2">
      <c r="AF25056" s="679"/>
    </row>
    <row r="25057" spans="32:32" x14ac:dyDescent="0.2">
      <c r="AF25057" s="679"/>
    </row>
    <row r="25058" spans="32:32" x14ac:dyDescent="0.2">
      <c r="AF25058" s="679"/>
    </row>
    <row r="25059" spans="32:32" x14ac:dyDescent="0.2">
      <c r="AF25059" s="679"/>
    </row>
    <row r="25060" spans="32:32" x14ac:dyDescent="0.2">
      <c r="AF25060" s="679"/>
    </row>
    <row r="25061" spans="32:32" x14ac:dyDescent="0.2">
      <c r="AF25061" s="679"/>
    </row>
    <row r="25062" spans="32:32" x14ac:dyDescent="0.2">
      <c r="AF25062" s="679"/>
    </row>
    <row r="25063" spans="32:32" x14ac:dyDescent="0.2">
      <c r="AF25063" s="679"/>
    </row>
    <row r="25064" spans="32:32" x14ac:dyDescent="0.2">
      <c r="AF25064" s="679"/>
    </row>
    <row r="25065" spans="32:32" x14ac:dyDescent="0.2">
      <c r="AF25065" s="679"/>
    </row>
    <row r="25066" spans="32:32" x14ac:dyDescent="0.2">
      <c r="AF25066" s="679"/>
    </row>
    <row r="25067" spans="32:32" x14ac:dyDescent="0.2">
      <c r="AF25067" s="679"/>
    </row>
    <row r="25068" spans="32:32" x14ac:dyDescent="0.2">
      <c r="AF25068" s="679"/>
    </row>
    <row r="25069" spans="32:32" x14ac:dyDescent="0.2">
      <c r="AF25069" s="679"/>
    </row>
    <row r="25070" spans="32:32" x14ac:dyDescent="0.2">
      <c r="AF25070" s="679"/>
    </row>
    <row r="25071" spans="32:32" x14ac:dyDescent="0.2">
      <c r="AF25071" s="679"/>
    </row>
    <row r="25072" spans="32:32" x14ac:dyDescent="0.2">
      <c r="AF25072" s="679"/>
    </row>
    <row r="25073" spans="32:32" x14ac:dyDescent="0.2">
      <c r="AF25073" s="679"/>
    </row>
    <row r="25074" spans="32:32" x14ac:dyDescent="0.2">
      <c r="AF25074" s="679"/>
    </row>
    <row r="25075" spans="32:32" x14ac:dyDescent="0.2">
      <c r="AF25075" s="679"/>
    </row>
    <row r="25076" spans="32:32" x14ac:dyDescent="0.2">
      <c r="AF25076" s="679"/>
    </row>
    <row r="25077" spans="32:32" x14ac:dyDescent="0.2">
      <c r="AF25077" s="679"/>
    </row>
    <row r="25078" spans="32:32" x14ac:dyDescent="0.2">
      <c r="AF25078" s="679"/>
    </row>
    <row r="25079" spans="32:32" x14ac:dyDescent="0.2">
      <c r="AF25079" s="679"/>
    </row>
    <row r="25080" spans="32:32" x14ac:dyDescent="0.2">
      <c r="AF25080" s="679"/>
    </row>
    <row r="25081" spans="32:32" x14ac:dyDescent="0.2">
      <c r="AF25081" s="679"/>
    </row>
    <row r="25082" spans="32:32" x14ac:dyDescent="0.2">
      <c r="AF25082" s="679"/>
    </row>
    <row r="25083" spans="32:32" x14ac:dyDescent="0.2">
      <c r="AF25083" s="679"/>
    </row>
    <row r="25084" spans="32:32" x14ac:dyDescent="0.2">
      <c r="AF25084" s="679"/>
    </row>
    <row r="25085" spans="32:32" x14ac:dyDescent="0.2">
      <c r="AF25085" s="679"/>
    </row>
    <row r="25086" spans="32:32" x14ac:dyDescent="0.2">
      <c r="AF25086" s="679"/>
    </row>
    <row r="25087" spans="32:32" x14ac:dyDescent="0.2">
      <c r="AF25087" s="679"/>
    </row>
    <row r="25088" spans="32:32" x14ac:dyDescent="0.2">
      <c r="AF25088" s="679"/>
    </row>
    <row r="25089" spans="32:32" x14ac:dyDescent="0.2">
      <c r="AF25089" s="679"/>
    </row>
    <row r="25090" spans="32:32" x14ac:dyDescent="0.2">
      <c r="AF25090" s="679"/>
    </row>
    <row r="25091" spans="32:32" x14ac:dyDescent="0.2">
      <c r="AF25091" s="679"/>
    </row>
    <row r="25092" spans="32:32" x14ac:dyDescent="0.2">
      <c r="AF25092" s="679"/>
    </row>
    <row r="25093" spans="32:32" x14ac:dyDescent="0.2">
      <c r="AF25093" s="679"/>
    </row>
    <row r="25094" spans="32:32" x14ac:dyDescent="0.2">
      <c r="AF25094" s="679"/>
    </row>
    <row r="25095" spans="32:32" x14ac:dyDescent="0.2">
      <c r="AF25095" s="679"/>
    </row>
    <row r="25096" spans="32:32" x14ac:dyDescent="0.2">
      <c r="AF25096" s="679"/>
    </row>
    <row r="25097" spans="32:32" x14ac:dyDescent="0.2">
      <c r="AF25097" s="679"/>
    </row>
    <row r="25098" spans="32:32" x14ac:dyDescent="0.2">
      <c r="AF25098" s="679"/>
    </row>
    <row r="25099" spans="32:32" x14ac:dyDescent="0.2">
      <c r="AF25099" s="679"/>
    </row>
    <row r="25100" spans="32:32" x14ac:dyDescent="0.2">
      <c r="AF25100" s="679"/>
    </row>
    <row r="25101" spans="32:32" x14ac:dyDescent="0.2">
      <c r="AF25101" s="679"/>
    </row>
    <row r="25102" spans="32:32" x14ac:dyDescent="0.2">
      <c r="AF25102" s="679"/>
    </row>
    <row r="25103" spans="32:32" x14ac:dyDescent="0.2">
      <c r="AF25103" s="679"/>
    </row>
    <row r="25104" spans="32:32" x14ac:dyDescent="0.2">
      <c r="AF25104" s="679"/>
    </row>
    <row r="25105" spans="32:32" x14ac:dyDescent="0.2">
      <c r="AF25105" s="679"/>
    </row>
    <row r="25106" spans="32:32" x14ac:dyDescent="0.2">
      <c r="AF25106" s="679"/>
    </row>
    <row r="25107" spans="32:32" x14ac:dyDescent="0.2">
      <c r="AF25107" s="679"/>
    </row>
    <row r="25108" spans="32:32" x14ac:dyDescent="0.2">
      <c r="AF25108" s="679"/>
    </row>
    <row r="25109" spans="32:32" x14ac:dyDescent="0.2">
      <c r="AF25109" s="679"/>
    </row>
    <row r="25110" spans="32:32" x14ac:dyDescent="0.2">
      <c r="AF25110" s="679"/>
    </row>
    <row r="25111" spans="32:32" x14ac:dyDescent="0.2">
      <c r="AF25111" s="679"/>
    </row>
    <row r="25112" spans="32:32" x14ac:dyDescent="0.2">
      <c r="AF25112" s="679"/>
    </row>
    <row r="25113" spans="32:32" x14ac:dyDescent="0.2">
      <c r="AF25113" s="679"/>
    </row>
    <row r="25114" spans="32:32" x14ac:dyDescent="0.2">
      <c r="AF25114" s="679"/>
    </row>
    <row r="25115" spans="32:32" x14ac:dyDescent="0.2">
      <c r="AF25115" s="679"/>
    </row>
    <row r="25116" spans="32:32" x14ac:dyDescent="0.2">
      <c r="AF25116" s="679"/>
    </row>
    <row r="25117" spans="32:32" x14ac:dyDescent="0.2">
      <c r="AF25117" s="679"/>
    </row>
    <row r="25118" spans="32:32" x14ac:dyDescent="0.2">
      <c r="AF25118" s="679"/>
    </row>
    <row r="25119" spans="32:32" x14ac:dyDescent="0.2">
      <c r="AF25119" s="679"/>
    </row>
    <row r="25120" spans="32:32" x14ac:dyDescent="0.2">
      <c r="AF25120" s="679"/>
    </row>
    <row r="25121" spans="32:32" x14ac:dyDescent="0.2">
      <c r="AF25121" s="679"/>
    </row>
    <row r="25122" spans="32:32" x14ac:dyDescent="0.2">
      <c r="AF25122" s="679"/>
    </row>
    <row r="25123" spans="32:32" x14ac:dyDescent="0.2">
      <c r="AF25123" s="679"/>
    </row>
    <row r="25124" spans="32:32" x14ac:dyDescent="0.2">
      <c r="AF25124" s="679"/>
    </row>
    <row r="25125" spans="32:32" x14ac:dyDescent="0.2">
      <c r="AF25125" s="679"/>
    </row>
    <row r="25126" spans="32:32" x14ac:dyDescent="0.2">
      <c r="AF25126" s="679"/>
    </row>
    <row r="25127" spans="32:32" x14ac:dyDescent="0.2">
      <c r="AF25127" s="679"/>
    </row>
    <row r="25128" spans="32:32" x14ac:dyDescent="0.2">
      <c r="AF25128" s="679"/>
    </row>
    <row r="25129" spans="32:32" x14ac:dyDescent="0.2">
      <c r="AF25129" s="679"/>
    </row>
    <row r="25130" spans="32:32" x14ac:dyDescent="0.2">
      <c r="AF25130" s="679"/>
    </row>
    <row r="25131" spans="32:32" x14ac:dyDescent="0.2">
      <c r="AF25131" s="679"/>
    </row>
    <row r="25132" spans="32:32" x14ac:dyDescent="0.2">
      <c r="AF25132" s="679"/>
    </row>
    <row r="25133" spans="32:32" x14ac:dyDescent="0.2">
      <c r="AF25133" s="679"/>
    </row>
    <row r="25134" spans="32:32" x14ac:dyDescent="0.2">
      <c r="AF25134" s="679"/>
    </row>
    <row r="25135" spans="32:32" x14ac:dyDescent="0.2">
      <c r="AF25135" s="679"/>
    </row>
    <row r="25136" spans="32:32" x14ac:dyDescent="0.2">
      <c r="AF25136" s="679"/>
    </row>
    <row r="25137" spans="32:32" x14ac:dyDescent="0.2">
      <c r="AF25137" s="679"/>
    </row>
    <row r="25138" spans="32:32" x14ac:dyDescent="0.2">
      <c r="AF25138" s="679"/>
    </row>
    <row r="25139" spans="32:32" x14ac:dyDescent="0.2">
      <c r="AF25139" s="679"/>
    </row>
    <row r="25140" spans="32:32" x14ac:dyDescent="0.2">
      <c r="AF25140" s="679"/>
    </row>
    <row r="25141" spans="32:32" x14ac:dyDescent="0.2">
      <c r="AF25141" s="679"/>
    </row>
    <row r="25142" spans="32:32" x14ac:dyDescent="0.2">
      <c r="AF25142" s="679"/>
    </row>
    <row r="25143" spans="32:32" x14ac:dyDescent="0.2">
      <c r="AF25143" s="679"/>
    </row>
    <row r="25144" spans="32:32" x14ac:dyDescent="0.2">
      <c r="AF25144" s="679"/>
    </row>
    <row r="25145" spans="32:32" x14ac:dyDescent="0.2">
      <c r="AF25145" s="679"/>
    </row>
    <row r="25146" spans="32:32" x14ac:dyDescent="0.2">
      <c r="AF25146" s="679"/>
    </row>
    <row r="25147" spans="32:32" x14ac:dyDescent="0.2">
      <c r="AF25147" s="679"/>
    </row>
    <row r="25148" spans="32:32" x14ac:dyDescent="0.2">
      <c r="AF25148" s="679"/>
    </row>
    <row r="25149" spans="32:32" x14ac:dyDescent="0.2">
      <c r="AF25149" s="679"/>
    </row>
    <row r="25150" spans="32:32" x14ac:dyDescent="0.2">
      <c r="AF25150" s="679"/>
    </row>
    <row r="25151" spans="32:32" x14ac:dyDescent="0.2">
      <c r="AF25151" s="679"/>
    </row>
    <row r="25152" spans="32:32" x14ac:dyDescent="0.2">
      <c r="AF25152" s="679"/>
    </row>
    <row r="25153" spans="32:32" x14ac:dyDescent="0.2">
      <c r="AF25153" s="679"/>
    </row>
    <row r="25154" spans="32:32" x14ac:dyDescent="0.2">
      <c r="AF25154" s="679"/>
    </row>
    <row r="25155" spans="32:32" x14ac:dyDescent="0.2">
      <c r="AF25155" s="679"/>
    </row>
    <row r="25156" spans="32:32" x14ac:dyDescent="0.2">
      <c r="AF25156" s="679"/>
    </row>
    <row r="25157" spans="32:32" x14ac:dyDescent="0.2">
      <c r="AF25157" s="679"/>
    </row>
    <row r="25158" spans="32:32" x14ac:dyDescent="0.2">
      <c r="AF25158" s="679"/>
    </row>
    <row r="25159" spans="32:32" x14ac:dyDescent="0.2">
      <c r="AF25159" s="679"/>
    </row>
    <row r="25160" spans="32:32" x14ac:dyDescent="0.2">
      <c r="AF25160" s="679"/>
    </row>
    <row r="25161" spans="32:32" x14ac:dyDescent="0.2">
      <c r="AF25161" s="679"/>
    </row>
    <row r="25162" spans="32:32" x14ac:dyDescent="0.2">
      <c r="AF25162" s="679"/>
    </row>
    <row r="25163" spans="32:32" x14ac:dyDescent="0.2">
      <c r="AF25163" s="679"/>
    </row>
    <row r="25164" spans="32:32" x14ac:dyDescent="0.2">
      <c r="AF25164" s="679"/>
    </row>
    <row r="25165" spans="32:32" x14ac:dyDescent="0.2">
      <c r="AF25165" s="679"/>
    </row>
    <row r="25166" spans="32:32" x14ac:dyDescent="0.2">
      <c r="AF25166" s="679"/>
    </row>
    <row r="25167" spans="32:32" x14ac:dyDescent="0.2">
      <c r="AF25167" s="679"/>
    </row>
    <row r="25168" spans="32:32" x14ac:dyDescent="0.2">
      <c r="AF25168" s="679"/>
    </row>
    <row r="25169" spans="32:32" x14ac:dyDescent="0.2">
      <c r="AF25169" s="679"/>
    </row>
    <row r="25170" spans="32:32" x14ac:dyDescent="0.2">
      <c r="AF25170" s="679"/>
    </row>
    <row r="25171" spans="32:32" x14ac:dyDescent="0.2">
      <c r="AF25171" s="679"/>
    </row>
    <row r="25172" spans="32:32" x14ac:dyDescent="0.2">
      <c r="AF25172" s="679"/>
    </row>
    <row r="25173" spans="32:32" x14ac:dyDescent="0.2">
      <c r="AF25173" s="679"/>
    </row>
    <row r="25174" spans="32:32" x14ac:dyDescent="0.2">
      <c r="AF25174" s="679"/>
    </row>
    <row r="25175" spans="32:32" x14ac:dyDescent="0.2">
      <c r="AF25175" s="679"/>
    </row>
    <row r="25176" spans="32:32" x14ac:dyDescent="0.2">
      <c r="AF25176" s="679"/>
    </row>
    <row r="25177" spans="32:32" x14ac:dyDescent="0.2">
      <c r="AF25177" s="679"/>
    </row>
    <row r="25178" spans="32:32" x14ac:dyDescent="0.2">
      <c r="AF25178" s="679"/>
    </row>
    <row r="25179" spans="32:32" x14ac:dyDescent="0.2">
      <c r="AF25179" s="679"/>
    </row>
    <row r="25180" spans="32:32" x14ac:dyDescent="0.2">
      <c r="AF25180" s="679"/>
    </row>
    <row r="25181" spans="32:32" x14ac:dyDescent="0.2">
      <c r="AF25181" s="679"/>
    </row>
    <row r="25182" spans="32:32" x14ac:dyDescent="0.2">
      <c r="AF25182" s="679"/>
    </row>
    <row r="25183" spans="32:32" x14ac:dyDescent="0.2">
      <c r="AF25183" s="679"/>
    </row>
    <row r="25184" spans="32:32" x14ac:dyDescent="0.2">
      <c r="AF25184" s="679"/>
    </row>
    <row r="25185" spans="32:32" x14ac:dyDescent="0.2">
      <c r="AF25185" s="679"/>
    </row>
    <row r="25186" spans="32:32" x14ac:dyDescent="0.2">
      <c r="AF25186" s="679"/>
    </row>
    <row r="25187" spans="32:32" x14ac:dyDescent="0.2">
      <c r="AF25187" s="679"/>
    </row>
    <row r="25188" spans="32:32" x14ac:dyDescent="0.2">
      <c r="AF25188" s="679"/>
    </row>
    <row r="25189" spans="32:32" x14ac:dyDescent="0.2">
      <c r="AF25189" s="679"/>
    </row>
    <row r="25190" spans="32:32" x14ac:dyDescent="0.2">
      <c r="AF25190" s="679"/>
    </row>
    <row r="25191" spans="32:32" x14ac:dyDescent="0.2">
      <c r="AF25191" s="679"/>
    </row>
    <row r="25192" spans="32:32" x14ac:dyDescent="0.2">
      <c r="AF25192" s="679"/>
    </row>
    <row r="25193" spans="32:32" x14ac:dyDescent="0.2">
      <c r="AF25193" s="679"/>
    </row>
    <row r="25194" spans="32:32" x14ac:dyDescent="0.2">
      <c r="AF25194" s="679"/>
    </row>
    <row r="25195" spans="32:32" x14ac:dyDescent="0.2">
      <c r="AF25195" s="679"/>
    </row>
    <row r="25196" spans="32:32" x14ac:dyDescent="0.2">
      <c r="AF25196" s="679"/>
    </row>
    <row r="25197" spans="32:32" x14ac:dyDescent="0.2">
      <c r="AF25197" s="679"/>
    </row>
    <row r="25198" spans="32:32" x14ac:dyDescent="0.2">
      <c r="AF25198" s="679"/>
    </row>
    <row r="25199" spans="32:32" x14ac:dyDescent="0.2">
      <c r="AF25199" s="679"/>
    </row>
    <row r="25200" spans="32:32" x14ac:dyDescent="0.2">
      <c r="AF25200" s="679"/>
    </row>
    <row r="25201" spans="32:32" x14ac:dyDescent="0.2">
      <c r="AF25201" s="679"/>
    </row>
    <row r="25202" spans="32:32" x14ac:dyDescent="0.2">
      <c r="AF25202" s="679"/>
    </row>
    <row r="25203" spans="32:32" x14ac:dyDescent="0.2">
      <c r="AF25203" s="679"/>
    </row>
    <row r="25204" spans="32:32" x14ac:dyDescent="0.2">
      <c r="AF25204" s="679"/>
    </row>
    <row r="25205" spans="32:32" x14ac:dyDescent="0.2">
      <c r="AF25205" s="679"/>
    </row>
    <row r="25206" spans="32:32" x14ac:dyDescent="0.2">
      <c r="AF25206" s="679"/>
    </row>
    <row r="25207" spans="32:32" x14ac:dyDescent="0.2">
      <c r="AF25207" s="679"/>
    </row>
    <row r="25208" spans="32:32" x14ac:dyDescent="0.2">
      <c r="AF25208" s="679"/>
    </row>
    <row r="25209" spans="32:32" x14ac:dyDescent="0.2">
      <c r="AF25209" s="679"/>
    </row>
    <row r="25210" spans="32:32" x14ac:dyDescent="0.2">
      <c r="AF25210" s="679"/>
    </row>
    <row r="25211" spans="32:32" x14ac:dyDescent="0.2">
      <c r="AF25211" s="679"/>
    </row>
    <row r="25212" spans="32:32" x14ac:dyDescent="0.2">
      <c r="AF25212" s="679"/>
    </row>
    <row r="25213" spans="32:32" x14ac:dyDescent="0.2">
      <c r="AF25213" s="679"/>
    </row>
    <row r="25214" spans="32:32" x14ac:dyDescent="0.2">
      <c r="AF25214" s="679"/>
    </row>
    <row r="25215" spans="32:32" x14ac:dyDescent="0.2">
      <c r="AF25215" s="679"/>
    </row>
    <row r="25216" spans="32:32" x14ac:dyDescent="0.2">
      <c r="AF25216" s="679"/>
    </row>
    <row r="25217" spans="32:32" x14ac:dyDescent="0.2">
      <c r="AF25217" s="679"/>
    </row>
    <row r="25218" spans="32:32" x14ac:dyDescent="0.2">
      <c r="AF25218" s="679"/>
    </row>
    <row r="25219" spans="32:32" x14ac:dyDescent="0.2">
      <c r="AF25219" s="679"/>
    </row>
    <row r="25220" spans="32:32" x14ac:dyDescent="0.2">
      <c r="AF25220" s="679"/>
    </row>
    <row r="25221" spans="32:32" x14ac:dyDescent="0.2">
      <c r="AF25221" s="679"/>
    </row>
    <row r="25222" spans="32:32" x14ac:dyDescent="0.2">
      <c r="AF25222" s="679"/>
    </row>
    <row r="25223" spans="32:32" x14ac:dyDescent="0.2">
      <c r="AF25223" s="679"/>
    </row>
    <row r="25224" spans="32:32" x14ac:dyDescent="0.2">
      <c r="AF25224" s="679"/>
    </row>
    <row r="25225" spans="32:32" x14ac:dyDescent="0.2">
      <c r="AF25225" s="679"/>
    </row>
    <row r="25226" spans="32:32" x14ac:dyDescent="0.2">
      <c r="AF25226" s="679"/>
    </row>
    <row r="25227" spans="32:32" x14ac:dyDescent="0.2">
      <c r="AF25227" s="679"/>
    </row>
    <row r="25228" spans="32:32" x14ac:dyDescent="0.2">
      <c r="AF25228" s="679"/>
    </row>
    <row r="25229" spans="32:32" x14ac:dyDescent="0.2">
      <c r="AF25229" s="679"/>
    </row>
    <row r="25230" spans="32:32" x14ac:dyDescent="0.2">
      <c r="AF25230" s="679"/>
    </row>
    <row r="25231" spans="32:32" x14ac:dyDescent="0.2">
      <c r="AF25231" s="679"/>
    </row>
    <row r="25232" spans="32:32" x14ac:dyDescent="0.2">
      <c r="AF25232" s="679"/>
    </row>
    <row r="25233" spans="32:32" x14ac:dyDescent="0.2">
      <c r="AF25233" s="679"/>
    </row>
    <row r="25234" spans="32:32" x14ac:dyDescent="0.2">
      <c r="AF25234" s="679"/>
    </row>
    <row r="25235" spans="32:32" x14ac:dyDescent="0.2">
      <c r="AF25235" s="679"/>
    </row>
    <row r="25236" spans="32:32" x14ac:dyDescent="0.2">
      <c r="AF25236" s="679"/>
    </row>
    <row r="25237" spans="32:32" x14ac:dyDescent="0.2">
      <c r="AF25237" s="679"/>
    </row>
    <row r="25238" spans="32:32" x14ac:dyDescent="0.2">
      <c r="AF25238" s="679"/>
    </row>
    <row r="25239" spans="32:32" x14ac:dyDescent="0.2">
      <c r="AF25239" s="679"/>
    </row>
    <row r="25240" spans="32:32" x14ac:dyDescent="0.2">
      <c r="AF25240" s="679"/>
    </row>
    <row r="25241" spans="32:32" x14ac:dyDescent="0.2">
      <c r="AF25241" s="679"/>
    </row>
    <row r="25242" spans="32:32" x14ac:dyDescent="0.2">
      <c r="AF25242" s="679"/>
    </row>
    <row r="25243" spans="32:32" x14ac:dyDescent="0.2">
      <c r="AF25243" s="679"/>
    </row>
    <row r="25244" spans="32:32" x14ac:dyDescent="0.2">
      <c r="AF25244" s="679"/>
    </row>
    <row r="25245" spans="32:32" x14ac:dyDescent="0.2">
      <c r="AF25245" s="679"/>
    </row>
    <row r="25246" spans="32:32" x14ac:dyDescent="0.2">
      <c r="AF25246" s="679"/>
    </row>
    <row r="25247" spans="32:32" x14ac:dyDescent="0.2">
      <c r="AF25247" s="679"/>
    </row>
    <row r="25248" spans="32:32" x14ac:dyDescent="0.2">
      <c r="AF25248" s="679"/>
    </row>
    <row r="25249" spans="32:32" x14ac:dyDescent="0.2">
      <c r="AF25249" s="679"/>
    </row>
    <row r="25250" spans="32:32" x14ac:dyDescent="0.2">
      <c r="AF25250" s="679"/>
    </row>
    <row r="25251" spans="32:32" x14ac:dyDescent="0.2">
      <c r="AF25251" s="679"/>
    </row>
    <row r="25252" spans="32:32" x14ac:dyDescent="0.2">
      <c r="AF25252" s="679"/>
    </row>
    <row r="25253" spans="32:32" x14ac:dyDescent="0.2">
      <c r="AF25253" s="679"/>
    </row>
    <row r="25254" spans="32:32" x14ac:dyDescent="0.2">
      <c r="AF25254" s="679"/>
    </row>
    <row r="25255" spans="32:32" x14ac:dyDescent="0.2">
      <c r="AF25255" s="679"/>
    </row>
    <row r="25256" spans="32:32" x14ac:dyDescent="0.2">
      <c r="AF25256" s="679"/>
    </row>
    <row r="25257" spans="32:32" x14ac:dyDescent="0.2">
      <c r="AF25257" s="679"/>
    </row>
    <row r="25258" spans="32:32" x14ac:dyDescent="0.2">
      <c r="AF25258" s="679"/>
    </row>
    <row r="25259" spans="32:32" x14ac:dyDescent="0.2">
      <c r="AF25259" s="679"/>
    </row>
    <row r="25260" spans="32:32" x14ac:dyDescent="0.2">
      <c r="AF25260" s="679"/>
    </row>
    <row r="25261" spans="32:32" x14ac:dyDescent="0.2">
      <c r="AF25261" s="679"/>
    </row>
    <row r="25262" spans="32:32" x14ac:dyDescent="0.2">
      <c r="AF25262" s="679"/>
    </row>
    <row r="25263" spans="32:32" x14ac:dyDescent="0.2">
      <c r="AF25263" s="679"/>
    </row>
    <row r="25264" spans="32:32" x14ac:dyDescent="0.2">
      <c r="AF25264" s="679"/>
    </row>
    <row r="25265" spans="32:32" x14ac:dyDescent="0.2">
      <c r="AF25265" s="679"/>
    </row>
    <row r="25266" spans="32:32" x14ac:dyDescent="0.2">
      <c r="AF25266" s="679"/>
    </row>
    <row r="25267" spans="32:32" x14ac:dyDescent="0.2">
      <c r="AF25267" s="679"/>
    </row>
    <row r="25268" spans="32:32" x14ac:dyDescent="0.2">
      <c r="AF25268" s="679"/>
    </row>
    <row r="25269" spans="32:32" x14ac:dyDescent="0.2">
      <c r="AF25269" s="679"/>
    </row>
    <row r="25270" spans="32:32" x14ac:dyDescent="0.2">
      <c r="AF25270" s="679"/>
    </row>
    <row r="25271" spans="32:32" x14ac:dyDescent="0.2">
      <c r="AF25271" s="679"/>
    </row>
    <row r="25272" spans="32:32" x14ac:dyDescent="0.2">
      <c r="AF25272" s="679"/>
    </row>
    <row r="25273" spans="32:32" x14ac:dyDescent="0.2">
      <c r="AF25273" s="679"/>
    </row>
    <row r="25274" spans="32:32" x14ac:dyDescent="0.2">
      <c r="AF25274" s="679"/>
    </row>
    <row r="25275" spans="32:32" x14ac:dyDescent="0.2">
      <c r="AF25275" s="679"/>
    </row>
    <row r="25276" spans="32:32" x14ac:dyDescent="0.2">
      <c r="AF25276" s="679"/>
    </row>
    <row r="25277" spans="32:32" x14ac:dyDescent="0.2">
      <c r="AF25277" s="679"/>
    </row>
    <row r="25278" spans="32:32" x14ac:dyDescent="0.2">
      <c r="AF25278" s="679"/>
    </row>
    <row r="25279" spans="32:32" x14ac:dyDescent="0.2">
      <c r="AF25279" s="679"/>
    </row>
    <row r="25280" spans="32:32" x14ac:dyDescent="0.2">
      <c r="AF25280" s="679"/>
    </row>
    <row r="25281" spans="32:32" x14ac:dyDescent="0.2">
      <c r="AF25281" s="679"/>
    </row>
    <row r="25282" spans="32:32" x14ac:dyDescent="0.2">
      <c r="AF25282" s="679"/>
    </row>
    <row r="25283" spans="32:32" x14ac:dyDescent="0.2">
      <c r="AF25283" s="679"/>
    </row>
    <row r="25284" spans="32:32" x14ac:dyDescent="0.2">
      <c r="AF25284" s="679"/>
    </row>
    <row r="25285" spans="32:32" x14ac:dyDescent="0.2">
      <c r="AF25285" s="679"/>
    </row>
    <row r="25286" spans="32:32" x14ac:dyDescent="0.2">
      <c r="AF25286" s="679"/>
    </row>
    <row r="25287" spans="32:32" x14ac:dyDescent="0.2">
      <c r="AF25287" s="679"/>
    </row>
    <row r="25288" spans="32:32" x14ac:dyDescent="0.2">
      <c r="AF25288" s="679"/>
    </row>
    <row r="25289" spans="32:32" x14ac:dyDescent="0.2">
      <c r="AF25289" s="679"/>
    </row>
    <row r="25290" spans="32:32" x14ac:dyDescent="0.2">
      <c r="AF25290" s="679"/>
    </row>
    <row r="25291" spans="32:32" x14ac:dyDescent="0.2">
      <c r="AF25291" s="679"/>
    </row>
    <row r="25292" spans="32:32" x14ac:dyDescent="0.2">
      <c r="AF25292" s="679"/>
    </row>
    <row r="25293" spans="32:32" x14ac:dyDescent="0.2">
      <c r="AF25293" s="679"/>
    </row>
    <row r="25294" spans="32:32" x14ac:dyDescent="0.2">
      <c r="AF25294" s="679"/>
    </row>
    <row r="25295" spans="32:32" x14ac:dyDescent="0.2">
      <c r="AF25295" s="679"/>
    </row>
    <row r="25296" spans="32:32" x14ac:dyDescent="0.2">
      <c r="AF25296" s="679"/>
    </row>
    <row r="25297" spans="32:32" x14ac:dyDescent="0.2">
      <c r="AF25297" s="679"/>
    </row>
    <row r="25298" spans="32:32" x14ac:dyDescent="0.2">
      <c r="AF25298" s="679"/>
    </row>
    <row r="25299" spans="32:32" x14ac:dyDescent="0.2">
      <c r="AF25299" s="679"/>
    </row>
    <row r="25300" spans="32:32" x14ac:dyDescent="0.2">
      <c r="AF25300" s="679"/>
    </row>
    <row r="25301" spans="32:32" x14ac:dyDescent="0.2">
      <c r="AF25301" s="679"/>
    </row>
    <row r="25302" spans="32:32" x14ac:dyDescent="0.2">
      <c r="AF25302" s="679"/>
    </row>
    <row r="25303" spans="32:32" x14ac:dyDescent="0.2">
      <c r="AF25303" s="679"/>
    </row>
    <row r="25304" spans="32:32" x14ac:dyDescent="0.2">
      <c r="AF25304" s="679"/>
    </row>
    <row r="25305" spans="32:32" x14ac:dyDescent="0.2">
      <c r="AF25305" s="679"/>
    </row>
    <row r="25306" spans="32:32" x14ac:dyDescent="0.2">
      <c r="AF25306" s="679"/>
    </row>
    <row r="25307" spans="32:32" x14ac:dyDescent="0.2">
      <c r="AF25307" s="679"/>
    </row>
    <row r="25308" spans="32:32" x14ac:dyDescent="0.2">
      <c r="AF25308" s="679"/>
    </row>
    <row r="25309" spans="32:32" x14ac:dyDescent="0.2">
      <c r="AF25309" s="679"/>
    </row>
    <row r="25310" spans="32:32" x14ac:dyDescent="0.2">
      <c r="AF25310" s="679"/>
    </row>
    <row r="25311" spans="32:32" x14ac:dyDescent="0.2">
      <c r="AF25311" s="679"/>
    </row>
    <row r="25312" spans="32:32" x14ac:dyDescent="0.2">
      <c r="AF25312" s="679"/>
    </row>
    <row r="25313" spans="32:32" x14ac:dyDescent="0.2">
      <c r="AF25313" s="679"/>
    </row>
    <row r="25314" spans="32:32" x14ac:dyDescent="0.2">
      <c r="AF25314" s="679"/>
    </row>
    <row r="25315" spans="32:32" x14ac:dyDescent="0.2">
      <c r="AF25315" s="679"/>
    </row>
    <row r="25316" spans="32:32" x14ac:dyDescent="0.2">
      <c r="AF25316" s="679"/>
    </row>
    <row r="25317" spans="32:32" x14ac:dyDescent="0.2">
      <c r="AF25317" s="679"/>
    </row>
    <row r="25318" spans="32:32" x14ac:dyDescent="0.2">
      <c r="AF25318" s="679"/>
    </row>
    <row r="25319" spans="32:32" x14ac:dyDescent="0.2">
      <c r="AF25319" s="679"/>
    </row>
    <row r="25320" spans="32:32" x14ac:dyDescent="0.2">
      <c r="AF25320" s="679"/>
    </row>
    <row r="25321" spans="32:32" x14ac:dyDescent="0.2">
      <c r="AF25321" s="679"/>
    </row>
    <row r="25322" spans="32:32" x14ac:dyDescent="0.2">
      <c r="AF25322" s="679"/>
    </row>
    <row r="25323" spans="32:32" x14ac:dyDescent="0.2">
      <c r="AF25323" s="679"/>
    </row>
    <row r="25324" spans="32:32" x14ac:dyDescent="0.2">
      <c r="AF25324" s="679"/>
    </row>
    <row r="25325" spans="32:32" x14ac:dyDescent="0.2">
      <c r="AF25325" s="679"/>
    </row>
    <row r="25326" spans="32:32" x14ac:dyDescent="0.2">
      <c r="AF25326" s="679"/>
    </row>
    <row r="25327" spans="32:32" x14ac:dyDescent="0.2">
      <c r="AF25327" s="679"/>
    </row>
    <row r="25328" spans="32:32" x14ac:dyDescent="0.2">
      <c r="AF25328" s="679"/>
    </row>
    <row r="25329" spans="32:32" x14ac:dyDescent="0.2">
      <c r="AF25329" s="679"/>
    </row>
    <row r="25330" spans="32:32" x14ac:dyDescent="0.2">
      <c r="AF25330" s="679"/>
    </row>
    <row r="25331" spans="32:32" x14ac:dyDescent="0.2">
      <c r="AF25331" s="679"/>
    </row>
    <row r="25332" spans="32:32" x14ac:dyDescent="0.2">
      <c r="AF25332" s="679"/>
    </row>
    <row r="25333" spans="32:32" x14ac:dyDescent="0.2">
      <c r="AF25333" s="679"/>
    </row>
    <row r="25334" spans="32:32" x14ac:dyDescent="0.2">
      <c r="AF25334" s="679"/>
    </row>
    <row r="25335" spans="32:32" x14ac:dyDescent="0.2">
      <c r="AF25335" s="679"/>
    </row>
    <row r="25336" spans="32:32" x14ac:dyDescent="0.2">
      <c r="AF25336" s="679"/>
    </row>
    <row r="25337" spans="32:32" x14ac:dyDescent="0.2">
      <c r="AF25337" s="679"/>
    </row>
    <row r="25338" spans="32:32" x14ac:dyDescent="0.2">
      <c r="AF25338" s="679"/>
    </row>
    <row r="25339" spans="32:32" x14ac:dyDescent="0.2">
      <c r="AF25339" s="679"/>
    </row>
    <row r="25340" spans="32:32" x14ac:dyDescent="0.2">
      <c r="AF25340" s="679"/>
    </row>
    <row r="25341" spans="32:32" x14ac:dyDescent="0.2">
      <c r="AF25341" s="679"/>
    </row>
    <row r="25342" spans="32:32" x14ac:dyDescent="0.2">
      <c r="AF25342" s="679"/>
    </row>
    <row r="25343" spans="32:32" x14ac:dyDescent="0.2">
      <c r="AF25343" s="679"/>
    </row>
    <row r="25344" spans="32:32" x14ac:dyDescent="0.2">
      <c r="AF25344" s="679"/>
    </row>
    <row r="25345" spans="32:32" x14ac:dyDescent="0.2">
      <c r="AF25345" s="679"/>
    </row>
    <row r="25346" spans="32:32" x14ac:dyDescent="0.2">
      <c r="AF25346" s="679"/>
    </row>
    <row r="25347" spans="32:32" x14ac:dyDescent="0.2">
      <c r="AF25347" s="679"/>
    </row>
    <row r="25348" spans="32:32" x14ac:dyDescent="0.2">
      <c r="AF25348" s="679"/>
    </row>
    <row r="25349" spans="32:32" x14ac:dyDescent="0.2">
      <c r="AF25349" s="679"/>
    </row>
    <row r="25350" spans="32:32" x14ac:dyDescent="0.2">
      <c r="AF25350" s="679"/>
    </row>
    <row r="25351" spans="32:32" x14ac:dyDescent="0.2">
      <c r="AF25351" s="679"/>
    </row>
    <row r="25352" spans="32:32" x14ac:dyDescent="0.2">
      <c r="AF25352" s="679"/>
    </row>
    <row r="25353" spans="32:32" x14ac:dyDescent="0.2">
      <c r="AF25353" s="679"/>
    </row>
    <row r="25354" spans="32:32" x14ac:dyDescent="0.2">
      <c r="AF25354" s="679"/>
    </row>
    <row r="25355" spans="32:32" x14ac:dyDescent="0.2">
      <c r="AF25355" s="679"/>
    </row>
    <row r="25356" spans="32:32" x14ac:dyDescent="0.2">
      <c r="AF25356" s="679"/>
    </row>
    <row r="25357" spans="32:32" x14ac:dyDescent="0.2">
      <c r="AF25357" s="679"/>
    </row>
    <row r="25358" spans="32:32" x14ac:dyDescent="0.2">
      <c r="AF25358" s="679"/>
    </row>
    <row r="25359" spans="32:32" x14ac:dyDescent="0.2">
      <c r="AF25359" s="679"/>
    </row>
    <row r="25360" spans="32:32" x14ac:dyDescent="0.2">
      <c r="AF25360" s="679"/>
    </row>
    <row r="25361" spans="32:32" x14ac:dyDescent="0.2">
      <c r="AF25361" s="679"/>
    </row>
    <row r="25362" spans="32:32" x14ac:dyDescent="0.2">
      <c r="AF25362" s="679"/>
    </row>
    <row r="25363" spans="32:32" x14ac:dyDescent="0.2">
      <c r="AF25363" s="679"/>
    </row>
    <row r="25364" spans="32:32" x14ac:dyDescent="0.2">
      <c r="AF25364" s="679"/>
    </row>
    <row r="25365" spans="32:32" x14ac:dyDescent="0.2">
      <c r="AF25365" s="679"/>
    </row>
    <row r="25366" spans="32:32" x14ac:dyDescent="0.2">
      <c r="AF25366" s="679"/>
    </row>
    <row r="25367" spans="32:32" x14ac:dyDescent="0.2">
      <c r="AF25367" s="679"/>
    </row>
    <row r="25368" spans="32:32" x14ac:dyDescent="0.2">
      <c r="AF25368" s="679"/>
    </row>
    <row r="25369" spans="32:32" x14ac:dyDescent="0.2">
      <c r="AF25369" s="679"/>
    </row>
    <row r="25370" spans="32:32" x14ac:dyDescent="0.2">
      <c r="AF25370" s="679"/>
    </row>
    <row r="25371" spans="32:32" x14ac:dyDescent="0.2">
      <c r="AF25371" s="679"/>
    </row>
    <row r="25372" spans="32:32" x14ac:dyDescent="0.2">
      <c r="AF25372" s="679"/>
    </row>
    <row r="25373" spans="32:32" x14ac:dyDescent="0.2">
      <c r="AF25373" s="679"/>
    </row>
    <row r="25374" spans="32:32" x14ac:dyDescent="0.2">
      <c r="AF25374" s="679"/>
    </row>
    <row r="25375" spans="32:32" x14ac:dyDescent="0.2">
      <c r="AF25375" s="679"/>
    </row>
    <row r="25376" spans="32:32" x14ac:dyDescent="0.2">
      <c r="AF25376" s="679"/>
    </row>
    <row r="25377" spans="32:32" x14ac:dyDescent="0.2">
      <c r="AF25377" s="679"/>
    </row>
    <row r="25378" spans="32:32" x14ac:dyDescent="0.2">
      <c r="AF25378" s="679"/>
    </row>
    <row r="25379" spans="32:32" x14ac:dyDescent="0.2">
      <c r="AF25379" s="679"/>
    </row>
    <row r="25380" spans="32:32" x14ac:dyDescent="0.2">
      <c r="AF25380" s="679"/>
    </row>
    <row r="25381" spans="32:32" x14ac:dyDescent="0.2">
      <c r="AF25381" s="679"/>
    </row>
    <row r="25382" spans="32:32" x14ac:dyDescent="0.2">
      <c r="AF25382" s="679"/>
    </row>
    <row r="25383" spans="32:32" x14ac:dyDescent="0.2">
      <c r="AF25383" s="679"/>
    </row>
    <row r="25384" spans="32:32" x14ac:dyDescent="0.2">
      <c r="AF25384" s="679"/>
    </row>
    <row r="25385" spans="32:32" x14ac:dyDescent="0.2">
      <c r="AF25385" s="679"/>
    </row>
    <row r="25386" spans="32:32" x14ac:dyDescent="0.2">
      <c r="AF25386" s="679"/>
    </row>
    <row r="25387" spans="32:32" x14ac:dyDescent="0.2">
      <c r="AF25387" s="679"/>
    </row>
    <row r="25388" spans="32:32" x14ac:dyDescent="0.2">
      <c r="AF25388" s="679"/>
    </row>
    <row r="25389" spans="32:32" x14ac:dyDescent="0.2">
      <c r="AF25389" s="679"/>
    </row>
    <row r="25390" spans="32:32" x14ac:dyDescent="0.2">
      <c r="AF25390" s="679"/>
    </row>
    <row r="25391" spans="32:32" x14ac:dyDescent="0.2">
      <c r="AF25391" s="679"/>
    </row>
    <row r="25392" spans="32:32" x14ac:dyDescent="0.2">
      <c r="AF25392" s="679"/>
    </row>
    <row r="25393" spans="32:32" x14ac:dyDescent="0.2">
      <c r="AF25393" s="679"/>
    </row>
    <row r="25394" spans="32:32" x14ac:dyDescent="0.2">
      <c r="AF25394" s="679"/>
    </row>
    <row r="25395" spans="32:32" x14ac:dyDescent="0.2">
      <c r="AF25395" s="679"/>
    </row>
    <row r="25396" spans="32:32" x14ac:dyDescent="0.2">
      <c r="AF25396" s="679"/>
    </row>
    <row r="25397" spans="32:32" x14ac:dyDescent="0.2">
      <c r="AF25397" s="679"/>
    </row>
    <row r="25398" spans="32:32" x14ac:dyDescent="0.2">
      <c r="AF25398" s="679"/>
    </row>
    <row r="25399" spans="32:32" x14ac:dyDescent="0.2">
      <c r="AF25399" s="679"/>
    </row>
    <row r="25400" spans="32:32" x14ac:dyDescent="0.2">
      <c r="AF25400" s="679"/>
    </row>
    <row r="25401" spans="32:32" x14ac:dyDescent="0.2">
      <c r="AF25401" s="679"/>
    </row>
    <row r="25402" spans="32:32" x14ac:dyDescent="0.2">
      <c r="AF25402" s="679"/>
    </row>
    <row r="25403" spans="32:32" x14ac:dyDescent="0.2">
      <c r="AF25403" s="679"/>
    </row>
    <row r="25404" spans="32:32" x14ac:dyDescent="0.2">
      <c r="AF25404" s="679"/>
    </row>
    <row r="25405" spans="32:32" x14ac:dyDescent="0.2">
      <c r="AF25405" s="679"/>
    </row>
    <row r="25406" spans="32:32" x14ac:dyDescent="0.2">
      <c r="AF25406" s="679"/>
    </row>
    <row r="25407" spans="32:32" x14ac:dyDescent="0.2">
      <c r="AF25407" s="679"/>
    </row>
    <row r="25408" spans="32:32" x14ac:dyDescent="0.2">
      <c r="AF25408" s="679"/>
    </row>
    <row r="25409" spans="32:32" x14ac:dyDescent="0.2">
      <c r="AF25409" s="679"/>
    </row>
    <row r="25410" spans="32:32" x14ac:dyDescent="0.2">
      <c r="AF25410" s="679"/>
    </row>
    <row r="25411" spans="32:32" x14ac:dyDescent="0.2">
      <c r="AF25411" s="679"/>
    </row>
    <row r="25412" spans="32:32" x14ac:dyDescent="0.2">
      <c r="AF25412" s="679"/>
    </row>
    <row r="25413" spans="32:32" x14ac:dyDescent="0.2">
      <c r="AF25413" s="679"/>
    </row>
    <row r="25414" spans="32:32" x14ac:dyDescent="0.2">
      <c r="AF25414" s="679"/>
    </row>
    <row r="25415" spans="32:32" x14ac:dyDescent="0.2">
      <c r="AF25415" s="679"/>
    </row>
    <row r="25416" spans="32:32" x14ac:dyDescent="0.2">
      <c r="AF25416" s="679"/>
    </row>
    <row r="25417" spans="32:32" x14ac:dyDescent="0.2">
      <c r="AF25417" s="679"/>
    </row>
    <row r="25418" spans="32:32" x14ac:dyDescent="0.2">
      <c r="AF25418" s="679"/>
    </row>
    <row r="25419" spans="32:32" x14ac:dyDescent="0.2">
      <c r="AF25419" s="679"/>
    </row>
    <row r="25420" spans="32:32" x14ac:dyDescent="0.2">
      <c r="AF25420" s="679"/>
    </row>
    <row r="25421" spans="32:32" x14ac:dyDescent="0.2">
      <c r="AF25421" s="679"/>
    </row>
    <row r="25422" spans="32:32" x14ac:dyDescent="0.2">
      <c r="AF25422" s="679"/>
    </row>
    <row r="25423" spans="32:32" x14ac:dyDescent="0.2">
      <c r="AF25423" s="679"/>
    </row>
    <row r="25424" spans="32:32" x14ac:dyDescent="0.2">
      <c r="AF25424" s="679"/>
    </row>
    <row r="25425" spans="32:32" x14ac:dyDescent="0.2">
      <c r="AF25425" s="679"/>
    </row>
    <row r="25426" spans="32:32" x14ac:dyDescent="0.2">
      <c r="AF25426" s="679"/>
    </row>
    <row r="25427" spans="32:32" x14ac:dyDescent="0.2">
      <c r="AF25427" s="679"/>
    </row>
    <row r="25428" spans="32:32" x14ac:dyDescent="0.2">
      <c r="AF25428" s="679"/>
    </row>
    <row r="25429" spans="32:32" x14ac:dyDescent="0.2">
      <c r="AF25429" s="679"/>
    </row>
    <row r="25430" spans="32:32" x14ac:dyDescent="0.2">
      <c r="AF25430" s="679"/>
    </row>
    <row r="25431" spans="32:32" x14ac:dyDescent="0.2">
      <c r="AF25431" s="679"/>
    </row>
    <row r="25432" spans="32:32" x14ac:dyDescent="0.2">
      <c r="AF25432" s="679"/>
    </row>
    <row r="25433" spans="32:32" x14ac:dyDescent="0.2">
      <c r="AF25433" s="679"/>
    </row>
    <row r="25434" spans="32:32" x14ac:dyDescent="0.2">
      <c r="AF25434" s="679"/>
    </row>
    <row r="25435" spans="32:32" x14ac:dyDescent="0.2">
      <c r="AF25435" s="679"/>
    </row>
    <row r="25436" spans="32:32" x14ac:dyDescent="0.2">
      <c r="AF25436" s="679"/>
    </row>
    <row r="25437" spans="32:32" x14ac:dyDescent="0.2">
      <c r="AF25437" s="679"/>
    </row>
    <row r="25438" spans="32:32" x14ac:dyDescent="0.2">
      <c r="AF25438" s="679"/>
    </row>
    <row r="25439" spans="32:32" x14ac:dyDescent="0.2">
      <c r="AF25439" s="679"/>
    </row>
    <row r="25440" spans="32:32" x14ac:dyDescent="0.2">
      <c r="AF25440" s="679"/>
    </row>
    <row r="25441" spans="32:32" x14ac:dyDescent="0.2">
      <c r="AF25441" s="679"/>
    </row>
    <row r="25442" spans="32:32" x14ac:dyDescent="0.2">
      <c r="AF25442" s="679"/>
    </row>
    <row r="25443" spans="32:32" x14ac:dyDescent="0.2">
      <c r="AF25443" s="679"/>
    </row>
    <row r="25444" spans="32:32" x14ac:dyDescent="0.2">
      <c r="AF25444" s="679"/>
    </row>
    <row r="25445" spans="32:32" x14ac:dyDescent="0.2">
      <c r="AF25445" s="679"/>
    </row>
    <row r="25446" spans="32:32" x14ac:dyDescent="0.2">
      <c r="AF25446" s="679"/>
    </row>
    <row r="25447" spans="32:32" x14ac:dyDescent="0.2">
      <c r="AF25447" s="679"/>
    </row>
    <row r="25448" spans="32:32" x14ac:dyDescent="0.2">
      <c r="AF25448" s="679"/>
    </row>
    <row r="25449" spans="32:32" x14ac:dyDescent="0.2">
      <c r="AF25449" s="679"/>
    </row>
    <row r="25450" spans="32:32" x14ac:dyDescent="0.2">
      <c r="AF25450" s="679"/>
    </row>
    <row r="25451" spans="32:32" x14ac:dyDescent="0.2">
      <c r="AF25451" s="679"/>
    </row>
    <row r="25452" spans="32:32" x14ac:dyDescent="0.2">
      <c r="AF25452" s="679"/>
    </row>
    <row r="25453" spans="32:32" x14ac:dyDescent="0.2">
      <c r="AF25453" s="679"/>
    </row>
    <row r="25454" spans="32:32" x14ac:dyDescent="0.2">
      <c r="AF25454" s="679"/>
    </row>
    <row r="25455" spans="32:32" x14ac:dyDescent="0.2">
      <c r="AF25455" s="679"/>
    </row>
    <row r="25456" spans="32:32" x14ac:dyDescent="0.2">
      <c r="AF25456" s="679"/>
    </row>
    <row r="25457" spans="32:32" x14ac:dyDescent="0.2">
      <c r="AF25457" s="679"/>
    </row>
    <row r="25458" spans="32:32" x14ac:dyDescent="0.2">
      <c r="AF25458" s="679"/>
    </row>
    <row r="25459" spans="32:32" x14ac:dyDescent="0.2">
      <c r="AF25459" s="679"/>
    </row>
    <row r="25460" spans="32:32" x14ac:dyDescent="0.2">
      <c r="AF25460" s="679"/>
    </row>
    <row r="25461" spans="32:32" x14ac:dyDescent="0.2">
      <c r="AF25461" s="679"/>
    </row>
    <row r="25462" spans="32:32" x14ac:dyDescent="0.2">
      <c r="AF25462" s="679"/>
    </row>
    <row r="25463" spans="32:32" x14ac:dyDescent="0.2">
      <c r="AF25463" s="679"/>
    </row>
    <row r="25464" spans="32:32" x14ac:dyDescent="0.2">
      <c r="AF25464" s="679"/>
    </row>
    <row r="25465" spans="32:32" x14ac:dyDescent="0.2">
      <c r="AF25465" s="679"/>
    </row>
    <row r="25466" spans="32:32" x14ac:dyDescent="0.2">
      <c r="AF25466" s="679"/>
    </row>
    <row r="25467" spans="32:32" x14ac:dyDescent="0.2">
      <c r="AF25467" s="679"/>
    </row>
    <row r="25468" spans="32:32" x14ac:dyDescent="0.2">
      <c r="AF25468" s="679"/>
    </row>
    <row r="25469" spans="32:32" x14ac:dyDescent="0.2">
      <c r="AF25469" s="679"/>
    </row>
    <row r="25470" spans="32:32" x14ac:dyDescent="0.2">
      <c r="AF25470" s="679"/>
    </row>
    <row r="25471" spans="32:32" x14ac:dyDescent="0.2">
      <c r="AF25471" s="679"/>
    </row>
    <row r="25472" spans="32:32" x14ac:dyDescent="0.2">
      <c r="AF25472" s="679"/>
    </row>
    <row r="25473" spans="32:32" x14ac:dyDescent="0.2">
      <c r="AF25473" s="679"/>
    </row>
    <row r="25474" spans="32:32" x14ac:dyDescent="0.2">
      <c r="AF25474" s="679"/>
    </row>
    <row r="25475" spans="32:32" x14ac:dyDescent="0.2">
      <c r="AF25475" s="679"/>
    </row>
    <row r="25476" spans="32:32" x14ac:dyDescent="0.2">
      <c r="AF25476" s="679"/>
    </row>
    <row r="25477" spans="32:32" x14ac:dyDescent="0.2">
      <c r="AF25477" s="679"/>
    </row>
    <row r="25478" spans="32:32" x14ac:dyDescent="0.2">
      <c r="AF25478" s="679"/>
    </row>
    <row r="25479" spans="32:32" x14ac:dyDescent="0.2">
      <c r="AF25479" s="679"/>
    </row>
    <row r="25480" spans="32:32" x14ac:dyDescent="0.2">
      <c r="AF25480" s="679"/>
    </row>
    <row r="25481" spans="32:32" x14ac:dyDescent="0.2">
      <c r="AF25481" s="679"/>
    </row>
    <row r="25482" spans="32:32" x14ac:dyDescent="0.2">
      <c r="AF25482" s="679"/>
    </row>
    <row r="25483" spans="32:32" x14ac:dyDescent="0.2">
      <c r="AF25483" s="679"/>
    </row>
    <row r="25484" spans="32:32" x14ac:dyDescent="0.2">
      <c r="AF25484" s="679"/>
    </row>
    <row r="25485" spans="32:32" x14ac:dyDescent="0.2">
      <c r="AF25485" s="679"/>
    </row>
    <row r="25486" spans="32:32" x14ac:dyDescent="0.2">
      <c r="AF25486" s="679"/>
    </row>
    <row r="25487" spans="32:32" x14ac:dyDescent="0.2">
      <c r="AF25487" s="679"/>
    </row>
    <row r="25488" spans="32:32" x14ac:dyDescent="0.2">
      <c r="AF25488" s="679"/>
    </row>
    <row r="25489" spans="32:32" x14ac:dyDescent="0.2">
      <c r="AF25489" s="679"/>
    </row>
    <row r="25490" spans="32:32" x14ac:dyDescent="0.2">
      <c r="AF25490" s="679"/>
    </row>
    <row r="25491" spans="32:32" x14ac:dyDescent="0.2">
      <c r="AF25491" s="679"/>
    </row>
    <row r="25492" spans="32:32" x14ac:dyDescent="0.2">
      <c r="AF25492" s="679"/>
    </row>
    <row r="25493" spans="32:32" x14ac:dyDescent="0.2">
      <c r="AF25493" s="679"/>
    </row>
    <row r="25494" spans="32:32" x14ac:dyDescent="0.2">
      <c r="AF25494" s="679"/>
    </row>
    <row r="25495" spans="32:32" x14ac:dyDescent="0.2">
      <c r="AF25495" s="679"/>
    </row>
    <row r="25496" spans="32:32" x14ac:dyDescent="0.2">
      <c r="AF25496" s="679"/>
    </row>
    <row r="25497" spans="32:32" x14ac:dyDescent="0.2">
      <c r="AF25497" s="679"/>
    </row>
    <row r="25498" spans="32:32" x14ac:dyDescent="0.2">
      <c r="AF25498" s="679"/>
    </row>
    <row r="25499" spans="32:32" x14ac:dyDescent="0.2">
      <c r="AF25499" s="679"/>
    </row>
    <row r="25500" spans="32:32" x14ac:dyDescent="0.2">
      <c r="AF25500" s="679"/>
    </row>
    <row r="25501" spans="32:32" x14ac:dyDescent="0.2">
      <c r="AF25501" s="679"/>
    </row>
    <row r="25502" spans="32:32" x14ac:dyDescent="0.2">
      <c r="AF25502" s="679"/>
    </row>
    <row r="25503" spans="32:32" x14ac:dyDescent="0.2">
      <c r="AF25503" s="679"/>
    </row>
    <row r="25504" spans="32:32" x14ac:dyDescent="0.2">
      <c r="AF25504" s="679"/>
    </row>
    <row r="25505" spans="32:32" x14ac:dyDescent="0.2">
      <c r="AF25505" s="679"/>
    </row>
    <row r="25506" spans="32:32" x14ac:dyDescent="0.2">
      <c r="AF25506" s="679"/>
    </row>
    <row r="25507" spans="32:32" x14ac:dyDescent="0.2">
      <c r="AF25507" s="679"/>
    </row>
    <row r="25508" spans="32:32" x14ac:dyDescent="0.2">
      <c r="AF25508" s="679"/>
    </row>
    <row r="25509" spans="32:32" x14ac:dyDescent="0.2">
      <c r="AF25509" s="679"/>
    </row>
    <row r="25510" spans="32:32" x14ac:dyDescent="0.2">
      <c r="AF25510" s="679"/>
    </row>
    <row r="25511" spans="32:32" x14ac:dyDescent="0.2">
      <c r="AF25511" s="679"/>
    </row>
    <row r="25512" spans="32:32" x14ac:dyDescent="0.2">
      <c r="AF25512" s="679"/>
    </row>
    <row r="25513" spans="32:32" x14ac:dyDescent="0.2">
      <c r="AF25513" s="679"/>
    </row>
    <row r="25514" spans="32:32" x14ac:dyDescent="0.2">
      <c r="AF25514" s="679"/>
    </row>
    <row r="25515" spans="32:32" x14ac:dyDescent="0.2">
      <c r="AF25515" s="679"/>
    </row>
    <row r="25516" spans="32:32" x14ac:dyDescent="0.2">
      <c r="AF25516" s="679"/>
    </row>
    <row r="25517" spans="32:32" x14ac:dyDescent="0.2">
      <c r="AF25517" s="679"/>
    </row>
    <row r="25518" spans="32:32" x14ac:dyDescent="0.2">
      <c r="AF25518" s="679"/>
    </row>
    <row r="25519" spans="32:32" x14ac:dyDescent="0.2">
      <c r="AF25519" s="679"/>
    </row>
    <row r="25520" spans="32:32" x14ac:dyDescent="0.2">
      <c r="AF25520" s="679"/>
    </row>
    <row r="25521" spans="32:32" x14ac:dyDescent="0.2">
      <c r="AF25521" s="679"/>
    </row>
    <row r="25522" spans="32:32" x14ac:dyDescent="0.2">
      <c r="AF25522" s="679"/>
    </row>
    <row r="25523" spans="32:32" x14ac:dyDescent="0.2">
      <c r="AF25523" s="679"/>
    </row>
    <row r="25524" spans="32:32" x14ac:dyDescent="0.2">
      <c r="AF25524" s="679"/>
    </row>
    <row r="25525" spans="32:32" x14ac:dyDescent="0.2">
      <c r="AF25525" s="679"/>
    </row>
    <row r="25526" spans="32:32" x14ac:dyDescent="0.2">
      <c r="AF25526" s="679"/>
    </row>
    <row r="25527" spans="32:32" x14ac:dyDescent="0.2">
      <c r="AF25527" s="679"/>
    </row>
    <row r="25528" spans="32:32" x14ac:dyDescent="0.2">
      <c r="AF25528" s="679"/>
    </row>
    <row r="25529" spans="32:32" x14ac:dyDescent="0.2">
      <c r="AF25529" s="679"/>
    </row>
    <row r="25530" spans="32:32" x14ac:dyDescent="0.2">
      <c r="AF25530" s="679"/>
    </row>
    <row r="25531" spans="32:32" x14ac:dyDescent="0.2">
      <c r="AF25531" s="679"/>
    </row>
    <row r="25532" spans="32:32" x14ac:dyDescent="0.2">
      <c r="AF25532" s="679"/>
    </row>
    <row r="25533" spans="32:32" x14ac:dyDescent="0.2">
      <c r="AF25533" s="679"/>
    </row>
    <row r="25534" spans="32:32" x14ac:dyDescent="0.2">
      <c r="AF25534" s="679"/>
    </row>
    <row r="25535" spans="32:32" x14ac:dyDescent="0.2">
      <c r="AF25535" s="679"/>
    </row>
    <row r="25536" spans="32:32" x14ac:dyDescent="0.2">
      <c r="AF25536" s="679"/>
    </row>
    <row r="25537" spans="32:32" x14ac:dyDescent="0.2">
      <c r="AF25537" s="679"/>
    </row>
    <row r="25538" spans="32:32" x14ac:dyDescent="0.2">
      <c r="AF25538" s="679"/>
    </row>
    <row r="25539" spans="32:32" x14ac:dyDescent="0.2">
      <c r="AF25539" s="679"/>
    </row>
    <row r="25540" spans="32:32" x14ac:dyDescent="0.2">
      <c r="AF25540" s="679"/>
    </row>
    <row r="25541" spans="32:32" x14ac:dyDescent="0.2">
      <c r="AF25541" s="679"/>
    </row>
    <row r="25542" spans="32:32" x14ac:dyDescent="0.2">
      <c r="AF25542" s="679"/>
    </row>
    <row r="25543" spans="32:32" x14ac:dyDescent="0.2">
      <c r="AF25543" s="679"/>
    </row>
    <row r="25544" spans="32:32" x14ac:dyDescent="0.2">
      <c r="AF25544" s="679"/>
    </row>
    <row r="25545" spans="32:32" x14ac:dyDescent="0.2">
      <c r="AF25545" s="679"/>
    </row>
    <row r="25546" spans="32:32" x14ac:dyDescent="0.2">
      <c r="AF25546" s="679"/>
    </row>
    <row r="25547" spans="32:32" x14ac:dyDescent="0.2">
      <c r="AF25547" s="679"/>
    </row>
    <row r="25548" spans="32:32" x14ac:dyDescent="0.2">
      <c r="AF25548" s="679"/>
    </row>
    <row r="25549" spans="32:32" x14ac:dyDescent="0.2">
      <c r="AF25549" s="679"/>
    </row>
    <row r="25550" spans="32:32" x14ac:dyDescent="0.2">
      <c r="AF25550" s="679"/>
    </row>
    <row r="25551" spans="32:32" x14ac:dyDescent="0.2">
      <c r="AF25551" s="679"/>
    </row>
    <row r="25552" spans="32:32" x14ac:dyDescent="0.2">
      <c r="AF25552" s="679"/>
    </row>
    <row r="25553" spans="32:32" x14ac:dyDescent="0.2">
      <c r="AF25553" s="679"/>
    </row>
    <row r="25554" spans="32:32" x14ac:dyDescent="0.2">
      <c r="AF25554" s="679"/>
    </row>
    <row r="25555" spans="32:32" x14ac:dyDescent="0.2">
      <c r="AF25555" s="679"/>
    </row>
    <row r="25556" spans="32:32" x14ac:dyDescent="0.2">
      <c r="AF25556" s="679"/>
    </row>
    <row r="25557" spans="32:32" x14ac:dyDescent="0.2">
      <c r="AF25557" s="679"/>
    </row>
    <row r="25558" spans="32:32" x14ac:dyDescent="0.2">
      <c r="AF25558" s="679"/>
    </row>
    <row r="25559" spans="32:32" x14ac:dyDescent="0.2">
      <c r="AF25559" s="679"/>
    </row>
    <row r="25560" spans="32:32" x14ac:dyDescent="0.2">
      <c r="AF25560" s="679"/>
    </row>
    <row r="25561" spans="32:32" x14ac:dyDescent="0.2">
      <c r="AF25561" s="679"/>
    </row>
    <row r="25562" spans="32:32" x14ac:dyDescent="0.2">
      <c r="AF25562" s="679"/>
    </row>
    <row r="25563" spans="32:32" x14ac:dyDescent="0.2">
      <c r="AF25563" s="679"/>
    </row>
    <row r="25564" spans="32:32" x14ac:dyDescent="0.2">
      <c r="AF25564" s="679"/>
    </row>
    <row r="25565" spans="32:32" x14ac:dyDescent="0.2">
      <c r="AF25565" s="679"/>
    </row>
    <row r="25566" spans="32:32" x14ac:dyDescent="0.2">
      <c r="AF25566" s="679"/>
    </row>
    <row r="25567" spans="32:32" x14ac:dyDescent="0.2">
      <c r="AF25567" s="679"/>
    </row>
    <row r="25568" spans="32:32" x14ac:dyDescent="0.2">
      <c r="AF25568" s="679"/>
    </row>
    <row r="25569" spans="32:32" x14ac:dyDescent="0.2">
      <c r="AF25569" s="679"/>
    </row>
    <row r="25570" spans="32:32" x14ac:dyDescent="0.2">
      <c r="AF25570" s="679"/>
    </row>
    <row r="25571" spans="32:32" x14ac:dyDescent="0.2">
      <c r="AF25571" s="679"/>
    </row>
    <row r="25572" spans="32:32" x14ac:dyDescent="0.2">
      <c r="AF25572" s="679"/>
    </row>
    <row r="25573" spans="32:32" x14ac:dyDescent="0.2">
      <c r="AF25573" s="679"/>
    </row>
    <row r="25574" spans="32:32" x14ac:dyDescent="0.2">
      <c r="AF25574" s="679"/>
    </row>
    <row r="25575" spans="32:32" x14ac:dyDescent="0.2">
      <c r="AF25575" s="679"/>
    </row>
    <row r="25576" spans="32:32" x14ac:dyDescent="0.2">
      <c r="AF25576" s="679"/>
    </row>
    <row r="25577" spans="32:32" x14ac:dyDescent="0.2">
      <c r="AF25577" s="679"/>
    </row>
    <row r="25578" spans="32:32" x14ac:dyDescent="0.2">
      <c r="AF25578" s="679"/>
    </row>
    <row r="25579" spans="32:32" x14ac:dyDescent="0.2">
      <c r="AF25579" s="679"/>
    </row>
    <row r="25580" spans="32:32" x14ac:dyDescent="0.2">
      <c r="AF25580" s="679"/>
    </row>
    <row r="25581" spans="32:32" x14ac:dyDescent="0.2">
      <c r="AF25581" s="679"/>
    </row>
    <row r="25582" spans="32:32" x14ac:dyDescent="0.2">
      <c r="AF25582" s="679"/>
    </row>
    <row r="25583" spans="32:32" x14ac:dyDescent="0.2">
      <c r="AF25583" s="679"/>
    </row>
    <row r="25584" spans="32:32" x14ac:dyDescent="0.2">
      <c r="AF25584" s="679"/>
    </row>
    <row r="25585" spans="32:32" x14ac:dyDescent="0.2">
      <c r="AF25585" s="679"/>
    </row>
    <row r="25586" spans="32:32" x14ac:dyDescent="0.2">
      <c r="AF25586" s="679"/>
    </row>
    <row r="25587" spans="32:32" x14ac:dyDescent="0.2">
      <c r="AF25587" s="679"/>
    </row>
    <row r="25588" spans="32:32" x14ac:dyDescent="0.2">
      <c r="AF25588" s="679"/>
    </row>
    <row r="25589" spans="32:32" x14ac:dyDescent="0.2">
      <c r="AF25589" s="679"/>
    </row>
    <row r="25590" spans="32:32" x14ac:dyDescent="0.2">
      <c r="AF25590" s="679"/>
    </row>
    <row r="25591" spans="32:32" x14ac:dyDescent="0.2">
      <c r="AF25591" s="679"/>
    </row>
    <row r="25592" spans="32:32" x14ac:dyDescent="0.2">
      <c r="AF25592" s="679"/>
    </row>
    <row r="25593" spans="32:32" x14ac:dyDescent="0.2">
      <c r="AF25593" s="679"/>
    </row>
    <row r="25594" spans="32:32" x14ac:dyDescent="0.2">
      <c r="AF25594" s="679"/>
    </row>
    <row r="25595" spans="32:32" x14ac:dyDescent="0.2">
      <c r="AF25595" s="679"/>
    </row>
    <row r="25596" spans="32:32" x14ac:dyDescent="0.2">
      <c r="AF25596" s="679"/>
    </row>
    <row r="25597" spans="32:32" x14ac:dyDescent="0.2">
      <c r="AF25597" s="679"/>
    </row>
    <row r="25598" spans="32:32" x14ac:dyDescent="0.2">
      <c r="AF25598" s="679"/>
    </row>
    <row r="25599" spans="32:32" x14ac:dyDescent="0.2">
      <c r="AF25599" s="679"/>
    </row>
    <row r="25600" spans="32:32" x14ac:dyDescent="0.2">
      <c r="AF25600" s="679"/>
    </row>
    <row r="25601" spans="32:32" x14ac:dyDescent="0.2">
      <c r="AF25601" s="679"/>
    </row>
    <row r="25602" spans="32:32" x14ac:dyDescent="0.2">
      <c r="AF25602" s="679"/>
    </row>
    <row r="25603" spans="32:32" x14ac:dyDescent="0.2">
      <c r="AF25603" s="679"/>
    </row>
    <row r="25604" spans="32:32" x14ac:dyDescent="0.2">
      <c r="AF25604" s="679"/>
    </row>
    <row r="25605" spans="32:32" x14ac:dyDescent="0.2">
      <c r="AF25605" s="679"/>
    </row>
    <row r="25606" spans="32:32" x14ac:dyDescent="0.2">
      <c r="AF25606" s="679"/>
    </row>
    <row r="25607" spans="32:32" x14ac:dyDescent="0.2">
      <c r="AF25607" s="679"/>
    </row>
    <row r="25608" spans="32:32" x14ac:dyDescent="0.2">
      <c r="AF25608" s="679"/>
    </row>
    <row r="25609" spans="32:32" x14ac:dyDescent="0.2">
      <c r="AF25609" s="679"/>
    </row>
    <row r="25610" spans="32:32" x14ac:dyDescent="0.2">
      <c r="AF25610" s="679"/>
    </row>
    <row r="25611" spans="32:32" x14ac:dyDescent="0.2">
      <c r="AF25611" s="679"/>
    </row>
    <row r="25612" spans="32:32" x14ac:dyDescent="0.2">
      <c r="AF25612" s="679"/>
    </row>
    <row r="25613" spans="32:32" x14ac:dyDescent="0.2">
      <c r="AF25613" s="679"/>
    </row>
    <row r="25614" spans="32:32" x14ac:dyDescent="0.2">
      <c r="AF25614" s="679"/>
    </row>
    <row r="25615" spans="32:32" x14ac:dyDescent="0.2">
      <c r="AF25615" s="679"/>
    </row>
    <row r="25616" spans="32:32" x14ac:dyDescent="0.2">
      <c r="AF25616" s="679"/>
    </row>
    <row r="25617" spans="32:32" x14ac:dyDescent="0.2">
      <c r="AF25617" s="679"/>
    </row>
    <row r="25618" spans="32:32" x14ac:dyDescent="0.2">
      <c r="AF25618" s="679"/>
    </row>
    <row r="25619" spans="32:32" x14ac:dyDescent="0.2">
      <c r="AF25619" s="679"/>
    </row>
    <row r="25620" spans="32:32" x14ac:dyDescent="0.2">
      <c r="AF25620" s="679"/>
    </row>
    <row r="25621" spans="32:32" x14ac:dyDescent="0.2">
      <c r="AF25621" s="679"/>
    </row>
    <row r="25622" spans="32:32" x14ac:dyDescent="0.2">
      <c r="AF25622" s="679"/>
    </row>
    <row r="25623" spans="32:32" x14ac:dyDescent="0.2">
      <c r="AF25623" s="679"/>
    </row>
    <row r="25624" spans="32:32" x14ac:dyDescent="0.2">
      <c r="AF25624" s="679"/>
    </row>
    <row r="25625" spans="32:32" x14ac:dyDescent="0.2">
      <c r="AF25625" s="679"/>
    </row>
    <row r="25626" spans="32:32" x14ac:dyDescent="0.2">
      <c r="AF25626" s="679"/>
    </row>
    <row r="25627" spans="32:32" x14ac:dyDescent="0.2">
      <c r="AF25627" s="679"/>
    </row>
    <row r="25628" spans="32:32" x14ac:dyDescent="0.2">
      <c r="AF25628" s="679"/>
    </row>
    <row r="25629" spans="32:32" x14ac:dyDescent="0.2">
      <c r="AF25629" s="679"/>
    </row>
    <row r="25630" spans="32:32" x14ac:dyDescent="0.2">
      <c r="AF25630" s="679"/>
    </row>
    <row r="25631" spans="32:32" x14ac:dyDescent="0.2">
      <c r="AF25631" s="679"/>
    </row>
    <row r="25632" spans="32:32" x14ac:dyDescent="0.2">
      <c r="AF25632" s="679"/>
    </row>
    <row r="25633" spans="32:32" x14ac:dyDescent="0.2">
      <c r="AF25633" s="679"/>
    </row>
    <row r="25634" spans="32:32" x14ac:dyDescent="0.2">
      <c r="AF25634" s="679"/>
    </row>
    <row r="25635" spans="32:32" x14ac:dyDescent="0.2">
      <c r="AF25635" s="679"/>
    </row>
    <row r="25636" spans="32:32" x14ac:dyDescent="0.2">
      <c r="AF25636" s="679"/>
    </row>
    <row r="25637" spans="32:32" x14ac:dyDescent="0.2">
      <c r="AF25637" s="679"/>
    </row>
    <row r="25638" spans="32:32" x14ac:dyDescent="0.2">
      <c r="AF25638" s="679"/>
    </row>
    <row r="25639" spans="32:32" x14ac:dyDescent="0.2">
      <c r="AF25639" s="679"/>
    </row>
    <row r="25640" spans="32:32" x14ac:dyDescent="0.2">
      <c r="AF25640" s="679"/>
    </row>
    <row r="25641" spans="32:32" x14ac:dyDescent="0.2">
      <c r="AF25641" s="679"/>
    </row>
    <row r="25642" spans="32:32" x14ac:dyDescent="0.2">
      <c r="AF25642" s="679"/>
    </row>
    <row r="25643" spans="32:32" x14ac:dyDescent="0.2">
      <c r="AF25643" s="679"/>
    </row>
    <row r="25644" spans="32:32" x14ac:dyDescent="0.2">
      <c r="AF25644" s="679"/>
    </row>
    <row r="25645" spans="32:32" x14ac:dyDescent="0.2">
      <c r="AF25645" s="679"/>
    </row>
    <row r="25646" spans="32:32" x14ac:dyDescent="0.2">
      <c r="AF25646" s="679"/>
    </row>
    <row r="25647" spans="32:32" x14ac:dyDescent="0.2">
      <c r="AF25647" s="679"/>
    </row>
    <row r="25648" spans="32:32" x14ac:dyDescent="0.2">
      <c r="AF25648" s="679"/>
    </row>
    <row r="25649" spans="32:32" x14ac:dyDescent="0.2">
      <c r="AF25649" s="679"/>
    </row>
    <row r="25650" spans="32:32" x14ac:dyDescent="0.2">
      <c r="AF25650" s="679"/>
    </row>
    <row r="25651" spans="32:32" x14ac:dyDescent="0.2">
      <c r="AF25651" s="679"/>
    </row>
    <row r="25652" spans="32:32" x14ac:dyDescent="0.2">
      <c r="AF25652" s="679"/>
    </row>
    <row r="25653" spans="32:32" x14ac:dyDescent="0.2">
      <c r="AF25653" s="679"/>
    </row>
    <row r="25654" spans="32:32" x14ac:dyDescent="0.2">
      <c r="AF25654" s="679"/>
    </row>
    <row r="25655" spans="32:32" x14ac:dyDescent="0.2">
      <c r="AF25655" s="679"/>
    </row>
    <row r="25656" spans="32:32" x14ac:dyDescent="0.2">
      <c r="AF25656" s="679"/>
    </row>
    <row r="25657" spans="32:32" x14ac:dyDescent="0.2">
      <c r="AF25657" s="679"/>
    </row>
    <row r="25658" spans="32:32" x14ac:dyDescent="0.2">
      <c r="AF25658" s="679"/>
    </row>
    <row r="25659" spans="32:32" x14ac:dyDescent="0.2">
      <c r="AF25659" s="679"/>
    </row>
    <row r="25660" spans="32:32" x14ac:dyDescent="0.2">
      <c r="AF25660" s="679"/>
    </row>
    <row r="25661" spans="32:32" x14ac:dyDescent="0.2">
      <c r="AF25661" s="679"/>
    </row>
    <row r="25662" spans="32:32" x14ac:dyDescent="0.2">
      <c r="AF25662" s="679"/>
    </row>
    <row r="25663" spans="32:32" x14ac:dyDescent="0.2">
      <c r="AF25663" s="679"/>
    </row>
    <row r="25664" spans="32:32" x14ac:dyDescent="0.2">
      <c r="AF25664" s="679"/>
    </row>
    <row r="25665" spans="32:32" x14ac:dyDescent="0.2">
      <c r="AF25665" s="679"/>
    </row>
    <row r="25666" spans="32:32" x14ac:dyDescent="0.2">
      <c r="AF25666" s="679"/>
    </row>
    <row r="25667" spans="32:32" x14ac:dyDescent="0.2">
      <c r="AF25667" s="679"/>
    </row>
    <row r="25668" spans="32:32" x14ac:dyDescent="0.2">
      <c r="AF25668" s="679"/>
    </row>
    <row r="25669" spans="32:32" x14ac:dyDescent="0.2">
      <c r="AF25669" s="679"/>
    </row>
    <row r="25670" spans="32:32" x14ac:dyDescent="0.2">
      <c r="AF25670" s="679"/>
    </row>
    <row r="25671" spans="32:32" x14ac:dyDescent="0.2">
      <c r="AF25671" s="679"/>
    </row>
    <row r="25672" spans="32:32" x14ac:dyDescent="0.2">
      <c r="AF25672" s="679"/>
    </row>
    <row r="25673" spans="32:32" x14ac:dyDescent="0.2">
      <c r="AF25673" s="679"/>
    </row>
    <row r="25674" spans="32:32" x14ac:dyDescent="0.2">
      <c r="AF25674" s="679"/>
    </row>
    <row r="25675" spans="32:32" x14ac:dyDescent="0.2">
      <c r="AF25675" s="679"/>
    </row>
    <row r="25676" spans="32:32" x14ac:dyDescent="0.2">
      <c r="AF25676" s="679"/>
    </row>
    <row r="25677" spans="32:32" x14ac:dyDescent="0.2">
      <c r="AF25677" s="679"/>
    </row>
    <row r="25678" spans="32:32" x14ac:dyDescent="0.2">
      <c r="AF25678" s="679"/>
    </row>
    <row r="25679" spans="32:32" x14ac:dyDescent="0.2">
      <c r="AF25679" s="679"/>
    </row>
    <row r="25680" spans="32:32" x14ac:dyDescent="0.2">
      <c r="AF25680" s="679"/>
    </row>
    <row r="25681" spans="32:32" x14ac:dyDescent="0.2">
      <c r="AF25681" s="679"/>
    </row>
    <row r="25682" spans="32:32" x14ac:dyDescent="0.2">
      <c r="AF25682" s="679"/>
    </row>
    <row r="25683" spans="32:32" x14ac:dyDescent="0.2">
      <c r="AF25683" s="679"/>
    </row>
    <row r="25684" spans="32:32" x14ac:dyDescent="0.2">
      <c r="AF25684" s="679"/>
    </row>
    <row r="25685" spans="32:32" x14ac:dyDescent="0.2">
      <c r="AF25685" s="679"/>
    </row>
    <row r="25686" spans="32:32" x14ac:dyDescent="0.2">
      <c r="AF25686" s="679"/>
    </row>
    <row r="25687" spans="32:32" x14ac:dyDescent="0.2">
      <c r="AF25687" s="679"/>
    </row>
    <row r="25688" spans="32:32" x14ac:dyDescent="0.2">
      <c r="AF25688" s="679"/>
    </row>
    <row r="25689" spans="32:32" x14ac:dyDescent="0.2">
      <c r="AF25689" s="679"/>
    </row>
    <row r="25690" spans="32:32" x14ac:dyDescent="0.2">
      <c r="AF25690" s="679"/>
    </row>
    <row r="25691" spans="32:32" x14ac:dyDescent="0.2">
      <c r="AF25691" s="679"/>
    </row>
    <row r="25692" spans="32:32" x14ac:dyDescent="0.2">
      <c r="AF25692" s="679"/>
    </row>
    <row r="25693" spans="32:32" x14ac:dyDescent="0.2">
      <c r="AF25693" s="679"/>
    </row>
    <row r="25694" spans="32:32" x14ac:dyDescent="0.2">
      <c r="AF25694" s="679"/>
    </row>
    <row r="25695" spans="32:32" x14ac:dyDescent="0.2">
      <c r="AF25695" s="679"/>
    </row>
    <row r="25696" spans="32:32" x14ac:dyDescent="0.2">
      <c r="AF25696" s="679"/>
    </row>
    <row r="25697" spans="32:32" x14ac:dyDescent="0.2">
      <c r="AF25697" s="679"/>
    </row>
    <row r="25698" spans="32:32" x14ac:dyDescent="0.2">
      <c r="AF25698" s="679"/>
    </row>
    <row r="25699" spans="32:32" x14ac:dyDescent="0.2">
      <c r="AF25699" s="679"/>
    </row>
    <row r="25700" spans="32:32" x14ac:dyDescent="0.2">
      <c r="AF25700" s="679"/>
    </row>
    <row r="25701" spans="32:32" x14ac:dyDescent="0.2">
      <c r="AF25701" s="679"/>
    </row>
    <row r="25702" spans="32:32" x14ac:dyDescent="0.2">
      <c r="AF25702" s="679"/>
    </row>
    <row r="25703" spans="32:32" x14ac:dyDescent="0.2">
      <c r="AF25703" s="679"/>
    </row>
    <row r="25704" spans="32:32" x14ac:dyDescent="0.2">
      <c r="AF25704" s="679"/>
    </row>
    <row r="25705" spans="32:32" x14ac:dyDescent="0.2">
      <c r="AF25705" s="679"/>
    </row>
    <row r="25706" spans="32:32" x14ac:dyDescent="0.2">
      <c r="AF25706" s="679"/>
    </row>
    <row r="25707" spans="32:32" x14ac:dyDescent="0.2">
      <c r="AF25707" s="679"/>
    </row>
    <row r="25708" spans="32:32" x14ac:dyDescent="0.2">
      <c r="AF25708" s="679"/>
    </row>
    <row r="25709" spans="32:32" x14ac:dyDescent="0.2">
      <c r="AF25709" s="679"/>
    </row>
    <row r="25710" spans="32:32" x14ac:dyDescent="0.2">
      <c r="AF25710" s="679"/>
    </row>
    <row r="25711" spans="32:32" x14ac:dyDescent="0.2">
      <c r="AF25711" s="679"/>
    </row>
    <row r="25712" spans="32:32" x14ac:dyDescent="0.2">
      <c r="AF25712" s="679"/>
    </row>
    <row r="25713" spans="32:32" x14ac:dyDescent="0.2">
      <c r="AF25713" s="679"/>
    </row>
    <row r="25714" spans="32:32" x14ac:dyDescent="0.2">
      <c r="AF25714" s="679"/>
    </row>
    <row r="25715" spans="32:32" x14ac:dyDescent="0.2">
      <c r="AF25715" s="679"/>
    </row>
    <row r="25716" spans="32:32" x14ac:dyDescent="0.2">
      <c r="AF25716" s="679"/>
    </row>
    <row r="25717" spans="32:32" x14ac:dyDescent="0.2">
      <c r="AF25717" s="679"/>
    </row>
    <row r="25718" spans="32:32" x14ac:dyDescent="0.2">
      <c r="AF25718" s="679"/>
    </row>
    <row r="25719" spans="32:32" x14ac:dyDescent="0.2">
      <c r="AF25719" s="679"/>
    </row>
    <row r="25720" spans="32:32" x14ac:dyDescent="0.2">
      <c r="AF25720" s="679"/>
    </row>
    <row r="25721" spans="32:32" x14ac:dyDescent="0.2">
      <c r="AF25721" s="679"/>
    </row>
    <row r="25722" spans="32:32" x14ac:dyDescent="0.2">
      <c r="AF25722" s="679"/>
    </row>
    <row r="25723" spans="32:32" x14ac:dyDescent="0.2">
      <c r="AF25723" s="679"/>
    </row>
    <row r="25724" spans="32:32" x14ac:dyDescent="0.2">
      <c r="AF25724" s="679"/>
    </row>
    <row r="25725" spans="32:32" x14ac:dyDescent="0.2">
      <c r="AF25725" s="679"/>
    </row>
    <row r="25726" spans="32:32" x14ac:dyDescent="0.2">
      <c r="AF25726" s="679"/>
    </row>
    <row r="25727" spans="32:32" x14ac:dyDescent="0.2">
      <c r="AF25727" s="679"/>
    </row>
    <row r="25728" spans="32:32" x14ac:dyDescent="0.2">
      <c r="AF25728" s="679"/>
    </row>
    <row r="25729" spans="32:32" x14ac:dyDescent="0.2">
      <c r="AF25729" s="679"/>
    </row>
    <row r="25730" spans="32:32" x14ac:dyDescent="0.2">
      <c r="AF25730" s="679"/>
    </row>
    <row r="25731" spans="32:32" x14ac:dyDescent="0.2">
      <c r="AF25731" s="679"/>
    </row>
    <row r="25732" spans="32:32" x14ac:dyDescent="0.2">
      <c r="AF25732" s="679"/>
    </row>
    <row r="25733" spans="32:32" x14ac:dyDescent="0.2">
      <c r="AF25733" s="679"/>
    </row>
    <row r="25734" spans="32:32" x14ac:dyDescent="0.2">
      <c r="AF25734" s="679"/>
    </row>
    <row r="25735" spans="32:32" x14ac:dyDescent="0.2">
      <c r="AF25735" s="679"/>
    </row>
    <row r="25736" spans="32:32" x14ac:dyDescent="0.2">
      <c r="AF25736" s="679"/>
    </row>
    <row r="25737" spans="32:32" x14ac:dyDescent="0.2">
      <c r="AF25737" s="679"/>
    </row>
    <row r="25738" spans="32:32" x14ac:dyDescent="0.2">
      <c r="AF25738" s="679"/>
    </row>
    <row r="25739" spans="32:32" x14ac:dyDescent="0.2">
      <c r="AF25739" s="679"/>
    </row>
    <row r="25740" spans="32:32" x14ac:dyDescent="0.2">
      <c r="AF25740" s="679"/>
    </row>
    <row r="25741" spans="32:32" x14ac:dyDescent="0.2">
      <c r="AF25741" s="679"/>
    </row>
    <row r="25742" spans="32:32" x14ac:dyDescent="0.2">
      <c r="AF25742" s="679"/>
    </row>
    <row r="25743" spans="32:32" x14ac:dyDescent="0.2">
      <c r="AF25743" s="679"/>
    </row>
    <row r="25744" spans="32:32" x14ac:dyDescent="0.2">
      <c r="AF25744" s="679"/>
    </row>
    <row r="25745" spans="32:32" x14ac:dyDescent="0.2">
      <c r="AF25745" s="679"/>
    </row>
    <row r="25746" spans="32:32" x14ac:dyDescent="0.2">
      <c r="AF25746" s="679"/>
    </row>
    <row r="25747" spans="32:32" x14ac:dyDescent="0.2">
      <c r="AF25747" s="679"/>
    </row>
    <row r="25748" spans="32:32" x14ac:dyDescent="0.2">
      <c r="AF25748" s="679"/>
    </row>
    <row r="25749" spans="32:32" x14ac:dyDescent="0.2">
      <c r="AF25749" s="679"/>
    </row>
    <row r="25750" spans="32:32" x14ac:dyDescent="0.2">
      <c r="AF25750" s="679"/>
    </row>
    <row r="25751" spans="32:32" x14ac:dyDescent="0.2">
      <c r="AF25751" s="679"/>
    </row>
    <row r="25752" spans="32:32" x14ac:dyDescent="0.2">
      <c r="AF25752" s="679"/>
    </row>
    <row r="25753" spans="32:32" x14ac:dyDescent="0.2">
      <c r="AF25753" s="679"/>
    </row>
    <row r="25754" spans="32:32" x14ac:dyDescent="0.2">
      <c r="AF25754" s="679"/>
    </row>
    <row r="25755" spans="32:32" x14ac:dyDescent="0.2">
      <c r="AF25755" s="679"/>
    </row>
    <row r="25756" spans="32:32" x14ac:dyDescent="0.2">
      <c r="AF25756" s="679"/>
    </row>
    <row r="25757" spans="32:32" x14ac:dyDescent="0.2">
      <c r="AF25757" s="679"/>
    </row>
    <row r="25758" spans="32:32" x14ac:dyDescent="0.2">
      <c r="AF25758" s="679"/>
    </row>
    <row r="25759" spans="32:32" x14ac:dyDescent="0.2">
      <c r="AF25759" s="679"/>
    </row>
    <row r="25760" spans="32:32" x14ac:dyDescent="0.2">
      <c r="AF25760" s="679"/>
    </row>
    <row r="25761" spans="32:32" x14ac:dyDescent="0.2">
      <c r="AF25761" s="679"/>
    </row>
    <row r="25762" spans="32:32" x14ac:dyDescent="0.2">
      <c r="AF25762" s="679"/>
    </row>
    <row r="25763" spans="32:32" x14ac:dyDescent="0.2">
      <c r="AF25763" s="679"/>
    </row>
    <row r="25764" spans="32:32" x14ac:dyDescent="0.2">
      <c r="AF25764" s="679"/>
    </row>
    <row r="25765" spans="32:32" x14ac:dyDescent="0.2">
      <c r="AF25765" s="679"/>
    </row>
    <row r="25766" spans="32:32" x14ac:dyDescent="0.2">
      <c r="AF25766" s="679"/>
    </row>
    <row r="25767" spans="32:32" x14ac:dyDescent="0.2">
      <c r="AF25767" s="679"/>
    </row>
    <row r="25768" spans="32:32" x14ac:dyDescent="0.2">
      <c r="AF25768" s="679"/>
    </row>
    <row r="25769" spans="32:32" x14ac:dyDescent="0.2">
      <c r="AF25769" s="679"/>
    </row>
    <row r="25770" spans="32:32" x14ac:dyDescent="0.2">
      <c r="AF25770" s="679"/>
    </row>
    <row r="25771" spans="32:32" x14ac:dyDescent="0.2">
      <c r="AF25771" s="679"/>
    </row>
    <row r="25772" spans="32:32" x14ac:dyDescent="0.2">
      <c r="AF25772" s="679"/>
    </row>
    <row r="25773" spans="32:32" x14ac:dyDescent="0.2">
      <c r="AF25773" s="679"/>
    </row>
    <row r="25774" spans="32:32" x14ac:dyDescent="0.2">
      <c r="AF25774" s="679"/>
    </row>
    <row r="25775" spans="32:32" x14ac:dyDescent="0.2">
      <c r="AF25775" s="679"/>
    </row>
    <row r="25776" spans="32:32" x14ac:dyDescent="0.2">
      <c r="AF25776" s="679"/>
    </row>
    <row r="25777" spans="32:32" x14ac:dyDescent="0.2">
      <c r="AF25777" s="679"/>
    </row>
    <row r="25778" spans="32:32" x14ac:dyDescent="0.2">
      <c r="AF25778" s="679"/>
    </row>
    <row r="25779" spans="32:32" x14ac:dyDescent="0.2">
      <c r="AF25779" s="679"/>
    </row>
    <row r="25780" spans="32:32" x14ac:dyDescent="0.2">
      <c r="AF25780" s="679"/>
    </row>
    <row r="25781" spans="32:32" x14ac:dyDescent="0.2">
      <c r="AF25781" s="679"/>
    </row>
    <row r="25782" spans="32:32" x14ac:dyDescent="0.2">
      <c r="AF25782" s="679"/>
    </row>
    <row r="25783" spans="32:32" x14ac:dyDescent="0.2">
      <c r="AF25783" s="679"/>
    </row>
    <row r="25784" spans="32:32" x14ac:dyDescent="0.2">
      <c r="AF25784" s="679"/>
    </row>
    <row r="25785" spans="32:32" x14ac:dyDescent="0.2">
      <c r="AF25785" s="679"/>
    </row>
    <row r="25786" spans="32:32" x14ac:dyDescent="0.2">
      <c r="AF25786" s="679"/>
    </row>
    <row r="25787" spans="32:32" x14ac:dyDescent="0.2">
      <c r="AF25787" s="679"/>
    </row>
    <row r="25788" spans="32:32" x14ac:dyDescent="0.2">
      <c r="AF25788" s="679"/>
    </row>
    <row r="25789" spans="32:32" x14ac:dyDescent="0.2">
      <c r="AF25789" s="679"/>
    </row>
    <row r="25790" spans="32:32" x14ac:dyDescent="0.2">
      <c r="AF25790" s="679"/>
    </row>
    <row r="25791" spans="32:32" x14ac:dyDescent="0.2">
      <c r="AF25791" s="679"/>
    </row>
    <row r="25792" spans="32:32" x14ac:dyDescent="0.2">
      <c r="AF25792" s="679"/>
    </row>
    <row r="25793" spans="32:32" x14ac:dyDescent="0.2">
      <c r="AF25793" s="679"/>
    </row>
    <row r="25794" spans="32:32" x14ac:dyDescent="0.2">
      <c r="AF25794" s="679"/>
    </row>
    <row r="25795" spans="32:32" x14ac:dyDescent="0.2">
      <c r="AF25795" s="679"/>
    </row>
    <row r="25796" spans="32:32" x14ac:dyDescent="0.2">
      <c r="AF25796" s="679"/>
    </row>
    <row r="25797" spans="32:32" x14ac:dyDescent="0.2">
      <c r="AF25797" s="679"/>
    </row>
    <row r="25798" spans="32:32" x14ac:dyDescent="0.2">
      <c r="AF25798" s="679"/>
    </row>
    <row r="25799" spans="32:32" x14ac:dyDescent="0.2">
      <c r="AF25799" s="679"/>
    </row>
    <row r="25800" spans="32:32" x14ac:dyDescent="0.2">
      <c r="AF25800" s="679"/>
    </row>
    <row r="25801" spans="32:32" x14ac:dyDescent="0.2">
      <c r="AF25801" s="679"/>
    </row>
    <row r="25802" spans="32:32" x14ac:dyDescent="0.2">
      <c r="AF25802" s="679"/>
    </row>
    <row r="25803" spans="32:32" x14ac:dyDescent="0.2">
      <c r="AF25803" s="679"/>
    </row>
    <row r="25804" spans="32:32" x14ac:dyDescent="0.2">
      <c r="AF25804" s="679"/>
    </row>
    <row r="25805" spans="32:32" x14ac:dyDescent="0.2">
      <c r="AF25805" s="679"/>
    </row>
    <row r="25806" spans="32:32" x14ac:dyDescent="0.2">
      <c r="AF25806" s="679"/>
    </row>
    <row r="25807" spans="32:32" x14ac:dyDescent="0.2">
      <c r="AF25807" s="679"/>
    </row>
    <row r="25808" spans="32:32" x14ac:dyDescent="0.2">
      <c r="AF25808" s="679"/>
    </row>
    <row r="25809" spans="32:32" x14ac:dyDescent="0.2">
      <c r="AF25809" s="679"/>
    </row>
    <row r="25810" spans="32:32" x14ac:dyDescent="0.2">
      <c r="AF25810" s="679"/>
    </row>
    <row r="25811" spans="32:32" x14ac:dyDescent="0.2">
      <c r="AF25811" s="679"/>
    </row>
    <row r="25812" spans="32:32" x14ac:dyDescent="0.2">
      <c r="AF25812" s="679"/>
    </row>
    <row r="25813" spans="32:32" x14ac:dyDescent="0.2">
      <c r="AF25813" s="679"/>
    </row>
    <row r="25814" spans="32:32" x14ac:dyDescent="0.2">
      <c r="AF25814" s="679"/>
    </row>
    <row r="25815" spans="32:32" x14ac:dyDescent="0.2">
      <c r="AF25815" s="679"/>
    </row>
    <row r="25816" spans="32:32" x14ac:dyDescent="0.2">
      <c r="AF25816" s="679"/>
    </row>
    <row r="25817" spans="32:32" x14ac:dyDescent="0.2">
      <c r="AF25817" s="679"/>
    </row>
    <row r="25818" spans="32:32" x14ac:dyDescent="0.2">
      <c r="AF25818" s="679"/>
    </row>
    <row r="25819" spans="32:32" x14ac:dyDescent="0.2">
      <c r="AF25819" s="679"/>
    </row>
    <row r="25820" spans="32:32" x14ac:dyDescent="0.2">
      <c r="AF25820" s="679"/>
    </row>
    <row r="25821" spans="32:32" x14ac:dyDescent="0.2">
      <c r="AF25821" s="679"/>
    </row>
    <row r="25822" spans="32:32" x14ac:dyDescent="0.2">
      <c r="AF25822" s="679"/>
    </row>
    <row r="25823" spans="32:32" x14ac:dyDescent="0.2">
      <c r="AF25823" s="679"/>
    </row>
    <row r="25824" spans="32:32" x14ac:dyDescent="0.2">
      <c r="AF25824" s="679"/>
    </row>
    <row r="25825" spans="32:32" x14ac:dyDescent="0.2">
      <c r="AF25825" s="679"/>
    </row>
    <row r="25826" spans="32:32" x14ac:dyDescent="0.2">
      <c r="AF25826" s="679"/>
    </row>
    <row r="25827" spans="32:32" x14ac:dyDescent="0.2">
      <c r="AF25827" s="679"/>
    </row>
    <row r="25828" spans="32:32" x14ac:dyDescent="0.2">
      <c r="AF25828" s="679"/>
    </row>
    <row r="25829" spans="32:32" x14ac:dyDescent="0.2">
      <c r="AF25829" s="679"/>
    </row>
    <row r="25830" spans="32:32" x14ac:dyDescent="0.2">
      <c r="AF25830" s="679"/>
    </row>
    <row r="25831" spans="32:32" x14ac:dyDescent="0.2">
      <c r="AF25831" s="679"/>
    </row>
    <row r="25832" spans="32:32" x14ac:dyDescent="0.2">
      <c r="AF25832" s="679"/>
    </row>
    <row r="25833" spans="32:32" x14ac:dyDescent="0.2">
      <c r="AF25833" s="679"/>
    </row>
    <row r="25834" spans="32:32" x14ac:dyDescent="0.2">
      <c r="AF25834" s="679"/>
    </row>
    <row r="25835" spans="32:32" x14ac:dyDescent="0.2">
      <c r="AF25835" s="679"/>
    </row>
    <row r="25836" spans="32:32" x14ac:dyDescent="0.2">
      <c r="AF25836" s="679"/>
    </row>
    <row r="25837" spans="32:32" x14ac:dyDescent="0.2">
      <c r="AF25837" s="679"/>
    </row>
    <row r="25838" spans="32:32" x14ac:dyDescent="0.2">
      <c r="AF25838" s="679"/>
    </row>
    <row r="25839" spans="32:32" x14ac:dyDescent="0.2">
      <c r="AF25839" s="679"/>
    </row>
    <row r="25840" spans="32:32" x14ac:dyDescent="0.2">
      <c r="AF25840" s="679"/>
    </row>
    <row r="25841" spans="32:32" x14ac:dyDescent="0.2">
      <c r="AF25841" s="679"/>
    </row>
    <row r="25842" spans="32:32" x14ac:dyDescent="0.2">
      <c r="AF25842" s="679"/>
    </row>
    <row r="25843" spans="32:32" x14ac:dyDescent="0.2">
      <c r="AF25843" s="679"/>
    </row>
    <row r="25844" spans="32:32" x14ac:dyDescent="0.2">
      <c r="AF25844" s="679"/>
    </row>
    <row r="25845" spans="32:32" x14ac:dyDescent="0.2">
      <c r="AF25845" s="679"/>
    </row>
    <row r="25846" spans="32:32" x14ac:dyDescent="0.2">
      <c r="AF25846" s="679"/>
    </row>
    <row r="25847" spans="32:32" x14ac:dyDescent="0.2">
      <c r="AF25847" s="679"/>
    </row>
    <row r="25848" spans="32:32" x14ac:dyDescent="0.2">
      <c r="AF25848" s="679"/>
    </row>
    <row r="25849" spans="32:32" x14ac:dyDescent="0.2">
      <c r="AF25849" s="679"/>
    </row>
    <row r="25850" spans="32:32" x14ac:dyDescent="0.2">
      <c r="AF25850" s="679"/>
    </row>
    <row r="25851" spans="32:32" x14ac:dyDescent="0.2">
      <c r="AF25851" s="679"/>
    </row>
    <row r="25852" spans="32:32" x14ac:dyDescent="0.2">
      <c r="AF25852" s="679"/>
    </row>
    <row r="25853" spans="32:32" x14ac:dyDescent="0.2">
      <c r="AF25853" s="679"/>
    </row>
    <row r="25854" spans="32:32" x14ac:dyDescent="0.2">
      <c r="AF25854" s="679"/>
    </row>
    <row r="25855" spans="32:32" x14ac:dyDescent="0.2">
      <c r="AF25855" s="679"/>
    </row>
    <row r="25856" spans="32:32" x14ac:dyDescent="0.2">
      <c r="AF25856" s="679"/>
    </row>
    <row r="25857" spans="32:32" x14ac:dyDescent="0.2">
      <c r="AF25857" s="679"/>
    </row>
    <row r="25858" spans="32:32" x14ac:dyDescent="0.2">
      <c r="AF25858" s="679"/>
    </row>
    <row r="25859" spans="32:32" x14ac:dyDescent="0.2">
      <c r="AF25859" s="679"/>
    </row>
    <row r="25860" spans="32:32" x14ac:dyDescent="0.2">
      <c r="AF25860" s="679"/>
    </row>
    <row r="25861" spans="32:32" x14ac:dyDescent="0.2">
      <c r="AF25861" s="679"/>
    </row>
    <row r="25862" spans="32:32" x14ac:dyDescent="0.2">
      <c r="AF25862" s="679"/>
    </row>
    <row r="25863" spans="32:32" x14ac:dyDescent="0.2">
      <c r="AF25863" s="679"/>
    </row>
    <row r="25864" spans="32:32" x14ac:dyDescent="0.2">
      <c r="AF25864" s="679"/>
    </row>
    <row r="25865" spans="32:32" x14ac:dyDescent="0.2">
      <c r="AF25865" s="679"/>
    </row>
    <row r="25866" spans="32:32" x14ac:dyDescent="0.2">
      <c r="AF25866" s="679"/>
    </row>
    <row r="25867" spans="32:32" x14ac:dyDescent="0.2">
      <c r="AF25867" s="679"/>
    </row>
    <row r="25868" spans="32:32" x14ac:dyDescent="0.2">
      <c r="AF25868" s="679"/>
    </row>
    <row r="25869" spans="32:32" x14ac:dyDescent="0.2">
      <c r="AF25869" s="679"/>
    </row>
    <row r="25870" spans="32:32" x14ac:dyDescent="0.2">
      <c r="AF25870" s="679"/>
    </row>
    <row r="25871" spans="32:32" x14ac:dyDescent="0.2">
      <c r="AF25871" s="679"/>
    </row>
    <row r="25872" spans="32:32" x14ac:dyDescent="0.2">
      <c r="AF25872" s="679"/>
    </row>
    <row r="25873" spans="32:32" x14ac:dyDescent="0.2">
      <c r="AF25873" s="679"/>
    </row>
    <row r="25874" spans="32:32" x14ac:dyDescent="0.2">
      <c r="AF25874" s="679"/>
    </row>
    <row r="25875" spans="32:32" x14ac:dyDescent="0.2">
      <c r="AF25875" s="679"/>
    </row>
    <row r="25876" spans="32:32" x14ac:dyDescent="0.2">
      <c r="AF25876" s="679"/>
    </row>
    <row r="25877" spans="32:32" x14ac:dyDescent="0.2">
      <c r="AF25877" s="679"/>
    </row>
    <row r="25878" spans="32:32" x14ac:dyDescent="0.2">
      <c r="AF25878" s="679"/>
    </row>
    <row r="25879" spans="32:32" x14ac:dyDescent="0.2">
      <c r="AF25879" s="679"/>
    </row>
    <row r="25880" spans="32:32" x14ac:dyDescent="0.2">
      <c r="AF25880" s="679"/>
    </row>
    <row r="25881" spans="32:32" x14ac:dyDescent="0.2">
      <c r="AF25881" s="679"/>
    </row>
    <row r="25882" spans="32:32" x14ac:dyDescent="0.2">
      <c r="AF25882" s="679"/>
    </row>
    <row r="25883" spans="32:32" x14ac:dyDescent="0.2">
      <c r="AF25883" s="679"/>
    </row>
    <row r="25884" spans="32:32" x14ac:dyDescent="0.2">
      <c r="AF25884" s="679"/>
    </row>
    <row r="25885" spans="32:32" x14ac:dyDescent="0.2">
      <c r="AF25885" s="679"/>
    </row>
    <row r="25886" spans="32:32" x14ac:dyDescent="0.2">
      <c r="AF25886" s="679"/>
    </row>
    <row r="25887" spans="32:32" x14ac:dyDescent="0.2">
      <c r="AF25887" s="679"/>
    </row>
    <row r="25888" spans="32:32" x14ac:dyDescent="0.2">
      <c r="AF25888" s="679"/>
    </row>
    <row r="25889" spans="32:32" x14ac:dyDescent="0.2">
      <c r="AF25889" s="679"/>
    </row>
    <row r="25890" spans="32:32" x14ac:dyDescent="0.2">
      <c r="AF25890" s="679"/>
    </row>
    <row r="25891" spans="32:32" x14ac:dyDescent="0.2">
      <c r="AF25891" s="679"/>
    </row>
    <row r="25892" spans="32:32" x14ac:dyDescent="0.2">
      <c r="AF25892" s="679"/>
    </row>
    <row r="25893" spans="32:32" x14ac:dyDescent="0.2">
      <c r="AF25893" s="679"/>
    </row>
    <row r="25894" spans="32:32" x14ac:dyDescent="0.2">
      <c r="AF25894" s="679"/>
    </row>
    <row r="25895" spans="32:32" x14ac:dyDescent="0.2">
      <c r="AF25895" s="679"/>
    </row>
    <row r="25896" spans="32:32" x14ac:dyDescent="0.2">
      <c r="AF25896" s="679"/>
    </row>
    <row r="25897" spans="32:32" x14ac:dyDescent="0.2">
      <c r="AF25897" s="679"/>
    </row>
    <row r="25898" spans="32:32" x14ac:dyDescent="0.2">
      <c r="AF25898" s="679"/>
    </row>
    <row r="25899" spans="32:32" x14ac:dyDescent="0.2">
      <c r="AF25899" s="679"/>
    </row>
    <row r="25900" spans="32:32" x14ac:dyDescent="0.2">
      <c r="AF25900" s="679"/>
    </row>
    <row r="25901" spans="32:32" x14ac:dyDescent="0.2">
      <c r="AF25901" s="679"/>
    </row>
    <row r="25902" spans="32:32" x14ac:dyDescent="0.2">
      <c r="AF25902" s="679"/>
    </row>
    <row r="25903" spans="32:32" x14ac:dyDescent="0.2">
      <c r="AF25903" s="679"/>
    </row>
    <row r="25904" spans="32:32" x14ac:dyDescent="0.2">
      <c r="AF25904" s="679"/>
    </row>
    <row r="25905" spans="32:32" x14ac:dyDescent="0.2">
      <c r="AF25905" s="679"/>
    </row>
    <row r="25906" spans="32:32" x14ac:dyDescent="0.2">
      <c r="AF25906" s="679"/>
    </row>
    <row r="25907" spans="32:32" x14ac:dyDescent="0.2">
      <c r="AF25907" s="679"/>
    </row>
    <row r="25908" spans="32:32" x14ac:dyDescent="0.2">
      <c r="AF25908" s="679"/>
    </row>
    <row r="25909" spans="32:32" x14ac:dyDescent="0.2">
      <c r="AF25909" s="679"/>
    </row>
    <row r="25910" spans="32:32" x14ac:dyDescent="0.2">
      <c r="AF25910" s="679"/>
    </row>
    <row r="25911" spans="32:32" x14ac:dyDescent="0.2">
      <c r="AF25911" s="679"/>
    </row>
    <row r="25912" spans="32:32" x14ac:dyDescent="0.2">
      <c r="AF25912" s="679"/>
    </row>
    <row r="25913" spans="32:32" x14ac:dyDescent="0.2">
      <c r="AF25913" s="679"/>
    </row>
    <row r="25914" spans="32:32" x14ac:dyDescent="0.2">
      <c r="AF25914" s="679"/>
    </row>
    <row r="25915" spans="32:32" x14ac:dyDescent="0.2">
      <c r="AF25915" s="679"/>
    </row>
    <row r="25916" spans="32:32" x14ac:dyDescent="0.2">
      <c r="AF25916" s="679"/>
    </row>
    <row r="25917" spans="32:32" x14ac:dyDescent="0.2">
      <c r="AF25917" s="679"/>
    </row>
    <row r="25918" spans="32:32" x14ac:dyDescent="0.2">
      <c r="AF25918" s="679"/>
    </row>
    <row r="25919" spans="32:32" x14ac:dyDescent="0.2">
      <c r="AF25919" s="679"/>
    </row>
    <row r="25920" spans="32:32" x14ac:dyDescent="0.2">
      <c r="AF25920" s="679"/>
    </row>
    <row r="25921" spans="32:32" x14ac:dyDescent="0.2">
      <c r="AF25921" s="679"/>
    </row>
    <row r="25922" spans="32:32" x14ac:dyDescent="0.2">
      <c r="AF25922" s="679"/>
    </row>
    <row r="25923" spans="32:32" x14ac:dyDescent="0.2">
      <c r="AF25923" s="679"/>
    </row>
    <row r="25924" spans="32:32" x14ac:dyDescent="0.2">
      <c r="AF25924" s="679"/>
    </row>
    <row r="25925" spans="32:32" x14ac:dyDescent="0.2">
      <c r="AF25925" s="679"/>
    </row>
    <row r="25926" spans="32:32" x14ac:dyDescent="0.2">
      <c r="AF25926" s="679"/>
    </row>
    <row r="25927" spans="32:32" x14ac:dyDescent="0.2">
      <c r="AF25927" s="679"/>
    </row>
    <row r="25928" spans="32:32" x14ac:dyDescent="0.2">
      <c r="AF25928" s="679"/>
    </row>
    <row r="25929" spans="32:32" x14ac:dyDescent="0.2">
      <c r="AF25929" s="679"/>
    </row>
    <row r="25930" spans="32:32" x14ac:dyDescent="0.2">
      <c r="AF25930" s="679"/>
    </row>
    <row r="25931" spans="32:32" x14ac:dyDescent="0.2">
      <c r="AF25931" s="679"/>
    </row>
    <row r="25932" spans="32:32" x14ac:dyDescent="0.2">
      <c r="AF25932" s="679"/>
    </row>
    <row r="25933" spans="32:32" x14ac:dyDescent="0.2">
      <c r="AF25933" s="679"/>
    </row>
    <row r="25934" spans="32:32" x14ac:dyDescent="0.2">
      <c r="AF25934" s="679"/>
    </row>
    <row r="25935" spans="32:32" x14ac:dyDescent="0.2">
      <c r="AF25935" s="679"/>
    </row>
    <row r="25936" spans="32:32" x14ac:dyDescent="0.2">
      <c r="AF25936" s="679"/>
    </row>
    <row r="25937" spans="32:32" x14ac:dyDescent="0.2">
      <c r="AF25937" s="679"/>
    </row>
    <row r="25938" spans="32:32" x14ac:dyDescent="0.2">
      <c r="AF25938" s="679"/>
    </row>
    <row r="25939" spans="32:32" x14ac:dyDescent="0.2">
      <c r="AF25939" s="679"/>
    </row>
    <row r="25940" spans="32:32" x14ac:dyDescent="0.2">
      <c r="AF25940" s="679"/>
    </row>
    <row r="25941" spans="32:32" x14ac:dyDescent="0.2">
      <c r="AF25941" s="679"/>
    </row>
    <row r="25942" spans="32:32" x14ac:dyDescent="0.2">
      <c r="AF25942" s="679"/>
    </row>
    <row r="25943" spans="32:32" x14ac:dyDescent="0.2">
      <c r="AF25943" s="679"/>
    </row>
    <row r="25944" spans="32:32" x14ac:dyDescent="0.2">
      <c r="AF25944" s="679"/>
    </row>
    <row r="25945" spans="32:32" x14ac:dyDescent="0.2">
      <c r="AF25945" s="679"/>
    </row>
    <row r="25946" spans="32:32" x14ac:dyDescent="0.2">
      <c r="AF25946" s="679"/>
    </row>
    <row r="25947" spans="32:32" x14ac:dyDescent="0.2">
      <c r="AF25947" s="679"/>
    </row>
    <row r="25948" spans="32:32" x14ac:dyDescent="0.2">
      <c r="AF25948" s="679"/>
    </row>
    <row r="25949" spans="32:32" x14ac:dyDescent="0.2">
      <c r="AF25949" s="679"/>
    </row>
    <row r="25950" spans="32:32" x14ac:dyDescent="0.2">
      <c r="AF25950" s="679"/>
    </row>
    <row r="25951" spans="32:32" x14ac:dyDescent="0.2">
      <c r="AF25951" s="679"/>
    </row>
    <row r="25952" spans="32:32" x14ac:dyDescent="0.2">
      <c r="AF25952" s="679"/>
    </row>
    <row r="25953" spans="32:32" x14ac:dyDescent="0.2">
      <c r="AF25953" s="679"/>
    </row>
    <row r="25954" spans="32:32" x14ac:dyDescent="0.2">
      <c r="AF25954" s="679"/>
    </row>
    <row r="25955" spans="32:32" x14ac:dyDescent="0.2">
      <c r="AF25955" s="679"/>
    </row>
    <row r="25956" spans="32:32" x14ac:dyDescent="0.2">
      <c r="AF25956" s="679"/>
    </row>
    <row r="25957" spans="32:32" x14ac:dyDescent="0.2">
      <c r="AF25957" s="679"/>
    </row>
    <row r="25958" spans="32:32" x14ac:dyDescent="0.2">
      <c r="AF25958" s="679"/>
    </row>
    <row r="25959" spans="32:32" x14ac:dyDescent="0.2">
      <c r="AF25959" s="679"/>
    </row>
    <row r="25960" spans="32:32" x14ac:dyDescent="0.2">
      <c r="AF25960" s="679"/>
    </row>
    <row r="25961" spans="32:32" x14ac:dyDescent="0.2">
      <c r="AF25961" s="679"/>
    </row>
    <row r="25962" spans="32:32" x14ac:dyDescent="0.2">
      <c r="AF25962" s="679"/>
    </row>
    <row r="25963" spans="32:32" x14ac:dyDescent="0.2">
      <c r="AF25963" s="679"/>
    </row>
    <row r="25964" spans="32:32" x14ac:dyDescent="0.2">
      <c r="AF25964" s="679"/>
    </row>
    <row r="25965" spans="32:32" x14ac:dyDescent="0.2">
      <c r="AF25965" s="679"/>
    </row>
    <row r="25966" spans="32:32" x14ac:dyDescent="0.2">
      <c r="AF25966" s="679"/>
    </row>
    <row r="25967" spans="32:32" x14ac:dyDescent="0.2">
      <c r="AF25967" s="679"/>
    </row>
    <row r="25968" spans="32:32" x14ac:dyDescent="0.2">
      <c r="AF25968" s="679"/>
    </row>
    <row r="25969" spans="32:32" x14ac:dyDescent="0.2">
      <c r="AF25969" s="679"/>
    </row>
    <row r="25970" spans="32:32" x14ac:dyDescent="0.2">
      <c r="AF25970" s="679"/>
    </row>
    <row r="25971" spans="32:32" x14ac:dyDescent="0.2">
      <c r="AF25971" s="679"/>
    </row>
    <row r="25972" spans="32:32" x14ac:dyDescent="0.2">
      <c r="AF25972" s="679"/>
    </row>
    <row r="25973" spans="32:32" x14ac:dyDescent="0.2">
      <c r="AF25973" s="679"/>
    </row>
    <row r="25974" spans="32:32" x14ac:dyDescent="0.2">
      <c r="AF25974" s="679"/>
    </row>
    <row r="25975" spans="32:32" x14ac:dyDescent="0.2">
      <c r="AF25975" s="679"/>
    </row>
    <row r="25976" spans="32:32" x14ac:dyDescent="0.2">
      <c r="AF25976" s="679"/>
    </row>
    <row r="25977" spans="32:32" x14ac:dyDescent="0.2">
      <c r="AF25977" s="679"/>
    </row>
    <row r="25978" spans="32:32" x14ac:dyDescent="0.2">
      <c r="AF25978" s="679"/>
    </row>
    <row r="25979" spans="32:32" x14ac:dyDescent="0.2">
      <c r="AF25979" s="679"/>
    </row>
    <row r="25980" spans="32:32" x14ac:dyDescent="0.2">
      <c r="AF25980" s="679"/>
    </row>
    <row r="25981" spans="32:32" x14ac:dyDescent="0.2">
      <c r="AF25981" s="679"/>
    </row>
    <row r="25982" spans="32:32" x14ac:dyDescent="0.2">
      <c r="AF25982" s="679"/>
    </row>
    <row r="25983" spans="32:32" x14ac:dyDescent="0.2">
      <c r="AF25983" s="679"/>
    </row>
    <row r="25984" spans="32:32" x14ac:dyDescent="0.2">
      <c r="AF25984" s="679"/>
    </row>
    <row r="25985" spans="32:32" x14ac:dyDescent="0.2">
      <c r="AF25985" s="679"/>
    </row>
    <row r="25986" spans="32:32" x14ac:dyDescent="0.2">
      <c r="AF25986" s="679"/>
    </row>
    <row r="25987" spans="32:32" x14ac:dyDescent="0.2">
      <c r="AF25987" s="679"/>
    </row>
    <row r="25988" spans="32:32" x14ac:dyDescent="0.2">
      <c r="AF25988" s="679"/>
    </row>
    <row r="25989" spans="32:32" x14ac:dyDescent="0.2">
      <c r="AF25989" s="679"/>
    </row>
    <row r="25990" spans="32:32" x14ac:dyDescent="0.2">
      <c r="AF25990" s="679"/>
    </row>
    <row r="25991" spans="32:32" x14ac:dyDescent="0.2">
      <c r="AF25991" s="679"/>
    </row>
    <row r="25992" spans="32:32" x14ac:dyDescent="0.2">
      <c r="AF25992" s="679"/>
    </row>
    <row r="25993" spans="32:32" x14ac:dyDescent="0.2">
      <c r="AF25993" s="679"/>
    </row>
    <row r="25994" spans="32:32" x14ac:dyDescent="0.2">
      <c r="AF25994" s="679"/>
    </row>
    <row r="25995" spans="32:32" x14ac:dyDescent="0.2">
      <c r="AF25995" s="679"/>
    </row>
    <row r="25996" spans="32:32" x14ac:dyDescent="0.2">
      <c r="AF25996" s="679"/>
    </row>
    <row r="25997" spans="32:32" x14ac:dyDescent="0.2">
      <c r="AF25997" s="679"/>
    </row>
    <row r="25998" spans="32:32" x14ac:dyDescent="0.2">
      <c r="AF25998" s="679"/>
    </row>
    <row r="25999" spans="32:32" x14ac:dyDescent="0.2">
      <c r="AF25999" s="679"/>
    </row>
    <row r="26000" spans="32:32" x14ac:dyDescent="0.2">
      <c r="AF26000" s="679"/>
    </row>
    <row r="26001" spans="32:32" x14ac:dyDescent="0.2">
      <c r="AF26001" s="679"/>
    </row>
    <row r="26002" spans="32:32" x14ac:dyDescent="0.2">
      <c r="AF26002" s="679"/>
    </row>
    <row r="26003" spans="32:32" x14ac:dyDescent="0.2">
      <c r="AF26003" s="679"/>
    </row>
    <row r="26004" spans="32:32" x14ac:dyDescent="0.2">
      <c r="AF26004" s="679"/>
    </row>
    <row r="26005" spans="32:32" x14ac:dyDescent="0.2">
      <c r="AF26005" s="679"/>
    </row>
    <row r="26006" spans="32:32" x14ac:dyDescent="0.2">
      <c r="AF26006" s="679"/>
    </row>
    <row r="26007" spans="32:32" x14ac:dyDescent="0.2">
      <c r="AF26007" s="679"/>
    </row>
    <row r="26008" spans="32:32" x14ac:dyDescent="0.2">
      <c r="AF26008" s="679"/>
    </row>
    <row r="26009" spans="32:32" x14ac:dyDescent="0.2">
      <c r="AF26009" s="679"/>
    </row>
    <row r="26010" spans="32:32" x14ac:dyDescent="0.2">
      <c r="AF26010" s="679"/>
    </row>
    <row r="26011" spans="32:32" x14ac:dyDescent="0.2">
      <c r="AF26011" s="679"/>
    </row>
    <row r="26012" spans="32:32" x14ac:dyDescent="0.2">
      <c r="AF26012" s="679"/>
    </row>
    <row r="26013" spans="32:32" x14ac:dyDescent="0.2">
      <c r="AF26013" s="679"/>
    </row>
    <row r="26014" spans="32:32" x14ac:dyDescent="0.2">
      <c r="AF26014" s="679"/>
    </row>
    <row r="26015" spans="32:32" x14ac:dyDescent="0.2">
      <c r="AF26015" s="679"/>
    </row>
    <row r="26016" spans="32:32" x14ac:dyDescent="0.2">
      <c r="AF26016" s="679"/>
    </row>
    <row r="26017" spans="32:32" x14ac:dyDescent="0.2">
      <c r="AF26017" s="679"/>
    </row>
    <row r="26018" spans="32:32" x14ac:dyDescent="0.2">
      <c r="AF26018" s="679"/>
    </row>
    <row r="26019" spans="32:32" x14ac:dyDescent="0.2">
      <c r="AF26019" s="679"/>
    </row>
    <row r="26020" spans="32:32" x14ac:dyDescent="0.2">
      <c r="AF26020" s="679"/>
    </row>
    <row r="26021" spans="32:32" x14ac:dyDescent="0.2">
      <c r="AF26021" s="679"/>
    </row>
    <row r="26022" spans="32:32" x14ac:dyDescent="0.2">
      <c r="AF26022" s="679"/>
    </row>
    <row r="26023" spans="32:32" x14ac:dyDescent="0.2">
      <c r="AF26023" s="679"/>
    </row>
    <row r="26024" spans="32:32" x14ac:dyDescent="0.2">
      <c r="AF26024" s="679"/>
    </row>
    <row r="26025" spans="32:32" x14ac:dyDescent="0.2">
      <c r="AF26025" s="679"/>
    </row>
    <row r="26026" spans="32:32" x14ac:dyDescent="0.2">
      <c r="AF26026" s="679"/>
    </row>
    <row r="26027" spans="32:32" x14ac:dyDescent="0.2">
      <c r="AF26027" s="679"/>
    </row>
    <row r="26028" spans="32:32" x14ac:dyDescent="0.2">
      <c r="AF26028" s="679"/>
    </row>
    <row r="26029" spans="32:32" x14ac:dyDescent="0.2">
      <c r="AF26029" s="679"/>
    </row>
    <row r="26030" spans="32:32" x14ac:dyDescent="0.2">
      <c r="AF26030" s="679"/>
    </row>
    <row r="26031" spans="32:32" x14ac:dyDescent="0.2">
      <c r="AF26031" s="679"/>
    </row>
    <row r="26032" spans="32:32" x14ac:dyDescent="0.2">
      <c r="AF26032" s="679"/>
    </row>
    <row r="26033" spans="32:32" x14ac:dyDescent="0.2">
      <c r="AF26033" s="679"/>
    </row>
    <row r="26034" spans="32:32" x14ac:dyDescent="0.2">
      <c r="AF26034" s="679"/>
    </row>
    <row r="26035" spans="32:32" x14ac:dyDescent="0.2">
      <c r="AF26035" s="679"/>
    </row>
    <row r="26036" spans="32:32" x14ac:dyDescent="0.2">
      <c r="AF26036" s="679"/>
    </row>
    <row r="26037" spans="32:32" x14ac:dyDescent="0.2">
      <c r="AF26037" s="679"/>
    </row>
    <row r="26038" spans="32:32" x14ac:dyDescent="0.2">
      <c r="AF26038" s="679"/>
    </row>
    <row r="26039" spans="32:32" x14ac:dyDescent="0.2">
      <c r="AF26039" s="679"/>
    </row>
    <row r="26040" spans="32:32" x14ac:dyDescent="0.2">
      <c r="AF26040" s="679"/>
    </row>
    <row r="26041" spans="32:32" x14ac:dyDescent="0.2">
      <c r="AF26041" s="679"/>
    </row>
    <row r="26042" spans="32:32" x14ac:dyDescent="0.2">
      <c r="AF26042" s="679"/>
    </row>
    <row r="26043" spans="32:32" x14ac:dyDescent="0.2">
      <c r="AF26043" s="679"/>
    </row>
    <row r="26044" spans="32:32" x14ac:dyDescent="0.2">
      <c r="AF26044" s="679"/>
    </row>
    <row r="26045" spans="32:32" x14ac:dyDescent="0.2">
      <c r="AF26045" s="679"/>
    </row>
    <row r="26046" spans="32:32" x14ac:dyDescent="0.2">
      <c r="AF26046" s="679"/>
    </row>
    <row r="26047" spans="32:32" x14ac:dyDescent="0.2">
      <c r="AF26047" s="679"/>
    </row>
    <row r="26048" spans="32:32" x14ac:dyDescent="0.2">
      <c r="AF26048" s="679"/>
    </row>
    <row r="26049" spans="32:32" x14ac:dyDescent="0.2">
      <c r="AF26049" s="679"/>
    </row>
    <row r="26050" spans="32:32" x14ac:dyDescent="0.2">
      <c r="AF26050" s="679"/>
    </row>
    <row r="26051" spans="32:32" x14ac:dyDescent="0.2">
      <c r="AF26051" s="679"/>
    </row>
    <row r="26052" spans="32:32" x14ac:dyDescent="0.2">
      <c r="AF26052" s="679"/>
    </row>
    <row r="26053" spans="32:32" x14ac:dyDescent="0.2">
      <c r="AF26053" s="679"/>
    </row>
    <row r="26054" spans="32:32" x14ac:dyDescent="0.2">
      <c r="AF26054" s="679"/>
    </row>
    <row r="26055" spans="32:32" x14ac:dyDescent="0.2">
      <c r="AF26055" s="679"/>
    </row>
    <row r="26056" spans="32:32" x14ac:dyDescent="0.2">
      <c r="AF26056" s="679"/>
    </row>
    <row r="26057" spans="32:32" x14ac:dyDescent="0.2">
      <c r="AF26057" s="679"/>
    </row>
    <row r="26058" spans="32:32" x14ac:dyDescent="0.2">
      <c r="AF26058" s="679"/>
    </row>
    <row r="26059" spans="32:32" x14ac:dyDescent="0.2">
      <c r="AF26059" s="679"/>
    </row>
    <row r="26060" spans="32:32" x14ac:dyDescent="0.2">
      <c r="AF26060" s="679"/>
    </row>
    <row r="26061" spans="32:32" x14ac:dyDescent="0.2">
      <c r="AF26061" s="679"/>
    </row>
    <row r="26062" spans="32:32" x14ac:dyDescent="0.2">
      <c r="AF26062" s="679"/>
    </row>
    <row r="26063" spans="32:32" x14ac:dyDescent="0.2">
      <c r="AF26063" s="679"/>
    </row>
    <row r="26064" spans="32:32" x14ac:dyDescent="0.2">
      <c r="AF26064" s="679"/>
    </row>
    <row r="26065" spans="32:32" x14ac:dyDescent="0.2">
      <c r="AF26065" s="679"/>
    </row>
    <row r="26066" spans="32:32" x14ac:dyDescent="0.2">
      <c r="AF26066" s="679"/>
    </row>
    <row r="26067" spans="32:32" x14ac:dyDescent="0.2">
      <c r="AF26067" s="679"/>
    </row>
    <row r="26068" spans="32:32" x14ac:dyDescent="0.2">
      <c r="AF26068" s="679"/>
    </row>
    <row r="26069" spans="32:32" x14ac:dyDescent="0.2">
      <c r="AF26069" s="679"/>
    </row>
    <row r="26070" spans="32:32" x14ac:dyDescent="0.2">
      <c r="AF26070" s="679"/>
    </row>
    <row r="26071" spans="32:32" x14ac:dyDescent="0.2">
      <c r="AF26071" s="679"/>
    </row>
    <row r="26072" spans="32:32" x14ac:dyDescent="0.2">
      <c r="AF26072" s="679"/>
    </row>
    <row r="26073" spans="32:32" x14ac:dyDescent="0.2">
      <c r="AF26073" s="679"/>
    </row>
    <row r="26074" spans="32:32" x14ac:dyDescent="0.2">
      <c r="AF26074" s="679"/>
    </row>
    <row r="26075" spans="32:32" x14ac:dyDescent="0.2">
      <c r="AF26075" s="679"/>
    </row>
    <row r="26076" spans="32:32" x14ac:dyDescent="0.2">
      <c r="AF26076" s="679"/>
    </row>
    <row r="26077" spans="32:32" x14ac:dyDescent="0.2">
      <c r="AF26077" s="679"/>
    </row>
    <row r="26078" spans="32:32" x14ac:dyDescent="0.2">
      <c r="AF26078" s="679"/>
    </row>
    <row r="26079" spans="32:32" x14ac:dyDescent="0.2">
      <c r="AF26079" s="679"/>
    </row>
    <row r="26080" spans="32:32" x14ac:dyDescent="0.2">
      <c r="AF26080" s="679"/>
    </row>
    <row r="26081" spans="32:32" x14ac:dyDescent="0.2">
      <c r="AF26081" s="679"/>
    </row>
    <row r="26082" spans="32:32" x14ac:dyDescent="0.2">
      <c r="AF26082" s="679"/>
    </row>
    <row r="26083" spans="32:32" x14ac:dyDescent="0.2">
      <c r="AF26083" s="679"/>
    </row>
    <row r="26084" spans="32:32" x14ac:dyDescent="0.2">
      <c r="AF26084" s="679"/>
    </row>
    <row r="26085" spans="32:32" x14ac:dyDescent="0.2">
      <c r="AF26085" s="679"/>
    </row>
    <row r="26086" spans="32:32" x14ac:dyDescent="0.2">
      <c r="AF26086" s="679"/>
    </row>
    <row r="26087" spans="32:32" x14ac:dyDescent="0.2">
      <c r="AF26087" s="679"/>
    </row>
    <row r="26088" spans="32:32" x14ac:dyDescent="0.2">
      <c r="AF26088" s="679"/>
    </row>
    <row r="26089" spans="32:32" x14ac:dyDescent="0.2">
      <c r="AF26089" s="679"/>
    </row>
    <row r="26090" spans="32:32" x14ac:dyDescent="0.2">
      <c r="AF26090" s="679"/>
    </row>
    <row r="26091" spans="32:32" x14ac:dyDescent="0.2">
      <c r="AF26091" s="679"/>
    </row>
    <row r="26092" spans="32:32" x14ac:dyDescent="0.2">
      <c r="AF26092" s="679"/>
    </row>
    <row r="26093" spans="32:32" x14ac:dyDescent="0.2">
      <c r="AF26093" s="679"/>
    </row>
    <row r="26094" spans="32:32" x14ac:dyDescent="0.2">
      <c r="AF26094" s="679"/>
    </row>
    <row r="26095" spans="32:32" x14ac:dyDescent="0.2">
      <c r="AF26095" s="679"/>
    </row>
    <row r="26096" spans="32:32" x14ac:dyDescent="0.2">
      <c r="AF26096" s="679"/>
    </row>
    <row r="26097" spans="32:32" x14ac:dyDescent="0.2">
      <c r="AF26097" s="679"/>
    </row>
    <row r="26098" spans="32:32" x14ac:dyDescent="0.2">
      <c r="AF26098" s="679"/>
    </row>
    <row r="26099" spans="32:32" x14ac:dyDescent="0.2">
      <c r="AF26099" s="679"/>
    </row>
    <row r="26100" spans="32:32" x14ac:dyDescent="0.2">
      <c r="AF26100" s="679"/>
    </row>
    <row r="26101" spans="32:32" x14ac:dyDescent="0.2">
      <c r="AF26101" s="679"/>
    </row>
    <row r="26102" spans="32:32" x14ac:dyDescent="0.2">
      <c r="AF26102" s="679"/>
    </row>
    <row r="26103" spans="32:32" x14ac:dyDescent="0.2">
      <c r="AF26103" s="679"/>
    </row>
    <row r="26104" spans="32:32" x14ac:dyDescent="0.2">
      <c r="AF26104" s="679"/>
    </row>
    <row r="26105" spans="32:32" x14ac:dyDescent="0.2">
      <c r="AF26105" s="679"/>
    </row>
    <row r="26106" spans="32:32" x14ac:dyDescent="0.2">
      <c r="AF26106" s="679"/>
    </row>
    <row r="26107" spans="32:32" x14ac:dyDescent="0.2">
      <c r="AF26107" s="679"/>
    </row>
    <row r="26108" spans="32:32" x14ac:dyDescent="0.2">
      <c r="AF26108" s="679"/>
    </row>
    <row r="26109" spans="32:32" x14ac:dyDescent="0.2">
      <c r="AF26109" s="679"/>
    </row>
    <row r="26110" spans="32:32" x14ac:dyDescent="0.2">
      <c r="AF26110" s="679"/>
    </row>
    <row r="26111" spans="32:32" x14ac:dyDescent="0.2">
      <c r="AF26111" s="679"/>
    </row>
    <row r="26112" spans="32:32" x14ac:dyDescent="0.2">
      <c r="AF26112" s="679"/>
    </row>
    <row r="26113" spans="32:32" x14ac:dyDescent="0.2">
      <c r="AF26113" s="679"/>
    </row>
    <row r="26114" spans="32:32" x14ac:dyDescent="0.2">
      <c r="AF26114" s="679"/>
    </row>
    <row r="26115" spans="32:32" x14ac:dyDescent="0.2">
      <c r="AF26115" s="679"/>
    </row>
    <row r="26116" spans="32:32" x14ac:dyDescent="0.2">
      <c r="AF26116" s="679"/>
    </row>
    <row r="26117" spans="32:32" x14ac:dyDescent="0.2">
      <c r="AF26117" s="679"/>
    </row>
    <row r="26118" spans="32:32" x14ac:dyDescent="0.2">
      <c r="AF26118" s="679"/>
    </row>
    <row r="26119" spans="32:32" x14ac:dyDescent="0.2">
      <c r="AF26119" s="679"/>
    </row>
    <row r="26120" spans="32:32" x14ac:dyDescent="0.2">
      <c r="AF26120" s="679"/>
    </row>
    <row r="26121" spans="32:32" x14ac:dyDescent="0.2">
      <c r="AF26121" s="679"/>
    </row>
    <row r="26122" spans="32:32" x14ac:dyDescent="0.2">
      <c r="AF26122" s="679"/>
    </row>
    <row r="26123" spans="32:32" x14ac:dyDescent="0.2">
      <c r="AF26123" s="679"/>
    </row>
    <row r="26124" spans="32:32" x14ac:dyDescent="0.2">
      <c r="AF26124" s="679"/>
    </row>
    <row r="26125" spans="32:32" x14ac:dyDescent="0.2">
      <c r="AF26125" s="679"/>
    </row>
    <row r="26126" spans="32:32" x14ac:dyDescent="0.2">
      <c r="AF26126" s="679"/>
    </row>
    <row r="26127" spans="32:32" x14ac:dyDescent="0.2">
      <c r="AF26127" s="679"/>
    </row>
    <row r="26128" spans="32:32" x14ac:dyDescent="0.2">
      <c r="AF26128" s="679"/>
    </row>
    <row r="26129" spans="32:32" x14ac:dyDescent="0.2">
      <c r="AF26129" s="679"/>
    </row>
    <row r="26130" spans="32:32" x14ac:dyDescent="0.2">
      <c r="AF26130" s="679"/>
    </row>
    <row r="26131" spans="32:32" x14ac:dyDescent="0.2">
      <c r="AF26131" s="679"/>
    </row>
    <row r="26132" spans="32:32" x14ac:dyDescent="0.2">
      <c r="AF26132" s="679"/>
    </row>
    <row r="26133" spans="32:32" x14ac:dyDescent="0.2">
      <c r="AF26133" s="679"/>
    </row>
    <row r="26134" spans="32:32" x14ac:dyDescent="0.2">
      <c r="AF26134" s="679"/>
    </row>
    <row r="26135" spans="32:32" x14ac:dyDescent="0.2">
      <c r="AF26135" s="679"/>
    </row>
    <row r="26136" spans="32:32" x14ac:dyDescent="0.2">
      <c r="AF26136" s="679"/>
    </row>
    <row r="26137" spans="32:32" x14ac:dyDescent="0.2">
      <c r="AF26137" s="679"/>
    </row>
    <row r="26138" spans="32:32" x14ac:dyDescent="0.2">
      <c r="AF26138" s="679"/>
    </row>
    <row r="26139" spans="32:32" x14ac:dyDescent="0.2">
      <c r="AF26139" s="679"/>
    </row>
    <row r="26140" spans="32:32" x14ac:dyDescent="0.2">
      <c r="AF26140" s="679"/>
    </row>
    <row r="26141" spans="32:32" x14ac:dyDescent="0.2">
      <c r="AF26141" s="679"/>
    </row>
    <row r="26142" spans="32:32" x14ac:dyDescent="0.2">
      <c r="AF26142" s="679"/>
    </row>
    <row r="26143" spans="32:32" x14ac:dyDescent="0.2">
      <c r="AF26143" s="679"/>
    </row>
    <row r="26144" spans="32:32" x14ac:dyDescent="0.2">
      <c r="AF26144" s="679"/>
    </row>
    <row r="26145" spans="32:32" x14ac:dyDescent="0.2">
      <c r="AF26145" s="679"/>
    </row>
    <row r="26146" spans="32:32" x14ac:dyDescent="0.2">
      <c r="AF26146" s="679"/>
    </row>
    <row r="26147" spans="32:32" x14ac:dyDescent="0.2">
      <c r="AF26147" s="679"/>
    </row>
    <row r="26148" spans="32:32" x14ac:dyDescent="0.2">
      <c r="AF26148" s="679"/>
    </row>
    <row r="26149" spans="32:32" x14ac:dyDescent="0.2">
      <c r="AF26149" s="679"/>
    </row>
    <row r="26150" spans="32:32" x14ac:dyDescent="0.2">
      <c r="AF26150" s="679"/>
    </row>
    <row r="26151" spans="32:32" x14ac:dyDescent="0.2">
      <c r="AF26151" s="679"/>
    </row>
    <row r="26152" spans="32:32" x14ac:dyDescent="0.2">
      <c r="AF26152" s="679"/>
    </row>
    <row r="26153" spans="32:32" x14ac:dyDescent="0.2">
      <c r="AF26153" s="679"/>
    </row>
    <row r="26154" spans="32:32" x14ac:dyDescent="0.2">
      <c r="AF26154" s="679"/>
    </row>
    <row r="26155" spans="32:32" x14ac:dyDescent="0.2">
      <c r="AF26155" s="679"/>
    </row>
    <row r="26156" spans="32:32" x14ac:dyDescent="0.2">
      <c r="AF26156" s="679"/>
    </row>
    <row r="26157" spans="32:32" x14ac:dyDescent="0.2">
      <c r="AF26157" s="679"/>
    </row>
    <row r="26158" spans="32:32" x14ac:dyDescent="0.2">
      <c r="AF26158" s="679"/>
    </row>
    <row r="26159" spans="32:32" x14ac:dyDescent="0.2">
      <c r="AF26159" s="679"/>
    </row>
    <row r="26160" spans="32:32" x14ac:dyDescent="0.2">
      <c r="AF26160" s="679"/>
    </row>
    <row r="26161" spans="32:32" x14ac:dyDescent="0.2">
      <c r="AF26161" s="679"/>
    </row>
    <row r="26162" spans="32:32" x14ac:dyDescent="0.2">
      <c r="AF26162" s="679"/>
    </row>
    <row r="26163" spans="32:32" x14ac:dyDescent="0.2">
      <c r="AF26163" s="679"/>
    </row>
    <row r="26164" spans="32:32" x14ac:dyDescent="0.2">
      <c r="AF26164" s="679"/>
    </row>
    <row r="26165" spans="32:32" x14ac:dyDescent="0.2">
      <c r="AF26165" s="679"/>
    </row>
    <row r="26166" spans="32:32" x14ac:dyDescent="0.2">
      <c r="AF26166" s="679"/>
    </row>
    <row r="26167" spans="32:32" x14ac:dyDescent="0.2">
      <c r="AF26167" s="679"/>
    </row>
    <row r="26168" spans="32:32" x14ac:dyDescent="0.2">
      <c r="AF26168" s="679"/>
    </row>
    <row r="26169" spans="32:32" x14ac:dyDescent="0.2">
      <c r="AF26169" s="679"/>
    </row>
    <row r="26170" spans="32:32" x14ac:dyDescent="0.2">
      <c r="AF26170" s="679"/>
    </row>
    <row r="26171" spans="32:32" x14ac:dyDescent="0.2">
      <c r="AF26171" s="679"/>
    </row>
    <row r="26172" spans="32:32" x14ac:dyDescent="0.2">
      <c r="AF26172" s="679"/>
    </row>
    <row r="26173" spans="32:32" x14ac:dyDescent="0.2">
      <c r="AF26173" s="679"/>
    </row>
    <row r="26174" spans="32:32" x14ac:dyDescent="0.2">
      <c r="AF26174" s="679"/>
    </row>
    <row r="26175" spans="32:32" x14ac:dyDescent="0.2">
      <c r="AF26175" s="679"/>
    </row>
    <row r="26176" spans="32:32" x14ac:dyDescent="0.2">
      <c r="AF26176" s="679"/>
    </row>
    <row r="26177" spans="32:32" x14ac:dyDescent="0.2">
      <c r="AF26177" s="679"/>
    </row>
    <row r="26178" spans="32:32" x14ac:dyDescent="0.2">
      <c r="AF26178" s="679"/>
    </row>
    <row r="26179" spans="32:32" x14ac:dyDescent="0.2">
      <c r="AF26179" s="679"/>
    </row>
    <row r="26180" spans="32:32" x14ac:dyDescent="0.2">
      <c r="AF26180" s="679"/>
    </row>
    <row r="26181" spans="32:32" x14ac:dyDescent="0.2">
      <c r="AF26181" s="679"/>
    </row>
    <row r="26182" spans="32:32" x14ac:dyDescent="0.2">
      <c r="AF26182" s="679"/>
    </row>
    <row r="26183" spans="32:32" x14ac:dyDescent="0.2">
      <c r="AF26183" s="679"/>
    </row>
    <row r="26184" spans="32:32" x14ac:dyDescent="0.2">
      <c r="AF26184" s="679"/>
    </row>
    <row r="26185" spans="32:32" x14ac:dyDescent="0.2">
      <c r="AF26185" s="679"/>
    </row>
    <row r="26186" spans="32:32" x14ac:dyDescent="0.2">
      <c r="AF26186" s="679"/>
    </row>
    <row r="26187" spans="32:32" x14ac:dyDescent="0.2">
      <c r="AF26187" s="679"/>
    </row>
    <row r="26188" spans="32:32" x14ac:dyDescent="0.2">
      <c r="AF26188" s="679"/>
    </row>
    <row r="26189" spans="32:32" x14ac:dyDescent="0.2">
      <c r="AF26189" s="679"/>
    </row>
    <row r="26190" spans="32:32" x14ac:dyDescent="0.2">
      <c r="AF26190" s="679"/>
    </row>
    <row r="26191" spans="32:32" x14ac:dyDescent="0.2">
      <c r="AF26191" s="679"/>
    </row>
    <row r="26192" spans="32:32" x14ac:dyDescent="0.2">
      <c r="AF26192" s="679"/>
    </row>
    <row r="26193" spans="32:32" x14ac:dyDescent="0.2">
      <c r="AF26193" s="679"/>
    </row>
    <row r="26194" spans="32:32" x14ac:dyDescent="0.2">
      <c r="AF26194" s="679"/>
    </row>
    <row r="26195" spans="32:32" x14ac:dyDescent="0.2">
      <c r="AF26195" s="679"/>
    </row>
    <row r="26196" spans="32:32" x14ac:dyDescent="0.2">
      <c r="AF26196" s="679"/>
    </row>
    <row r="26197" spans="32:32" x14ac:dyDescent="0.2">
      <c r="AF26197" s="679"/>
    </row>
    <row r="26198" spans="32:32" x14ac:dyDescent="0.2">
      <c r="AF26198" s="679"/>
    </row>
    <row r="26199" spans="32:32" x14ac:dyDescent="0.2">
      <c r="AF26199" s="679"/>
    </row>
    <row r="26200" spans="32:32" x14ac:dyDescent="0.2">
      <c r="AF26200" s="679"/>
    </row>
    <row r="26201" spans="32:32" x14ac:dyDescent="0.2">
      <c r="AF26201" s="679"/>
    </row>
    <row r="26202" spans="32:32" x14ac:dyDescent="0.2">
      <c r="AF26202" s="679"/>
    </row>
    <row r="26203" spans="32:32" x14ac:dyDescent="0.2">
      <c r="AF26203" s="679"/>
    </row>
    <row r="26204" spans="32:32" x14ac:dyDescent="0.2">
      <c r="AF26204" s="679"/>
    </row>
    <row r="26205" spans="32:32" x14ac:dyDescent="0.2">
      <c r="AF26205" s="679"/>
    </row>
    <row r="26206" spans="32:32" x14ac:dyDescent="0.2">
      <c r="AF26206" s="679"/>
    </row>
    <row r="26207" spans="32:32" x14ac:dyDescent="0.2">
      <c r="AF26207" s="679"/>
    </row>
    <row r="26208" spans="32:32" x14ac:dyDescent="0.2">
      <c r="AF26208" s="679"/>
    </row>
    <row r="26209" spans="32:32" x14ac:dyDescent="0.2">
      <c r="AF26209" s="679"/>
    </row>
    <row r="26210" spans="32:32" x14ac:dyDescent="0.2">
      <c r="AF26210" s="679"/>
    </row>
    <row r="26211" spans="32:32" x14ac:dyDescent="0.2">
      <c r="AF26211" s="679"/>
    </row>
    <row r="26212" spans="32:32" x14ac:dyDescent="0.2">
      <c r="AF26212" s="679"/>
    </row>
    <row r="26213" spans="32:32" x14ac:dyDescent="0.2">
      <c r="AF26213" s="679"/>
    </row>
    <row r="26214" spans="32:32" x14ac:dyDescent="0.2">
      <c r="AF26214" s="679"/>
    </row>
    <row r="26215" spans="32:32" x14ac:dyDescent="0.2">
      <c r="AF26215" s="679"/>
    </row>
    <row r="26216" spans="32:32" x14ac:dyDescent="0.2">
      <c r="AF26216" s="679"/>
    </row>
    <row r="26217" spans="32:32" x14ac:dyDescent="0.2">
      <c r="AF26217" s="679"/>
    </row>
    <row r="26218" spans="32:32" x14ac:dyDescent="0.2">
      <c r="AF26218" s="679"/>
    </row>
    <row r="26219" spans="32:32" x14ac:dyDescent="0.2">
      <c r="AF26219" s="679"/>
    </row>
    <row r="26220" spans="32:32" x14ac:dyDescent="0.2">
      <c r="AF26220" s="679"/>
    </row>
    <row r="26221" spans="32:32" x14ac:dyDescent="0.2">
      <c r="AF26221" s="679"/>
    </row>
    <row r="26222" spans="32:32" x14ac:dyDescent="0.2">
      <c r="AF26222" s="679"/>
    </row>
    <row r="26223" spans="32:32" x14ac:dyDescent="0.2">
      <c r="AF26223" s="679"/>
    </row>
    <row r="26224" spans="32:32" x14ac:dyDescent="0.2">
      <c r="AF26224" s="679"/>
    </row>
    <row r="26225" spans="32:32" x14ac:dyDescent="0.2">
      <c r="AF26225" s="679"/>
    </row>
    <row r="26226" spans="32:32" x14ac:dyDescent="0.2">
      <c r="AF26226" s="679"/>
    </row>
    <row r="26227" spans="32:32" x14ac:dyDescent="0.2">
      <c r="AF26227" s="679"/>
    </row>
    <row r="26228" spans="32:32" x14ac:dyDescent="0.2">
      <c r="AF26228" s="679"/>
    </row>
    <row r="26229" spans="32:32" x14ac:dyDescent="0.2">
      <c r="AF26229" s="679"/>
    </row>
    <row r="26230" spans="32:32" x14ac:dyDescent="0.2">
      <c r="AF26230" s="679"/>
    </row>
    <row r="26231" spans="32:32" x14ac:dyDescent="0.2">
      <c r="AF26231" s="679"/>
    </row>
    <row r="26232" spans="32:32" x14ac:dyDescent="0.2">
      <c r="AF26232" s="679"/>
    </row>
    <row r="26233" spans="32:32" x14ac:dyDescent="0.2">
      <c r="AF26233" s="679"/>
    </row>
    <row r="26234" spans="32:32" x14ac:dyDescent="0.2">
      <c r="AF26234" s="679"/>
    </row>
    <row r="26235" spans="32:32" x14ac:dyDescent="0.2">
      <c r="AF26235" s="679"/>
    </row>
    <row r="26236" spans="32:32" x14ac:dyDescent="0.2">
      <c r="AF26236" s="679"/>
    </row>
    <row r="26237" spans="32:32" x14ac:dyDescent="0.2">
      <c r="AF26237" s="679"/>
    </row>
    <row r="26238" spans="32:32" x14ac:dyDescent="0.2">
      <c r="AF26238" s="679"/>
    </row>
    <row r="26239" spans="32:32" x14ac:dyDescent="0.2">
      <c r="AF26239" s="679"/>
    </row>
    <row r="26240" spans="32:32" x14ac:dyDescent="0.2">
      <c r="AF26240" s="679"/>
    </row>
    <row r="26241" spans="32:32" x14ac:dyDescent="0.2">
      <c r="AF26241" s="679"/>
    </row>
    <row r="26242" spans="32:32" x14ac:dyDescent="0.2">
      <c r="AF26242" s="679"/>
    </row>
    <row r="26243" spans="32:32" x14ac:dyDescent="0.2">
      <c r="AF26243" s="679"/>
    </row>
    <row r="26244" spans="32:32" x14ac:dyDescent="0.2">
      <c r="AF26244" s="679"/>
    </row>
    <row r="26245" spans="32:32" x14ac:dyDescent="0.2">
      <c r="AF26245" s="679"/>
    </row>
    <row r="26246" spans="32:32" x14ac:dyDescent="0.2">
      <c r="AF26246" s="679"/>
    </row>
    <row r="26247" spans="32:32" x14ac:dyDescent="0.2">
      <c r="AF26247" s="679"/>
    </row>
    <row r="26248" spans="32:32" x14ac:dyDescent="0.2">
      <c r="AF26248" s="679"/>
    </row>
    <row r="26249" spans="32:32" x14ac:dyDescent="0.2">
      <c r="AF26249" s="679"/>
    </row>
    <row r="26250" spans="32:32" x14ac:dyDescent="0.2">
      <c r="AF26250" s="679"/>
    </row>
    <row r="26251" spans="32:32" x14ac:dyDescent="0.2">
      <c r="AF26251" s="679"/>
    </row>
    <row r="26252" spans="32:32" x14ac:dyDescent="0.2">
      <c r="AF26252" s="679"/>
    </row>
    <row r="26253" spans="32:32" x14ac:dyDescent="0.2">
      <c r="AF26253" s="679"/>
    </row>
    <row r="26254" spans="32:32" x14ac:dyDescent="0.2">
      <c r="AF26254" s="679"/>
    </row>
    <row r="26255" spans="32:32" x14ac:dyDescent="0.2">
      <c r="AF26255" s="679"/>
    </row>
    <row r="26256" spans="32:32" x14ac:dyDescent="0.2">
      <c r="AF26256" s="679"/>
    </row>
    <row r="26257" spans="32:32" x14ac:dyDescent="0.2">
      <c r="AF26257" s="679"/>
    </row>
    <row r="26258" spans="32:32" x14ac:dyDescent="0.2">
      <c r="AF26258" s="679"/>
    </row>
    <row r="26259" spans="32:32" x14ac:dyDescent="0.2">
      <c r="AF26259" s="679"/>
    </row>
    <row r="26260" spans="32:32" x14ac:dyDescent="0.2">
      <c r="AF26260" s="679"/>
    </row>
    <row r="26261" spans="32:32" x14ac:dyDescent="0.2">
      <c r="AF26261" s="679"/>
    </row>
    <row r="26262" spans="32:32" x14ac:dyDescent="0.2">
      <c r="AF26262" s="679"/>
    </row>
    <row r="26263" spans="32:32" x14ac:dyDescent="0.2">
      <c r="AF26263" s="679"/>
    </row>
    <row r="26264" spans="32:32" x14ac:dyDescent="0.2">
      <c r="AF26264" s="679"/>
    </row>
    <row r="26265" spans="32:32" x14ac:dyDescent="0.2">
      <c r="AF26265" s="679"/>
    </row>
    <row r="26266" spans="32:32" x14ac:dyDescent="0.2">
      <c r="AF26266" s="679"/>
    </row>
    <row r="26267" spans="32:32" x14ac:dyDescent="0.2">
      <c r="AF26267" s="679"/>
    </row>
    <row r="26268" spans="32:32" x14ac:dyDescent="0.2">
      <c r="AF26268" s="679"/>
    </row>
    <row r="26269" spans="32:32" x14ac:dyDescent="0.2">
      <c r="AF26269" s="679"/>
    </row>
    <row r="26270" spans="32:32" x14ac:dyDescent="0.2">
      <c r="AF26270" s="679"/>
    </row>
    <row r="26271" spans="32:32" x14ac:dyDescent="0.2">
      <c r="AF26271" s="679"/>
    </row>
    <row r="26272" spans="32:32" x14ac:dyDescent="0.2">
      <c r="AF26272" s="679"/>
    </row>
    <row r="26273" spans="32:32" x14ac:dyDescent="0.2">
      <c r="AF26273" s="679"/>
    </row>
    <row r="26274" spans="32:32" x14ac:dyDescent="0.2">
      <c r="AF26274" s="679"/>
    </row>
    <row r="26275" spans="32:32" x14ac:dyDescent="0.2">
      <c r="AF26275" s="679"/>
    </row>
    <row r="26276" spans="32:32" x14ac:dyDescent="0.2">
      <c r="AF26276" s="679"/>
    </row>
    <row r="26277" spans="32:32" x14ac:dyDescent="0.2">
      <c r="AF26277" s="679"/>
    </row>
    <row r="26278" spans="32:32" x14ac:dyDescent="0.2">
      <c r="AF26278" s="679"/>
    </row>
    <row r="26279" spans="32:32" x14ac:dyDescent="0.2">
      <c r="AF26279" s="679"/>
    </row>
    <row r="26280" spans="32:32" x14ac:dyDescent="0.2">
      <c r="AF26280" s="679"/>
    </row>
    <row r="26281" spans="32:32" x14ac:dyDescent="0.2">
      <c r="AF26281" s="679"/>
    </row>
    <row r="26282" spans="32:32" x14ac:dyDescent="0.2">
      <c r="AF26282" s="679"/>
    </row>
    <row r="26283" spans="32:32" x14ac:dyDescent="0.2">
      <c r="AF26283" s="679"/>
    </row>
    <row r="26284" spans="32:32" x14ac:dyDescent="0.2">
      <c r="AF26284" s="679"/>
    </row>
    <row r="26285" spans="32:32" x14ac:dyDescent="0.2">
      <c r="AF26285" s="679"/>
    </row>
    <row r="26286" spans="32:32" x14ac:dyDescent="0.2">
      <c r="AF26286" s="679"/>
    </row>
    <row r="26287" spans="32:32" x14ac:dyDescent="0.2">
      <c r="AF26287" s="679"/>
    </row>
    <row r="26288" spans="32:32" x14ac:dyDescent="0.2">
      <c r="AF26288" s="679"/>
    </row>
    <row r="26289" spans="32:32" x14ac:dyDescent="0.2">
      <c r="AF26289" s="679"/>
    </row>
    <row r="26290" spans="32:32" x14ac:dyDescent="0.2">
      <c r="AF26290" s="679"/>
    </row>
    <row r="26291" spans="32:32" x14ac:dyDescent="0.2">
      <c r="AF26291" s="679"/>
    </row>
    <row r="26292" spans="32:32" x14ac:dyDescent="0.2">
      <c r="AF26292" s="679"/>
    </row>
    <row r="26293" spans="32:32" x14ac:dyDescent="0.2">
      <c r="AF26293" s="679"/>
    </row>
    <row r="26294" spans="32:32" x14ac:dyDescent="0.2">
      <c r="AF26294" s="679"/>
    </row>
    <row r="26295" spans="32:32" x14ac:dyDescent="0.2">
      <c r="AF26295" s="679"/>
    </row>
    <row r="26296" spans="32:32" x14ac:dyDescent="0.2">
      <c r="AF26296" s="679"/>
    </row>
    <row r="26297" spans="32:32" x14ac:dyDescent="0.2">
      <c r="AF26297" s="679"/>
    </row>
    <row r="26298" spans="32:32" x14ac:dyDescent="0.2">
      <c r="AF26298" s="679"/>
    </row>
    <row r="26299" spans="32:32" x14ac:dyDescent="0.2">
      <c r="AF26299" s="679"/>
    </row>
    <row r="26300" spans="32:32" x14ac:dyDescent="0.2">
      <c r="AF26300" s="679"/>
    </row>
    <row r="26301" spans="32:32" x14ac:dyDescent="0.2">
      <c r="AF26301" s="679"/>
    </row>
    <row r="26302" spans="32:32" x14ac:dyDescent="0.2">
      <c r="AF26302" s="679"/>
    </row>
    <row r="26303" spans="32:32" x14ac:dyDescent="0.2">
      <c r="AF26303" s="679"/>
    </row>
    <row r="26304" spans="32:32" x14ac:dyDescent="0.2">
      <c r="AF26304" s="679"/>
    </row>
    <row r="26305" spans="32:32" x14ac:dyDescent="0.2">
      <c r="AF26305" s="679"/>
    </row>
    <row r="26306" spans="32:32" x14ac:dyDescent="0.2">
      <c r="AF26306" s="679"/>
    </row>
    <row r="26307" spans="32:32" x14ac:dyDescent="0.2">
      <c r="AF26307" s="679"/>
    </row>
    <row r="26308" spans="32:32" x14ac:dyDescent="0.2">
      <c r="AF26308" s="679"/>
    </row>
    <row r="26309" spans="32:32" x14ac:dyDescent="0.2">
      <c r="AF26309" s="679"/>
    </row>
    <row r="26310" spans="32:32" x14ac:dyDescent="0.2">
      <c r="AF26310" s="679"/>
    </row>
    <row r="26311" spans="32:32" x14ac:dyDescent="0.2">
      <c r="AF26311" s="679"/>
    </row>
    <row r="26312" spans="32:32" x14ac:dyDescent="0.2">
      <c r="AF26312" s="679"/>
    </row>
    <row r="26313" spans="32:32" x14ac:dyDescent="0.2">
      <c r="AF26313" s="679"/>
    </row>
    <row r="26314" spans="32:32" x14ac:dyDescent="0.2">
      <c r="AF26314" s="679"/>
    </row>
    <row r="26315" spans="32:32" x14ac:dyDescent="0.2">
      <c r="AF26315" s="679"/>
    </row>
    <row r="26316" spans="32:32" x14ac:dyDescent="0.2">
      <c r="AF26316" s="679"/>
    </row>
    <row r="26317" spans="32:32" x14ac:dyDescent="0.2">
      <c r="AF26317" s="679"/>
    </row>
    <row r="26318" spans="32:32" x14ac:dyDescent="0.2">
      <c r="AF26318" s="679"/>
    </row>
    <row r="26319" spans="32:32" x14ac:dyDescent="0.2">
      <c r="AF26319" s="679"/>
    </row>
    <row r="26320" spans="32:32" x14ac:dyDescent="0.2">
      <c r="AF26320" s="679"/>
    </row>
    <row r="26321" spans="32:32" x14ac:dyDescent="0.2">
      <c r="AF26321" s="679"/>
    </row>
    <row r="26322" spans="32:32" x14ac:dyDescent="0.2">
      <c r="AF26322" s="679"/>
    </row>
    <row r="26323" spans="32:32" x14ac:dyDescent="0.2">
      <c r="AF26323" s="679"/>
    </row>
    <row r="26324" spans="32:32" x14ac:dyDescent="0.2">
      <c r="AF26324" s="679"/>
    </row>
    <row r="26325" spans="32:32" x14ac:dyDescent="0.2">
      <c r="AF26325" s="679"/>
    </row>
    <row r="26326" spans="32:32" x14ac:dyDescent="0.2">
      <c r="AF26326" s="679"/>
    </row>
    <row r="26327" spans="32:32" x14ac:dyDescent="0.2">
      <c r="AF26327" s="679"/>
    </row>
    <row r="26328" spans="32:32" x14ac:dyDescent="0.2">
      <c r="AF26328" s="679"/>
    </row>
    <row r="26329" spans="32:32" x14ac:dyDescent="0.2">
      <c r="AF26329" s="679"/>
    </row>
    <row r="26330" spans="32:32" x14ac:dyDescent="0.2">
      <c r="AF26330" s="679"/>
    </row>
    <row r="26331" spans="32:32" x14ac:dyDescent="0.2">
      <c r="AF26331" s="679"/>
    </row>
    <row r="26332" spans="32:32" x14ac:dyDescent="0.2">
      <c r="AF26332" s="679"/>
    </row>
    <row r="26333" spans="32:32" x14ac:dyDescent="0.2">
      <c r="AF26333" s="679"/>
    </row>
    <row r="26334" spans="32:32" x14ac:dyDescent="0.2">
      <c r="AF26334" s="679"/>
    </row>
    <row r="26335" spans="32:32" x14ac:dyDescent="0.2">
      <c r="AF26335" s="679"/>
    </row>
    <row r="26336" spans="32:32" x14ac:dyDescent="0.2">
      <c r="AF26336" s="679"/>
    </row>
    <row r="26337" spans="32:32" x14ac:dyDescent="0.2">
      <c r="AF26337" s="679"/>
    </row>
    <row r="26338" spans="32:32" x14ac:dyDescent="0.2">
      <c r="AF26338" s="679"/>
    </row>
    <row r="26339" spans="32:32" x14ac:dyDescent="0.2">
      <c r="AF26339" s="679"/>
    </row>
    <row r="26340" spans="32:32" x14ac:dyDescent="0.2">
      <c r="AF26340" s="679"/>
    </row>
    <row r="26341" spans="32:32" x14ac:dyDescent="0.2">
      <c r="AF26341" s="679"/>
    </row>
    <row r="26342" spans="32:32" x14ac:dyDescent="0.2">
      <c r="AF26342" s="679"/>
    </row>
    <row r="26343" spans="32:32" x14ac:dyDescent="0.2">
      <c r="AF26343" s="679"/>
    </row>
    <row r="26344" spans="32:32" x14ac:dyDescent="0.2">
      <c r="AF26344" s="679"/>
    </row>
    <row r="26345" spans="32:32" x14ac:dyDescent="0.2">
      <c r="AF26345" s="679"/>
    </row>
    <row r="26346" spans="32:32" x14ac:dyDescent="0.2">
      <c r="AF26346" s="679"/>
    </row>
    <row r="26347" spans="32:32" x14ac:dyDescent="0.2">
      <c r="AF26347" s="679"/>
    </row>
    <row r="26348" spans="32:32" x14ac:dyDescent="0.2">
      <c r="AF26348" s="679"/>
    </row>
    <row r="26349" spans="32:32" x14ac:dyDescent="0.2">
      <c r="AF26349" s="679"/>
    </row>
    <row r="26350" spans="32:32" x14ac:dyDescent="0.2">
      <c r="AF26350" s="679"/>
    </row>
    <row r="26351" spans="32:32" x14ac:dyDescent="0.2">
      <c r="AF26351" s="679"/>
    </row>
    <row r="26352" spans="32:32" x14ac:dyDescent="0.2">
      <c r="AF26352" s="679"/>
    </row>
    <row r="26353" spans="32:32" x14ac:dyDescent="0.2">
      <c r="AF26353" s="679"/>
    </row>
    <row r="26354" spans="32:32" x14ac:dyDescent="0.2">
      <c r="AF26354" s="679"/>
    </row>
    <row r="26355" spans="32:32" x14ac:dyDescent="0.2">
      <c r="AF26355" s="679"/>
    </row>
    <row r="26356" spans="32:32" x14ac:dyDescent="0.2">
      <c r="AF26356" s="679"/>
    </row>
    <row r="26357" spans="32:32" x14ac:dyDescent="0.2">
      <c r="AF26357" s="679"/>
    </row>
    <row r="26358" spans="32:32" x14ac:dyDescent="0.2">
      <c r="AF26358" s="679"/>
    </row>
    <row r="26359" spans="32:32" x14ac:dyDescent="0.2">
      <c r="AF26359" s="679"/>
    </row>
    <row r="26360" spans="32:32" x14ac:dyDescent="0.2">
      <c r="AF26360" s="679"/>
    </row>
    <row r="26361" spans="32:32" x14ac:dyDescent="0.2">
      <c r="AF26361" s="679"/>
    </row>
    <row r="26362" spans="32:32" x14ac:dyDescent="0.2">
      <c r="AF26362" s="679"/>
    </row>
    <row r="26363" spans="32:32" x14ac:dyDescent="0.2">
      <c r="AF26363" s="679"/>
    </row>
    <row r="26364" spans="32:32" x14ac:dyDescent="0.2">
      <c r="AF26364" s="679"/>
    </row>
    <row r="26365" spans="32:32" x14ac:dyDescent="0.2">
      <c r="AF26365" s="679"/>
    </row>
    <row r="26366" spans="32:32" x14ac:dyDescent="0.2">
      <c r="AF26366" s="679"/>
    </row>
    <row r="26367" spans="32:32" x14ac:dyDescent="0.2">
      <c r="AF26367" s="679"/>
    </row>
    <row r="26368" spans="32:32" x14ac:dyDescent="0.2">
      <c r="AF26368" s="679"/>
    </row>
    <row r="26369" spans="32:32" x14ac:dyDescent="0.2">
      <c r="AF26369" s="679"/>
    </row>
    <row r="26370" spans="32:32" x14ac:dyDescent="0.2">
      <c r="AF26370" s="679"/>
    </row>
    <row r="26371" spans="32:32" x14ac:dyDescent="0.2">
      <c r="AF26371" s="679"/>
    </row>
    <row r="26372" spans="32:32" x14ac:dyDescent="0.2">
      <c r="AF26372" s="679"/>
    </row>
    <row r="26373" spans="32:32" x14ac:dyDescent="0.2">
      <c r="AF26373" s="679"/>
    </row>
    <row r="26374" spans="32:32" x14ac:dyDescent="0.2">
      <c r="AF26374" s="679"/>
    </row>
    <row r="26375" spans="32:32" x14ac:dyDescent="0.2">
      <c r="AF26375" s="679"/>
    </row>
    <row r="26376" spans="32:32" x14ac:dyDescent="0.2">
      <c r="AF26376" s="679"/>
    </row>
    <row r="26377" spans="32:32" x14ac:dyDescent="0.2">
      <c r="AF26377" s="679"/>
    </row>
    <row r="26378" spans="32:32" x14ac:dyDescent="0.2">
      <c r="AF26378" s="679"/>
    </row>
    <row r="26379" spans="32:32" x14ac:dyDescent="0.2">
      <c r="AF26379" s="679"/>
    </row>
    <row r="26380" spans="32:32" x14ac:dyDescent="0.2">
      <c r="AF26380" s="679"/>
    </row>
    <row r="26381" spans="32:32" x14ac:dyDescent="0.2">
      <c r="AF26381" s="679"/>
    </row>
    <row r="26382" spans="32:32" x14ac:dyDescent="0.2">
      <c r="AF26382" s="679"/>
    </row>
    <row r="26383" spans="32:32" x14ac:dyDescent="0.2">
      <c r="AF26383" s="679"/>
    </row>
    <row r="26384" spans="32:32" x14ac:dyDescent="0.2">
      <c r="AF26384" s="679"/>
    </row>
    <row r="26385" spans="32:32" x14ac:dyDescent="0.2">
      <c r="AF26385" s="679"/>
    </row>
    <row r="26386" spans="32:32" x14ac:dyDescent="0.2">
      <c r="AF26386" s="679"/>
    </row>
    <row r="26387" spans="32:32" x14ac:dyDescent="0.2">
      <c r="AF26387" s="679"/>
    </row>
    <row r="26388" spans="32:32" x14ac:dyDescent="0.2">
      <c r="AF26388" s="679"/>
    </row>
    <row r="26389" spans="32:32" x14ac:dyDescent="0.2">
      <c r="AF26389" s="679"/>
    </row>
    <row r="26390" spans="32:32" x14ac:dyDescent="0.2">
      <c r="AF26390" s="679"/>
    </row>
    <row r="26391" spans="32:32" x14ac:dyDescent="0.2">
      <c r="AF26391" s="679"/>
    </row>
    <row r="26392" spans="32:32" x14ac:dyDescent="0.2">
      <c r="AF26392" s="679"/>
    </row>
    <row r="26393" spans="32:32" x14ac:dyDescent="0.2">
      <c r="AF26393" s="679"/>
    </row>
    <row r="26394" spans="32:32" x14ac:dyDescent="0.2">
      <c r="AF26394" s="679"/>
    </row>
    <row r="26395" spans="32:32" x14ac:dyDescent="0.2">
      <c r="AF26395" s="679"/>
    </row>
    <row r="26396" spans="32:32" x14ac:dyDescent="0.2">
      <c r="AF26396" s="679"/>
    </row>
    <row r="26397" spans="32:32" x14ac:dyDescent="0.2">
      <c r="AF26397" s="679"/>
    </row>
    <row r="26398" spans="32:32" x14ac:dyDescent="0.2">
      <c r="AF26398" s="679"/>
    </row>
    <row r="26399" spans="32:32" x14ac:dyDescent="0.2">
      <c r="AF26399" s="679"/>
    </row>
    <row r="26400" spans="32:32" x14ac:dyDescent="0.2">
      <c r="AF26400" s="679"/>
    </row>
    <row r="26401" spans="32:32" x14ac:dyDescent="0.2">
      <c r="AF26401" s="679"/>
    </row>
    <row r="26402" spans="32:32" x14ac:dyDescent="0.2">
      <c r="AF26402" s="679"/>
    </row>
    <row r="26403" spans="32:32" x14ac:dyDescent="0.2">
      <c r="AF26403" s="679"/>
    </row>
    <row r="26404" spans="32:32" x14ac:dyDescent="0.2">
      <c r="AF26404" s="679"/>
    </row>
    <row r="26405" spans="32:32" x14ac:dyDescent="0.2">
      <c r="AF26405" s="679"/>
    </row>
    <row r="26406" spans="32:32" x14ac:dyDescent="0.2">
      <c r="AF26406" s="679"/>
    </row>
    <row r="26407" spans="32:32" x14ac:dyDescent="0.2">
      <c r="AF26407" s="679"/>
    </row>
    <row r="26408" spans="32:32" x14ac:dyDescent="0.2">
      <c r="AF26408" s="679"/>
    </row>
    <row r="26409" spans="32:32" x14ac:dyDescent="0.2">
      <c r="AF26409" s="679"/>
    </row>
    <row r="26410" spans="32:32" x14ac:dyDescent="0.2">
      <c r="AF26410" s="679"/>
    </row>
    <row r="26411" spans="32:32" x14ac:dyDescent="0.2">
      <c r="AF26411" s="679"/>
    </row>
    <row r="26412" spans="32:32" x14ac:dyDescent="0.2">
      <c r="AF26412" s="679"/>
    </row>
    <row r="26413" spans="32:32" x14ac:dyDescent="0.2">
      <c r="AF26413" s="679"/>
    </row>
    <row r="26414" spans="32:32" x14ac:dyDescent="0.2">
      <c r="AF26414" s="679"/>
    </row>
    <row r="26415" spans="32:32" x14ac:dyDescent="0.2">
      <c r="AF26415" s="679"/>
    </row>
    <row r="26416" spans="32:32" x14ac:dyDescent="0.2">
      <c r="AF26416" s="679"/>
    </row>
    <row r="26417" spans="32:32" x14ac:dyDescent="0.2">
      <c r="AF26417" s="679"/>
    </row>
    <row r="26418" spans="32:32" x14ac:dyDescent="0.2">
      <c r="AF26418" s="679"/>
    </row>
    <row r="26419" spans="32:32" x14ac:dyDescent="0.2">
      <c r="AF26419" s="679"/>
    </row>
    <row r="26420" spans="32:32" x14ac:dyDescent="0.2">
      <c r="AF26420" s="679"/>
    </row>
    <row r="26421" spans="32:32" x14ac:dyDescent="0.2">
      <c r="AF26421" s="679"/>
    </row>
    <row r="26422" spans="32:32" x14ac:dyDescent="0.2">
      <c r="AF26422" s="679"/>
    </row>
    <row r="26423" spans="32:32" x14ac:dyDescent="0.2">
      <c r="AF26423" s="679"/>
    </row>
    <row r="26424" spans="32:32" x14ac:dyDescent="0.2">
      <c r="AF26424" s="679"/>
    </row>
    <row r="26425" spans="32:32" x14ac:dyDescent="0.2">
      <c r="AF26425" s="679"/>
    </row>
    <row r="26426" spans="32:32" x14ac:dyDescent="0.2">
      <c r="AF26426" s="679"/>
    </row>
    <row r="26427" spans="32:32" x14ac:dyDescent="0.2">
      <c r="AF26427" s="679"/>
    </row>
    <row r="26428" spans="32:32" x14ac:dyDescent="0.2">
      <c r="AF26428" s="679"/>
    </row>
    <row r="26429" spans="32:32" x14ac:dyDescent="0.2">
      <c r="AF26429" s="679"/>
    </row>
    <row r="26430" spans="32:32" x14ac:dyDescent="0.2">
      <c r="AF26430" s="679"/>
    </row>
    <row r="26431" spans="32:32" x14ac:dyDescent="0.2">
      <c r="AF26431" s="679"/>
    </row>
    <row r="26432" spans="32:32" x14ac:dyDescent="0.2">
      <c r="AF26432" s="679"/>
    </row>
    <row r="26433" spans="32:32" x14ac:dyDescent="0.2">
      <c r="AF26433" s="679"/>
    </row>
    <row r="26434" spans="32:32" x14ac:dyDescent="0.2">
      <c r="AF26434" s="679"/>
    </row>
    <row r="26435" spans="32:32" x14ac:dyDescent="0.2">
      <c r="AF26435" s="679"/>
    </row>
    <row r="26436" spans="32:32" x14ac:dyDescent="0.2">
      <c r="AF26436" s="679"/>
    </row>
    <row r="26437" spans="32:32" x14ac:dyDescent="0.2">
      <c r="AF26437" s="679"/>
    </row>
    <row r="26438" spans="32:32" x14ac:dyDescent="0.2">
      <c r="AF26438" s="679"/>
    </row>
    <row r="26439" spans="32:32" x14ac:dyDescent="0.2">
      <c r="AF26439" s="679"/>
    </row>
    <row r="26440" spans="32:32" x14ac:dyDescent="0.2">
      <c r="AF26440" s="679"/>
    </row>
    <row r="26441" spans="32:32" x14ac:dyDescent="0.2">
      <c r="AF26441" s="679"/>
    </row>
    <row r="26442" spans="32:32" x14ac:dyDescent="0.2">
      <c r="AF26442" s="679"/>
    </row>
    <row r="26443" spans="32:32" x14ac:dyDescent="0.2">
      <c r="AF26443" s="679"/>
    </row>
    <row r="26444" spans="32:32" x14ac:dyDescent="0.2">
      <c r="AF26444" s="679"/>
    </row>
    <row r="26445" spans="32:32" x14ac:dyDescent="0.2">
      <c r="AF26445" s="679"/>
    </row>
    <row r="26446" spans="32:32" x14ac:dyDescent="0.2">
      <c r="AF26446" s="679"/>
    </row>
    <row r="26447" spans="32:32" x14ac:dyDescent="0.2">
      <c r="AF26447" s="679"/>
    </row>
    <row r="26448" spans="32:32" x14ac:dyDescent="0.2">
      <c r="AF26448" s="679"/>
    </row>
    <row r="26449" spans="32:32" x14ac:dyDescent="0.2">
      <c r="AF26449" s="679"/>
    </row>
    <row r="26450" spans="32:32" x14ac:dyDescent="0.2">
      <c r="AF26450" s="679"/>
    </row>
    <row r="26451" spans="32:32" x14ac:dyDescent="0.2">
      <c r="AF26451" s="679"/>
    </row>
    <row r="26452" spans="32:32" x14ac:dyDescent="0.2">
      <c r="AF26452" s="679"/>
    </row>
    <row r="26453" spans="32:32" x14ac:dyDescent="0.2">
      <c r="AF26453" s="679"/>
    </row>
    <row r="26454" spans="32:32" x14ac:dyDescent="0.2">
      <c r="AF26454" s="679"/>
    </row>
    <row r="26455" spans="32:32" x14ac:dyDescent="0.2">
      <c r="AF26455" s="679"/>
    </row>
    <row r="26456" spans="32:32" x14ac:dyDescent="0.2">
      <c r="AF26456" s="679"/>
    </row>
    <row r="26457" spans="32:32" x14ac:dyDescent="0.2">
      <c r="AF26457" s="679"/>
    </row>
    <row r="26458" spans="32:32" x14ac:dyDescent="0.2">
      <c r="AF26458" s="679"/>
    </row>
    <row r="26459" spans="32:32" x14ac:dyDescent="0.2">
      <c r="AF26459" s="679"/>
    </row>
    <row r="26460" spans="32:32" x14ac:dyDescent="0.2">
      <c r="AF26460" s="679"/>
    </row>
    <row r="26461" spans="32:32" x14ac:dyDescent="0.2">
      <c r="AF26461" s="679"/>
    </row>
    <row r="26462" spans="32:32" x14ac:dyDescent="0.2">
      <c r="AF26462" s="679"/>
    </row>
    <row r="26463" spans="32:32" x14ac:dyDescent="0.2">
      <c r="AF26463" s="679"/>
    </row>
    <row r="26464" spans="32:32" x14ac:dyDescent="0.2">
      <c r="AF26464" s="679"/>
    </row>
    <row r="26465" spans="32:32" x14ac:dyDescent="0.2">
      <c r="AF26465" s="679"/>
    </row>
    <row r="26466" spans="32:32" x14ac:dyDescent="0.2">
      <c r="AF26466" s="679"/>
    </row>
    <row r="26467" spans="32:32" x14ac:dyDescent="0.2">
      <c r="AF26467" s="679"/>
    </row>
    <row r="26468" spans="32:32" x14ac:dyDescent="0.2">
      <c r="AF26468" s="679"/>
    </row>
    <row r="26469" spans="32:32" x14ac:dyDescent="0.2">
      <c r="AF26469" s="679"/>
    </row>
    <row r="26470" spans="32:32" x14ac:dyDescent="0.2">
      <c r="AF26470" s="679"/>
    </row>
    <row r="26471" spans="32:32" x14ac:dyDescent="0.2">
      <c r="AF26471" s="679"/>
    </row>
    <row r="26472" spans="32:32" x14ac:dyDescent="0.2">
      <c r="AF26472" s="679"/>
    </row>
    <row r="26473" spans="32:32" x14ac:dyDescent="0.2">
      <c r="AF26473" s="679"/>
    </row>
    <row r="26474" spans="32:32" x14ac:dyDescent="0.2">
      <c r="AF26474" s="679"/>
    </row>
    <row r="26475" spans="32:32" x14ac:dyDescent="0.2">
      <c r="AF26475" s="679"/>
    </row>
    <row r="26476" spans="32:32" x14ac:dyDescent="0.2">
      <c r="AF26476" s="679"/>
    </row>
    <row r="26477" spans="32:32" x14ac:dyDescent="0.2">
      <c r="AF26477" s="679"/>
    </row>
    <row r="26478" spans="32:32" x14ac:dyDescent="0.2">
      <c r="AF26478" s="679"/>
    </row>
    <row r="26479" spans="32:32" x14ac:dyDescent="0.2">
      <c r="AF26479" s="679"/>
    </row>
    <row r="26480" spans="32:32" x14ac:dyDescent="0.2">
      <c r="AF26480" s="679"/>
    </row>
    <row r="26481" spans="32:32" x14ac:dyDescent="0.2">
      <c r="AF26481" s="679"/>
    </row>
    <row r="26482" spans="32:32" x14ac:dyDescent="0.2">
      <c r="AF26482" s="679"/>
    </row>
    <row r="26483" spans="32:32" x14ac:dyDescent="0.2">
      <c r="AF26483" s="679"/>
    </row>
    <row r="26484" spans="32:32" x14ac:dyDescent="0.2">
      <c r="AF26484" s="679"/>
    </row>
    <row r="26485" spans="32:32" x14ac:dyDescent="0.2">
      <c r="AF26485" s="679"/>
    </row>
    <row r="26486" spans="32:32" x14ac:dyDescent="0.2">
      <c r="AF26486" s="679"/>
    </row>
    <row r="26487" spans="32:32" x14ac:dyDescent="0.2">
      <c r="AF26487" s="679"/>
    </row>
    <row r="26488" spans="32:32" x14ac:dyDescent="0.2">
      <c r="AF26488" s="679"/>
    </row>
    <row r="26489" spans="32:32" x14ac:dyDescent="0.2">
      <c r="AF26489" s="679"/>
    </row>
    <row r="26490" spans="32:32" x14ac:dyDescent="0.2">
      <c r="AF26490" s="679"/>
    </row>
    <row r="26491" spans="32:32" x14ac:dyDescent="0.2">
      <c r="AF26491" s="679"/>
    </row>
    <row r="26492" spans="32:32" x14ac:dyDescent="0.2">
      <c r="AF26492" s="679"/>
    </row>
    <row r="26493" spans="32:32" x14ac:dyDescent="0.2">
      <c r="AF26493" s="679"/>
    </row>
    <row r="26494" spans="32:32" x14ac:dyDescent="0.2">
      <c r="AF26494" s="679"/>
    </row>
    <row r="26495" spans="32:32" x14ac:dyDescent="0.2">
      <c r="AF26495" s="679"/>
    </row>
    <row r="26496" spans="32:32" x14ac:dyDescent="0.2">
      <c r="AF26496" s="679"/>
    </row>
    <row r="26497" spans="32:32" x14ac:dyDescent="0.2">
      <c r="AF26497" s="679"/>
    </row>
    <row r="26498" spans="32:32" x14ac:dyDescent="0.2">
      <c r="AF26498" s="679"/>
    </row>
    <row r="26499" spans="32:32" x14ac:dyDescent="0.2">
      <c r="AF26499" s="679"/>
    </row>
    <row r="26500" spans="32:32" x14ac:dyDescent="0.2">
      <c r="AF26500" s="679"/>
    </row>
    <row r="26501" spans="32:32" x14ac:dyDescent="0.2">
      <c r="AF26501" s="679"/>
    </row>
    <row r="26502" spans="32:32" x14ac:dyDescent="0.2">
      <c r="AF26502" s="679"/>
    </row>
    <row r="26503" spans="32:32" x14ac:dyDescent="0.2">
      <c r="AF26503" s="679"/>
    </row>
    <row r="26504" spans="32:32" x14ac:dyDescent="0.2">
      <c r="AF26504" s="679"/>
    </row>
    <row r="26505" spans="32:32" x14ac:dyDescent="0.2">
      <c r="AF26505" s="679"/>
    </row>
    <row r="26506" spans="32:32" x14ac:dyDescent="0.2">
      <c r="AF26506" s="679"/>
    </row>
    <row r="26507" spans="32:32" x14ac:dyDescent="0.2">
      <c r="AF26507" s="679"/>
    </row>
    <row r="26508" spans="32:32" x14ac:dyDescent="0.2">
      <c r="AF26508" s="679"/>
    </row>
    <row r="26509" spans="32:32" x14ac:dyDescent="0.2">
      <c r="AF26509" s="679"/>
    </row>
    <row r="26510" spans="32:32" x14ac:dyDescent="0.2">
      <c r="AF26510" s="679"/>
    </row>
    <row r="26511" spans="32:32" x14ac:dyDescent="0.2">
      <c r="AF26511" s="679"/>
    </row>
    <row r="26512" spans="32:32" x14ac:dyDescent="0.2">
      <c r="AF26512" s="679"/>
    </row>
    <row r="26513" spans="32:32" x14ac:dyDescent="0.2">
      <c r="AF26513" s="679"/>
    </row>
    <row r="26514" spans="32:32" x14ac:dyDescent="0.2">
      <c r="AF26514" s="679"/>
    </row>
    <row r="26515" spans="32:32" x14ac:dyDescent="0.2">
      <c r="AF26515" s="679"/>
    </row>
    <row r="26516" spans="32:32" x14ac:dyDescent="0.2">
      <c r="AF26516" s="679"/>
    </row>
    <row r="26517" spans="32:32" x14ac:dyDescent="0.2">
      <c r="AF26517" s="679"/>
    </row>
    <row r="26518" spans="32:32" x14ac:dyDescent="0.2">
      <c r="AF26518" s="679"/>
    </row>
    <row r="26519" spans="32:32" x14ac:dyDescent="0.2">
      <c r="AF26519" s="679"/>
    </row>
    <row r="26520" spans="32:32" x14ac:dyDescent="0.2">
      <c r="AF26520" s="679"/>
    </row>
    <row r="26521" spans="32:32" x14ac:dyDescent="0.2">
      <c r="AF26521" s="679"/>
    </row>
    <row r="26522" spans="32:32" x14ac:dyDescent="0.2">
      <c r="AF26522" s="679"/>
    </row>
    <row r="26523" spans="32:32" x14ac:dyDescent="0.2">
      <c r="AF26523" s="679"/>
    </row>
    <row r="26524" spans="32:32" x14ac:dyDescent="0.2">
      <c r="AF26524" s="679"/>
    </row>
    <row r="26525" spans="32:32" x14ac:dyDescent="0.2">
      <c r="AF26525" s="679"/>
    </row>
    <row r="26526" spans="32:32" x14ac:dyDescent="0.2">
      <c r="AF26526" s="679"/>
    </row>
    <row r="26527" spans="32:32" x14ac:dyDescent="0.2">
      <c r="AF26527" s="679"/>
    </row>
    <row r="26528" spans="32:32" x14ac:dyDescent="0.2">
      <c r="AF26528" s="679"/>
    </row>
    <row r="26529" spans="32:32" x14ac:dyDescent="0.2">
      <c r="AF26529" s="679"/>
    </row>
    <row r="26530" spans="32:32" x14ac:dyDescent="0.2">
      <c r="AF26530" s="679"/>
    </row>
    <row r="26531" spans="32:32" x14ac:dyDescent="0.2">
      <c r="AF26531" s="679"/>
    </row>
    <row r="26532" spans="32:32" x14ac:dyDescent="0.2">
      <c r="AF26532" s="679"/>
    </row>
    <row r="26533" spans="32:32" x14ac:dyDescent="0.2">
      <c r="AF26533" s="679"/>
    </row>
    <row r="26534" spans="32:32" x14ac:dyDescent="0.2">
      <c r="AF26534" s="679"/>
    </row>
    <row r="26535" spans="32:32" x14ac:dyDescent="0.2">
      <c r="AF26535" s="679"/>
    </row>
    <row r="26536" spans="32:32" x14ac:dyDescent="0.2">
      <c r="AF26536" s="679"/>
    </row>
    <row r="26537" spans="32:32" x14ac:dyDescent="0.2">
      <c r="AF26537" s="679"/>
    </row>
    <row r="26538" spans="32:32" x14ac:dyDescent="0.2">
      <c r="AF26538" s="679"/>
    </row>
    <row r="26539" spans="32:32" x14ac:dyDescent="0.2">
      <c r="AF26539" s="679"/>
    </row>
    <row r="26540" spans="32:32" x14ac:dyDescent="0.2">
      <c r="AF26540" s="679"/>
    </row>
    <row r="26541" spans="32:32" x14ac:dyDescent="0.2">
      <c r="AF26541" s="679"/>
    </row>
    <row r="26542" spans="32:32" x14ac:dyDescent="0.2">
      <c r="AF26542" s="679"/>
    </row>
    <row r="26543" spans="32:32" x14ac:dyDescent="0.2">
      <c r="AF26543" s="679"/>
    </row>
    <row r="26544" spans="32:32" x14ac:dyDescent="0.2">
      <c r="AF26544" s="679"/>
    </row>
    <row r="26545" spans="32:32" x14ac:dyDescent="0.2">
      <c r="AF26545" s="679"/>
    </row>
    <row r="26546" spans="32:32" x14ac:dyDescent="0.2">
      <c r="AF26546" s="679"/>
    </row>
    <row r="26547" spans="32:32" x14ac:dyDescent="0.2">
      <c r="AF26547" s="679"/>
    </row>
    <row r="26548" spans="32:32" x14ac:dyDescent="0.2">
      <c r="AF26548" s="679"/>
    </row>
    <row r="26549" spans="32:32" x14ac:dyDescent="0.2">
      <c r="AF26549" s="679"/>
    </row>
    <row r="26550" spans="32:32" x14ac:dyDescent="0.2">
      <c r="AF26550" s="679"/>
    </row>
    <row r="26551" spans="32:32" x14ac:dyDescent="0.2">
      <c r="AF26551" s="679"/>
    </row>
    <row r="26552" spans="32:32" x14ac:dyDescent="0.2">
      <c r="AF26552" s="679"/>
    </row>
    <row r="26553" spans="32:32" x14ac:dyDescent="0.2">
      <c r="AF26553" s="679"/>
    </row>
    <row r="26554" spans="32:32" x14ac:dyDescent="0.2">
      <c r="AF26554" s="679"/>
    </row>
    <row r="26555" spans="32:32" x14ac:dyDescent="0.2">
      <c r="AF26555" s="679"/>
    </row>
    <row r="26556" spans="32:32" x14ac:dyDescent="0.2">
      <c r="AF26556" s="679"/>
    </row>
    <row r="26557" spans="32:32" x14ac:dyDescent="0.2">
      <c r="AF26557" s="679"/>
    </row>
    <row r="26558" spans="32:32" x14ac:dyDescent="0.2">
      <c r="AF26558" s="679"/>
    </row>
    <row r="26559" spans="32:32" x14ac:dyDescent="0.2">
      <c r="AF26559" s="679"/>
    </row>
    <row r="26560" spans="32:32" x14ac:dyDescent="0.2">
      <c r="AF26560" s="679"/>
    </row>
    <row r="26561" spans="32:32" x14ac:dyDescent="0.2">
      <c r="AF26561" s="679"/>
    </row>
    <row r="26562" spans="32:32" x14ac:dyDescent="0.2">
      <c r="AF26562" s="679"/>
    </row>
    <row r="26563" spans="32:32" x14ac:dyDescent="0.2">
      <c r="AF26563" s="679"/>
    </row>
    <row r="26564" spans="32:32" x14ac:dyDescent="0.2">
      <c r="AF26564" s="679"/>
    </row>
    <row r="26565" spans="32:32" x14ac:dyDescent="0.2">
      <c r="AF26565" s="679"/>
    </row>
    <row r="26566" spans="32:32" x14ac:dyDescent="0.2">
      <c r="AF26566" s="679"/>
    </row>
    <row r="26567" spans="32:32" x14ac:dyDescent="0.2">
      <c r="AF26567" s="679"/>
    </row>
    <row r="26568" spans="32:32" x14ac:dyDescent="0.2">
      <c r="AF26568" s="679"/>
    </row>
    <row r="26569" spans="32:32" x14ac:dyDescent="0.2">
      <c r="AF26569" s="679"/>
    </row>
    <row r="26570" spans="32:32" x14ac:dyDescent="0.2">
      <c r="AF26570" s="679"/>
    </row>
    <row r="26571" spans="32:32" x14ac:dyDescent="0.2">
      <c r="AF26571" s="679"/>
    </row>
    <row r="26572" spans="32:32" x14ac:dyDescent="0.2">
      <c r="AF26572" s="679"/>
    </row>
    <row r="26573" spans="32:32" x14ac:dyDescent="0.2">
      <c r="AF26573" s="679"/>
    </row>
    <row r="26574" spans="32:32" x14ac:dyDescent="0.2">
      <c r="AF26574" s="679"/>
    </row>
    <row r="26575" spans="32:32" x14ac:dyDescent="0.2">
      <c r="AF26575" s="679"/>
    </row>
    <row r="26576" spans="32:32" x14ac:dyDescent="0.2">
      <c r="AF26576" s="679"/>
    </row>
    <row r="26577" spans="32:32" x14ac:dyDescent="0.2">
      <c r="AF26577" s="679"/>
    </row>
    <row r="26578" spans="32:32" x14ac:dyDescent="0.2">
      <c r="AF26578" s="679"/>
    </row>
    <row r="26579" spans="32:32" x14ac:dyDescent="0.2">
      <c r="AF26579" s="679"/>
    </row>
    <row r="26580" spans="32:32" x14ac:dyDescent="0.2">
      <c r="AF26580" s="679"/>
    </row>
    <row r="26581" spans="32:32" x14ac:dyDescent="0.2">
      <c r="AF26581" s="679"/>
    </row>
    <row r="26582" spans="32:32" x14ac:dyDescent="0.2">
      <c r="AF26582" s="679"/>
    </row>
    <row r="26583" spans="32:32" x14ac:dyDescent="0.2">
      <c r="AF26583" s="679"/>
    </row>
    <row r="26584" spans="32:32" x14ac:dyDescent="0.2">
      <c r="AF26584" s="679"/>
    </row>
    <row r="26585" spans="32:32" x14ac:dyDescent="0.2">
      <c r="AF26585" s="679"/>
    </row>
    <row r="26586" spans="32:32" x14ac:dyDescent="0.2">
      <c r="AF26586" s="679"/>
    </row>
    <row r="26587" spans="32:32" x14ac:dyDescent="0.2">
      <c r="AF26587" s="679"/>
    </row>
    <row r="26588" spans="32:32" x14ac:dyDescent="0.2">
      <c r="AF26588" s="679"/>
    </row>
    <row r="26589" spans="32:32" x14ac:dyDescent="0.2">
      <c r="AF26589" s="679"/>
    </row>
    <row r="26590" spans="32:32" x14ac:dyDescent="0.2">
      <c r="AF26590" s="679"/>
    </row>
    <row r="26591" spans="32:32" x14ac:dyDescent="0.2">
      <c r="AF26591" s="679"/>
    </row>
    <row r="26592" spans="32:32" x14ac:dyDescent="0.2">
      <c r="AF26592" s="679"/>
    </row>
    <row r="26593" spans="32:32" x14ac:dyDescent="0.2">
      <c r="AF26593" s="679"/>
    </row>
    <row r="26594" spans="32:32" x14ac:dyDescent="0.2">
      <c r="AF26594" s="679"/>
    </row>
    <row r="26595" spans="32:32" x14ac:dyDescent="0.2">
      <c r="AF26595" s="679"/>
    </row>
    <row r="26596" spans="32:32" x14ac:dyDescent="0.2">
      <c r="AF26596" s="679"/>
    </row>
    <row r="26597" spans="32:32" x14ac:dyDescent="0.2">
      <c r="AF26597" s="679"/>
    </row>
    <row r="26598" spans="32:32" x14ac:dyDescent="0.2">
      <c r="AF26598" s="679"/>
    </row>
    <row r="26599" spans="32:32" x14ac:dyDescent="0.2">
      <c r="AF26599" s="679"/>
    </row>
    <row r="26600" spans="32:32" x14ac:dyDescent="0.2">
      <c r="AF26600" s="679"/>
    </row>
    <row r="26601" spans="32:32" x14ac:dyDescent="0.2">
      <c r="AF26601" s="679"/>
    </row>
    <row r="26602" spans="32:32" x14ac:dyDescent="0.2">
      <c r="AF26602" s="679"/>
    </row>
    <row r="26603" spans="32:32" x14ac:dyDescent="0.2">
      <c r="AF26603" s="679"/>
    </row>
    <row r="26604" spans="32:32" x14ac:dyDescent="0.2">
      <c r="AF26604" s="679"/>
    </row>
    <row r="26605" spans="32:32" x14ac:dyDescent="0.2">
      <c r="AF26605" s="679"/>
    </row>
    <row r="26606" spans="32:32" x14ac:dyDescent="0.2">
      <c r="AF26606" s="679"/>
    </row>
    <row r="26607" spans="32:32" x14ac:dyDescent="0.2">
      <c r="AF26607" s="679"/>
    </row>
    <row r="26608" spans="32:32" x14ac:dyDescent="0.2">
      <c r="AF26608" s="679"/>
    </row>
    <row r="26609" spans="32:32" x14ac:dyDescent="0.2">
      <c r="AF26609" s="679"/>
    </row>
    <row r="26610" spans="32:32" x14ac:dyDescent="0.2">
      <c r="AF26610" s="679"/>
    </row>
    <row r="26611" spans="32:32" x14ac:dyDescent="0.2">
      <c r="AF26611" s="679"/>
    </row>
    <row r="26612" spans="32:32" x14ac:dyDescent="0.2">
      <c r="AF26612" s="679"/>
    </row>
    <row r="26613" spans="32:32" x14ac:dyDescent="0.2">
      <c r="AF26613" s="679"/>
    </row>
    <row r="26614" spans="32:32" x14ac:dyDescent="0.2">
      <c r="AF26614" s="679"/>
    </row>
    <row r="26615" spans="32:32" x14ac:dyDescent="0.2">
      <c r="AF26615" s="679"/>
    </row>
    <row r="26616" spans="32:32" x14ac:dyDescent="0.2">
      <c r="AF26616" s="679"/>
    </row>
    <row r="26617" spans="32:32" x14ac:dyDescent="0.2">
      <c r="AF26617" s="679"/>
    </row>
    <row r="26618" spans="32:32" x14ac:dyDescent="0.2">
      <c r="AF26618" s="679"/>
    </row>
    <row r="26619" spans="32:32" x14ac:dyDescent="0.2">
      <c r="AF26619" s="679"/>
    </row>
    <row r="26620" spans="32:32" x14ac:dyDescent="0.2">
      <c r="AF26620" s="679"/>
    </row>
    <row r="26621" spans="32:32" x14ac:dyDescent="0.2">
      <c r="AF26621" s="679"/>
    </row>
    <row r="26622" spans="32:32" x14ac:dyDescent="0.2">
      <c r="AF26622" s="679"/>
    </row>
    <row r="26623" spans="32:32" x14ac:dyDescent="0.2">
      <c r="AF26623" s="679"/>
    </row>
    <row r="26624" spans="32:32" x14ac:dyDescent="0.2">
      <c r="AF26624" s="679"/>
    </row>
    <row r="26625" spans="32:32" x14ac:dyDescent="0.2">
      <c r="AF26625" s="679"/>
    </row>
    <row r="26626" spans="32:32" x14ac:dyDescent="0.2">
      <c r="AF26626" s="679"/>
    </row>
    <row r="26627" spans="32:32" x14ac:dyDescent="0.2">
      <c r="AF26627" s="679"/>
    </row>
    <row r="26628" spans="32:32" x14ac:dyDescent="0.2">
      <c r="AF26628" s="679"/>
    </row>
    <row r="26629" spans="32:32" x14ac:dyDescent="0.2">
      <c r="AF26629" s="679"/>
    </row>
    <row r="26630" spans="32:32" x14ac:dyDescent="0.2">
      <c r="AF26630" s="679"/>
    </row>
    <row r="26631" spans="32:32" x14ac:dyDescent="0.2">
      <c r="AF26631" s="679"/>
    </row>
    <row r="26632" spans="32:32" x14ac:dyDescent="0.2">
      <c r="AF26632" s="679"/>
    </row>
    <row r="26633" spans="32:32" x14ac:dyDescent="0.2">
      <c r="AF26633" s="679"/>
    </row>
    <row r="26634" spans="32:32" x14ac:dyDescent="0.2">
      <c r="AF26634" s="679"/>
    </row>
    <row r="26635" spans="32:32" x14ac:dyDescent="0.2">
      <c r="AF26635" s="679"/>
    </row>
    <row r="26636" spans="32:32" x14ac:dyDescent="0.2">
      <c r="AF26636" s="679"/>
    </row>
    <row r="26637" spans="32:32" x14ac:dyDescent="0.2">
      <c r="AF26637" s="679"/>
    </row>
    <row r="26638" spans="32:32" x14ac:dyDescent="0.2">
      <c r="AF26638" s="679"/>
    </row>
    <row r="26639" spans="32:32" x14ac:dyDescent="0.2">
      <c r="AF26639" s="679"/>
    </row>
    <row r="26640" spans="32:32" x14ac:dyDescent="0.2">
      <c r="AF26640" s="679"/>
    </row>
    <row r="26641" spans="32:32" x14ac:dyDescent="0.2">
      <c r="AF26641" s="679"/>
    </row>
    <row r="26642" spans="32:32" x14ac:dyDescent="0.2">
      <c r="AF26642" s="679"/>
    </row>
    <row r="26643" spans="32:32" x14ac:dyDescent="0.2">
      <c r="AF26643" s="679"/>
    </row>
    <row r="26644" spans="32:32" x14ac:dyDescent="0.2">
      <c r="AF26644" s="679"/>
    </row>
    <row r="26645" spans="32:32" x14ac:dyDescent="0.2">
      <c r="AF26645" s="679"/>
    </row>
    <row r="26646" spans="32:32" x14ac:dyDescent="0.2">
      <c r="AF26646" s="679"/>
    </row>
    <row r="26647" spans="32:32" x14ac:dyDescent="0.2">
      <c r="AF26647" s="679"/>
    </row>
    <row r="26648" spans="32:32" x14ac:dyDescent="0.2">
      <c r="AF26648" s="679"/>
    </row>
    <row r="26649" spans="32:32" x14ac:dyDescent="0.2">
      <c r="AF26649" s="679"/>
    </row>
    <row r="26650" spans="32:32" x14ac:dyDescent="0.2">
      <c r="AF26650" s="679"/>
    </row>
    <row r="26651" spans="32:32" x14ac:dyDescent="0.2">
      <c r="AF26651" s="679"/>
    </row>
    <row r="26652" spans="32:32" x14ac:dyDescent="0.2">
      <c r="AF26652" s="679"/>
    </row>
    <row r="26653" spans="32:32" x14ac:dyDescent="0.2">
      <c r="AF26653" s="679"/>
    </row>
    <row r="26654" spans="32:32" x14ac:dyDescent="0.2">
      <c r="AF26654" s="679"/>
    </row>
    <row r="26655" spans="32:32" x14ac:dyDescent="0.2">
      <c r="AF26655" s="679"/>
    </row>
    <row r="26656" spans="32:32" x14ac:dyDescent="0.2">
      <c r="AF26656" s="679"/>
    </row>
    <row r="26657" spans="32:32" x14ac:dyDescent="0.2">
      <c r="AF26657" s="679"/>
    </row>
    <row r="26658" spans="32:32" x14ac:dyDescent="0.2">
      <c r="AF26658" s="679"/>
    </row>
    <row r="26659" spans="32:32" x14ac:dyDescent="0.2">
      <c r="AF26659" s="679"/>
    </row>
    <row r="26660" spans="32:32" x14ac:dyDescent="0.2">
      <c r="AF26660" s="679"/>
    </row>
    <row r="26661" spans="32:32" x14ac:dyDescent="0.2">
      <c r="AF26661" s="679"/>
    </row>
    <row r="26662" spans="32:32" x14ac:dyDescent="0.2">
      <c r="AF26662" s="679"/>
    </row>
    <row r="26663" spans="32:32" x14ac:dyDescent="0.2">
      <c r="AF26663" s="679"/>
    </row>
    <row r="26664" spans="32:32" x14ac:dyDescent="0.2">
      <c r="AF26664" s="679"/>
    </row>
    <row r="26665" spans="32:32" x14ac:dyDescent="0.2">
      <c r="AF26665" s="679"/>
    </row>
    <row r="26666" spans="32:32" x14ac:dyDescent="0.2">
      <c r="AF26666" s="679"/>
    </row>
    <row r="26667" spans="32:32" x14ac:dyDescent="0.2">
      <c r="AF26667" s="679"/>
    </row>
    <row r="26668" spans="32:32" x14ac:dyDescent="0.2">
      <c r="AF26668" s="679"/>
    </row>
    <row r="26669" spans="32:32" x14ac:dyDescent="0.2">
      <c r="AF26669" s="679"/>
    </row>
    <row r="26670" spans="32:32" x14ac:dyDescent="0.2">
      <c r="AF26670" s="679"/>
    </row>
    <row r="26671" spans="32:32" x14ac:dyDescent="0.2">
      <c r="AF26671" s="679"/>
    </row>
    <row r="26672" spans="32:32" x14ac:dyDescent="0.2">
      <c r="AF26672" s="679"/>
    </row>
    <row r="26673" spans="32:32" x14ac:dyDescent="0.2">
      <c r="AF26673" s="679"/>
    </row>
    <row r="26674" spans="32:32" x14ac:dyDescent="0.2">
      <c r="AF26674" s="679"/>
    </row>
    <row r="26675" spans="32:32" x14ac:dyDescent="0.2">
      <c r="AF26675" s="679"/>
    </row>
    <row r="26676" spans="32:32" x14ac:dyDescent="0.2">
      <c r="AF26676" s="679"/>
    </row>
    <row r="26677" spans="32:32" x14ac:dyDescent="0.2">
      <c r="AF26677" s="679"/>
    </row>
    <row r="26678" spans="32:32" x14ac:dyDescent="0.2">
      <c r="AF26678" s="679"/>
    </row>
    <row r="26679" spans="32:32" x14ac:dyDescent="0.2">
      <c r="AF26679" s="679"/>
    </row>
    <row r="26680" spans="32:32" x14ac:dyDescent="0.2">
      <c r="AF26680" s="679"/>
    </row>
    <row r="26681" spans="32:32" x14ac:dyDescent="0.2">
      <c r="AF26681" s="679"/>
    </row>
    <row r="26682" spans="32:32" x14ac:dyDescent="0.2">
      <c r="AF26682" s="679"/>
    </row>
    <row r="26683" spans="32:32" x14ac:dyDescent="0.2">
      <c r="AF26683" s="679"/>
    </row>
    <row r="26684" spans="32:32" x14ac:dyDescent="0.2">
      <c r="AF26684" s="679"/>
    </row>
    <row r="26685" spans="32:32" x14ac:dyDescent="0.2">
      <c r="AF26685" s="679"/>
    </row>
    <row r="26686" spans="32:32" x14ac:dyDescent="0.2">
      <c r="AF26686" s="679"/>
    </row>
    <row r="26687" spans="32:32" x14ac:dyDescent="0.2">
      <c r="AF26687" s="679"/>
    </row>
    <row r="26688" spans="32:32" x14ac:dyDescent="0.2">
      <c r="AF26688" s="679"/>
    </row>
    <row r="26689" spans="32:32" x14ac:dyDescent="0.2">
      <c r="AF26689" s="679"/>
    </row>
    <row r="26690" spans="32:32" x14ac:dyDescent="0.2">
      <c r="AF26690" s="679"/>
    </row>
    <row r="26691" spans="32:32" x14ac:dyDescent="0.2">
      <c r="AF26691" s="679"/>
    </row>
    <row r="26692" spans="32:32" x14ac:dyDescent="0.2">
      <c r="AF26692" s="679"/>
    </row>
    <row r="26693" spans="32:32" x14ac:dyDescent="0.2">
      <c r="AF26693" s="679"/>
    </row>
    <row r="26694" spans="32:32" x14ac:dyDescent="0.2">
      <c r="AF26694" s="679"/>
    </row>
    <row r="26695" spans="32:32" x14ac:dyDescent="0.2">
      <c r="AF26695" s="679"/>
    </row>
    <row r="26696" spans="32:32" x14ac:dyDescent="0.2">
      <c r="AF26696" s="679"/>
    </row>
    <row r="26697" spans="32:32" x14ac:dyDescent="0.2">
      <c r="AF26697" s="679"/>
    </row>
    <row r="26698" spans="32:32" x14ac:dyDescent="0.2">
      <c r="AF26698" s="679"/>
    </row>
    <row r="26699" spans="32:32" x14ac:dyDescent="0.2">
      <c r="AF26699" s="679"/>
    </row>
    <row r="26700" spans="32:32" x14ac:dyDescent="0.2">
      <c r="AF26700" s="679"/>
    </row>
    <row r="26701" spans="32:32" x14ac:dyDescent="0.2">
      <c r="AF26701" s="679"/>
    </row>
    <row r="26702" spans="32:32" x14ac:dyDescent="0.2">
      <c r="AF26702" s="679"/>
    </row>
    <row r="26703" spans="32:32" x14ac:dyDescent="0.2">
      <c r="AF26703" s="679"/>
    </row>
    <row r="26704" spans="32:32" x14ac:dyDescent="0.2">
      <c r="AF26704" s="679"/>
    </row>
    <row r="26705" spans="32:32" x14ac:dyDescent="0.2">
      <c r="AF26705" s="679"/>
    </row>
    <row r="26706" spans="32:32" x14ac:dyDescent="0.2">
      <c r="AF26706" s="679"/>
    </row>
    <row r="26707" spans="32:32" x14ac:dyDescent="0.2">
      <c r="AF26707" s="679"/>
    </row>
    <row r="26708" spans="32:32" x14ac:dyDescent="0.2">
      <c r="AF26708" s="679"/>
    </row>
    <row r="26709" spans="32:32" x14ac:dyDescent="0.2">
      <c r="AF26709" s="679"/>
    </row>
    <row r="26710" spans="32:32" x14ac:dyDescent="0.2">
      <c r="AF26710" s="679"/>
    </row>
    <row r="26711" spans="32:32" x14ac:dyDescent="0.2">
      <c r="AF26711" s="679"/>
    </row>
    <row r="26712" spans="32:32" x14ac:dyDescent="0.2">
      <c r="AF26712" s="679"/>
    </row>
    <row r="26713" spans="32:32" x14ac:dyDescent="0.2">
      <c r="AF26713" s="679"/>
    </row>
    <row r="26714" spans="32:32" x14ac:dyDescent="0.2">
      <c r="AF26714" s="679"/>
    </row>
    <row r="26715" spans="32:32" x14ac:dyDescent="0.2">
      <c r="AF26715" s="679"/>
    </row>
    <row r="26716" spans="32:32" x14ac:dyDescent="0.2">
      <c r="AF26716" s="679"/>
    </row>
    <row r="26717" spans="32:32" x14ac:dyDescent="0.2">
      <c r="AF26717" s="679"/>
    </row>
    <row r="26718" spans="32:32" x14ac:dyDescent="0.2">
      <c r="AF26718" s="679"/>
    </row>
    <row r="26719" spans="32:32" x14ac:dyDescent="0.2">
      <c r="AF26719" s="679"/>
    </row>
    <row r="26720" spans="32:32" x14ac:dyDescent="0.2">
      <c r="AF26720" s="679"/>
    </row>
    <row r="26721" spans="32:32" x14ac:dyDescent="0.2">
      <c r="AF26721" s="679"/>
    </row>
    <row r="26722" spans="32:32" x14ac:dyDescent="0.2">
      <c r="AF26722" s="679"/>
    </row>
    <row r="26723" spans="32:32" x14ac:dyDescent="0.2">
      <c r="AF26723" s="679"/>
    </row>
    <row r="26724" spans="32:32" x14ac:dyDescent="0.2">
      <c r="AF26724" s="679"/>
    </row>
    <row r="26725" spans="32:32" x14ac:dyDescent="0.2">
      <c r="AF26725" s="679"/>
    </row>
    <row r="26726" spans="32:32" x14ac:dyDescent="0.2">
      <c r="AF26726" s="679"/>
    </row>
    <row r="26727" spans="32:32" x14ac:dyDescent="0.2">
      <c r="AF26727" s="679"/>
    </row>
    <row r="26728" spans="32:32" x14ac:dyDescent="0.2">
      <c r="AF26728" s="679"/>
    </row>
    <row r="26729" spans="32:32" x14ac:dyDescent="0.2">
      <c r="AF26729" s="679"/>
    </row>
    <row r="26730" spans="32:32" x14ac:dyDescent="0.2">
      <c r="AF26730" s="679"/>
    </row>
    <row r="26731" spans="32:32" x14ac:dyDescent="0.2">
      <c r="AF26731" s="679"/>
    </row>
    <row r="26732" spans="32:32" x14ac:dyDescent="0.2">
      <c r="AF26732" s="679"/>
    </row>
    <row r="26733" spans="32:32" x14ac:dyDescent="0.2">
      <c r="AF26733" s="679"/>
    </row>
    <row r="26734" spans="32:32" x14ac:dyDescent="0.2">
      <c r="AF26734" s="679"/>
    </row>
    <row r="26735" spans="32:32" x14ac:dyDescent="0.2">
      <c r="AF26735" s="679"/>
    </row>
    <row r="26736" spans="32:32" x14ac:dyDescent="0.2">
      <c r="AF26736" s="679"/>
    </row>
    <row r="26737" spans="32:32" x14ac:dyDescent="0.2">
      <c r="AF26737" s="679"/>
    </row>
    <row r="26738" spans="32:32" x14ac:dyDescent="0.2">
      <c r="AF26738" s="679"/>
    </row>
    <row r="26739" spans="32:32" x14ac:dyDescent="0.2">
      <c r="AF26739" s="679"/>
    </row>
    <row r="26740" spans="32:32" x14ac:dyDescent="0.2">
      <c r="AF26740" s="679"/>
    </row>
    <row r="26741" spans="32:32" x14ac:dyDescent="0.2">
      <c r="AF26741" s="679"/>
    </row>
    <row r="26742" spans="32:32" x14ac:dyDescent="0.2">
      <c r="AF26742" s="679"/>
    </row>
    <row r="26743" spans="32:32" x14ac:dyDescent="0.2">
      <c r="AF26743" s="679"/>
    </row>
    <row r="26744" spans="32:32" x14ac:dyDescent="0.2">
      <c r="AF26744" s="679"/>
    </row>
    <row r="26745" spans="32:32" x14ac:dyDescent="0.2">
      <c r="AF26745" s="679"/>
    </row>
    <row r="26746" spans="32:32" x14ac:dyDescent="0.2">
      <c r="AF26746" s="679"/>
    </row>
    <row r="26747" spans="32:32" x14ac:dyDescent="0.2">
      <c r="AF26747" s="679"/>
    </row>
    <row r="26748" spans="32:32" x14ac:dyDescent="0.2">
      <c r="AF26748" s="679"/>
    </row>
    <row r="26749" spans="32:32" x14ac:dyDescent="0.2">
      <c r="AF26749" s="679"/>
    </row>
    <row r="26750" spans="32:32" x14ac:dyDescent="0.2">
      <c r="AF26750" s="679"/>
    </row>
    <row r="26751" spans="32:32" x14ac:dyDescent="0.2">
      <c r="AF26751" s="679"/>
    </row>
    <row r="26752" spans="32:32" x14ac:dyDescent="0.2">
      <c r="AF26752" s="679"/>
    </row>
    <row r="26753" spans="32:32" x14ac:dyDescent="0.2">
      <c r="AF26753" s="679"/>
    </row>
    <row r="26754" spans="32:32" x14ac:dyDescent="0.2">
      <c r="AF26754" s="679"/>
    </row>
    <row r="26755" spans="32:32" x14ac:dyDescent="0.2">
      <c r="AF26755" s="679"/>
    </row>
    <row r="26756" spans="32:32" x14ac:dyDescent="0.2">
      <c r="AF26756" s="679"/>
    </row>
    <row r="26757" spans="32:32" x14ac:dyDescent="0.2">
      <c r="AF26757" s="679"/>
    </row>
    <row r="26758" spans="32:32" x14ac:dyDescent="0.2">
      <c r="AF26758" s="679"/>
    </row>
    <row r="26759" spans="32:32" x14ac:dyDescent="0.2">
      <c r="AF26759" s="679"/>
    </row>
    <row r="26760" spans="32:32" x14ac:dyDescent="0.2">
      <c r="AF26760" s="679"/>
    </row>
    <row r="26761" spans="32:32" x14ac:dyDescent="0.2">
      <c r="AF26761" s="679"/>
    </row>
    <row r="26762" spans="32:32" x14ac:dyDescent="0.2">
      <c r="AF26762" s="679"/>
    </row>
    <row r="26763" spans="32:32" x14ac:dyDescent="0.2">
      <c r="AF26763" s="679"/>
    </row>
    <row r="26764" spans="32:32" x14ac:dyDescent="0.2">
      <c r="AF26764" s="679"/>
    </row>
    <row r="26765" spans="32:32" x14ac:dyDescent="0.2">
      <c r="AF26765" s="679"/>
    </row>
    <row r="26766" spans="32:32" x14ac:dyDescent="0.2">
      <c r="AF26766" s="679"/>
    </row>
    <row r="26767" spans="32:32" x14ac:dyDescent="0.2">
      <c r="AF26767" s="679"/>
    </row>
    <row r="26768" spans="32:32" x14ac:dyDescent="0.2">
      <c r="AF26768" s="679"/>
    </row>
    <row r="26769" spans="32:32" x14ac:dyDescent="0.2">
      <c r="AF26769" s="679"/>
    </row>
    <row r="26770" spans="32:32" x14ac:dyDescent="0.2">
      <c r="AF26770" s="679"/>
    </row>
    <row r="26771" spans="32:32" x14ac:dyDescent="0.2">
      <c r="AF26771" s="679"/>
    </row>
    <row r="26772" spans="32:32" x14ac:dyDescent="0.2">
      <c r="AF26772" s="679"/>
    </row>
    <row r="26773" spans="32:32" x14ac:dyDescent="0.2">
      <c r="AF26773" s="679"/>
    </row>
    <row r="26774" spans="32:32" x14ac:dyDescent="0.2">
      <c r="AF26774" s="679"/>
    </row>
    <row r="26775" spans="32:32" x14ac:dyDescent="0.2">
      <c r="AF26775" s="679"/>
    </row>
    <row r="26776" spans="32:32" x14ac:dyDescent="0.2">
      <c r="AF26776" s="679"/>
    </row>
    <row r="26777" spans="32:32" x14ac:dyDescent="0.2">
      <c r="AF26777" s="679"/>
    </row>
    <row r="26778" spans="32:32" x14ac:dyDescent="0.2">
      <c r="AF26778" s="679"/>
    </row>
    <row r="26779" spans="32:32" x14ac:dyDescent="0.2">
      <c r="AF26779" s="679"/>
    </row>
    <row r="26780" spans="32:32" x14ac:dyDescent="0.2">
      <c r="AF26780" s="679"/>
    </row>
    <row r="26781" spans="32:32" x14ac:dyDescent="0.2">
      <c r="AF26781" s="679"/>
    </row>
    <row r="26782" spans="32:32" x14ac:dyDescent="0.2">
      <c r="AF26782" s="679"/>
    </row>
    <row r="26783" spans="32:32" x14ac:dyDescent="0.2">
      <c r="AF26783" s="679"/>
    </row>
    <row r="26784" spans="32:32" x14ac:dyDescent="0.2">
      <c r="AF26784" s="679"/>
    </row>
    <row r="26785" spans="32:32" x14ac:dyDescent="0.2">
      <c r="AF26785" s="679"/>
    </row>
    <row r="26786" spans="32:32" x14ac:dyDescent="0.2">
      <c r="AF26786" s="679"/>
    </row>
    <row r="26787" spans="32:32" x14ac:dyDescent="0.2">
      <c r="AF26787" s="679"/>
    </row>
    <row r="26788" spans="32:32" x14ac:dyDescent="0.2">
      <c r="AF26788" s="679"/>
    </row>
    <row r="26789" spans="32:32" x14ac:dyDescent="0.2">
      <c r="AF26789" s="679"/>
    </row>
    <row r="26790" spans="32:32" x14ac:dyDescent="0.2">
      <c r="AF26790" s="679"/>
    </row>
    <row r="26791" spans="32:32" x14ac:dyDescent="0.2">
      <c r="AF26791" s="679"/>
    </row>
    <row r="26792" spans="32:32" x14ac:dyDescent="0.2">
      <c r="AF26792" s="679"/>
    </row>
    <row r="26793" spans="32:32" x14ac:dyDescent="0.2">
      <c r="AF26793" s="679"/>
    </row>
    <row r="26794" spans="32:32" x14ac:dyDescent="0.2">
      <c r="AF26794" s="679"/>
    </row>
    <row r="26795" spans="32:32" x14ac:dyDescent="0.2">
      <c r="AF26795" s="679"/>
    </row>
    <row r="26796" spans="32:32" x14ac:dyDescent="0.2">
      <c r="AF26796" s="679"/>
    </row>
    <row r="26797" spans="32:32" x14ac:dyDescent="0.2">
      <c r="AF26797" s="679"/>
    </row>
    <row r="26798" spans="32:32" x14ac:dyDescent="0.2">
      <c r="AF26798" s="679"/>
    </row>
    <row r="26799" spans="32:32" x14ac:dyDescent="0.2">
      <c r="AF26799" s="679"/>
    </row>
    <row r="26800" spans="32:32" x14ac:dyDescent="0.2">
      <c r="AF26800" s="679"/>
    </row>
    <row r="26801" spans="32:32" x14ac:dyDescent="0.2">
      <c r="AF26801" s="679"/>
    </row>
    <row r="26802" spans="32:32" x14ac:dyDescent="0.2">
      <c r="AF26802" s="679"/>
    </row>
    <row r="26803" spans="32:32" x14ac:dyDescent="0.2">
      <c r="AF26803" s="679"/>
    </row>
    <row r="26804" spans="32:32" x14ac:dyDescent="0.2">
      <c r="AF26804" s="679"/>
    </row>
    <row r="26805" spans="32:32" x14ac:dyDescent="0.2">
      <c r="AF26805" s="679"/>
    </row>
    <row r="26806" spans="32:32" x14ac:dyDescent="0.2">
      <c r="AF26806" s="679"/>
    </row>
    <row r="26807" spans="32:32" x14ac:dyDescent="0.2">
      <c r="AF26807" s="679"/>
    </row>
    <row r="26808" spans="32:32" x14ac:dyDescent="0.2">
      <c r="AF26808" s="679"/>
    </row>
    <row r="26809" spans="32:32" x14ac:dyDescent="0.2">
      <c r="AF26809" s="679"/>
    </row>
    <row r="26810" spans="32:32" x14ac:dyDescent="0.2">
      <c r="AF26810" s="679"/>
    </row>
    <row r="26811" spans="32:32" x14ac:dyDescent="0.2">
      <c r="AF26811" s="679"/>
    </row>
    <row r="26812" spans="32:32" x14ac:dyDescent="0.2">
      <c r="AF26812" s="679"/>
    </row>
    <row r="26813" spans="32:32" x14ac:dyDescent="0.2">
      <c r="AF26813" s="679"/>
    </row>
    <row r="26814" spans="32:32" x14ac:dyDescent="0.2">
      <c r="AF26814" s="679"/>
    </row>
    <row r="26815" spans="32:32" x14ac:dyDescent="0.2">
      <c r="AF26815" s="679"/>
    </row>
    <row r="26816" spans="32:32" x14ac:dyDescent="0.2">
      <c r="AF26816" s="679"/>
    </row>
    <row r="26817" spans="32:32" x14ac:dyDescent="0.2">
      <c r="AF26817" s="679"/>
    </row>
    <row r="26818" spans="32:32" x14ac:dyDescent="0.2">
      <c r="AF26818" s="679"/>
    </row>
    <row r="26819" spans="32:32" x14ac:dyDescent="0.2">
      <c r="AF26819" s="679"/>
    </row>
    <row r="26820" spans="32:32" x14ac:dyDescent="0.2">
      <c r="AF26820" s="679"/>
    </row>
    <row r="26821" spans="32:32" x14ac:dyDescent="0.2">
      <c r="AF26821" s="679"/>
    </row>
    <row r="26822" spans="32:32" x14ac:dyDescent="0.2">
      <c r="AF26822" s="679"/>
    </row>
    <row r="26823" spans="32:32" x14ac:dyDescent="0.2">
      <c r="AF26823" s="679"/>
    </row>
    <row r="26824" spans="32:32" x14ac:dyDescent="0.2">
      <c r="AF26824" s="679"/>
    </row>
    <row r="26825" spans="32:32" x14ac:dyDescent="0.2">
      <c r="AF26825" s="679"/>
    </row>
    <row r="26826" spans="32:32" x14ac:dyDescent="0.2">
      <c r="AF26826" s="679"/>
    </row>
    <row r="26827" spans="32:32" x14ac:dyDescent="0.2">
      <c r="AF26827" s="679"/>
    </row>
    <row r="26828" spans="32:32" x14ac:dyDescent="0.2">
      <c r="AF26828" s="679"/>
    </row>
    <row r="26829" spans="32:32" x14ac:dyDescent="0.2">
      <c r="AF26829" s="679"/>
    </row>
    <row r="26830" spans="32:32" x14ac:dyDescent="0.2">
      <c r="AF26830" s="679"/>
    </row>
    <row r="26831" spans="32:32" x14ac:dyDescent="0.2">
      <c r="AF26831" s="679"/>
    </row>
    <row r="26832" spans="32:32" x14ac:dyDescent="0.2">
      <c r="AF26832" s="679"/>
    </row>
    <row r="26833" spans="32:32" x14ac:dyDescent="0.2">
      <c r="AF26833" s="679"/>
    </row>
    <row r="26834" spans="32:32" x14ac:dyDescent="0.2">
      <c r="AF26834" s="679"/>
    </row>
    <row r="26835" spans="32:32" x14ac:dyDescent="0.2">
      <c r="AF26835" s="679"/>
    </row>
    <row r="26836" spans="32:32" x14ac:dyDescent="0.2">
      <c r="AF26836" s="679"/>
    </row>
    <row r="26837" spans="32:32" x14ac:dyDescent="0.2">
      <c r="AF26837" s="679"/>
    </row>
    <row r="26838" spans="32:32" x14ac:dyDescent="0.2">
      <c r="AF26838" s="679"/>
    </row>
    <row r="26839" spans="32:32" x14ac:dyDescent="0.2">
      <c r="AF26839" s="679"/>
    </row>
    <row r="26840" spans="32:32" x14ac:dyDescent="0.2">
      <c r="AF26840" s="679"/>
    </row>
    <row r="26841" spans="32:32" x14ac:dyDescent="0.2">
      <c r="AF26841" s="679"/>
    </row>
    <row r="26842" spans="32:32" x14ac:dyDescent="0.2">
      <c r="AF26842" s="679"/>
    </row>
    <row r="26843" spans="32:32" x14ac:dyDescent="0.2">
      <c r="AF26843" s="679"/>
    </row>
    <row r="26844" spans="32:32" x14ac:dyDescent="0.2">
      <c r="AF26844" s="679"/>
    </row>
    <row r="26845" spans="32:32" x14ac:dyDescent="0.2">
      <c r="AF26845" s="679"/>
    </row>
    <row r="26846" spans="32:32" x14ac:dyDescent="0.2">
      <c r="AF26846" s="679"/>
    </row>
    <row r="26847" spans="32:32" x14ac:dyDescent="0.2">
      <c r="AF26847" s="679"/>
    </row>
    <row r="26848" spans="32:32" x14ac:dyDescent="0.2">
      <c r="AF26848" s="679"/>
    </row>
    <row r="26849" spans="32:32" x14ac:dyDescent="0.2">
      <c r="AF26849" s="679"/>
    </row>
    <row r="26850" spans="32:32" x14ac:dyDescent="0.2">
      <c r="AF26850" s="679"/>
    </row>
    <row r="26851" spans="32:32" x14ac:dyDescent="0.2">
      <c r="AF26851" s="679"/>
    </row>
    <row r="26852" spans="32:32" x14ac:dyDescent="0.2">
      <c r="AF26852" s="679"/>
    </row>
    <row r="26853" spans="32:32" x14ac:dyDescent="0.2">
      <c r="AF26853" s="679"/>
    </row>
    <row r="26854" spans="32:32" x14ac:dyDescent="0.2">
      <c r="AF26854" s="679"/>
    </row>
    <row r="26855" spans="32:32" x14ac:dyDescent="0.2">
      <c r="AF26855" s="679"/>
    </row>
    <row r="26856" spans="32:32" x14ac:dyDescent="0.2">
      <c r="AF26856" s="679"/>
    </row>
    <row r="26857" spans="32:32" x14ac:dyDescent="0.2">
      <c r="AF26857" s="679"/>
    </row>
    <row r="26858" spans="32:32" x14ac:dyDescent="0.2">
      <c r="AF26858" s="679"/>
    </row>
    <row r="26859" spans="32:32" x14ac:dyDescent="0.2">
      <c r="AF26859" s="679"/>
    </row>
    <row r="26860" spans="32:32" x14ac:dyDescent="0.2">
      <c r="AF26860" s="679"/>
    </row>
    <row r="26861" spans="32:32" x14ac:dyDescent="0.2">
      <c r="AF26861" s="679"/>
    </row>
    <row r="26862" spans="32:32" x14ac:dyDescent="0.2">
      <c r="AF26862" s="679"/>
    </row>
    <row r="26863" spans="32:32" x14ac:dyDescent="0.2">
      <c r="AF26863" s="679"/>
    </row>
    <row r="26864" spans="32:32" x14ac:dyDescent="0.2">
      <c r="AF26864" s="679"/>
    </row>
    <row r="26865" spans="32:32" x14ac:dyDescent="0.2">
      <c r="AF26865" s="679"/>
    </row>
    <row r="26866" spans="32:32" x14ac:dyDescent="0.2">
      <c r="AF26866" s="679"/>
    </row>
    <row r="26867" spans="32:32" x14ac:dyDescent="0.2">
      <c r="AF26867" s="679"/>
    </row>
    <row r="26868" spans="32:32" x14ac:dyDescent="0.2">
      <c r="AF26868" s="679"/>
    </row>
    <row r="26869" spans="32:32" x14ac:dyDescent="0.2">
      <c r="AF26869" s="679"/>
    </row>
    <row r="26870" spans="32:32" x14ac:dyDescent="0.2">
      <c r="AF26870" s="679"/>
    </row>
    <row r="26871" spans="32:32" x14ac:dyDescent="0.2">
      <c r="AF26871" s="679"/>
    </row>
    <row r="26872" spans="32:32" x14ac:dyDescent="0.2">
      <c r="AF26872" s="679"/>
    </row>
    <row r="26873" spans="32:32" x14ac:dyDescent="0.2">
      <c r="AF26873" s="679"/>
    </row>
    <row r="26874" spans="32:32" x14ac:dyDescent="0.2">
      <c r="AF26874" s="679"/>
    </row>
    <row r="26875" spans="32:32" x14ac:dyDescent="0.2">
      <c r="AF26875" s="679"/>
    </row>
    <row r="26876" spans="32:32" x14ac:dyDescent="0.2">
      <c r="AF26876" s="679"/>
    </row>
    <row r="26877" spans="32:32" x14ac:dyDescent="0.2">
      <c r="AF26877" s="679"/>
    </row>
    <row r="26878" spans="32:32" x14ac:dyDescent="0.2">
      <c r="AF26878" s="679"/>
    </row>
    <row r="26879" spans="32:32" x14ac:dyDescent="0.2">
      <c r="AF26879" s="679"/>
    </row>
    <row r="26880" spans="32:32" x14ac:dyDescent="0.2">
      <c r="AF26880" s="679"/>
    </row>
    <row r="26881" spans="32:32" x14ac:dyDescent="0.2">
      <c r="AF26881" s="679"/>
    </row>
    <row r="26882" spans="32:32" x14ac:dyDescent="0.2">
      <c r="AF26882" s="679"/>
    </row>
    <row r="26883" spans="32:32" x14ac:dyDescent="0.2">
      <c r="AF26883" s="679"/>
    </row>
    <row r="26884" spans="32:32" x14ac:dyDescent="0.2">
      <c r="AF26884" s="679"/>
    </row>
    <row r="26885" spans="32:32" x14ac:dyDescent="0.2">
      <c r="AF26885" s="679"/>
    </row>
    <row r="26886" spans="32:32" x14ac:dyDescent="0.2">
      <c r="AF26886" s="679"/>
    </row>
    <row r="26887" spans="32:32" x14ac:dyDescent="0.2">
      <c r="AF26887" s="679"/>
    </row>
    <row r="26888" spans="32:32" x14ac:dyDescent="0.2">
      <c r="AF26888" s="679"/>
    </row>
    <row r="26889" spans="32:32" x14ac:dyDescent="0.2">
      <c r="AF26889" s="679"/>
    </row>
    <row r="26890" spans="32:32" x14ac:dyDescent="0.2">
      <c r="AF26890" s="679"/>
    </row>
    <row r="26891" spans="32:32" x14ac:dyDescent="0.2">
      <c r="AF26891" s="679"/>
    </row>
    <row r="26892" spans="32:32" x14ac:dyDescent="0.2">
      <c r="AF26892" s="679"/>
    </row>
    <row r="26893" spans="32:32" x14ac:dyDescent="0.2">
      <c r="AF26893" s="679"/>
    </row>
    <row r="26894" spans="32:32" x14ac:dyDescent="0.2">
      <c r="AF26894" s="679"/>
    </row>
    <row r="26895" spans="32:32" x14ac:dyDescent="0.2">
      <c r="AF26895" s="679"/>
    </row>
    <row r="26896" spans="32:32" x14ac:dyDescent="0.2">
      <c r="AF26896" s="679"/>
    </row>
    <row r="26897" spans="32:32" x14ac:dyDescent="0.2">
      <c r="AF26897" s="679"/>
    </row>
    <row r="26898" spans="32:32" x14ac:dyDescent="0.2">
      <c r="AF26898" s="679"/>
    </row>
    <row r="26899" spans="32:32" x14ac:dyDescent="0.2">
      <c r="AF26899" s="679"/>
    </row>
    <row r="26900" spans="32:32" x14ac:dyDescent="0.2">
      <c r="AF26900" s="679"/>
    </row>
    <row r="26901" spans="32:32" x14ac:dyDescent="0.2">
      <c r="AF26901" s="679"/>
    </row>
    <row r="26902" spans="32:32" x14ac:dyDescent="0.2">
      <c r="AF26902" s="679"/>
    </row>
    <row r="26903" spans="32:32" x14ac:dyDescent="0.2">
      <c r="AF26903" s="679"/>
    </row>
    <row r="26904" spans="32:32" x14ac:dyDescent="0.2">
      <c r="AF26904" s="679"/>
    </row>
    <row r="26905" spans="32:32" x14ac:dyDescent="0.2">
      <c r="AF26905" s="679"/>
    </row>
    <row r="26906" spans="32:32" x14ac:dyDescent="0.2">
      <c r="AF26906" s="679"/>
    </row>
    <row r="26907" spans="32:32" x14ac:dyDescent="0.2">
      <c r="AF26907" s="679"/>
    </row>
    <row r="26908" spans="32:32" x14ac:dyDescent="0.2">
      <c r="AF26908" s="679"/>
    </row>
    <row r="26909" spans="32:32" x14ac:dyDescent="0.2">
      <c r="AF26909" s="679"/>
    </row>
    <row r="26910" spans="32:32" x14ac:dyDescent="0.2">
      <c r="AF26910" s="679"/>
    </row>
    <row r="26911" spans="32:32" x14ac:dyDescent="0.2">
      <c r="AF26911" s="679"/>
    </row>
    <row r="26912" spans="32:32" x14ac:dyDescent="0.2">
      <c r="AF26912" s="679"/>
    </row>
    <row r="26913" spans="32:32" x14ac:dyDescent="0.2">
      <c r="AF26913" s="679"/>
    </row>
    <row r="26914" spans="32:32" x14ac:dyDescent="0.2">
      <c r="AF26914" s="679"/>
    </row>
    <row r="26915" spans="32:32" x14ac:dyDescent="0.2">
      <c r="AF26915" s="679"/>
    </row>
    <row r="26916" spans="32:32" x14ac:dyDescent="0.2">
      <c r="AF26916" s="679"/>
    </row>
    <row r="26917" spans="32:32" x14ac:dyDescent="0.2">
      <c r="AF26917" s="679"/>
    </row>
    <row r="26918" spans="32:32" x14ac:dyDescent="0.2">
      <c r="AF26918" s="679"/>
    </row>
    <row r="26919" spans="32:32" x14ac:dyDescent="0.2">
      <c r="AF26919" s="679"/>
    </row>
    <row r="26920" spans="32:32" x14ac:dyDescent="0.2">
      <c r="AF26920" s="679"/>
    </row>
    <row r="26921" spans="32:32" x14ac:dyDescent="0.2">
      <c r="AF26921" s="679"/>
    </row>
    <row r="26922" spans="32:32" x14ac:dyDescent="0.2">
      <c r="AF26922" s="679"/>
    </row>
    <row r="26923" spans="32:32" x14ac:dyDescent="0.2">
      <c r="AF26923" s="679"/>
    </row>
    <row r="26924" spans="32:32" x14ac:dyDescent="0.2">
      <c r="AF26924" s="679"/>
    </row>
    <row r="26925" spans="32:32" x14ac:dyDescent="0.2">
      <c r="AF26925" s="679"/>
    </row>
    <row r="26926" spans="32:32" x14ac:dyDescent="0.2">
      <c r="AF26926" s="679"/>
    </row>
    <row r="26927" spans="32:32" x14ac:dyDescent="0.2">
      <c r="AF26927" s="679"/>
    </row>
    <row r="26928" spans="32:32" x14ac:dyDescent="0.2">
      <c r="AF26928" s="679"/>
    </row>
    <row r="26929" spans="32:32" x14ac:dyDescent="0.2">
      <c r="AF26929" s="679"/>
    </row>
    <row r="26930" spans="32:32" x14ac:dyDescent="0.2">
      <c r="AF26930" s="679"/>
    </row>
    <row r="26931" spans="32:32" x14ac:dyDescent="0.2">
      <c r="AF26931" s="679"/>
    </row>
    <row r="26932" spans="32:32" x14ac:dyDescent="0.2">
      <c r="AF26932" s="679"/>
    </row>
    <row r="26933" spans="32:32" x14ac:dyDescent="0.2">
      <c r="AF26933" s="679"/>
    </row>
    <row r="26934" spans="32:32" x14ac:dyDescent="0.2">
      <c r="AF26934" s="679"/>
    </row>
    <row r="26935" spans="32:32" x14ac:dyDescent="0.2">
      <c r="AF26935" s="679"/>
    </row>
    <row r="26936" spans="32:32" x14ac:dyDescent="0.2">
      <c r="AF26936" s="679"/>
    </row>
    <row r="26937" spans="32:32" x14ac:dyDescent="0.2">
      <c r="AF26937" s="679"/>
    </row>
    <row r="26938" spans="32:32" x14ac:dyDescent="0.2">
      <c r="AF26938" s="679"/>
    </row>
    <row r="26939" spans="32:32" x14ac:dyDescent="0.2">
      <c r="AF26939" s="679"/>
    </row>
    <row r="26940" spans="32:32" x14ac:dyDescent="0.2">
      <c r="AF26940" s="679"/>
    </row>
    <row r="26941" spans="32:32" x14ac:dyDescent="0.2">
      <c r="AF26941" s="679"/>
    </row>
    <row r="26942" spans="32:32" x14ac:dyDescent="0.2">
      <c r="AF26942" s="679"/>
    </row>
    <row r="26943" spans="32:32" x14ac:dyDescent="0.2">
      <c r="AF26943" s="679"/>
    </row>
    <row r="26944" spans="32:32" x14ac:dyDescent="0.2">
      <c r="AF26944" s="679"/>
    </row>
    <row r="26945" spans="32:32" x14ac:dyDescent="0.2">
      <c r="AF26945" s="679"/>
    </row>
    <row r="26946" spans="32:32" x14ac:dyDescent="0.2">
      <c r="AF26946" s="679"/>
    </row>
    <row r="26947" spans="32:32" x14ac:dyDescent="0.2">
      <c r="AF26947" s="679"/>
    </row>
    <row r="26948" spans="32:32" x14ac:dyDescent="0.2">
      <c r="AF26948" s="679"/>
    </row>
    <row r="26949" spans="32:32" x14ac:dyDescent="0.2">
      <c r="AF26949" s="679"/>
    </row>
    <row r="26950" spans="32:32" x14ac:dyDescent="0.2">
      <c r="AF26950" s="679"/>
    </row>
    <row r="26951" spans="32:32" x14ac:dyDescent="0.2">
      <c r="AF26951" s="679"/>
    </row>
    <row r="26952" spans="32:32" x14ac:dyDescent="0.2">
      <c r="AF26952" s="679"/>
    </row>
    <row r="26953" spans="32:32" x14ac:dyDescent="0.2">
      <c r="AF26953" s="679"/>
    </row>
    <row r="26954" spans="32:32" x14ac:dyDescent="0.2">
      <c r="AF26954" s="679"/>
    </row>
    <row r="26955" spans="32:32" x14ac:dyDescent="0.2">
      <c r="AF26955" s="679"/>
    </row>
    <row r="26956" spans="32:32" x14ac:dyDescent="0.2">
      <c r="AF26956" s="679"/>
    </row>
    <row r="26957" spans="32:32" x14ac:dyDescent="0.2">
      <c r="AF26957" s="679"/>
    </row>
    <row r="26958" spans="32:32" x14ac:dyDescent="0.2">
      <c r="AF26958" s="679"/>
    </row>
    <row r="26959" spans="32:32" x14ac:dyDescent="0.2">
      <c r="AF26959" s="679"/>
    </row>
    <row r="26960" spans="32:32" x14ac:dyDescent="0.2">
      <c r="AF26960" s="679"/>
    </row>
    <row r="26961" spans="32:32" x14ac:dyDescent="0.2">
      <c r="AF26961" s="679"/>
    </row>
    <row r="26962" spans="32:32" x14ac:dyDescent="0.2">
      <c r="AF26962" s="679"/>
    </row>
    <row r="26963" spans="32:32" x14ac:dyDescent="0.2">
      <c r="AF26963" s="679"/>
    </row>
    <row r="26964" spans="32:32" x14ac:dyDescent="0.2">
      <c r="AF26964" s="679"/>
    </row>
    <row r="26965" spans="32:32" x14ac:dyDescent="0.2">
      <c r="AF26965" s="679"/>
    </row>
    <row r="26966" spans="32:32" x14ac:dyDescent="0.2">
      <c r="AF26966" s="679"/>
    </row>
    <row r="26967" spans="32:32" x14ac:dyDescent="0.2">
      <c r="AF26967" s="679"/>
    </row>
    <row r="26968" spans="32:32" x14ac:dyDescent="0.2">
      <c r="AF26968" s="679"/>
    </row>
    <row r="26969" spans="32:32" x14ac:dyDescent="0.2">
      <c r="AF26969" s="679"/>
    </row>
    <row r="26970" spans="32:32" x14ac:dyDescent="0.2">
      <c r="AF26970" s="679"/>
    </row>
    <row r="26971" spans="32:32" x14ac:dyDescent="0.2">
      <c r="AF26971" s="679"/>
    </row>
    <row r="26972" spans="32:32" x14ac:dyDescent="0.2">
      <c r="AF26972" s="679"/>
    </row>
    <row r="26973" spans="32:32" x14ac:dyDescent="0.2">
      <c r="AF26973" s="679"/>
    </row>
    <row r="26974" spans="32:32" x14ac:dyDescent="0.2">
      <c r="AF26974" s="679"/>
    </row>
    <row r="26975" spans="32:32" x14ac:dyDescent="0.2">
      <c r="AF26975" s="679"/>
    </row>
    <row r="26976" spans="32:32" x14ac:dyDescent="0.2">
      <c r="AF26976" s="679"/>
    </row>
    <row r="26977" spans="32:32" x14ac:dyDescent="0.2">
      <c r="AF26977" s="679"/>
    </row>
    <row r="26978" spans="32:32" x14ac:dyDescent="0.2">
      <c r="AF26978" s="679"/>
    </row>
    <row r="26979" spans="32:32" x14ac:dyDescent="0.2">
      <c r="AF26979" s="679"/>
    </row>
    <row r="26980" spans="32:32" x14ac:dyDescent="0.2">
      <c r="AF26980" s="679"/>
    </row>
    <row r="26981" spans="32:32" x14ac:dyDescent="0.2">
      <c r="AF26981" s="679"/>
    </row>
    <row r="26982" spans="32:32" x14ac:dyDescent="0.2">
      <c r="AF26982" s="679"/>
    </row>
    <row r="26983" spans="32:32" x14ac:dyDescent="0.2">
      <c r="AF26983" s="679"/>
    </row>
    <row r="26984" spans="32:32" x14ac:dyDescent="0.2">
      <c r="AF26984" s="679"/>
    </row>
    <row r="26985" spans="32:32" x14ac:dyDescent="0.2">
      <c r="AF26985" s="679"/>
    </row>
    <row r="26986" spans="32:32" x14ac:dyDescent="0.2">
      <c r="AF26986" s="679"/>
    </row>
    <row r="26987" spans="32:32" x14ac:dyDescent="0.2">
      <c r="AF26987" s="679"/>
    </row>
    <row r="26988" spans="32:32" x14ac:dyDescent="0.2">
      <c r="AF26988" s="679"/>
    </row>
    <row r="26989" spans="32:32" x14ac:dyDescent="0.2">
      <c r="AF26989" s="679"/>
    </row>
    <row r="26990" spans="32:32" x14ac:dyDescent="0.2">
      <c r="AF26990" s="679"/>
    </row>
    <row r="26991" spans="32:32" x14ac:dyDescent="0.2">
      <c r="AF26991" s="679"/>
    </row>
    <row r="26992" spans="32:32" x14ac:dyDescent="0.2">
      <c r="AF26992" s="679"/>
    </row>
    <row r="26993" spans="32:32" x14ac:dyDescent="0.2">
      <c r="AF26993" s="679"/>
    </row>
    <row r="26994" spans="32:32" x14ac:dyDescent="0.2">
      <c r="AF26994" s="679"/>
    </row>
    <row r="26995" spans="32:32" x14ac:dyDescent="0.2">
      <c r="AF26995" s="679"/>
    </row>
    <row r="26996" spans="32:32" x14ac:dyDescent="0.2">
      <c r="AF26996" s="679"/>
    </row>
    <row r="26997" spans="32:32" x14ac:dyDescent="0.2">
      <c r="AF26997" s="679"/>
    </row>
    <row r="26998" spans="32:32" x14ac:dyDescent="0.2">
      <c r="AF26998" s="679"/>
    </row>
    <row r="26999" spans="32:32" x14ac:dyDescent="0.2">
      <c r="AF26999" s="679"/>
    </row>
    <row r="27000" spans="32:32" x14ac:dyDescent="0.2">
      <c r="AF27000" s="679"/>
    </row>
    <row r="27001" spans="32:32" x14ac:dyDescent="0.2">
      <c r="AF27001" s="679"/>
    </row>
    <row r="27002" spans="32:32" x14ac:dyDescent="0.2">
      <c r="AF27002" s="679"/>
    </row>
    <row r="27003" spans="32:32" x14ac:dyDescent="0.2">
      <c r="AF27003" s="679"/>
    </row>
    <row r="27004" spans="32:32" x14ac:dyDescent="0.2">
      <c r="AF27004" s="679"/>
    </row>
    <row r="27005" spans="32:32" x14ac:dyDescent="0.2">
      <c r="AF27005" s="679"/>
    </row>
    <row r="27006" spans="32:32" x14ac:dyDescent="0.2">
      <c r="AF27006" s="679"/>
    </row>
    <row r="27007" spans="32:32" x14ac:dyDescent="0.2">
      <c r="AF27007" s="679"/>
    </row>
    <row r="27008" spans="32:32" x14ac:dyDescent="0.2">
      <c r="AF27008" s="679"/>
    </row>
    <row r="27009" spans="32:32" x14ac:dyDescent="0.2">
      <c r="AF27009" s="679"/>
    </row>
    <row r="27010" spans="32:32" x14ac:dyDescent="0.2">
      <c r="AF27010" s="679"/>
    </row>
    <row r="27011" spans="32:32" x14ac:dyDescent="0.2">
      <c r="AF27011" s="679"/>
    </row>
    <row r="27012" spans="32:32" x14ac:dyDescent="0.2">
      <c r="AF27012" s="679"/>
    </row>
    <row r="27013" spans="32:32" x14ac:dyDescent="0.2">
      <c r="AF27013" s="679"/>
    </row>
    <row r="27014" spans="32:32" x14ac:dyDescent="0.2">
      <c r="AF27014" s="679"/>
    </row>
    <row r="27015" spans="32:32" x14ac:dyDescent="0.2">
      <c r="AF27015" s="679"/>
    </row>
    <row r="27016" spans="32:32" x14ac:dyDescent="0.2">
      <c r="AF27016" s="679"/>
    </row>
    <row r="27017" spans="32:32" x14ac:dyDescent="0.2">
      <c r="AF27017" s="679"/>
    </row>
    <row r="27018" spans="32:32" x14ac:dyDescent="0.2">
      <c r="AF27018" s="679"/>
    </row>
    <row r="27019" spans="32:32" x14ac:dyDescent="0.2">
      <c r="AF27019" s="679"/>
    </row>
    <row r="27020" spans="32:32" x14ac:dyDescent="0.2">
      <c r="AF27020" s="679"/>
    </row>
    <row r="27021" spans="32:32" x14ac:dyDescent="0.2">
      <c r="AF27021" s="679"/>
    </row>
    <row r="27022" spans="32:32" x14ac:dyDescent="0.2">
      <c r="AF27022" s="679"/>
    </row>
    <row r="27023" spans="32:32" x14ac:dyDescent="0.2">
      <c r="AF27023" s="679"/>
    </row>
    <row r="27024" spans="32:32" x14ac:dyDescent="0.2">
      <c r="AF27024" s="679"/>
    </row>
    <row r="27025" spans="32:32" x14ac:dyDescent="0.2">
      <c r="AF27025" s="679"/>
    </row>
    <row r="27026" spans="32:32" x14ac:dyDescent="0.2">
      <c r="AF27026" s="679"/>
    </row>
    <row r="27027" spans="32:32" x14ac:dyDescent="0.2">
      <c r="AF27027" s="679"/>
    </row>
    <row r="27028" spans="32:32" x14ac:dyDescent="0.2">
      <c r="AF27028" s="679"/>
    </row>
    <row r="27029" spans="32:32" x14ac:dyDescent="0.2">
      <c r="AF27029" s="679"/>
    </row>
    <row r="27030" spans="32:32" x14ac:dyDescent="0.2">
      <c r="AF27030" s="679"/>
    </row>
    <row r="27031" spans="32:32" x14ac:dyDescent="0.2">
      <c r="AF27031" s="679"/>
    </row>
    <row r="27032" spans="32:32" x14ac:dyDescent="0.2">
      <c r="AF27032" s="679"/>
    </row>
    <row r="27033" spans="32:32" x14ac:dyDescent="0.2">
      <c r="AF27033" s="679"/>
    </row>
    <row r="27034" spans="32:32" x14ac:dyDescent="0.2">
      <c r="AF27034" s="679"/>
    </row>
    <row r="27035" spans="32:32" x14ac:dyDescent="0.2">
      <c r="AF27035" s="679"/>
    </row>
    <row r="27036" spans="32:32" x14ac:dyDescent="0.2">
      <c r="AF27036" s="679"/>
    </row>
    <row r="27037" spans="32:32" x14ac:dyDescent="0.2">
      <c r="AF27037" s="679"/>
    </row>
    <row r="27038" spans="32:32" x14ac:dyDescent="0.2">
      <c r="AF27038" s="679"/>
    </row>
    <row r="27039" spans="32:32" x14ac:dyDescent="0.2">
      <c r="AF27039" s="679"/>
    </row>
    <row r="27040" spans="32:32" x14ac:dyDescent="0.2">
      <c r="AF27040" s="679"/>
    </row>
    <row r="27041" spans="32:32" x14ac:dyDescent="0.2">
      <c r="AF27041" s="679"/>
    </row>
    <row r="27042" spans="32:32" x14ac:dyDescent="0.2">
      <c r="AF27042" s="679"/>
    </row>
    <row r="27043" spans="32:32" x14ac:dyDescent="0.2">
      <c r="AF27043" s="679"/>
    </row>
    <row r="27044" spans="32:32" x14ac:dyDescent="0.2">
      <c r="AF27044" s="679"/>
    </row>
    <row r="27045" spans="32:32" x14ac:dyDescent="0.2">
      <c r="AF27045" s="679"/>
    </row>
    <row r="27046" spans="32:32" x14ac:dyDescent="0.2">
      <c r="AF27046" s="679"/>
    </row>
    <row r="27047" spans="32:32" x14ac:dyDescent="0.2">
      <c r="AF27047" s="679"/>
    </row>
    <row r="27048" spans="32:32" x14ac:dyDescent="0.2">
      <c r="AF27048" s="679"/>
    </row>
    <row r="27049" spans="32:32" x14ac:dyDescent="0.2">
      <c r="AF27049" s="679"/>
    </row>
    <row r="27050" spans="32:32" x14ac:dyDescent="0.2">
      <c r="AF27050" s="679"/>
    </row>
    <row r="27051" spans="32:32" x14ac:dyDescent="0.2">
      <c r="AF27051" s="679"/>
    </row>
    <row r="27052" spans="32:32" x14ac:dyDescent="0.2">
      <c r="AF27052" s="679"/>
    </row>
    <row r="27053" spans="32:32" x14ac:dyDescent="0.2">
      <c r="AF27053" s="679"/>
    </row>
    <row r="27054" spans="32:32" x14ac:dyDescent="0.2">
      <c r="AF27054" s="679"/>
    </row>
    <row r="27055" spans="32:32" x14ac:dyDescent="0.2">
      <c r="AF27055" s="679"/>
    </row>
    <row r="27056" spans="32:32" x14ac:dyDescent="0.2">
      <c r="AF27056" s="679"/>
    </row>
    <row r="27057" spans="32:32" x14ac:dyDescent="0.2">
      <c r="AF27057" s="679"/>
    </row>
    <row r="27058" spans="32:32" x14ac:dyDescent="0.2">
      <c r="AF27058" s="679"/>
    </row>
    <row r="27059" spans="32:32" x14ac:dyDescent="0.2">
      <c r="AF27059" s="679"/>
    </row>
    <row r="27060" spans="32:32" x14ac:dyDescent="0.2">
      <c r="AF27060" s="679"/>
    </row>
    <row r="27061" spans="32:32" x14ac:dyDescent="0.2">
      <c r="AF27061" s="679"/>
    </row>
    <row r="27062" spans="32:32" x14ac:dyDescent="0.2">
      <c r="AF27062" s="679"/>
    </row>
    <row r="27063" spans="32:32" x14ac:dyDescent="0.2">
      <c r="AF27063" s="679"/>
    </row>
    <row r="27064" spans="32:32" x14ac:dyDescent="0.2">
      <c r="AF27064" s="679"/>
    </row>
    <row r="27065" spans="32:32" x14ac:dyDescent="0.2">
      <c r="AF27065" s="679"/>
    </row>
    <row r="27066" spans="32:32" x14ac:dyDescent="0.2">
      <c r="AF27066" s="679"/>
    </row>
    <row r="27067" spans="32:32" x14ac:dyDescent="0.2">
      <c r="AF27067" s="679"/>
    </row>
    <row r="27068" spans="32:32" x14ac:dyDescent="0.2">
      <c r="AF27068" s="679"/>
    </row>
    <row r="27069" spans="32:32" x14ac:dyDescent="0.2">
      <c r="AF27069" s="679"/>
    </row>
    <row r="27070" spans="32:32" x14ac:dyDescent="0.2">
      <c r="AF27070" s="679"/>
    </row>
    <row r="27071" spans="32:32" x14ac:dyDescent="0.2">
      <c r="AF27071" s="679"/>
    </row>
    <row r="27072" spans="32:32" x14ac:dyDescent="0.2">
      <c r="AF27072" s="679"/>
    </row>
    <row r="27073" spans="32:32" x14ac:dyDescent="0.2">
      <c r="AF27073" s="679"/>
    </row>
    <row r="27074" spans="32:32" x14ac:dyDescent="0.2">
      <c r="AF27074" s="679"/>
    </row>
    <row r="27075" spans="32:32" x14ac:dyDescent="0.2">
      <c r="AF27075" s="679"/>
    </row>
    <row r="27076" spans="32:32" x14ac:dyDescent="0.2">
      <c r="AF27076" s="679"/>
    </row>
    <row r="27077" spans="32:32" x14ac:dyDescent="0.2">
      <c r="AF27077" s="679"/>
    </row>
    <row r="27078" spans="32:32" x14ac:dyDescent="0.2">
      <c r="AF27078" s="679"/>
    </row>
    <row r="27079" spans="32:32" x14ac:dyDescent="0.2">
      <c r="AF27079" s="679"/>
    </row>
    <row r="27080" spans="32:32" x14ac:dyDescent="0.2">
      <c r="AF27080" s="679"/>
    </row>
    <row r="27081" spans="32:32" x14ac:dyDescent="0.2">
      <c r="AF27081" s="679"/>
    </row>
    <row r="27082" spans="32:32" x14ac:dyDescent="0.2">
      <c r="AF27082" s="679"/>
    </row>
    <row r="27083" spans="32:32" x14ac:dyDescent="0.2">
      <c r="AF27083" s="679"/>
    </row>
    <row r="27084" spans="32:32" x14ac:dyDescent="0.2">
      <c r="AF27084" s="679"/>
    </row>
    <row r="27085" spans="32:32" x14ac:dyDescent="0.2">
      <c r="AF27085" s="679"/>
    </row>
    <row r="27086" spans="32:32" x14ac:dyDescent="0.2">
      <c r="AF27086" s="679"/>
    </row>
    <row r="27087" spans="32:32" x14ac:dyDescent="0.2">
      <c r="AF27087" s="679"/>
    </row>
    <row r="27088" spans="32:32" x14ac:dyDescent="0.2">
      <c r="AF27088" s="679"/>
    </row>
    <row r="27089" spans="32:32" x14ac:dyDescent="0.2">
      <c r="AF27089" s="679"/>
    </row>
    <row r="27090" spans="32:32" x14ac:dyDescent="0.2">
      <c r="AF27090" s="679"/>
    </row>
    <row r="27091" spans="32:32" x14ac:dyDescent="0.2">
      <c r="AF27091" s="679"/>
    </row>
    <row r="27092" spans="32:32" x14ac:dyDescent="0.2">
      <c r="AF27092" s="679"/>
    </row>
    <row r="27093" spans="32:32" x14ac:dyDescent="0.2">
      <c r="AF27093" s="679"/>
    </row>
    <row r="27094" spans="32:32" x14ac:dyDescent="0.2">
      <c r="AF27094" s="679"/>
    </row>
    <row r="27095" spans="32:32" x14ac:dyDescent="0.2">
      <c r="AF27095" s="679"/>
    </row>
    <row r="27096" spans="32:32" x14ac:dyDescent="0.2">
      <c r="AF27096" s="679"/>
    </row>
    <row r="27097" spans="32:32" x14ac:dyDescent="0.2">
      <c r="AF27097" s="679"/>
    </row>
    <row r="27098" spans="32:32" x14ac:dyDescent="0.2">
      <c r="AF27098" s="679"/>
    </row>
    <row r="27099" spans="32:32" x14ac:dyDescent="0.2">
      <c r="AF27099" s="679"/>
    </row>
    <row r="27100" spans="32:32" x14ac:dyDescent="0.2">
      <c r="AF27100" s="679"/>
    </row>
    <row r="27101" spans="32:32" x14ac:dyDescent="0.2">
      <c r="AF27101" s="679"/>
    </row>
    <row r="27102" spans="32:32" x14ac:dyDescent="0.2">
      <c r="AF27102" s="679"/>
    </row>
    <row r="27103" spans="32:32" x14ac:dyDescent="0.2">
      <c r="AF27103" s="679"/>
    </row>
    <row r="27104" spans="32:32" x14ac:dyDescent="0.2">
      <c r="AF27104" s="679"/>
    </row>
    <row r="27105" spans="32:32" x14ac:dyDescent="0.2">
      <c r="AF27105" s="679"/>
    </row>
    <row r="27106" spans="32:32" x14ac:dyDescent="0.2">
      <c r="AF27106" s="679"/>
    </row>
    <row r="27107" spans="32:32" x14ac:dyDescent="0.2">
      <c r="AF27107" s="679"/>
    </row>
    <row r="27108" spans="32:32" x14ac:dyDescent="0.2">
      <c r="AF27108" s="679"/>
    </row>
    <row r="27109" spans="32:32" x14ac:dyDescent="0.2">
      <c r="AF27109" s="679"/>
    </row>
    <row r="27110" spans="32:32" x14ac:dyDescent="0.2">
      <c r="AF27110" s="679"/>
    </row>
    <row r="27111" spans="32:32" x14ac:dyDescent="0.2">
      <c r="AF27111" s="679"/>
    </row>
    <row r="27112" spans="32:32" x14ac:dyDescent="0.2">
      <c r="AF27112" s="679"/>
    </row>
    <row r="27113" spans="32:32" x14ac:dyDescent="0.2">
      <c r="AF27113" s="679"/>
    </row>
    <row r="27114" spans="32:32" x14ac:dyDescent="0.2">
      <c r="AF27114" s="679"/>
    </row>
    <row r="27115" spans="32:32" x14ac:dyDescent="0.2">
      <c r="AF27115" s="679"/>
    </row>
    <row r="27116" spans="32:32" x14ac:dyDescent="0.2">
      <c r="AF27116" s="679"/>
    </row>
    <row r="27117" spans="32:32" x14ac:dyDescent="0.2">
      <c r="AF27117" s="679"/>
    </row>
    <row r="27118" spans="32:32" x14ac:dyDescent="0.2">
      <c r="AF27118" s="679"/>
    </row>
    <row r="27119" spans="32:32" x14ac:dyDescent="0.2">
      <c r="AF27119" s="679"/>
    </row>
    <row r="27120" spans="32:32" x14ac:dyDescent="0.2">
      <c r="AF27120" s="679"/>
    </row>
    <row r="27121" spans="32:32" x14ac:dyDescent="0.2">
      <c r="AF27121" s="679"/>
    </row>
    <row r="27122" spans="32:32" x14ac:dyDescent="0.2">
      <c r="AF27122" s="679"/>
    </row>
    <row r="27123" spans="32:32" x14ac:dyDescent="0.2">
      <c r="AF27123" s="679"/>
    </row>
    <row r="27124" spans="32:32" x14ac:dyDescent="0.2">
      <c r="AF27124" s="679"/>
    </row>
    <row r="27125" spans="32:32" x14ac:dyDescent="0.2">
      <c r="AF27125" s="679"/>
    </row>
    <row r="27126" spans="32:32" x14ac:dyDescent="0.2">
      <c r="AF27126" s="679"/>
    </row>
    <row r="27127" spans="32:32" x14ac:dyDescent="0.2">
      <c r="AF27127" s="679"/>
    </row>
    <row r="27128" spans="32:32" x14ac:dyDescent="0.2">
      <c r="AF27128" s="679"/>
    </row>
    <row r="27129" spans="32:32" x14ac:dyDescent="0.2">
      <c r="AF27129" s="679"/>
    </row>
    <row r="27130" spans="32:32" x14ac:dyDescent="0.2">
      <c r="AF27130" s="679"/>
    </row>
    <row r="27131" spans="32:32" x14ac:dyDescent="0.2">
      <c r="AF27131" s="679"/>
    </row>
    <row r="27132" spans="32:32" x14ac:dyDescent="0.2">
      <c r="AF27132" s="679"/>
    </row>
    <row r="27133" spans="32:32" x14ac:dyDescent="0.2">
      <c r="AF27133" s="679"/>
    </row>
    <row r="27134" spans="32:32" x14ac:dyDescent="0.2">
      <c r="AF27134" s="679"/>
    </row>
    <row r="27135" spans="32:32" x14ac:dyDescent="0.2">
      <c r="AF27135" s="679"/>
    </row>
    <row r="27136" spans="32:32" x14ac:dyDescent="0.2">
      <c r="AF27136" s="679"/>
    </row>
    <row r="27137" spans="32:32" x14ac:dyDescent="0.2">
      <c r="AF27137" s="679"/>
    </row>
    <row r="27138" spans="32:32" x14ac:dyDescent="0.2">
      <c r="AF27138" s="679"/>
    </row>
    <row r="27139" spans="32:32" x14ac:dyDescent="0.2">
      <c r="AF27139" s="679"/>
    </row>
    <row r="27140" spans="32:32" x14ac:dyDescent="0.2">
      <c r="AF27140" s="679"/>
    </row>
    <row r="27141" spans="32:32" x14ac:dyDescent="0.2">
      <c r="AF27141" s="679"/>
    </row>
    <row r="27142" spans="32:32" x14ac:dyDescent="0.2">
      <c r="AF27142" s="679"/>
    </row>
    <row r="27143" spans="32:32" x14ac:dyDescent="0.2">
      <c r="AF27143" s="679"/>
    </row>
    <row r="27144" spans="32:32" x14ac:dyDescent="0.2">
      <c r="AF27144" s="679"/>
    </row>
    <row r="27145" spans="32:32" x14ac:dyDescent="0.2">
      <c r="AF27145" s="679"/>
    </row>
    <row r="27146" spans="32:32" x14ac:dyDescent="0.2">
      <c r="AF27146" s="679"/>
    </row>
    <row r="27147" spans="32:32" x14ac:dyDescent="0.2">
      <c r="AF27147" s="679"/>
    </row>
    <row r="27148" spans="32:32" x14ac:dyDescent="0.2">
      <c r="AF27148" s="679"/>
    </row>
    <row r="27149" spans="32:32" x14ac:dyDescent="0.2">
      <c r="AF27149" s="679"/>
    </row>
    <row r="27150" spans="32:32" x14ac:dyDescent="0.2">
      <c r="AF27150" s="679"/>
    </row>
    <row r="27151" spans="32:32" x14ac:dyDescent="0.2">
      <c r="AF27151" s="679"/>
    </row>
    <row r="27152" spans="32:32" x14ac:dyDescent="0.2">
      <c r="AF27152" s="679"/>
    </row>
    <row r="27153" spans="32:32" x14ac:dyDescent="0.2">
      <c r="AF27153" s="679"/>
    </row>
    <row r="27154" spans="32:32" x14ac:dyDescent="0.2">
      <c r="AF27154" s="679"/>
    </row>
    <row r="27155" spans="32:32" x14ac:dyDescent="0.2">
      <c r="AF27155" s="679"/>
    </row>
    <row r="27156" spans="32:32" x14ac:dyDescent="0.2">
      <c r="AF27156" s="679"/>
    </row>
    <row r="27157" spans="32:32" x14ac:dyDescent="0.2">
      <c r="AF27157" s="679"/>
    </row>
    <row r="27158" spans="32:32" x14ac:dyDescent="0.2">
      <c r="AF27158" s="679"/>
    </row>
    <row r="27159" spans="32:32" x14ac:dyDescent="0.2">
      <c r="AF27159" s="679"/>
    </row>
    <row r="27160" spans="32:32" x14ac:dyDescent="0.2">
      <c r="AF27160" s="679"/>
    </row>
    <row r="27161" spans="32:32" x14ac:dyDescent="0.2">
      <c r="AF27161" s="679"/>
    </row>
    <row r="27162" spans="32:32" x14ac:dyDescent="0.2">
      <c r="AF27162" s="679"/>
    </row>
    <row r="27163" spans="32:32" x14ac:dyDescent="0.2">
      <c r="AF27163" s="679"/>
    </row>
    <row r="27164" spans="32:32" x14ac:dyDescent="0.2">
      <c r="AF27164" s="679"/>
    </row>
    <row r="27165" spans="32:32" x14ac:dyDescent="0.2">
      <c r="AF27165" s="679"/>
    </row>
    <row r="27166" spans="32:32" x14ac:dyDescent="0.2">
      <c r="AF27166" s="679"/>
    </row>
    <row r="27167" spans="32:32" x14ac:dyDescent="0.2">
      <c r="AF27167" s="679"/>
    </row>
    <row r="27168" spans="32:32" x14ac:dyDescent="0.2">
      <c r="AF27168" s="679"/>
    </row>
    <row r="27169" spans="32:32" x14ac:dyDescent="0.2">
      <c r="AF27169" s="679"/>
    </row>
    <row r="27170" spans="32:32" x14ac:dyDescent="0.2">
      <c r="AF27170" s="679"/>
    </row>
    <row r="27171" spans="32:32" x14ac:dyDescent="0.2">
      <c r="AF27171" s="679"/>
    </row>
    <row r="27172" spans="32:32" x14ac:dyDescent="0.2">
      <c r="AF27172" s="679"/>
    </row>
    <row r="27173" spans="32:32" x14ac:dyDescent="0.2">
      <c r="AF27173" s="679"/>
    </row>
    <row r="27174" spans="32:32" x14ac:dyDescent="0.2">
      <c r="AF27174" s="679"/>
    </row>
    <row r="27175" spans="32:32" x14ac:dyDescent="0.2">
      <c r="AF27175" s="679"/>
    </row>
    <row r="27176" spans="32:32" x14ac:dyDescent="0.2">
      <c r="AF27176" s="679"/>
    </row>
    <row r="27177" spans="32:32" x14ac:dyDescent="0.2">
      <c r="AF27177" s="679"/>
    </row>
    <row r="27178" spans="32:32" x14ac:dyDescent="0.2">
      <c r="AF27178" s="679"/>
    </row>
    <row r="27179" spans="32:32" x14ac:dyDescent="0.2">
      <c r="AF27179" s="679"/>
    </row>
    <row r="27180" spans="32:32" x14ac:dyDescent="0.2">
      <c r="AF27180" s="679"/>
    </row>
    <row r="27181" spans="32:32" x14ac:dyDescent="0.2">
      <c r="AF27181" s="679"/>
    </row>
    <row r="27182" spans="32:32" x14ac:dyDescent="0.2">
      <c r="AF27182" s="679"/>
    </row>
    <row r="27183" spans="32:32" x14ac:dyDescent="0.2">
      <c r="AF27183" s="679"/>
    </row>
    <row r="27184" spans="32:32" x14ac:dyDescent="0.2">
      <c r="AF27184" s="679"/>
    </row>
    <row r="27185" spans="32:32" x14ac:dyDescent="0.2">
      <c r="AF27185" s="679"/>
    </row>
    <row r="27186" spans="32:32" x14ac:dyDescent="0.2">
      <c r="AF27186" s="679"/>
    </row>
    <row r="27187" spans="32:32" x14ac:dyDescent="0.2">
      <c r="AF27187" s="679"/>
    </row>
    <row r="27188" spans="32:32" x14ac:dyDescent="0.2">
      <c r="AF27188" s="679"/>
    </row>
    <row r="27189" spans="32:32" x14ac:dyDescent="0.2">
      <c r="AF27189" s="679"/>
    </row>
    <row r="27190" spans="32:32" x14ac:dyDescent="0.2">
      <c r="AF27190" s="679"/>
    </row>
    <row r="27191" spans="32:32" x14ac:dyDescent="0.2">
      <c r="AF27191" s="679"/>
    </row>
    <row r="27192" spans="32:32" x14ac:dyDescent="0.2">
      <c r="AF27192" s="679"/>
    </row>
    <row r="27193" spans="32:32" x14ac:dyDescent="0.2">
      <c r="AF27193" s="679"/>
    </row>
    <row r="27194" spans="32:32" x14ac:dyDescent="0.2">
      <c r="AF27194" s="679"/>
    </row>
    <row r="27195" spans="32:32" x14ac:dyDescent="0.2">
      <c r="AF27195" s="679"/>
    </row>
    <row r="27196" spans="32:32" x14ac:dyDescent="0.2">
      <c r="AF27196" s="679"/>
    </row>
    <row r="27197" spans="32:32" x14ac:dyDescent="0.2">
      <c r="AF27197" s="679"/>
    </row>
    <row r="27198" spans="32:32" x14ac:dyDescent="0.2">
      <c r="AF27198" s="679"/>
    </row>
    <row r="27199" spans="32:32" x14ac:dyDescent="0.2">
      <c r="AF27199" s="679"/>
    </row>
    <row r="27200" spans="32:32" x14ac:dyDescent="0.2">
      <c r="AF27200" s="679"/>
    </row>
    <row r="27201" spans="32:32" x14ac:dyDescent="0.2">
      <c r="AF27201" s="679"/>
    </row>
    <row r="27202" spans="32:32" x14ac:dyDescent="0.2">
      <c r="AF27202" s="679"/>
    </row>
    <row r="27203" spans="32:32" x14ac:dyDescent="0.2">
      <c r="AF27203" s="679"/>
    </row>
    <row r="27204" spans="32:32" x14ac:dyDescent="0.2">
      <c r="AF27204" s="679"/>
    </row>
    <row r="27205" spans="32:32" x14ac:dyDescent="0.2">
      <c r="AF27205" s="679"/>
    </row>
    <row r="27206" spans="32:32" x14ac:dyDescent="0.2">
      <c r="AF27206" s="679"/>
    </row>
    <row r="27207" spans="32:32" x14ac:dyDescent="0.2">
      <c r="AF27207" s="679"/>
    </row>
    <row r="27208" spans="32:32" x14ac:dyDescent="0.2">
      <c r="AF27208" s="679"/>
    </row>
    <row r="27209" spans="32:32" x14ac:dyDescent="0.2">
      <c r="AF27209" s="679"/>
    </row>
    <row r="27210" spans="32:32" x14ac:dyDescent="0.2">
      <c r="AF27210" s="679"/>
    </row>
    <row r="27211" spans="32:32" x14ac:dyDescent="0.2">
      <c r="AF27211" s="679"/>
    </row>
    <row r="27212" spans="32:32" x14ac:dyDescent="0.2">
      <c r="AF27212" s="679"/>
    </row>
    <row r="27213" spans="32:32" x14ac:dyDescent="0.2">
      <c r="AF27213" s="679"/>
    </row>
    <row r="27214" spans="32:32" x14ac:dyDescent="0.2">
      <c r="AF27214" s="679"/>
    </row>
    <row r="27215" spans="32:32" x14ac:dyDescent="0.2">
      <c r="AF27215" s="679"/>
    </row>
    <row r="27216" spans="32:32" x14ac:dyDescent="0.2">
      <c r="AF27216" s="679"/>
    </row>
    <row r="27217" spans="32:32" x14ac:dyDescent="0.2">
      <c r="AF27217" s="679"/>
    </row>
    <row r="27218" spans="32:32" x14ac:dyDescent="0.2">
      <c r="AF27218" s="679"/>
    </row>
    <row r="27219" spans="32:32" x14ac:dyDescent="0.2">
      <c r="AF27219" s="679"/>
    </row>
    <row r="27220" spans="32:32" x14ac:dyDescent="0.2">
      <c r="AF27220" s="679"/>
    </row>
    <row r="27221" spans="32:32" x14ac:dyDescent="0.2">
      <c r="AF27221" s="679"/>
    </row>
    <row r="27222" spans="32:32" x14ac:dyDescent="0.2">
      <c r="AF27222" s="679"/>
    </row>
    <row r="27223" spans="32:32" x14ac:dyDescent="0.2">
      <c r="AF27223" s="679"/>
    </row>
    <row r="27224" spans="32:32" x14ac:dyDescent="0.2">
      <c r="AF27224" s="679"/>
    </row>
    <row r="27225" spans="32:32" x14ac:dyDescent="0.2">
      <c r="AF27225" s="679"/>
    </row>
    <row r="27226" spans="32:32" x14ac:dyDescent="0.2">
      <c r="AF27226" s="679"/>
    </row>
    <row r="27227" spans="32:32" x14ac:dyDescent="0.2">
      <c r="AF27227" s="679"/>
    </row>
    <row r="27228" spans="32:32" x14ac:dyDescent="0.2">
      <c r="AF27228" s="679"/>
    </row>
    <row r="27229" spans="32:32" x14ac:dyDescent="0.2">
      <c r="AF27229" s="679"/>
    </row>
    <row r="27230" spans="32:32" x14ac:dyDescent="0.2">
      <c r="AF27230" s="679"/>
    </row>
    <row r="27231" spans="32:32" x14ac:dyDescent="0.2">
      <c r="AF27231" s="679"/>
    </row>
    <row r="27232" spans="32:32" x14ac:dyDescent="0.2">
      <c r="AF27232" s="679"/>
    </row>
    <row r="27233" spans="32:32" x14ac:dyDescent="0.2">
      <c r="AF27233" s="679"/>
    </row>
    <row r="27234" spans="32:32" x14ac:dyDescent="0.2">
      <c r="AF27234" s="679"/>
    </row>
    <row r="27235" spans="32:32" x14ac:dyDescent="0.2">
      <c r="AF27235" s="679"/>
    </row>
    <row r="27236" spans="32:32" x14ac:dyDescent="0.2">
      <c r="AF27236" s="679"/>
    </row>
    <row r="27237" spans="32:32" x14ac:dyDescent="0.2">
      <c r="AF27237" s="679"/>
    </row>
    <row r="27238" spans="32:32" x14ac:dyDescent="0.2">
      <c r="AF27238" s="679"/>
    </row>
    <row r="27239" spans="32:32" x14ac:dyDescent="0.2">
      <c r="AF27239" s="679"/>
    </row>
    <row r="27240" spans="32:32" x14ac:dyDescent="0.2">
      <c r="AF27240" s="679"/>
    </row>
    <row r="27241" spans="32:32" x14ac:dyDescent="0.2">
      <c r="AF27241" s="679"/>
    </row>
    <row r="27242" spans="32:32" x14ac:dyDescent="0.2">
      <c r="AF27242" s="679"/>
    </row>
    <row r="27243" spans="32:32" x14ac:dyDescent="0.2">
      <c r="AF27243" s="679"/>
    </row>
    <row r="27244" spans="32:32" x14ac:dyDescent="0.2">
      <c r="AF27244" s="679"/>
    </row>
    <row r="27245" spans="32:32" x14ac:dyDescent="0.2">
      <c r="AF27245" s="679"/>
    </row>
    <row r="27246" spans="32:32" x14ac:dyDescent="0.2">
      <c r="AF27246" s="679"/>
    </row>
    <row r="27247" spans="32:32" x14ac:dyDescent="0.2">
      <c r="AF27247" s="679"/>
    </row>
    <row r="27248" spans="32:32" x14ac:dyDescent="0.2">
      <c r="AF27248" s="679"/>
    </row>
    <row r="27249" spans="32:32" x14ac:dyDescent="0.2">
      <c r="AF27249" s="679"/>
    </row>
    <row r="27250" spans="32:32" x14ac:dyDescent="0.2">
      <c r="AF27250" s="679"/>
    </row>
    <row r="27251" spans="32:32" x14ac:dyDescent="0.2">
      <c r="AF27251" s="679"/>
    </row>
    <row r="27252" spans="32:32" x14ac:dyDescent="0.2">
      <c r="AF27252" s="679"/>
    </row>
    <row r="27253" spans="32:32" x14ac:dyDescent="0.2">
      <c r="AF27253" s="679"/>
    </row>
    <row r="27254" spans="32:32" x14ac:dyDescent="0.2">
      <c r="AF27254" s="679"/>
    </row>
    <row r="27255" spans="32:32" x14ac:dyDescent="0.2">
      <c r="AF27255" s="679"/>
    </row>
    <row r="27256" spans="32:32" x14ac:dyDescent="0.2">
      <c r="AF27256" s="679"/>
    </row>
    <row r="27257" spans="32:32" x14ac:dyDescent="0.2">
      <c r="AF27257" s="679"/>
    </row>
    <row r="27258" spans="32:32" x14ac:dyDescent="0.2">
      <c r="AF27258" s="679"/>
    </row>
    <row r="27259" spans="32:32" x14ac:dyDescent="0.2">
      <c r="AF27259" s="679"/>
    </row>
    <row r="27260" spans="32:32" x14ac:dyDescent="0.2">
      <c r="AF27260" s="679"/>
    </row>
    <row r="27261" spans="32:32" x14ac:dyDescent="0.2">
      <c r="AF27261" s="679"/>
    </row>
    <row r="27262" spans="32:32" x14ac:dyDescent="0.2">
      <c r="AF27262" s="679"/>
    </row>
    <row r="27263" spans="32:32" x14ac:dyDescent="0.2">
      <c r="AF27263" s="679"/>
    </row>
    <row r="27264" spans="32:32" x14ac:dyDescent="0.2">
      <c r="AF27264" s="679"/>
    </row>
    <row r="27265" spans="32:32" x14ac:dyDescent="0.2">
      <c r="AF27265" s="679"/>
    </row>
    <row r="27266" spans="32:32" x14ac:dyDescent="0.2">
      <c r="AF27266" s="679"/>
    </row>
    <row r="27267" spans="32:32" x14ac:dyDescent="0.2">
      <c r="AF27267" s="679"/>
    </row>
    <row r="27268" spans="32:32" x14ac:dyDescent="0.2">
      <c r="AF27268" s="679"/>
    </row>
    <row r="27269" spans="32:32" x14ac:dyDescent="0.2">
      <c r="AF27269" s="679"/>
    </row>
    <row r="27270" spans="32:32" x14ac:dyDescent="0.2">
      <c r="AF27270" s="679"/>
    </row>
    <row r="27271" spans="32:32" x14ac:dyDescent="0.2">
      <c r="AF27271" s="679"/>
    </row>
    <row r="27272" spans="32:32" x14ac:dyDescent="0.2">
      <c r="AF27272" s="679"/>
    </row>
    <row r="27273" spans="32:32" x14ac:dyDescent="0.2">
      <c r="AF27273" s="679"/>
    </row>
    <row r="27274" spans="32:32" x14ac:dyDescent="0.2">
      <c r="AF27274" s="679"/>
    </row>
    <row r="27275" spans="32:32" x14ac:dyDescent="0.2">
      <c r="AF27275" s="679"/>
    </row>
    <row r="27276" spans="32:32" x14ac:dyDescent="0.2">
      <c r="AF27276" s="679"/>
    </row>
    <row r="27277" spans="32:32" x14ac:dyDescent="0.2">
      <c r="AF27277" s="679"/>
    </row>
    <row r="27278" spans="32:32" x14ac:dyDescent="0.2">
      <c r="AF27278" s="679"/>
    </row>
    <row r="27279" spans="32:32" x14ac:dyDescent="0.2">
      <c r="AF27279" s="679"/>
    </row>
    <row r="27280" spans="32:32" x14ac:dyDescent="0.2">
      <c r="AF27280" s="679"/>
    </row>
    <row r="27281" spans="32:32" x14ac:dyDescent="0.2">
      <c r="AF27281" s="679"/>
    </row>
    <row r="27282" spans="32:32" x14ac:dyDescent="0.2">
      <c r="AF27282" s="679"/>
    </row>
    <row r="27283" spans="32:32" x14ac:dyDescent="0.2">
      <c r="AF27283" s="679"/>
    </row>
    <row r="27284" spans="32:32" x14ac:dyDescent="0.2">
      <c r="AF27284" s="679"/>
    </row>
    <row r="27285" spans="32:32" x14ac:dyDescent="0.2">
      <c r="AF27285" s="679"/>
    </row>
    <row r="27286" spans="32:32" x14ac:dyDescent="0.2">
      <c r="AF27286" s="679"/>
    </row>
    <row r="27287" spans="32:32" x14ac:dyDescent="0.2">
      <c r="AF27287" s="679"/>
    </row>
    <row r="27288" spans="32:32" x14ac:dyDescent="0.2">
      <c r="AF27288" s="679"/>
    </row>
    <row r="27289" spans="32:32" x14ac:dyDescent="0.2">
      <c r="AF27289" s="679"/>
    </row>
    <row r="27290" spans="32:32" x14ac:dyDescent="0.2">
      <c r="AF27290" s="679"/>
    </row>
    <row r="27291" spans="32:32" x14ac:dyDescent="0.2">
      <c r="AF27291" s="679"/>
    </row>
    <row r="27292" spans="32:32" x14ac:dyDescent="0.2">
      <c r="AF27292" s="679"/>
    </row>
    <row r="27293" spans="32:32" x14ac:dyDescent="0.2">
      <c r="AF27293" s="679"/>
    </row>
    <row r="27294" spans="32:32" x14ac:dyDescent="0.2">
      <c r="AF27294" s="679"/>
    </row>
    <row r="27295" spans="32:32" x14ac:dyDescent="0.2">
      <c r="AF27295" s="679"/>
    </row>
    <row r="27296" spans="32:32" x14ac:dyDescent="0.2">
      <c r="AF27296" s="679"/>
    </row>
    <row r="27297" spans="32:32" x14ac:dyDescent="0.2">
      <c r="AF27297" s="679"/>
    </row>
    <row r="27298" spans="32:32" x14ac:dyDescent="0.2">
      <c r="AF27298" s="679"/>
    </row>
    <row r="27299" spans="32:32" x14ac:dyDescent="0.2">
      <c r="AF27299" s="679"/>
    </row>
    <row r="27300" spans="32:32" x14ac:dyDescent="0.2">
      <c r="AF27300" s="679"/>
    </row>
    <row r="27301" spans="32:32" x14ac:dyDescent="0.2">
      <c r="AF27301" s="679"/>
    </row>
    <row r="27302" spans="32:32" x14ac:dyDescent="0.2">
      <c r="AF27302" s="679"/>
    </row>
    <row r="27303" spans="32:32" x14ac:dyDescent="0.2">
      <c r="AF27303" s="679"/>
    </row>
    <row r="27304" spans="32:32" x14ac:dyDescent="0.2">
      <c r="AF27304" s="679"/>
    </row>
    <row r="27305" spans="32:32" x14ac:dyDescent="0.2">
      <c r="AF27305" s="679"/>
    </row>
    <row r="27306" spans="32:32" x14ac:dyDescent="0.2">
      <c r="AF27306" s="679"/>
    </row>
    <row r="27307" spans="32:32" x14ac:dyDescent="0.2">
      <c r="AF27307" s="679"/>
    </row>
    <row r="27308" spans="32:32" x14ac:dyDescent="0.2">
      <c r="AF27308" s="679"/>
    </row>
    <row r="27309" spans="32:32" x14ac:dyDescent="0.2">
      <c r="AF27309" s="679"/>
    </row>
    <row r="27310" spans="32:32" x14ac:dyDescent="0.2">
      <c r="AF27310" s="679"/>
    </row>
    <row r="27311" spans="32:32" x14ac:dyDescent="0.2">
      <c r="AF27311" s="679"/>
    </row>
    <row r="27312" spans="32:32" x14ac:dyDescent="0.2">
      <c r="AF27312" s="679"/>
    </row>
    <row r="27313" spans="32:32" x14ac:dyDescent="0.2">
      <c r="AF27313" s="679"/>
    </row>
    <row r="27314" spans="32:32" x14ac:dyDescent="0.2">
      <c r="AF27314" s="679"/>
    </row>
    <row r="27315" spans="32:32" x14ac:dyDescent="0.2">
      <c r="AF27315" s="679"/>
    </row>
    <row r="27316" spans="32:32" x14ac:dyDescent="0.2">
      <c r="AF27316" s="679"/>
    </row>
    <row r="27317" spans="32:32" x14ac:dyDescent="0.2">
      <c r="AF27317" s="679"/>
    </row>
    <row r="27318" spans="32:32" x14ac:dyDescent="0.2">
      <c r="AF27318" s="679"/>
    </row>
    <row r="27319" spans="32:32" x14ac:dyDescent="0.2">
      <c r="AF27319" s="679"/>
    </row>
    <row r="27320" spans="32:32" x14ac:dyDescent="0.2">
      <c r="AF27320" s="679"/>
    </row>
    <row r="27321" spans="32:32" x14ac:dyDescent="0.2">
      <c r="AF27321" s="679"/>
    </row>
    <row r="27322" spans="32:32" x14ac:dyDescent="0.2">
      <c r="AF27322" s="679"/>
    </row>
    <row r="27323" spans="32:32" x14ac:dyDescent="0.2">
      <c r="AF27323" s="679"/>
    </row>
    <row r="27324" spans="32:32" x14ac:dyDescent="0.2">
      <c r="AF27324" s="679"/>
    </row>
    <row r="27325" spans="32:32" x14ac:dyDescent="0.2">
      <c r="AF27325" s="679"/>
    </row>
    <row r="27326" spans="32:32" x14ac:dyDescent="0.2">
      <c r="AF27326" s="679"/>
    </row>
    <row r="27327" spans="32:32" x14ac:dyDescent="0.2">
      <c r="AF27327" s="679"/>
    </row>
    <row r="27328" spans="32:32" x14ac:dyDescent="0.2">
      <c r="AF27328" s="679"/>
    </row>
    <row r="27329" spans="32:32" x14ac:dyDescent="0.2">
      <c r="AF27329" s="679"/>
    </row>
    <row r="27330" spans="32:32" x14ac:dyDescent="0.2">
      <c r="AF27330" s="679"/>
    </row>
    <row r="27331" spans="32:32" x14ac:dyDescent="0.2">
      <c r="AF27331" s="679"/>
    </row>
    <row r="27332" spans="32:32" x14ac:dyDescent="0.2">
      <c r="AF27332" s="679"/>
    </row>
    <row r="27333" spans="32:32" x14ac:dyDescent="0.2">
      <c r="AF27333" s="679"/>
    </row>
    <row r="27334" spans="32:32" x14ac:dyDescent="0.2">
      <c r="AF27334" s="679"/>
    </row>
    <row r="27335" spans="32:32" x14ac:dyDescent="0.2">
      <c r="AF27335" s="679"/>
    </row>
    <row r="27336" spans="32:32" x14ac:dyDescent="0.2">
      <c r="AF27336" s="679"/>
    </row>
    <row r="27337" spans="32:32" x14ac:dyDescent="0.2">
      <c r="AF27337" s="679"/>
    </row>
    <row r="27338" spans="32:32" x14ac:dyDescent="0.2">
      <c r="AF27338" s="679"/>
    </row>
    <row r="27339" spans="32:32" x14ac:dyDescent="0.2">
      <c r="AF27339" s="679"/>
    </row>
    <row r="27340" spans="32:32" x14ac:dyDescent="0.2">
      <c r="AF27340" s="679"/>
    </row>
    <row r="27341" spans="32:32" x14ac:dyDescent="0.2">
      <c r="AF27341" s="679"/>
    </row>
    <row r="27342" spans="32:32" x14ac:dyDescent="0.2">
      <c r="AF27342" s="679"/>
    </row>
    <row r="27343" spans="32:32" x14ac:dyDescent="0.2">
      <c r="AF27343" s="679"/>
    </row>
    <row r="27344" spans="32:32" x14ac:dyDescent="0.2">
      <c r="AF27344" s="679"/>
    </row>
    <row r="27345" spans="32:32" x14ac:dyDescent="0.2">
      <c r="AF27345" s="679"/>
    </row>
    <row r="27346" spans="32:32" x14ac:dyDescent="0.2">
      <c r="AF27346" s="679"/>
    </row>
    <row r="27347" spans="32:32" x14ac:dyDescent="0.2">
      <c r="AF27347" s="679"/>
    </row>
    <row r="27348" spans="32:32" x14ac:dyDescent="0.2">
      <c r="AF27348" s="679"/>
    </row>
    <row r="27349" spans="32:32" x14ac:dyDescent="0.2">
      <c r="AF27349" s="679"/>
    </row>
    <row r="27350" spans="32:32" x14ac:dyDescent="0.2">
      <c r="AF27350" s="679"/>
    </row>
    <row r="27351" spans="32:32" x14ac:dyDescent="0.2">
      <c r="AF27351" s="679"/>
    </row>
    <row r="27352" spans="32:32" x14ac:dyDescent="0.2">
      <c r="AF27352" s="679"/>
    </row>
    <row r="27353" spans="32:32" x14ac:dyDescent="0.2">
      <c r="AF27353" s="679"/>
    </row>
    <row r="27354" spans="32:32" x14ac:dyDescent="0.2">
      <c r="AF27354" s="679"/>
    </row>
    <row r="27355" spans="32:32" x14ac:dyDescent="0.2">
      <c r="AF27355" s="679"/>
    </row>
    <row r="27356" spans="32:32" x14ac:dyDescent="0.2">
      <c r="AF27356" s="679"/>
    </row>
    <row r="27357" spans="32:32" x14ac:dyDescent="0.2">
      <c r="AF27357" s="679"/>
    </row>
    <row r="27358" spans="32:32" x14ac:dyDescent="0.2">
      <c r="AF27358" s="679"/>
    </row>
    <row r="27359" spans="32:32" x14ac:dyDescent="0.2">
      <c r="AF27359" s="679"/>
    </row>
    <row r="27360" spans="32:32" x14ac:dyDescent="0.2">
      <c r="AF27360" s="679"/>
    </row>
    <row r="27361" spans="32:32" x14ac:dyDescent="0.2">
      <c r="AF27361" s="679"/>
    </row>
    <row r="27362" spans="32:32" x14ac:dyDescent="0.2">
      <c r="AF27362" s="679"/>
    </row>
    <row r="27363" spans="32:32" x14ac:dyDescent="0.2">
      <c r="AF27363" s="679"/>
    </row>
    <row r="27364" spans="32:32" x14ac:dyDescent="0.2">
      <c r="AF27364" s="679"/>
    </row>
    <row r="27365" spans="32:32" x14ac:dyDescent="0.2">
      <c r="AF27365" s="679"/>
    </row>
    <row r="27366" spans="32:32" x14ac:dyDescent="0.2">
      <c r="AF27366" s="679"/>
    </row>
    <row r="27367" spans="32:32" x14ac:dyDescent="0.2">
      <c r="AF27367" s="679"/>
    </row>
    <row r="27368" spans="32:32" x14ac:dyDescent="0.2">
      <c r="AF27368" s="679"/>
    </row>
    <row r="27369" spans="32:32" x14ac:dyDescent="0.2">
      <c r="AF27369" s="679"/>
    </row>
    <row r="27370" spans="32:32" x14ac:dyDescent="0.2">
      <c r="AF27370" s="679"/>
    </row>
    <row r="27371" spans="32:32" x14ac:dyDescent="0.2">
      <c r="AF27371" s="679"/>
    </row>
    <row r="27372" spans="32:32" x14ac:dyDescent="0.2">
      <c r="AF27372" s="679"/>
    </row>
    <row r="27373" spans="32:32" x14ac:dyDescent="0.2">
      <c r="AF27373" s="679"/>
    </row>
    <row r="27374" spans="32:32" x14ac:dyDescent="0.2">
      <c r="AF27374" s="679"/>
    </row>
    <row r="27375" spans="32:32" x14ac:dyDescent="0.2">
      <c r="AF27375" s="679"/>
    </row>
    <row r="27376" spans="32:32" x14ac:dyDescent="0.2">
      <c r="AF27376" s="679"/>
    </row>
    <row r="27377" spans="32:32" x14ac:dyDescent="0.2">
      <c r="AF27377" s="679"/>
    </row>
    <row r="27378" spans="32:32" x14ac:dyDescent="0.2">
      <c r="AF27378" s="679"/>
    </row>
    <row r="27379" spans="32:32" x14ac:dyDescent="0.2">
      <c r="AF27379" s="679"/>
    </row>
    <row r="27380" spans="32:32" x14ac:dyDescent="0.2">
      <c r="AF27380" s="679"/>
    </row>
    <row r="27381" spans="32:32" x14ac:dyDescent="0.2">
      <c r="AF27381" s="679"/>
    </row>
    <row r="27382" spans="32:32" x14ac:dyDescent="0.2">
      <c r="AF27382" s="679"/>
    </row>
    <row r="27383" spans="32:32" x14ac:dyDescent="0.2">
      <c r="AF27383" s="679"/>
    </row>
    <row r="27384" spans="32:32" x14ac:dyDescent="0.2">
      <c r="AF27384" s="679"/>
    </row>
    <row r="27385" spans="32:32" x14ac:dyDescent="0.2">
      <c r="AF27385" s="679"/>
    </row>
    <row r="27386" spans="32:32" x14ac:dyDescent="0.2">
      <c r="AF27386" s="679"/>
    </row>
    <row r="27387" spans="32:32" x14ac:dyDescent="0.2">
      <c r="AF27387" s="679"/>
    </row>
    <row r="27388" spans="32:32" x14ac:dyDescent="0.2">
      <c r="AF27388" s="679"/>
    </row>
    <row r="27389" spans="32:32" x14ac:dyDescent="0.2">
      <c r="AF27389" s="679"/>
    </row>
    <row r="27390" spans="32:32" x14ac:dyDescent="0.2">
      <c r="AF27390" s="679"/>
    </row>
    <row r="27391" spans="32:32" x14ac:dyDescent="0.2">
      <c r="AF27391" s="679"/>
    </row>
    <row r="27392" spans="32:32" x14ac:dyDescent="0.2">
      <c r="AF27392" s="679"/>
    </row>
    <row r="27393" spans="32:32" x14ac:dyDescent="0.2">
      <c r="AF27393" s="679"/>
    </row>
    <row r="27394" spans="32:32" x14ac:dyDescent="0.2">
      <c r="AF27394" s="679"/>
    </row>
    <row r="27395" spans="32:32" x14ac:dyDescent="0.2">
      <c r="AF27395" s="679"/>
    </row>
    <row r="27396" spans="32:32" x14ac:dyDescent="0.2">
      <c r="AF27396" s="679"/>
    </row>
    <row r="27397" spans="32:32" x14ac:dyDescent="0.2">
      <c r="AF27397" s="679"/>
    </row>
    <row r="27398" spans="32:32" x14ac:dyDescent="0.2">
      <c r="AF27398" s="679"/>
    </row>
    <row r="27399" spans="32:32" x14ac:dyDescent="0.2">
      <c r="AF27399" s="679"/>
    </row>
    <row r="27400" spans="32:32" x14ac:dyDescent="0.2">
      <c r="AF27400" s="679"/>
    </row>
    <row r="27401" spans="32:32" x14ac:dyDescent="0.2">
      <c r="AF27401" s="679"/>
    </row>
    <row r="27402" spans="32:32" x14ac:dyDescent="0.2">
      <c r="AF27402" s="679"/>
    </row>
    <row r="27403" spans="32:32" x14ac:dyDescent="0.2">
      <c r="AF27403" s="679"/>
    </row>
    <row r="27404" spans="32:32" x14ac:dyDescent="0.2">
      <c r="AF27404" s="679"/>
    </row>
    <row r="27405" spans="32:32" x14ac:dyDescent="0.2">
      <c r="AF27405" s="679"/>
    </row>
    <row r="27406" spans="32:32" x14ac:dyDescent="0.2">
      <c r="AF27406" s="679"/>
    </row>
    <row r="27407" spans="32:32" x14ac:dyDescent="0.2">
      <c r="AF27407" s="679"/>
    </row>
    <row r="27408" spans="32:32" x14ac:dyDescent="0.2">
      <c r="AF27408" s="679"/>
    </row>
    <row r="27409" spans="32:32" x14ac:dyDescent="0.2">
      <c r="AF27409" s="679"/>
    </row>
    <row r="27410" spans="32:32" x14ac:dyDescent="0.2">
      <c r="AF27410" s="679"/>
    </row>
    <row r="27411" spans="32:32" x14ac:dyDescent="0.2">
      <c r="AF27411" s="679"/>
    </row>
    <row r="27412" spans="32:32" x14ac:dyDescent="0.2">
      <c r="AF27412" s="679"/>
    </row>
    <row r="27413" spans="32:32" x14ac:dyDescent="0.2">
      <c r="AF27413" s="679"/>
    </row>
    <row r="27414" spans="32:32" x14ac:dyDescent="0.2">
      <c r="AF27414" s="679"/>
    </row>
    <row r="27415" spans="32:32" x14ac:dyDescent="0.2">
      <c r="AF27415" s="679"/>
    </row>
    <row r="27416" spans="32:32" x14ac:dyDescent="0.2">
      <c r="AF27416" s="679"/>
    </row>
    <row r="27417" spans="32:32" x14ac:dyDescent="0.2">
      <c r="AF27417" s="679"/>
    </row>
    <row r="27418" spans="32:32" x14ac:dyDescent="0.2">
      <c r="AF27418" s="679"/>
    </row>
    <row r="27419" spans="32:32" x14ac:dyDescent="0.2">
      <c r="AF27419" s="679"/>
    </row>
    <row r="27420" spans="32:32" x14ac:dyDescent="0.2">
      <c r="AF27420" s="679"/>
    </row>
    <row r="27421" spans="32:32" x14ac:dyDescent="0.2">
      <c r="AF27421" s="679"/>
    </row>
    <row r="27422" spans="32:32" x14ac:dyDescent="0.2">
      <c r="AF27422" s="679"/>
    </row>
    <row r="27423" spans="32:32" x14ac:dyDescent="0.2">
      <c r="AF27423" s="679"/>
    </row>
    <row r="27424" spans="32:32" x14ac:dyDescent="0.2">
      <c r="AF27424" s="679"/>
    </row>
    <row r="27425" spans="32:32" x14ac:dyDescent="0.2">
      <c r="AF27425" s="679"/>
    </row>
    <row r="27426" spans="32:32" x14ac:dyDescent="0.2">
      <c r="AF27426" s="679"/>
    </row>
    <row r="27427" spans="32:32" x14ac:dyDescent="0.2">
      <c r="AF27427" s="679"/>
    </row>
    <row r="27428" spans="32:32" x14ac:dyDescent="0.2">
      <c r="AF27428" s="679"/>
    </row>
    <row r="27429" spans="32:32" x14ac:dyDescent="0.2">
      <c r="AF27429" s="679"/>
    </row>
    <row r="27430" spans="32:32" x14ac:dyDescent="0.2">
      <c r="AF27430" s="679"/>
    </row>
    <row r="27431" spans="32:32" x14ac:dyDescent="0.2">
      <c r="AF27431" s="679"/>
    </row>
    <row r="27432" spans="32:32" x14ac:dyDescent="0.2">
      <c r="AF27432" s="679"/>
    </row>
    <row r="27433" spans="32:32" x14ac:dyDescent="0.2">
      <c r="AF27433" s="679"/>
    </row>
    <row r="27434" spans="32:32" x14ac:dyDescent="0.2">
      <c r="AF27434" s="679"/>
    </row>
    <row r="27435" spans="32:32" x14ac:dyDescent="0.2">
      <c r="AF27435" s="679"/>
    </row>
    <row r="27436" spans="32:32" x14ac:dyDescent="0.2">
      <c r="AF27436" s="679"/>
    </row>
    <row r="27437" spans="32:32" x14ac:dyDescent="0.2">
      <c r="AF27437" s="679"/>
    </row>
    <row r="27438" spans="32:32" x14ac:dyDescent="0.2">
      <c r="AF27438" s="679"/>
    </row>
    <row r="27439" spans="32:32" x14ac:dyDescent="0.2">
      <c r="AF27439" s="679"/>
    </row>
    <row r="27440" spans="32:32" x14ac:dyDescent="0.2">
      <c r="AF27440" s="679"/>
    </row>
    <row r="27441" spans="32:32" x14ac:dyDescent="0.2">
      <c r="AF27441" s="679"/>
    </row>
    <row r="27442" spans="32:32" x14ac:dyDescent="0.2">
      <c r="AF27442" s="679"/>
    </row>
    <row r="27443" spans="32:32" x14ac:dyDescent="0.2">
      <c r="AF27443" s="679"/>
    </row>
    <row r="27444" spans="32:32" x14ac:dyDescent="0.2">
      <c r="AF27444" s="679"/>
    </row>
    <row r="27445" spans="32:32" x14ac:dyDescent="0.2">
      <c r="AF27445" s="679"/>
    </row>
    <row r="27446" spans="32:32" x14ac:dyDescent="0.2">
      <c r="AF27446" s="679"/>
    </row>
    <row r="27447" spans="32:32" x14ac:dyDescent="0.2">
      <c r="AF27447" s="679"/>
    </row>
    <row r="27448" spans="32:32" x14ac:dyDescent="0.2">
      <c r="AF27448" s="679"/>
    </row>
    <row r="27449" spans="32:32" x14ac:dyDescent="0.2">
      <c r="AF27449" s="679"/>
    </row>
    <row r="27450" spans="32:32" x14ac:dyDescent="0.2">
      <c r="AF27450" s="679"/>
    </row>
    <row r="27451" spans="32:32" x14ac:dyDescent="0.2">
      <c r="AF27451" s="679"/>
    </row>
    <row r="27452" spans="32:32" x14ac:dyDescent="0.2">
      <c r="AF27452" s="679"/>
    </row>
    <row r="27453" spans="32:32" x14ac:dyDescent="0.2">
      <c r="AF27453" s="679"/>
    </row>
    <row r="27454" spans="32:32" x14ac:dyDescent="0.2">
      <c r="AF27454" s="679"/>
    </row>
    <row r="27455" spans="32:32" x14ac:dyDescent="0.2">
      <c r="AF27455" s="679"/>
    </row>
    <row r="27456" spans="32:32" x14ac:dyDescent="0.2">
      <c r="AF27456" s="679"/>
    </row>
    <row r="27457" spans="32:32" x14ac:dyDescent="0.2">
      <c r="AF27457" s="679"/>
    </row>
    <row r="27458" spans="32:32" x14ac:dyDescent="0.2">
      <c r="AF27458" s="679"/>
    </row>
    <row r="27459" spans="32:32" x14ac:dyDescent="0.2">
      <c r="AF27459" s="679"/>
    </row>
    <row r="27460" spans="32:32" x14ac:dyDescent="0.2">
      <c r="AF27460" s="679"/>
    </row>
    <row r="27461" spans="32:32" x14ac:dyDescent="0.2">
      <c r="AF27461" s="679"/>
    </row>
    <row r="27462" spans="32:32" x14ac:dyDescent="0.2">
      <c r="AF27462" s="679"/>
    </row>
    <row r="27463" spans="32:32" x14ac:dyDescent="0.2">
      <c r="AF27463" s="679"/>
    </row>
    <row r="27464" spans="32:32" x14ac:dyDescent="0.2">
      <c r="AF27464" s="679"/>
    </row>
    <row r="27465" spans="32:32" x14ac:dyDescent="0.2">
      <c r="AF27465" s="679"/>
    </row>
    <row r="27466" spans="32:32" x14ac:dyDescent="0.2">
      <c r="AF27466" s="679"/>
    </row>
    <row r="27467" spans="32:32" x14ac:dyDescent="0.2">
      <c r="AF27467" s="679"/>
    </row>
    <row r="27468" spans="32:32" x14ac:dyDescent="0.2">
      <c r="AF27468" s="679"/>
    </row>
    <row r="27469" spans="32:32" x14ac:dyDescent="0.2">
      <c r="AF27469" s="679"/>
    </row>
    <row r="27470" spans="32:32" x14ac:dyDescent="0.2">
      <c r="AF27470" s="679"/>
    </row>
    <row r="27471" spans="32:32" x14ac:dyDescent="0.2">
      <c r="AF27471" s="679"/>
    </row>
    <row r="27472" spans="32:32" x14ac:dyDescent="0.2">
      <c r="AF27472" s="679"/>
    </row>
    <row r="27473" spans="32:32" x14ac:dyDescent="0.2">
      <c r="AF27473" s="679"/>
    </row>
    <row r="27474" spans="32:32" x14ac:dyDescent="0.2">
      <c r="AF27474" s="679"/>
    </row>
    <row r="27475" spans="32:32" x14ac:dyDescent="0.2">
      <c r="AF27475" s="679"/>
    </row>
    <row r="27476" spans="32:32" x14ac:dyDescent="0.2">
      <c r="AF27476" s="679"/>
    </row>
    <row r="27477" spans="32:32" x14ac:dyDescent="0.2">
      <c r="AF27477" s="679"/>
    </row>
    <row r="27478" spans="32:32" x14ac:dyDescent="0.2">
      <c r="AF27478" s="679"/>
    </row>
    <row r="27479" spans="32:32" x14ac:dyDescent="0.2">
      <c r="AF27479" s="679"/>
    </row>
    <row r="27480" spans="32:32" x14ac:dyDescent="0.2">
      <c r="AF27480" s="679"/>
    </row>
    <row r="27481" spans="32:32" x14ac:dyDescent="0.2">
      <c r="AF27481" s="679"/>
    </row>
    <row r="27482" spans="32:32" x14ac:dyDescent="0.2">
      <c r="AF27482" s="679"/>
    </row>
    <row r="27483" spans="32:32" x14ac:dyDescent="0.2">
      <c r="AF27483" s="679"/>
    </row>
    <row r="27484" spans="32:32" x14ac:dyDescent="0.2">
      <c r="AF27484" s="679"/>
    </row>
    <row r="27485" spans="32:32" x14ac:dyDescent="0.2">
      <c r="AF27485" s="679"/>
    </row>
    <row r="27486" spans="32:32" x14ac:dyDescent="0.2">
      <c r="AF27486" s="679"/>
    </row>
    <row r="27487" spans="32:32" x14ac:dyDescent="0.2">
      <c r="AF27487" s="679"/>
    </row>
    <row r="27488" spans="32:32" x14ac:dyDescent="0.2">
      <c r="AF27488" s="679"/>
    </row>
    <row r="27489" spans="32:32" x14ac:dyDescent="0.2">
      <c r="AF27489" s="679"/>
    </row>
    <row r="27490" spans="32:32" x14ac:dyDescent="0.2">
      <c r="AF27490" s="679"/>
    </row>
    <row r="27491" spans="32:32" x14ac:dyDescent="0.2">
      <c r="AF27491" s="679"/>
    </row>
    <row r="27492" spans="32:32" x14ac:dyDescent="0.2">
      <c r="AF27492" s="679"/>
    </row>
    <row r="27493" spans="32:32" x14ac:dyDescent="0.2">
      <c r="AF27493" s="679"/>
    </row>
    <row r="27494" spans="32:32" x14ac:dyDescent="0.2">
      <c r="AF27494" s="679"/>
    </row>
    <row r="27495" spans="32:32" x14ac:dyDescent="0.2">
      <c r="AF27495" s="679"/>
    </row>
    <row r="27496" spans="32:32" x14ac:dyDescent="0.2">
      <c r="AF27496" s="679"/>
    </row>
    <row r="27497" spans="32:32" x14ac:dyDescent="0.2">
      <c r="AF27497" s="679"/>
    </row>
    <row r="27498" spans="32:32" x14ac:dyDescent="0.2">
      <c r="AF27498" s="679"/>
    </row>
    <row r="27499" spans="32:32" x14ac:dyDescent="0.2">
      <c r="AF27499" s="679"/>
    </row>
    <row r="27500" spans="32:32" x14ac:dyDescent="0.2">
      <c r="AF27500" s="679"/>
    </row>
    <row r="27501" spans="32:32" x14ac:dyDescent="0.2">
      <c r="AF27501" s="679"/>
    </row>
    <row r="27502" spans="32:32" x14ac:dyDescent="0.2">
      <c r="AF27502" s="679"/>
    </row>
    <row r="27503" spans="32:32" x14ac:dyDescent="0.2">
      <c r="AF27503" s="679"/>
    </row>
    <row r="27504" spans="32:32" x14ac:dyDescent="0.2">
      <c r="AF27504" s="679"/>
    </row>
    <row r="27505" spans="32:32" x14ac:dyDescent="0.2">
      <c r="AF27505" s="679"/>
    </row>
    <row r="27506" spans="32:32" x14ac:dyDescent="0.2">
      <c r="AF27506" s="679"/>
    </row>
    <row r="27507" spans="32:32" x14ac:dyDescent="0.2">
      <c r="AF27507" s="679"/>
    </row>
    <row r="27508" spans="32:32" x14ac:dyDescent="0.2">
      <c r="AF27508" s="679"/>
    </row>
    <row r="27509" spans="32:32" x14ac:dyDescent="0.2">
      <c r="AF27509" s="679"/>
    </row>
    <row r="27510" spans="32:32" x14ac:dyDescent="0.2">
      <c r="AF27510" s="679"/>
    </row>
    <row r="27511" spans="32:32" x14ac:dyDescent="0.2">
      <c r="AF27511" s="679"/>
    </row>
    <row r="27512" spans="32:32" x14ac:dyDescent="0.2">
      <c r="AF27512" s="679"/>
    </row>
    <row r="27513" spans="32:32" x14ac:dyDescent="0.2">
      <c r="AF27513" s="679"/>
    </row>
    <row r="27514" spans="32:32" x14ac:dyDescent="0.2">
      <c r="AF27514" s="679"/>
    </row>
    <row r="27515" spans="32:32" x14ac:dyDescent="0.2">
      <c r="AF27515" s="679"/>
    </row>
    <row r="27516" spans="32:32" x14ac:dyDescent="0.2">
      <c r="AF27516" s="679"/>
    </row>
    <row r="27517" spans="32:32" x14ac:dyDescent="0.2">
      <c r="AF27517" s="679"/>
    </row>
    <row r="27518" spans="32:32" x14ac:dyDescent="0.2">
      <c r="AF27518" s="679"/>
    </row>
    <row r="27519" spans="32:32" x14ac:dyDescent="0.2">
      <c r="AF27519" s="679"/>
    </row>
    <row r="27520" spans="32:32" x14ac:dyDescent="0.2">
      <c r="AF27520" s="679"/>
    </row>
    <row r="27521" spans="32:32" x14ac:dyDescent="0.2">
      <c r="AF27521" s="679"/>
    </row>
    <row r="27522" spans="32:32" x14ac:dyDescent="0.2">
      <c r="AF27522" s="679"/>
    </row>
    <row r="27523" spans="32:32" x14ac:dyDescent="0.2">
      <c r="AF27523" s="679"/>
    </row>
    <row r="27524" spans="32:32" x14ac:dyDescent="0.2">
      <c r="AF27524" s="679"/>
    </row>
    <row r="27525" spans="32:32" x14ac:dyDescent="0.2">
      <c r="AF27525" s="679"/>
    </row>
    <row r="27526" spans="32:32" x14ac:dyDescent="0.2">
      <c r="AF27526" s="679"/>
    </row>
    <row r="27527" spans="32:32" x14ac:dyDescent="0.2">
      <c r="AF27527" s="679"/>
    </row>
    <row r="27528" spans="32:32" x14ac:dyDescent="0.2">
      <c r="AF27528" s="679"/>
    </row>
    <row r="27529" spans="32:32" x14ac:dyDescent="0.2">
      <c r="AF27529" s="679"/>
    </row>
    <row r="27530" spans="32:32" x14ac:dyDescent="0.2">
      <c r="AF27530" s="679"/>
    </row>
    <row r="27531" spans="32:32" x14ac:dyDescent="0.2">
      <c r="AF27531" s="679"/>
    </row>
    <row r="27532" spans="32:32" x14ac:dyDescent="0.2">
      <c r="AF27532" s="679"/>
    </row>
    <row r="27533" spans="32:32" x14ac:dyDescent="0.2">
      <c r="AF27533" s="679"/>
    </row>
    <row r="27534" spans="32:32" x14ac:dyDescent="0.2">
      <c r="AF27534" s="679"/>
    </row>
    <row r="27535" spans="32:32" x14ac:dyDescent="0.2">
      <c r="AF27535" s="679"/>
    </row>
    <row r="27536" spans="32:32" x14ac:dyDescent="0.2">
      <c r="AF27536" s="679"/>
    </row>
    <row r="27537" spans="32:32" x14ac:dyDescent="0.2">
      <c r="AF27537" s="679"/>
    </row>
    <row r="27538" spans="32:32" x14ac:dyDescent="0.2">
      <c r="AF27538" s="679"/>
    </row>
    <row r="27539" spans="32:32" x14ac:dyDescent="0.2">
      <c r="AF27539" s="679"/>
    </row>
    <row r="27540" spans="32:32" x14ac:dyDescent="0.2">
      <c r="AF27540" s="679"/>
    </row>
    <row r="27541" spans="32:32" x14ac:dyDescent="0.2">
      <c r="AF27541" s="679"/>
    </row>
    <row r="27542" spans="32:32" x14ac:dyDescent="0.2">
      <c r="AF27542" s="679"/>
    </row>
    <row r="27543" spans="32:32" x14ac:dyDescent="0.2">
      <c r="AF27543" s="679"/>
    </row>
    <row r="27544" spans="32:32" x14ac:dyDescent="0.2">
      <c r="AF27544" s="679"/>
    </row>
    <row r="27545" spans="32:32" x14ac:dyDescent="0.2">
      <c r="AF27545" s="679"/>
    </row>
    <row r="27546" spans="32:32" x14ac:dyDescent="0.2">
      <c r="AF27546" s="679"/>
    </row>
    <row r="27547" spans="32:32" x14ac:dyDescent="0.2">
      <c r="AF27547" s="679"/>
    </row>
    <row r="27548" spans="32:32" x14ac:dyDescent="0.2">
      <c r="AF27548" s="679"/>
    </row>
    <row r="27549" spans="32:32" x14ac:dyDescent="0.2">
      <c r="AF27549" s="679"/>
    </row>
    <row r="27550" spans="32:32" x14ac:dyDescent="0.2">
      <c r="AF27550" s="679"/>
    </row>
    <row r="27551" spans="32:32" x14ac:dyDescent="0.2">
      <c r="AF27551" s="679"/>
    </row>
    <row r="27552" spans="32:32" x14ac:dyDescent="0.2">
      <c r="AF27552" s="679"/>
    </row>
    <row r="27553" spans="32:32" x14ac:dyDescent="0.2">
      <c r="AF27553" s="679"/>
    </row>
    <row r="27554" spans="32:32" x14ac:dyDescent="0.2">
      <c r="AF27554" s="679"/>
    </row>
    <row r="27555" spans="32:32" x14ac:dyDescent="0.2">
      <c r="AF27555" s="679"/>
    </row>
    <row r="27556" spans="32:32" x14ac:dyDescent="0.2">
      <c r="AF27556" s="679"/>
    </row>
    <row r="27557" spans="32:32" x14ac:dyDescent="0.2">
      <c r="AF27557" s="679"/>
    </row>
    <row r="27558" spans="32:32" x14ac:dyDescent="0.2">
      <c r="AF27558" s="679"/>
    </row>
    <row r="27559" spans="32:32" x14ac:dyDescent="0.2">
      <c r="AF27559" s="679"/>
    </row>
    <row r="27560" spans="32:32" x14ac:dyDescent="0.2">
      <c r="AF27560" s="679"/>
    </row>
    <row r="27561" spans="32:32" x14ac:dyDescent="0.2">
      <c r="AF27561" s="679"/>
    </row>
    <row r="27562" spans="32:32" x14ac:dyDescent="0.2">
      <c r="AF27562" s="679"/>
    </row>
    <row r="27563" spans="32:32" x14ac:dyDescent="0.2">
      <c r="AF27563" s="679"/>
    </row>
    <row r="27564" spans="32:32" x14ac:dyDescent="0.2">
      <c r="AF27564" s="679"/>
    </row>
    <row r="27565" spans="32:32" x14ac:dyDescent="0.2">
      <c r="AF27565" s="679"/>
    </row>
    <row r="27566" spans="32:32" x14ac:dyDescent="0.2">
      <c r="AF27566" s="679"/>
    </row>
    <row r="27567" spans="32:32" x14ac:dyDescent="0.2">
      <c r="AF27567" s="679"/>
    </row>
    <row r="27568" spans="32:32" x14ac:dyDescent="0.2">
      <c r="AF27568" s="679"/>
    </row>
    <row r="27569" spans="32:32" x14ac:dyDescent="0.2">
      <c r="AF27569" s="679"/>
    </row>
    <row r="27570" spans="32:32" x14ac:dyDescent="0.2">
      <c r="AF27570" s="679"/>
    </row>
    <row r="27571" spans="32:32" x14ac:dyDescent="0.2">
      <c r="AF27571" s="679"/>
    </row>
    <row r="27572" spans="32:32" x14ac:dyDescent="0.2">
      <c r="AF27572" s="679"/>
    </row>
    <row r="27573" spans="32:32" x14ac:dyDescent="0.2">
      <c r="AF27573" s="679"/>
    </row>
    <row r="27574" spans="32:32" x14ac:dyDescent="0.2">
      <c r="AF27574" s="679"/>
    </row>
    <row r="27575" spans="32:32" x14ac:dyDescent="0.2">
      <c r="AF27575" s="679"/>
    </row>
    <row r="27576" spans="32:32" x14ac:dyDescent="0.2">
      <c r="AF27576" s="679"/>
    </row>
    <row r="27577" spans="32:32" x14ac:dyDescent="0.2">
      <c r="AF27577" s="679"/>
    </row>
    <row r="27578" spans="32:32" x14ac:dyDescent="0.2">
      <c r="AF27578" s="679"/>
    </row>
    <row r="27579" spans="32:32" x14ac:dyDescent="0.2">
      <c r="AF27579" s="679"/>
    </row>
    <row r="27580" spans="32:32" x14ac:dyDescent="0.2">
      <c r="AF27580" s="679"/>
    </row>
    <row r="27581" spans="32:32" x14ac:dyDescent="0.2">
      <c r="AF27581" s="679"/>
    </row>
    <row r="27582" spans="32:32" x14ac:dyDescent="0.2">
      <c r="AF27582" s="679"/>
    </row>
    <row r="27583" spans="32:32" x14ac:dyDescent="0.2">
      <c r="AF27583" s="679"/>
    </row>
    <row r="27584" spans="32:32" x14ac:dyDescent="0.2">
      <c r="AF27584" s="679"/>
    </row>
    <row r="27585" spans="32:32" x14ac:dyDescent="0.2">
      <c r="AF27585" s="679"/>
    </row>
    <row r="27586" spans="32:32" x14ac:dyDescent="0.2">
      <c r="AF27586" s="679"/>
    </row>
    <row r="27587" spans="32:32" x14ac:dyDescent="0.2">
      <c r="AF27587" s="679"/>
    </row>
    <row r="27588" spans="32:32" x14ac:dyDescent="0.2">
      <c r="AF27588" s="679"/>
    </row>
    <row r="27589" spans="32:32" x14ac:dyDescent="0.2">
      <c r="AF27589" s="679"/>
    </row>
    <row r="27590" spans="32:32" x14ac:dyDescent="0.2">
      <c r="AF27590" s="679"/>
    </row>
    <row r="27591" spans="32:32" x14ac:dyDescent="0.2">
      <c r="AF27591" s="679"/>
    </row>
    <row r="27592" spans="32:32" x14ac:dyDescent="0.2">
      <c r="AF27592" s="679"/>
    </row>
    <row r="27593" spans="32:32" x14ac:dyDescent="0.2">
      <c r="AF27593" s="679"/>
    </row>
    <row r="27594" spans="32:32" x14ac:dyDescent="0.2">
      <c r="AF27594" s="679"/>
    </row>
    <row r="27595" spans="32:32" x14ac:dyDescent="0.2">
      <c r="AF27595" s="679"/>
    </row>
    <row r="27596" spans="32:32" x14ac:dyDescent="0.2">
      <c r="AF27596" s="679"/>
    </row>
    <row r="27597" spans="32:32" x14ac:dyDescent="0.2">
      <c r="AF27597" s="679"/>
    </row>
    <row r="27598" spans="32:32" x14ac:dyDescent="0.2">
      <c r="AF27598" s="679"/>
    </row>
    <row r="27599" spans="32:32" x14ac:dyDescent="0.2">
      <c r="AF27599" s="679"/>
    </row>
    <row r="27600" spans="32:32" x14ac:dyDescent="0.2">
      <c r="AF27600" s="679"/>
    </row>
    <row r="27601" spans="32:32" x14ac:dyDescent="0.2">
      <c r="AF27601" s="679"/>
    </row>
    <row r="27602" spans="32:32" x14ac:dyDescent="0.2">
      <c r="AF27602" s="679"/>
    </row>
    <row r="27603" spans="32:32" x14ac:dyDescent="0.2">
      <c r="AF27603" s="679"/>
    </row>
    <row r="27604" spans="32:32" x14ac:dyDescent="0.2">
      <c r="AF27604" s="679"/>
    </row>
    <row r="27605" spans="32:32" x14ac:dyDescent="0.2">
      <c r="AF27605" s="679"/>
    </row>
    <row r="27606" spans="32:32" x14ac:dyDescent="0.2">
      <c r="AF27606" s="679"/>
    </row>
    <row r="27607" spans="32:32" x14ac:dyDescent="0.2">
      <c r="AF27607" s="679"/>
    </row>
    <row r="27608" spans="32:32" x14ac:dyDescent="0.2">
      <c r="AF27608" s="679"/>
    </row>
    <row r="27609" spans="32:32" x14ac:dyDescent="0.2">
      <c r="AF27609" s="679"/>
    </row>
    <row r="27610" spans="32:32" x14ac:dyDescent="0.2">
      <c r="AF27610" s="679"/>
    </row>
    <row r="27611" spans="32:32" x14ac:dyDescent="0.2">
      <c r="AF27611" s="679"/>
    </row>
    <row r="27612" spans="32:32" x14ac:dyDescent="0.2">
      <c r="AF27612" s="679"/>
    </row>
    <row r="27613" spans="32:32" x14ac:dyDescent="0.2">
      <c r="AF27613" s="679"/>
    </row>
    <row r="27614" spans="32:32" x14ac:dyDescent="0.2">
      <c r="AF27614" s="679"/>
    </row>
    <row r="27615" spans="32:32" x14ac:dyDescent="0.2">
      <c r="AF27615" s="679"/>
    </row>
    <row r="27616" spans="32:32" x14ac:dyDescent="0.2">
      <c r="AF27616" s="679"/>
    </row>
    <row r="27617" spans="32:32" x14ac:dyDescent="0.2">
      <c r="AF27617" s="679"/>
    </row>
    <row r="27618" spans="32:32" x14ac:dyDescent="0.2">
      <c r="AF27618" s="679"/>
    </row>
    <row r="27619" spans="32:32" x14ac:dyDescent="0.2">
      <c r="AF27619" s="679"/>
    </row>
    <row r="27620" spans="32:32" x14ac:dyDescent="0.2">
      <c r="AF27620" s="679"/>
    </row>
    <row r="27621" spans="32:32" x14ac:dyDescent="0.2">
      <c r="AF27621" s="679"/>
    </row>
    <row r="27622" spans="32:32" x14ac:dyDescent="0.2">
      <c r="AF27622" s="679"/>
    </row>
    <row r="27623" spans="32:32" x14ac:dyDescent="0.2">
      <c r="AF27623" s="679"/>
    </row>
    <row r="27624" spans="32:32" x14ac:dyDescent="0.2">
      <c r="AF27624" s="679"/>
    </row>
    <row r="27625" spans="32:32" x14ac:dyDescent="0.2">
      <c r="AF27625" s="679"/>
    </row>
    <row r="27626" spans="32:32" x14ac:dyDescent="0.2">
      <c r="AF27626" s="679"/>
    </row>
    <row r="27627" spans="32:32" x14ac:dyDescent="0.2">
      <c r="AF27627" s="679"/>
    </row>
    <row r="27628" spans="32:32" x14ac:dyDescent="0.2">
      <c r="AF27628" s="679"/>
    </row>
    <row r="27629" spans="32:32" x14ac:dyDescent="0.2">
      <c r="AF27629" s="679"/>
    </row>
    <row r="27630" spans="32:32" x14ac:dyDescent="0.2">
      <c r="AF27630" s="679"/>
    </row>
    <row r="27631" spans="32:32" x14ac:dyDescent="0.2">
      <c r="AF27631" s="679"/>
    </row>
    <row r="27632" spans="32:32" x14ac:dyDescent="0.2">
      <c r="AF27632" s="679"/>
    </row>
    <row r="27633" spans="32:32" x14ac:dyDescent="0.2">
      <c r="AF27633" s="679"/>
    </row>
    <row r="27634" spans="32:32" x14ac:dyDescent="0.2">
      <c r="AF27634" s="679"/>
    </row>
    <row r="27635" spans="32:32" x14ac:dyDescent="0.2">
      <c r="AF27635" s="679"/>
    </row>
    <row r="27636" spans="32:32" x14ac:dyDescent="0.2">
      <c r="AF27636" s="679"/>
    </row>
    <row r="27637" spans="32:32" x14ac:dyDescent="0.2">
      <c r="AF27637" s="679"/>
    </row>
    <row r="27638" spans="32:32" x14ac:dyDescent="0.2">
      <c r="AF27638" s="679"/>
    </row>
    <row r="27639" spans="32:32" x14ac:dyDescent="0.2">
      <c r="AF27639" s="679"/>
    </row>
    <row r="27640" spans="32:32" x14ac:dyDescent="0.2">
      <c r="AF27640" s="679"/>
    </row>
    <row r="27641" spans="32:32" x14ac:dyDescent="0.2">
      <c r="AF27641" s="679"/>
    </row>
    <row r="27642" spans="32:32" x14ac:dyDescent="0.2">
      <c r="AF27642" s="679"/>
    </row>
    <row r="27643" spans="32:32" x14ac:dyDescent="0.2">
      <c r="AF27643" s="679"/>
    </row>
    <row r="27644" spans="32:32" x14ac:dyDescent="0.2">
      <c r="AF27644" s="679"/>
    </row>
    <row r="27645" spans="32:32" x14ac:dyDescent="0.2">
      <c r="AF27645" s="679"/>
    </row>
    <row r="27646" spans="32:32" x14ac:dyDescent="0.2">
      <c r="AF27646" s="679"/>
    </row>
    <row r="27647" spans="32:32" x14ac:dyDescent="0.2">
      <c r="AF27647" s="679"/>
    </row>
    <row r="27648" spans="32:32" x14ac:dyDescent="0.2">
      <c r="AF27648" s="679"/>
    </row>
    <row r="27649" spans="32:32" x14ac:dyDescent="0.2">
      <c r="AF27649" s="679"/>
    </row>
    <row r="27650" spans="32:32" x14ac:dyDescent="0.2">
      <c r="AF27650" s="679"/>
    </row>
    <row r="27651" spans="32:32" x14ac:dyDescent="0.2">
      <c r="AF27651" s="679"/>
    </row>
    <row r="27652" spans="32:32" x14ac:dyDescent="0.2">
      <c r="AF27652" s="679"/>
    </row>
    <row r="27653" spans="32:32" x14ac:dyDescent="0.2">
      <c r="AF27653" s="679"/>
    </row>
    <row r="27654" spans="32:32" x14ac:dyDescent="0.2">
      <c r="AF27654" s="679"/>
    </row>
    <row r="27655" spans="32:32" x14ac:dyDescent="0.2">
      <c r="AF27655" s="679"/>
    </row>
    <row r="27656" spans="32:32" x14ac:dyDescent="0.2">
      <c r="AF27656" s="679"/>
    </row>
    <row r="27657" spans="32:32" x14ac:dyDescent="0.2">
      <c r="AF27657" s="679"/>
    </row>
    <row r="27658" spans="32:32" x14ac:dyDescent="0.2">
      <c r="AF27658" s="679"/>
    </row>
    <row r="27659" spans="32:32" x14ac:dyDescent="0.2">
      <c r="AF27659" s="679"/>
    </row>
    <row r="27660" spans="32:32" x14ac:dyDescent="0.2">
      <c r="AF27660" s="679"/>
    </row>
    <row r="27661" spans="32:32" x14ac:dyDescent="0.2">
      <c r="AF27661" s="679"/>
    </row>
    <row r="27662" spans="32:32" x14ac:dyDescent="0.2">
      <c r="AF27662" s="679"/>
    </row>
    <row r="27663" spans="32:32" x14ac:dyDescent="0.2">
      <c r="AF27663" s="679"/>
    </row>
    <row r="27664" spans="32:32" x14ac:dyDescent="0.2">
      <c r="AF27664" s="679"/>
    </row>
    <row r="27665" spans="32:32" x14ac:dyDescent="0.2">
      <c r="AF27665" s="679"/>
    </row>
    <row r="27666" spans="32:32" x14ac:dyDescent="0.2">
      <c r="AF27666" s="679"/>
    </row>
    <row r="27667" spans="32:32" x14ac:dyDescent="0.2">
      <c r="AF27667" s="679"/>
    </row>
    <row r="27668" spans="32:32" x14ac:dyDescent="0.2">
      <c r="AF27668" s="679"/>
    </row>
    <row r="27669" spans="32:32" x14ac:dyDescent="0.2">
      <c r="AF27669" s="679"/>
    </row>
    <row r="27670" spans="32:32" x14ac:dyDescent="0.2">
      <c r="AF27670" s="679"/>
    </row>
    <row r="27671" spans="32:32" x14ac:dyDescent="0.2">
      <c r="AF27671" s="679"/>
    </row>
    <row r="27672" spans="32:32" x14ac:dyDescent="0.2">
      <c r="AF27672" s="679"/>
    </row>
    <row r="27673" spans="32:32" x14ac:dyDescent="0.2">
      <c r="AF27673" s="679"/>
    </row>
    <row r="27674" spans="32:32" x14ac:dyDescent="0.2">
      <c r="AF27674" s="679"/>
    </row>
    <row r="27675" spans="32:32" x14ac:dyDescent="0.2">
      <c r="AF27675" s="679"/>
    </row>
    <row r="27676" spans="32:32" x14ac:dyDescent="0.2">
      <c r="AF27676" s="679"/>
    </row>
    <row r="27677" spans="32:32" x14ac:dyDescent="0.2">
      <c r="AF27677" s="679"/>
    </row>
    <row r="27678" spans="32:32" x14ac:dyDescent="0.2">
      <c r="AF27678" s="679"/>
    </row>
    <row r="27679" spans="32:32" x14ac:dyDescent="0.2">
      <c r="AF27679" s="679"/>
    </row>
    <row r="27680" spans="32:32" x14ac:dyDescent="0.2">
      <c r="AF27680" s="679"/>
    </row>
    <row r="27681" spans="32:32" x14ac:dyDescent="0.2">
      <c r="AF27681" s="679"/>
    </row>
    <row r="27682" spans="32:32" x14ac:dyDescent="0.2">
      <c r="AF27682" s="679"/>
    </row>
    <row r="27683" spans="32:32" x14ac:dyDescent="0.2">
      <c r="AF27683" s="679"/>
    </row>
    <row r="27684" spans="32:32" x14ac:dyDescent="0.2">
      <c r="AF27684" s="679"/>
    </row>
    <row r="27685" spans="32:32" x14ac:dyDescent="0.2">
      <c r="AF27685" s="679"/>
    </row>
    <row r="27686" spans="32:32" x14ac:dyDescent="0.2">
      <c r="AF27686" s="679"/>
    </row>
    <row r="27687" spans="32:32" x14ac:dyDescent="0.2">
      <c r="AF27687" s="679"/>
    </row>
    <row r="27688" spans="32:32" x14ac:dyDescent="0.2">
      <c r="AF27688" s="679"/>
    </row>
    <row r="27689" spans="32:32" x14ac:dyDescent="0.2">
      <c r="AF27689" s="679"/>
    </row>
    <row r="27690" spans="32:32" x14ac:dyDescent="0.2">
      <c r="AF27690" s="679"/>
    </row>
    <row r="27691" spans="32:32" x14ac:dyDescent="0.2">
      <c r="AF27691" s="679"/>
    </row>
    <row r="27692" spans="32:32" x14ac:dyDescent="0.2">
      <c r="AF27692" s="679"/>
    </row>
    <row r="27693" spans="32:32" x14ac:dyDescent="0.2">
      <c r="AF27693" s="679"/>
    </row>
    <row r="27694" spans="32:32" x14ac:dyDescent="0.2">
      <c r="AF27694" s="679"/>
    </row>
    <row r="27695" spans="32:32" x14ac:dyDescent="0.2">
      <c r="AF27695" s="679"/>
    </row>
    <row r="27696" spans="32:32" x14ac:dyDescent="0.2">
      <c r="AF27696" s="679"/>
    </row>
    <row r="27697" spans="32:32" x14ac:dyDescent="0.2">
      <c r="AF27697" s="679"/>
    </row>
    <row r="27698" spans="32:32" x14ac:dyDescent="0.2">
      <c r="AF27698" s="679"/>
    </row>
    <row r="27699" spans="32:32" x14ac:dyDescent="0.2">
      <c r="AF27699" s="679"/>
    </row>
    <row r="27700" spans="32:32" x14ac:dyDescent="0.2">
      <c r="AF27700" s="679"/>
    </row>
    <row r="27701" spans="32:32" x14ac:dyDescent="0.2">
      <c r="AF27701" s="679"/>
    </row>
    <row r="27702" spans="32:32" x14ac:dyDescent="0.2">
      <c r="AF27702" s="679"/>
    </row>
    <row r="27703" spans="32:32" x14ac:dyDescent="0.2">
      <c r="AF27703" s="679"/>
    </row>
    <row r="27704" spans="32:32" x14ac:dyDescent="0.2">
      <c r="AF27704" s="679"/>
    </row>
    <row r="27705" spans="32:32" x14ac:dyDescent="0.2">
      <c r="AF27705" s="679"/>
    </row>
    <row r="27706" spans="32:32" x14ac:dyDescent="0.2">
      <c r="AF27706" s="679"/>
    </row>
    <row r="27707" spans="32:32" x14ac:dyDescent="0.2">
      <c r="AF27707" s="679"/>
    </row>
    <row r="27708" spans="32:32" x14ac:dyDescent="0.2">
      <c r="AF27708" s="679"/>
    </row>
    <row r="27709" spans="32:32" x14ac:dyDescent="0.2">
      <c r="AF27709" s="679"/>
    </row>
    <row r="27710" spans="32:32" x14ac:dyDescent="0.2">
      <c r="AF27710" s="679"/>
    </row>
    <row r="27711" spans="32:32" x14ac:dyDescent="0.2">
      <c r="AF27711" s="679"/>
    </row>
    <row r="27712" spans="32:32" x14ac:dyDescent="0.2">
      <c r="AF27712" s="679"/>
    </row>
    <row r="27713" spans="32:32" x14ac:dyDescent="0.2">
      <c r="AF27713" s="679"/>
    </row>
    <row r="27714" spans="32:32" x14ac:dyDescent="0.2">
      <c r="AF27714" s="679"/>
    </row>
    <row r="27715" spans="32:32" x14ac:dyDescent="0.2">
      <c r="AF27715" s="679"/>
    </row>
    <row r="27716" spans="32:32" x14ac:dyDescent="0.2">
      <c r="AF27716" s="679"/>
    </row>
    <row r="27717" spans="32:32" x14ac:dyDescent="0.2">
      <c r="AF27717" s="679"/>
    </row>
    <row r="27718" spans="32:32" x14ac:dyDescent="0.2">
      <c r="AF27718" s="679"/>
    </row>
    <row r="27719" spans="32:32" x14ac:dyDescent="0.2">
      <c r="AF27719" s="679"/>
    </row>
    <row r="27720" spans="32:32" x14ac:dyDescent="0.2">
      <c r="AF27720" s="679"/>
    </row>
    <row r="27721" spans="32:32" x14ac:dyDescent="0.2">
      <c r="AF27721" s="679"/>
    </row>
    <row r="27722" spans="32:32" x14ac:dyDescent="0.2">
      <c r="AF27722" s="679"/>
    </row>
    <row r="27723" spans="32:32" x14ac:dyDescent="0.2">
      <c r="AF27723" s="679"/>
    </row>
    <row r="27724" spans="32:32" x14ac:dyDescent="0.2">
      <c r="AF27724" s="679"/>
    </row>
    <row r="27725" spans="32:32" x14ac:dyDescent="0.2">
      <c r="AF27725" s="679"/>
    </row>
    <row r="27726" spans="32:32" x14ac:dyDescent="0.2">
      <c r="AF27726" s="679"/>
    </row>
    <row r="27727" spans="32:32" x14ac:dyDescent="0.2">
      <c r="AF27727" s="679"/>
    </row>
    <row r="27728" spans="32:32" x14ac:dyDescent="0.2">
      <c r="AF27728" s="679"/>
    </row>
    <row r="27729" spans="32:32" x14ac:dyDescent="0.2">
      <c r="AF27729" s="679"/>
    </row>
    <row r="27730" spans="32:32" x14ac:dyDescent="0.2">
      <c r="AF27730" s="679"/>
    </row>
    <row r="27731" spans="32:32" x14ac:dyDescent="0.2">
      <c r="AF27731" s="679"/>
    </row>
    <row r="27732" spans="32:32" x14ac:dyDescent="0.2">
      <c r="AF27732" s="679"/>
    </row>
    <row r="27733" spans="32:32" x14ac:dyDescent="0.2">
      <c r="AF27733" s="679"/>
    </row>
    <row r="27734" spans="32:32" x14ac:dyDescent="0.2">
      <c r="AF27734" s="679"/>
    </row>
    <row r="27735" spans="32:32" x14ac:dyDescent="0.2">
      <c r="AF27735" s="679"/>
    </row>
    <row r="27736" spans="32:32" x14ac:dyDescent="0.2">
      <c r="AF27736" s="679"/>
    </row>
    <row r="27737" spans="32:32" x14ac:dyDescent="0.2">
      <c r="AF27737" s="679"/>
    </row>
    <row r="27738" spans="32:32" x14ac:dyDescent="0.2">
      <c r="AF27738" s="679"/>
    </row>
    <row r="27739" spans="32:32" x14ac:dyDescent="0.2">
      <c r="AF27739" s="679"/>
    </row>
    <row r="27740" spans="32:32" x14ac:dyDescent="0.2">
      <c r="AF27740" s="679"/>
    </row>
    <row r="27741" spans="32:32" x14ac:dyDescent="0.2">
      <c r="AF27741" s="679"/>
    </row>
    <row r="27742" spans="32:32" x14ac:dyDescent="0.2">
      <c r="AF27742" s="679"/>
    </row>
    <row r="27743" spans="32:32" x14ac:dyDescent="0.2">
      <c r="AF27743" s="679"/>
    </row>
    <row r="27744" spans="32:32" x14ac:dyDescent="0.2">
      <c r="AF27744" s="679"/>
    </row>
    <row r="27745" spans="32:32" x14ac:dyDescent="0.2">
      <c r="AF27745" s="679"/>
    </row>
    <row r="27746" spans="32:32" x14ac:dyDescent="0.2">
      <c r="AF27746" s="679"/>
    </row>
    <row r="27747" spans="32:32" x14ac:dyDescent="0.2">
      <c r="AF27747" s="679"/>
    </row>
    <row r="27748" spans="32:32" x14ac:dyDescent="0.2">
      <c r="AF27748" s="679"/>
    </row>
    <row r="27749" spans="32:32" x14ac:dyDescent="0.2">
      <c r="AF27749" s="679"/>
    </row>
    <row r="27750" spans="32:32" x14ac:dyDescent="0.2">
      <c r="AF27750" s="679"/>
    </row>
    <row r="27751" spans="32:32" x14ac:dyDescent="0.2">
      <c r="AF27751" s="679"/>
    </row>
    <row r="27752" spans="32:32" x14ac:dyDescent="0.2">
      <c r="AF27752" s="679"/>
    </row>
    <row r="27753" spans="32:32" x14ac:dyDescent="0.2">
      <c r="AF27753" s="679"/>
    </row>
    <row r="27754" spans="32:32" x14ac:dyDescent="0.2">
      <c r="AF27754" s="679"/>
    </row>
    <row r="27755" spans="32:32" x14ac:dyDescent="0.2">
      <c r="AF27755" s="679"/>
    </row>
    <row r="27756" spans="32:32" x14ac:dyDescent="0.2">
      <c r="AF27756" s="679"/>
    </row>
    <row r="27757" spans="32:32" x14ac:dyDescent="0.2">
      <c r="AF27757" s="679"/>
    </row>
    <row r="27758" spans="32:32" x14ac:dyDescent="0.2">
      <c r="AF27758" s="679"/>
    </row>
    <row r="27759" spans="32:32" x14ac:dyDescent="0.2">
      <c r="AF27759" s="679"/>
    </row>
    <row r="27760" spans="32:32" x14ac:dyDescent="0.2">
      <c r="AF27760" s="679"/>
    </row>
    <row r="27761" spans="32:32" x14ac:dyDescent="0.2">
      <c r="AF27761" s="679"/>
    </row>
    <row r="27762" spans="32:32" x14ac:dyDescent="0.2">
      <c r="AF27762" s="679"/>
    </row>
    <row r="27763" spans="32:32" x14ac:dyDescent="0.2">
      <c r="AF27763" s="679"/>
    </row>
    <row r="27764" spans="32:32" x14ac:dyDescent="0.2">
      <c r="AF27764" s="679"/>
    </row>
    <row r="27765" spans="32:32" x14ac:dyDescent="0.2">
      <c r="AF27765" s="679"/>
    </row>
    <row r="27766" spans="32:32" x14ac:dyDescent="0.2">
      <c r="AF27766" s="679"/>
    </row>
    <row r="27767" spans="32:32" x14ac:dyDescent="0.2">
      <c r="AF27767" s="679"/>
    </row>
    <row r="27768" spans="32:32" x14ac:dyDescent="0.2">
      <c r="AF27768" s="679"/>
    </row>
    <row r="27769" spans="32:32" x14ac:dyDescent="0.2">
      <c r="AF27769" s="679"/>
    </row>
    <row r="27770" spans="32:32" x14ac:dyDescent="0.2">
      <c r="AF27770" s="679"/>
    </row>
    <row r="27771" spans="32:32" x14ac:dyDescent="0.2">
      <c r="AF27771" s="679"/>
    </row>
    <row r="27772" spans="32:32" x14ac:dyDescent="0.2">
      <c r="AF27772" s="679"/>
    </row>
    <row r="27773" spans="32:32" x14ac:dyDescent="0.2">
      <c r="AF27773" s="679"/>
    </row>
    <row r="27774" spans="32:32" x14ac:dyDescent="0.2">
      <c r="AF27774" s="679"/>
    </row>
    <row r="27775" spans="32:32" x14ac:dyDescent="0.2">
      <c r="AF27775" s="679"/>
    </row>
    <row r="27776" spans="32:32" x14ac:dyDescent="0.2">
      <c r="AF27776" s="679"/>
    </row>
    <row r="27777" spans="32:32" x14ac:dyDescent="0.2">
      <c r="AF27777" s="679"/>
    </row>
    <row r="27778" spans="32:32" x14ac:dyDescent="0.2">
      <c r="AF27778" s="679"/>
    </row>
    <row r="27779" spans="32:32" x14ac:dyDescent="0.2">
      <c r="AF27779" s="679"/>
    </row>
    <row r="27780" spans="32:32" x14ac:dyDescent="0.2">
      <c r="AF27780" s="679"/>
    </row>
    <row r="27781" spans="32:32" x14ac:dyDescent="0.2">
      <c r="AF27781" s="679"/>
    </row>
    <row r="27782" spans="32:32" x14ac:dyDescent="0.2">
      <c r="AF27782" s="679"/>
    </row>
    <row r="27783" spans="32:32" x14ac:dyDescent="0.2">
      <c r="AF27783" s="679"/>
    </row>
    <row r="27784" spans="32:32" x14ac:dyDescent="0.2">
      <c r="AF27784" s="679"/>
    </row>
    <row r="27785" spans="32:32" x14ac:dyDescent="0.2">
      <c r="AF27785" s="679"/>
    </row>
    <row r="27786" spans="32:32" x14ac:dyDescent="0.2">
      <c r="AF27786" s="679"/>
    </row>
    <row r="27787" spans="32:32" x14ac:dyDescent="0.2">
      <c r="AF27787" s="679"/>
    </row>
    <row r="27788" spans="32:32" x14ac:dyDescent="0.2">
      <c r="AF27788" s="679"/>
    </row>
    <row r="27789" spans="32:32" x14ac:dyDescent="0.2">
      <c r="AF27789" s="679"/>
    </row>
    <row r="27790" spans="32:32" x14ac:dyDescent="0.2">
      <c r="AF27790" s="679"/>
    </row>
    <row r="27791" spans="32:32" x14ac:dyDescent="0.2">
      <c r="AF27791" s="679"/>
    </row>
    <row r="27792" spans="32:32" x14ac:dyDescent="0.2">
      <c r="AF27792" s="679"/>
    </row>
    <row r="27793" spans="32:32" x14ac:dyDescent="0.2">
      <c r="AF27793" s="679"/>
    </row>
    <row r="27794" spans="32:32" x14ac:dyDescent="0.2">
      <c r="AF27794" s="679"/>
    </row>
    <row r="27795" spans="32:32" x14ac:dyDescent="0.2">
      <c r="AF27795" s="679"/>
    </row>
    <row r="27796" spans="32:32" x14ac:dyDescent="0.2">
      <c r="AF27796" s="679"/>
    </row>
    <row r="27797" spans="32:32" x14ac:dyDescent="0.2">
      <c r="AF27797" s="679"/>
    </row>
    <row r="27798" spans="32:32" x14ac:dyDescent="0.2">
      <c r="AF27798" s="679"/>
    </row>
    <row r="27799" spans="32:32" x14ac:dyDescent="0.2">
      <c r="AF27799" s="679"/>
    </row>
    <row r="27800" spans="32:32" x14ac:dyDescent="0.2">
      <c r="AF27800" s="679"/>
    </row>
    <row r="27801" spans="32:32" x14ac:dyDescent="0.2">
      <c r="AF27801" s="679"/>
    </row>
    <row r="27802" spans="32:32" x14ac:dyDescent="0.2">
      <c r="AF27802" s="679"/>
    </row>
    <row r="27803" spans="32:32" x14ac:dyDescent="0.2">
      <c r="AF27803" s="679"/>
    </row>
    <row r="27804" spans="32:32" x14ac:dyDescent="0.2">
      <c r="AF27804" s="679"/>
    </row>
    <row r="27805" spans="32:32" x14ac:dyDescent="0.2">
      <c r="AF27805" s="679"/>
    </row>
    <row r="27806" spans="32:32" x14ac:dyDescent="0.2">
      <c r="AF27806" s="679"/>
    </row>
    <row r="27807" spans="32:32" x14ac:dyDescent="0.2">
      <c r="AF27807" s="679"/>
    </row>
    <row r="27808" spans="32:32" x14ac:dyDescent="0.2">
      <c r="AF27808" s="679"/>
    </row>
    <row r="27809" spans="32:32" x14ac:dyDescent="0.2">
      <c r="AF27809" s="679"/>
    </row>
    <row r="27810" spans="32:32" x14ac:dyDescent="0.2">
      <c r="AF27810" s="679"/>
    </row>
    <row r="27811" spans="32:32" x14ac:dyDescent="0.2">
      <c r="AF27811" s="679"/>
    </row>
    <row r="27812" spans="32:32" x14ac:dyDescent="0.2">
      <c r="AF27812" s="679"/>
    </row>
    <row r="27813" spans="32:32" x14ac:dyDescent="0.2">
      <c r="AF27813" s="679"/>
    </row>
    <row r="27814" spans="32:32" x14ac:dyDescent="0.2">
      <c r="AF27814" s="679"/>
    </row>
    <row r="27815" spans="32:32" x14ac:dyDescent="0.2">
      <c r="AF27815" s="679"/>
    </row>
    <row r="27816" spans="32:32" x14ac:dyDescent="0.2">
      <c r="AF27816" s="679"/>
    </row>
    <row r="27817" spans="32:32" x14ac:dyDescent="0.2">
      <c r="AF27817" s="679"/>
    </row>
    <row r="27818" spans="32:32" x14ac:dyDescent="0.2">
      <c r="AF27818" s="679"/>
    </row>
    <row r="27819" spans="32:32" x14ac:dyDescent="0.2">
      <c r="AF27819" s="679"/>
    </row>
    <row r="27820" spans="32:32" x14ac:dyDescent="0.2">
      <c r="AF27820" s="679"/>
    </row>
    <row r="27821" spans="32:32" x14ac:dyDescent="0.2">
      <c r="AF27821" s="679"/>
    </row>
    <row r="27822" spans="32:32" x14ac:dyDescent="0.2">
      <c r="AF27822" s="679"/>
    </row>
    <row r="27823" spans="32:32" x14ac:dyDescent="0.2">
      <c r="AF27823" s="679"/>
    </row>
    <row r="27824" spans="32:32" x14ac:dyDescent="0.2">
      <c r="AF27824" s="679"/>
    </row>
    <row r="27825" spans="32:32" x14ac:dyDescent="0.2">
      <c r="AF27825" s="679"/>
    </row>
    <row r="27826" spans="32:32" x14ac:dyDescent="0.2">
      <c r="AF27826" s="679"/>
    </row>
    <row r="27827" spans="32:32" x14ac:dyDescent="0.2">
      <c r="AF27827" s="679"/>
    </row>
    <row r="27828" spans="32:32" x14ac:dyDescent="0.2">
      <c r="AF27828" s="679"/>
    </row>
    <row r="27829" spans="32:32" x14ac:dyDescent="0.2">
      <c r="AF27829" s="679"/>
    </row>
    <row r="27830" spans="32:32" x14ac:dyDescent="0.2">
      <c r="AF27830" s="679"/>
    </row>
    <row r="27831" spans="32:32" x14ac:dyDescent="0.2">
      <c r="AF27831" s="679"/>
    </row>
    <row r="27832" spans="32:32" x14ac:dyDescent="0.2">
      <c r="AF27832" s="679"/>
    </row>
    <row r="27833" spans="32:32" x14ac:dyDescent="0.2">
      <c r="AF27833" s="679"/>
    </row>
    <row r="27834" spans="32:32" x14ac:dyDescent="0.2">
      <c r="AF27834" s="679"/>
    </row>
    <row r="27835" spans="32:32" x14ac:dyDescent="0.2">
      <c r="AF27835" s="679"/>
    </row>
    <row r="27836" spans="32:32" x14ac:dyDescent="0.2">
      <c r="AF27836" s="679"/>
    </row>
    <row r="27837" spans="32:32" x14ac:dyDescent="0.2">
      <c r="AF27837" s="679"/>
    </row>
    <row r="27838" spans="32:32" x14ac:dyDescent="0.2">
      <c r="AF27838" s="679"/>
    </row>
    <row r="27839" spans="32:32" x14ac:dyDescent="0.2">
      <c r="AF27839" s="679"/>
    </row>
    <row r="27840" spans="32:32" x14ac:dyDescent="0.2">
      <c r="AF27840" s="679"/>
    </row>
    <row r="27841" spans="32:32" x14ac:dyDescent="0.2">
      <c r="AF27841" s="679"/>
    </row>
    <row r="27842" spans="32:32" x14ac:dyDescent="0.2">
      <c r="AF27842" s="679"/>
    </row>
    <row r="27843" spans="32:32" x14ac:dyDescent="0.2">
      <c r="AF27843" s="679"/>
    </row>
    <row r="27844" spans="32:32" x14ac:dyDescent="0.2">
      <c r="AF27844" s="679"/>
    </row>
    <row r="27845" spans="32:32" x14ac:dyDescent="0.2">
      <c r="AF27845" s="679"/>
    </row>
    <row r="27846" spans="32:32" x14ac:dyDescent="0.2">
      <c r="AF27846" s="679"/>
    </row>
    <row r="27847" spans="32:32" x14ac:dyDescent="0.2">
      <c r="AF27847" s="679"/>
    </row>
    <row r="27848" spans="32:32" x14ac:dyDescent="0.2">
      <c r="AF27848" s="679"/>
    </row>
    <row r="27849" spans="32:32" x14ac:dyDescent="0.2">
      <c r="AF27849" s="679"/>
    </row>
    <row r="27850" spans="32:32" x14ac:dyDescent="0.2">
      <c r="AF27850" s="679"/>
    </row>
    <row r="27851" spans="32:32" x14ac:dyDescent="0.2">
      <c r="AF27851" s="679"/>
    </row>
    <row r="27852" spans="32:32" x14ac:dyDescent="0.2">
      <c r="AF27852" s="679"/>
    </row>
    <row r="27853" spans="32:32" x14ac:dyDescent="0.2">
      <c r="AF27853" s="679"/>
    </row>
    <row r="27854" spans="32:32" x14ac:dyDescent="0.2">
      <c r="AF27854" s="679"/>
    </row>
    <row r="27855" spans="32:32" x14ac:dyDescent="0.2">
      <c r="AF27855" s="679"/>
    </row>
    <row r="27856" spans="32:32" x14ac:dyDescent="0.2">
      <c r="AF27856" s="679"/>
    </row>
    <row r="27857" spans="32:32" x14ac:dyDescent="0.2">
      <c r="AF27857" s="679"/>
    </row>
    <row r="27858" spans="32:32" x14ac:dyDescent="0.2">
      <c r="AF27858" s="679"/>
    </row>
    <row r="27859" spans="32:32" x14ac:dyDescent="0.2">
      <c r="AF27859" s="679"/>
    </row>
    <row r="27860" spans="32:32" x14ac:dyDescent="0.2">
      <c r="AF27860" s="679"/>
    </row>
    <row r="27861" spans="32:32" x14ac:dyDescent="0.2">
      <c r="AF27861" s="679"/>
    </row>
    <row r="27862" spans="32:32" x14ac:dyDescent="0.2">
      <c r="AF27862" s="679"/>
    </row>
    <row r="27863" spans="32:32" x14ac:dyDescent="0.2">
      <c r="AF27863" s="679"/>
    </row>
    <row r="27864" spans="32:32" x14ac:dyDescent="0.2">
      <c r="AF27864" s="679"/>
    </row>
    <row r="27865" spans="32:32" x14ac:dyDescent="0.2">
      <c r="AF27865" s="679"/>
    </row>
    <row r="27866" spans="32:32" x14ac:dyDescent="0.2">
      <c r="AF27866" s="679"/>
    </row>
    <row r="27867" spans="32:32" x14ac:dyDescent="0.2">
      <c r="AF27867" s="679"/>
    </row>
    <row r="27868" spans="32:32" x14ac:dyDescent="0.2">
      <c r="AF27868" s="679"/>
    </row>
    <row r="27869" spans="32:32" x14ac:dyDescent="0.2">
      <c r="AF27869" s="679"/>
    </row>
    <row r="27870" spans="32:32" x14ac:dyDescent="0.2">
      <c r="AF27870" s="679"/>
    </row>
    <row r="27871" spans="32:32" x14ac:dyDescent="0.2">
      <c r="AF27871" s="679"/>
    </row>
    <row r="27872" spans="32:32" x14ac:dyDescent="0.2">
      <c r="AF27872" s="679"/>
    </row>
    <row r="27873" spans="32:32" x14ac:dyDescent="0.2">
      <c r="AF27873" s="679"/>
    </row>
    <row r="27874" spans="32:32" x14ac:dyDescent="0.2">
      <c r="AF27874" s="679"/>
    </row>
    <row r="27875" spans="32:32" x14ac:dyDescent="0.2">
      <c r="AF27875" s="679"/>
    </row>
    <row r="27876" spans="32:32" x14ac:dyDescent="0.2">
      <c r="AF27876" s="679"/>
    </row>
    <row r="27877" spans="32:32" x14ac:dyDescent="0.2">
      <c r="AF27877" s="679"/>
    </row>
    <row r="27878" spans="32:32" x14ac:dyDescent="0.2">
      <c r="AF27878" s="679"/>
    </row>
    <row r="27879" spans="32:32" x14ac:dyDescent="0.2">
      <c r="AF27879" s="679"/>
    </row>
    <row r="27880" spans="32:32" x14ac:dyDescent="0.2">
      <c r="AF27880" s="679"/>
    </row>
    <row r="27881" spans="32:32" x14ac:dyDescent="0.2">
      <c r="AF27881" s="679"/>
    </row>
    <row r="27882" spans="32:32" x14ac:dyDescent="0.2">
      <c r="AF27882" s="679"/>
    </row>
    <row r="27883" spans="32:32" x14ac:dyDescent="0.2">
      <c r="AF27883" s="679"/>
    </row>
    <row r="27884" spans="32:32" x14ac:dyDescent="0.2">
      <c r="AF27884" s="679"/>
    </row>
    <row r="27885" spans="32:32" x14ac:dyDescent="0.2">
      <c r="AF27885" s="679"/>
    </row>
    <row r="27886" spans="32:32" x14ac:dyDescent="0.2">
      <c r="AF27886" s="679"/>
    </row>
    <row r="27887" spans="32:32" x14ac:dyDescent="0.2">
      <c r="AF27887" s="679"/>
    </row>
    <row r="27888" spans="32:32" x14ac:dyDescent="0.2">
      <c r="AF27888" s="679"/>
    </row>
    <row r="27889" spans="32:32" x14ac:dyDescent="0.2">
      <c r="AF27889" s="679"/>
    </row>
    <row r="27890" spans="32:32" x14ac:dyDescent="0.2">
      <c r="AF27890" s="679"/>
    </row>
    <row r="27891" spans="32:32" x14ac:dyDescent="0.2">
      <c r="AF27891" s="679"/>
    </row>
    <row r="27892" spans="32:32" x14ac:dyDescent="0.2">
      <c r="AF27892" s="679"/>
    </row>
    <row r="27893" spans="32:32" x14ac:dyDescent="0.2">
      <c r="AF27893" s="679"/>
    </row>
    <row r="27894" spans="32:32" x14ac:dyDescent="0.2">
      <c r="AF27894" s="679"/>
    </row>
    <row r="27895" spans="32:32" x14ac:dyDescent="0.2">
      <c r="AF27895" s="679"/>
    </row>
    <row r="27896" spans="32:32" x14ac:dyDescent="0.2">
      <c r="AF27896" s="679"/>
    </row>
    <row r="27897" spans="32:32" x14ac:dyDescent="0.2">
      <c r="AF27897" s="679"/>
    </row>
    <row r="27898" spans="32:32" x14ac:dyDescent="0.2">
      <c r="AF27898" s="679"/>
    </row>
    <row r="27899" spans="32:32" x14ac:dyDescent="0.2">
      <c r="AF27899" s="679"/>
    </row>
    <row r="27900" spans="32:32" x14ac:dyDescent="0.2">
      <c r="AF27900" s="679"/>
    </row>
    <row r="27901" spans="32:32" x14ac:dyDescent="0.2">
      <c r="AF27901" s="679"/>
    </row>
    <row r="27902" spans="32:32" x14ac:dyDescent="0.2">
      <c r="AF27902" s="679"/>
    </row>
    <row r="27903" spans="32:32" x14ac:dyDescent="0.2">
      <c r="AF27903" s="679"/>
    </row>
    <row r="27904" spans="32:32" x14ac:dyDescent="0.2">
      <c r="AF27904" s="679"/>
    </row>
    <row r="27905" spans="32:32" x14ac:dyDescent="0.2">
      <c r="AF27905" s="679"/>
    </row>
    <row r="27906" spans="32:32" x14ac:dyDescent="0.2">
      <c r="AF27906" s="679"/>
    </row>
    <row r="27907" spans="32:32" x14ac:dyDescent="0.2">
      <c r="AF27907" s="679"/>
    </row>
    <row r="27908" spans="32:32" x14ac:dyDescent="0.2">
      <c r="AF27908" s="679"/>
    </row>
    <row r="27909" spans="32:32" x14ac:dyDescent="0.2">
      <c r="AF27909" s="679"/>
    </row>
    <row r="27910" spans="32:32" x14ac:dyDescent="0.2">
      <c r="AF27910" s="679"/>
    </row>
    <row r="27911" spans="32:32" x14ac:dyDescent="0.2">
      <c r="AF27911" s="679"/>
    </row>
    <row r="27912" spans="32:32" x14ac:dyDescent="0.2">
      <c r="AF27912" s="679"/>
    </row>
    <row r="27913" spans="32:32" x14ac:dyDescent="0.2">
      <c r="AF27913" s="679"/>
    </row>
    <row r="27914" spans="32:32" x14ac:dyDescent="0.2">
      <c r="AF27914" s="679"/>
    </row>
    <row r="27915" spans="32:32" x14ac:dyDescent="0.2">
      <c r="AF27915" s="679"/>
    </row>
    <row r="27916" spans="32:32" x14ac:dyDescent="0.2">
      <c r="AF27916" s="679"/>
    </row>
    <row r="27917" spans="32:32" x14ac:dyDescent="0.2">
      <c r="AF27917" s="679"/>
    </row>
    <row r="27918" spans="32:32" x14ac:dyDescent="0.2">
      <c r="AF27918" s="679"/>
    </row>
    <row r="27919" spans="32:32" x14ac:dyDescent="0.2">
      <c r="AF27919" s="679"/>
    </row>
    <row r="27920" spans="32:32" x14ac:dyDescent="0.2">
      <c r="AF27920" s="679"/>
    </row>
    <row r="27921" spans="32:32" x14ac:dyDescent="0.2">
      <c r="AF27921" s="679"/>
    </row>
    <row r="27922" spans="32:32" x14ac:dyDescent="0.2">
      <c r="AF27922" s="679"/>
    </row>
    <row r="27923" spans="32:32" x14ac:dyDescent="0.2">
      <c r="AF27923" s="679"/>
    </row>
    <row r="27924" spans="32:32" x14ac:dyDescent="0.2">
      <c r="AF27924" s="679"/>
    </row>
    <row r="27925" spans="32:32" x14ac:dyDescent="0.2">
      <c r="AF27925" s="679"/>
    </row>
    <row r="27926" spans="32:32" x14ac:dyDescent="0.2">
      <c r="AF27926" s="679"/>
    </row>
    <row r="27927" spans="32:32" x14ac:dyDescent="0.2">
      <c r="AF27927" s="679"/>
    </row>
    <row r="27928" spans="32:32" x14ac:dyDescent="0.2">
      <c r="AF27928" s="679"/>
    </row>
    <row r="27929" spans="32:32" x14ac:dyDescent="0.2">
      <c r="AF27929" s="679"/>
    </row>
    <row r="27930" spans="32:32" x14ac:dyDescent="0.2">
      <c r="AF27930" s="679"/>
    </row>
    <row r="27931" spans="32:32" x14ac:dyDescent="0.2">
      <c r="AF27931" s="679"/>
    </row>
    <row r="27932" spans="32:32" x14ac:dyDescent="0.2">
      <c r="AF27932" s="679"/>
    </row>
    <row r="27933" spans="32:32" x14ac:dyDescent="0.2">
      <c r="AF27933" s="679"/>
    </row>
    <row r="27934" spans="32:32" x14ac:dyDescent="0.2">
      <c r="AF27934" s="679"/>
    </row>
    <row r="27935" spans="32:32" x14ac:dyDescent="0.2">
      <c r="AF27935" s="679"/>
    </row>
    <row r="27936" spans="32:32" x14ac:dyDescent="0.2">
      <c r="AF27936" s="679"/>
    </row>
    <row r="27937" spans="32:32" x14ac:dyDescent="0.2">
      <c r="AF27937" s="679"/>
    </row>
    <row r="27938" spans="32:32" x14ac:dyDescent="0.2">
      <c r="AF27938" s="679"/>
    </row>
    <row r="27939" spans="32:32" x14ac:dyDescent="0.2">
      <c r="AF27939" s="679"/>
    </row>
    <row r="27940" spans="32:32" x14ac:dyDescent="0.2">
      <c r="AF27940" s="679"/>
    </row>
    <row r="27941" spans="32:32" x14ac:dyDescent="0.2">
      <c r="AF27941" s="679"/>
    </row>
    <row r="27942" spans="32:32" x14ac:dyDescent="0.2">
      <c r="AF27942" s="679"/>
    </row>
    <row r="27943" spans="32:32" x14ac:dyDescent="0.2">
      <c r="AF27943" s="679"/>
    </row>
    <row r="27944" spans="32:32" x14ac:dyDescent="0.2">
      <c r="AF27944" s="679"/>
    </row>
    <row r="27945" spans="32:32" x14ac:dyDescent="0.2">
      <c r="AF27945" s="679"/>
    </row>
    <row r="27946" spans="32:32" x14ac:dyDescent="0.2">
      <c r="AF27946" s="679"/>
    </row>
    <row r="27947" spans="32:32" x14ac:dyDescent="0.2">
      <c r="AF27947" s="679"/>
    </row>
    <row r="27948" spans="32:32" x14ac:dyDescent="0.2">
      <c r="AF27948" s="679"/>
    </row>
    <row r="27949" spans="32:32" x14ac:dyDescent="0.2">
      <c r="AF27949" s="679"/>
    </row>
    <row r="27950" spans="32:32" x14ac:dyDescent="0.2">
      <c r="AF27950" s="679"/>
    </row>
    <row r="27951" spans="32:32" x14ac:dyDescent="0.2">
      <c r="AF27951" s="679"/>
    </row>
    <row r="27952" spans="32:32" x14ac:dyDescent="0.2">
      <c r="AF27952" s="679"/>
    </row>
    <row r="27953" spans="32:32" x14ac:dyDescent="0.2">
      <c r="AF27953" s="679"/>
    </row>
    <row r="27954" spans="32:32" x14ac:dyDescent="0.2">
      <c r="AF27954" s="679"/>
    </row>
    <row r="27955" spans="32:32" x14ac:dyDescent="0.2">
      <c r="AF27955" s="679"/>
    </row>
    <row r="27956" spans="32:32" x14ac:dyDescent="0.2">
      <c r="AF27956" s="679"/>
    </row>
    <row r="27957" spans="32:32" x14ac:dyDescent="0.2">
      <c r="AF27957" s="679"/>
    </row>
    <row r="27958" spans="32:32" x14ac:dyDescent="0.2">
      <c r="AF27958" s="679"/>
    </row>
    <row r="27959" spans="32:32" x14ac:dyDescent="0.2">
      <c r="AF27959" s="679"/>
    </row>
    <row r="27960" spans="32:32" x14ac:dyDescent="0.2">
      <c r="AF27960" s="679"/>
    </row>
    <row r="27961" spans="32:32" x14ac:dyDescent="0.2">
      <c r="AF27961" s="679"/>
    </row>
    <row r="27962" spans="32:32" x14ac:dyDescent="0.2">
      <c r="AF27962" s="679"/>
    </row>
    <row r="27963" spans="32:32" x14ac:dyDescent="0.2">
      <c r="AF27963" s="679"/>
    </row>
    <row r="27964" spans="32:32" x14ac:dyDescent="0.2">
      <c r="AF27964" s="679"/>
    </row>
    <row r="27965" spans="32:32" x14ac:dyDescent="0.2">
      <c r="AF27965" s="679"/>
    </row>
    <row r="27966" spans="32:32" x14ac:dyDescent="0.2">
      <c r="AF27966" s="679"/>
    </row>
    <row r="27967" spans="32:32" x14ac:dyDescent="0.2">
      <c r="AF27967" s="679"/>
    </row>
    <row r="27968" spans="32:32" x14ac:dyDescent="0.2">
      <c r="AF27968" s="679"/>
    </row>
    <row r="27969" spans="32:32" x14ac:dyDescent="0.2">
      <c r="AF27969" s="679"/>
    </row>
    <row r="27970" spans="32:32" x14ac:dyDescent="0.2">
      <c r="AF27970" s="679"/>
    </row>
    <row r="27971" spans="32:32" x14ac:dyDescent="0.2">
      <c r="AF27971" s="679"/>
    </row>
    <row r="27972" spans="32:32" x14ac:dyDescent="0.2">
      <c r="AF27972" s="679"/>
    </row>
    <row r="27973" spans="32:32" x14ac:dyDescent="0.2">
      <c r="AF27973" s="679"/>
    </row>
    <row r="27974" spans="32:32" x14ac:dyDescent="0.2">
      <c r="AF27974" s="679"/>
    </row>
    <row r="27975" spans="32:32" x14ac:dyDescent="0.2">
      <c r="AF27975" s="679"/>
    </row>
    <row r="27976" spans="32:32" x14ac:dyDescent="0.2">
      <c r="AF27976" s="679"/>
    </row>
    <row r="27977" spans="32:32" x14ac:dyDescent="0.2">
      <c r="AF27977" s="679"/>
    </row>
    <row r="27978" spans="32:32" x14ac:dyDescent="0.2">
      <c r="AF27978" s="679"/>
    </row>
    <row r="27979" spans="32:32" x14ac:dyDescent="0.2">
      <c r="AF27979" s="679"/>
    </row>
    <row r="27980" spans="32:32" x14ac:dyDescent="0.2">
      <c r="AF27980" s="679"/>
    </row>
    <row r="27981" spans="32:32" x14ac:dyDescent="0.2">
      <c r="AF27981" s="679"/>
    </row>
    <row r="27982" spans="32:32" x14ac:dyDescent="0.2">
      <c r="AF27982" s="679"/>
    </row>
    <row r="27983" spans="32:32" x14ac:dyDescent="0.2">
      <c r="AF27983" s="679"/>
    </row>
    <row r="27984" spans="32:32" x14ac:dyDescent="0.2">
      <c r="AF27984" s="679"/>
    </row>
    <row r="27985" spans="32:32" x14ac:dyDescent="0.2">
      <c r="AF27985" s="679"/>
    </row>
    <row r="27986" spans="32:32" x14ac:dyDescent="0.2">
      <c r="AF27986" s="679"/>
    </row>
    <row r="27987" spans="32:32" x14ac:dyDescent="0.2">
      <c r="AF27987" s="679"/>
    </row>
    <row r="27988" spans="32:32" x14ac:dyDescent="0.2">
      <c r="AF27988" s="679"/>
    </row>
    <row r="27989" spans="32:32" x14ac:dyDescent="0.2">
      <c r="AF27989" s="679"/>
    </row>
    <row r="27990" spans="32:32" x14ac:dyDescent="0.2">
      <c r="AF27990" s="679"/>
    </row>
    <row r="27991" spans="32:32" x14ac:dyDescent="0.2">
      <c r="AF27991" s="679"/>
    </row>
    <row r="27992" spans="32:32" x14ac:dyDescent="0.2">
      <c r="AF27992" s="679"/>
    </row>
    <row r="27993" spans="32:32" x14ac:dyDescent="0.2">
      <c r="AF27993" s="679"/>
    </row>
    <row r="27994" spans="32:32" x14ac:dyDescent="0.2">
      <c r="AF27994" s="679"/>
    </row>
    <row r="27995" spans="32:32" x14ac:dyDescent="0.2">
      <c r="AF27995" s="679"/>
    </row>
    <row r="27996" spans="32:32" x14ac:dyDescent="0.2">
      <c r="AF27996" s="679"/>
    </row>
    <row r="27997" spans="32:32" x14ac:dyDescent="0.2">
      <c r="AF27997" s="679"/>
    </row>
    <row r="27998" spans="32:32" x14ac:dyDescent="0.2">
      <c r="AF27998" s="679"/>
    </row>
    <row r="27999" spans="32:32" x14ac:dyDescent="0.2">
      <c r="AF27999" s="679"/>
    </row>
    <row r="28000" spans="32:32" x14ac:dyDescent="0.2">
      <c r="AF28000" s="679"/>
    </row>
    <row r="28001" spans="32:32" x14ac:dyDescent="0.2">
      <c r="AF28001" s="679"/>
    </row>
    <row r="28002" spans="32:32" x14ac:dyDescent="0.2">
      <c r="AF28002" s="679"/>
    </row>
    <row r="28003" spans="32:32" x14ac:dyDescent="0.2">
      <c r="AF28003" s="679"/>
    </row>
    <row r="28004" spans="32:32" x14ac:dyDescent="0.2">
      <c r="AF28004" s="679"/>
    </row>
    <row r="28005" spans="32:32" x14ac:dyDescent="0.2">
      <c r="AF28005" s="679"/>
    </row>
    <row r="28006" spans="32:32" x14ac:dyDescent="0.2">
      <c r="AF28006" s="679"/>
    </row>
    <row r="28007" spans="32:32" x14ac:dyDescent="0.2">
      <c r="AF28007" s="679"/>
    </row>
    <row r="28008" spans="32:32" x14ac:dyDescent="0.2">
      <c r="AF28008" s="679"/>
    </row>
    <row r="28009" spans="32:32" x14ac:dyDescent="0.2">
      <c r="AF28009" s="679"/>
    </row>
    <row r="28010" spans="32:32" x14ac:dyDescent="0.2">
      <c r="AF28010" s="679"/>
    </row>
    <row r="28011" spans="32:32" x14ac:dyDescent="0.2">
      <c r="AF28011" s="679"/>
    </row>
    <row r="28012" spans="32:32" x14ac:dyDescent="0.2">
      <c r="AF28012" s="679"/>
    </row>
    <row r="28013" spans="32:32" x14ac:dyDescent="0.2">
      <c r="AF28013" s="679"/>
    </row>
    <row r="28014" spans="32:32" x14ac:dyDescent="0.2">
      <c r="AF28014" s="679"/>
    </row>
    <row r="28015" spans="32:32" x14ac:dyDescent="0.2">
      <c r="AF28015" s="679"/>
    </row>
    <row r="28016" spans="32:32" x14ac:dyDescent="0.2">
      <c r="AF28016" s="679"/>
    </row>
    <row r="28017" spans="32:32" x14ac:dyDescent="0.2">
      <c r="AF28017" s="679"/>
    </row>
    <row r="28018" spans="32:32" x14ac:dyDescent="0.2">
      <c r="AF28018" s="679"/>
    </row>
    <row r="28019" spans="32:32" x14ac:dyDescent="0.2">
      <c r="AF28019" s="679"/>
    </row>
    <row r="28020" spans="32:32" x14ac:dyDescent="0.2">
      <c r="AF28020" s="679"/>
    </row>
    <row r="28021" spans="32:32" x14ac:dyDescent="0.2">
      <c r="AF28021" s="679"/>
    </row>
    <row r="28022" spans="32:32" x14ac:dyDescent="0.2">
      <c r="AF28022" s="679"/>
    </row>
    <row r="28023" spans="32:32" x14ac:dyDescent="0.2">
      <c r="AF28023" s="679"/>
    </row>
    <row r="28024" spans="32:32" x14ac:dyDescent="0.2">
      <c r="AF28024" s="679"/>
    </row>
    <row r="28025" spans="32:32" x14ac:dyDescent="0.2">
      <c r="AF28025" s="679"/>
    </row>
    <row r="28026" spans="32:32" x14ac:dyDescent="0.2">
      <c r="AF28026" s="679"/>
    </row>
    <row r="28027" spans="32:32" x14ac:dyDescent="0.2">
      <c r="AF28027" s="679"/>
    </row>
    <row r="28028" spans="32:32" x14ac:dyDescent="0.2">
      <c r="AF28028" s="679"/>
    </row>
    <row r="28029" spans="32:32" x14ac:dyDescent="0.2">
      <c r="AF28029" s="679"/>
    </row>
    <row r="28030" spans="32:32" x14ac:dyDescent="0.2">
      <c r="AF28030" s="679"/>
    </row>
    <row r="28031" spans="32:32" x14ac:dyDescent="0.2">
      <c r="AF28031" s="679"/>
    </row>
    <row r="28032" spans="32:32" x14ac:dyDescent="0.2">
      <c r="AF28032" s="679"/>
    </row>
    <row r="28033" spans="32:32" x14ac:dyDescent="0.2">
      <c r="AF28033" s="679"/>
    </row>
    <row r="28034" spans="32:32" x14ac:dyDescent="0.2">
      <c r="AF28034" s="679"/>
    </row>
    <row r="28035" spans="32:32" x14ac:dyDescent="0.2">
      <c r="AF28035" s="679"/>
    </row>
    <row r="28036" spans="32:32" x14ac:dyDescent="0.2">
      <c r="AF28036" s="679"/>
    </row>
    <row r="28037" spans="32:32" x14ac:dyDescent="0.2">
      <c r="AF28037" s="679"/>
    </row>
    <row r="28038" spans="32:32" x14ac:dyDescent="0.2">
      <c r="AF28038" s="679"/>
    </row>
    <row r="28039" spans="32:32" x14ac:dyDescent="0.2">
      <c r="AF28039" s="679"/>
    </row>
    <row r="28040" spans="32:32" x14ac:dyDescent="0.2">
      <c r="AF28040" s="679"/>
    </row>
    <row r="28041" spans="32:32" x14ac:dyDescent="0.2">
      <c r="AF28041" s="679"/>
    </row>
    <row r="28042" spans="32:32" x14ac:dyDescent="0.2">
      <c r="AF28042" s="679"/>
    </row>
    <row r="28043" spans="32:32" x14ac:dyDescent="0.2">
      <c r="AF28043" s="679"/>
    </row>
    <row r="28044" spans="32:32" x14ac:dyDescent="0.2">
      <c r="AF28044" s="679"/>
    </row>
    <row r="28045" spans="32:32" x14ac:dyDescent="0.2">
      <c r="AF28045" s="679"/>
    </row>
    <row r="28046" spans="32:32" x14ac:dyDescent="0.2">
      <c r="AF28046" s="679"/>
    </row>
    <row r="28047" spans="32:32" x14ac:dyDescent="0.2">
      <c r="AF28047" s="679"/>
    </row>
    <row r="28048" spans="32:32" x14ac:dyDescent="0.2">
      <c r="AF28048" s="679"/>
    </row>
    <row r="28049" spans="32:32" x14ac:dyDescent="0.2">
      <c r="AF28049" s="679"/>
    </row>
    <row r="28050" spans="32:32" x14ac:dyDescent="0.2">
      <c r="AF28050" s="679"/>
    </row>
    <row r="28051" spans="32:32" x14ac:dyDescent="0.2">
      <c r="AF28051" s="679"/>
    </row>
    <row r="28052" spans="32:32" x14ac:dyDescent="0.2">
      <c r="AF28052" s="679"/>
    </row>
    <row r="28053" spans="32:32" x14ac:dyDescent="0.2">
      <c r="AF28053" s="679"/>
    </row>
    <row r="28054" spans="32:32" x14ac:dyDescent="0.2">
      <c r="AF28054" s="679"/>
    </row>
    <row r="28055" spans="32:32" x14ac:dyDescent="0.2">
      <c r="AF28055" s="679"/>
    </row>
    <row r="28056" spans="32:32" x14ac:dyDescent="0.2">
      <c r="AF28056" s="679"/>
    </row>
    <row r="28057" spans="32:32" x14ac:dyDescent="0.2">
      <c r="AF28057" s="679"/>
    </row>
    <row r="28058" spans="32:32" x14ac:dyDescent="0.2">
      <c r="AF28058" s="679"/>
    </row>
    <row r="28059" spans="32:32" x14ac:dyDescent="0.2">
      <c r="AF28059" s="679"/>
    </row>
    <row r="28060" spans="32:32" x14ac:dyDescent="0.2">
      <c r="AF28060" s="679"/>
    </row>
    <row r="28061" spans="32:32" x14ac:dyDescent="0.2">
      <c r="AF28061" s="679"/>
    </row>
    <row r="28062" spans="32:32" x14ac:dyDescent="0.2">
      <c r="AF28062" s="679"/>
    </row>
    <row r="28063" spans="32:32" x14ac:dyDescent="0.2">
      <c r="AF28063" s="679"/>
    </row>
    <row r="28064" spans="32:32" x14ac:dyDescent="0.2">
      <c r="AF28064" s="679"/>
    </row>
    <row r="28065" spans="32:32" x14ac:dyDescent="0.2">
      <c r="AF28065" s="679"/>
    </row>
    <row r="28066" spans="32:32" x14ac:dyDescent="0.2">
      <c r="AF28066" s="679"/>
    </row>
    <row r="28067" spans="32:32" x14ac:dyDescent="0.2">
      <c r="AF28067" s="679"/>
    </row>
    <row r="28068" spans="32:32" x14ac:dyDescent="0.2">
      <c r="AF28068" s="679"/>
    </row>
    <row r="28069" spans="32:32" x14ac:dyDescent="0.2">
      <c r="AF28069" s="679"/>
    </row>
    <row r="28070" spans="32:32" x14ac:dyDescent="0.2">
      <c r="AF28070" s="679"/>
    </row>
    <row r="28071" spans="32:32" x14ac:dyDescent="0.2">
      <c r="AF28071" s="679"/>
    </row>
    <row r="28072" spans="32:32" x14ac:dyDescent="0.2">
      <c r="AF28072" s="679"/>
    </row>
    <row r="28073" spans="32:32" x14ac:dyDescent="0.2">
      <c r="AF28073" s="679"/>
    </row>
    <row r="28074" spans="32:32" x14ac:dyDescent="0.2">
      <c r="AF28074" s="679"/>
    </row>
    <row r="28075" spans="32:32" x14ac:dyDescent="0.2">
      <c r="AF28075" s="679"/>
    </row>
    <row r="28076" spans="32:32" x14ac:dyDescent="0.2">
      <c r="AF28076" s="679"/>
    </row>
    <row r="28077" spans="32:32" x14ac:dyDescent="0.2">
      <c r="AF28077" s="679"/>
    </row>
    <row r="28078" spans="32:32" x14ac:dyDescent="0.2">
      <c r="AF28078" s="679"/>
    </row>
    <row r="28079" spans="32:32" x14ac:dyDescent="0.2">
      <c r="AF28079" s="679"/>
    </row>
    <row r="28080" spans="32:32" x14ac:dyDescent="0.2">
      <c r="AF28080" s="679"/>
    </row>
    <row r="28081" spans="32:32" x14ac:dyDescent="0.2">
      <c r="AF28081" s="679"/>
    </row>
    <row r="28082" spans="32:32" x14ac:dyDescent="0.2">
      <c r="AF28082" s="679"/>
    </row>
    <row r="28083" spans="32:32" x14ac:dyDescent="0.2">
      <c r="AF28083" s="679"/>
    </row>
    <row r="28084" spans="32:32" x14ac:dyDescent="0.2">
      <c r="AF28084" s="679"/>
    </row>
    <row r="28085" spans="32:32" x14ac:dyDescent="0.2">
      <c r="AF28085" s="679"/>
    </row>
    <row r="28086" spans="32:32" x14ac:dyDescent="0.2">
      <c r="AF28086" s="679"/>
    </row>
    <row r="28087" spans="32:32" x14ac:dyDescent="0.2">
      <c r="AF28087" s="679"/>
    </row>
    <row r="28088" spans="32:32" x14ac:dyDescent="0.2">
      <c r="AF28088" s="679"/>
    </row>
    <row r="28089" spans="32:32" x14ac:dyDescent="0.2">
      <c r="AF28089" s="679"/>
    </row>
    <row r="28090" spans="32:32" x14ac:dyDescent="0.2">
      <c r="AF28090" s="679"/>
    </row>
    <row r="28091" spans="32:32" x14ac:dyDescent="0.2">
      <c r="AF28091" s="679"/>
    </row>
    <row r="28092" spans="32:32" x14ac:dyDescent="0.2">
      <c r="AF28092" s="679"/>
    </row>
    <row r="28093" spans="32:32" x14ac:dyDescent="0.2">
      <c r="AF28093" s="679"/>
    </row>
    <row r="28094" spans="32:32" x14ac:dyDescent="0.2">
      <c r="AF28094" s="679"/>
    </row>
    <row r="28095" spans="32:32" x14ac:dyDescent="0.2">
      <c r="AF28095" s="679"/>
    </row>
    <row r="28096" spans="32:32" x14ac:dyDescent="0.2">
      <c r="AF28096" s="679"/>
    </row>
    <row r="28097" spans="32:32" x14ac:dyDescent="0.2">
      <c r="AF28097" s="679"/>
    </row>
    <row r="28098" spans="32:32" x14ac:dyDescent="0.2">
      <c r="AF28098" s="679"/>
    </row>
    <row r="28099" spans="32:32" x14ac:dyDescent="0.2">
      <c r="AF28099" s="679"/>
    </row>
    <row r="28100" spans="32:32" x14ac:dyDescent="0.2">
      <c r="AF28100" s="679"/>
    </row>
    <row r="28101" spans="32:32" x14ac:dyDescent="0.2">
      <c r="AF28101" s="679"/>
    </row>
    <row r="28102" spans="32:32" x14ac:dyDescent="0.2">
      <c r="AF28102" s="679"/>
    </row>
    <row r="28103" spans="32:32" x14ac:dyDescent="0.2">
      <c r="AF28103" s="679"/>
    </row>
    <row r="28104" spans="32:32" x14ac:dyDescent="0.2">
      <c r="AF28104" s="679"/>
    </row>
    <row r="28105" spans="32:32" x14ac:dyDescent="0.2">
      <c r="AF28105" s="679"/>
    </row>
    <row r="28106" spans="32:32" x14ac:dyDescent="0.2">
      <c r="AF28106" s="679"/>
    </row>
    <row r="28107" spans="32:32" x14ac:dyDescent="0.2">
      <c r="AF28107" s="679"/>
    </row>
    <row r="28108" spans="32:32" x14ac:dyDescent="0.2">
      <c r="AF28108" s="679"/>
    </row>
    <row r="28109" spans="32:32" x14ac:dyDescent="0.2">
      <c r="AF28109" s="679"/>
    </row>
    <row r="28110" spans="32:32" x14ac:dyDescent="0.2">
      <c r="AF28110" s="679"/>
    </row>
    <row r="28111" spans="32:32" x14ac:dyDescent="0.2">
      <c r="AF28111" s="679"/>
    </row>
    <row r="28112" spans="32:32" x14ac:dyDescent="0.2">
      <c r="AF28112" s="679"/>
    </row>
    <row r="28113" spans="32:32" x14ac:dyDescent="0.2">
      <c r="AF28113" s="679"/>
    </row>
    <row r="28114" spans="32:32" x14ac:dyDescent="0.2">
      <c r="AF28114" s="679"/>
    </row>
    <row r="28115" spans="32:32" x14ac:dyDescent="0.2">
      <c r="AF28115" s="679"/>
    </row>
    <row r="28116" spans="32:32" x14ac:dyDescent="0.2">
      <c r="AF28116" s="679"/>
    </row>
    <row r="28117" spans="32:32" x14ac:dyDescent="0.2">
      <c r="AF28117" s="679"/>
    </row>
    <row r="28118" spans="32:32" x14ac:dyDescent="0.2">
      <c r="AF28118" s="679"/>
    </row>
    <row r="28119" spans="32:32" x14ac:dyDescent="0.2">
      <c r="AF28119" s="679"/>
    </row>
    <row r="28120" spans="32:32" x14ac:dyDescent="0.2">
      <c r="AF28120" s="679"/>
    </row>
    <row r="28121" spans="32:32" x14ac:dyDescent="0.2">
      <c r="AF28121" s="679"/>
    </row>
    <row r="28122" spans="32:32" x14ac:dyDescent="0.2">
      <c r="AF28122" s="679"/>
    </row>
    <row r="28123" spans="32:32" x14ac:dyDescent="0.2">
      <c r="AF28123" s="679"/>
    </row>
    <row r="28124" spans="32:32" x14ac:dyDescent="0.2">
      <c r="AF28124" s="679"/>
    </row>
    <row r="28125" spans="32:32" x14ac:dyDescent="0.2">
      <c r="AF28125" s="679"/>
    </row>
    <row r="28126" spans="32:32" x14ac:dyDescent="0.2">
      <c r="AF28126" s="679"/>
    </row>
    <row r="28127" spans="32:32" x14ac:dyDescent="0.2">
      <c r="AF28127" s="679"/>
    </row>
    <row r="28128" spans="32:32" x14ac:dyDescent="0.2">
      <c r="AF28128" s="679"/>
    </row>
    <row r="28129" spans="32:32" x14ac:dyDescent="0.2">
      <c r="AF28129" s="679"/>
    </row>
    <row r="28130" spans="32:32" x14ac:dyDescent="0.2">
      <c r="AF28130" s="679"/>
    </row>
    <row r="28131" spans="32:32" x14ac:dyDescent="0.2">
      <c r="AF28131" s="679"/>
    </row>
    <row r="28132" spans="32:32" x14ac:dyDescent="0.2">
      <c r="AF28132" s="679"/>
    </row>
    <row r="28133" spans="32:32" x14ac:dyDescent="0.2">
      <c r="AF28133" s="679"/>
    </row>
    <row r="28134" spans="32:32" x14ac:dyDescent="0.2">
      <c r="AF28134" s="679"/>
    </row>
    <row r="28135" spans="32:32" x14ac:dyDescent="0.2">
      <c r="AF28135" s="679"/>
    </row>
    <row r="28136" spans="32:32" x14ac:dyDescent="0.2">
      <c r="AF28136" s="679"/>
    </row>
    <row r="28137" spans="32:32" x14ac:dyDescent="0.2">
      <c r="AF28137" s="679"/>
    </row>
    <row r="28138" spans="32:32" x14ac:dyDescent="0.2">
      <c r="AF28138" s="679"/>
    </row>
    <row r="28139" spans="32:32" x14ac:dyDescent="0.2">
      <c r="AF28139" s="679"/>
    </row>
    <row r="28140" spans="32:32" x14ac:dyDescent="0.2">
      <c r="AF28140" s="679"/>
    </row>
    <row r="28141" spans="32:32" x14ac:dyDescent="0.2">
      <c r="AF28141" s="679"/>
    </row>
    <row r="28142" spans="32:32" x14ac:dyDescent="0.2">
      <c r="AF28142" s="679"/>
    </row>
    <row r="28143" spans="32:32" x14ac:dyDescent="0.2">
      <c r="AF28143" s="679"/>
    </row>
    <row r="28144" spans="32:32" x14ac:dyDescent="0.2">
      <c r="AF28144" s="679"/>
    </row>
    <row r="28145" spans="32:32" x14ac:dyDescent="0.2">
      <c r="AF28145" s="679"/>
    </row>
    <row r="28146" spans="32:32" x14ac:dyDescent="0.2">
      <c r="AF28146" s="679"/>
    </row>
    <row r="28147" spans="32:32" x14ac:dyDescent="0.2">
      <c r="AF28147" s="679"/>
    </row>
    <row r="28148" spans="32:32" x14ac:dyDescent="0.2">
      <c r="AF28148" s="679"/>
    </row>
    <row r="28149" spans="32:32" x14ac:dyDescent="0.2">
      <c r="AF28149" s="679"/>
    </row>
    <row r="28150" spans="32:32" x14ac:dyDescent="0.2">
      <c r="AF28150" s="679"/>
    </row>
    <row r="28151" spans="32:32" x14ac:dyDescent="0.2">
      <c r="AF28151" s="679"/>
    </row>
    <row r="28152" spans="32:32" x14ac:dyDescent="0.2">
      <c r="AF28152" s="679"/>
    </row>
    <row r="28153" spans="32:32" x14ac:dyDescent="0.2">
      <c r="AF28153" s="679"/>
    </row>
    <row r="28154" spans="32:32" x14ac:dyDescent="0.2">
      <c r="AF28154" s="679"/>
    </row>
    <row r="28155" spans="32:32" x14ac:dyDescent="0.2">
      <c r="AF28155" s="679"/>
    </row>
    <row r="28156" spans="32:32" x14ac:dyDescent="0.2">
      <c r="AF28156" s="679"/>
    </row>
    <row r="28157" spans="32:32" x14ac:dyDescent="0.2">
      <c r="AF28157" s="679"/>
    </row>
    <row r="28158" spans="32:32" x14ac:dyDescent="0.2">
      <c r="AF28158" s="679"/>
    </row>
    <row r="28159" spans="32:32" x14ac:dyDescent="0.2">
      <c r="AF28159" s="679"/>
    </row>
    <row r="28160" spans="32:32" x14ac:dyDescent="0.2">
      <c r="AF28160" s="679"/>
    </row>
    <row r="28161" spans="32:32" x14ac:dyDescent="0.2">
      <c r="AF28161" s="679"/>
    </row>
    <row r="28162" spans="32:32" x14ac:dyDescent="0.2">
      <c r="AF28162" s="679"/>
    </row>
    <row r="28163" spans="32:32" x14ac:dyDescent="0.2">
      <c r="AF28163" s="679"/>
    </row>
    <row r="28164" spans="32:32" x14ac:dyDescent="0.2">
      <c r="AF28164" s="679"/>
    </row>
    <row r="28165" spans="32:32" x14ac:dyDescent="0.2">
      <c r="AF28165" s="679"/>
    </row>
    <row r="28166" spans="32:32" x14ac:dyDescent="0.2">
      <c r="AF28166" s="679"/>
    </row>
    <row r="28167" spans="32:32" x14ac:dyDescent="0.2">
      <c r="AF28167" s="679"/>
    </row>
    <row r="28168" spans="32:32" x14ac:dyDescent="0.2">
      <c r="AF28168" s="679"/>
    </row>
    <row r="28169" spans="32:32" x14ac:dyDescent="0.2">
      <c r="AF28169" s="679"/>
    </row>
    <row r="28170" spans="32:32" x14ac:dyDescent="0.2">
      <c r="AF28170" s="679"/>
    </row>
    <row r="28171" spans="32:32" x14ac:dyDescent="0.2">
      <c r="AF28171" s="679"/>
    </row>
    <row r="28172" spans="32:32" x14ac:dyDescent="0.2">
      <c r="AF28172" s="679"/>
    </row>
    <row r="28173" spans="32:32" x14ac:dyDescent="0.2">
      <c r="AF28173" s="679"/>
    </row>
    <row r="28174" spans="32:32" x14ac:dyDescent="0.2">
      <c r="AF28174" s="679"/>
    </row>
    <row r="28175" spans="32:32" x14ac:dyDescent="0.2">
      <c r="AF28175" s="679"/>
    </row>
    <row r="28176" spans="32:32" x14ac:dyDescent="0.2">
      <c r="AF28176" s="679"/>
    </row>
    <row r="28177" spans="32:32" x14ac:dyDescent="0.2">
      <c r="AF28177" s="679"/>
    </row>
    <row r="28178" spans="32:32" x14ac:dyDescent="0.2">
      <c r="AF28178" s="679"/>
    </row>
    <row r="28179" spans="32:32" x14ac:dyDescent="0.2">
      <c r="AF28179" s="679"/>
    </row>
    <row r="28180" spans="32:32" x14ac:dyDescent="0.2">
      <c r="AF28180" s="679"/>
    </row>
    <row r="28181" spans="32:32" x14ac:dyDescent="0.2">
      <c r="AF28181" s="679"/>
    </row>
    <row r="28182" spans="32:32" x14ac:dyDescent="0.2">
      <c r="AF28182" s="679"/>
    </row>
    <row r="28183" spans="32:32" x14ac:dyDescent="0.2">
      <c r="AF28183" s="679"/>
    </row>
    <row r="28184" spans="32:32" x14ac:dyDescent="0.2">
      <c r="AF28184" s="679"/>
    </row>
    <row r="28185" spans="32:32" x14ac:dyDescent="0.2">
      <c r="AF28185" s="679"/>
    </row>
    <row r="28186" spans="32:32" x14ac:dyDescent="0.2">
      <c r="AF28186" s="679"/>
    </row>
    <row r="28187" spans="32:32" x14ac:dyDescent="0.2">
      <c r="AF28187" s="679"/>
    </row>
    <row r="28188" spans="32:32" x14ac:dyDescent="0.2">
      <c r="AF28188" s="679"/>
    </row>
    <row r="28189" spans="32:32" x14ac:dyDescent="0.2">
      <c r="AF28189" s="679"/>
    </row>
    <row r="28190" spans="32:32" x14ac:dyDescent="0.2">
      <c r="AF28190" s="679"/>
    </row>
    <row r="28191" spans="32:32" x14ac:dyDescent="0.2">
      <c r="AF28191" s="679"/>
    </row>
    <row r="28192" spans="32:32" x14ac:dyDescent="0.2">
      <c r="AF28192" s="679"/>
    </row>
    <row r="28193" spans="32:32" x14ac:dyDescent="0.2">
      <c r="AF28193" s="679"/>
    </row>
    <row r="28194" spans="32:32" x14ac:dyDescent="0.2">
      <c r="AF28194" s="679"/>
    </row>
    <row r="28195" spans="32:32" x14ac:dyDescent="0.2">
      <c r="AF28195" s="679"/>
    </row>
    <row r="28196" spans="32:32" x14ac:dyDescent="0.2">
      <c r="AF28196" s="679"/>
    </row>
    <row r="28197" spans="32:32" x14ac:dyDescent="0.2">
      <c r="AF28197" s="679"/>
    </row>
    <row r="28198" spans="32:32" x14ac:dyDescent="0.2">
      <c r="AF28198" s="679"/>
    </row>
    <row r="28199" spans="32:32" x14ac:dyDescent="0.2">
      <c r="AF28199" s="679"/>
    </row>
    <row r="28200" spans="32:32" x14ac:dyDescent="0.2">
      <c r="AF28200" s="679"/>
    </row>
    <row r="28201" spans="32:32" x14ac:dyDescent="0.2">
      <c r="AF28201" s="679"/>
    </row>
    <row r="28202" spans="32:32" x14ac:dyDescent="0.2">
      <c r="AF28202" s="679"/>
    </row>
    <row r="28203" spans="32:32" x14ac:dyDescent="0.2">
      <c r="AF28203" s="679"/>
    </row>
    <row r="28204" spans="32:32" x14ac:dyDescent="0.2">
      <c r="AF28204" s="679"/>
    </row>
    <row r="28205" spans="32:32" x14ac:dyDescent="0.2">
      <c r="AF28205" s="679"/>
    </row>
    <row r="28206" spans="32:32" x14ac:dyDescent="0.2">
      <c r="AF28206" s="679"/>
    </row>
    <row r="28207" spans="32:32" x14ac:dyDescent="0.2">
      <c r="AF28207" s="679"/>
    </row>
    <row r="28208" spans="32:32" x14ac:dyDescent="0.2">
      <c r="AF28208" s="679"/>
    </row>
    <row r="28209" spans="32:32" x14ac:dyDescent="0.2">
      <c r="AF28209" s="679"/>
    </row>
    <row r="28210" spans="32:32" x14ac:dyDescent="0.2">
      <c r="AF28210" s="679"/>
    </row>
    <row r="28211" spans="32:32" x14ac:dyDescent="0.2">
      <c r="AF28211" s="679"/>
    </row>
    <row r="28212" spans="32:32" x14ac:dyDescent="0.2">
      <c r="AF28212" s="679"/>
    </row>
    <row r="28213" spans="32:32" x14ac:dyDescent="0.2">
      <c r="AF28213" s="679"/>
    </row>
    <row r="28214" spans="32:32" x14ac:dyDescent="0.2">
      <c r="AF28214" s="679"/>
    </row>
    <row r="28215" spans="32:32" x14ac:dyDescent="0.2">
      <c r="AF28215" s="679"/>
    </row>
    <row r="28216" spans="32:32" x14ac:dyDescent="0.2">
      <c r="AF28216" s="679"/>
    </row>
    <row r="28217" spans="32:32" x14ac:dyDescent="0.2">
      <c r="AF28217" s="679"/>
    </row>
    <row r="28218" spans="32:32" x14ac:dyDescent="0.2">
      <c r="AF28218" s="679"/>
    </row>
    <row r="28219" spans="32:32" x14ac:dyDescent="0.2">
      <c r="AF28219" s="679"/>
    </row>
    <row r="28220" spans="32:32" x14ac:dyDescent="0.2">
      <c r="AF28220" s="679"/>
    </row>
    <row r="28221" spans="32:32" x14ac:dyDescent="0.2">
      <c r="AF28221" s="679"/>
    </row>
    <row r="28222" spans="32:32" x14ac:dyDescent="0.2">
      <c r="AF28222" s="679"/>
    </row>
    <row r="28223" spans="32:32" x14ac:dyDescent="0.2">
      <c r="AF28223" s="679"/>
    </row>
    <row r="28224" spans="32:32" x14ac:dyDescent="0.2">
      <c r="AF28224" s="679"/>
    </row>
    <row r="28225" spans="32:32" x14ac:dyDescent="0.2">
      <c r="AF28225" s="679"/>
    </row>
    <row r="28226" spans="32:32" x14ac:dyDescent="0.2">
      <c r="AF28226" s="679"/>
    </row>
    <row r="28227" spans="32:32" x14ac:dyDescent="0.2">
      <c r="AF28227" s="679"/>
    </row>
    <row r="28228" spans="32:32" x14ac:dyDescent="0.2">
      <c r="AF28228" s="679"/>
    </row>
    <row r="28229" spans="32:32" x14ac:dyDescent="0.2">
      <c r="AF28229" s="679"/>
    </row>
    <row r="28230" spans="32:32" x14ac:dyDescent="0.2">
      <c r="AF28230" s="679"/>
    </row>
    <row r="28231" spans="32:32" x14ac:dyDescent="0.2">
      <c r="AF28231" s="679"/>
    </row>
    <row r="28232" spans="32:32" x14ac:dyDescent="0.2">
      <c r="AF28232" s="679"/>
    </row>
    <row r="28233" spans="32:32" x14ac:dyDescent="0.2">
      <c r="AF28233" s="679"/>
    </row>
    <row r="28234" spans="32:32" x14ac:dyDescent="0.2">
      <c r="AF28234" s="679"/>
    </row>
    <row r="28235" spans="32:32" x14ac:dyDescent="0.2">
      <c r="AF28235" s="679"/>
    </row>
    <row r="28236" spans="32:32" x14ac:dyDescent="0.2">
      <c r="AF28236" s="679"/>
    </row>
    <row r="28237" spans="32:32" x14ac:dyDescent="0.2">
      <c r="AF28237" s="679"/>
    </row>
    <row r="28238" spans="32:32" x14ac:dyDescent="0.2">
      <c r="AF28238" s="679"/>
    </row>
    <row r="28239" spans="32:32" x14ac:dyDescent="0.2">
      <c r="AF28239" s="679"/>
    </row>
    <row r="28240" spans="32:32" x14ac:dyDescent="0.2">
      <c r="AF28240" s="679"/>
    </row>
    <row r="28241" spans="32:32" x14ac:dyDescent="0.2">
      <c r="AF28241" s="679"/>
    </row>
    <row r="28242" spans="32:32" x14ac:dyDescent="0.2">
      <c r="AF28242" s="679"/>
    </row>
    <row r="28243" spans="32:32" x14ac:dyDescent="0.2">
      <c r="AF28243" s="679"/>
    </row>
    <row r="28244" spans="32:32" x14ac:dyDescent="0.2">
      <c r="AF28244" s="679"/>
    </row>
    <row r="28245" spans="32:32" x14ac:dyDescent="0.2">
      <c r="AF28245" s="679"/>
    </row>
    <row r="28246" spans="32:32" x14ac:dyDescent="0.2">
      <c r="AF28246" s="679"/>
    </row>
    <row r="28247" spans="32:32" x14ac:dyDescent="0.2">
      <c r="AF28247" s="679"/>
    </row>
    <row r="28248" spans="32:32" x14ac:dyDescent="0.2">
      <c r="AF28248" s="679"/>
    </row>
    <row r="28249" spans="32:32" x14ac:dyDescent="0.2">
      <c r="AF28249" s="679"/>
    </row>
    <row r="28250" spans="32:32" x14ac:dyDescent="0.2">
      <c r="AF28250" s="679"/>
    </row>
    <row r="28251" spans="32:32" x14ac:dyDescent="0.2">
      <c r="AF28251" s="679"/>
    </row>
    <row r="28252" spans="32:32" x14ac:dyDescent="0.2">
      <c r="AF28252" s="679"/>
    </row>
    <row r="28253" spans="32:32" x14ac:dyDescent="0.2">
      <c r="AF28253" s="679"/>
    </row>
    <row r="28254" spans="32:32" x14ac:dyDescent="0.2">
      <c r="AF28254" s="679"/>
    </row>
    <row r="28255" spans="32:32" x14ac:dyDescent="0.2">
      <c r="AF28255" s="679"/>
    </row>
    <row r="28256" spans="32:32" x14ac:dyDescent="0.2">
      <c r="AF28256" s="679"/>
    </row>
    <row r="28257" spans="32:32" x14ac:dyDescent="0.2">
      <c r="AF28257" s="679"/>
    </row>
    <row r="28258" spans="32:32" x14ac:dyDescent="0.2">
      <c r="AF28258" s="679"/>
    </row>
    <row r="28259" spans="32:32" x14ac:dyDescent="0.2">
      <c r="AF28259" s="679"/>
    </row>
    <row r="28260" spans="32:32" x14ac:dyDescent="0.2">
      <c r="AF28260" s="679"/>
    </row>
    <row r="28261" spans="32:32" x14ac:dyDescent="0.2">
      <c r="AF28261" s="679"/>
    </row>
    <row r="28262" spans="32:32" x14ac:dyDescent="0.2">
      <c r="AF28262" s="679"/>
    </row>
    <row r="28263" spans="32:32" x14ac:dyDescent="0.2">
      <c r="AF28263" s="679"/>
    </row>
    <row r="28264" spans="32:32" x14ac:dyDescent="0.2">
      <c r="AF28264" s="679"/>
    </row>
    <row r="28265" spans="32:32" x14ac:dyDescent="0.2">
      <c r="AF28265" s="679"/>
    </row>
    <row r="28266" spans="32:32" x14ac:dyDescent="0.2">
      <c r="AF28266" s="679"/>
    </row>
    <row r="28267" spans="32:32" x14ac:dyDescent="0.2">
      <c r="AF28267" s="679"/>
    </row>
    <row r="28268" spans="32:32" x14ac:dyDescent="0.2">
      <c r="AF28268" s="679"/>
    </row>
    <row r="28269" spans="32:32" x14ac:dyDescent="0.2">
      <c r="AF28269" s="679"/>
    </row>
    <row r="28270" spans="32:32" x14ac:dyDescent="0.2">
      <c r="AF28270" s="679"/>
    </row>
    <row r="28271" spans="32:32" x14ac:dyDescent="0.2">
      <c r="AF28271" s="679"/>
    </row>
    <row r="28272" spans="32:32" x14ac:dyDescent="0.2">
      <c r="AF28272" s="679"/>
    </row>
    <row r="28273" spans="32:32" x14ac:dyDescent="0.2">
      <c r="AF28273" s="679"/>
    </row>
    <row r="28274" spans="32:32" x14ac:dyDescent="0.2">
      <c r="AF28274" s="679"/>
    </row>
    <row r="28275" spans="32:32" x14ac:dyDescent="0.2">
      <c r="AF28275" s="679"/>
    </row>
    <row r="28276" spans="32:32" x14ac:dyDescent="0.2">
      <c r="AF28276" s="679"/>
    </row>
    <row r="28277" spans="32:32" x14ac:dyDescent="0.2">
      <c r="AF28277" s="679"/>
    </row>
    <row r="28278" spans="32:32" x14ac:dyDescent="0.2">
      <c r="AF28278" s="679"/>
    </row>
    <row r="28279" spans="32:32" x14ac:dyDescent="0.2">
      <c r="AF28279" s="679"/>
    </row>
    <row r="28280" spans="32:32" x14ac:dyDescent="0.2">
      <c r="AF28280" s="679"/>
    </row>
    <row r="28281" spans="32:32" x14ac:dyDescent="0.2">
      <c r="AF28281" s="679"/>
    </row>
    <row r="28282" spans="32:32" x14ac:dyDescent="0.2">
      <c r="AF28282" s="679"/>
    </row>
    <row r="28283" spans="32:32" x14ac:dyDescent="0.2">
      <c r="AF28283" s="679"/>
    </row>
    <row r="28284" spans="32:32" x14ac:dyDescent="0.2">
      <c r="AF28284" s="679"/>
    </row>
    <row r="28285" spans="32:32" x14ac:dyDescent="0.2">
      <c r="AF28285" s="679"/>
    </row>
    <row r="28286" spans="32:32" x14ac:dyDescent="0.2">
      <c r="AF28286" s="679"/>
    </row>
    <row r="28287" spans="32:32" x14ac:dyDescent="0.2">
      <c r="AF28287" s="679"/>
    </row>
    <row r="28288" spans="32:32" x14ac:dyDescent="0.2">
      <c r="AF28288" s="679"/>
    </row>
    <row r="28289" spans="32:32" x14ac:dyDescent="0.2">
      <c r="AF28289" s="679"/>
    </row>
    <row r="28290" spans="32:32" x14ac:dyDescent="0.2">
      <c r="AF28290" s="679"/>
    </row>
    <row r="28291" spans="32:32" x14ac:dyDescent="0.2">
      <c r="AF28291" s="679"/>
    </row>
    <row r="28292" spans="32:32" x14ac:dyDescent="0.2">
      <c r="AF28292" s="679"/>
    </row>
    <row r="28293" spans="32:32" x14ac:dyDescent="0.2">
      <c r="AF28293" s="679"/>
    </row>
    <row r="28294" spans="32:32" x14ac:dyDescent="0.2">
      <c r="AF28294" s="679"/>
    </row>
    <row r="28295" spans="32:32" x14ac:dyDescent="0.2">
      <c r="AF28295" s="679"/>
    </row>
    <row r="28296" spans="32:32" x14ac:dyDescent="0.2">
      <c r="AF28296" s="679"/>
    </row>
    <row r="28297" spans="32:32" x14ac:dyDescent="0.2">
      <c r="AF28297" s="679"/>
    </row>
    <row r="28298" spans="32:32" x14ac:dyDescent="0.2">
      <c r="AF28298" s="679"/>
    </row>
    <row r="28299" spans="32:32" x14ac:dyDescent="0.2">
      <c r="AF28299" s="679"/>
    </row>
    <row r="28300" spans="32:32" x14ac:dyDescent="0.2">
      <c r="AF28300" s="679"/>
    </row>
    <row r="28301" spans="32:32" x14ac:dyDescent="0.2">
      <c r="AF28301" s="679"/>
    </row>
    <row r="28302" spans="32:32" x14ac:dyDescent="0.2">
      <c r="AF28302" s="679"/>
    </row>
    <row r="28303" spans="32:32" x14ac:dyDescent="0.2">
      <c r="AF28303" s="679"/>
    </row>
    <row r="28304" spans="32:32" x14ac:dyDescent="0.2">
      <c r="AF28304" s="679"/>
    </row>
    <row r="28305" spans="32:32" x14ac:dyDescent="0.2">
      <c r="AF28305" s="679"/>
    </row>
    <row r="28306" spans="32:32" x14ac:dyDescent="0.2">
      <c r="AF28306" s="679"/>
    </row>
    <row r="28307" spans="32:32" x14ac:dyDescent="0.2">
      <c r="AF28307" s="679"/>
    </row>
    <row r="28308" spans="32:32" x14ac:dyDescent="0.2">
      <c r="AF28308" s="679"/>
    </row>
    <row r="28309" spans="32:32" x14ac:dyDescent="0.2">
      <c r="AF28309" s="679"/>
    </row>
    <row r="28310" spans="32:32" x14ac:dyDescent="0.2">
      <c r="AF28310" s="679"/>
    </row>
    <row r="28311" spans="32:32" x14ac:dyDescent="0.2">
      <c r="AF28311" s="679"/>
    </row>
    <row r="28312" spans="32:32" x14ac:dyDescent="0.2">
      <c r="AF28312" s="679"/>
    </row>
    <row r="28313" spans="32:32" x14ac:dyDescent="0.2">
      <c r="AF28313" s="679"/>
    </row>
    <row r="28314" spans="32:32" x14ac:dyDescent="0.2">
      <c r="AF28314" s="679"/>
    </row>
    <row r="28315" spans="32:32" x14ac:dyDescent="0.2">
      <c r="AF28315" s="679"/>
    </row>
    <row r="28316" spans="32:32" x14ac:dyDescent="0.2">
      <c r="AF28316" s="679"/>
    </row>
    <row r="28317" spans="32:32" x14ac:dyDescent="0.2">
      <c r="AF28317" s="679"/>
    </row>
    <row r="28318" spans="32:32" x14ac:dyDescent="0.2">
      <c r="AF28318" s="679"/>
    </row>
    <row r="28319" spans="32:32" x14ac:dyDescent="0.2">
      <c r="AF28319" s="679"/>
    </row>
    <row r="28320" spans="32:32" x14ac:dyDescent="0.2">
      <c r="AF28320" s="679"/>
    </row>
    <row r="28321" spans="32:32" x14ac:dyDescent="0.2">
      <c r="AF28321" s="679"/>
    </row>
    <row r="28322" spans="32:32" x14ac:dyDescent="0.2">
      <c r="AF28322" s="679"/>
    </row>
    <row r="28323" spans="32:32" x14ac:dyDescent="0.2">
      <c r="AF28323" s="679"/>
    </row>
    <row r="28324" spans="32:32" x14ac:dyDescent="0.2">
      <c r="AF28324" s="679"/>
    </row>
    <row r="28325" spans="32:32" x14ac:dyDescent="0.2">
      <c r="AF28325" s="679"/>
    </row>
    <row r="28326" spans="32:32" x14ac:dyDescent="0.2">
      <c r="AF28326" s="679"/>
    </row>
    <row r="28327" spans="32:32" x14ac:dyDescent="0.2">
      <c r="AF28327" s="679"/>
    </row>
    <row r="28328" spans="32:32" x14ac:dyDescent="0.2">
      <c r="AF28328" s="679"/>
    </row>
    <row r="28329" spans="32:32" x14ac:dyDescent="0.2">
      <c r="AF28329" s="679"/>
    </row>
    <row r="28330" spans="32:32" x14ac:dyDescent="0.2">
      <c r="AF28330" s="679"/>
    </row>
    <row r="28331" spans="32:32" x14ac:dyDescent="0.2">
      <c r="AF28331" s="679"/>
    </row>
    <row r="28332" spans="32:32" x14ac:dyDescent="0.2">
      <c r="AF28332" s="679"/>
    </row>
    <row r="28333" spans="32:32" x14ac:dyDescent="0.2">
      <c r="AF28333" s="679"/>
    </row>
    <row r="28334" spans="32:32" x14ac:dyDescent="0.2">
      <c r="AF28334" s="679"/>
    </row>
    <row r="28335" spans="32:32" x14ac:dyDescent="0.2">
      <c r="AF28335" s="679"/>
    </row>
    <row r="28336" spans="32:32" x14ac:dyDescent="0.2">
      <c r="AF28336" s="679"/>
    </row>
    <row r="28337" spans="32:32" x14ac:dyDescent="0.2">
      <c r="AF28337" s="679"/>
    </row>
    <row r="28338" spans="32:32" x14ac:dyDescent="0.2">
      <c r="AF28338" s="679"/>
    </row>
    <row r="28339" spans="32:32" x14ac:dyDescent="0.2">
      <c r="AF28339" s="679"/>
    </row>
    <row r="28340" spans="32:32" x14ac:dyDescent="0.2">
      <c r="AF28340" s="679"/>
    </row>
    <row r="28341" spans="32:32" x14ac:dyDescent="0.2">
      <c r="AF28341" s="679"/>
    </row>
    <row r="28342" spans="32:32" x14ac:dyDescent="0.2">
      <c r="AF28342" s="679"/>
    </row>
    <row r="28343" spans="32:32" x14ac:dyDescent="0.2">
      <c r="AF28343" s="679"/>
    </row>
    <row r="28344" spans="32:32" x14ac:dyDescent="0.2">
      <c r="AF28344" s="679"/>
    </row>
    <row r="28345" spans="32:32" x14ac:dyDescent="0.2">
      <c r="AF28345" s="679"/>
    </row>
    <row r="28346" spans="32:32" x14ac:dyDescent="0.2">
      <c r="AF28346" s="679"/>
    </row>
    <row r="28347" spans="32:32" x14ac:dyDescent="0.2">
      <c r="AF28347" s="679"/>
    </row>
    <row r="28348" spans="32:32" x14ac:dyDescent="0.2">
      <c r="AF28348" s="679"/>
    </row>
    <row r="28349" spans="32:32" x14ac:dyDescent="0.2">
      <c r="AF28349" s="679"/>
    </row>
    <row r="28350" spans="32:32" x14ac:dyDescent="0.2">
      <c r="AF28350" s="679"/>
    </row>
    <row r="28351" spans="32:32" x14ac:dyDescent="0.2">
      <c r="AF28351" s="679"/>
    </row>
    <row r="28352" spans="32:32" x14ac:dyDescent="0.2">
      <c r="AF28352" s="679"/>
    </row>
    <row r="28353" spans="32:32" x14ac:dyDescent="0.2">
      <c r="AF28353" s="679"/>
    </row>
    <row r="28354" spans="32:32" x14ac:dyDescent="0.2">
      <c r="AF28354" s="679"/>
    </row>
    <row r="28355" spans="32:32" x14ac:dyDescent="0.2">
      <c r="AF28355" s="679"/>
    </row>
    <row r="28356" spans="32:32" x14ac:dyDescent="0.2">
      <c r="AF28356" s="679"/>
    </row>
    <row r="28357" spans="32:32" x14ac:dyDescent="0.2">
      <c r="AF28357" s="679"/>
    </row>
    <row r="28358" spans="32:32" x14ac:dyDescent="0.2">
      <c r="AF28358" s="679"/>
    </row>
    <row r="28359" spans="32:32" x14ac:dyDescent="0.2">
      <c r="AF28359" s="679"/>
    </row>
    <row r="28360" spans="32:32" x14ac:dyDescent="0.2">
      <c r="AF28360" s="679"/>
    </row>
    <row r="28361" spans="32:32" x14ac:dyDescent="0.2">
      <c r="AF28361" s="679"/>
    </row>
    <row r="28362" spans="32:32" x14ac:dyDescent="0.2">
      <c r="AF28362" s="679"/>
    </row>
    <row r="28363" spans="32:32" x14ac:dyDescent="0.2">
      <c r="AF28363" s="679"/>
    </row>
    <row r="28364" spans="32:32" x14ac:dyDescent="0.2">
      <c r="AF28364" s="679"/>
    </row>
    <row r="28365" spans="32:32" x14ac:dyDescent="0.2">
      <c r="AF28365" s="679"/>
    </row>
    <row r="28366" spans="32:32" x14ac:dyDescent="0.2">
      <c r="AF28366" s="679"/>
    </row>
    <row r="28367" spans="32:32" x14ac:dyDescent="0.2">
      <c r="AF28367" s="679"/>
    </row>
    <row r="28368" spans="32:32" x14ac:dyDescent="0.2">
      <c r="AF28368" s="679"/>
    </row>
    <row r="28369" spans="32:32" x14ac:dyDescent="0.2">
      <c r="AF28369" s="679"/>
    </row>
    <row r="28370" spans="32:32" x14ac:dyDescent="0.2">
      <c r="AF28370" s="679"/>
    </row>
    <row r="28371" spans="32:32" x14ac:dyDescent="0.2">
      <c r="AF28371" s="679"/>
    </row>
    <row r="28372" spans="32:32" x14ac:dyDescent="0.2">
      <c r="AF28372" s="679"/>
    </row>
    <row r="28373" spans="32:32" x14ac:dyDescent="0.2">
      <c r="AF28373" s="679"/>
    </row>
    <row r="28374" spans="32:32" x14ac:dyDescent="0.2">
      <c r="AF28374" s="679"/>
    </row>
    <row r="28375" spans="32:32" x14ac:dyDescent="0.2">
      <c r="AF28375" s="679"/>
    </row>
    <row r="28376" spans="32:32" x14ac:dyDescent="0.2">
      <c r="AF28376" s="679"/>
    </row>
    <row r="28377" spans="32:32" x14ac:dyDescent="0.2">
      <c r="AF28377" s="679"/>
    </row>
    <row r="28378" spans="32:32" x14ac:dyDescent="0.2">
      <c r="AF28378" s="679"/>
    </row>
    <row r="28379" spans="32:32" x14ac:dyDescent="0.2">
      <c r="AF28379" s="679"/>
    </row>
    <row r="28380" spans="32:32" x14ac:dyDescent="0.2">
      <c r="AF28380" s="679"/>
    </row>
    <row r="28381" spans="32:32" x14ac:dyDescent="0.2">
      <c r="AF28381" s="679"/>
    </row>
    <row r="28382" spans="32:32" x14ac:dyDescent="0.2">
      <c r="AF28382" s="679"/>
    </row>
    <row r="28383" spans="32:32" x14ac:dyDescent="0.2">
      <c r="AF28383" s="679"/>
    </row>
    <row r="28384" spans="32:32" x14ac:dyDescent="0.2">
      <c r="AF28384" s="679"/>
    </row>
    <row r="28385" spans="32:32" x14ac:dyDescent="0.2">
      <c r="AF28385" s="679"/>
    </row>
    <row r="28386" spans="32:32" x14ac:dyDescent="0.2">
      <c r="AF28386" s="679"/>
    </row>
    <row r="28387" spans="32:32" x14ac:dyDescent="0.2">
      <c r="AF28387" s="679"/>
    </row>
    <row r="28388" spans="32:32" x14ac:dyDescent="0.2">
      <c r="AF28388" s="679"/>
    </row>
    <row r="28389" spans="32:32" x14ac:dyDescent="0.2">
      <c r="AF28389" s="679"/>
    </row>
    <row r="28390" spans="32:32" x14ac:dyDescent="0.2">
      <c r="AF28390" s="679"/>
    </row>
    <row r="28391" spans="32:32" x14ac:dyDescent="0.2">
      <c r="AF28391" s="679"/>
    </row>
    <row r="28392" spans="32:32" x14ac:dyDescent="0.2">
      <c r="AF28392" s="679"/>
    </row>
    <row r="28393" spans="32:32" x14ac:dyDescent="0.2">
      <c r="AF28393" s="679"/>
    </row>
    <row r="28394" spans="32:32" x14ac:dyDescent="0.2">
      <c r="AF28394" s="679"/>
    </row>
    <row r="28395" spans="32:32" x14ac:dyDescent="0.2">
      <c r="AF28395" s="679"/>
    </row>
    <row r="28396" spans="32:32" x14ac:dyDescent="0.2">
      <c r="AF28396" s="679"/>
    </row>
    <row r="28397" spans="32:32" x14ac:dyDescent="0.2">
      <c r="AF28397" s="679"/>
    </row>
    <row r="28398" spans="32:32" x14ac:dyDescent="0.2">
      <c r="AF28398" s="679"/>
    </row>
    <row r="28399" spans="32:32" x14ac:dyDescent="0.2">
      <c r="AF28399" s="679"/>
    </row>
    <row r="28400" spans="32:32" x14ac:dyDescent="0.2">
      <c r="AF28400" s="679"/>
    </row>
    <row r="28401" spans="32:32" x14ac:dyDescent="0.2">
      <c r="AF28401" s="679"/>
    </row>
    <row r="28402" spans="32:32" x14ac:dyDescent="0.2">
      <c r="AF28402" s="679"/>
    </row>
    <row r="28403" spans="32:32" x14ac:dyDescent="0.2">
      <c r="AF28403" s="679"/>
    </row>
    <row r="28404" spans="32:32" x14ac:dyDescent="0.2">
      <c r="AF28404" s="679"/>
    </row>
    <row r="28405" spans="32:32" x14ac:dyDescent="0.2">
      <c r="AF28405" s="679"/>
    </row>
    <row r="28406" spans="32:32" x14ac:dyDescent="0.2">
      <c r="AF28406" s="679"/>
    </row>
    <row r="28407" spans="32:32" x14ac:dyDescent="0.2">
      <c r="AF28407" s="679"/>
    </row>
    <row r="28408" spans="32:32" x14ac:dyDescent="0.2">
      <c r="AF28408" s="679"/>
    </row>
    <row r="28409" spans="32:32" x14ac:dyDescent="0.2">
      <c r="AF28409" s="679"/>
    </row>
    <row r="28410" spans="32:32" x14ac:dyDescent="0.2">
      <c r="AF28410" s="679"/>
    </row>
    <row r="28411" spans="32:32" x14ac:dyDescent="0.2">
      <c r="AF28411" s="679"/>
    </row>
    <row r="28412" spans="32:32" x14ac:dyDescent="0.2">
      <c r="AF28412" s="679"/>
    </row>
    <row r="28413" spans="32:32" x14ac:dyDescent="0.2">
      <c r="AF28413" s="679"/>
    </row>
    <row r="28414" spans="32:32" x14ac:dyDescent="0.2">
      <c r="AF28414" s="679"/>
    </row>
    <row r="28415" spans="32:32" x14ac:dyDescent="0.2">
      <c r="AF28415" s="679"/>
    </row>
    <row r="28416" spans="32:32" x14ac:dyDescent="0.2">
      <c r="AF28416" s="679"/>
    </row>
    <row r="28417" spans="32:32" x14ac:dyDescent="0.2">
      <c r="AF28417" s="679"/>
    </row>
    <row r="28418" spans="32:32" x14ac:dyDescent="0.2">
      <c r="AF28418" s="679"/>
    </row>
    <row r="28419" spans="32:32" x14ac:dyDescent="0.2">
      <c r="AF28419" s="679"/>
    </row>
    <row r="28420" spans="32:32" x14ac:dyDescent="0.2">
      <c r="AF28420" s="679"/>
    </row>
    <row r="28421" spans="32:32" x14ac:dyDescent="0.2">
      <c r="AF28421" s="679"/>
    </row>
    <row r="28422" spans="32:32" x14ac:dyDescent="0.2">
      <c r="AF28422" s="679"/>
    </row>
    <row r="28423" spans="32:32" x14ac:dyDescent="0.2">
      <c r="AF28423" s="679"/>
    </row>
    <row r="28424" spans="32:32" x14ac:dyDescent="0.2">
      <c r="AF28424" s="679"/>
    </row>
    <row r="28425" spans="32:32" x14ac:dyDescent="0.2">
      <c r="AF28425" s="679"/>
    </row>
    <row r="28426" spans="32:32" x14ac:dyDescent="0.2">
      <c r="AF28426" s="679"/>
    </row>
    <row r="28427" spans="32:32" x14ac:dyDescent="0.2">
      <c r="AF28427" s="679"/>
    </row>
    <row r="28428" spans="32:32" x14ac:dyDescent="0.2">
      <c r="AF28428" s="679"/>
    </row>
    <row r="28429" spans="32:32" x14ac:dyDescent="0.2">
      <c r="AF28429" s="679"/>
    </row>
    <row r="28430" spans="32:32" x14ac:dyDescent="0.2">
      <c r="AF28430" s="679"/>
    </row>
    <row r="28431" spans="32:32" x14ac:dyDescent="0.2">
      <c r="AF28431" s="679"/>
    </row>
    <row r="28432" spans="32:32" x14ac:dyDescent="0.2">
      <c r="AF28432" s="679"/>
    </row>
    <row r="28433" spans="32:32" x14ac:dyDescent="0.2">
      <c r="AF28433" s="679"/>
    </row>
    <row r="28434" spans="32:32" x14ac:dyDescent="0.2">
      <c r="AF28434" s="679"/>
    </row>
    <row r="28435" spans="32:32" x14ac:dyDescent="0.2">
      <c r="AF28435" s="679"/>
    </row>
    <row r="28436" spans="32:32" x14ac:dyDescent="0.2">
      <c r="AF28436" s="679"/>
    </row>
    <row r="28437" spans="32:32" x14ac:dyDescent="0.2">
      <c r="AF28437" s="679"/>
    </row>
    <row r="28438" spans="32:32" x14ac:dyDescent="0.2">
      <c r="AF28438" s="679"/>
    </row>
    <row r="28439" spans="32:32" x14ac:dyDescent="0.2">
      <c r="AF28439" s="679"/>
    </row>
    <row r="28440" spans="32:32" x14ac:dyDescent="0.2">
      <c r="AF28440" s="679"/>
    </row>
    <row r="28441" spans="32:32" x14ac:dyDescent="0.2">
      <c r="AF28441" s="679"/>
    </row>
    <row r="28442" spans="32:32" x14ac:dyDescent="0.2">
      <c r="AF28442" s="679"/>
    </row>
    <row r="28443" spans="32:32" x14ac:dyDescent="0.2">
      <c r="AF28443" s="679"/>
    </row>
    <row r="28444" spans="32:32" x14ac:dyDescent="0.2">
      <c r="AF28444" s="679"/>
    </row>
    <row r="28445" spans="32:32" x14ac:dyDescent="0.2">
      <c r="AF28445" s="679"/>
    </row>
    <row r="28446" spans="32:32" x14ac:dyDescent="0.2">
      <c r="AF28446" s="679"/>
    </row>
    <row r="28447" spans="32:32" x14ac:dyDescent="0.2">
      <c r="AF28447" s="679"/>
    </row>
    <row r="28448" spans="32:32" x14ac:dyDescent="0.2">
      <c r="AF28448" s="679"/>
    </row>
    <row r="28449" spans="32:32" x14ac:dyDescent="0.2">
      <c r="AF28449" s="679"/>
    </row>
    <row r="28450" spans="32:32" x14ac:dyDescent="0.2">
      <c r="AF28450" s="679"/>
    </row>
    <row r="28451" spans="32:32" x14ac:dyDescent="0.2">
      <c r="AF28451" s="679"/>
    </row>
    <row r="28452" spans="32:32" x14ac:dyDescent="0.2">
      <c r="AF28452" s="679"/>
    </row>
    <row r="28453" spans="32:32" x14ac:dyDescent="0.2">
      <c r="AF28453" s="679"/>
    </row>
    <row r="28454" spans="32:32" x14ac:dyDescent="0.2">
      <c r="AF28454" s="679"/>
    </row>
    <row r="28455" spans="32:32" x14ac:dyDescent="0.2">
      <c r="AF28455" s="679"/>
    </row>
    <row r="28456" spans="32:32" x14ac:dyDescent="0.2">
      <c r="AF28456" s="679"/>
    </row>
    <row r="28457" spans="32:32" x14ac:dyDescent="0.2">
      <c r="AF28457" s="679"/>
    </row>
    <row r="28458" spans="32:32" x14ac:dyDescent="0.2">
      <c r="AF28458" s="679"/>
    </row>
    <row r="28459" spans="32:32" x14ac:dyDescent="0.2">
      <c r="AF28459" s="679"/>
    </row>
    <row r="28460" spans="32:32" x14ac:dyDescent="0.2">
      <c r="AF28460" s="679"/>
    </row>
    <row r="28461" spans="32:32" x14ac:dyDescent="0.2">
      <c r="AF28461" s="679"/>
    </row>
    <row r="28462" spans="32:32" x14ac:dyDescent="0.2">
      <c r="AF28462" s="679"/>
    </row>
    <row r="28463" spans="32:32" x14ac:dyDescent="0.2">
      <c r="AF28463" s="679"/>
    </row>
    <row r="28464" spans="32:32" x14ac:dyDescent="0.2">
      <c r="AF28464" s="679"/>
    </row>
    <row r="28465" spans="32:32" x14ac:dyDescent="0.2">
      <c r="AF28465" s="679"/>
    </row>
    <row r="28466" spans="32:32" x14ac:dyDescent="0.2">
      <c r="AF28466" s="679"/>
    </row>
    <row r="28467" spans="32:32" x14ac:dyDescent="0.2">
      <c r="AF28467" s="679"/>
    </row>
    <row r="28468" spans="32:32" x14ac:dyDescent="0.2">
      <c r="AF28468" s="679"/>
    </row>
    <row r="28469" spans="32:32" x14ac:dyDescent="0.2">
      <c r="AF28469" s="679"/>
    </row>
    <row r="28470" spans="32:32" x14ac:dyDescent="0.2">
      <c r="AF28470" s="679"/>
    </row>
    <row r="28471" spans="32:32" x14ac:dyDescent="0.2">
      <c r="AF28471" s="679"/>
    </row>
    <row r="28472" spans="32:32" x14ac:dyDescent="0.2">
      <c r="AF28472" s="679"/>
    </row>
    <row r="28473" spans="32:32" x14ac:dyDescent="0.2">
      <c r="AF28473" s="679"/>
    </row>
    <row r="28474" spans="32:32" x14ac:dyDescent="0.2">
      <c r="AF28474" s="679"/>
    </row>
    <row r="28475" spans="32:32" x14ac:dyDescent="0.2">
      <c r="AF28475" s="679"/>
    </row>
    <row r="28476" spans="32:32" x14ac:dyDescent="0.2">
      <c r="AF28476" s="679"/>
    </row>
    <row r="28477" spans="32:32" x14ac:dyDescent="0.2">
      <c r="AF28477" s="679"/>
    </row>
    <row r="28478" spans="32:32" x14ac:dyDescent="0.2">
      <c r="AF28478" s="679"/>
    </row>
    <row r="28479" spans="32:32" x14ac:dyDescent="0.2">
      <c r="AF28479" s="679"/>
    </row>
    <row r="28480" spans="32:32" x14ac:dyDescent="0.2">
      <c r="AF28480" s="679"/>
    </row>
    <row r="28481" spans="32:32" x14ac:dyDescent="0.2">
      <c r="AF28481" s="679"/>
    </row>
    <row r="28482" spans="32:32" x14ac:dyDescent="0.2">
      <c r="AF28482" s="679"/>
    </row>
    <row r="28483" spans="32:32" x14ac:dyDescent="0.2">
      <c r="AF28483" s="679"/>
    </row>
    <row r="28484" spans="32:32" x14ac:dyDescent="0.2">
      <c r="AF28484" s="679"/>
    </row>
    <row r="28485" spans="32:32" x14ac:dyDescent="0.2">
      <c r="AF28485" s="679"/>
    </row>
    <row r="28486" spans="32:32" x14ac:dyDescent="0.2">
      <c r="AF28486" s="679"/>
    </row>
    <row r="28487" spans="32:32" x14ac:dyDescent="0.2">
      <c r="AF28487" s="679"/>
    </row>
    <row r="28488" spans="32:32" x14ac:dyDescent="0.2">
      <c r="AF28488" s="679"/>
    </row>
    <row r="28489" spans="32:32" x14ac:dyDescent="0.2">
      <c r="AF28489" s="679"/>
    </row>
    <row r="28490" spans="32:32" x14ac:dyDescent="0.2">
      <c r="AF28490" s="679"/>
    </row>
    <row r="28491" spans="32:32" x14ac:dyDescent="0.2">
      <c r="AF28491" s="679"/>
    </row>
    <row r="28492" spans="32:32" x14ac:dyDescent="0.2">
      <c r="AF28492" s="679"/>
    </row>
    <row r="28493" spans="32:32" x14ac:dyDescent="0.2">
      <c r="AF28493" s="679"/>
    </row>
    <row r="28494" spans="32:32" x14ac:dyDescent="0.2">
      <c r="AF28494" s="679"/>
    </row>
    <row r="28495" spans="32:32" x14ac:dyDescent="0.2">
      <c r="AF28495" s="679"/>
    </row>
    <row r="28496" spans="32:32" x14ac:dyDescent="0.2">
      <c r="AF28496" s="679"/>
    </row>
    <row r="28497" spans="32:32" x14ac:dyDescent="0.2">
      <c r="AF28497" s="679"/>
    </row>
    <row r="28498" spans="32:32" x14ac:dyDescent="0.2">
      <c r="AF28498" s="679"/>
    </row>
    <row r="28499" spans="32:32" x14ac:dyDescent="0.2">
      <c r="AF28499" s="679"/>
    </row>
    <row r="28500" spans="32:32" x14ac:dyDescent="0.2">
      <c r="AF28500" s="679"/>
    </row>
    <row r="28501" spans="32:32" x14ac:dyDescent="0.2">
      <c r="AF28501" s="679"/>
    </row>
    <row r="28502" spans="32:32" x14ac:dyDescent="0.2">
      <c r="AF28502" s="679"/>
    </row>
    <row r="28503" spans="32:32" x14ac:dyDescent="0.2">
      <c r="AF28503" s="679"/>
    </row>
    <row r="28504" spans="32:32" x14ac:dyDescent="0.2">
      <c r="AF28504" s="679"/>
    </row>
    <row r="28505" spans="32:32" x14ac:dyDescent="0.2">
      <c r="AF28505" s="679"/>
    </row>
    <row r="28506" spans="32:32" x14ac:dyDescent="0.2">
      <c r="AF28506" s="679"/>
    </row>
    <row r="28507" spans="32:32" x14ac:dyDescent="0.2">
      <c r="AF28507" s="679"/>
    </row>
    <row r="28508" spans="32:32" x14ac:dyDescent="0.2">
      <c r="AF28508" s="679"/>
    </row>
    <row r="28509" spans="32:32" x14ac:dyDescent="0.2">
      <c r="AF28509" s="679"/>
    </row>
    <row r="28510" spans="32:32" x14ac:dyDescent="0.2">
      <c r="AF28510" s="679"/>
    </row>
    <row r="28511" spans="32:32" x14ac:dyDescent="0.2">
      <c r="AF28511" s="679"/>
    </row>
    <row r="28512" spans="32:32" x14ac:dyDescent="0.2">
      <c r="AF28512" s="679"/>
    </row>
    <row r="28513" spans="32:32" x14ac:dyDescent="0.2">
      <c r="AF28513" s="679"/>
    </row>
    <row r="28514" spans="32:32" x14ac:dyDescent="0.2">
      <c r="AF28514" s="679"/>
    </row>
    <row r="28515" spans="32:32" x14ac:dyDescent="0.2">
      <c r="AF28515" s="679"/>
    </row>
    <row r="28516" spans="32:32" x14ac:dyDescent="0.2">
      <c r="AF28516" s="679"/>
    </row>
    <row r="28517" spans="32:32" x14ac:dyDescent="0.2">
      <c r="AF28517" s="679"/>
    </row>
    <row r="28518" spans="32:32" x14ac:dyDescent="0.2">
      <c r="AF28518" s="679"/>
    </row>
    <row r="28519" spans="32:32" x14ac:dyDescent="0.2">
      <c r="AF28519" s="679"/>
    </row>
    <row r="28520" spans="32:32" x14ac:dyDescent="0.2">
      <c r="AF28520" s="679"/>
    </row>
    <row r="28521" spans="32:32" x14ac:dyDescent="0.2">
      <c r="AF28521" s="679"/>
    </row>
    <row r="28522" spans="32:32" x14ac:dyDescent="0.2">
      <c r="AF28522" s="679"/>
    </row>
    <row r="28523" spans="32:32" x14ac:dyDescent="0.2">
      <c r="AF28523" s="679"/>
    </row>
    <row r="28524" spans="32:32" x14ac:dyDescent="0.2">
      <c r="AF28524" s="679"/>
    </row>
    <row r="28525" spans="32:32" x14ac:dyDescent="0.2">
      <c r="AF28525" s="679"/>
    </row>
    <row r="28526" spans="32:32" x14ac:dyDescent="0.2">
      <c r="AF28526" s="679"/>
    </row>
    <row r="28527" spans="32:32" x14ac:dyDescent="0.2">
      <c r="AF28527" s="679"/>
    </row>
    <row r="28528" spans="32:32" x14ac:dyDescent="0.2">
      <c r="AF28528" s="679"/>
    </row>
    <row r="28529" spans="32:32" x14ac:dyDescent="0.2">
      <c r="AF28529" s="679"/>
    </row>
    <row r="28530" spans="32:32" x14ac:dyDescent="0.2">
      <c r="AF28530" s="679"/>
    </row>
    <row r="28531" spans="32:32" x14ac:dyDescent="0.2">
      <c r="AF28531" s="679"/>
    </row>
    <row r="28532" spans="32:32" x14ac:dyDescent="0.2">
      <c r="AF28532" s="679"/>
    </row>
    <row r="28533" spans="32:32" x14ac:dyDescent="0.2">
      <c r="AF28533" s="679"/>
    </row>
    <row r="28534" spans="32:32" x14ac:dyDescent="0.2">
      <c r="AF28534" s="679"/>
    </row>
    <row r="28535" spans="32:32" x14ac:dyDescent="0.2">
      <c r="AF28535" s="679"/>
    </row>
    <row r="28536" spans="32:32" x14ac:dyDescent="0.2">
      <c r="AF28536" s="679"/>
    </row>
    <row r="28537" spans="32:32" x14ac:dyDescent="0.2">
      <c r="AF28537" s="679"/>
    </row>
    <row r="28538" spans="32:32" x14ac:dyDescent="0.2">
      <c r="AF28538" s="679"/>
    </row>
    <row r="28539" spans="32:32" x14ac:dyDescent="0.2">
      <c r="AF28539" s="679"/>
    </row>
    <row r="28540" spans="32:32" x14ac:dyDescent="0.2">
      <c r="AF28540" s="679"/>
    </row>
    <row r="28541" spans="32:32" x14ac:dyDescent="0.2">
      <c r="AF28541" s="679"/>
    </row>
    <row r="28542" spans="32:32" x14ac:dyDescent="0.2">
      <c r="AF28542" s="679"/>
    </row>
    <row r="28543" spans="32:32" x14ac:dyDescent="0.2">
      <c r="AF28543" s="679"/>
    </row>
    <row r="28544" spans="32:32" x14ac:dyDescent="0.2">
      <c r="AF28544" s="679"/>
    </row>
    <row r="28545" spans="32:32" x14ac:dyDescent="0.2">
      <c r="AF28545" s="679"/>
    </row>
    <row r="28546" spans="32:32" x14ac:dyDescent="0.2">
      <c r="AF28546" s="679"/>
    </row>
    <row r="28547" spans="32:32" x14ac:dyDescent="0.2">
      <c r="AF28547" s="679"/>
    </row>
    <row r="28548" spans="32:32" x14ac:dyDescent="0.2">
      <c r="AF28548" s="679"/>
    </row>
    <row r="28549" spans="32:32" x14ac:dyDescent="0.2">
      <c r="AF28549" s="679"/>
    </row>
    <row r="28550" spans="32:32" x14ac:dyDescent="0.2">
      <c r="AF28550" s="679"/>
    </row>
    <row r="28551" spans="32:32" x14ac:dyDescent="0.2">
      <c r="AF28551" s="679"/>
    </row>
    <row r="28552" spans="32:32" x14ac:dyDescent="0.2">
      <c r="AF28552" s="679"/>
    </row>
    <row r="28553" spans="32:32" x14ac:dyDescent="0.2">
      <c r="AF28553" s="679"/>
    </row>
    <row r="28554" spans="32:32" x14ac:dyDescent="0.2">
      <c r="AF28554" s="679"/>
    </row>
    <row r="28555" spans="32:32" x14ac:dyDescent="0.2">
      <c r="AF28555" s="679"/>
    </row>
    <row r="28556" spans="32:32" x14ac:dyDescent="0.2">
      <c r="AF28556" s="679"/>
    </row>
    <row r="28557" spans="32:32" x14ac:dyDescent="0.2">
      <c r="AF28557" s="679"/>
    </row>
    <row r="28558" spans="32:32" x14ac:dyDescent="0.2">
      <c r="AF28558" s="679"/>
    </row>
    <row r="28559" spans="32:32" x14ac:dyDescent="0.2">
      <c r="AF28559" s="679"/>
    </row>
    <row r="28560" spans="32:32" x14ac:dyDescent="0.2">
      <c r="AF28560" s="679"/>
    </row>
    <row r="28561" spans="32:32" x14ac:dyDescent="0.2">
      <c r="AF28561" s="679"/>
    </row>
    <row r="28562" spans="32:32" x14ac:dyDescent="0.2">
      <c r="AF28562" s="679"/>
    </row>
    <row r="28563" spans="32:32" x14ac:dyDescent="0.2">
      <c r="AF28563" s="679"/>
    </row>
    <row r="28564" spans="32:32" x14ac:dyDescent="0.2">
      <c r="AF28564" s="679"/>
    </row>
    <row r="28565" spans="32:32" x14ac:dyDescent="0.2">
      <c r="AF28565" s="679"/>
    </row>
    <row r="28566" spans="32:32" x14ac:dyDescent="0.2">
      <c r="AF28566" s="679"/>
    </row>
    <row r="28567" spans="32:32" x14ac:dyDescent="0.2">
      <c r="AF28567" s="679"/>
    </row>
    <row r="28568" spans="32:32" x14ac:dyDescent="0.2">
      <c r="AF28568" s="679"/>
    </row>
    <row r="28569" spans="32:32" x14ac:dyDescent="0.2">
      <c r="AF28569" s="679"/>
    </row>
    <row r="28570" spans="32:32" x14ac:dyDescent="0.2">
      <c r="AF28570" s="679"/>
    </row>
    <row r="28571" spans="32:32" x14ac:dyDescent="0.2">
      <c r="AF28571" s="679"/>
    </row>
    <row r="28572" spans="32:32" x14ac:dyDescent="0.2">
      <c r="AF28572" s="679"/>
    </row>
    <row r="28573" spans="32:32" x14ac:dyDescent="0.2">
      <c r="AF28573" s="679"/>
    </row>
    <row r="28574" spans="32:32" x14ac:dyDescent="0.2">
      <c r="AF28574" s="679"/>
    </row>
    <row r="28575" spans="32:32" x14ac:dyDescent="0.2">
      <c r="AF28575" s="679"/>
    </row>
    <row r="28576" spans="32:32" x14ac:dyDescent="0.2">
      <c r="AF28576" s="679"/>
    </row>
    <row r="28577" spans="32:32" x14ac:dyDescent="0.2">
      <c r="AF28577" s="679"/>
    </row>
    <row r="28578" spans="32:32" x14ac:dyDescent="0.2">
      <c r="AF28578" s="679"/>
    </row>
    <row r="28579" spans="32:32" x14ac:dyDescent="0.2">
      <c r="AF28579" s="679"/>
    </row>
    <row r="28580" spans="32:32" x14ac:dyDescent="0.2">
      <c r="AF28580" s="679"/>
    </row>
    <row r="28581" spans="32:32" x14ac:dyDescent="0.2">
      <c r="AF28581" s="679"/>
    </row>
    <row r="28582" spans="32:32" x14ac:dyDescent="0.2">
      <c r="AF28582" s="679"/>
    </row>
    <row r="28583" spans="32:32" x14ac:dyDescent="0.2">
      <c r="AF28583" s="679"/>
    </row>
    <row r="28584" spans="32:32" x14ac:dyDescent="0.2">
      <c r="AF28584" s="679"/>
    </row>
    <row r="28585" spans="32:32" x14ac:dyDescent="0.2">
      <c r="AF28585" s="679"/>
    </row>
    <row r="28586" spans="32:32" x14ac:dyDescent="0.2">
      <c r="AF28586" s="679"/>
    </row>
    <row r="28587" spans="32:32" x14ac:dyDescent="0.2">
      <c r="AF28587" s="679"/>
    </row>
    <row r="28588" spans="32:32" x14ac:dyDescent="0.2">
      <c r="AF28588" s="679"/>
    </row>
    <row r="28589" spans="32:32" x14ac:dyDescent="0.2">
      <c r="AF28589" s="679"/>
    </row>
    <row r="28590" spans="32:32" x14ac:dyDescent="0.2">
      <c r="AF28590" s="679"/>
    </row>
    <row r="28591" spans="32:32" x14ac:dyDescent="0.2">
      <c r="AF28591" s="679"/>
    </row>
    <row r="28592" spans="32:32" x14ac:dyDescent="0.2">
      <c r="AF28592" s="679"/>
    </row>
    <row r="28593" spans="32:32" x14ac:dyDescent="0.2">
      <c r="AF28593" s="679"/>
    </row>
    <row r="28594" spans="32:32" x14ac:dyDescent="0.2">
      <c r="AF28594" s="679"/>
    </row>
    <row r="28595" spans="32:32" x14ac:dyDescent="0.2">
      <c r="AF28595" s="679"/>
    </row>
    <row r="28596" spans="32:32" x14ac:dyDescent="0.2">
      <c r="AF28596" s="679"/>
    </row>
    <row r="28597" spans="32:32" x14ac:dyDescent="0.2">
      <c r="AF28597" s="679"/>
    </row>
    <row r="28598" spans="32:32" x14ac:dyDescent="0.2">
      <c r="AF28598" s="679"/>
    </row>
    <row r="28599" spans="32:32" x14ac:dyDescent="0.2">
      <c r="AF28599" s="679"/>
    </row>
    <row r="28600" spans="32:32" x14ac:dyDescent="0.2">
      <c r="AF28600" s="679"/>
    </row>
    <row r="28601" spans="32:32" x14ac:dyDescent="0.2">
      <c r="AF28601" s="679"/>
    </row>
    <row r="28602" spans="32:32" x14ac:dyDescent="0.2">
      <c r="AF28602" s="679"/>
    </row>
    <row r="28603" spans="32:32" x14ac:dyDescent="0.2">
      <c r="AF28603" s="679"/>
    </row>
    <row r="28604" spans="32:32" x14ac:dyDescent="0.2">
      <c r="AF28604" s="679"/>
    </row>
    <row r="28605" spans="32:32" x14ac:dyDescent="0.2">
      <c r="AF28605" s="679"/>
    </row>
    <row r="28606" spans="32:32" x14ac:dyDescent="0.2">
      <c r="AF28606" s="679"/>
    </row>
    <row r="28607" spans="32:32" x14ac:dyDescent="0.2">
      <c r="AF28607" s="679"/>
    </row>
    <row r="28608" spans="32:32" x14ac:dyDescent="0.2">
      <c r="AF28608" s="679"/>
    </row>
    <row r="28609" spans="32:32" x14ac:dyDescent="0.2">
      <c r="AF28609" s="679"/>
    </row>
    <row r="28610" spans="32:32" x14ac:dyDescent="0.2">
      <c r="AF28610" s="679"/>
    </row>
    <row r="28611" spans="32:32" x14ac:dyDescent="0.2">
      <c r="AF28611" s="679"/>
    </row>
    <row r="28612" spans="32:32" x14ac:dyDescent="0.2">
      <c r="AF28612" s="679"/>
    </row>
    <row r="28613" spans="32:32" x14ac:dyDescent="0.2">
      <c r="AF28613" s="679"/>
    </row>
    <row r="28614" spans="32:32" x14ac:dyDescent="0.2">
      <c r="AF28614" s="679"/>
    </row>
    <row r="28615" spans="32:32" x14ac:dyDescent="0.2">
      <c r="AF28615" s="679"/>
    </row>
    <row r="28616" spans="32:32" x14ac:dyDescent="0.2">
      <c r="AF28616" s="679"/>
    </row>
    <row r="28617" spans="32:32" x14ac:dyDescent="0.2">
      <c r="AF28617" s="679"/>
    </row>
    <row r="28618" spans="32:32" x14ac:dyDescent="0.2">
      <c r="AF28618" s="679"/>
    </row>
    <row r="28619" spans="32:32" x14ac:dyDescent="0.2">
      <c r="AF28619" s="679"/>
    </row>
    <row r="28620" spans="32:32" x14ac:dyDescent="0.2">
      <c r="AF28620" s="679"/>
    </row>
    <row r="28621" spans="32:32" x14ac:dyDescent="0.2">
      <c r="AF28621" s="679"/>
    </row>
    <row r="28622" spans="32:32" x14ac:dyDescent="0.2">
      <c r="AF28622" s="679"/>
    </row>
    <row r="28623" spans="32:32" x14ac:dyDescent="0.2">
      <c r="AF28623" s="679"/>
    </row>
    <row r="28624" spans="32:32" x14ac:dyDescent="0.2">
      <c r="AF28624" s="679"/>
    </row>
    <row r="28625" spans="32:32" x14ac:dyDescent="0.2">
      <c r="AF28625" s="679"/>
    </row>
    <row r="28626" spans="32:32" x14ac:dyDescent="0.2">
      <c r="AF28626" s="679"/>
    </row>
    <row r="28627" spans="32:32" x14ac:dyDescent="0.2">
      <c r="AF28627" s="679"/>
    </row>
    <row r="28628" spans="32:32" x14ac:dyDescent="0.2">
      <c r="AF28628" s="679"/>
    </row>
    <row r="28629" spans="32:32" x14ac:dyDescent="0.2">
      <c r="AF28629" s="679"/>
    </row>
    <row r="28630" spans="32:32" x14ac:dyDescent="0.2">
      <c r="AF28630" s="679"/>
    </row>
    <row r="28631" spans="32:32" x14ac:dyDescent="0.2">
      <c r="AF28631" s="679"/>
    </row>
    <row r="28632" spans="32:32" x14ac:dyDescent="0.2">
      <c r="AF28632" s="679"/>
    </row>
    <row r="28633" spans="32:32" x14ac:dyDescent="0.2">
      <c r="AF28633" s="679"/>
    </row>
    <row r="28634" spans="32:32" x14ac:dyDescent="0.2">
      <c r="AF28634" s="679"/>
    </row>
    <row r="28635" spans="32:32" x14ac:dyDescent="0.2">
      <c r="AF28635" s="679"/>
    </row>
    <row r="28636" spans="32:32" x14ac:dyDescent="0.2">
      <c r="AF28636" s="679"/>
    </row>
    <row r="28637" spans="32:32" x14ac:dyDescent="0.2">
      <c r="AF28637" s="679"/>
    </row>
    <row r="28638" spans="32:32" x14ac:dyDescent="0.2">
      <c r="AF28638" s="679"/>
    </row>
    <row r="28639" spans="32:32" x14ac:dyDescent="0.2">
      <c r="AF28639" s="679"/>
    </row>
    <row r="28640" spans="32:32" x14ac:dyDescent="0.2">
      <c r="AF28640" s="679"/>
    </row>
    <row r="28641" spans="32:32" x14ac:dyDescent="0.2">
      <c r="AF28641" s="679"/>
    </row>
    <row r="28642" spans="32:32" x14ac:dyDescent="0.2">
      <c r="AF28642" s="679"/>
    </row>
    <row r="28643" spans="32:32" x14ac:dyDescent="0.2">
      <c r="AF28643" s="679"/>
    </row>
    <row r="28644" spans="32:32" x14ac:dyDescent="0.2">
      <c r="AF28644" s="679"/>
    </row>
    <row r="28645" spans="32:32" x14ac:dyDescent="0.2">
      <c r="AF28645" s="679"/>
    </row>
    <row r="28646" spans="32:32" x14ac:dyDescent="0.2">
      <c r="AF28646" s="679"/>
    </row>
    <row r="28647" spans="32:32" x14ac:dyDescent="0.2">
      <c r="AF28647" s="679"/>
    </row>
    <row r="28648" spans="32:32" x14ac:dyDescent="0.2">
      <c r="AF28648" s="679"/>
    </row>
    <row r="28649" spans="32:32" x14ac:dyDescent="0.2">
      <c r="AF28649" s="679"/>
    </row>
    <row r="28650" spans="32:32" x14ac:dyDescent="0.2">
      <c r="AF28650" s="679"/>
    </row>
    <row r="28651" spans="32:32" x14ac:dyDescent="0.2">
      <c r="AF28651" s="679"/>
    </row>
    <row r="28652" spans="32:32" x14ac:dyDescent="0.2">
      <c r="AF28652" s="679"/>
    </row>
    <row r="28653" spans="32:32" x14ac:dyDescent="0.2">
      <c r="AF28653" s="679"/>
    </row>
    <row r="28654" spans="32:32" x14ac:dyDescent="0.2">
      <c r="AF28654" s="679"/>
    </row>
    <row r="28655" spans="32:32" x14ac:dyDescent="0.2">
      <c r="AF28655" s="679"/>
    </row>
    <row r="28656" spans="32:32" x14ac:dyDescent="0.2">
      <c r="AF28656" s="679"/>
    </row>
    <row r="28657" spans="32:32" x14ac:dyDescent="0.2">
      <c r="AF28657" s="679"/>
    </row>
    <row r="28658" spans="32:32" x14ac:dyDescent="0.2">
      <c r="AF28658" s="679"/>
    </row>
    <row r="28659" spans="32:32" x14ac:dyDescent="0.2">
      <c r="AF28659" s="679"/>
    </row>
    <row r="28660" spans="32:32" x14ac:dyDescent="0.2">
      <c r="AF28660" s="679"/>
    </row>
    <row r="28661" spans="32:32" x14ac:dyDescent="0.2">
      <c r="AF28661" s="679"/>
    </row>
    <row r="28662" spans="32:32" x14ac:dyDescent="0.2">
      <c r="AF28662" s="679"/>
    </row>
    <row r="28663" spans="32:32" x14ac:dyDescent="0.2">
      <c r="AF28663" s="679"/>
    </row>
    <row r="28664" spans="32:32" x14ac:dyDescent="0.2">
      <c r="AF28664" s="679"/>
    </row>
    <row r="28665" spans="32:32" x14ac:dyDescent="0.2">
      <c r="AF28665" s="679"/>
    </row>
    <row r="28666" spans="32:32" x14ac:dyDescent="0.2">
      <c r="AF28666" s="679"/>
    </row>
    <row r="28667" spans="32:32" x14ac:dyDescent="0.2">
      <c r="AF28667" s="679"/>
    </row>
    <row r="28668" spans="32:32" x14ac:dyDescent="0.2">
      <c r="AF28668" s="679"/>
    </row>
    <row r="28669" spans="32:32" x14ac:dyDescent="0.2">
      <c r="AF28669" s="679"/>
    </row>
    <row r="28670" spans="32:32" x14ac:dyDescent="0.2">
      <c r="AF28670" s="679"/>
    </row>
    <row r="28671" spans="32:32" x14ac:dyDescent="0.2">
      <c r="AF28671" s="679"/>
    </row>
    <row r="28672" spans="32:32" x14ac:dyDescent="0.2">
      <c r="AF28672" s="679"/>
    </row>
    <row r="28673" spans="32:32" x14ac:dyDescent="0.2">
      <c r="AF28673" s="679"/>
    </row>
    <row r="28674" spans="32:32" x14ac:dyDescent="0.2">
      <c r="AF28674" s="679"/>
    </row>
    <row r="28675" spans="32:32" x14ac:dyDescent="0.2">
      <c r="AF28675" s="679"/>
    </row>
    <row r="28676" spans="32:32" x14ac:dyDescent="0.2">
      <c r="AF28676" s="679"/>
    </row>
    <row r="28677" spans="32:32" x14ac:dyDescent="0.2">
      <c r="AF28677" s="679"/>
    </row>
    <row r="28678" spans="32:32" x14ac:dyDescent="0.2">
      <c r="AF28678" s="679"/>
    </row>
    <row r="28679" spans="32:32" x14ac:dyDescent="0.2">
      <c r="AF28679" s="679"/>
    </row>
    <row r="28680" spans="32:32" x14ac:dyDescent="0.2">
      <c r="AF28680" s="679"/>
    </row>
    <row r="28681" spans="32:32" x14ac:dyDescent="0.2">
      <c r="AF28681" s="679"/>
    </row>
    <row r="28682" spans="32:32" x14ac:dyDescent="0.2">
      <c r="AF28682" s="679"/>
    </row>
    <row r="28683" spans="32:32" x14ac:dyDescent="0.2">
      <c r="AF28683" s="679"/>
    </row>
    <row r="28684" spans="32:32" x14ac:dyDescent="0.2">
      <c r="AF28684" s="679"/>
    </row>
    <row r="28685" spans="32:32" x14ac:dyDescent="0.2">
      <c r="AF28685" s="679"/>
    </row>
    <row r="28686" spans="32:32" x14ac:dyDescent="0.2">
      <c r="AF28686" s="679"/>
    </row>
    <row r="28687" spans="32:32" x14ac:dyDescent="0.2">
      <c r="AF28687" s="679"/>
    </row>
    <row r="28688" spans="32:32" x14ac:dyDescent="0.2">
      <c r="AF28688" s="679"/>
    </row>
    <row r="28689" spans="32:32" x14ac:dyDescent="0.2">
      <c r="AF28689" s="679"/>
    </row>
    <row r="28690" spans="32:32" x14ac:dyDescent="0.2">
      <c r="AF28690" s="679"/>
    </row>
    <row r="28691" spans="32:32" x14ac:dyDescent="0.2">
      <c r="AF28691" s="679"/>
    </row>
    <row r="28692" spans="32:32" x14ac:dyDescent="0.2">
      <c r="AF28692" s="679"/>
    </row>
    <row r="28693" spans="32:32" x14ac:dyDescent="0.2">
      <c r="AF28693" s="679"/>
    </row>
    <row r="28694" spans="32:32" x14ac:dyDescent="0.2">
      <c r="AF28694" s="679"/>
    </row>
    <row r="28695" spans="32:32" x14ac:dyDescent="0.2">
      <c r="AF28695" s="679"/>
    </row>
    <row r="28696" spans="32:32" x14ac:dyDescent="0.2">
      <c r="AF28696" s="679"/>
    </row>
    <row r="28697" spans="32:32" x14ac:dyDescent="0.2">
      <c r="AF28697" s="679"/>
    </row>
    <row r="28698" spans="32:32" x14ac:dyDescent="0.2">
      <c r="AF28698" s="679"/>
    </row>
    <row r="28699" spans="32:32" x14ac:dyDescent="0.2">
      <c r="AF28699" s="679"/>
    </row>
    <row r="28700" spans="32:32" x14ac:dyDescent="0.2">
      <c r="AF28700" s="679"/>
    </row>
    <row r="28701" spans="32:32" x14ac:dyDescent="0.2">
      <c r="AF28701" s="679"/>
    </row>
    <row r="28702" spans="32:32" x14ac:dyDescent="0.2">
      <c r="AF28702" s="679"/>
    </row>
    <row r="28703" spans="32:32" x14ac:dyDescent="0.2">
      <c r="AF28703" s="679"/>
    </row>
    <row r="28704" spans="32:32" x14ac:dyDescent="0.2">
      <c r="AF28704" s="679"/>
    </row>
    <row r="28705" spans="32:32" x14ac:dyDescent="0.2">
      <c r="AF28705" s="679"/>
    </row>
    <row r="28706" spans="32:32" x14ac:dyDescent="0.2">
      <c r="AF28706" s="679"/>
    </row>
    <row r="28707" spans="32:32" x14ac:dyDescent="0.2">
      <c r="AF28707" s="679"/>
    </row>
    <row r="28708" spans="32:32" x14ac:dyDescent="0.2">
      <c r="AF28708" s="679"/>
    </row>
    <row r="28709" spans="32:32" x14ac:dyDescent="0.2">
      <c r="AF28709" s="679"/>
    </row>
    <row r="28710" spans="32:32" x14ac:dyDescent="0.2">
      <c r="AF28710" s="679"/>
    </row>
    <row r="28711" spans="32:32" x14ac:dyDescent="0.2">
      <c r="AF28711" s="679"/>
    </row>
    <row r="28712" spans="32:32" x14ac:dyDescent="0.2">
      <c r="AF28712" s="679"/>
    </row>
    <row r="28713" spans="32:32" x14ac:dyDescent="0.2">
      <c r="AF28713" s="679"/>
    </row>
    <row r="28714" spans="32:32" x14ac:dyDescent="0.2">
      <c r="AF28714" s="679"/>
    </row>
    <row r="28715" spans="32:32" x14ac:dyDescent="0.2">
      <c r="AF28715" s="679"/>
    </row>
    <row r="28716" spans="32:32" x14ac:dyDescent="0.2">
      <c r="AF28716" s="679"/>
    </row>
    <row r="28717" spans="32:32" x14ac:dyDescent="0.2">
      <c r="AF28717" s="679"/>
    </row>
    <row r="28718" spans="32:32" x14ac:dyDescent="0.2">
      <c r="AF28718" s="679"/>
    </row>
    <row r="28719" spans="32:32" x14ac:dyDescent="0.2">
      <c r="AF28719" s="679"/>
    </row>
    <row r="28720" spans="32:32" x14ac:dyDescent="0.2">
      <c r="AF28720" s="679"/>
    </row>
    <row r="28721" spans="32:32" x14ac:dyDescent="0.2">
      <c r="AF28721" s="679"/>
    </row>
    <row r="28722" spans="32:32" x14ac:dyDescent="0.2">
      <c r="AF28722" s="679"/>
    </row>
    <row r="28723" spans="32:32" x14ac:dyDescent="0.2">
      <c r="AF28723" s="679"/>
    </row>
    <row r="28724" spans="32:32" x14ac:dyDescent="0.2">
      <c r="AF28724" s="679"/>
    </row>
    <row r="28725" spans="32:32" x14ac:dyDescent="0.2">
      <c r="AF28725" s="679"/>
    </row>
    <row r="28726" spans="32:32" x14ac:dyDescent="0.2">
      <c r="AF28726" s="679"/>
    </row>
    <row r="28727" spans="32:32" x14ac:dyDescent="0.2">
      <c r="AF28727" s="679"/>
    </row>
    <row r="28728" spans="32:32" x14ac:dyDescent="0.2">
      <c r="AF28728" s="679"/>
    </row>
    <row r="28729" spans="32:32" x14ac:dyDescent="0.2">
      <c r="AF28729" s="679"/>
    </row>
    <row r="28730" spans="32:32" x14ac:dyDescent="0.2">
      <c r="AF28730" s="679"/>
    </row>
    <row r="28731" spans="32:32" x14ac:dyDescent="0.2">
      <c r="AF28731" s="679"/>
    </row>
    <row r="28732" spans="32:32" x14ac:dyDescent="0.2">
      <c r="AF28732" s="679"/>
    </row>
    <row r="28733" spans="32:32" x14ac:dyDescent="0.2">
      <c r="AF28733" s="679"/>
    </row>
    <row r="28734" spans="32:32" x14ac:dyDescent="0.2">
      <c r="AF28734" s="679"/>
    </row>
    <row r="28735" spans="32:32" x14ac:dyDescent="0.2">
      <c r="AF28735" s="679"/>
    </row>
    <row r="28736" spans="32:32" x14ac:dyDescent="0.2">
      <c r="AF28736" s="679"/>
    </row>
    <row r="28737" spans="32:32" x14ac:dyDescent="0.2">
      <c r="AF28737" s="679"/>
    </row>
    <row r="28738" spans="32:32" x14ac:dyDescent="0.2">
      <c r="AF28738" s="679"/>
    </row>
    <row r="28739" spans="32:32" x14ac:dyDescent="0.2">
      <c r="AF28739" s="679"/>
    </row>
    <row r="28740" spans="32:32" x14ac:dyDescent="0.2">
      <c r="AF28740" s="679"/>
    </row>
    <row r="28741" spans="32:32" x14ac:dyDescent="0.2">
      <c r="AF28741" s="679"/>
    </row>
    <row r="28742" spans="32:32" x14ac:dyDescent="0.2">
      <c r="AF28742" s="679"/>
    </row>
    <row r="28743" spans="32:32" x14ac:dyDescent="0.2">
      <c r="AF28743" s="679"/>
    </row>
    <row r="28744" spans="32:32" x14ac:dyDescent="0.2">
      <c r="AF28744" s="679"/>
    </row>
    <row r="28745" spans="32:32" x14ac:dyDescent="0.2">
      <c r="AF28745" s="679"/>
    </row>
    <row r="28746" spans="32:32" x14ac:dyDescent="0.2">
      <c r="AF28746" s="679"/>
    </row>
    <row r="28747" spans="32:32" x14ac:dyDescent="0.2">
      <c r="AF28747" s="679"/>
    </row>
    <row r="28748" spans="32:32" x14ac:dyDescent="0.2">
      <c r="AF28748" s="679"/>
    </row>
    <row r="28749" spans="32:32" x14ac:dyDescent="0.2">
      <c r="AF28749" s="679"/>
    </row>
    <row r="28750" spans="32:32" x14ac:dyDescent="0.2">
      <c r="AF28750" s="679"/>
    </row>
    <row r="28751" spans="32:32" x14ac:dyDescent="0.2">
      <c r="AF28751" s="679"/>
    </row>
    <row r="28752" spans="32:32" x14ac:dyDescent="0.2">
      <c r="AF28752" s="679"/>
    </row>
    <row r="28753" spans="32:32" x14ac:dyDescent="0.2">
      <c r="AF28753" s="679"/>
    </row>
    <row r="28754" spans="32:32" x14ac:dyDescent="0.2">
      <c r="AF28754" s="679"/>
    </row>
    <row r="28755" spans="32:32" x14ac:dyDescent="0.2">
      <c r="AF28755" s="679"/>
    </row>
    <row r="28756" spans="32:32" x14ac:dyDescent="0.2">
      <c r="AF28756" s="679"/>
    </row>
    <row r="28757" spans="32:32" x14ac:dyDescent="0.2">
      <c r="AF28757" s="679"/>
    </row>
    <row r="28758" spans="32:32" x14ac:dyDescent="0.2">
      <c r="AF28758" s="679"/>
    </row>
    <row r="28759" spans="32:32" x14ac:dyDescent="0.2">
      <c r="AF28759" s="679"/>
    </row>
    <row r="28760" spans="32:32" x14ac:dyDescent="0.2">
      <c r="AF28760" s="679"/>
    </row>
    <row r="28761" spans="32:32" x14ac:dyDescent="0.2">
      <c r="AF28761" s="679"/>
    </row>
    <row r="28762" spans="32:32" x14ac:dyDescent="0.2">
      <c r="AF28762" s="679"/>
    </row>
    <row r="28763" spans="32:32" x14ac:dyDescent="0.2">
      <c r="AF28763" s="679"/>
    </row>
    <row r="28764" spans="32:32" x14ac:dyDescent="0.2">
      <c r="AF28764" s="679"/>
    </row>
    <row r="28765" spans="32:32" x14ac:dyDescent="0.2">
      <c r="AF28765" s="679"/>
    </row>
    <row r="28766" spans="32:32" x14ac:dyDescent="0.2">
      <c r="AF28766" s="679"/>
    </row>
    <row r="28767" spans="32:32" x14ac:dyDescent="0.2">
      <c r="AF28767" s="679"/>
    </row>
    <row r="28768" spans="32:32" x14ac:dyDescent="0.2">
      <c r="AF28768" s="679"/>
    </row>
    <row r="28769" spans="32:32" x14ac:dyDescent="0.2">
      <c r="AF28769" s="679"/>
    </row>
    <row r="28770" spans="32:32" x14ac:dyDescent="0.2">
      <c r="AF28770" s="679"/>
    </row>
    <row r="28771" spans="32:32" x14ac:dyDescent="0.2">
      <c r="AF28771" s="679"/>
    </row>
    <row r="28772" spans="32:32" x14ac:dyDescent="0.2">
      <c r="AF28772" s="679"/>
    </row>
    <row r="28773" spans="32:32" x14ac:dyDescent="0.2">
      <c r="AF28773" s="679"/>
    </row>
    <row r="28774" spans="32:32" x14ac:dyDescent="0.2">
      <c r="AF28774" s="679"/>
    </row>
    <row r="28775" spans="32:32" x14ac:dyDescent="0.2">
      <c r="AF28775" s="679"/>
    </row>
    <row r="28776" spans="32:32" x14ac:dyDescent="0.2">
      <c r="AF28776" s="679"/>
    </row>
    <row r="28777" spans="32:32" x14ac:dyDescent="0.2">
      <c r="AF28777" s="679"/>
    </row>
    <row r="28778" spans="32:32" x14ac:dyDescent="0.2">
      <c r="AF28778" s="679"/>
    </row>
    <row r="28779" spans="32:32" x14ac:dyDescent="0.2">
      <c r="AF28779" s="679"/>
    </row>
    <row r="28780" spans="32:32" x14ac:dyDescent="0.2">
      <c r="AF28780" s="679"/>
    </row>
    <row r="28781" spans="32:32" x14ac:dyDescent="0.2">
      <c r="AF28781" s="679"/>
    </row>
    <row r="28782" spans="32:32" x14ac:dyDescent="0.2">
      <c r="AF28782" s="679"/>
    </row>
    <row r="28783" spans="32:32" x14ac:dyDescent="0.2">
      <c r="AF28783" s="679"/>
    </row>
    <row r="28784" spans="32:32" x14ac:dyDescent="0.2">
      <c r="AF28784" s="679"/>
    </row>
    <row r="28785" spans="32:32" x14ac:dyDescent="0.2">
      <c r="AF28785" s="679"/>
    </row>
    <row r="28786" spans="32:32" x14ac:dyDescent="0.2">
      <c r="AF28786" s="679"/>
    </row>
    <row r="28787" spans="32:32" x14ac:dyDescent="0.2">
      <c r="AF28787" s="679"/>
    </row>
    <row r="28788" spans="32:32" x14ac:dyDescent="0.2">
      <c r="AF28788" s="679"/>
    </row>
    <row r="28789" spans="32:32" x14ac:dyDescent="0.2">
      <c r="AF28789" s="679"/>
    </row>
    <row r="28790" spans="32:32" x14ac:dyDescent="0.2">
      <c r="AF28790" s="679"/>
    </row>
    <row r="28791" spans="32:32" x14ac:dyDescent="0.2">
      <c r="AF28791" s="679"/>
    </row>
    <row r="28792" spans="32:32" x14ac:dyDescent="0.2">
      <c r="AF28792" s="679"/>
    </row>
    <row r="28793" spans="32:32" x14ac:dyDescent="0.2">
      <c r="AF28793" s="679"/>
    </row>
    <row r="28794" spans="32:32" x14ac:dyDescent="0.2">
      <c r="AF28794" s="679"/>
    </row>
    <row r="28795" spans="32:32" x14ac:dyDescent="0.2">
      <c r="AF28795" s="679"/>
    </row>
    <row r="28796" spans="32:32" x14ac:dyDescent="0.2">
      <c r="AF28796" s="679"/>
    </row>
    <row r="28797" spans="32:32" x14ac:dyDescent="0.2">
      <c r="AF28797" s="679"/>
    </row>
    <row r="28798" spans="32:32" x14ac:dyDescent="0.2">
      <c r="AF28798" s="679"/>
    </row>
    <row r="28799" spans="32:32" x14ac:dyDescent="0.2">
      <c r="AF28799" s="679"/>
    </row>
    <row r="28800" spans="32:32" x14ac:dyDescent="0.2">
      <c r="AF28800" s="679"/>
    </row>
    <row r="28801" spans="32:32" x14ac:dyDescent="0.2">
      <c r="AF28801" s="679"/>
    </row>
    <row r="28802" spans="32:32" x14ac:dyDescent="0.2">
      <c r="AF28802" s="679"/>
    </row>
    <row r="28803" spans="32:32" x14ac:dyDescent="0.2">
      <c r="AF28803" s="679"/>
    </row>
    <row r="28804" spans="32:32" x14ac:dyDescent="0.2">
      <c r="AF28804" s="679"/>
    </row>
    <row r="28805" spans="32:32" x14ac:dyDescent="0.2">
      <c r="AF28805" s="679"/>
    </row>
    <row r="28806" spans="32:32" x14ac:dyDescent="0.2">
      <c r="AF28806" s="679"/>
    </row>
    <row r="28807" spans="32:32" x14ac:dyDescent="0.2">
      <c r="AF28807" s="679"/>
    </row>
    <row r="28808" spans="32:32" x14ac:dyDescent="0.2">
      <c r="AF28808" s="679"/>
    </row>
    <row r="28809" spans="32:32" x14ac:dyDescent="0.2">
      <c r="AF28809" s="679"/>
    </row>
    <row r="28810" spans="32:32" x14ac:dyDescent="0.2">
      <c r="AF28810" s="679"/>
    </row>
    <row r="28811" spans="32:32" x14ac:dyDescent="0.2">
      <c r="AF28811" s="679"/>
    </row>
    <row r="28812" spans="32:32" x14ac:dyDescent="0.2">
      <c r="AF28812" s="679"/>
    </row>
    <row r="28813" spans="32:32" x14ac:dyDescent="0.2">
      <c r="AF28813" s="679"/>
    </row>
    <row r="28814" spans="32:32" x14ac:dyDescent="0.2">
      <c r="AF28814" s="679"/>
    </row>
    <row r="28815" spans="32:32" x14ac:dyDescent="0.2">
      <c r="AF28815" s="679"/>
    </row>
    <row r="28816" spans="32:32" x14ac:dyDescent="0.2">
      <c r="AF28816" s="679"/>
    </row>
    <row r="28817" spans="32:32" x14ac:dyDescent="0.2">
      <c r="AF28817" s="679"/>
    </row>
    <row r="28818" spans="32:32" x14ac:dyDescent="0.2">
      <c r="AF28818" s="679"/>
    </row>
    <row r="28819" spans="32:32" x14ac:dyDescent="0.2">
      <c r="AF28819" s="679"/>
    </row>
    <row r="28820" spans="32:32" x14ac:dyDescent="0.2">
      <c r="AF28820" s="679"/>
    </row>
    <row r="28821" spans="32:32" x14ac:dyDescent="0.2">
      <c r="AF28821" s="679"/>
    </row>
    <row r="28822" spans="32:32" x14ac:dyDescent="0.2">
      <c r="AF28822" s="679"/>
    </row>
    <row r="28823" spans="32:32" x14ac:dyDescent="0.2">
      <c r="AF28823" s="679"/>
    </row>
    <row r="28824" spans="32:32" x14ac:dyDescent="0.2">
      <c r="AF28824" s="679"/>
    </row>
    <row r="28825" spans="32:32" x14ac:dyDescent="0.2">
      <c r="AF28825" s="679"/>
    </row>
    <row r="28826" spans="32:32" x14ac:dyDescent="0.2">
      <c r="AF28826" s="679"/>
    </row>
    <row r="28827" spans="32:32" x14ac:dyDescent="0.2">
      <c r="AF28827" s="679"/>
    </row>
    <row r="28828" spans="32:32" x14ac:dyDescent="0.2">
      <c r="AF28828" s="679"/>
    </row>
    <row r="28829" spans="32:32" x14ac:dyDescent="0.2">
      <c r="AF28829" s="679"/>
    </row>
    <row r="28830" spans="32:32" x14ac:dyDescent="0.2">
      <c r="AF28830" s="679"/>
    </row>
    <row r="28831" spans="32:32" x14ac:dyDescent="0.2">
      <c r="AF28831" s="679"/>
    </row>
    <row r="28832" spans="32:32" x14ac:dyDescent="0.2">
      <c r="AF28832" s="679"/>
    </row>
    <row r="28833" spans="32:32" x14ac:dyDescent="0.2">
      <c r="AF28833" s="679"/>
    </row>
    <row r="28834" spans="32:32" x14ac:dyDescent="0.2">
      <c r="AF28834" s="679"/>
    </row>
    <row r="28835" spans="32:32" x14ac:dyDescent="0.2">
      <c r="AF28835" s="679"/>
    </row>
    <row r="28836" spans="32:32" x14ac:dyDescent="0.2">
      <c r="AF28836" s="679"/>
    </row>
    <row r="28837" spans="32:32" x14ac:dyDescent="0.2">
      <c r="AF28837" s="679"/>
    </row>
    <row r="28838" spans="32:32" x14ac:dyDescent="0.2">
      <c r="AF28838" s="679"/>
    </row>
    <row r="28839" spans="32:32" x14ac:dyDescent="0.2">
      <c r="AF28839" s="679"/>
    </row>
    <row r="28840" spans="32:32" x14ac:dyDescent="0.2">
      <c r="AF28840" s="679"/>
    </row>
    <row r="28841" spans="32:32" x14ac:dyDescent="0.2">
      <c r="AF28841" s="679"/>
    </row>
    <row r="28842" spans="32:32" x14ac:dyDescent="0.2">
      <c r="AF28842" s="679"/>
    </row>
    <row r="28843" spans="32:32" x14ac:dyDescent="0.2">
      <c r="AF28843" s="679"/>
    </row>
    <row r="28844" spans="32:32" x14ac:dyDescent="0.2">
      <c r="AF28844" s="679"/>
    </row>
    <row r="28845" spans="32:32" x14ac:dyDescent="0.2">
      <c r="AF28845" s="679"/>
    </row>
    <row r="28846" spans="32:32" x14ac:dyDescent="0.2">
      <c r="AF28846" s="679"/>
    </row>
    <row r="28847" spans="32:32" x14ac:dyDescent="0.2">
      <c r="AF28847" s="679"/>
    </row>
    <row r="28848" spans="32:32" x14ac:dyDescent="0.2">
      <c r="AF28848" s="679"/>
    </row>
    <row r="28849" spans="32:32" x14ac:dyDescent="0.2">
      <c r="AF28849" s="679"/>
    </row>
    <row r="28850" spans="32:32" x14ac:dyDescent="0.2">
      <c r="AF28850" s="679"/>
    </row>
    <row r="28851" spans="32:32" x14ac:dyDescent="0.2">
      <c r="AF28851" s="679"/>
    </row>
    <row r="28852" spans="32:32" x14ac:dyDescent="0.2">
      <c r="AF28852" s="679"/>
    </row>
    <row r="28853" spans="32:32" x14ac:dyDescent="0.2">
      <c r="AF28853" s="679"/>
    </row>
    <row r="28854" spans="32:32" x14ac:dyDescent="0.2">
      <c r="AF28854" s="679"/>
    </row>
    <row r="28855" spans="32:32" x14ac:dyDescent="0.2">
      <c r="AF28855" s="679"/>
    </row>
    <row r="28856" spans="32:32" x14ac:dyDescent="0.2">
      <c r="AF28856" s="679"/>
    </row>
    <row r="28857" spans="32:32" x14ac:dyDescent="0.2">
      <c r="AF28857" s="679"/>
    </row>
    <row r="28858" spans="32:32" x14ac:dyDescent="0.2">
      <c r="AF28858" s="679"/>
    </row>
    <row r="28859" spans="32:32" x14ac:dyDescent="0.2">
      <c r="AF28859" s="679"/>
    </row>
    <row r="28860" spans="32:32" x14ac:dyDescent="0.2">
      <c r="AF28860" s="679"/>
    </row>
    <row r="28861" spans="32:32" x14ac:dyDescent="0.2">
      <c r="AF28861" s="679"/>
    </row>
    <row r="28862" spans="32:32" x14ac:dyDescent="0.2">
      <c r="AF28862" s="679"/>
    </row>
    <row r="28863" spans="32:32" x14ac:dyDescent="0.2">
      <c r="AF28863" s="679"/>
    </row>
    <row r="28864" spans="32:32" x14ac:dyDescent="0.2">
      <c r="AF28864" s="679"/>
    </row>
    <row r="28865" spans="32:32" x14ac:dyDescent="0.2">
      <c r="AF28865" s="679"/>
    </row>
    <row r="28866" spans="32:32" x14ac:dyDescent="0.2">
      <c r="AF28866" s="679"/>
    </row>
    <row r="28867" spans="32:32" x14ac:dyDescent="0.2">
      <c r="AF28867" s="679"/>
    </row>
    <row r="28868" spans="32:32" x14ac:dyDescent="0.2">
      <c r="AF28868" s="679"/>
    </row>
    <row r="28869" spans="32:32" x14ac:dyDescent="0.2">
      <c r="AF28869" s="679"/>
    </row>
    <row r="28870" spans="32:32" x14ac:dyDescent="0.2">
      <c r="AF28870" s="679"/>
    </row>
    <row r="28871" spans="32:32" x14ac:dyDescent="0.2">
      <c r="AF28871" s="679"/>
    </row>
    <row r="28872" spans="32:32" x14ac:dyDescent="0.2">
      <c r="AF28872" s="679"/>
    </row>
    <row r="28873" spans="32:32" x14ac:dyDescent="0.2">
      <c r="AF28873" s="679"/>
    </row>
    <row r="28874" spans="32:32" x14ac:dyDescent="0.2">
      <c r="AF28874" s="679"/>
    </row>
    <row r="28875" spans="32:32" x14ac:dyDescent="0.2">
      <c r="AF28875" s="679"/>
    </row>
    <row r="28876" spans="32:32" x14ac:dyDescent="0.2">
      <c r="AF28876" s="679"/>
    </row>
    <row r="28877" spans="32:32" x14ac:dyDescent="0.2">
      <c r="AF28877" s="679"/>
    </row>
    <row r="28878" spans="32:32" x14ac:dyDescent="0.2">
      <c r="AF28878" s="679"/>
    </row>
    <row r="28879" spans="32:32" x14ac:dyDescent="0.2">
      <c r="AF28879" s="679"/>
    </row>
    <row r="28880" spans="32:32" x14ac:dyDescent="0.2">
      <c r="AF28880" s="679"/>
    </row>
    <row r="28881" spans="32:32" x14ac:dyDescent="0.2">
      <c r="AF28881" s="679"/>
    </row>
    <row r="28882" spans="32:32" x14ac:dyDescent="0.2">
      <c r="AF28882" s="679"/>
    </row>
    <row r="28883" spans="32:32" x14ac:dyDescent="0.2">
      <c r="AF28883" s="679"/>
    </row>
    <row r="28884" spans="32:32" x14ac:dyDescent="0.2">
      <c r="AF28884" s="679"/>
    </row>
    <row r="28885" spans="32:32" x14ac:dyDescent="0.2">
      <c r="AF28885" s="679"/>
    </row>
    <row r="28886" spans="32:32" x14ac:dyDescent="0.2">
      <c r="AF28886" s="679"/>
    </row>
    <row r="28887" spans="32:32" x14ac:dyDescent="0.2">
      <c r="AF28887" s="679"/>
    </row>
    <row r="28888" spans="32:32" x14ac:dyDescent="0.2">
      <c r="AF28888" s="679"/>
    </row>
    <row r="28889" spans="32:32" x14ac:dyDescent="0.2">
      <c r="AF28889" s="679"/>
    </row>
    <row r="28890" spans="32:32" x14ac:dyDescent="0.2">
      <c r="AF28890" s="679"/>
    </row>
    <row r="28891" spans="32:32" x14ac:dyDescent="0.2">
      <c r="AF28891" s="679"/>
    </row>
    <row r="28892" spans="32:32" x14ac:dyDescent="0.2">
      <c r="AF28892" s="679"/>
    </row>
    <row r="28893" spans="32:32" x14ac:dyDescent="0.2">
      <c r="AF28893" s="679"/>
    </row>
    <row r="28894" spans="32:32" x14ac:dyDescent="0.2">
      <c r="AF28894" s="679"/>
    </row>
    <row r="28895" spans="32:32" x14ac:dyDescent="0.2">
      <c r="AF28895" s="679"/>
    </row>
    <row r="28896" spans="32:32" x14ac:dyDescent="0.2">
      <c r="AF28896" s="679"/>
    </row>
    <row r="28897" spans="32:32" x14ac:dyDescent="0.2">
      <c r="AF28897" s="679"/>
    </row>
    <row r="28898" spans="32:32" x14ac:dyDescent="0.2">
      <c r="AF28898" s="679"/>
    </row>
    <row r="28899" spans="32:32" x14ac:dyDescent="0.2">
      <c r="AF28899" s="679"/>
    </row>
    <row r="28900" spans="32:32" x14ac:dyDescent="0.2">
      <c r="AF28900" s="679"/>
    </row>
    <row r="28901" spans="32:32" x14ac:dyDescent="0.2">
      <c r="AF28901" s="679"/>
    </row>
    <row r="28902" spans="32:32" x14ac:dyDescent="0.2">
      <c r="AF28902" s="679"/>
    </row>
    <row r="28903" spans="32:32" x14ac:dyDescent="0.2">
      <c r="AF28903" s="679"/>
    </row>
    <row r="28904" spans="32:32" x14ac:dyDescent="0.2">
      <c r="AF28904" s="679"/>
    </row>
    <row r="28905" spans="32:32" x14ac:dyDescent="0.2">
      <c r="AF28905" s="679"/>
    </row>
    <row r="28906" spans="32:32" x14ac:dyDescent="0.2">
      <c r="AF28906" s="679"/>
    </row>
    <row r="28907" spans="32:32" x14ac:dyDescent="0.2">
      <c r="AF28907" s="679"/>
    </row>
    <row r="28908" spans="32:32" x14ac:dyDescent="0.2">
      <c r="AF28908" s="679"/>
    </row>
    <row r="28909" spans="32:32" x14ac:dyDescent="0.2">
      <c r="AF28909" s="679"/>
    </row>
    <row r="28910" spans="32:32" x14ac:dyDescent="0.2">
      <c r="AF28910" s="679"/>
    </row>
    <row r="28911" spans="32:32" x14ac:dyDescent="0.2">
      <c r="AF28911" s="679"/>
    </row>
    <row r="28912" spans="32:32" x14ac:dyDescent="0.2">
      <c r="AF28912" s="679"/>
    </row>
    <row r="28913" spans="32:32" x14ac:dyDescent="0.2">
      <c r="AF28913" s="679"/>
    </row>
    <row r="28914" spans="32:32" x14ac:dyDescent="0.2">
      <c r="AF28914" s="679"/>
    </row>
    <row r="28915" spans="32:32" x14ac:dyDescent="0.2">
      <c r="AF28915" s="679"/>
    </row>
    <row r="28916" spans="32:32" x14ac:dyDescent="0.2">
      <c r="AF28916" s="679"/>
    </row>
    <row r="28917" spans="32:32" x14ac:dyDescent="0.2">
      <c r="AF28917" s="679"/>
    </row>
    <row r="28918" spans="32:32" x14ac:dyDescent="0.2">
      <c r="AF28918" s="679"/>
    </row>
    <row r="28919" spans="32:32" x14ac:dyDescent="0.2">
      <c r="AF28919" s="679"/>
    </row>
    <row r="28920" spans="32:32" x14ac:dyDescent="0.2">
      <c r="AF28920" s="679"/>
    </row>
    <row r="28921" spans="32:32" x14ac:dyDescent="0.2">
      <c r="AF28921" s="679"/>
    </row>
    <row r="28922" spans="32:32" x14ac:dyDescent="0.2">
      <c r="AF28922" s="679"/>
    </row>
    <row r="28923" spans="32:32" x14ac:dyDescent="0.2">
      <c r="AF28923" s="679"/>
    </row>
    <row r="28924" spans="32:32" x14ac:dyDescent="0.2">
      <c r="AF28924" s="679"/>
    </row>
    <row r="28925" spans="32:32" x14ac:dyDescent="0.2">
      <c r="AF28925" s="679"/>
    </row>
    <row r="28926" spans="32:32" x14ac:dyDescent="0.2">
      <c r="AF28926" s="679"/>
    </row>
    <row r="28927" spans="32:32" x14ac:dyDescent="0.2">
      <c r="AF28927" s="679"/>
    </row>
    <row r="28928" spans="32:32" x14ac:dyDescent="0.2">
      <c r="AF28928" s="679"/>
    </row>
    <row r="28929" spans="32:32" x14ac:dyDescent="0.2">
      <c r="AF28929" s="679"/>
    </row>
    <row r="28930" spans="32:32" x14ac:dyDescent="0.2">
      <c r="AF28930" s="679"/>
    </row>
    <row r="28931" spans="32:32" x14ac:dyDescent="0.2">
      <c r="AF28931" s="679"/>
    </row>
    <row r="28932" spans="32:32" x14ac:dyDescent="0.2">
      <c r="AF28932" s="679"/>
    </row>
    <row r="28933" spans="32:32" x14ac:dyDescent="0.2">
      <c r="AF28933" s="679"/>
    </row>
    <row r="28934" spans="32:32" x14ac:dyDescent="0.2">
      <c r="AF28934" s="679"/>
    </row>
    <row r="28935" spans="32:32" x14ac:dyDescent="0.2">
      <c r="AF28935" s="679"/>
    </row>
    <row r="28936" spans="32:32" x14ac:dyDescent="0.2">
      <c r="AF28936" s="679"/>
    </row>
    <row r="28937" spans="32:32" x14ac:dyDescent="0.2">
      <c r="AF28937" s="679"/>
    </row>
    <row r="28938" spans="32:32" x14ac:dyDescent="0.2">
      <c r="AF28938" s="679"/>
    </row>
    <row r="28939" spans="32:32" x14ac:dyDescent="0.2">
      <c r="AF28939" s="679"/>
    </row>
    <row r="28940" spans="32:32" x14ac:dyDescent="0.2">
      <c r="AF28940" s="679"/>
    </row>
    <row r="28941" spans="32:32" x14ac:dyDescent="0.2">
      <c r="AF28941" s="679"/>
    </row>
    <row r="28942" spans="32:32" x14ac:dyDescent="0.2">
      <c r="AF28942" s="679"/>
    </row>
    <row r="28943" spans="32:32" x14ac:dyDescent="0.2">
      <c r="AF28943" s="679"/>
    </row>
    <row r="28944" spans="32:32" x14ac:dyDescent="0.2">
      <c r="AF28944" s="679"/>
    </row>
    <row r="28945" spans="32:32" x14ac:dyDescent="0.2">
      <c r="AF28945" s="679"/>
    </row>
    <row r="28946" spans="32:32" x14ac:dyDescent="0.2">
      <c r="AF28946" s="679"/>
    </row>
    <row r="28947" spans="32:32" x14ac:dyDescent="0.2">
      <c r="AF28947" s="679"/>
    </row>
    <row r="28948" spans="32:32" x14ac:dyDescent="0.2">
      <c r="AF28948" s="679"/>
    </row>
    <row r="28949" spans="32:32" x14ac:dyDescent="0.2">
      <c r="AF28949" s="679"/>
    </row>
    <row r="28950" spans="32:32" x14ac:dyDescent="0.2">
      <c r="AF28950" s="679"/>
    </row>
    <row r="28951" spans="32:32" x14ac:dyDescent="0.2">
      <c r="AF28951" s="679"/>
    </row>
    <row r="28952" spans="32:32" x14ac:dyDescent="0.2">
      <c r="AF28952" s="679"/>
    </row>
    <row r="28953" spans="32:32" x14ac:dyDescent="0.2">
      <c r="AF28953" s="679"/>
    </row>
    <row r="28954" spans="32:32" x14ac:dyDescent="0.2">
      <c r="AF28954" s="679"/>
    </row>
    <row r="28955" spans="32:32" x14ac:dyDescent="0.2">
      <c r="AF28955" s="679"/>
    </row>
    <row r="28956" spans="32:32" x14ac:dyDescent="0.2">
      <c r="AF28956" s="679"/>
    </row>
    <row r="28957" spans="32:32" x14ac:dyDescent="0.2">
      <c r="AF28957" s="679"/>
    </row>
    <row r="28958" spans="32:32" x14ac:dyDescent="0.2">
      <c r="AF28958" s="679"/>
    </row>
    <row r="28959" spans="32:32" x14ac:dyDescent="0.2">
      <c r="AF28959" s="679"/>
    </row>
    <row r="28960" spans="32:32" x14ac:dyDescent="0.2">
      <c r="AF28960" s="679"/>
    </row>
    <row r="28961" spans="32:32" x14ac:dyDescent="0.2">
      <c r="AF28961" s="679"/>
    </row>
    <row r="28962" spans="32:32" x14ac:dyDescent="0.2">
      <c r="AF28962" s="679"/>
    </row>
    <row r="28963" spans="32:32" x14ac:dyDescent="0.2">
      <c r="AF28963" s="679"/>
    </row>
    <row r="28964" spans="32:32" x14ac:dyDescent="0.2">
      <c r="AF28964" s="679"/>
    </row>
    <row r="28965" spans="32:32" x14ac:dyDescent="0.2">
      <c r="AF28965" s="679"/>
    </row>
    <row r="28966" spans="32:32" x14ac:dyDescent="0.2">
      <c r="AF28966" s="679"/>
    </row>
    <row r="28967" spans="32:32" x14ac:dyDescent="0.2">
      <c r="AF28967" s="679"/>
    </row>
    <row r="28968" spans="32:32" x14ac:dyDescent="0.2">
      <c r="AF28968" s="679"/>
    </row>
    <row r="28969" spans="32:32" x14ac:dyDescent="0.2">
      <c r="AF28969" s="679"/>
    </row>
    <row r="28970" spans="32:32" x14ac:dyDescent="0.2">
      <c r="AF28970" s="679"/>
    </row>
    <row r="28971" spans="32:32" x14ac:dyDescent="0.2">
      <c r="AF28971" s="679"/>
    </row>
    <row r="28972" spans="32:32" x14ac:dyDescent="0.2">
      <c r="AF28972" s="679"/>
    </row>
    <row r="28973" spans="32:32" x14ac:dyDescent="0.2">
      <c r="AF28973" s="679"/>
    </row>
    <row r="28974" spans="32:32" x14ac:dyDescent="0.2">
      <c r="AF28974" s="679"/>
    </row>
    <row r="28975" spans="32:32" x14ac:dyDescent="0.2">
      <c r="AF28975" s="679"/>
    </row>
    <row r="28976" spans="32:32" x14ac:dyDescent="0.2">
      <c r="AF28976" s="679"/>
    </row>
    <row r="28977" spans="32:32" x14ac:dyDescent="0.2">
      <c r="AF28977" s="679"/>
    </row>
    <row r="28978" spans="32:32" x14ac:dyDescent="0.2">
      <c r="AF28978" s="679"/>
    </row>
    <row r="28979" spans="32:32" x14ac:dyDescent="0.2">
      <c r="AF28979" s="679"/>
    </row>
    <row r="28980" spans="32:32" x14ac:dyDescent="0.2">
      <c r="AF28980" s="679"/>
    </row>
    <row r="28981" spans="32:32" x14ac:dyDescent="0.2">
      <c r="AF28981" s="679"/>
    </row>
    <row r="28982" spans="32:32" x14ac:dyDescent="0.2">
      <c r="AF28982" s="679"/>
    </row>
    <row r="28983" spans="32:32" x14ac:dyDescent="0.2">
      <c r="AF28983" s="679"/>
    </row>
    <row r="28984" spans="32:32" x14ac:dyDescent="0.2">
      <c r="AF28984" s="679"/>
    </row>
    <row r="28985" spans="32:32" x14ac:dyDescent="0.2">
      <c r="AF28985" s="679"/>
    </row>
    <row r="28986" spans="32:32" x14ac:dyDescent="0.2">
      <c r="AF28986" s="679"/>
    </row>
    <row r="28987" spans="32:32" x14ac:dyDescent="0.2">
      <c r="AF28987" s="679"/>
    </row>
    <row r="28988" spans="32:32" x14ac:dyDescent="0.2">
      <c r="AF28988" s="679"/>
    </row>
    <row r="28989" spans="32:32" x14ac:dyDescent="0.2">
      <c r="AF28989" s="679"/>
    </row>
    <row r="28990" spans="32:32" x14ac:dyDescent="0.2">
      <c r="AF28990" s="679"/>
    </row>
    <row r="28991" spans="32:32" x14ac:dyDescent="0.2">
      <c r="AF28991" s="679"/>
    </row>
    <row r="28992" spans="32:32" x14ac:dyDescent="0.2">
      <c r="AF28992" s="679"/>
    </row>
    <row r="28993" spans="32:32" x14ac:dyDescent="0.2">
      <c r="AF28993" s="679"/>
    </row>
    <row r="28994" spans="32:32" x14ac:dyDescent="0.2">
      <c r="AF28994" s="679"/>
    </row>
    <row r="28995" spans="32:32" x14ac:dyDescent="0.2">
      <c r="AF28995" s="679"/>
    </row>
    <row r="28996" spans="32:32" x14ac:dyDescent="0.2">
      <c r="AF28996" s="679"/>
    </row>
    <row r="28997" spans="32:32" x14ac:dyDescent="0.2">
      <c r="AF28997" s="679"/>
    </row>
    <row r="28998" spans="32:32" x14ac:dyDescent="0.2">
      <c r="AF28998" s="679"/>
    </row>
    <row r="28999" spans="32:32" x14ac:dyDescent="0.2">
      <c r="AF28999" s="679"/>
    </row>
    <row r="29000" spans="32:32" x14ac:dyDescent="0.2">
      <c r="AF29000" s="679"/>
    </row>
    <row r="29001" spans="32:32" x14ac:dyDescent="0.2">
      <c r="AF29001" s="679"/>
    </row>
    <row r="29002" spans="32:32" x14ac:dyDescent="0.2">
      <c r="AF29002" s="679"/>
    </row>
    <row r="29003" spans="32:32" x14ac:dyDescent="0.2">
      <c r="AF29003" s="679"/>
    </row>
    <row r="29004" spans="32:32" x14ac:dyDescent="0.2">
      <c r="AF29004" s="679"/>
    </row>
    <row r="29005" spans="32:32" x14ac:dyDescent="0.2">
      <c r="AF29005" s="679"/>
    </row>
    <row r="29006" spans="32:32" x14ac:dyDescent="0.2">
      <c r="AF29006" s="679"/>
    </row>
    <row r="29007" spans="32:32" x14ac:dyDescent="0.2">
      <c r="AF29007" s="679"/>
    </row>
    <row r="29008" spans="32:32" x14ac:dyDescent="0.2">
      <c r="AF29008" s="679"/>
    </row>
    <row r="29009" spans="32:32" x14ac:dyDescent="0.2">
      <c r="AF29009" s="679"/>
    </row>
    <row r="29010" spans="32:32" x14ac:dyDescent="0.2">
      <c r="AF29010" s="679"/>
    </row>
    <row r="29011" spans="32:32" x14ac:dyDescent="0.2">
      <c r="AF29011" s="679"/>
    </row>
    <row r="29012" spans="32:32" x14ac:dyDescent="0.2">
      <c r="AF29012" s="679"/>
    </row>
    <row r="29013" spans="32:32" x14ac:dyDescent="0.2">
      <c r="AF29013" s="679"/>
    </row>
    <row r="29014" spans="32:32" x14ac:dyDescent="0.2">
      <c r="AF29014" s="679"/>
    </row>
    <row r="29015" spans="32:32" x14ac:dyDescent="0.2">
      <c r="AF29015" s="679"/>
    </row>
    <row r="29016" spans="32:32" x14ac:dyDescent="0.2">
      <c r="AF29016" s="679"/>
    </row>
    <row r="29017" spans="32:32" x14ac:dyDescent="0.2">
      <c r="AF29017" s="679"/>
    </row>
    <row r="29018" spans="32:32" x14ac:dyDescent="0.2">
      <c r="AF29018" s="679"/>
    </row>
    <row r="29019" spans="32:32" x14ac:dyDescent="0.2">
      <c r="AF29019" s="679"/>
    </row>
    <row r="29020" spans="32:32" x14ac:dyDescent="0.2">
      <c r="AF29020" s="679"/>
    </row>
    <row r="29021" spans="32:32" x14ac:dyDescent="0.2">
      <c r="AF29021" s="679"/>
    </row>
    <row r="29022" spans="32:32" x14ac:dyDescent="0.2">
      <c r="AF29022" s="679"/>
    </row>
    <row r="29023" spans="32:32" x14ac:dyDescent="0.2">
      <c r="AF29023" s="679"/>
    </row>
    <row r="29024" spans="32:32" x14ac:dyDescent="0.2">
      <c r="AF29024" s="679"/>
    </row>
    <row r="29025" spans="32:32" x14ac:dyDescent="0.2">
      <c r="AF29025" s="679"/>
    </row>
    <row r="29026" spans="32:32" x14ac:dyDescent="0.2">
      <c r="AF29026" s="679"/>
    </row>
    <row r="29027" spans="32:32" x14ac:dyDescent="0.2">
      <c r="AF29027" s="679"/>
    </row>
    <row r="29028" spans="32:32" x14ac:dyDescent="0.2">
      <c r="AF29028" s="679"/>
    </row>
    <row r="29029" spans="32:32" x14ac:dyDescent="0.2">
      <c r="AF29029" s="679"/>
    </row>
    <row r="29030" spans="32:32" x14ac:dyDescent="0.2">
      <c r="AF29030" s="679"/>
    </row>
    <row r="29031" spans="32:32" x14ac:dyDescent="0.2">
      <c r="AF29031" s="679"/>
    </row>
    <row r="29032" spans="32:32" x14ac:dyDescent="0.2">
      <c r="AF29032" s="679"/>
    </row>
    <row r="29033" spans="32:32" x14ac:dyDescent="0.2">
      <c r="AF29033" s="679"/>
    </row>
    <row r="29034" spans="32:32" x14ac:dyDescent="0.2">
      <c r="AF29034" s="679"/>
    </row>
    <row r="29035" spans="32:32" x14ac:dyDescent="0.2">
      <c r="AF29035" s="679"/>
    </row>
    <row r="29036" spans="32:32" x14ac:dyDescent="0.2">
      <c r="AF29036" s="679"/>
    </row>
    <row r="29037" spans="32:32" x14ac:dyDescent="0.2">
      <c r="AF29037" s="679"/>
    </row>
    <row r="29038" spans="32:32" x14ac:dyDescent="0.2">
      <c r="AF29038" s="679"/>
    </row>
    <row r="29039" spans="32:32" x14ac:dyDescent="0.2">
      <c r="AF29039" s="679"/>
    </row>
    <row r="29040" spans="32:32" x14ac:dyDescent="0.2">
      <c r="AF29040" s="679"/>
    </row>
    <row r="29041" spans="32:32" x14ac:dyDescent="0.2">
      <c r="AF29041" s="679"/>
    </row>
    <row r="29042" spans="32:32" x14ac:dyDescent="0.2">
      <c r="AF29042" s="679"/>
    </row>
    <row r="29043" spans="32:32" x14ac:dyDescent="0.2">
      <c r="AF29043" s="679"/>
    </row>
    <row r="29044" spans="32:32" x14ac:dyDescent="0.2">
      <c r="AF29044" s="679"/>
    </row>
    <row r="29045" spans="32:32" x14ac:dyDescent="0.2">
      <c r="AF29045" s="679"/>
    </row>
    <row r="29046" spans="32:32" x14ac:dyDescent="0.2">
      <c r="AF29046" s="679"/>
    </row>
    <row r="29047" spans="32:32" x14ac:dyDescent="0.2">
      <c r="AF29047" s="679"/>
    </row>
    <row r="29048" spans="32:32" x14ac:dyDescent="0.2">
      <c r="AF29048" s="679"/>
    </row>
    <row r="29049" spans="32:32" x14ac:dyDescent="0.2">
      <c r="AF29049" s="679"/>
    </row>
    <row r="29050" spans="32:32" x14ac:dyDescent="0.2">
      <c r="AF29050" s="679"/>
    </row>
    <row r="29051" spans="32:32" x14ac:dyDescent="0.2">
      <c r="AF29051" s="679"/>
    </row>
    <row r="29052" spans="32:32" x14ac:dyDescent="0.2">
      <c r="AF29052" s="679"/>
    </row>
    <row r="29053" spans="32:32" x14ac:dyDescent="0.2">
      <c r="AF29053" s="679"/>
    </row>
    <row r="29054" spans="32:32" x14ac:dyDescent="0.2">
      <c r="AF29054" s="679"/>
    </row>
    <row r="29055" spans="32:32" x14ac:dyDescent="0.2">
      <c r="AF29055" s="679"/>
    </row>
    <row r="29056" spans="32:32" x14ac:dyDescent="0.2">
      <c r="AF29056" s="679"/>
    </row>
    <row r="29057" spans="32:32" x14ac:dyDescent="0.2">
      <c r="AF29057" s="679"/>
    </row>
    <row r="29058" spans="32:32" x14ac:dyDescent="0.2">
      <c r="AF29058" s="679"/>
    </row>
    <row r="29059" spans="32:32" x14ac:dyDescent="0.2">
      <c r="AF29059" s="679"/>
    </row>
    <row r="29060" spans="32:32" x14ac:dyDescent="0.2">
      <c r="AF29060" s="679"/>
    </row>
    <row r="29061" spans="32:32" x14ac:dyDescent="0.2">
      <c r="AF29061" s="679"/>
    </row>
    <row r="29062" spans="32:32" x14ac:dyDescent="0.2">
      <c r="AF29062" s="679"/>
    </row>
    <row r="29063" spans="32:32" x14ac:dyDescent="0.2">
      <c r="AF29063" s="679"/>
    </row>
    <row r="29064" spans="32:32" x14ac:dyDescent="0.2">
      <c r="AF29064" s="679"/>
    </row>
    <row r="29065" spans="32:32" x14ac:dyDescent="0.2">
      <c r="AF29065" s="679"/>
    </row>
    <row r="29066" spans="32:32" x14ac:dyDescent="0.2">
      <c r="AF29066" s="679"/>
    </row>
    <row r="29067" spans="32:32" x14ac:dyDescent="0.2">
      <c r="AF29067" s="679"/>
    </row>
    <row r="29068" spans="32:32" x14ac:dyDescent="0.2">
      <c r="AF29068" s="679"/>
    </row>
    <row r="29069" spans="32:32" x14ac:dyDescent="0.2">
      <c r="AF29069" s="679"/>
    </row>
    <row r="29070" spans="32:32" x14ac:dyDescent="0.2">
      <c r="AF29070" s="679"/>
    </row>
    <row r="29071" spans="32:32" x14ac:dyDescent="0.2">
      <c r="AF29071" s="679"/>
    </row>
    <row r="29072" spans="32:32" x14ac:dyDescent="0.2">
      <c r="AF29072" s="679"/>
    </row>
    <row r="29073" spans="32:32" x14ac:dyDescent="0.2">
      <c r="AF29073" s="679"/>
    </row>
    <row r="29074" spans="32:32" x14ac:dyDescent="0.2">
      <c r="AF29074" s="679"/>
    </row>
    <row r="29075" spans="32:32" x14ac:dyDescent="0.2">
      <c r="AF29075" s="679"/>
    </row>
    <row r="29076" spans="32:32" x14ac:dyDescent="0.2">
      <c r="AF29076" s="679"/>
    </row>
    <row r="29077" spans="32:32" x14ac:dyDescent="0.2">
      <c r="AF29077" s="679"/>
    </row>
    <row r="29078" spans="32:32" x14ac:dyDescent="0.2">
      <c r="AF29078" s="679"/>
    </row>
    <row r="29079" spans="32:32" x14ac:dyDescent="0.2">
      <c r="AF29079" s="679"/>
    </row>
    <row r="29080" spans="32:32" x14ac:dyDescent="0.2">
      <c r="AF29080" s="679"/>
    </row>
    <row r="29081" spans="32:32" x14ac:dyDescent="0.2">
      <c r="AF29081" s="679"/>
    </row>
    <row r="29082" spans="32:32" x14ac:dyDescent="0.2">
      <c r="AF29082" s="679"/>
    </row>
    <row r="29083" spans="32:32" x14ac:dyDescent="0.2">
      <c r="AF29083" s="679"/>
    </row>
    <row r="29084" spans="32:32" x14ac:dyDescent="0.2">
      <c r="AF29084" s="679"/>
    </row>
    <row r="29085" spans="32:32" x14ac:dyDescent="0.2">
      <c r="AF29085" s="679"/>
    </row>
    <row r="29086" spans="32:32" x14ac:dyDescent="0.2">
      <c r="AF29086" s="679"/>
    </row>
    <row r="29087" spans="32:32" x14ac:dyDescent="0.2">
      <c r="AF29087" s="679"/>
    </row>
    <row r="29088" spans="32:32" x14ac:dyDescent="0.2">
      <c r="AF29088" s="679"/>
    </row>
    <row r="29089" spans="32:32" x14ac:dyDescent="0.2">
      <c r="AF29089" s="679"/>
    </row>
    <row r="29090" spans="32:32" x14ac:dyDescent="0.2">
      <c r="AF29090" s="679"/>
    </row>
    <row r="29091" spans="32:32" x14ac:dyDescent="0.2">
      <c r="AF29091" s="679"/>
    </row>
    <row r="29092" spans="32:32" x14ac:dyDescent="0.2">
      <c r="AF29092" s="679"/>
    </row>
    <row r="29093" spans="32:32" x14ac:dyDescent="0.2">
      <c r="AF29093" s="679"/>
    </row>
    <row r="29094" spans="32:32" x14ac:dyDescent="0.2">
      <c r="AF29094" s="679"/>
    </row>
    <row r="29095" spans="32:32" x14ac:dyDescent="0.2">
      <c r="AF29095" s="679"/>
    </row>
    <row r="29096" spans="32:32" x14ac:dyDescent="0.2">
      <c r="AF29096" s="679"/>
    </row>
    <row r="29097" spans="32:32" x14ac:dyDescent="0.2">
      <c r="AF29097" s="679"/>
    </row>
    <row r="29098" spans="32:32" x14ac:dyDescent="0.2">
      <c r="AF29098" s="679"/>
    </row>
    <row r="29099" spans="32:32" x14ac:dyDescent="0.2">
      <c r="AF29099" s="679"/>
    </row>
    <row r="29100" spans="32:32" x14ac:dyDescent="0.2">
      <c r="AF29100" s="679"/>
    </row>
    <row r="29101" spans="32:32" x14ac:dyDescent="0.2">
      <c r="AF29101" s="679"/>
    </row>
    <row r="29102" spans="32:32" x14ac:dyDescent="0.2">
      <c r="AF29102" s="679"/>
    </row>
    <row r="29103" spans="32:32" x14ac:dyDescent="0.2">
      <c r="AF29103" s="679"/>
    </row>
    <row r="29104" spans="32:32" x14ac:dyDescent="0.2">
      <c r="AF29104" s="679"/>
    </row>
    <row r="29105" spans="32:32" x14ac:dyDescent="0.2">
      <c r="AF29105" s="679"/>
    </row>
    <row r="29106" spans="32:32" x14ac:dyDescent="0.2">
      <c r="AF29106" s="679"/>
    </row>
    <row r="29107" spans="32:32" x14ac:dyDescent="0.2">
      <c r="AF29107" s="679"/>
    </row>
    <row r="29108" spans="32:32" x14ac:dyDescent="0.2">
      <c r="AF29108" s="679"/>
    </row>
    <row r="29109" spans="32:32" x14ac:dyDescent="0.2">
      <c r="AF29109" s="679"/>
    </row>
    <row r="29110" spans="32:32" x14ac:dyDescent="0.2">
      <c r="AF29110" s="679"/>
    </row>
    <row r="29111" spans="32:32" x14ac:dyDescent="0.2">
      <c r="AF29111" s="679"/>
    </row>
    <row r="29112" spans="32:32" x14ac:dyDescent="0.2">
      <c r="AF29112" s="679"/>
    </row>
    <row r="29113" spans="32:32" x14ac:dyDescent="0.2">
      <c r="AF29113" s="679"/>
    </row>
    <row r="29114" spans="32:32" x14ac:dyDescent="0.2">
      <c r="AF29114" s="679"/>
    </row>
    <row r="29115" spans="32:32" x14ac:dyDescent="0.2">
      <c r="AF29115" s="679"/>
    </row>
    <row r="29116" spans="32:32" x14ac:dyDescent="0.2">
      <c r="AF29116" s="679"/>
    </row>
    <row r="29117" spans="32:32" x14ac:dyDescent="0.2">
      <c r="AF29117" s="679"/>
    </row>
    <row r="29118" spans="32:32" x14ac:dyDescent="0.2">
      <c r="AF29118" s="679"/>
    </row>
    <row r="29119" spans="32:32" x14ac:dyDescent="0.2">
      <c r="AF29119" s="679"/>
    </row>
    <row r="29120" spans="32:32" x14ac:dyDescent="0.2">
      <c r="AF29120" s="679"/>
    </row>
    <row r="29121" spans="32:32" x14ac:dyDescent="0.2">
      <c r="AF29121" s="679"/>
    </row>
    <row r="29122" spans="32:32" x14ac:dyDescent="0.2">
      <c r="AF29122" s="679"/>
    </row>
    <row r="29123" spans="32:32" x14ac:dyDescent="0.2">
      <c r="AF29123" s="679"/>
    </row>
    <row r="29124" spans="32:32" x14ac:dyDescent="0.2">
      <c r="AF29124" s="679"/>
    </row>
    <row r="29125" spans="32:32" x14ac:dyDescent="0.2">
      <c r="AF29125" s="679"/>
    </row>
    <row r="29126" spans="32:32" x14ac:dyDescent="0.2">
      <c r="AF29126" s="679"/>
    </row>
    <row r="29127" spans="32:32" x14ac:dyDescent="0.2">
      <c r="AF29127" s="679"/>
    </row>
    <row r="29128" spans="32:32" x14ac:dyDescent="0.2">
      <c r="AF29128" s="679"/>
    </row>
    <row r="29129" spans="32:32" x14ac:dyDescent="0.2">
      <c r="AF29129" s="679"/>
    </row>
    <row r="29130" spans="32:32" x14ac:dyDescent="0.2">
      <c r="AF29130" s="679"/>
    </row>
    <row r="29131" spans="32:32" x14ac:dyDescent="0.2">
      <c r="AF29131" s="679"/>
    </row>
    <row r="29132" spans="32:32" x14ac:dyDescent="0.2">
      <c r="AF29132" s="679"/>
    </row>
    <row r="29133" spans="32:32" x14ac:dyDescent="0.2">
      <c r="AF29133" s="679"/>
    </row>
    <row r="29134" spans="32:32" x14ac:dyDescent="0.2">
      <c r="AF29134" s="679"/>
    </row>
    <row r="29135" spans="32:32" x14ac:dyDescent="0.2">
      <c r="AF29135" s="679"/>
    </row>
    <row r="29136" spans="32:32" x14ac:dyDescent="0.2">
      <c r="AF29136" s="679"/>
    </row>
    <row r="29137" spans="32:32" x14ac:dyDescent="0.2">
      <c r="AF29137" s="679"/>
    </row>
    <row r="29138" spans="32:32" x14ac:dyDescent="0.2">
      <c r="AF29138" s="679"/>
    </row>
    <row r="29139" spans="32:32" x14ac:dyDescent="0.2">
      <c r="AF29139" s="679"/>
    </row>
    <row r="29140" spans="32:32" x14ac:dyDescent="0.2">
      <c r="AF29140" s="679"/>
    </row>
    <row r="29141" spans="32:32" x14ac:dyDescent="0.2">
      <c r="AF29141" s="679"/>
    </row>
    <row r="29142" spans="32:32" x14ac:dyDescent="0.2">
      <c r="AF29142" s="679"/>
    </row>
    <row r="29143" spans="32:32" x14ac:dyDescent="0.2">
      <c r="AF29143" s="679"/>
    </row>
    <row r="29144" spans="32:32" x14ac:dyDescent="0.2">
      <c r="AF29144" s="679"/>
    </row>
    <row r="29145" spans="32:32" x14ac:dyDescent="0.2">
      <c r="AF29145" s="679"/>
    </row>
    <row r="29146" spans="32:32" x14ac:dyDescent="0.2">
      <c r="AF29146" s="679"/>
    </row>
    <row r="29147" spans="32:32" x14ac:dyDescent="0.2">
      <c r="AF29147" s="679"/>
    </row>
    <row r="29148" spans="32:32" x14ac:dyDescent="0.2">
      <c r="AF29148" s="679"/>
    </row>
    <row r="29149" spans="32:32" x14ac:dyDescent="0.2">
      <c r="AF29149" s="679"/>
    </row>
    <row r="29150" spans="32:32" x14ac:dyDescent="0.2">
      <c r="AF29150" s="679"/>
    </row>
    <row r="29151" spans="32:32" x14ac:dyDescent="0.2">
      <c r="AF29151" s="679"/>
    </row>
    <row r="29152" spans="32:32" x14ac:dyDescent="0.2">
      <c r="AF29152" s="679"/>
    </row>
    <row r="29153" spans="32:32" x14ac:dyDescent="0.2">
      <c r="AF29153" s="679"/>
    </row>
    <row r="29154" spans="32:32" x14ac:dyDescent="0.2">
      <c r="AF29154" s="679"/>
    </row>
    <row r="29155" spans="32:32" x14ac:dyDescent="0.2">
      <c r="AF29155" s="679"/>
    </row>
    <row r="29156" spans="32:32" x14ac:dyDescent="0.2">
      <c r="AF29156" s="679"/>
    </row>
    <row r="29157" spans="32:32" x14ac:dyDescent="0.2">
      <c r="AF29157" s="679"/>
    </row>
    <row r="29158" spans="32:32" x14ac:dyDescent="0.2">
      <c r="AF29158" s="679"/>
    </row>
    <row r="29159" spans="32:32" x14ac:dyDescent="0.2">
      <c r="AF29159" s="679"/>
    </row>
    <row r="29160" spans="32:32" x14ac:dyDescent="0.2">
      <c r="AF29160" s="679"/>
    </row>
    <row r="29161" spans="32:32" x14ac:dyDescent="0.2">
      <c r="AF29161" s="679"/>
    </row>
    <row r="29162" spans="32:32" x14ac:dyDescent="0.2">
      <c r="AF29162" s="679"/>
    </row>
    <row r="29163" spans="32:32" x14ac:dyDescent="0.2">
      <c r="AF29163" s="679"/>
    </row>
    <row r="29164" spans="32:32" x14ac:dyDescent="0.2">
      <c r="AF29164" s="679"/>
    </row>
    <row r="29165" spans="32:32" x14ac:dyDescent="0.2">
      <c r="AF29165" s="679"/>
    </row>
    <row r="29166" spans="32:32" x14ac:dyDescent="0.2">
      <c r="AF29166" s="679"/>
    </row>
    <row r="29167" spans="32:32" x14ac:dyDescent="0.2">
      <c r="AF29167" s="679"/>
    </row>
    <row r="29168" spans="32:32" x14ac:dyDescent="0.2">
      <c r="AF29168" s="679"/>
    </row>
    <row r="29169" spans="32:32" x14ac:dyDescent="0.2">
      <c r="AF29169" s="679"/>
    </row>
    <row r="29170" spans="32:32" x14ac:dyDescent="0.2">
      <c r="AF29170" s="679"/>
    </row>
    <row r="29171" spans="32:32" x14ac:dyDescent="0.2">
      <c r="AF29171" s="679"/>
    </row>
    <row r="29172" spans="32:32" x14ac:dyDescent="0.2">
      <c r="AF29172" s="679"/>
    </row>
    <row r="29173" spans="32:32" x14ac:dyDescent="0.2">
      <c r="AF29173" s="679"/>
    </row>
    <row r="29174" spans="32:32" x14ac:dyDescent="0.2">
      <c r="AF29174" s="679"/>
    </row>
    <row r="29175" spans="32:32" x14ac:dyDescent="0.2">
      <c r="AF29175" s="679"/>
    </row>
    <row r="29176" spans="32:32" x14ac:dyDescent="0.2">
      <c r="AF29176" s="679"/>
    </row>
    <row r="29177" spans="32:32" x14ac:dyDescent="0.2">
      <c r="AF29177" s="679"/>
    </row>
    <row r="29178" spans="32:32" x14ac:dyDescent="0.2">
      <c r="AF29178" s="679"/>
    </row>
    <row r="29179" spans="32:32" x14ac:dyDescent="0.2">
      <c r="AF29179" s="679"/>
    </row>
    <row r="29180" spans="32:32" x14ac:dyDescent="0.2">
      <c r="AF29180" s="679"/>
    </row>
    <row r="29181" spans="32:32" x14ac:dyDescent="0.2">
      <c r="AF29181" s="679"/>
    </row>
    <row r="29182" spans="32:32" x14ac:dyDescent="0.2">
      <c r="AF29182" s="679"/>
    </row>
    <row r="29183" spans="32:32" x14ac:dyDescent="0.2">
      <c r="AF29183" s="679"/>
    </row>
    <row r="29184" spans="32:32" x14ac:dyDescent="0.2">
      <c r="AF29184" s="679"/>
    </row>
    <row r="29185" spans="32:32" x14ac:dyDescent="0.2">
      <c r="AF29185" s="679"/>
    </row>
    <row r="29186" spans="32:32" x14ac:dyDescent="0.2">
      <c r="AF29186" s="679"/>
    </row>
    <row r="29187" spans="32:32" x14ac:dyDescent="0.2">
      <c r="AF29187" s="679"/>
    </row>
    <row r="29188" spans="32:32" x14ac:dyDescent="0.2">
      <c r="AF29188" s="679"/>
    </row>
    <row r="29189" spans="32:32" x14ac:dyDescent="0.2">
      <c r="AF29189" s="679"/>
    </row>
    <row r="29190" spans="32:32" x14ac:dyDescent="0.2">
      <c r="AF29190" s="679"/>
    </row>
    <row r="29191" spans="32:32" x14ac:dyDescent="0.2">
      <c r="AF29191" s="679"/>
    </row>
    <row r="29192" spans="32:32" x14ac:dyDescent="0.2">
      <c r="AF29192" s="679"/>
    </row>
    <row r="29193" spans="32:32" x14ac:dyDescent="0.2">
      <c r="AF29193" s="679"/>
    </row>
    <row r="29194" spans="32:32" x14ac:dyDescent="0.2">
      <c r="AF29194" s="679"/>
    </row>
    <row r="29195" spans="32:32" x14ac:dyDescent="0.2">
      <c r="AF29195" s="679"/>
    </row>
    <row r="29196" spans="32:32" x14ac:dyDescent="0.2">
      <c r="AF29196" s="679"/>
    </row>
    <row r="29197" spans="32:32" x14ac:dyDescent="0.2">
      <c r="AF29197" s="679"/>
    </row>
    <row r="29198" spans="32:32" x14ac:dyDescent="0.2">
      <c r="AF29198" s="679"/>
    </row>
    <row r="29199" spans="32:32" x14ac:dyDescent="0.2">
      <c r="AF29199" s="679"/>
    </row>
    <row r="29200" spans="32:32" x14ac:dyDescent="0.2">
      <c r="AF29200" s="679"/>
    </row>
    <row r="29201" spans="32:32" x14ac:dyDescent="0.2">
      <c r="AF29201" s="679"/>
    </row>
    <row r="29202" spans="32:32" x14ac:dyDescent="0.2">
      <c r="AF29202" s="679"/>
    </row>
    <row r="29203" spans="32:32" x14ac:dyDescent="0.2">
      <c r="AF29203" s="679"/>
    </row>
    <row r="29204" spans="32:32" x14ac:dyDescent="0.2">
      <c r="AF29204" s="679"/>
    </row>
    <row r="29205" spans="32:32" x14ac:dyDescent="0.2">
      <c r="AF29205" s="679"/>
    </row>
    <row r="29206" spans="32:32" x14ac:dyDescent="0.2">
      <c r="AF29206" s="679"/>
    </row>
    <row r="29207" spans="32:32" x14ac:dyDescent="0.2">
      <c r="AF29207" s="679"/>
    </row>
    <row r="29208" spans="32:32" x14ac:dyDescent="0.2">
      <c r="AF29208" s="679"/>
    </row>
    <row r="29209" spans="32:32" x14ac:dyDescent="0.2">
      <c r="AF29209" s="679"/>
    </row>
    <row r="29210" spans="32:32" x14ac:dyDescent="0.2">
      <c r="AF29210" s="679"/>
    </row>
    <row r="29211" spans="32:32" x14ac:dyDescent="0.2">
      <c r="AF29211" s="679"/>
    </row>
    <row r="29212" spans="32:32" x14ac:dyDescent="0.2">
      <c r="AF29212" s="679"/>
    </row>
    <row r="29213" spans="32:32" x14ac:dyDescent="0.2">
      <c r="AF29213" s="679"/>
    </row>
    <row r="29214" spans="32:32" x14ac:dyDescent="0.2">
      <c r="AF29214" s="679"/>
    </row>
    <row r="29215" spans="32:32" x14ac:dyDescent="0.2">
      <c r="AF29215" s="679"/>
    </row>
    <row r="29216" spans="32:32" x14ac:dyDescent="0.2">
      <c r="AF29216" s="679"/>
    </row>
    <row r="29217" spans="32:32" x14ac:dyDescent="0.2">
      <c r="AF29217" s="679"/>
    </row>
    <row r="29218" spans="32:32" x14ac:dyDescent="0.2">
      <c r="AF29218" s="679"/>
    </row>
    <row r="29219" spans="32:32" x14ac:dyDescent="0.2">
      <c r="AF29219" s="679"/>
    </row>
    <row r="29220" spans="32:32" x14ac:dyDescent="0.2">
      <c r="AF29220" s="679"/>
    </row>
    <row r="29221" spans="32:32" x14ac:dyDescent="0.2">
      <c r="AF29221" s="679"/>
    </row>
    <row r="29222" spans="32:32" x14ac:dyDescent="0.2">
      <c r="AF29222" s="679"/>
    </row>
    <row r="29223" spans="32:32" x14ac:dyDescent="0.2">
      <c r="AF29223" s="679"/>
    </row>
    <row r="29224" spans="32:32" x14ac:dyDescent="0.2">
      <c r="AF29224" s="679"/>
    </row>
    <row r="29225" spans="32:32" x14ac:dyDescent="0.2">
      <c r="AF29225" s="679"/>
    </row>
    <row r="29226" spans="32:32" x14ac:dyDescent="0.2">
      <c r="AF29226" s="679"/>
    </row>
    <row r="29227" spans="32:32" x14ac:dyDescent="0.2">
      <c r="AF29227" s="679"/>
    </row>
    <row r="29228" spans="32:32" x14ac:dyDescent="0.2">
      <c r="AF29228" s="679"/>
    </row>
    <row r="29229" spans="32:32" x14ac:dyDescent="0.2">
      <c r="AF29229" s="679"/>
    </row>
    <row r="29230" spans="32:32" x14ac:dyDescent="0.2">
      <c r="AF29230" s="679"/>
    </row>
    <row r="29231" spans="32:32" x14ac:dyDescent="0.2">
      <c r="AF29231" s="679"/>
    </row>
    <row r="29232" spans="32:32" x14ac:dyDescent="0.2">
      <c r="AF29232" s="679"/>
    </row>
    <row r="29233" spans="32:32" x14ac:dyDescent="0.2">
      <c r="AF29233" s="679"/>
    </row>
    <row r="29234" spans="32:32" x14ac:dyDescent="0.2">
      <c r="AF29234" s="679"/>
    </row>
    <row r="29235" spans="32:32" x14ac:dyDescent="0.2">
      <c r="AF29235" s="679"/>
    </row>
    <row r="29236" spans="32:32" x14ac:dyDescent="0.2">
      <c r="AF29236" s="679"/>
    </row>
    <row r="29237" spans="32:32" x14ac:dyDescent="0.2">
      <c r="AF29237" s="679"/>
    </row>
    <row r="29238" spans="32:32" x14ac:dyDescent="0.2">
      <c r="AF29238" s="679"/>
    </row>
    <row r="29239" spans="32:32" x14ac:dyDescent="0.2">
      <c r="AF29239" s="679"/>
    </row>
    <row r="29240" spans="32:32" x14ac:dyDescent="0.2">
      <c r="AF29240" s="679"/>
    </row>
    <row r="29241" spans="32:32" x14ac:dyDescent="0.2">
      <c r="AF29241" s="679"/>
    </row>
    <row r="29242" spans="32:32" x14ac:dyDescent="0.2">
      <c r="AF29242" s="679"/>
    </row>
    <row r="29243" spans="32:32" x14ac:dyDescent="0.2">
      <c r="AF29243" s="679"/>
    </row>
    <row r="29244" spans="32:32" x14ac:dyDescent="0.2">
      <c r="AF29244" s="679"/>
    </row>
    <row r="29245" spans="32:32" x14ac:dyDescent="0.2">
      <c r="AF29245" s="679"/>
    </row>
    <row r="29246" spans="32:32" x14ac:dyDescent="0.2">
      <c r="AF29246" s="679"/>
    </row>
    <row r="29247" spans="32:32" x14ac:dyDescent="0.2">
      <c r="AF29247" s="679"/>
    </row>
    <row r="29248" spans="32:32" x14ac:dyDescent="0.2">
      <c r="AF29248" s="679"/>
    </row>
    <row r="29249" spans="32:32" x14ac:dyDescent="0.2">
      <c r="AF29249" s="679"/>
    </row>
    <row r="29250" spans="32:32" x14ac:dyDescent="0.2">
      <c r="AF29250" s="679"/>
    </row>
    <row r="29251" spans="32:32" x14ac:dyDescent="0.2">
      <c r="AF29251" s="679"/>
    </row>
    <row r="29252" spans="32:32" x14ac:dyDescent="0.2">
      <c r="AF29252" s="679"/>
    </row>
    <row r="29253" spans="32:32" x14ac:dyDescent="0.2">
      <c r="AF29253" s="679"/>
    </row>
    <row r="29254" spans="32:32" x14ac:dyDescent="0.2">
      <c r="AF29254" s="679"/>
    </row>
    <row r="29255" spans="32:32" x14ac:dyDescent="0.2">
      <c r="AF29255" s="679"/>
    </row>
    <row r="29256" spans="32:32" x14ac:dyDescent="0.2">
      <c r="AF29256" s="679"/>
    </row>
    <row r="29257" spans="32:32" x14ac:dyDescent="0.2">
      <c r="AF29257" s="679"/>
    </row>
    <row r="29258" spans="32:32" x14ac:dyDescent="0.2">
      <c r="AF29258" s="679"/>
    </row>
    <row r="29259" spans="32:32" x14ac:dyDescent="0.2">
      <c r="AF29259" s="679"/>
    </row>
    <row r="29260" spans="32:32" x14ac:dyDescent="0.2">
      <c r="AF29260" s="679"/>
    </row>
    <row r="29261" spans="32:32" x14ac:dyDescent="0.2">
      <c r="AF29261" s="679"/>
    </row>
    <row r="29262" spans="32:32" x14ac:dyDescent="0.2">
      <c r="AF29262" s="679"/>
    </row>
    <row r="29263" spans="32:32" x14ac:dyDescent="0.2">
      <c r="AF29263" s="679"/>
    </row>
    <row r="29264" spans="32:32" x14ac:dyDescent="0.2">
      <c r="AF29264" s="679"/>
    </row>
    <row r="29265" spans="32:32" x14ac:dyDescent="0.2">
      <c r="AF29265" s="679"/>
    </row>
    <row r="29266" spans="32:32" x14ac:dyDescent="0.2">
      <c r="AF29266" s="679"/>
    </row>
    <row r="29267" spans="32:32" x14ac:dyDescent="0.2">
      <c r="AF29267" s="679"/>
    </row>
    <row r="29268" spans="32:32" x14ac:dyDescent="0.2">
      <c r="AF29268" s="679"/>
    </row>
    <row r="29269" spans="32:32" x14ac:dyDescent="0.2">
      <c r="AF29269" s="679"/>
    </row>
    <row r="29270" spans="32:32" x14ac:dyDescent="0.2">
      <c r="AF29270" s="679"/>
    </row>
    <row r="29271" spans="32:32" x14ac:dyDescent="0.2">
      <c r="AF29271" s="679"/>
    </row>
    <row r="29272" spans="32:32" x14ac:dyDescent="0.2">
      <c r="AF29272" s="679"/>
    </row>
    <row r="29273" spans="32:32" x14ac:dyDescent="0.2">
      <c r="AF29273" s="679"/>
    </row>
    <row r="29274" spans="32:32" x14ac:dyDescent="0.2">
      <c r="AF29274" s="679"/>
    </row>
    <row r="29275" spans="32:32" x14ac:dyDescent="0.2">
      <c r="AF29275" s="679"/>
    </row>
    <row r="29276" spans="32:32" x14ac:dyDescent="0.2">
      <c r="AF29276" s="679"/>
    </row>
    <row r="29277" spans="32:32" x14ac:dyDescent="0.2">
      <c r="AF29277" s="679"/>
    </row>
    <row r="29278" spans="32:32" x14ac:dyDescent="0.2">
      <c r="AF29278" s="679"/>
    </row>
    <row r="29279" spans="32:32" x14ac:dyDescent="0.2">
      <c r="AF29279" s="679"/>
    </row>
    <row r="29280" spans="32:32" x14ac:dyDescent="0.2">
      <c r="AF29280" s="679"/>
    </row>
    <row r="29281" spans="32:32" x14ac:dyDescent="0.2">
      <c r="AF29281" s="679"/>
    </row>
    <row r="29282" spans="32:32" x14ac:dyDescent="0.2">
      <c r="AF29282" s="679"/>
    </row>
    <row r="29283" spans="32:32" x14ac:dyDescent="0.2">
      <c r="AF29283" s="679"/>
    </row>
    <row r="29284" spans="32:32" x14ac:dyDescent="0.2">
      <c r="AF29284" s="679"/>
    </row>
    <row r="29285" spans="32:32" x14ac:dyDescent="0.2">
      <c r="AF29285" s="679"/>
    </row>
    <row r="29286" spans="32:32" x14ac:dyDescent="0.2">
      <c r="AF29286" s="679"/>
    </row>
    <row r="29287" spans="32:32" x14ac:dyDescent="0.2">
      <c r="AF29287" s="679"/>
    </row>
    <row r="29288" spans="32:32" x14ac:dyDescent="0.2">
      <c r="AF29288" s="679"/>
    </row>
    <row r="29289" spans="32:32" x14ac:dyDescent="0.2">
      <c r="AF29289" s="679"/>
    </row>
    <row r="29290" spans="32:32" x14ac:dyDescent="0.2">
      <c r="AF29290" s="679"/>
    </row>
    <row r="29291" spans="32:32" x14ac:dyDescent="0.2">
      <c r="AF29291" s="679"/>
    </row>
    <row r="29292" spans="32:32" x14ac:dyDescent="0.2">
      <c r="AF29292" s="679"/>
    </row>
    <row r="29293" spans="32:32" x14ac:dyDescent="0.2">
      <c r="AF29293" s="679"/>
    </row>
    <row r="29294" spans="32:32" x14ac:dyDescent="0.2">
      <c r="AF29294" s="679"/>
    </row>
    <row r="29295" spans="32:32" x14ac:dyDescent="0.2">
      <c r="AF29295" s="679"/>
    </row>
    <row r="29296" spans="32:32" x14ac:dyDescent="0.2">
      <c r="AF29296" s="679"/>
    </row>
    <row r="29297" spans="32:32" x14ac:dyDescent="0.2">
      <c r="AF29297" s="679"/>
    </row>
    <row r="29298" spans="32:32" x14ac:dyDescent="0.2">
      <c r="AF29298" s="679"/>
    </row>
    <row r="29299" spans="32:32" x14ac:dyDescent="0.2">
      <c r="AF29299" s="679"/>
    </row>
    <row r="29300" spans="32:32" x14ac:dyDescent="0.2">
      <c r="AF29300" s="679"/>
    </row>
    <row r="29301" spans="32:32" x14ac:dyDescent="0.2">
      <c r="AF29301" s="679"/>
    </row>
    <row r="29302" spans="32:32" x14ac:dyDescent="0.2">
      <c r="AF29302" s="679"/>
    </row>
    <row r="29303" spans="32:32" x14ac:dyDescent="0.2">
      <c r="AF29303" s="679"/>
    </row>
    <row r="29304" spans="32:32" x14ac:dyDescent="0.2">
      <c r="AF29304" s="679"/>
    </row>
    <row r="29305" spans="32:32" x14ac:dyDescent="0.2">
      <c r="AF29305" s="679"/>
    </row>
    <row r="29306" spans="32:32" x14ac:dyDescent="0.2">
      <c r="AF29306" s="679"/>
    </row>
    <row r="29307" spans="32:32" x14ac:dyDescent="0.2">
      <c r="AF29307" s="679"/>
    </row>
    <row r="29308" spans="32:32" x14ac:dyDescent="0.2">
      <c r="AF29308" s="679"/>
    </row>
    <row r="29309" spans="32:32" x14ac:dyDescent="0.2">
      <c r="AF29309" s="679"/>
    </row>
    <row r="29310" spans="32:32" x14ac:dyDescent="0.2">
      <c r="AF29310" s="679"/>
    </row>
    <row r="29311" spans="32:32" x14ac:dyDescent="0.2">
      <c r="AF29311" s="679"/>
    </row>
    <row r="29312" spans="32:32" x14ac:dyDescent="0.2">
      <c r="AF29312" s="679"/>
    </row>
    <row r="29313" spans="32:32" x14ac:dyDescent="0.2">
      <c r="AF29313" s="679"/>
    </row>
    <row r="29314" spans="32:32" x14ac:dyDescent="0.2">
      <c r="AF29314" s="679"/>
    </row>
    <row r="29315" spans="32:32" x14ac:dyDescent="0.2">
      <c r="AF29315" s="679"/>
    </row>
    <row r="29316" spans="32:32" x14ac:dyDescent="0.2">
      <c r="AF29316" s="679"/>
    </row>
    <row r="29317" spans="32:32" x14ac:dyDescent="0.2">
      <c r="AF29317" s="679"/>
    </row>
    <row r="29318" spans="32:32" x14ac:dyDescent="0.2">
      <c r="AF29318" s="679"/>
    </row>
    <row r="29319" spans="32:32" x14ac:dyDescent="0.2">
      <c r="AF29319" s="679"/>
    </row>
    <row r="29320" spans="32:32" x14ac:dyDescent="0.2">
      <c r="AF29320" s="679"/>
    </row>
    <row r="29321" spans="32:32" x14ac:dyDescent="0.2">
      <c r="AF29321" s="679"/>
    </row>
    <row r="29322" spans="32:32" x14ac:dyDescent="0.2">
      <c r="AF29322" s="679"/>
    </row>
    <row r="29323" spans="32:32" x14ac:dyDescent="0.2">
      <c r="AF29323" s="679"/>
    </row>
    <row r="29324" spans="32:32" x14ac:dyDescent="0.2">
      <c r="AF29324" s="679"/>
    </row>
    <row r="29325" spans="32:32" x14ac:dyDescent="0.2">
      <c r="AF29325" s="679"/>
    </row>
    <row r="29326" spans="32:32" x14ac:dyDescent="0.2">
      <c r="AF29326" s="679"/>
    </row>
    <row r="29327" spans="32:32" x14ac:dyDescent="0.2">
      <c r="AF29327" s="679"/>
    </row>
    <row r="29328" spans="32:32" x14ac:dyDescent="0.2">
      <c r="AF29328" s="679"/>
    </row>
    <row r="29329" spans="32:32" x14ac:dyDescent="0.2">
      <c r="AF29329" s="679"/>
    </row>
    <row r="29330" spans="32:32" x14ac:dyDescent="0.2">
      <c r="AF29330" s="679"/>
    </row>
    <row r="29331" spans="32:32" x14ac:dyDescent="0.2">
      <c r="AF29331" s="679"/>
    </row>
    <row r="29332" spans="32:32" x14ac:dyDescent="0.2">
      <c r="AF29332" s="679"/>
    </row>
    <row r="29333" spans="32:32" x14ac:dyDescent="0.2">
      <c r="AF29333" s="679"/>
    </row>
    <row r="29334" spans="32:32" x14ac:dyDescent="0.2">
      <c r="AF29334" s="679"/>
    </row>
    <row r="29335" spans="32:32" x14ac:dyDescent="0.2">
      <c r="AF29335" s="679"/>
    </row>
    <row r="29336" spans="32:32" x14ac:dyDescent="0.2">
      <c r="AF29336" s="679"/>
    </row>
    <row r="29337" spans="32:32" x14ac:dyDescent="0.2">
      <c r="AF29337" s="679"/>
    </row>
    <row r="29338" spans="32:32" x14ac:dyDescent="0.2">
      <c r="AF29338" s="679"/>
    </row>
    <row r="29339" spans="32:32" x14ac:dyDescent="0.2">
      <c r="AF29339" s="679"/>
    </row>
    <row r="29340" spans="32:32" x14ac:dyDescent="0.2">
      <c r="AF29340" s="679"/>
    </row>
    <row r="29341" spans="32:32" x14ac:dyDescent="0.2">
      <c r="AF29341" s="679"/>
    </row>
    <row r="29342" spans="32:32" x14ac:dyDescent="0.2">
      <c r="AF29342" s="679"/>
    </row>
    <row r="29343" spans="32:32" x14ac:dyDescent="0.2">
      <c r="AF29343" s="679"/>
    </row>
    <row r="29344" spans="32:32" x14ac:dyDescent="0.2">
      <c r="AF29344" s="679"/>
    </row>
    <row r="29345" spans="32:32" x14ac:dyDescent="0.2">
      <c r="AF29345" s="679"/>
    </row>
    <row r="29346" spans="32:32" x14ac:dyDescent="0.2">
      <c r="AF29346" s="679"/>
    </row>
    <row r="29347" spans="32:32" x14ac:dyDescent="0.2">
      <c r="AF29347" s="679"/>
    </row>
    <row r="29348" spans="32:32" x14ac:dyDescent="0.2">
      <c r="AF29348" s="679"/>
    </row>
    <row r="29349" spans="32:32" x14ac:dyDescent="0.2">
      <c r="AF29349" s="679"/>
    </row>
    <row r="29350" spans="32:32" x14ac:dyDescent="0.2">
      <c r="AF29350" s="679"/>
    </row>
    <row r="29351" spans="32:32" x14ac:dyDescent="0.2">
      <c r="AF29351" s="679"/>
    </row>
    <row r="29352" spans="32:32" x14ac:dyDescent="0.2">
      <c r="AF29352" s="679"/>
    </row>
    <row r="29353" spans="32:32" x14ac:dyDescent="0.2">
      <c r="AF29353" s="679"/>
    </row>
    <row r="29354" spans="32:32" x14ac:dyDescent="0.2">
      <c r="AF29354" s="679"/>
    </row>
    <row r="29355" spans="32:32" x14ac:dyDescent="0.2">
      <c r="AF29355" s="679"/>
    </row>
    <row r="29356" spans="32:32" x14ac:dyDescent="0.2">
      <c r="AF29356" s="679"/>
    </row>
    <row r="29357" spans="32:32" x14ac:dyDescent="0.2">
      <c r="AF29357" s="679"/>
    </row>
    <row r="29358" spans="32:32" x14ac:dyDescent="0.2">
      <c r="AF29358" s="679"/>
    </row>
    <row r="29359" spans="32:32" x14ac:dyDescent="0.2">
      <c r="AF29359" s="679"/>
    </row>
    <row r="29360" spans="32:32" x14ac:dyDescent="0.2">
      <c r="AF29360" s="679"/>
    </row>
    <row r="29361" spans="32:32" x14ac:dyDescent="0.2">
      <c r="AF29361" s="679"/>
    </row>
    <row r="29362" spans="32:32" x14ac:dyDescent="0.2">
      <c r="AF29362" s="679"/>
    </row>
    <row r="29363" spans="32:32" x14ac:dyDescent="0.2">
      <c r="AF29363" s="679"/>
    </row>
    <row r="29364" spans="32:32" x14ac:dyDescent="0.2">
      <c r="AF29364" s="679"/>
    </row>
    <row r="29365" spans="32:32" x14ac:dyDescent="0.2">
      <c r="AF29365" s="679"/>
    </row>
    <row r="29366" spans="32:32" x14ac:dyDescent="0.2">
      <c r="AF29366" s="679"/>
    </row>
    <row r="29367" spans="32:32" x14ac:dyDescent="0.2">
      <c r="AF29367" s="679"/>
    </row>
    <row r="29368" spans="32:32" x14ac:dyDescent="0.2">
      <c r="AF29368" s="679"/>
    </row>
    <row r="29369" spans="32:32" x14ac:dyDescent="0.2">
      <c r="AF29369" s="679"/>
    </row>
    <row r="29370" spans="32:32" x14ac:dyDescent="0.2">
      <c r="AF29370" s="679"/>
    </row>
    <row r="29371" spans="32:32" x14ac:dyDescent="0.2">
      <c r="AF29371" s="679"/>
    </row>
    <row r="29372" spans="32:32" x14ac:dyDescent="0.2">
      <c r="AF29372" s="679"/>
    </row>
    <row r="29373" spans="32:32" x14ac:dyDescent="0.2">
      <c r="AF29373" s="679"/>
    </row>
    <row r="29374" spans="32:32" x14ac:dyDescent="0.2">
      <c r="AF29374" s="679"/>
    </row>
    <row r="29375" spans="32:32" x14ac:dyDescent="0.2">
      <c r="AF29375" s="679"/>
    </row>
    <row r="29376" spans="32:32" x14ac:dyDescent="0.2">
      <c r="AF29376" s="679"/>
    </row>
    <row r="29377" spans="32:32" x14ac:dyDescent="0.2">
      <c r="AF29377" s="679"/>
    </row>
    <row r="29378" spans="32:32" x14ac:dyDescent="0.2">
      <c r="AF29378" s="679"/>
    </row>
    <row r="29379" spans="32:32" x14ac:dyDescent="0.2">
      <c r="AF29379" s="679"/>
    </row>
    <row r="29380" spans="32:32" x14ac:dyDescent="0.2">
      <c r="AF29380" s="679"/>
    </row>
    <row r="29381" spans="32:32" x14ac:dyDescent="0.2">
      <c r="AF29381" s="679"/>
    </row>
    <row r="29382" spans="32:32" x14ac:dyDescent="0.2">
      <c r="AF29382" s="679"/>
    </row>
    <row r="29383" spans="32:32" x14ac:dyDescent="0.2">
      <c r="AF29383" s="679"/>
    </row>
    <row r="29384" spans="32:32" x14ac:dyDescent="0.2">
      <c r="AF29384" s="679"/>
    </row>
    <row r="29385" spans="32:32" x14ac:dyDescent="0.2">
      <c r="AF29385" s="679"/>
    </row>
    <row r="29386" spans="32:32" x14ac:dyDescent="0.2">
      <c r="AF29386" s="679"/>
    </row>
    <row r="29387" spans="32:32" x14ac:dyDescent="0.2">
      <c r="AF29387" s="679"/>
    </row>
    <row r="29388" spans="32:32" x14ac:dyDescent="0.2">
      <c r="AF29388" s="679"/>
    </row>
    <row r="29389" spans="32:32" x14ac:dyDescent="0.2">
      <c r="AF29389" s="679"/>
    </row>
    <row r="29390" spans="32:32" x14ac:dyDescent="0.2">
      <c r="AF29390" s="679"/>
    </row>
    <row r="29391" spans="32:32" x14ac:dyDescent="0.2">
      <c r="AF29391" s="679"/>
    </row>
    <row r="29392" spans="32:32" x14ac:dyDescent="0.2">
      <c r="AF29392" s="679"/>
    </row>
    <row r="29393" spans="32:32" x14ac:dyDescent="0.2">
      <c r="AF29393" s="679"/>
    </row>
    <row r="29394" spans="32:32" x14ac:dyDescent="0.2">
      <c r="AF29394" s="679"/>
    </row>
    <row r="29395" spans="32:32" x14ac:dyDescent="0.2">
      <c r="AF29395" s="679"/>
    </row>
    <row r="29396" spans="32:32" x14ac:dyDescent="0.2">
      <c r="AF29396" s="679"/>
    </row>
    <row r="29397" spans="32:32" x14ac:dyDescent="0.2">
      <c r="AF29397" s="679"/>
    </row>
    <row r="29398" spans="32:32" x14ac:dyDescent="0.2">
      <c r="AF29398" s="679"/>
    </row>
    <row r="29399" spans="32:32" x14ac:dyDescent="0.2">
      <c r="AF29399" s="679"/>
    </row>
    <row r="29400" spans="32:32" x14ac:dyDescent="0.2">
      <c r="AF29400" s="679"/>
    </row>
    <row r="29401" spans="32:32" x14ac:dyDescent="0.2">
      <c r="AF29401" s="679"/>
    </row>
    <row r="29402" spans="32:32" x14ac:dyDescent="0.2">
      <c r="AF29402" s="679"/>
    </row>
    <row r="29403" spans="32:32" x14ac:dyDescent="0.2">
      <c r="AF29403" s="679"/>
    </row>
    <row r="29404" spans="32:32" x14ac:dyDescent="0.2">
      <c r="AF29404" s="679"/>
    </row>
    <row r="29405" spans="32:32" x14ac:dyDescent="0.2">
      <c r="AF29405" s="679"/>
    </row>
    <row r="29406" spans="32:32" x14ac:dyDescent="0.2">
      <c r="AF29406" s="679"/>
    </row>
    <row r="29407" spans="32:32" x14ac:dyDescent="0.2">
      <c r="AF29407" s="679"/>
    </row>
    <row r="29408" spans="32:32" x14ac:dyDescent="0.2">
      <c r="AF29408" s="679"/>
    </row>
    <row r="29409" spans="32:32" x14ac:dyDescent="0.2">
      <c r="AF29409" s="679"/>
    </row>
    <row r="29410" spans="32:32" x14ac:dyDescent="0.2">
      <c r="AF29410" s="679"/>
    </row>
    <row r="29411" spans="32:32" x14ac:dyDescent="0.2">
      <c r="AF29411" s="679"/>
    </row>
    <row r="29412" spans="32:32" x14ac:dyDescent="0.2">
      <c r="AF29412" s="679"/>
    </row>
    <row r="29413" spans="32:32" x14ac:dyDescent="0.2">
      <c r="AF29413" s="679"/>
    </row>
    <row r="29414" spans="32:32" x14ac:dyDescent="0.2">
      <c r="AF29414" s="679"/>
    </row>
    <row r="29415" spans="32:32" x14ac:dyDescent="0.2">
      <c r="AF29415" s="679"/>
    </row>
    <row r="29416" spans="32:32" x14ac:dyDescent="0.2">
      <c r="AF29416" s="679"/>
    </row>
    <row r="29417" spans="32:32" x14ac:dyDescent="0.2">
      <c r="AF29417" s="679"/>
    </row>
    <row r="29418" spans="32:32" x14ac:dyDescent="0.2">
      <c r="AF29418" s="679"/>
    </row>
    <row r="29419" spans="32:32" x14ac:dyDescent="0.2">
      <c r="AF29419" s="679"/>
    </row>
    <row r="29420" spans="32:32" x14ac:dyDescent="0.2">
      <c r="AF29420" s="679"/>
    </row>
    <row r="29421" spans="32:32" x14ac:dyDescent="0.2">
      <c r="AF29421" s="679"/>
    </row>
    <row r="29422" spans="32:32" x14ac:dyDescent="0.2">
      <c r="AF29422" s="679"/>
    </row>
    <row r="29423" spans="32:32" x14ac:dyDescent="0.2">
      <c r="AF29423" s="679"/>
    </row>
    <row r="29424" spans="32:32" x14ac:dyDescent="0.2">
      <c r="AF29424" s="679"/>
    </row>
    <row r="29425" spans="32:32" x14ac:dyDescent="0.2">
      <c r="AF29425" s="679"/>
    </row>
    <row r="29426" spans="32:32" x14ac:dyDescent="0.2">
      <c r="AF29426" s="679"/>
    </row>
    <row r="29427" spans="32:32" x14ac:dyDescent="0.2">
      <c r="AF29427" s="679"/>
    </row>
    <row r="29428" spans="32:32" x14ac:dyDescent="0.2">
      <c r="AF29428" s="679"/>
    </row>
    <row r="29429" spans="32:32" x14ac:dyDescent="0.2">
      <c r="AF29429" s="679"/>
    </row>
    <row r="29430" spans="32:32" x14ac:dyDescent="0.2">
      <c r="AF29430" s="679"/>
    </row>
    <row r="29431" spans="32:32" x14ac:dyDescent="0.2">
      <c r="AF29431" s="679"/>
    </row>
    <row r="29432" spans="32:32" x14ac:dyDescent="0.2">
      <c r="AF29432" s="679"/>
    </row>
    <row r="29433" spans="32:32" x14ac:dyDescent="0.2">
      <c r="AF29433" s="679"/>
    </row>
    <row r="29434" spans="32:32" x14ac:dyDescent="0.2">
      <c r="AF29434" s="679"/>
    </row>
    <row r="29435" spans="32:32" x14ac:dyDescent="0.2">
      <c r="AF29435" s="679"/>
    </row>
    <row r="29436" spans="32:32" x14ac:dyDescent="0.2">
      <c r="AF29436" s="679"/>
    </row>
    <row r="29437" spans="32:32" x14ac:dyDescent="0.2">
      <c r="AF29437" s="679"/>
    </row>
    <row r="29438" spans="32:32" x14ac:dyDescent="0.2">
      <c r="AF29438" s="679"/>
    </row>
    <row r="29439" spans="32:32" x14ac:dyDescent="0.2">
      <c r="AF29439" s="679"/>
    </row>
    <row r="29440" spans="32:32" x14ac:dyDescent="0.2">
      <c r="AF29440" s="679"/>
    </row>
    <row r="29441" spans="32:32" x14ac:dyDescent="0.2">
      <c r="AF29441" s="679"/>
    </row>
    <row r="29442" spans="32:32" x14ac:dyDescent="0.2">
      <c r="AF29442" s="679"/>
    </row>
    <row r="29443" spans="32:32" x14ac:dyDescent="0.2">
      <c r="AF29443" s="679"/>
    </row>
    <row r="29444" spans="32:32" x14ac:dyDescent="0.2">
      <c r="AF29444" s="679"/>
    </row>
    <row r="29445" spans="32:32" x14ac:dyDescent="0.2">
      <c r="AF29445" s="679"/>
    </row>
    <row r="29446" spans="32:32" x14ac:dyDescent="0.2">
      <c r="AF29446" s="679"/>
    </row>
    <row r="29447" spans="32:32" x14ac:dyDescent="0.2">
      <c r="AF29447" s="679"/>
    </row>
    <row r="29448" spans="32:32" x14ac:dyDescent="0.2">
      <c r="AF29448" s="679"/>
    </row>
    <row r="29449" spans="32:32" x14ac:dyDescent="0.2">
      <c r="AF29449" s="679"/>
    </row>
    <row r="29450" spans="32:32" x14ac:dyDescent="0.2">
      <c r="AF29450" s="679"/>
    </row>
    <row r="29451" spans="32:32" x14ac:dyDescent="0.2">
      <c r="AF29451" s="679"/>
    </row>
    <row r="29452" spans="32:32" x14ac:dyDescent="0.2">
      <c r="AF29452" s="679"/>
    </row>
    <row r="29453" spans="32:32" x14ac:dyDescent="0.2">
      <c r="AF29453" s="679"/>
    </row>
    <row r="29454" spans="32:32" x14ac:dyDescent="0.2">
      <c r="AF29454" s="679"/>
    </row>
    <row r="29455" spans="32:32" x14ac:dyDescent="0.2">
      <c r="AF29455" s="679"/>
    </row>
    <row r="29456" spans="32:32" x14ac:dyDescent="0.2">
      <c r="AF29456" s="679"/>
    </row>
    <row r="29457" spans="32:32" x14ac:dyDescent="0.2">
      <c r="AF29457" s="679"/>
    </row>
    <row r="29458" spans="32:32" x14ac:dyDescent="0.2">
      <c r="AF29458" s="679"/>
    </row>
    <row r="29459" spans="32:32" x14ac:dyDescent="0.2">
      <c r="AF29459" s="679"/>
    </row>
    <row r="29460" spans="32:32" x14ac:dyDescent="0.2">
      <c r="AF29460" s="679"/>
    </row>
    <row r="29461" spans="32:32" x14ac:dyDescent="0.2">
      <c r="AF29461" s="679"/>
    </row>
    <row r="29462" spans="32:32" x14ac:dyDescent="0.2">
      <c r="AF29462" s="679"/>
    </row>
    <row r="29463" spans="32:32" x14ac:dyDescent="0.2">
      <c r="AF29463" s="679"/>
    </row>
    <row r="29464" spans="32:32" x14ac:dyDescent="0.2">
      <c r="AF29464" s="679"/>
    </row>
    <row r="29465" spans="32:32" x14ac:dyDescent="0.2">
      <c r="AF29465" s="679"/>
    </row>
    <row r="29466" spans="32:32" x14ac:dyDescent="0.2">
      <c r="AF29466" s="679"/>
    </row>
    <row r="29467" spans="32:32" x14ac:dyDescent="0.2">
      <c r="AF29467" s="679"/>
    </row>
    <row r="29468" spans="32:32" x14ac:dyDescent="0.2">
      <c r="AF29468" s="679"/>
    </row>
    <row r="29469" spans="32:32" x14ac:dyDescent="0.2">
      <c r="AF29469" s="679"/>
    </row>
    <row r="29470" spans="32:32" x14ac:dyDescent="0.2">
      <c r="AF29470" s="679"/>
    </row>
    <row r="29471" spans="32:32" x14ac:dyDescent="0.2">
      <c r="AF29471" s="679"/>
    </row>
    <row r="29472" spans="32:32" x14ac:dyDescent="0.2">
      <c r="AF29472" s="679"/>
    </row>
    <row r="29473" spans="32:32" x14ac:dyDescent="0.2">
      <c r="AF29473" s="679"/>
    </row>
    <row r="29474" spans="32:32" x14ac:dyDescent="0.2">
      <c r="AF29474" s="679"/>
    </row>
    <row r="29475" spans="32:32" x14ac:dyDescent="0.2">
      <c r="AF29475" s="679"/>
    </row>
    <row r="29476" spans="32:32" x14ac:dyDescent="0.2">
      <c r="AF29476" s="679"/>
    </row>
    <row r="29477" spans="32:32" x14ac:dyDescent="0.2">
      <c r="AF29477" s="679"/>
    </row>
    <row r="29478" spans="32:32" x14ac:dyDescent="0.2">
      <c r="AF29478" s="679"/>
    </row>
    <row r="29479" spans="32:32" x14ac:dyDescent="0.2">
      <c r="AF29479" s="679"/>
    </row>
    <row r="29480" spans="32:32" x14ac:dyDescent="0.2">
      <c r="AF29480" s="679"/>
    </row>
    <row r="29481" spans="32:32" x14ac:dyDescent="0.2">
      <c r="AF29481" s="679"/>
    </row>
    <row r="29482" spans="32:32" x14ac:dyDescent="0.2">
      <c r="AF29482" s="679"/>
    </row>
    <row r="29483" spans="32:32" x14ac:dyDescent="0.2">
      <c r="AF29483" s="679"/>
    </row>
    <row r="29484" spans="32:32" x14ac:dyDescent="0.2">
      <c r="AF29484" s="679"/>
    </row>
    <row r="29485" spans="32:32" x14ac:dyDescent="0.2">
      <c r="AF29485" s="679"/>
    </row>
    <row r="29486" spans="32:32" x14ac:dyDescent="0.2">
      <c r="AF29486" s="679"/>
    </row>
    <row r="29487" spans="32:32" x14ac:dyDescent="0.2">
      <c r="AF29487" s="679"/>
    </row>
    <row r="29488" spans="32:32" x14ac:dyDescent="0.2">
      <c r="AF29488" s="679"/>
    </row>
    <row r="29489" spans="32:32" x14ac:dyDescent="0.2">
      <c r="AF29489" s="679"/>
    </row>
    <row r="29490" spans="32:32" x14ac:dyDescent="0.2">
      <c r="AF29490" s="679"/>
    </row>
    <row r="29491" spans="32:32" x14ac:dyDescent="0.2">
      <c r="AF29491" s="679"/>
    </row>
    <row r="29492" spans="32:32" x14ac:dyDescent="0.2">
      <c r="AF29492" s="679"/>
    </row>
    <row r="29493" spans="32:32" x14ac:dyDescent="0.2">
      <c r="AF29493" s="679"/>
    </row>
    <row r="29494" spans="32:32" x14ac:dyDescent="0.2">
      <c r="AF29494" s="679"/>
    </row>
    <row r="29495" spans="32:32" x14ac:dyDescent="0.2">
      <c r="AF29495" s="679"/>
    </row>
    <row r="29496" spans="32:32" x14ac:dyDescent="0.2">
      <c r="AF29496" s="679"/>
    </row>
    <row r="29497" spans="32:32" x14ac:dyDescent="0.2">
      <c r="AF29497" s="679"/>
    </row>
    <row r="29498" spans="32:32" x14ac:dyDescent="0.2">
      <c r="AF29498" s="679"/>
    </row>
    <row r="29499" spans="32:32" x14ac:dyDescent="0.2">
      <c r="AF29499" s="679"/>
    </row>
    <row r="29500" spans="32:32" x14ac:dyDescent="0.2">
      <c r="AF29500" s="679"/>
    </row>
    <row r="29501" spans="32:32" x14ac:dyDescent="0.2">
      <c r="AF29501" s="679"/>
    </row>
    <row r="29502" spans="32:32" x14ac:dyDescent="0.2">
      <c r="AF29502" s="679"/>
    </row>
    <row r="29503" spans="32:32" x14ac:dyDescent="0.2">
      <c r="AF29503" s="679"/>
    </row>
    <row r="29504" spans="32:32" x14ac:dyDescent="0.2">
      <c r="AF29504" s="679"/>
    </row>
    <row r="29505" spans="32:32" x14ac:dyDescent="0.2">
      <c r="AF29505" s="679"/>
    </row>
    <row r="29506" spans="32:32" x14ac:dyDescent="0.2">
      <c r="AF29506" s="679"/>
    </row>
    <row r="29507" spans="32:32" x14ac:dyDescent="0.2">
      <c r="AF29507" s="679"/>
    </row>
    <row r="29508" spans="32:32" x14ac:dyDescent="0.2">
      <c r="AF29508" s="679"/>
    </row>
    <row r="29509" spans="32:32" x14ac:dyDescent="0.2">
      <c r="AF29509" s="679"/>
    </row>
    <row r="29510" spans="32:32" x14ac:dyDescent="0.2">
      <c r="AF29510" s="679"/>
    </row>
    <row r="29511" spans="32:32" x14ac:dyDescent="0.2">
      <c r="AF29511" s="679"/>
    </row>
    <row r="29512" spans="32:32" x14ac:dyDescent="0.2">
      <c r="AF29512" s="679"/>
    </row>
    <row r="29513" spans="32:32" x14ac:dyDescent="0.2">
      <c r="AF29513" s="679"/>
    </row>
    <row r="29514" spans="32:32" x14ac:dyDescent="0.2">
      <c r="AF29514" s="679"/>
    </row>
    <row r="29515" spans="32:32" x14ac:dyDescent="0.2">
      <c r="AF29515" s="679"/>
    </row>
    <row r="29516" spans="32:32" x14ac:dyDescent="0.2">
      <c r="AF29516" s="679"/>
    </row>
    <row r="29517" spans="32:32" x14ac:dyDescent="0.2">
      <c r="AF29517" s="679"/>
    </row>
    <row r="29518" spans="32:32" x14ac:dyDescent="0.2">
      <c r="AF29518" s="679"/>
    </row>
    <row r="29519" spans="32:32" x14ac:dyDescent="0.2">
      <c r="AF29519" s="679"/>
    </row>
    <row r="29520" spans="32:32" x14ac:dyDescent="0.2">
      <c r="AF29520" s="679"/>
    </row>
    <row r="29521" spans="32:32" x14ac:dyDescent="0.2">
      <c r="AF29521" s="679"/>
    </row>
    <row r="29522" spans="32:32" x14ac:dyDescent="0.2">
      <c r="AF29522" s="679"/>
    </row>
    <row r="29523" spans="32:32" x14ac:dyDescent="0.2">
      <c r="AF29523" s="679"/>
    </row>
    <row r="29524" spans="32:32" x14ac:dyDescent="0.2">
      <c r="AF29524" s="679"/>
    </row>
    <row r="29525" spans="32:32" x14ac:dyDescent="0.2">
      <c r="AF29525" s="679"/>
    </row>
    <row r="29526" spans="32:32" x14ac:dyDescent="0.2">
      <c r="AF29526" s="679"/>
    </row>
    <row r="29527" spans="32:32" x14ac:dyDescent="0.2">
      <c r="AF29527" s="679"/>
    </row>
    <row r="29528" spans="32:32" x14ac:dyDescent="0.2">
      <c r="AF29528" s="679"/>
    </row>
    <row r="29529" spans="32:32" x14ac:dyDescent="0.2">
      <c r="AF29529" s="679"/>
    </row>
    <row r="29530" spans="32:32" x14ac:dyDescent="0.2">
      <c r="AF29530" s="679"/>
    </row>
    <row r="29531" spans="32:32" x14ac:dyDescent="0.2">
      <c r="AF29531" s="679"/>
    </row>
    <row r="29532" spans="32:32" x14ac:dyDescent="0.2">
      <c r="AF29532" s="679"/>
    </row>
    <row r="29533" spans="32:32" x14ac:dyDescent="0.2">
      <c r="AF29533" s="679"/>
    </row>
    <row r="29534" spans="32:32" x14ac:dyDescent="0.2">
      <c r="AF29534" s="679"/>
    </row>
    <row r="29535" spans="32:32" x14ac:dyDescent="0.2">
      <c r="AF29535" s="679"/>
    </row>
    <row r="29536" spans="32:32" x14ac:dyDescent="0.2">
      <c r="AF29536" s="679"/>
    </row>
    <row r="29537" spans="32:32" x14ac:dyDescent="0.2">
      <c r="AF29537" s="679"/>
    </row>
    <row r="29538" spans="32:32" x14ac:dyDescent="0.2">
      <c r="AF29538" s="679"/>
    </row>
    <row r="29539" spans="32:32" x14ac:dyDescent="0.2">
      <c r="AF29539" s="679"/>
    </row>
    <row r="29540" spans="32:32" x14ac:dyDescent="0.2">
      <c r="AF29540" s="679"/>
    </row>
    <row r="29541" spans="32:32" x14ac:dyDescent="0.2">
      <c r="AF29541" s="679"/>
    </row>
    <row r="29542" spans="32:32" x14ac:dyDescent="0.2">
      <c r="AF29542" s="679"/>
    </row>
    <row r="29543" spans="32:32" x14ac:dyDescent="0.2">
      <c r="AF29543" s="679"/>
    </row>
    <row r="29544" spans="32:32" x14ac:dyDescent="0.2">
      <c r="AF29544" s="679"/>
    </row>
    <row r="29545" spans="32:32" x14ac:dyDescent="0.2">
      <c r="AF29545" s="679"/>
    </row>
    <row r="29546" spans="32:32" x14ac:dyDescent="0.2">
      <c r="AF29546" s="679"/>
    </row>
    <row r="29547" spans="32:32" x14ac:dyDescent="0.2">
      <c r="AF29547" s="679"/>
    </row>
    <row r="29548" spans="32:32" x14ac:dyDescent="0.2">
      <c r="AF29548" s="679"/>
    </row>
    <row r="29549" spans="32:32" x14ac:dyDescent="0.2">
      <c r="AF29549" s="679"/>
    </row>
    <row r="29550" spans="32:32" x14ac:dyDescent="0.2">
      <c r="AF29550" s="679"/>
    </row>
    <row r="29551" spans="32:32" x14ac:dyDescent="0.2">
      <c r="AF29551" s="679"/>
    </row>
    <row r="29552" spans="32:32" x14ac:dyDescent="0.2">
      <c r="AF29552" s="679"/>
    </row>
    <row r="29553" spans="32:32" x14ac:dyDescent="0.2">
      <c r="AF29553" s="679"/>
    </row>
    <row r="29554" spans="32:32" x14ac:dyDescent="0.2">
      <c r="AF29554" s="679"/>
    </row>
    <row r="29555" spans="32:32" x14ac:dyDescent="0.2">
      <c r="AF29555" s="679"/>
    </row>
    <row r="29556" spans="32:32" x14ac:dyDescent="0.2">
      <c r="AF29556" s="679"/>
    </row>
    <row r="29557" spans="32:32" x14ac:dyDescent="0.2">
      <c r="AF29557" s="679"/>
    </row>
    <row r="29558" spans="32:32" x14ac:dyDescent="0.2">
      <c r="AF29558" s="679"/>
    </row>
    <row r="29559" spans="32:32" x14ac:dyDescent="0.2">
      <c r="AF29559" s="679"/>
    </row>
    <row r="29560" spans="32:32" x14ac:dyDescent="0.2">
      <c r="AF29560" s="679"/>
    </row>
    <row r="29561" spans="32:32" x14ac:dyDescent="0.2">
      <c r="AF29561" s="679"/>
    </row>
    <row r="29562" spans="32:32" x14ac:dyDescent="0.2">
      <c r="AF29562" s="679"/>
    </row>
    <row r="29563" spans="32:32" x14ac:dyDescent="0.2">
      <c r="AF29563" s="679"/>
    </row>
    <row r="29564" spans="32:32" x14ac:dyDescent="0.2">
      <c r="AF29564" s="679"/>
    </row>
    <row r="29565" spans="32:32" x14ac:dyDescent="0.2">
      <c r="AF29565" s="679"/>
    </row>
    <row r="29566" spans="32:32" x14ac:dyDescent="0.2">
      <c r="AF29566" s="679"/>
    </row>
    <row r="29567" spans="32:32" x14ac:dyDescent="0.2">
      <c r="AF29567" s="679"/>
    </row>
    <row r="29568" spans="32:32" x14ac:dyDescent="0.2">
      <c r="AF29568" s="679"/>
    </row>
    <row r="29569" spans="32:32" x14ac:dyDescent="0.2">
      <c r="AF29569" s="679"/>
    </row>
    <row r="29570" spans="32:32" x14ac:dyDescent="0.2">
      <c r="AF29570" s="679"/>
    </row>
    <row r="29571" spans="32:32" x14ac:dyDescent="0.2">
      <c r="AF29571" s="679"/>
    </row>
    <row r="29572" spans="32:32" x14ac:dyDescent="0.2">
      <c r="AF29572" s="679"/>
    </row>
    <row r="29573" spans="32:32" x14ac:dyDescent="0.2">
      <c r="AF29573" s="679"/>
    </row>
    <row r="29574" spans="32:32" x14ac:dyDescent="0.2">
      <c r="AF29574" s="679"/>
    </row>
    <row r="29575" spans="32:32" x14ac:dyDescent="0.2">
      <c r="AF29575" s="679"/>
    </row>
    <row r="29576" spans="32:32" x14ac:dyDescent="0.2">
      <c r="AF29576" s="679"/>
    </row>
    <row r="29577" spans="32:32" x14ac:dyDescent="0.2">
      <c r="AF29577" s="679"/>
    </row>
    <row r="29578" spans="32:32" x14ac:dyDescent="0.2">
      <c r="AF29578" s="679"/>
    </row>
    <row r="29579" spans="32:32" x14ac:dyDescent="0.2">
      <c r="AF29579" s="679"/>
    </row>
    <row r="29580" spans="32:32" x14ac:dyDescent="0.2">
      <c r="AF29580" s="679"/>
    </row>
    <row r="29581" spans="32:32" x14ac:dyDescent="0.2">
      <c r="AF29581" s="679"/>
    </row>
    <row r="29582" spans="32:32" x14ac:dyDescent="0.2">
      <c r="AF29582" s="679"/>
    </row>
    <row r="29583" spans="32:32" x14ac:dyDescent="0.2">
      <c r="AF29583" s="679"/>
    </row>
    <row r="29584" spans="32:32" x14ac:dyDescent="0.2">
      <c r="AF29584" s="679"/>
    </row>
    <row r="29585" spans="32:32" x14ac:dyDescent="0.2">
      <c r="AF29585" s="679"/>
    </row>
    <row r="29586" spans="32:32" x14ac:dyDescent="0.2">
      <c r="AF29586" s="679"/>
    </row>
    <row r="29587" spans="32:32" x14ac:dyDescent="0.2">
      <c r="AF29587" s="679"/>
    </row>
    <row r="29588" spans="32:32" x14ac:dyDescent="0.2">
      <c r="AF29588" s="679"/>
    </row>
    <row r="29589" spans="32:32" x14ac:dyDescent="0.2">
      <c r="AF29589" s="679"/>
    </row>
    <row r="29590" spans="32:32" x14ac:dyDescent="0.2">
      <c r="AF29590" s="679"/>
    </row>
    <row r="29591" spans="32:32" x14ac:dyDescent="0.2">
      <c r="AF29591" s="679"/>
    </row>
    <row r="29592" spans="32:32" x14ac:dyDescent="0.2">
      <c r="AF29592" s="679"/>
    </row>
    <row r="29593" spans="32:32" x14ac:dyDescent="0.2">
      <c r="AF29593" s="679"/>
    </row>
    <row r="29594" spans="32:32" x14ac:dyDescent="0.2">
      <c r="AF29594" s="679"/>
    </row>
    <row r="29595" spans="32:32" x14ac:dyDescent="0.2">
      <c r="AF29595" s="679"/>
    </row>
    <row r="29596" spans="32:32" x14ac:dyDescent="0.2">
      <c r="AF29596" s="679"/>
    </row>
    <row r="29597" spans="32:32" x14ac:dyDescent="0.2">
      <c r="AF29597" s="679"/>
    </row>
    <row r="29598" spans="32:32" x14ac:dyDescent="0.2">
      <c r="AF29598" s="679"/>
    </row>
    <row r="29599" spans="32:32" x14ac:dyDescent="0.2">
      <c r="AF29599" s="679"/>
    </row>
    <row r="29600" spans="32:32" x14ac:dyDescent="0.2">
      <c r="AF29600" s="679"/>
    </row>
    <row r="29601" spans="32:32" x14ac:dyDescent="0.2">
      <c r="AF29601" s="679"/>
    </row>
    <row r="29602" spans="32:32" x14ac:dyDescent="0.2">
      <c r="AF29602" s="679"/>
    </row>
    <row r="29603" spans="32:32" x14ac:dyDescent="0.2">
      <c r="AF29603" s="679"/>
    </row>
    <row r="29604" spans="32:32" x14ac:dyDescent="0.2">
      <c r="AF29604" s="679"/>
    </row>
    <row r="29605" spans="32:32" x14ac:dyDescent="0.2">
      <c r="AF29605" s="679"/>
    </row>
    <row r="29606" spans="32:32" x14ac:dyDescent="0.2">
      <c r="AF29606" s="679"/>
    </row>
    <row r="29607" spans="32:32" x14ac:dyDescent="0.2">
      <c r="AF29607" s="679"/>
    </row>
    <row r="29608" spans="32:32" x14ac:dyDescent="0.2">
      <c r="AF29608" s="679"/>
    </row>
    <row r="29609" spans="32:32" x14ac:dyDescent="0.2">
      <c r="AF29609" s="679"/>
    </row>
    <row r="29610" spans="32:32" x14ac:dyDescent="0.2">
      <c r="AF29610" s="679"/>
    </row>
    <row r="29611" spans="32:32" x14ac:dyDescent="0.2">
      <c r="AF29611" s="679"/>
    </row>
    <row r="29612" spans="32:32" x14ac:dyDescent="0.2">
      <c r="AF29612" s="679"/>
    </row>
    <row r="29613" spans="32:32" x14ac:dyDescent="0.2">
      <c r="AF29613" s="679"/>
    </row>
    <row r="29614" spans="32:32" x14ac:dyDescent="0.2">
      <c r="AF29614" s="679"/>
    </row>
    <row r="29615" spans="32:32" x14ac:dyDescent="0.2">
      <c r="AF29615" s="679"/>
    </row>
    <row r="29616" spans="32:32" x14ac:dyDescent="0.2">
      <c r="AF29616" s="679"/>
    </row>
    <row r="29617" spans="32:32" x14ac:dyDescent="0.2">
      <c r="AF29617" s="679"/>
    </row>
    <row r="29618" spans="32:32" x14ac:dyDescent="0.2">
      <c r="AF29618" s="679"/>
    </row>
    <row r="29619" spans="32:32" x14ac:dyDescent="0.2">
      <c r="AF29619" s="679"/>
    </row>
    <row r="29620" spans="32:32" x14ac:dyDescent="0.2">
      <c r="AF29620" s="679"/>
    </row>
    <row r="29621" spans="32:32" x14ac:dyDescent="0.2">
      <c r="AF29621" s="679"/>
    </row>
    <row r="29622" spans="32:32" x14ac:dyDescent="0.2">
      <c r="AF29622" s="679"/>
    </row>
    <row r="29623" spans="32:32" x14ac:dyDescent="0.2">
      <c r="AF29623" s="679"/>
    </row>
    <row r="29624" spans="32:32" x14ac:dyDescent="0.2">
      <c r="AF29624" s="679"/>
    </row>
    <row r="29625" spans="32:32" x14ac:dyDescent="0.2">
      <c r="AF29625" s="679"/>
    </row>
    <row r="29626" spans="32:32" x14ac:dyDescent="0.2">
      <c r="AF29626" s="679"/>
    </row>
    <row r="29627" spans="32:32" x14ac:dyDescent="0.2">
      <c r="AF29627" s="679"/>
    </row>
    <row r="29628" spans="32:32" x14ac:dyDescent="0.2">
      <c r="AF29628" s="679"/>
    </row>
    <row r="29629" spans="32:32" x14ac:dyDescent="0.2">
      <c r="AF29629" s="679"/>
    </row>
    <row r="29630" spans="32:32" x14ac:dyDescent="0.2">
      <c r="AF29630" s="679"/>
    </row>
    <row r="29631" spans="32:32" x14ac:dyDescent="0.2">
      <c r="AF29631" s="679"/>
    </row>
    <row r="29632" spans="32:32" x14ac:dyDescent="0.2">
      <c r="AF29632" s="679"/>
    </row>
    <row r="29633" spans="32:32" x14ac:dyDescent="0.2">
      <c r="AF29633" s="679"/>
    </row>
    <row r="29634" spans="32:32" x14ac:dyDescent="0.2">
      <c r="AF29634" s="679"/>
    </row>
    <row r="29635" spans="32:32" x14ac:dyDescent="0.2">
      <c r="AF29635" s="679"/>
    </row>
    <row r="29636" spans="32:32" x14ac:dyDescent="0.2">
      <c r="AF29636" s="679"/>
    </row>
    <row r="29637" spans="32:32" x14ac:dyDescent="0.2">
      <c r="AF29637" s="679"/>
    </row>
    <row r="29638" spans="32:32" x14ac:dyDescent="0.2">
      <c r="AF29638" s="679"/>
    </row>
    <row r="29639" spans="32:32" x14ac:dyDescent="0.2">
      <c r="AF29639" s="679"/>
    </row>
    <row r="29640" spans="32:32" x14ac:dyDescent="0.2">
      <c r="AF29640" s="679"/>
    </row>
    <row r="29641" spans="32:32" x14ac:dyDescent="0.2">
      <c r="AF29641" s="679"/>
    </row>
    <row r="29642" spans="32:32" x14ac:dyDescent="0.2">
      <c r="AF29642" s="679"/>
    </row>
    <row r="29643" spans="32:32" x14ac:dyDescent="0.2">
      <c r="AF29643" s="679"/>
    </row>
    <row r="29644" spans="32:32" x14ac:dyDescent="0.2">
      <c r="AF29644" s="679"/>
    </row>
    <row r="29645" spans="32:32" x14ac:dyDescent="0.2">
      <c r="AF29645" s="679"/>
    </row>
    <row r="29646" spans="32:32" x14ac:dyDescent="0.2">
      <c r="AF29646" s="679"/>
    </row>
    <row r="29647" spans="32:32" x14ac:dyDescent="0.2">
      <c r="AF29647" s="679"/>
    </row>
    <row r="29648" spans="32:32" x14ac:dyDescent="0.2">
      <c r="AF29648" s="679"/>
    </row>
    <row r="29649" spans="32:32" x14ac:dyDescent="0.2">
      <c r="AF29649" s="679"/>
    </row>
    <row r="29650" spans="32:32" x14ac:dyDescent="0.2">
      <c r="AF29650" s="679"/>
    </row>
    <row r="29651" spans="32:32" x14ac:dyDescent="0.2">
      <c r="AF29651" s="679"/>
    </row>
    <row r="29652" spans="32:32" x14ac:dyDescent="0.2">
      <c r="AF29652" s="679"/>
    </row>
    <row r="29653" spans="32:32" x14ac:dyDescent="0.2">
      <c r="AF29653" s="679"/>
    </row>
    <row r="29654" spans="32:32" x14ac:dyDescent="0.2">
      <c r="AF29654" s="679"/>
    </row>
    <row r="29655" spans="32:32" x14ac:dyDescent="0.2">
      <c r="AF29655" s="679"/>
    </row>
    <row r="29656" spans="32:32" x14ac:dyDescent="0.2">
      <c r="AF29656" s="679"/>
    </row>
    <row r="29657" spans="32:32" x14ac:dyDescent="0.2">
      <c r="AF29657" s="679"/>
    </row>
    <row r="29658" spans="32:32" x14ac:dyDescent="0.2">
      <c r="AF29658" s="679"/>
    </row>
    <row r="29659" spans="32:32" x14ac:dyDescent="0.2">
      <c r="AF29659" s="679"/>
    </row>
    <row r="29660" spans="32:32" x14ac:dyDescent="0.2">
      <c r="AF29660" s="679"/>
    </row>
    <row r="29661" spans="32:32" x14ac:dyDescent="0.2">
      <c r="AF29661" s="679"/>
    </row>
    <row r="29662" spans="32:32" x14ac:dyDescent="0.2">
      <c r="AF29662" s="679"/>
    </row>
    <row r="29663" spans="32:32" x14ac:dyDescent="0.2">
      <c r="AF29663" s="679"/>
    </row>
    <row r="29664" spans="32:32" x14ac:dyDescent="0.2">
      <c r="AF29664" s="679"/>
    </row>
    <row r="29665" spans="32:32" x14ac:dyDescent="0.2">
      <c r="AF29665" s="679"/>
    </row>
    <row r="29666" spans="32:32" x14ac:dyDescent="0.2">
      <c r="AF29666" s="679"/>
    </row>
    <row r="29667" spans="32:32" x14ac:dyDescent="0.2">
      <c r="AF29667" s="679"/>
    </row>
    <row r="29668" spans="32:32" x14ac:dyDescent="0.2">
      <c r="AF29668" s="679"/>
    </row>
    <row r="29669" spans="32:32" x14ac:dyDescent="0.2">
      <c r="AF29669" s="679"/>
    </row>
    <row r="29670" spans="32:32" x14ac:dyDescent="0.2">
      <c r="AF29670" s="679"/>
    </row>
    <row r="29671" spans="32:32" x14ac:dyDescent="0.2">
      <c r="AF29671" s="679"/>
    </row>
    <row r="29672" spans="32:32" x14ac:dyDescent="0.2">
      <c r="AF29672" s="679"/>
    </row>
    <row r="29673" spans="32:32" x14ac:dyDescent="0.2">
      <c r="AF29673" s="679"/>
    </row>
    <row r="29674" spans="32:32" x14ac:dyDescent="0.2">
      <c r="AF29674" s="679"/>
    </row>
    <row r="29675" spans="32:32" x14ac:dyDescent="0.2">
      <c r="AF29675" s="679"/>
    </row>
    <row r="29676" spans="32:32" x14ac:dyDescent="0.2">
      <c r="AF29676" s="679"/>
    </row>
    <row r="29677" spans="32:32" x14ac:dyDescent="0.2">
      <c r="AF29677" s="679"/>
    </row>
    <row r="29678" spans="32:32" x14ac:dyDescent="0.2">
      <c r="AF29678" s="679"/>
    </row>
    <row r="29679" spans="32:32" x14ac:dyDescent="0.2">
      <c r="AF29679" s="679"/>
    </row>
    <row r="29680" spans="32:32" x14ac:dyDescent="0.2">
      <c r="AF29680" s="679"/>
    </row>
    <row r="29681" spans="32:32" x14ac:dyDescent="0.2">
      <c r="AF29681" s="679"/>
    </row>
    <row r="29682" spans="32:32" x14ac:dyDescent="0.2">
      <c r="AF29682" s="679"/>
    </row>
    <row r="29683" spans="32:32" x14ac:dyDescent="0.2">
      <c r="AF29683" s="679"/>
    </row>
    <row r="29684" spans="32:32" x14ac:dyDescent="0.2">
      <c r="AF29684" s="679"/>
    </row>
    <row r="29685" spans="32:32" x14ac:dyDescent="0.2">
      <c r="AF29685" s="679"/>
    </row>
    <row r="29686" spans="32:32" x14ac:dyDescent="0.2">
      <c r="AF29686" s="679"/>
    </row>
    <row r="29687" spans="32:32" x14ac:dyDescent="0.2">
      <c r="AF29687" s="679"/>
    </row>
    <row r="29688" spans="32:32" x14ac:dyDescent="0.2">
      <c r="AF29688" s="679"/>
    </row>
    <row r="29689" spans="32:32" x14ac:dyDescent="0.2">
      <c r="AF29689" s="679"/>
    </row>
    <row r="29690" spans="32:32" x14ac:dyDescent="0.2">
      <c r="AF29690" s="679"/>
    </row>
    <row r="29691" spans="32:32" x14ac:dyDescent="0.2">
      <c r="AF29691" s="679"/>
    </row>
    <row r="29692" spans="32:32" x14ac:dyDescent="0.2">
      <c r="AF29692" s="679"/>
    </row>
    <row r="29693" spans="32:32" x14ac:dyDescent="0.2">
      <c r="AF29693" s="679"/>
    </row>
    <row r="29694" spans="32:32" x14ac:dyDescent="0.2">
      <c r="AF29694" s="679"/>
    </row>
    <row r="29695" spans="32:32" x14ac:dyDescent="0.2">
      <c r="AF29695" s="679"/>
    </row>
    <row r="29696" spans="32:32" x14ac:dyDescent="0.2">
      <c r="AF29696" s="679"/>
    </row>
    <row r="29697" spans="32:32" x14ac:dyDescent="0.2">
      <c r="AF29697" s="679"/>
    </row>
    <row r="29698" spans="32:32" x14ac:dyDescent="0.2">
      <c r="AF29698" s="679"/>
    </row>
    <row r="29699" spans="32:32" x14ac:dyDescent="0.2">
      <c r="AF29699" s="679"/>
    </row>
    <row r="29700" spans="32:32" x14ac:dyDescent="0.2">
      <c r="AF29700" s="679"/>
    </row>
    <row r="29701" spans="32:32" x14ac:dyDescent="0.2">
      <c r="AF29701" s="679"/>
    </row>
    <row r="29702" spans="32:32" x14ac:dyDescent="0.2">
      <c r="AF29702" s="679"/>
    </row>
    <row r="29703" spans="32:32" x14ac:dyDescent="0.2">
      <c r="AF29703" s="679"/>
    </row>
    <row r="29704" spans="32:32" x14ac:dyDescent="0.2">
      <c r="AF29704" s="679"/>
    </row>
    <row r="29705" spans="32:32" x14ac:dyDescent="0.2">
      <c r="AF29705" s="679"/>
    </row>
    <row r="29706" spans="32:32" x14ac:dyDescent="0.2">
      <c r="AF29706" s="679"/>
    </row>
    <row r="29707" spans="32:32" x14ac:dyDescent="0.2">
      <c r="AF29707" s="679"/>
    </row>
    <row r="29708" spans="32:32" x14ac:dyDescent="0.2">
      <c r="AF29708" s="679"/>
    </row>
    <row r="29709" spans="32:32" x14ac:dyDescent="0.2">
      <c r="AF29709" s="679"/>
    </row>
    <row r="29710" spans="32:32" x14ac:dyDescent="0.2">
      <c r="AF29710" s="679"/>
    </row>
    <row r="29711" spans="32:32" x14ac:dyDescent="0.2">
      <c r="AF29711" s="679"/>
    </row>
    <row r="29712" spans="32:32" x14ac:dyDescent="0.2">
      <c r="AF29712" s="679"/>
    </row>
    <row r="29713" spans="32:32" x14ac:dyDescent="0.2">
      <c r="AF29713" s="679"/>
    </row>
    <row r="29714" spans="32:32" x14ac:dyDescent="0.2">
      <c r="AF29714" s="679"/>
    </row>
    <row r="29715" spans="32:32" x14ac:dyDescent="0.2">
      <c r="AF29715" s="679"/>
    </row>
    <row r="29716" spans="32:32" x14ac:dyDescent="0.2">
      <c r="AF29716" s="679"/>
    </row>
    <row r="29717" spans="32:32" x14ac:dyDescent="0.2">
      <c r="AF29717" s="679"/>
    </row>
    <row r="29718" spans="32:32" x14ac:dyDescent="0.2">
      <c r="AF29718" s="679"/>
    </row>
    <row r="29719" spans="32:32" x14ac:dyDescent="0.2">
      <c r="AF29719" s="679"/>
    </row>
    <row r="29720" spans="32:32" x14ac:dyDescent="0.2">
      <c r="AF29720" s="679"/>
    </row>
    <row r="29721" spans="32:32" x14ac:dyDescent="0.2">
      <c r="AF29721" s="679"/>
    </row>
    <row r="29722" spans="32:32" x14ac:dyDescent="0.2">
      <c r="AF29722" s="679"/>
    </row>
    <row r="29723" spans="32:32" x14ac:dyDescent="0.2">
      <c r="AF29723" s="679"/>
    </row>
    <row r="29724" spans="32:32" x14ac:dyDescent="0.2">
      <c r="AF29724" s="679"/>
    </row>
    <row r="29725" spans="32:32" x14ac:dyDescent="0.2">
      <c r="AF29725" s="679"/>
    </row>
    <row r="29726" spans="32:32" x14ac:dyDescent="0.2">
      <c r="AF29726" s="679"/>
    </row>
    <row r="29727" spans="32:32" x14ac:dyDescent="0.2">
      <c r="AF29727" s="679"/>
    </row>
    <row r="29728" spans="32:32" x14ac:dyDescent="0.2">
      <c r="AF29728" s="679"/>
    </row>
    <row r="29729" spans="32:32" x14ac:dyDescent="0.2">
      <c r="AF29729" s="679"/>
    </row>
    <row r="29730" spans="32:32" x14ac:dyDescent="0.2">
      <c r="AF29730" s="679"/>
    </row>
    <row r="29731" spans="32:32" x14ac:dyDescent="0.2">
      <c r="AF29731" s="679"/>
    </row>
    <row r="29732" spans="32:32" x14ac:dyDescent="0.2">
      <c r="AF29732" s="679"/>
    </row>
    <row r="29733" spans="32:32" x14ac:dyDescent="0.2">
      <c r="AF29733" s="679"/>
    </row>
    <row r="29734" spans="32:32" x14ac:dyDescent="0.2">
      <c r="AF29734" s="679"/>
    </row>
    <row r="29735" spans="32:32" x14ac:dyDescent="0.2">
      <c r="AF29735" s="679"/>
    </row>
    <row r="29736" spans="32:32" x14ac:dyDescent="0.2">
      <c r="AF29736" s="679"/>
    </row>
    <row r="29737" spans="32:32" x14ac:dyDescent="0.2">
      <c r="AF29737" s="679"/>
    </row>
    <row r="29738" spans="32:32" x14ac:dyDescent="0.2">
      <c r="AF29738" s="679"/>
    </row>
    <row r="29739" spans="32:32" x14ac:dyDescent="0.2">
      <c r="AF29739" s="679"/>
    </row>
    <row r="29740" spans="32:32" x14ac:dyDescent="0.2">
      <c r="AF29740" s="679"/>
    </row>
    <row r="29741" spans="32:32" x14ac:dyDescent="0.2">
      <c r="AF29741" s="679"/>
    </row>
    <row r="29742" spans="32:32" x14ac:dyDescent="0.2">
      <c r="AF29742" s="679"/>
    </row>
    <row r="29743" spans="32:32" x14ac:dyDescent="0.2">
      <c r="AF29743" s="679"/>
    </row>
    <row r="29744" spans="32:32" x14ac:dyDescent="0.2">
      <c r="AF29744" s="679"/>
    </row>
    <row r="29745" spans="32:32" x14ac:dyDescent="0.2">
      <c r="AF29745" s="679"/>
    </row>
    <row r="29746" spans="32:32" x14ac:dyDescent="0.2">
      <c r="AF29746" s="679"/>
    </row>
    <row r="29747" spans="32:32" x14ac:dyDescent="0.2">
      <c r="AF29747" s="679"/>
    </row>
    <row r="29748" spans="32:32" x14ac:dyDescent="0.2">
      <c r="AF29748" s="679"/>
    </row>
    <row r="29749" spans="32:32" x14ac:dyDescent="0.2">
      <c r="AF29749" s="679"/>
    </row>
    <row r="29750" spans="32:32" x14ac:dyDescent="0.2">
      <c r="AF29750" s="679"/>
    </row>
    <row r="29751" spans="32:32" x14ac:dyDescent="0.2">
      <c r="AF29751" s="679"/>
    </row>
    <row r="29752" spans="32:32" x14ac:dyDescent="0.2">
      <c r="AF29752" s="679"/>
    </row>
    <row r="29753" spans="32:32" x14ac:dyDescent="0.2">
      <c r="AF29753" s="679"/>
    </row>
    <row r="29754" spans="32:32" x14ac:dyDescent="0.2">
      <c r="AF29754" s="679"/>
    </row>
    <row r="29755" spans="32:32" x14ac:dyDescent="0.2">
      <c r="AF29755" s="679"/>
    </row>
    <row r="29756" spans="32:32" x14ac:dyDescent="0.2">
      <c r="AF29756" s="679"/>
    </row>
    <row r="29757" spans="32:32" x14ac:dyDescent="0.2">
      <c r="AF29757" s="679"/>
    </row>
    <row r="29758" spans="32:32" x14ac:dyDescent="0.2">
      <c r="AF29758" s="679"/>
    </row>
    <row r="29759" spans="32:32" x14ac:dyDescent="0.2">
      <c r="AF29759" s="679"/>
    </row>
    <row r="29760" spans="32:32" x14ac:dyDescent="0.2">
      <c r="AF29760" s="679"/>
    </row>
    <row r="29761" spans="32:32" x14ac:dyDescent="0.2">
      <c r="AF29761" s="679"/>
    </row>
    <row r="29762" spans="32:32" x14ac:dyDescent="0.2">
      <c r="AF29762" s="679"/>
    </row>
    <row r="29763" spans="32:32" x14ac:dyDescent="0.2">
      <c r="AF29763" s="679"/>
    </row>
    <row r="29764" spans="32:32" x14ac:dyDescent="0.2">
      <c r="AF29764" s="679"/>
    </row>
    <row r="29765" spans="32:32" x14ac:dyDescent="0.2">
      <c r="AF29765" s="679"/>
    </row>
    <row r="29766" spans="32:32" x14ac:dyDescent="0.2">
      <c r="AF29766" s="679"/>
    </row>
    <row r="29767" spans="32:32" x14ac:dyDescent="0.2">
      <c r="AF29767" s="679"/>
    </row>
    <row r="29768" spans="32:32" x14ac:dyDescent="0.2">
      <c r="AF29768" s="679"/>
    </row>
    <row r="29769" spans="32:32" x14ac:dyDescent="0.2">
      <c r="AF29769" s="679"/>
    </row>
    <row r="29770" spans="32:32" x14ac:dyDescent="0.2">
      <c r="AF29770" s="679"/>
    </row>
    <row r="29771" spans="32:32" x14ac:dyDescent="0.2">
      <c r="AF29771" s="679"/>
    </row>
    <row r="29772" spans="32:32" x14ac:dyDescent="0.2">
      <c r="AF29772" s="679"/>
    </row>
    <row r="29773" spans="32:32" x14ac:dyDescent="0.2">
      <c r="AF29773" s="679"/>
    </row>
    <row r="29774" spans="32:32" x14ac:dyDescent="0.2">
      <c r="AF29774" s="679"/>
    </row>
    <row r="29775" spans="32:32" x14ac:dyDescent="0.2">
      <c r="AF29775" s="679"/>
    </row>
    <row r="29776" spans="32:32" x14ac:dyDescent="0.2">
      <c r="AF29776" s="679"/>
    </row>
    <row r="29777" spans="32:32" x14ac:dyDescent="0.2">
      <c r="AF29777" s="679"/>
    </row>
    <row r="29778" spans="32:32" x14ac:dyDescent="0.2">
      <c r="AF29778" s="679"/>
    </row>
    <row r="29779" spans="32:32" x14ac:dyDescent="0.2">
      <c r="AF29779" s="679"/>
    </row>
    <row r="29780" spans="32:32" x14ac:dyDescent="0.2">
      <c r="AF29780" s="679"/>
    </row>
    <row r="29781" spans="32:32" x14ac:dyDescent="0.2">
      <c r="AF29781" s="679"/>
    </row>
    <row r="29782" spans="32:32" x14ac:dyDescent="0.2">
      <c r="AF29782" s="679"/>
    </row>
    <row r="29783" spans="32:32" x14ac:dyDescent="0.2">
      <c r="AF29783" s="679"/>
    </row>
    <row r="29784" spans="32:32" x14ac:dyDescent="0.2">
      <c r="AF29784" s="679"/>
    </row>
    <row r="29785" spans="32:32" x14ac:dyDescent="0.2">
      <c r="AF29785" s="679"/>
    </row>
    <row r="29786" spans="32:32" x14ac:dyDescent="0.2">
      <c r="AF29786" s="679"/>
    </row>
    <row r="29787" spans="32:32" x14ac:dyDescent="0.2">
      <c r="AF29787" s="679"/>
    </row>
    <row r="29788" spans="32:32" x14ac:dyDescent="0.2">
      <c r="AF29788" s="679"/>
    </row>
    <row r="29789" spans="32:32" x14ac:dyDescent="0.2">
      <c r="AF29789" s="679"/>
    </row>
    <row r="29790" spans="32:32" x14ac:dyDescent="0.2">
      <c r="AF29790" s="679"/>
    </row>
    <row r="29791" spans="32:32" x14ac:dyDescent="0.2">
      <c r="AF29791" s="679"/>
    </row>
    <row r="29792" spans="32:32" x14ac:dyDescent="0.2">
      <c r="AF29792" s="679"/>
    </row>
    <row r="29793" spans="32:32" x14ac:dyDescent="0.2">
      <c r="AF29793" s="679"/>
    </row>
    <row r="29794" spans="32:32" x14ac:dyDescent="0.2">
      <c r="AF29794" s="679"/>
    </row>
    <row r="29795" spans="32:32" x14ac:dyDescent="0.2">
      <c r="AF29795" s="679"/>
    </row>
    <row r="29796" spans="32:32" x14ac:dyDescent="0.2">
      <c r="AF29796" s="679"/>
    </row>
    <row r="29797" spans="32:32" x14ac:dyDescent="0.2">
      <c r="AF29797" s="679"/>
    </row>
    <row r="29798" spans="32:32" x14ac:dyDescent="0.2">
      <c r="AF29798" s="679"/>
    </row>
    <row r="29799" spans="32:32" x14ac:dyDescent="0.2">
      <c r="AF29799" s="679"/>
    </row>
    <row r="29800" spans="32:32" x14ac:dyDescent="0.2">
      <c r="AF29800" s="679"/>
    </row>
    <row r="29801" spans="32:32" x14ac:dyDescent="0.2">
      <c r="AF29801" s="679"/>
    </row>
    <row r="29802" spans="32:32" x14ac:dyDescent="0.2">
      <c r="AF29802" s="679"/>
    </row>
    <row r="29803" spans="32:32" x14ac:dyDescent="0.2">
      <c r="AF29803" s="679"/>
    </row>
    <row r="29804" spans="32:32" x14ac:dyDescent="0.2">
      <c r="AF29804" s="679"/>
    </row>
    <row r="29805" spans="32:32" x14ac:dyDescent="0.2">
      <c r="AF29805" s="679"/>
    </row>
    <row r="29806" spans="32:32" x14ac:dyDescent="0.2">
      <c r="AF29806" s="679"/>
    </row>
    <row r="29807" spans="32:32" x14ac:dyDescent="0.2">
      <c r="AF29807" s="679"/>
    </row>
    <row r="29808" spans="32:32" x14ac:dyDescent="0.2">
      <c r="AF29808" s="679"/>
    </row>
    <row r="29809" spans="32:32" x14ac:dyDescent="0.2">
      <c r="AF29809" s="679"/>
    </row>
    <row r="29810" spans="32:32" x14ac:dyDescent="0.2">
      <c r="AF29810" s="679"/>
    </row>
    <row r="29811" spans="32:32" x14ac:dyDescent="0.2">
      <c r="AF29811" s="679"/>
    </row>
    <row r="29812" spans="32:32" x14ac:dyDescent="0.2">
      <c r="AF29812" s="679"/>
    </row>
    <row r="29813" spans="32:32" x14ac:dyDescent="0.2">
      <c r="AF29813" s="679"/>
    </row>
    <row r="29814" spans="32:32" x14ac:dyDescent="0.2">
      <c r="AF29814" s="679"/>
    </row>
    <row r="29815" spans="32:32" x14ac:dyDescent="0.2">
      <c r="AF29815" s="679"/>
    </row>
    <row r="29816" spans="32:32" x14ac:dyDescent="0.2">
      <c r="AF29816" s="679"/>
    </row>
    <row r="29817" spans="32:32" x14ac:dyDescent="0.2">
      <c r="AF29817" s="679"/>
    </row>
    <row r="29818" spans="32:32" x14ac:dyDescent="0.2">
      <c r="AF29818" s="679"/>
    </row>
    <row r="29819" spans="32:32" x14ac:dyDescent="0.2">
      <c r="AF29819" s="679"/>
    </row>
    <row r="29820" spans="32:32" x14ac:dyDescent="0.2">
      <c r="AF29820" s="679"/>
    </row>
    <row r="29821" spans="32:32" x14ac:dyDescent="0.2">
      <c r="AF29821" s="679"/>
    </row>
    <row r="29822" spans="32:32" x14ac:dyDescent="0.2">
      <c r="AF29822" s="679"/>
    </row>
    <row r="29823" spans="32:32" x14ac:dyDescent="0.2">
      <c r="AF29823" s="679"/>
    </row>
    <row r="29824" spans="32:32" x14ac:dyDescent="0.2">
      <c r="AF29824" s="679"/>
    </row>
    <row r="29825" spans="32:32" x14ac:dyDescent="0.2">
      <c r="AF29825" s="679"/>
    </row>
    <row r="29826" spans="32:32" x14ac:dyDescent="0.2">
      <c r="AF29826" s="679"/>
    </row>
    <row r="29827" spans="32:32" x14ac:dyDescent="0.2">
      <c r="AF29827" s="679"/>
    </row>
    <row r="29828" spans="32:32" x14ac:dyDescent="0.2">
      <c r="AF29828" s="679"/>
    </row>
    <row r="29829" spans="32:32" x14ac:dyDescent="0.2">
      <c r="AF29829" s="679"/>
    </row>
    <row r="29830" spans="32:32" x14ac:dyDescent="0.2">
      <c r="AF29830" s="679"/>
    </row>
    <row r="29831" spans="32:32" x14ac:dyDescent="0.2">
      <c r="AF29831" s="679"/>
    </row>
    <row r="29832" spans="32:32" x14ac:dyDescent="0.2">
      <c r="AF29832" s="679"/>
    </row>
    <row r="29833" spans="32:32" x14ac:dyDescent="0.2">
      <c r="AF29833" s="679"/>
    </row>
    <row r="29834" spans="32:32" x14ac:dyDescent="0.2">
      <c r="AF29834" s="679"/>
    </row>
    <row r="29835" spans="32:32" x14ac:dyDescent="0.2">
      <c r="AF29835" s="679"/>
    </row>
    <row r="29836" spans="32:32" x14ac:dyDescent="0.2">
      <c r="AF29836" s="679"/>
    </row>
    <row r="29837" spans="32:32" x14ac:dyDescent="0.2">
      <c r="AF29837" s="679"/>
    </row>
    <row r="29838" spans="32:32" x14ac:dyDescent="0.2">
      <c r="AF29838" s="679"/>
    </row>
    <row r="29839" spans="32:32" x14ac:dyDescent="0.2">
      <c r="AF29839" s="679"/>
    </row>
    <row r="29840" spans="32:32" x14ac:dyDescent="0.2">
      <c r="AF29840" s="679"/>
    </row>
    <row r="29841" spans="32:32" x14ac:dyDescent="0.2">
      <c r="AF29841" s="679"/>
    </row>
    <row r="29842" spans="32:32" x14ac:dyDescent="0.2">
      <c r="AF29842" s="679"/>
    </row>
    <row r="29843" spans="32:32" x14ac:dyDescent="0.2">
      <c r="AF29843" s="679"/>
    </row>
    <row r="29844" spans="32:32" x14ac:dyDescent="0.2">
      <c r="AF29844" s="679"/>
    </row>
    <row r="29845" spans="32:32" x14ac:dyDescent="0.2">
      <c r="AF29845" s="679"/>
    </row>
    <row r="29846" spans="32:32" x14ac:dyDescent="0.2">
      <c r="AF29846" s="679"/>
    </row>
    <row r="29847" spans="32:32" x14ac:dyDescent="0.2">
      <c r="AF29847" s="679"/>
    </row>
    <row r="29848" spans="32:32" x14ac:dyDescent="0.2">
      <c r="AF29848" s="679"/>
    </row>
    <row r="29849" spans="32:32" x14ac:dyDescent="0.2">
      <c r="AF29849" s="679"/>
    </row>
    <row r="29850" spans="32:32" x14ac:dyDescent="0.2">
      <c r="AF29850" s="679"/>
    </row>
    <row r="29851" spans="32:32" x14ac:dyDescent="0.2">
      <c r="AF29851" s="679"/>
    </row>
    <row r="29852" spans="32:32" x14ac:dyDescent="0.2">
      <c r="AF29852" s="679"/>
    </row>
    <row r="29853" spans="32:32" x14ac:dyDescent="0.2">
      <c r="AF29853" s="679"/>
    </row>
    <row r="29854" spans="32:32" x14ac:dyDescent="0.2">
      <c r="AF29854" s="679"/>
    </row>
    <row r="29855" spans="32:32" x14ac:dyDescent="0.2">
      <c r="AF29855" s="679"/>
    </row>
    <row r="29856" spans="32:32" x14ac:dyDescent="0.2">
      <c r="AF29856" s="679"/>
    </row>
    <row r="29857" spans="32:32" x14ac:dyDescent="0.2">
      <c r="AF29857" s="679"/>
    </row>
    <row r="29858" spans="32:32" x14ac:dyDescent="0.2">
      <c r="AF29858" s="679"/>
    </row>
    <row r="29859" spans="32:32" x14ac:dyDescent="0.2">
      <c r="AF29859" s="679"/>
    </row>
    <row r="29860" spans="32:32" x14ac:dyDescent="0.2">
      <c r="AF29860" s="679"/>
    </row>
    <row r="29861" spans="32:32" x14ac:dyDescent="0.2">
      <c r="AF29861" s="679"/>
    </row>
    <row r="29862" spans="32:32" x14ac:dyDescent="0.2">
      <c r="AF29862" s="679"/>
    </row>
    <row r="29863" spans="32:32" x14ac:dyDescent="0.2">
      <c r="AF29863" s="679"/>
    </row>
    <row r="29864" spans="32:32" x14ac:dyDescent="0.2">
      <c r="AF29864" s="679"/>
    </row>
    <row r="29865" spans="32:32" x14ac:dyDescent="0.2">
      <c r="AF29865" s="679"/>
    </row>
    <row r="29866" spans="32:32" x14ac:dyDescent="0.2">
      <c r="AF29866" s="679"/>
    </row>
    <row r="29867" spans="32:32" x14ac:dyDescent="0.2">
      <c r="AF29867" s="679"/>
    </row>
    <row r="29868" spans="32:32" x14ac:dyDescent="0.2">
      <c r="AF29868" s="679"/>
    </row>
    <row r="29869" spans="32:32" x14ac:dyDescent="0.2">
      <c r="AF29869" s="679"/>
    </row>
    <row r="29870" spans="32:32" x14ac:dyDescent="0.2">
      <c r="AF29870" s="679"/>
    </row>
    <row r="29871" spans="32:32" x14ac:dyDescent="0.2">
      <c r="AF29871" s="679"/>
    </row>
    <row r="29872" spans="32:32" x14ac:dyDescent="0.2">
      <c r="AF29872" s="679"/>
    </row>
    <row r="29873" spans="32:32" x14ac:dyDescent="0.2">
      <c r="AF29873" s="679"/>
    </row>
    <row r="29874" spans="32:32" x14ac:dyDescent="0.2">
      <c r="AF29874" s="679"/>
    </row>
    <row r="29875" spans="32:32" x14ac:dyDescent="0.2">
      <c r="AF29875" s="679"/>
    </row>
    <row r="29876" spans="32:32" x14ac:dyDescent="0.2">
      <c r="AF29876" s="679"/>
    </row>
    <row r="29877" spans="32:32" x14ac:dyDescent="0.2">
      <c r="AF29877" s="679"/>
    </row>
    <row r="29878" spans="32:32" x14ac:dyDescent="0.2">
      <c r="AF29878" s="679"/>
    </row>
    <row r="29879" spans="32:32" x14ac:dyDescent="0.2">
      <c r="AF29879" s="679"/>
    </row>
    <row r="29880" spans="32:32" x14ac:dyDescent="0.2">
      <c r="AF29880" s="679"/>
    </row>
    <row r="29881" spans="32:32" x14ac:dyDescent="0.2">
      <c r="AF29881" s="679"/>
    </row>
    <row r="29882" spans="32:32" x14ac:dyDescent="0.2">
      <c r="AF29882" s="679"/>
    </row>
    <row r="29883" spans="32:32" x14ac:dyDescent="0.2">
      <c r="AF29883" s="679"/>
    </row>
    <row r="29884" spans="32:32" x14ac:dyDescent="0.2">
      <c r="AF29884" s="679"/>
    </row>
    <row r="29885" spans="32:32" x14ac:dyDescent="0.2">
      <c r="AF29885" s="679"/>
    </row>
    <row r="29886" spans="32:32" x14ac:dyDescent="0.2">
      <c r="AF29886" s="679"/>
    </row>
    <row r="29887" spans="32:32" x14ac:dyDescent="0.2">
      <c r="AF29887" s="679"/>
    </row>
    <row r="29888" spans="32:32" x14ac:dyDescent="0.2">
      <c r="AF29888" s="679"/>
    </row>
    <row r="29889" spans="32:32" x14ac:dyDescent="0.2">
      <c r="AF29889" s="679"/>
    </row>
    <row r="29890" spans="32:32" x14ac:dyDescent="0.2">
      <c r="AF29890" s="679"/>
    </row>
    <row r="29891" spans="32:32" x14ac:dyDescent="0.2">
      <c r="AF29891" s="679"/>
    </row>
    <row r="29892" spans="32:32" x14ac:dyDescent="0.2">
      <c r="AF29892" s="679"/>
    </row>
    <row r="29893" spans="32:32" x14ac:dyDescent="0.2">
      <c r="AF29893" s="679"/>
    </row>
    <row r="29894" spans="32:32" x14ac:dyDescent="0.2">
      <c r="AF29894" s="679"/>
    </row>
    <row r="29895" spans="32:32" x14ac:dyDescent="0.2">
      <c r="AF29895" s="679"/>
    </row>
    <row r="29896" spans="32:32" x14ac:dyDescent="0.2">
      <c r="AF29896" s="679"/>
    </row>
    <row r="29897" spans="32:32" x14ac:dyDescent="0.2">
      <c r="AF29897" s="679"/>
    </row>
    <row r="29898" spans="32:32" x14ac:dyDescent="0.2">
      <c r="AF29898" s="679"/>
    </row>
    <row r="29899" spans="32:32" x14ac:dyDescent="0.2">
      <c r="AF29899" s="679"/>
    </row>
    <row r="29900" spans="32:32" x14ac:dyDescent="0.2">
      <c r="AF29900" s="679"/>
    </row>
    <row r="29901" spans="32:32" x14ac:dyDescent="0.2">
      <c r="AF29901" s="679"/>
    </row>
    <row r="29902" spans="32:32" x14ac:dyDescent="0.2">
      <c r="AF29902" s="679"/>
    </row>
    <row r="29903" spans="32:32" x14ac:dyDescent="0.2">
      <c r="AF29903" s="679"/>
    </row>
    <row r="29904" spans="32:32" x14ac:dyDescent="0.2">
      <c r="AF29904" s="679"/>
    </row>
    <row r="29905" spans="32:32" x14ac:dyDescent="0.2">
      <c r="AF29905" s="679"/>
    </row>
    <row r="29906" spans="32:32" x14ac:dyDescent="0.2">
      <c r="AF29906" s="679"/>
    </row>
    <row r="29907" spans="32:32" x14ac:dyDescent="0.2">
      <c r="AF29907" s="679"/>
    </row>
    <row r="29908" spans="32:32" x14ac:dyDescent="0.2">
      <c r="AF29908" s="679"/>
    </row>
    <row r="29909" spans="32:32" x14ac:dyDescent="0.2">
      <c r="AF29909" s="679"/>
    </row>
    <row r="29910" spans="32:32" x14ac:dyDescent="0.2">
      <c r="AF29910" s="679"/>
    </row>
    <row r="29911" spans="32:32" x14ac:dyDescent="0.2">
      <c r="AF29911" s="679"/>
    </row>
    <row r="29912" spans="32:32" x14ac:dyDescent="0.2">
      <c r="AF29912" s="679"/>
    </row>
    <row r="29913" spans="32:32" x14ac:dyDescent="0.2">
      <c r="AF29913" s="679"/>
    </row>
    <row r="29914" spans="32:32" x14ac:dyDescent="0.2">
      <c r="AF29914" s="679"/>
    </row>
    <row r="29915" spans="32:32" x14ac:dyDescent="0.2">
      <c r="AF29915" s="679"/>
    </row>
    <row r="29916" spans="32:32" x14ac:dyDescent="0.2">
      <c r="AF29916" s="679"/>
    </row>
    <row r="29917" spans="32:32" x14ac:dyDescent="0.2">
      <c r="AF29917" s="679"/>
    </row>
    <row r="29918" spans="32:32" x14ac:dyDescent="0.2">
      <c r="AF29918" s="679"/>
    </row>
    <row r="29919" spans="32:32" x14ac:dyDescent="0.2">
      <c r="AF29919" s="679"/>
    </row>
    <row r="29920" spans="32:32" x14ac:dyDescent="0.2">
      <c r="AF29920" s="679"/>
    </row>
    <row r="29921" spans="32:32" x14ac:dyDescent="0.2">
      <c r="AF29921" s="679"/>
    </row>
    <row r="29922" spans="32:32" x14ac:dyDescent="0.2">
      <c r="AF29922" s="679"/>
    </row>
    <row r="29923" spans="32:32" x14ac:dyDescent="0.2">
      <c r="AF29923" s="679"/>
    </row>
    <row r="29924" spans="32:32" x14ac:dyDescent="0.2">
      <c r="AF29924" s="679"/>
    </row>
    <row r="29925" spans="32:32" x14ac:dyDescent="0.2">
      <c r="AF29925" s="679"/>
    </row>
    <row r="29926" spans="32:32" x14ac:dyDescent="0.2">
      <c r="AF29926" s="679"/>
    </row>
    <row r="29927" spans="32:32" x14ac:dyDescent="0.2">
      <c r="AF29927" s="679"/>
    </row>
    <row r="29928" spans="32:32" x14ac:dyDescent="0.2">
      <c r="AF29928" s="679"/>
    </row>
    <row r="29929" spans="32:32" x14ac:dyDescent="0.2">
      <c r="AF29929" s="679"/>
    </row>
    <row r="29930" spans="32:32" x14ac:dyDescent="0.2">
      <c r="AF29930" s="679"/>
    </row>
    <row r="29931" spans="32:32" x14ac:dyDescent="0.2">
      <c r="AF29931" s="679"/>
    </row>
    <row r="29932" spans="32:32" x14ac:dyDescent="0.2">
      <c r="AF29932" s="679"/>
    </row>
    <row r="29933" spans="32:32" x14ac:dyDescent="0.2">
      <c r="AF29933" s="679"/>
    </row>
    <row r="29934" spans="32:32" x14ac:dyDescent="0.2">
      <c r="AF29934" s="679"/>
    </row>
    <row r="29935" spans="32:32" x14ac:dyDescent="0.2">
      <c r="AF29935" s="679"/>
    </row>
    <row r="29936" spans="32:32" x14ac:dyDescent="0.2">
      <c r="AF29936" s="679"/>
    </row>
    <row r="29937" spans="32:32" x14ac:dyDescent="0.2">
      <c r="AF29937" s="679"/>
    </row>
    <row r="29938" spans="32:32" x14ac:dyDescent="0.2">
      <c r="AF29938" s="679"/>
    </row>
    <row r="29939" spans="32:32" x14ac:dyDescent="0.2">
      <c r="AF29939" s="679"/>
    </row>
    <row r="29940" spans="32:32" x14ac:dyDescent="0.2">
      <c r="AF29940" s="679"/>
    </row>
    <row r="29941" spans="32:32" x14ac:dyDescent="0.2">
      <c r="AF29941" s="679"/>
    </row>
    <row r="29942" spans="32:32" x14ac:dyDescent="0.2">
      <c r="AF29942" s="679"/>
    </row>
    <row r="29943" spans="32:32" x14ac:dyDescent="0.2">
      <c r="AF29943" s="679"/>
    </row>
    <row r="29944" spans="32:32" x14ac:dyDescent="0.2">
      <c r="AF29944" s="679"/>
    </row>
    <row r="29945" spans="32:32" x14ac:dyDescent="0.2">
      <c r="AF29945" s="679"/>
    </row>
    <row r="29946" spans="32:32" x14ac:dyDescent="0.2">
      <c r="AF29946" s="679"/>
    </row>
    <row r="29947" spans="32:32" x14ac:dyDescent="0.2">
      <c r="AF29947" s="679"/>
    </row>
    <row r="29948" spans="32:32" x14ac:dyDescent="0.2">
      <c r="AF29948" s="679"/>
    </row>
    <row r="29949" spans="32:32" x14ac:dyDescent="0.2">
      <c r="AF29949" s="679"/>
    </row>
    <row r="29950" spans="32:32" x14ac:dyDescent="0.2">
      <c r="AF29950" s="679"/>
    </row>
    <row r="29951" spans="32:32" x14ac:dyDescent="0.2">
      <c r="AF29951" s="679"/>
    </row>
    <row r="29952" spans="32:32" x14ac:dyDescent="0.2">
      <c r="AF29952" s="679"/>
    </row>
    <row r="29953" spans="32:32" x14ac:dyDescent="0.2">
      <c r="AF29953" s="679"/>
    </row>
    <row r="29954" spans="32:32" x14ac:dyDescent="0.2">
      <c r="AF29954" s="679"/>
    </row>
    <row r="29955" spans="32:32" x14ac:dyDescent="0.2">
      <c r="AF29955" s="679"/>
    </row>
    <row r="29956" spans="32:32" x14ac:dyDescent="0.2">
      <c r="AF29956" s="679"/>
    </row>
    <row r="29957" spans="32:32" x14ac:dyDescent="0.2">
      <c r="AF29957" s="679"/>
    </row>
    <row r="29958" spans="32:32" x14ac:dyDescent="0.2">
      <c r="AF29958" s="679"/>
    </row>
    <row r="29959" spans="32:32" x14ac:dyDescent="0.2">
      <c r="AF29959" s="679"/>
    </row>
    <row r="29960" spans="32:32" x14ac:dyDescent="0.2">
      <c r="AF29960" s="679"/>
    </row>
    <row r="29961" spans="32:32" x14ac:dyDescent="0.2">
      <c r="AF29961" s="679"/>
    </row>
    <row r="29962" spans="32:32" x14ac:dyDescent="0.2">
      <c r="AF29962" s="679"/>
    </row>
    <row r="29963" spans="32:32" x14ac:dyDescent="0.2">
      <c r="AF29963" s="679"/>
    </row>
    <row r="29964" spans="32:32" x14ac:dyDescent="0.2">
      <c r="AF29964" s="679"/>
    </row>
    <row r="29965" spans="32:32" x14ac:dyDescent="0.2">
      <c r="AF29965" s="679"/>
    </row>
    <row r="29966" spans="32:32" x14ac:dyDescent="0.2">
      <c r="AF29966" s="679"/>
    </row>
    <row r="29967" spans="32:32" x14ac:dyDescent="0.2">
      <c r="AF29967" s="679"/>
    </row>
    <row r="29968" spans="32:32" x14ac:dyDescent="0.2">
      <c r="AF29968" s="679"/>
    </row>
    <row r="29969" spans="32:32" x14ac:dyDescent="0.2">
      <c r="AF29969" s="679"/>
    </row>
    <row r="29970" spans="32:32" x14ac:dyDescent="0.2">
      <c r="AF29970" s="679"/>
    </row>
    <row r="29971" spans="32:32" x14ac:dyDescent="0.2">
      <c r="AF29971" s="679"/>
    </row>
    <row r="29972" spans="32:32" x14ac:dyDescent="0.2">
      <c r="AF29972" s="679"/>
    </row>
    <row r="29973" spans="32:32" x14ac:dyDescent="0.2">
      <c r="AF29973" s="679"/>
    </row>
    <row r="29974" spans="32:32" x14ac:dyDescent="0.2">
      <c r="AF29974" s="679"/>
    </row>
    <row r="29975" spans="32:32" x14ac:dyDescent="0.2">
      <c r="AF29975" s="679"/>
    </row>
    <row r="29976" spans="32:32" x14ac:dyDescent="0.2">
      <c r="AF29976" s="679"/>
    </row>
    <row r="29977" spans="32:32" x14ac:dyDescent="0.2">
      <c r="AF29977" s="679"/>
    </row>
    <row r="29978" spans="32:32" x14ac:dyDescent="0.2">
      <c r="AF29978" s="679"/>
    </row>
    <row r="29979" spans="32:32" x14ac:dyDescent="0.2">
      <c r="AF29979" s="679"/>
    </row>
    <row r="29980" spans="32:32" x14ac:dyDescent="0.2">
      <c r="AF29980" s="679"/>
    </row>
    <row r="29981" spans="32:32" x14ac:dyDescent="0.2">
      <c r="AF29981" s="679"/>
    </row>
    <row r="29982" spans="32:32" x14ac:dyDescent="0.2">
      <c r="AF29982" s="679"/>
    </row>
    <row r="29983" spans="32:32" x14ac:dyDescent="0.2">
      <c r="AF29983" s="679"/>
    </row>
    <row r="29984" spans="32:32" x14ac:dyDescent="0.2">
      <c r="AF29984" s="679"/>
    </row>
    <row r="29985" spans="32:32" x14ac:dyDescent="0.2">
      <c r="AF29985" s="679"/>
    </row>
    <row r="29986" spans="32:32" x14ac:dyDescent="0.2">
      <c r="AF29986" s="679"/>
    </row>
    <row r="29987" spans="32:32" x14ac:dyDescent="0.2">
      <c r="AF29987" s="679"/>
    </row>
    <row r="29988" spans="32:32" x14ac:dyDescent="0.2">
      <c r="AF29988" s="679"/>
    </row>
    <row r="29989" spans="32:32" x14ac:dyDescent="0.2">
      <c r="AF29989" s="679"/>
    </row>
    <row r="29990" spans="32:32" x14ac:dyDescent="0.2">
      <c r="AF29990" s="679"/>
    </row>
    <row r="29991" spans="32:32" x14ac:dyDescent="0.2">
      <c r="AF29991" s="679"/>
    </row>
    <row r="29992" spans="32:32" x14ac:dyDescent="0.2">
      <c r="AF29992" s="679"/>
    </row>
    <row r="29993" spans="32:32" x14ac:dyDescent="0.2">
      <c r="AF29993" s="679"/>
    </row>
    <row r="29994" spans="32:32" x14ac:dyDescent="0.2">
      <c r="AF29994" s="679"/>
    </row>
    <row r="29995" spans="32:32" x14ac:dyDescent="0.2">
      <c r="AF29995" s="679"/>
    </row>
    <row r="29996" spans="32:32" x14ac:dyDescent="0.2">
      <c r="AF29996" s="679"/>
    </row>
    <row r="29997" spans="32:32" x14ac:dyDescent="0.2">
      <c r="AF29997" s="679"/>
    </row>
    <row r="29998" spans="32:32" x14ac:dyDescent="0.2">
      <c r="AF29998" s="679"/>
    </row>
    <row r="29999" spans="32:32" x14ac:dyDescent="0.2">
      <c r="AF29999" s="679"/>
    </row>
    <row r="30000" spans="32:32" x14ac:dyDescent="0.2">
      <c r="AF30000" s="679"/>
    </row>
    <row r="30001" spans="32:32" x14ac:dyDescent="0.2">
      <c r="AF30001" s="679"/>
    </row>
    <row r="30002" spans="32:32" x14ac:dyDescent="0.2">
      <c r="AF30002" s="679"/>
    </row>
    <row r="30003" spans="32:32" x14ac:dyDescent="0.2">
      <c r="AF30003" s="679"/>
    </row>
    <row r="30004" spans="32:32" x14ac:dyDescent="0.2">
      <c r="AF30004" s="679"/>
    </row>
    <row r="30005" spans="32:32" x14ac:dyDescent="0.2">
      <c r="AF30005" s="679"/>
    </row>
    <row r="30006" spans="32:32" x14ac:dyDescent="0.2">
      <c r="AF30006" s="679"/>
    </row>
    <row r="30007" spans="32:32" x14ac:dyDescent="0.2">
      <c r="AF30007" s="679"/>
    </row>
    <row r="30008" spans="32:32" x14ac:dyDescent="0.2">
      <c r="AF30008" s="679"/>
    </row>
    <row r="30009" spans="32:32" x14ac:dyDescent="0.2">
      <c r="AF30009" s="679"/>
    </row>
    <row r="30010" spans="32:32" x14ac:dyDescent="0.2">
      <c r="AF30010" s="679"/>
    </row>
    <row r="30011" spans="32:32" x14ac:dyDescent="0.2">
      <c r="AF30011" s="679"/>
    </row>
    <row r="30012" spans="32:32" x14ac:dyDescent="0.2">
      <c r="AF30012" s="679"/>
    </row>
    <row r="30013" spans="32:32" x14ac:dyDescent="0.2">
      <c r="AF30013" s="679"/>
    </row>
    <row r="30014" spans="32:32" x14ac:dyDescent="0.2">
      <c r="AF30014" s="679"/>
    </row>
    <row r="30015" spans="32:32" x14ac:dyDescent="0.2">
      <c r="AF30015" s="679"/>
    </row>
    <row r="30016" spans="32:32" x14ac:dyDescent="0.2">
      <c r="AF30016" s="679"/>
    </row>
    <row r="30017" spans="32:32" x14ac:dyDescent="0.2">
      <c r="AF30017" s="679"/>
    </row>
    <row r="30018" spans="32:32" x14ac:dyDescent="0.2">
      <c r="AF30018" s="679"/>
    </row>
    <row r="30019" spans="32:32" x14ac:dyDescent="0.2">
      <c r="AF30019" s="679"/>
    </row>
    <row r="30020" spans="32:32" x14ac:dyDescent="0.2">
      <c r="AF30020" s="679"/>
    </row>
    <row r="30021" spans="32:32" x14ac:dyDescent="0.2">
      <c r="AF30021" s="679"/>
    </row>
    <row r="30022" spans="32:32" x14ac:dyDescent="0.2">
      <c r="AF30022" s="679"/>
    </row>
    <row r="30023" spans="32:32" x14ac:dyDescent="0.2">
      <c r="AF30023" s="679"/>
    </row>
    <row r="30024" spans="32:32" x14ac:dyDescent="0.2">
      <c r="AF30024" s="679"/>
    </row>
    <row r="30025" spans="32:32" x14ac:dyDescent="0.2">
      <c r="AF30025" s="679"/>
    </row>
    <row r="30026" spans="32:32" x14ac:dyDescent="0.2">
      <c r="AF30026" s="679"/>
    </row>
    <row r="30027" spans="32:32" x14ac:dyDescent="0.2">
      <c r="AF30027" s="679"/>
    </row>
    <row r="30028" spans="32:32" x14ac:dyDescent="0.2">
      <c r="AF30028" s="679"/>
    </row>
    <row r="30029" spans="32:32" x14ac:dyDescent="0.2">
      <c r="AF30029" s="679"/>
    </row>
    <row r="30030" spans="32:32" x14ac:dyDescent="0.2">
      <c r="AF30030" s="679"/>
    </row>
    <row r="30031" spans="32:32" x14ac:dyDescent="0.2">
      <c r="AF30031" s="679"/>
    </row>
    <row r="30032" spans="32:32" x14ac:dyDescent="0.2">
      <c r="AF30032" s="679"/>
    </row>
    <row r="30033" spans="32:32" x14ac:dyDescent="0.2">
      <c r="AF30033" s="679"/>
    </row>
    <row r="30034" spans="32:32" x14ac:dyDescent="0.2">
      <c r="AF30034" s="679"/>
    </row>
    <row r="30035" spans="32:32" x14ac:dyDescent="0.2">
      <c r="AF30035" s="679"/>
    </row>
    <row r="30036" spans="32:32" x14ac:dyDescent="0.2">
      <c r="AF30036" s="679"/>
    </row>
    <row r="30037" spans="32:32" x14ac:dyDescent="0.2">
      <c r="AF30037" s="679"/>
    </row>
    <row r="30038" spans="32:32" x14ac:dyDescent="0.2">
      <c r="AF30038" s="679"/>
    </row>
    <row r="30039" spans="32:32" x14ac:dyDescent="0.2">
      <c r="AF30039" s="679"/>
    </row>
    <row r="30040" spans="32:32" x14ac:dyDescent="0.2">
      <c r="AF30040" s="679"/>
    </row>
    <row r="30041" spans="32:32" x14ac:dyDescent="0.2">
      <c r="AF30041" s="679"/>
    </row>
    <row r="30042" spans="32:32" x14ac:dyDescent="0.2">
      <c r="AF30042" s="679"/>
    </row>
    <row r="30043" spans="32:32" x14ac:dyDescent="0.2">
      <c r="AF30043" s="679"/>
    </row>
    <row r="30044" spans="32:32" x14ac:dyDescent="0.2">
      <c r="AF30044" s="679"/>
    </row>
    <row r="30045" spans="32:32" x14ac:dyDescent="0.2">
      <c r="AF30045" s="679"/>
    </row>
    <row r="30046" spans="32:32" x14ac:dyDescent="0.2">
      <c r="AF30046" s="679"/>
    </row>
    <row r="30047" spans="32:32" x14ac:dyDescent="0.2">
      <c r="AF30047" s="679"/>
    </row>
    <row r="30048" spans="32:32" x14ac:dyDescent="0.2">
      <c r="AF30048" s="679"/>
    </row>
    <row r="30049" spans="32:32" x14ac:dyDescent="0.2">
      <c r="AF30049" s="679"/>
    </row>
    <row r="30050" spans="32:32" x14ac:dyDescent="0.2">
      <c r="AF30050" s="679"/>
    </row>
    <row r="30051" spans="32:32" x14ac:dyDescent="0.2">
      <c r="AF30051" s="679"/>
    </row>
    <row r="30052" spans="32:32" x14ac:dyDescent="0.2">
      <c r="AF30052" s="679"/>
    </row>
    <row r="30053" spans="32:32" x14ac:dyDescent="0.2">
      <c r="AF30053" s="679"/>
    </row>
    <row r="30054" spans="32:32" x14ac:dyDescent="0.2">
      <c r="AF30054" s="679"/>
    </row>
    <row r="30055" spans="32:32" x14ac:dyDescent="0.2">
      <c r="AF30055" s="679"/>
    </row>
    <row r="30056" spans="32:32" x14ac:dyDescent="0.2">
      <c r="AF30056" s="679"/>
    </row>
    <row r="30057" spans="32:32" x14ac:dyDescent="0.2">
      <c r="AF30057" s="679"/>
    </row>
    <row r="30058" spans="32:32" x14ac:dyDescent="0.2">
      <c r="AF30058" s="679"/>
    </row>
    <row r="30059" spans="32:32" x14ac:dyDescent="0.2">
      <c r="AF30059" s="679"/>
    </row>
    <row r="30060" spans="32:32" x14ac:dyDescent="0.2">
      <c r="AF30060" s="679"/>
    </row>
    <row r="30061" spans="32:32" x14ac:dyDescent="0.2">
      <c r="AF30061" s="679"/>
    </row>
    <row r="30062" spans="32:32" x14ac:dyDescent="0.2">
      <c r="AF30062" s="679"/>
    </row>
    <row r="30063" spans="32:32" x14ac:dyDescent="0.2">
      <c r="AF30063" s="679"/>
    </row>
    <row r="30064" spans="32:32" x14ac:dyDescent="0.2">
      <c r="AF30064" s="679"/>
    </row>
    <row r="30065" spans="32:32" x14ac:dyDescent="0.2">
      <c r="AF30065" s="679"/>
    </row>
    <row r="30066" spans="32:32" x14ac:dyDescent="0.2">
      <c r="AF30066" s="679"/>
    </row>
    <row r="30067" spans="32:32" x14ac:dyDescent="0.2">
      <c r="AF30067" s="679"/>
    </row>
    <row r="30068" spans="32:32" x14ac:dyDescent="0.2">
      <c r="AF30068" s="679"/>
    </row>
    <row r="30069" spans="32:32" x14ac:dyDescent="0.2">
      <c r="AF30069" s="679"/>
    </row>
    <row r="30070" spans="32:32" x14ac:dyDescent="0.2">
      <c r="AF30070" s="679"/>
    </row>
    <row r="30071" spans="32:32" x14ac:dyDescent="0.2">
      <c r="AF30071" s="679"/>
    </row>
    <row r="30072" spans="32:32" x14ac:dyDescent="0.2">
      <c r="AF30072" s="679"/>
    </row>
    <row r="30073" spans="32:32" x14ac:dyDescent="0.2">
      <c r="AF30073" s="679"/>
    </row>
    <row r="30074" spans="32:32" x14ac:dyDescent="0.2">
      <c r="AF30074" s="679"/>
    </row>
    <row r="30075" spans="32:32" x14ac:dyDescent="0.2">
      <c r="AF30075" s="679"/>
    </row>
    <row r="30076" spans="32:32" x14ac:dyDescent="0.2">
      <c r="AF30076" s="679"/>
    </row>
    <row r="30077" spans="32:32" x14ac:dyDescent="0.2">
      <c r="AF30077" s="679"/>
    </row>
    <row r="30078" spans="32:32" x14ac:dyDescent="0.2">
      <c r="AF30078" s="679"/>
    </row>
    <row r="30079" spans="32:32" x14ac:dyDescent="0.2">
      <c r="AF30079" s="679"/>
    </row>
    <row r="30080" spans="32:32" x14ac:dyDescent="0.2">
      <c r="AF30080" s="679"/>
    </row>
    <row r="30081" spans="32:32" x14ac:dyDescent="0.2">
      <c r="AF30081" s="679"/>
    </row>
    <row r="30082" spans="32:32" x14ac:dyDescent="0.2">
      <c r="AF30082" s="679"/>
    </row>
    <row r="30083" spans="32:32" x14ac:dyDescent="0.2">
      <c r="AF30083" s="679"/>
    </row>
    <row r="30084" spans="32:32" x14ac:dyDescent="0.2">
      <c r="AF30084" s="679"/>
    </row>
    <row r="30085" spans="32:32" x14ac:dyDescent="0.2">
      <c r="AF30085" s="679"/>
    </row>
    <row r="30086" spans="32:32" x14ac:dyDescent="0.2">
      <c r="AF30086" s="679"/>
    </row>
    <row r="30087" spans="32:32" x14ac:dyDescent="0.2">
      <c r="AF30087" s="679"/>
    </row>
    <row r="30088" spans="32:32" x14ac:dyDescent="0.2">
      <c r="AF30088" s="679"/>
    </row>
    <row r="30089" spans="32:32" x14ac:dyDescent="0.2">
      <c r="AF30089" s="679"/>
    </row>
    <row r="30090" spans="32:32" x14ac:dyDescent="0.2">
      <c r="AF30090" s="679"/>
    </row>
    <row r="30091" spans="32:32" x14ac:dyDescent="0.2">
      <c r="AF30091" s="679"/>
    </row>
    <row r="30092" spans="32:32" x14ac:dyDescent="0.2">
      <c r="AF30092" s="679"/>
    </row>
    <row r="30093" spans="32:32" x14ac:dyDescent="0.2">
      <c r="AF30093" s="679"/>
    </row>
    <row r="30094" spans="32:32" x14ac:dyDescent="0.2">
      <c r="AF30094" s="679"/>
    </row>
    <row r="30095" spans="32:32" x14ac:dyDescent="0.2">
      <c r="AF30095" s="679"/>
    </row>
    <row r="30096" spans="32:32" x14ac:dyDescent="0.2">
      <c r="AF30096" s="679"/>
    </row>
    <row r="30097" spans="32:32" x14ac:dyDescent="0.2">
      <c r="AF30097" s="679"/>
    </row>
    <row r="30098" spans="32:32" x14ac:dyDescent="0.2">
      <c r="AF30098" s="679"/>
    </row>
    <row r="30099" spans="32:32" x14ac:dyDescent="0.2">
      <c r="AF30099" s="679"/>
    </row>
    <row r="30100" spans="32:32" x14ac:dyDescent="0.2">
      <c r="AF30100" s="679"/>
    </row>
    <row r="30101" spans="32:32" x14ac:dyDescent="0.2">
      <c r="AF30101" s="679"/>
    </row>
    <row r="30102" spans="32:32" x14ac:dyDescent="0.2">
      <c r="AF30102" s="679"/>
    </row>
    <row r="30103" spans="32:32" x14ac:dyDescent="0.2">
      <c r="AF30103" s="679"/>
    </row>
    <row r="30104" spans="32:32" x14ac:dyDescent="0.2">
      <c r="AF30104" s="679"/>
    </row>
    <row r="30105" spans="32:32" x14ac:dyDescent="0.2">
      <c r="AF30105" s="679"/>
    </row>
    <row r="30106" spans="32:32" x14ac:dyDescent="0.2">
      <c r="AF30106" s="679"/>
    </row>
    <row r="30107" spans="32:32" x14ac:dyDescent="0.2">
      <c r="AF30107" s="679"/>
    </row>
    <row r="30108" spans="32:32" x14ac:dyDescent="0.2">
      <c r="AF30108" s="679"/>
    </row>
    <row r="30109" spans="32:32" x14ac:dyDescent="0.2">
      <c r="AF30109" s="679"/>
    </row>
    <row r="30110" spans="32:32" x14ac:dyDescent="0.2">
      <c r="AF30110" s="679"/>
    </row>
    <row r="30111" spans="32:32" x14ac:dyDescent="0.2">
      <c r="AF30111" s="679"/>
    </row>
    <row r="30112" spans="32:32" x14ac:dyDescent="0.2">
      <c r="AF30112" s="679"/>
    </row>
    <row r="30113" spans="32:32" x14ac:dyDescent="0.2">
      <c r="AF30113" s="679"/>
    </row>
    <row r="30114" spans="32:32" x14ac:dyDescent="0.2">
      <c r="AF30114" s="679"/>
    </row>
    <row r="30115" spans="32:32" x14ac:dyDescent="0.2">
      <c r="AF30115" s="679"/>
    </row>
    <row r="30116" spans="32:32" x14ac:dyDescent="0.2">
      <c r="AF30116" s="679"/>
    </row>
    <row r="30117" spans="32:32" x14ac:dyDescent="0.2">
      <c r="AF30117" s="679"/>
    </row>
    <row r="30118" spans="32:32" x14ac:dyDescent="0.2">
      <c r="AF30118" s="679"/>
    </row>
    <row r="30119" spans="32:32" x14ac:dyDescent="0.2">
      <c r="AF30119" s="679"/>
    </row>
    <row r="30120" spans="32:32" x14ac:dyDescent="0.2">
      <c r="AF30120" s="679"/>
    </row>
    <row r="30121" spans="32:32" x14ac:dyDescent="0.2">
      <c r="AF30121" s="679"/>
    </row>
    <row r="30122" spans="32:32" x14ac:dyDescent="0.2">
      <c r="AF30122" s="679"/>
    </row>
    <row r="30123" spans="32:32" x14ac:dyDescent="0.2">
      <c r="AF30123" s="679"/>
    </row>
    <row r="30124" spans="32:32" x14ac:dyDescent="0.2">
      <c r="AF30124" s="679"/>
    </row>
    <row r="30125" spans="32:32" x14ac:dyDescent="0.2">
      <c r="AF30125" s="679"/>
    </row>
    <row r="30126" spans="32:32" x14ac:dyDescent="0.2">
      <c r="AF30126" s="679"/>
    </row>
    <row r="30127" spans="32:32" x14ac:dyDescent="0.2">
      <c r="AF30127" s="679"/>
    </row>
    <row r="30128" spans="32:32" x14ac:dyDescent="0.2">
      <c r="AF30128" s="679"/>
    </row>
    <row r="30129" spans="32:32" x14ac:dyDescent="0.2">
      <c r="AF30129" s="679"/>
    </row>
    <row r="30130" spans="32:32" x14ac:dyDescent="0.2">
      <c r="AF30130" s="679"/>
    </row>
    <row r="30131" spans="32:32" x14ac:dyDescent="0.2">
      <c r="AF30131" s="679"/>
    </row>
    <row r="30132" spans="32:32" x14ac:dyDescent="0.2">
      <c r="AF30132" s="679"/>
    </row>
    <row r="30133" spans="32:32" x14ac:dyDescent="0.2">
      <c r="AF30133" s="679"/>
    </row>
    <row r="30134" spans="32:32" x14ac:dyDescent="0.2">
      <c r="AF30134" s="679"/>
    </row>
    <row r="30135" spans="32:32" x14ac:dyDescent="0.2">
      <c r="AF30135" s="679"/>
    </row>
    <row r="30136" spans="32:32" x14ac:dyDescent="0.2">
      <c r="AF30136" s="679"/>
    </row>
    <row r="30137" spans="32:32" x14ac:dyDescent="0.2">
      <c r="AF30137" s="679"/>
    </row>
    <row r="30138" spans="32:32" x14ac:dyDescent="0.2">
      <c r="AF30138" s="679"/>
    </row>
    <row r="30139" spans="32:32" x14ac:dyDescent="0.2">
      <c r="AF30139" s="679"/>
    </row>
    <row r="30140" spans="32:32" x14ac:dyDescent="0.2">
      <c r="AF30140" s="679"/>
    </row>
    <row r="30141" spans="32:32" x14ac:dyDescent="0.2">
      <c r="AF30141" s="679"/>
    </row>
    <row r="30142" spans="32:32" x14ac:dyDescent="0.2">
      <c r="AF30142" s="679"/>
    </row>
    <row r="30143" spans="32:32" x14ac:dyDescent="0.2">
      <c r="AF30143" s="679"/>
    </row>
    <row r="30144" spans="32:32" x14ac:dyDescent="0.2">
      <c r="AF30144" s="679"/>
    </row>
    <row r="30145" spans="32:32" x14ac:dyDescent="0.2">
      <c r="AF30145" s="679"/>
    </row>
    <row r="30146" spans="32:32" x14ac:dyDescent="0.2">
      <c r="AF30146" s="679"/>
    </row>
    <row r="30147" spans="32:32" x14ac:dyDescent="0.2">
      <c r="AF30147" s="679"/>
    </row>
    <row r="30148" spans="32:32" x14ac:dyDescent="0.2">
      <c r="AF30148" s="679"/>
    </row>
    <row r="30149" spans="32:32" x14ac:dyDescent="0.2">
      <c r="AF30149" s="679"/>
    </row>
    <row r="30150" spans="32:32" x14ac:dyDescent="0.2">
      <c r="AF30150" s="679"/>
    </row>
    <row r="30151" spans="32:32" x14ac:dyDescent="0.2">
      <c r="AF30151" s="679"/>
    </row>
    <row r="30152" spans="32:32" x14ac:dyDescent="0.2">
      <c r="AF30152" s="679"/>
    </row>
    <row r="30153" spans="32:32" x14ac:dyDescent="0.2">
      <c r="AF30153" s="679"/>
    </row>
    <row r="30154" spans="32:32" x14ac:dyDescent="0.2">
      <c r="AF30154" s="679"/>
    </row>
    <row r="30155" spans="32:32" x14ac:dyDescent="0.2">
      <c r="AF30155" s="679"/>
    </row>
    <row r="30156" spans="32:32" x14ac:dyDescent="0.2">
      <c r="AF30156" s="679"/>
    </row>
    <row r="30157" spans="32:32" x14ac:dyDescent="0.2">
      <c r="AF30157" s="679"/>
    </row>
    <row r="30158" spans="32:32" x14ac:dyDescent="0.2">
      <c r="AF30158" s="679"/>
    </row>
    <row r="30159" spans="32:32" x14ac:dyDescent="0.2">
      <c r="AF30159" s="679"/>
    </row>
    <row r="30160" spans="32:32" x14ac:dyDescent="0.2">
      <c r="AF30160" s="679"/>
    </row>
    <row r="30161" spans="32:32" x14ac:dyDescent="0.2">
      <c r="AF30161" s="679"/>
    </row>
    <row r="30162" spans="32:32" x14ac:dyDescent="0.2">
      <c r="AF30162" s="679"/>
    </row>
    <row r="30163" spans="32:32" x14ac:dyDescent="0.2">
      <c r="AF30163" s="679"/>
    </row>
    <row r="30164" spans="32:32" x14ac:dyDescent="0.2">
      <c r="AF30164" s="679"/>
    </row>
    <row r="30165" spans="32:32" x14ac:dyDescent="0.2">
      <c r="AF30165" s="679"/>
    </row>
    <row r="30166" spans="32:32" x14ac:dyDescent="0.2">
      <c r="AF30166" s="679"/>
    </row>
    <row r="30167" spans="32:32" x14ac:dyDescent="0.2">
      <c r="AF30167" s="679"/>
    </row>
    <row r="30168" spans="32:32" x14ac:dyDescent="0.2">
      <c r="AF30168" s="679"/>
    </row>
    <row r="30169" spans="32:32" x14ac:dyDescent="0.2">
      <c r="AF30169" s="679"/>
    </row>
    <row r="30170" spans="32:32" x14ac:dyDescent="0.2">
      <c r="AF30170" s="679"/>
    </row>
    <row r="30171" spans="32:32" x14ac:dyDescent="0.2">
      <c r="AF30171" s="679"/>
    </row>
    <row r="30172" spans="32:32" x14ac:dyDescent="0.2">
      <c r="AF30172" s="679"/>
    </row>
    <row r="30173" spans="32:32" x14ac:dyDescent="0.2">
      <c r="AF30173" s="679"/>
    </row>
    <row r="30174" spans="32:32" x14ac:dyDescent="0.2">
      <c r="AF30174" s="679"/>
    </row>
    <row r="30175" spans="32:32" x14ac:dyDescent="0.2">
      <c r="AF30175" s="679"/>
    </row>
    <row r="30176" spans="32:32" x14ac:dyDescent="0.2">
      <c r="AF30176" s="679"/>
    </row>
    <row r="30177" spans="32:32" x14ac:dyDescent="0.2">
      <c r="AF30177" s="679"/>
    </row>
    <row r="30178" spans="32:32" x14ac:dyDescent="0.2">
      <c r="AF30178" s="679"/>
    </row>
    <row r="30179" spans="32:32" x14ac:dyDescent="0.2">
      <c r="AF30179" s="679"/>
    </row>
    <row r="30180" spans="32:32" x14ac:dyDescent="0.2">
      <c r="AF30180" s="679"/>
    </row>
    <row r="30181" spans="32:32" x14ac:dyDescent="0.2">
      <c r="AF30181" s="679"/>
    </row>
    <row r="30182" spans="32:32" x14ac:dyDescent="0.2">
      <c r="AF30182" s="679"/>
    </row>
    <row r="30183" spans="32:32" x14ac:dyDescent="0.2">
      <c r="AF30183" s="679"/>
    </row>
    <row r="30184" spans="32:32" x14ac:dyDescent="0.2">
      <c r="AF30184" s="679"/>
    </row>
    <row r="30185" spans="32:32" x14ac:dyDescent="0.2">
      <c r="AF30185" s="679"/>
    </row>
    <row r="30186" spans="32:32" x14ac:dyDescent="0.2">
      <c r="AF30186" s="679"/>
    </row>
    <row r="30187" spans="32:32" x14ac:dyDescent="0.2">
      <c r="AF30187" s="679"/>
    </row>
    <row r="30188" spans="32:32" x14ac:dyDescent="0.2">
      <c r="AF30188" s="679"/>
    </row>
    <row r="30189" spans="32:32" x14ac:dyDescent="0.2">
      <c r="AF30189" s="679"/>
    </row>
    <row r="30190" spans="32:32" x14ac:dyDescent="0.2">
      <c r="AF30190" s="679"/>
    </row>
    <row r="30191" spans="32:32" x14ac:dyDescent="0.2">
      <c r="AF30191" s="679"/>
    </row>
    <row r="30192" spans="32:32" x14ac:dyDescent="0.2">
      <c r="AF30192" s="679"/>
    </row>
    <row r="30193" spans="32:32" x14ac:dyDescent="0.2">
      <c r="AF30193" s="679"/>
    </row>
    <row r="30194" spans="32:32" x14ac:dyDescent="0.2">
      <c r="AF30194" s="679"/>
    </row>
    <row r="30195" spans="32:32" x14ac:dyDescent="0.2">
      <c r="AF30195" s="679"/>
    </row>
    <row r="30196" spans="32:32" x14ac:dyDescent="0.2">
      <c r="AF30196" s="679"/>
    </row>
    <row r="30197" spans="32:32" x14ac:dyDescent="0.2">
      <c r="AF30197" s="679"/>
    </row>
    <row r="30198" spans="32:32" x14ac:dyDescent="0.2">
      <c r="AF30198" s="679"/>
    </row>
    <row r="30199" spans="32:32" x14ac:dyDescent="0.2">
      <c r="AF30199" s="679"/>
    </row>
    <row r="30200" spans="32:32" x14ac:dyDescent="0.2">
      <c r="AF30200" s="679"/>
    </row>
    <row r="30201" spans="32:32" x14ac:dyDescent="0.2">
      <c r="AF30201" s="679"/>
    </row>
    <row r="30202" spans="32:32" x14ac:dyDescent="0.2">
      <c r="AF30202" s="679"/>
    </row>
    <row r="30203" spans="32:32" x14ac:dyDescent="0.2">
      <c r="AF30203" s="679"/>
    </row>
    <row r="30204" spans="32:32" x14ac:dyDescent="0.2">
      <c r="AF30204" s="679"/>
    </row>
    <row r="30205" spans="32:32" x14ac:dyDescent="0.2">
      <c r="AF30205" s="679"/>
    </row>
    <row r="30206" spans="32:32" x14ac:dyDescent="0.2">
      <c r="AF30206" s="679"/>
    </row>
    <row r="30207" spans="32:32" x14ac:dyDescent="0.2">
      <c r="AF30207" s="679"/>
    </row>
    <row r="30208" spans="32:32" x14ac:dyDescent="0.2">
      <c r="AF30208" s="679"/>
    </row>
    <row r="30209" spans="32:32" x14ac:dyDescent="0.2">
      <c r="AF30209" s="679"/>
    </row>
    <row r="30210" spans="32:32" x14ac:dyDescent="0.2">
      <c r="AF30210" s="679"/>
    </row>
    <row r="30211" spans="32:32" x14ac:dyDescent="0.2">
      <c r="AF30211" s="679"/>
    </row>
    <row r="30212" spans="32:32" x14ac:dyDescent="0.2">
      <c r="AF30212" s="679"/>
    </row>
    <row r="30213" spans="32:32" x14ac:dyDescent="0.2">
      <c r="AF30213" s="679"/>
    </row>
    <row r="30214" spans="32:32" x14ac:dyDescent="0.2">
      <c r="AF30214" s="679"/>
    </row>
    <row r="30215" spans="32:32" x14ac:dyDescent="0.2">
      <c r="AF30215" s="679"/>
    </row>
    <row r="30216" spans="32:32" x14ac:dyDescent="0.2">
      <c r="AF30216" s="679"/>
    </row>
    <row r="30217" spans="32:32" x14ac:dyDescent="0.2">
      <c r="AF30217" s="679"/>
    </row>
    <row r="30218" spans="32:32" x14ac:dyDescent="0.2">
      <c r="AF30218" s="679"/>
    </row>
    <row r="30219" spans="32:32" x14ac:dyDescent="0.2">
      <c r="AF30219" s="679"/>
    </row>
    <row r="30220" spans="32:32" x14ac:dyDescent="0.2">
      <c r="AF30220" s="679"/>
    </row>
    <row r="30221" spans="32:32" x14ac:dyDescent="0.2">
      <c r="AF30221" s="679"/>
    </row>
    <row r="30222" spans="32:32" x14ac:dyDescent="0.2">
      <c r="AF30222" s="679"/>
    </row>
    <row r="30223" spans="32:32" x14ac:dyDescent="0.2">
      <c r="AF30223" s="679"/>
    </row>
    <row r="30224" spans="32:32" x14ac:dyDescent="0.2">
      <c r="AF30224" s="679"/>
    </row>
    <row r="30225" spans="32:32" x14ac:dyDescent="0.2">
      <c r="AF30225" s="679"/>
    </row>
    <row r="30226" spans="32:32" x14ac:dyDescent="0.2">
      <c r="AF30226" s="679"/>
    </row>
    <row r="30227" spans="32:32" x14ac:dyDescent="0.2">
      <c r="AF30227" s="679"/>
    </row>
    <row r="30228" spans="32:32" x14ac:dyDescent="0.2">
      <c r="AF30228" s="679"/>
    </row>
    <row r="30229" spans="32:32" x14ac:dyDescent="0.2">
      <c r="AF30229" s="679"/>
    </row>
    <row r="30230" spans="32:32" x14ac:dyDescent="0.2">
      <c r="AF30230" s="679"/>
    </row>
    <row r="30231" spans="32:32" x14ac:dyDescent="0.2">
      <c r="AF30231" s="679"/>
    </row>
    <row r="30232" spans="32:32" x14ac:dyDescent="0.2">
      <c r="AF30232" s="679"/>
    </row>
    <row r="30233" spans="32:32" x14ac:dyDescent="0.2">
      <c r="AF30233" s="679"/>
    </row>
    <row r="30234" spans="32:32" x14ac:dyDescent="0.2">
      <c r="AF30234" s="679"/>
    </row>
    <row r="30235" spans="32:32" x14ac:dyDescent="0.2">
      <c r="AF30235" s="679"/>
    </row>
    <row r="30236" spans="32:32" x14ac:dyDescent="0.2">
      <c r="AF30236" s="679"/>
    </row>
    <row r="30237" spans="32:32" x14ac:dyDescent="0.2">
      <c r="AF30237" s="679"/>
    </row>
    <row r="30238" spans="32:32" x14ac:dyDescent="0.2">
      <c r="AF30238" s="679"/>
    </row>
    <row r="30239" spans="32:32" x14ac:dyDescent="0.2">
      <c r="AF30239" s="679"/>
    </row>
    <row r="30240" spans="32:32" x14ac:dyDescent="0.2">
      <c r="AF30240" s="679"/>
    </row>
    <row r="30241" spans="32:32" x14ac:dyDescent="0.2">
      <c r="AF30241" s="679"/>
    </row>
    <row r="30242" spans="32:32" x14ac:dyDescent="0.2">
      <c r="AF30242" s="679"/>
    </row>
    <row r="30243" spans="32:32" x14ac:dyDescent="0.2">
      <c r="AF30243" s="679"/>
    </row>
    <row r="30244" spans="32:32" x14ac:dyDescent="0.2">
      <c r="AF30244" s="679"/>
    </row>
    <row r="30245" spans="32:32" x14ac:dyDescent="0.2">
      <c r="AF30245" s="679"/>
    </row>
    <row r="30246" spans="32:32" x14ac:dyDescent="0.2">
      <c r="AF30246" s="679"/>
    </row>
    <row r="30247" spans="32:32" x14ac:dyDescent="0.2">
      <c r="AF30247" s="679"/>
    </row>
    <row r="30248" spans="32:32" x14ac:dyDescent="0.2">
      <c r="AF30248" s="679"/>
    </row>
    <row r="30249" spans="32:32" x14ac:dyDescent="0.2">
      <c r="AF30249" s="679"/>
    </row>
    <row r="30250" spans="32:32" x14ac:dyDescent="0.2">
      <c r="AF30250" s="679"/>
    </row>
    <row r="30251" spans="32:32" x14ac:dyDescent="0.2">
      <c r="AF30251" s="679"/>
    </row>
    <row r="30252" spans="32:32" x14ac:dyDescent="0.2">
      <c r="AF30252" s="679"/>
    </row>
    <row r="30253" spans="32:32" x14ac:dyDescent="0.2">
      <c r="AF30253" s="679"/>
    </row>
    <row r="30254" spans="32:32" x14ac:dyDescent="0.2">
      <c r="AF30254" s="679"/>
    </row>
    <row r="30255" spans="32:32" x14ac:dyDescent="0.2">
      <c r="AF30255" s="679"/>
    </row>
    <row r="30256" spans="32:32" x14ac:dyDescent="0.2">
      <c r="AF30256" s="679"/>
    </row>
    <row r="30257" spans="32:32" x14ac:dyDescent="0.2">
      <c r="AF30257" s="679"/>
    </row>
    <row r="30258" spans="32:32" x14ac:dyDescent="0.2">
      <c r="AF30258" s="679"/>
    </row>
    <row r="30259" spans="32:32" x14ac:dyDescent="0.2">
      <c r="AF30259" s="679"/>
    </row>
    <row r="30260" spans="32:32" x14ac:dyDescent="0.2">
      <c r="AF30260" s="679"/>
    </row>
    <row r="30261" spans="32:32" x14ac:dyDescent="0.2">
      <c r="AF30261" s="679"/>
    </row>
    <row r="30262" spans="32:32" x14ac:dyDescent="0.2">
      <c r="AF30262" s="679"/>
    </row>
    <row r="30263" spans="32:32" x14ac:dyDescent="0.2">
      <c r="AF30263" s="679"/>
    </row>
    <row r="30264" spans="32:32" x14ac:dyDescent="0.2">
      <c r="AF30264" s="679"/>
    </row>
    <row r="30265" spans="32:32" x14ac:dyDescent="0.2">
      <c r="AF30265" s="679"/>
    </row>
    <row r="30266" spans="32:32" x14ac:dyDescent="0.2">
      <c r="AF30266" s="679"/>
    </row>
    <row r="30267" spans="32:32" x14ac:dyDescent="0.2">
      <c r="AF30267" s="679"/>
    </row>
    <row r="30268" spans="32:32" x14ac:dyDescent="0.2">
      <c r="AF30268" s="679"/>
    </row>
    <row r="30269" spans="32:32" x14ac:dyDescent="0.2">
      <c r="AF30269" s="679"/>
    </row>
    <row r="30270" spans="32:32" x14ac:dyDescent="0.2">
      <c r="AF30270" s="679"/>
    </row>
    <row r="30271" spans="32:32" x14ac:dyDescent="0.2">
      <c r="AF30271" s="679"/>
    </row>
    <row r="30272" spans="32:32" x14ac:dyDescent="0.2">
      <c r="AF30272" s="679"/>
    </row>
    <row r="30273" spans="32:32" x14ac:dyDescent="0.2">
      <c r="AF30273" s="679"/>
    </row>
    <row r="30274" spans="32:32" x14ac:dyDescent="0.2">
      <c r="AF30274" s="679"/>
    </row>
    <row r="30275" spans="32:32" x14ac:dyDescent="0.2">
      <c r="AF30275" s="679"/>
    </row>
    <row r="30276" spans="32:32" x14ac:dyDescent="0.2">
      <c r="AF30276" s="679"/>
    </row>
    <row r="30277" spans="32:32" x14ac:dyDescent="0.2">
      <c r="AF30277" s="679"/>
    </row>
    <row r="30278" spans="32:32" x14ac:dyDescent="0.2">
      <c r="AF30278" s="679"/>
    </row>
    <row r="30279" spans="32:32" x14ac:dyDescent="0.2">
      <c r="AF30279" s="679"/>
    </row>
    <row r="30280" spans="32:32" x14ac:dyDescent="0.2">
      <c r="AF30280" s="679"/>
    </row>
    <row r="30281" spans="32:32" x14ac:dyDescent="0.2">
      <c r="AF30281" s="679"/>
    </row>
    <row r="30282" spans="32:32" x14ac:dyDescent="0.2">
      <c r="AF30282" s="679"/>
    </row>
    <row r="30283" spans="32:32" x14ac:dyDescent="0.2">
      <c r="AF30283" s="679"/>
    </row>
    <row r="30284" spans="32:32" x14ac:dyDescent="0.2">
      <c r="AF30284" s="679"/>
    </row>
    <row r="30285" spans="32:32" x14ac:dyDescent="0.2">
      <c r="AF30285" s="679"/>
    </row>
    <row r="30286" spans="32:32" x14ac:dyDescent="0.2">
      <c r="AF30286" s="679"/>
    </row>
    <row r="30287" spans="32:32" x14ac:dyDescent="0.2">
      <c r="AF30287" s="679"/>
    </row>
    <row r="30288" spans="32:32" x14ac:dyDescent="0.2">
      <c r="AF30288" s="679"/>
    </row>
    <row r="30289" spans="32:32" x14ac:dyDescent="0.2">
      <c r="AF30289" s="679"/>
    </row>
    <row r="30290" spans="32:32" x14ac:dyDescent="0.2">
      <c r="AF30290" s="679"/>
    </row>
    <row r="30291" spans="32:32" x14ac:dyDescent="0.2">
      <c r="AF30291" s="679"/>
    </row>
    <row r="30292" spans="32:32" x14ac:dyDescent="0.2">
      <c r="AF30292" s="679"/>
    </row>
    <row r="30293" spans="32:32" x14ac:dyDescent="0.2">
      <c r="AF30293" s="679"/>
    </row>
    <row r="30294" spans="32:32" x14ac:dyDescent="0.2">
      <c r="AF30294" s="679"/>
    </row>
    <row r="30295" spans="32:32" x14ac:dyDescent="0.2">
      <c r="AF30295" s="679"/>
    </row>
    <row r="30296" spans="32:32" x14ac:dyDescent="0.2">
      <c r="AF30296" s="679"/>
    </row>
    <row r="30297" spans="32:32" x14ac:dyDescent="0.2">
      <c r="AF30297" s="679"/>
    </row>
    <row r="30298" spans="32:32" x14ac:dyDescent="0.2">
      <c r="AF30298" s="679"/>
    </row>
    <row r="30299" spans="32:32" x14ac:dyDescent="0.2">
      <c r="AF30299" s="679"/>
    </row>
    <row r="30300" spans="32:32" x14ac:dyDescent="0.2">
      <c r="AF30300" s="679"/>
    </row>
    <row r="30301" spans="32:32" x14ac:dyDescent="0.2">
      <c r="AF30301" s="679"/>
    </row>
    <row r="30302" spans="32:32" x14ac:dyDescent="0.2">
      <c r="AF30302" s="679"/>
    </row>
    <row r="30303" spans="32:32" x14ac:dyDescent="0.2">
      <c r="AF30303" s="679"/>
    </row>
    <row r="30304" spans="32:32" x14ac:dyDescent="0.2">
      <c r="AF30304" s="679"/>
    </row>
    <row r="30305" spans="32:32" x14ac:dyDescent="0.2">
      <c r="AF30305" s="679"/>
    </row>
    <row r="30306" spans="32:32" x14ac:dyDescent="0.2">
      <c r="AF30306" s="679"/>
    </row>
    <row r="30307" spans="32:32" x14ac:dyDescent="0.2">
      <c r="AF30307" s="679"/>
    </row>
    <row r="30308" spans="32:32" x14ac:dyDescent="0.2">
      <c r="AF30308" s="679"/>
    </row>
    <row r="30309" spans="32:32" x14ac:dyDescent="0.2">
      <c r="AF30309" s="679"/>
    </row>
    <row r="30310" spans="32:32" x14ac:dyDescent="0.2">
      <c r="AF30310" s="679"/>
    </row>
    <row r="30311" spans="32:32" x14ac:dyDescent="0.2">
      <c r="AF30311" s="679"/>
    </row>
    <row r="30312" spans="32:32" x14ac:dyDescent="0.2">
      <c r="AF30312" s="679"/>
    </row>
    <row r="30313" spans="32:32" x14ac:dyDescent="0.2">
      <c r="AF30313" s="679"/>
    </row>
    <row r="30314" spans="32:32" x14ac:dyDescent="0.2">
      <c r="AF30314" s="679"/>
    </row>
    <row r="30315" spans="32:32" x14ac:dyDescent="0.2">
      <c r="AF30315" s="679"/>
    </row>
    <row r="30316" spans="32:32" x14ac:dyDescent="0.2">
      <c r="AF30316" s="679"/>
    </row>
    <row r="30317" spans="32:32" x14ac:dyDescent="0.2">
      <c r="AF30317" s="679"/>
    </row>
    <row r="30318" spans="32:32" x14ac:dyDescent="0.2">
      <c r="AF30318" s="679"/>
    </row>
    <row r="30319" spans="32:32" x14ac:dyDescent="0.2">
      <c r="AF30319" s="679"/>
    </row>
    <row r="30320" spans="32:32" x14ac:dyDescent="0.2">
      <c r="AF30320" s="679"/>
    </row>
    <row r="30321" spans="32:32" x14ac:dyDescent="0.2">
      <c r="AF30321" s="679"/>
    </row>
    <row r="30322" spans="32:32" x14ac:dyDescent="0.2">
      <c r="AF30322" s="679"/>
    </row>
    <row r="30323" spans="32:32" x14ac:dyDescent="0.2">
      <c r="AF30323" s="679"/>
    </row>
    <row r="30324" spans="32:32" x14ac:dyDescent="0.2">
      <c r="AF30324" s="679"/>
    </row>
    <row r="30325" spans="32:32" x14ac:dyDescent="0.2">
      <c r="AF30325" s="679"/>
    </row>
    <row r="30326" spans="32:32" x14ac:dyDescent="0.2">
      <c r="AF30326" s="679"/>
    </row>
    <row r="30327" spans="32:32" x14ac:dyDescent="0.2">
      <c r="AF30327" s="679"/>
    </row>
    <row r="30328" spans="32:32" x14ac:dyDescent="0.2">
      <c r="AF30328" s="679"/>
    </row>
    <row r="30329" spans="32:32" x14ac:dyDescent="0.2">
      <c r="AF30329" s="679"/>
    </row>
    <row r="30330" spans="32:32" x14ac:dyDescent="0.2">
      <c r="AF30330" s="679"/>
    </row>
    <row r="30331" spans="32:32" x14ac:dyDescent="0.2">
      <c r="AF30331" s="679"/>
    </row>
    <row r="30332" spans="32:32" x14ac:dyDescent="0.2">
      <c r="AF30332" s="679"/>
    </row>
    <row r="30333" spans="32:32" x14ac:dyDescent="0.2">
      <c r="AF30333" s="679"/>
    </row>
    <row r="30334" spans="32:32" x14ac:dyDescent="0.2">
      <c r="AF30334" s="679"/>
    </row>
    <row r="30335" spans="32:32" x14ac:dyDescent="0.2">
      <c r="AF30335" s="679"/>
    </row>
    <row r="30336" spans="32:32" x14ac:dyDescent="0.2">
      <c r="AF30336" s="679"/>
    </row>
    <row r="30337" spans="32:32" x14ac:dyDescent="0.2">
      <c r="AF30337" s="679"/>
    </row>
    <row r="30338" spans="32:32" x14ac:dyDescent="0.2">
      <c r="AF30338" s="679"/>
    </row>
    <row r="30339" spans="32:32" x14ac:dyDescent="0.2">
      <c r="AF30339" s="679"/>
    </row>
    <row r="30340" spans="32:32" x14ac:dyDescent="0.2">
      <c r="AF30340" s="679"/>
    </row>
    <row r="30341" spans="32:32" x14ac:dyDescent="0.2">
      <c r="AF30341" s="679"/>
    </row>
    <row r="30342" spans="32:32" x14ac:dyDescent="0.2">
      <c r="AF30342" s="679"/>
    </row>
    <row r="30343" spans="32:32" x14ac:dyDescent="0.2">
      <c r="AF30343" s="679"/>
    </row>
    <row r="30344" spans="32:32" x14ac:dyDescent="0.2">
      <c r="AF30344" s="679"/>
    </row>
    <row r="30345" spans="32:32" x14ac:dyDescent="0.2">
      <c r="AF30345" s="679"/>
    </row>
    <row r="30346" spans="32:32" x14ac:dyDescent="0.2">
      <c r="AF30346" s="679"/>
    </row>
    <row r="30347" spans="32:32" x14ac:dyDescent="0.2">
      <c r="AF30347" s="679"/>
    </row>
    <row r="30348" spans="32:32" x14ac:dyDescent="0.2">
      <c r="AF30348" s="679"/>
    </row>
    <row r="30349" spans="32:32" x14ac:dyDescent="0.2">
      <c r="AF30349" s="679"/>
    </row>
    <row r="30350" spans="32:32" x14ac:dyDescent="0.2">
      <c r="AF30350" s="679"/>
    </row>
    <row r="30351" spans="32:32" x14ac:dyDescent="0.2">
      <c r="AF30351" s="679"/>
    </row>
    <row r="30352" spans="32:32" x14ac:dyDescent="0.2">
      <c r="AF30352" s="679"/>
    </row>
    <row r="30353" spans="32:32" x14ac:dyDescent="0.2">
      <c r="AF30353" s="679"/>
    </row>
    <row r="30354" spans="32:32" x14ac:dyDescent="0.2">
      <c r="AF30354" s="679"/>
    </row>
    <row r="30355" spans="32:32" x14ac:dyDescent="0.2">
      <c r="AF30355" s="679"/>
    </row>
    <row r="30356" spans="32:32" x14ac:dyDescent="0.2">
      <c r="AF30356" s="679"/>
    </row>
    <row r="30357" spans="32:32" x14ac:dyDescent="0.2">
      <c r="AF30357" s="679"/>
    </row>
    <row r="30358" spans="32:32" x14ac:dyDescent="0.2">
      <c r="AF30358" s="679"/>
    </row>
    <row r="30359" spans="32:32" x14ac:dyDescent="0.2">
      <c r="AF30359" s="679"/>
    </row>
    <row r="30360" spans="32:32" x14ac:dyDescent="0.2">
      <c r="AF30360" s="679"/>
    </row>
    <row r="30361" spans="32:32" x14ac:dyDescent="0.2">
      <c r="AF30361" s="679"/>
    </row>
    <row r="30362" spans="32:32" x14ac:dyDescent="0.2">
      <c r="AF30362" s="679"/>
    </row>
    <row r="30363" spans="32:32" x14ac:dyDescent="0.2">
      <c r="AF30363" s="679"/>
    </row>
    <row r="30364" spans="32:32" x14ac:dyDescent="0.2">
      <c r="AF30364" s="679"/>
    </row>
    <row r="30365" spans="32:32" x14ac:dyDescent="0.2">
      <c r="AF30365" s="679"/>
    </row>
    <row r="30366" spans="32:32" x14ac:dyDescent="0.2">
      <c r="AF30366" s="679"/>
    </row>
    <row r="30367" spans="32:32" x14ac:dyDescent="0.2">
      <c r="AF30367" s="679"/>
    </row>
    <row r="30368" spans="32:32" x14ac:dyDescent="0.2">
      <c r="AF30368" s="679"/>
    </row>
    <row r="30369" spans="32:32" x14ac:dyDescent="0.2">
      <c r="AF30369" s="679"/>
    </row>
    <row r="30370" spans="32:32" x14ac:dyDescent="0.2">
      <c r="AF30370" s="679"/>
    </row>
    <row r="30371" spans="32:32" x14ac:dyDescent="0.2">
      <c r="AF30371" s="679"/>
    </row>
    <row r="30372" spans="32:32" x14ac:dyDescent="0.2">
      <c r="AF30372" s="679"/>
    </row>
    <row r="30373" spans="32:32" x14ac:dyDescent="0.2">
      <c r="AF30373" s="679"/>
    </row>
    <row r="30374" spans="32:32" x14ac:dyDescent="0.2">
      <c r="AF30374" s="679"/>
    </row>
    <row r="30375" spans="32:32" x14ac:dyDescent="0.2">
      <c r="AF30375" s="679"/>
    </row>
    <row r="30376" spans="32:32" x14ac:dyDescent="0.2">
      <c r="AF30376" s="679"/>
    </row>
    <row r="30377" spans="32:32" x14ac:dyDescent="0.2">
      <c r="AF30377" s="679"/>
    </row>
    <row r="30378" spans="32:32" x14ac:dyDescent="0.2">
      <c r="AF30378" s="679"/>
    </row>
    <row r="30379" spans="32:32" x14ac:dyDescent="0.2">
      <c r="AF30379" s="679"/>
    </row>
    <row r="30380" spans="32:32" x14ac:dyDescent="0.2">
      <c r="AF30380" s="679"/>
    </row>
    <row r="30381" spans="32:32" x14ac:dyDescent="0.2">
      <c r="AF30381" s="679"/>
    </row>
    <row r="30382" spans="32:32" x14ac:dyDescent="0.2">
      <c r="AF30382" s="679"/>
    </row>
    <row r="30383" spans="32:32" x14ac:dyDescent="0.2">
      <c r="AF30383" s="679"/>
    </row>
    <row r="30384" spans="32:32" x14ac:dyDescent="0.2">
      <c r="AF30384" s="679"/>
    </row>
    <row r="30385" spans="32:32" x14ac:dyDescent="0.2">
      <c r="AF30385" s="679"/>
    </row>
    <row r="30386" spans="32:32" x14ac:dyDescent="0.2">
      <c r="AF30386" s="679"/>
    </row>
    <row r="30387" spans="32:32" x14ac:dyDescent="0.2">
      <c r="AF30387" s="679"/>
    </row>
    <row r="30388" spans="32:32" x14ac:dyDescent="0.2">
      <c r="AF30388" s="679"/>
    </row>
    <row r="30389" spans="32:32" x14ac:dyDescent="0.2">
      <c r="AF30389" s="679"/>
    </row>
    <row r="30390" spans="32:32" x14ac:dyDescent="0.2">
      <c r="AF30390" s="679"/>
    </row>
    <row r="30391" spans="32:32" x14ac:dyDescent="0.2">
      <c r="AF30391" s="679"/>
    </row>
    <row r="30392" spans="32:32" x14ac:dyDescent="0.2">
      <c r="AF30392" s="679"/>
    </row>
    <row r="30393" spans="32:32" x14ac:dyDescent="0.2">
      <c r="AF30393" s="679"/>
    </row>
    <row r="30394" spans="32:32" x14ac:dyDescent="0.2">
      <c r="AF30394" s="679"/>
    </row>
    <row r="30395" spans="32:32" x14ac:dyDescent="0.2">
      <c r="AF30395" s="679"/>
    </row>
    <row r="30396" spans="32:32" x14ac:dyDescent="0.2">
      <c r="AF30396" s="679"/>
    </row>
    <row r="30397" spans="32:32" x14ac:dyDescent="0.2">
      <c r="AF30397" s="679"/>
    </row>
    <row r="30398" spans="32:32" x14ac:dyDescent="0.2">
      <c r="AF30398" s="679"/>
    </row>
    <row r="30399" spans="32:32" x14ac:dyDescent="0.2">
      <c r="AF30399" s="679"/>
    </row>
    <row r="30400" spans="32:32" x14ac:dyDescent="0.2">
      <c r="AF30400" s="679"/>
    </row>
    <row r="30401" spans="32:32" x14ac:dyDescent="0.2">
      <c r="AF30401" s="679"/>
    </row>
    <row r="30402" spans="32:32" x14ac:dyDescent="0.2">
      <c r="AF30402" s="679"/>
    </row>
    <row r="30403" spans="32:32" x14ac:dyDescent="0.2">
      <c r="AF30403" s="679"/>
    </row>
    <row r="30404" spans="32:32" x14ac:dyDescent="0.2">
      <c r="AF30404" s="679"/>
    </row>
    <row r="30405" spans="32:32" x14ac:dyDescent="0.2">
      <c r="AF30405" s="679"/>
    </row>
    <row r="30406" spans="32:32" x14ac:dyDescent="0.2">
      <c r="AF30406" s="679"/>
    </row>
    <row r="30407" spans="32:32" x14ac:dyDescent="0.2">
      <c r="AF30407" s="679"/>
    </row>
    <row r="30408" spans="32:32" x14ac:dyDescent="0.2">
      <c r="AF30408" s="679"/>
    </row>
    <row r="30409" spans="32:32" x14ac:dyDescent="0.2">
      <c r="AF30409" s="679"/>
    </row>
    <row r="30410" spans="32:32" x14ac:dyDescent="0.2">
      <c r="AF30410" s="679"/>
    </row>
    <row r="30411" spans="32:32" x14ac:dyDescent="0.2">
      <c r="AF30411" s="679"/>
    </row>
    <row r="30412" spans="32:32" x14ac:dyDescent="0.2">
      <c r="AF30412" s="679"/>
    </row>
    <row r="30413" spans="32:32" x14ac:dyDescent="0.2">
      <c r="AF30413" s="679"/>
    </row>
    <row r="30414" spans="32:32" x14ac:dyDescent="0.2">
      <c r="AF30414" s="679"/>
    </row>
    <row r="30415" spans="32:32" x14ac:dyDescent="0.2">
      <c r="AF30415" s="679"/>
    </row>
    <row r="30416" spans="32:32" x14ac:dyDescent="0.2">
      <c r="AF30416" s="679"/>
    </row>
    <row r="30417" spans="32:32" x14ac:dyDescent="0.2">
      <c r="AF30417" s="679"/>
    </row>
    <row r="30418" spans="32:32" x14ac:dyDescent="0.2">
      <c r="AF30418" s="679"/>
    </row>
    <row r="30419" spans="32:32" x14ac:dyDescent="0.2">
      <c r="AF30419" s="679"/>
    </row>
    <row r="30420" spans="32:32" x14ac:dyDescent="0.2">
      <c r="AF30420" s="679"/>
    </row>
    <row r="30421" spans="32:32" x14ac:dyDescent="0.2">
      <c r="AF30421" s="679"/>
    </row>
    <row r="30422" spans="32:32" x14ac:dyDescent="0.2">
      <c r="AF30422" s="679"/>
    </row>
    <row r="30423" spans="32:32" x14ac:dyDescent="0.2">
      <c r="AF30423" s="679"/>
    </row>
    <row r="30424" spans="32:32" x14ac:dyDescent="0.2">
      <c r="AF30424" s="679"/>
    </row>
    <row r="30425" spans="32:32" x14ac:dyDescent="0.2">
      <c r="AF30425" s="679"/>
    </row>
    <row r="30426" spans="32:32" x14ac:dyDescent="0.2">
      <c r="AF30426" s="679"/>
    </row>
    <row r="30427" spans="32:32" x14ac:dyDescent="0.2">
      <c r="AF30427" s="679"/>
    </row>
    <row r="30428" spans="32:32" x14ac:dyDescent="0.2">
      <c r="AF30428" s="679"/>
    </row>
    <row r="30429" spans="32:32" x14ac:dyDescent="0.2">
      <c r="AF30429" s="679"/>
    </row>
    <row r="30430" spans="32:32" x14ac:dyDescent="0.2">
      <c r="AF30430" s="679"/>
    </row>
    <row r="30431" spans="32:32" x14ac:dyDescent="0.2">
      <c r="AF30431" s="679"/>
    </row>
    <row r="30432" spans="32:32" x14ac:dyDescent="0.2">
      <c r="AF30432" s="679"/>
    </row>
    <row r="30433" spans="32:32" x14ac:dyDescent="0.2">
      <c r="AF30433" s="679"/>
    </row>
    <row r="30434" spans="32:32" x14ac:dyDescent="0.2">
      <c r="AF30434" s="679"/>
    </row>
    <row r="30435" spans="32:32" x14ac:dyDescent="0.2">
      <c r="AF30435" s="679"/>
    </row>
    <row r="30436" spans="32:32" x14ac:dyDescent="0.2">
      <c r="AF30436" s="679"/>
    </row>
    <row r="30437" spans="32:32" x14ac:dyDescent="0.2">
      <c r="AF30437" s="679"/>
    </row>
    <row r="30438" spans="32:32" x14ac:dyDescent="0.2">
      <c r="AF30438" s="679"/>
    </row>
    <row r="30439" spans="32:32" x14ac:dyDescent="0.2">
      <c r="AF30439" s="679"/>
    </row>
    <row r="30440" spans="32:32" x14ac:dyDescent="0.2">
      <c r="AF30440" s="679"/>
    </row>
    <row r="30441" spans="32:32" x14ac:dyDescent="0.2">
      <c r="AF30441" s="679"/>
    </row>
    <row r="30442" spans="32:32" x14ac:dyDescent="0.2">
      <c r="AF30442" s="679"/>
    </row>
    <row r="30443" spans="32:32" x14ac:dyDescent="0.2">
      <c r="AF30443" s="679"/>
    </row>
    <row r="30444" spans="32:32" x14ac:dyDescent="0.2">
      <c r="AF30444" s="679"/>
    </row>
    <row r="30445" spans="32:32" x14ac:dyDescent="0.2">
      <c r="AF30445" s="679"/>
    </row>
    <row r="30446" spans="32:32" x14ac:dyDescent="0.2">
      <c r="AF30446" s="679"/>
    </row>
    <row r="30447" spans="32:32" x14ac:dyDescent="0.2">
      <c r="AF30447" s="679"/>
    </row>
    <row r="30448" spans="32:32" x14ac:dyDescent="0.2">
      <c r="AF30448" s="679"/>
    </row>
    <row r="30449" spans="32:32" x14ac:dyDescent="0.2">
      <c r="AF30449" s="679"/>
    </row>
    <row r="30450" spans="32:32" x14ac:dyDescent="0.2">
      <c r="AF30450" s="679"/>
    </row>
    <row r="30451" spans="32:32" x14ac:dyDescent="0.2">
      <c r="AF30451" s="679"/>
    </row>
    <row r="30452" spans="32:32" x14ac:dyDescent="0.2">
      <c r="AF30452" s="679"/>
    </row>
    <row r="30453" spans="32:32" x14ac:dyDescent="0.2">
      <c r="AF30453" s="679"/>
    </row>
    <row r="30454" spans="32:32" x14ac:dyDescent="0.2">
      <c r="AF30454" s="679"/>
    </row>
    <row r="30455" spans="32:32" x14ac:dyDescent="0.2">
      <c r="AF30455" s="679"/>
    </row>
    <row r="30456" spans="32:32" x14ac:dyDescent="0.2">
      <c r="AF30456" s="679"/>
    </row>
    <row r="30457" spans="32:32" x14ac:dyDescent="0.2">
      <c r="AF30457" s="679"/>
    </row>
    <row r="30458" spans="32:32" x14ac:dyDescent="0.2">
      <c r="AF30458" s="679"/>
    </row>
    <row r="30459" spans="32:32" x14ac:dyDescent="0.2">
      <c r="AF30459" s="679"/>
    </row>
    <row r="30460" spans="32:32" x14ac:dyDescent="0.2">
      <c r="AF30460" s="679"/>
    </row>
    <row r="30461" spans="32:32" x14ac:dyDescent="0.2">
      <c r="AF30461" s="679"/>
    </row>
    <row r="30462" spans="32:32" x14ac:dyDescent="0.2">
      <c r="AF30462" s="679"/>
    </row>
    <row r="30463" spans="32:32" x14ac:dyDescent="0.2">
      <c r="AF30463" s="679"/>
    </row>
    <row r="30464" spans="32:32" x14ac:dyDescent="0.2">
      <c r="AF30464" s="679"/>
    </row>
    <row r="30465" spans="32:32" x14ac:dyDescent="0.2">
      <c r="AF30465" s="679"/>
    </row>
    <row r="30466" spans="32:32" x14ac:dyDescent="0.2">
      <c r="AF30466" s="679"/>
    </row>
    <row r="30467" spans="32:32" x14ac:dyDescent="0.2">
      <c r="AF30467" s="679"/>
    </row>
    <row r="30468" spans="32:32" x14ac:dyDescent="0.2">
      <c r="AF30468" s="679"/>
    </row>
    <row r="30469" spans="32:32" x14ac:dyDescent="0.2">
      <c r="AF30469" s="679"/>
    </row>
    <row r="30470" spans="32:32" x14ac:dyDescent="0.2">
      <c r="AF30470" s="679"/>
    </row>
    <row r="30471" spans="32:32" x14ac:dyDescent="0.2">
      <c r="AF30471" s="679"/>
    </row>
    <row r="30472" spans="32:32" x14ac:dyDescent="0.2">
      <c r="AF30472" s="679"/>
    </row>
    <row r="30473" spans="32:32" x14ac:dyDescent="0.2">
      <c r="AF30473" s="679"/>
    </row>
    <row r="30474" spans="32:32" x14ac:dyDescent="0.2">
      <c r="AF30474" s="679"/>
    </row>
    <row r="30475" spans="32:32" x14ac:dyDescent="0.2">
      <c r="AF30475" s="679"/>
    </row>
    <row r="30476" spans="32:32" x14ac:dyDescent="0.2">
      <c r="AF30476" s="679"/>
    </row>
    <row r="30477" spans="32:32" x14ac:dyDescent="0.2">
      <c r="AF30477" s="679"/>
    </row>
    <row r="30478" spans="32:32" x14ac:dyDescent="0.2">
      <c r="AF30478" s="679"/>
    </row>
    <row r="30479" spans="32:32" x14ac:dyDescent="0.2">
      <c r="AF30479" s="679"/>
    </row>
    <row r="30480" spans="32:32" x14ac:dyDescent="0.2">
      <c r="AF30480" s="679"/>
    </row>
    <row r="30481" spans="32:32" x14ac:dyDescent="0.2">
      <c r="AF30481" s="679"/>
    </row>
    <row r="30482" spans="32:32" x14ac:dyDescent="0.2">
      <c r="AF30482" s="679"/>
    </row>
    <row r="30483" spans="32:32" x14ac:dyDescent="0.2">
      <c r="AF30483" s="679"/>
    </row>
    <row r="30484" spans="32:32" x14ac:dyDescent="0.2">
      <c r="AF30484" s="679"/>
    </row>
    <row r="30485" spans="32:32" x14ac:dyDescent="0.2">
      <c r="AF30485" s="679"/>
    </row>
    <row r="30486" spans="32:32" x14ac:dyDescent="0.2">
      <c r="AF30486" s="679"/>
    </row>
    <row r="30487" spans="32:32" x14ac:dyDescent="0.2">
      <c r="AF30487" s="679"/>
    </row>
    <row r="30488" spans="32:32" x14ac:dyDescent="0.2">
      <c r="AF30488" s="679"/>
    </row>
    <row r="30489" spans="32:32" x14ac:dyDescent="0.2">
      <c r="AF30489" s="679"/>
    </row>
    <row r="30490" spans="32:32" x14ac:dyDescent="0.2">
      <c r="AF30490" s="679"/>
    </row>
    <row r="30491" spans="32:32" x14ac:dyDescent="0.2">
      <c r="AF30491" s="679"/>
    </row>
    <row r="30492" spans="32:32" x14ac:dyDescent="0.2">
      <c r="AF30492" s="679"/>
    </row>
    <row r="30493" spans="32:32" x14ac:dyDescent="0.2">
      <c r="AF30493" s="679"/>
    </row>
    <row r="30494" spans="32:32" x14ac:dyDescent="0.2">
      <c r="AF30494" s="679"/>
    </row>
    <row r="30495" spans="32:32" x14ac:dyDescent="0.2">
      <c r="AF30495" s="679"/>
    </row>
    <row r="30496" spans="32:32" x14ac:dyDescent="0.2">
      <c r="AF30496" s="679"/>
    </row>
    <row r="30497" spans="32:32" x14ac:dyDescent="0.2">
      <c r="AF30497" s="679"/>
    </row>
    <row r="30498" spans="32:32" x14ac:dyDescent="0.2">
      <c r="AF30498" s="679"/>
    </row>
    <row r="30499" spans="32:32" x14ac:dyDescent="0.2">
      <c r="AF30499" s="679"/>
    </row>
    <row r="30500" spans="32:32" x14ac:dyDescent="0.2">
      <c r="AF30500" s="679"/>
    </row>
    <row r="30501" spans="32:32" x14ac:dyDescent="0.2">
      <c r="AF30501" s="679"/>
    </row>
    <row r="30502" spans="32:32" x14ac:dyDescent="0.2">
      <c r="AF30502" s="679"/>
    </row>
    <row r="30503" spans="32:32" x14ac:dyDescent="0.2">
      <c r="AF30503" s="679"/>
    </row>
    <row r="30504" spans="32:32" x14ac:dyDescent="0.2">
      <c r="AF30504" s="679"/>
    </row>
    <row r="30505" spans="32:32" x14ac:dyDescent="0.2">
      <c r="AF30505" s="679"/>
    </row>
    <row r="30506" spans="32:32" x14ac:dyDescent="0.2">
      <c r="AF30506" s="679"/>
    </row>
    <row r="30507" spans="32:32" x14ac:dyDescent="0.2">
      <c r="AF30507" s="679"/>
    </row>
    <row r="30508" spans="32:32" x14ac:dyDescent="0.2">
      <c r="AF30508" s="679"/>
    </row>
    <row r="30509" spans="32:32" x14ac:dyDescent="0.2">
      <c r="AF30509" s="679"/>
    </row>
    <row r="30510" spans="32:32" x14ac:dyDescent="0.2">
      <c r="AF30510" s="679"/>
    </row>
    <row r="30511" spans="32:32" x14ac:dyDescent="0.2">
      <c r="AF30511" s="679"/>
    </row>
    <row r="30512" spans="32:32" x14ac:dyDescent="0.2">
      <c r="AF30512" s="679"/>
    </row>
    <row r="30513" spans="32:32" x14ac:dyDescent="0.2">
      <c r="AF30513" s="679"/>
    </row>
    <row r="30514" spans="32:32" x14ac:dyDescent="0.2">
      <c r="AF30514" s="679"/>
    </row>
    <row r="30515" spans="32:32" x14ac:dyDescent="0.2">
      <c r="AF30515" s="679"/>
    </row>
    <row r="30516" spans="32:32" x14ac:dyDescent="0.2">
      <c r="AF30516" s="679"/>
    </row>
    <row r="30517" spans="32:32" x14ac:dyDescent="0.2">
      <c r="AF30517" s="679"/>
    </row>
    <row r="30518" spans="32:32" x14ac:dyDescent="0.2">
      <c r="AF30518" s="679"/>
    </row>
    <row r="30519" spans="32:32" x14ac:dyDescent="0.2">
      <c r="AF30519" s="679"/>
    </row>
    <row r="30520" spans="32:32" x14ac:dyDescent="0.2">
      <c r="AF30520" s="679"/>
    </row>
    <row r="30521" spans="32:32" x14ac:dyDescent="0.2">
      <c r="AF30521" s="679"/>
    </row>
    <row r="30522" spans="32:32" x14ac:dyDescent="0.2">
      <c r="AF30522" s="679"/>
    </row>
    <row r="30523" spans="32:32" x14ac:dyDescent="0.2">
      <c r="AF30523" s="679"/>
    </row>
    <row r="30524" spans="32:32" x14ac:dyDescent="0.2">
      <c r="AF30524" s="679"/>
    </row>
    <row r="30525" spans="32:32" x14ac:dyDescent="0.2">
      <c r="AF30525" s="679"/>
    </row>
    <row r="30526" spans="32:32" x14ac:dyDescent="0.2">
      <c r="AF30526" s="679"/>
    </row>
    <row r="30527" spans="32:32" x14ac:dyDescent="0.2">
      <c r="AF30527" s="679"/>
    </row>
    <row r="30528" spans="32:32" x14ac:dyDescent="0.2">
      <c r="AF30528" s="679"/>
    </row>
    <row r="30529" spans="32:32" x14ac:dyDescent="0.2">
      <c r="AF30529" s="679"/>
    </row>
    <row r="30530" spans="32:32" x14ac:dyDescent="0.2">
      <c r="AF30530" s="679"/>
    </row>
    <row r="30531" spans="32:32" x14ac:dyDescent="0.2">
      <c r="AF30531" s="679"/>
    </row>
    <row r="30532" spans="32:32" x14ac:dyDescent="0.2">
      <c r="AF30532" s="679"/>
    </row>
    <row r="30533" spans="32:32" x14ac:dyDescent="0.2">
      <c r="AF30533" s="679"/>
    </row>
    <row r="30534" spans="32:32" x14ac:dyDescent="0.2">
      <c r="AF30534" s="679"/>
    </row>
    <row r="30535" spans="32:32" x14ac:dyDescent="0.2">
      <c r="AF30535" s="679"/>
    </row>
    <row r="30536" spans="32:32" x14ac:dyDescent="0.2">
      <c r="AF30536" s="679"/>
    </row>
    <row r="30537" spans="32:32" x14ac:dyDescent="0.2">
      <c r="AF30537" s="679"/>
    </row>
    <row r="30538" spans="32:32" x14ac:dyDescent="0.2">
      <c r="AF30538" s="679"/>
    </row>
    <row r="30539" spans="32:32" x14ac:dyDescent="0.2">
      <c r="AF30539" s="679"/>
    </row>
    <row r="30540" spans="32:32" x14ac:dyDescent="0.2">
      <c r="AF30540" s="679"/>
    </row>
    <row r="30541" spans="32:32" x14ac:dyDescent="0.2">
      <c r="AF30541" s="679"/>
    </row>
    <row r="30542" spans="32:32" x14ac:dyDescent="0.2">
      <c r="AF30542" s="679"/>
    </row>
    <row r="30543" spans="32:32" x14ac:dyDescent="0.2">
      <c r="AF30543" s="679"/>
    </row>
    <row r="30544" spans="32:32" x14ac:dyDescent="0.2">
      <c r="AF30544" s="679"/>
    </row>
    <row r="30545" spans="32:32" x14ac:dyDescent="0.2">
      <c r="AF30545" s="679"/>
    </row>
    <row r="30546" spans="32:32" x14ac:dyDescent="0.2">
      <c r="AF30546" s="679"/>
    </row>
    <row r="30547" spans="32:32" x14ac:dyDescent="0.2">
      <c r="AF30547" s="679"/>
    </row>
    <row r="30548" spans="32:32" x14ac:dyDescent="0.2">
      <c r="AF30548" s="679"/>
    </row>
    <row r="30549" spans="32:32" x14ac:dyDescent="0.2">
      <c r="AF30549" s="679"/>
    </row>
    <row r="30550" spans="32:32" x14ac:dyDescent="0.2">
      <c r="AF30550" s="679"/>
    </row>
    <row r="30551" spans="32:32" x14ac:dyDescent="0.2">
      <c r="AF30551" s="679"/>
    </row>
    <row r="30552" spans="32:32" x14ac:dyDescent="0.2">
      <c r="AF30552" s="679"/>
    </row>
    <row r="30553" spans="32:32" x14ac:dyDescent="0.2">
      <c r="AF30553" s="679"/>
    </row>
    <row r="30554" spans="32:32" x14ac:dyDescent="0.2">
      <c r="AF30554" s="679"/>
    </row>
    <row r="30555" spans="32:32" x14ac:dyDescent="0.2">
      <c r="AF30555" s="679"/>
    </row>
    <row r="30556" spans="32:32" x14ac:dyDescent="0.2">
      <c r="AF30556" s="679"/>
    </row>
    <row r="30557" spans="32:32" x14ac:dyDescent="0.2">
      <c r="AF30557" s="679"/>
    </row>
    <row r="30558" spans="32:32" x14ac:dyDescent="0.2">
      <c r="AF30558" s="679"/>
    </row>
    <row r="30559" spans="32:32" x14ac:dyDescent="0.2">
      <c r="AF30559" s="679"/>
    </row>
    <row r="30560" spans="32:32" x14ac:dyDescent="0.2">
      <c r="AF30560" s="679"/>
    </row>
    <row r="30561" spans="32:32" x14ac:dyDescent="0.2">
      <c r="AF30561" s="679"/>
    </row>
    <row r="30562" spans="32:32" x14ac:dyDescent="0.2">
      <c r="AF30562" s="679"/>
    </row>
    <row r="30563" spans="32:32" x14ac:dyDescent="0.2">
      <c r="AF30563" s="679"/>
    </row>
    <row r="30564" spans="32:32" x14ac:dyDescent="0.2">
      <c r="AF30564" s="679"/>
    </row>
    <row r="30565" spans="32:32" x14ac:dyDescent="0.2">
      <c r="AF30565" s="679"/>
    </row>
    <row r="30566" spans="32:32" x14ac:dyDescent="0.2">
      <c r="AF30566" s="679"/>
    </row>
    <row r="30567" spans="32:32" x14ac:dyDescent="0.2">
      <c r="AF30567" s="679"/>
    </row>
    <row r="30568" spans="32:32" x14ac:dyDescent="0.2">
      <c r="AF30568" s="679"/>
    </row>
    <row r="30569" spans="32:32" x14ac:dyDescent="0.2">
      <c r="AF30569" s="679"/>
    </row>
    <row r="30570" spans="32:32" x14ac:dyDescent="0.2">
      <c r="AF30570" s="679"/>
    </row>
    <row r="30571" spans="32:32" x14ac:dyDescent="0.2">
      <c r="AF30571" s="679"/>
    </row>
    <row r="30572" spans="32:32" x14ac:dyDescent="0.2">
      <c r="AF30572" s="679"/>
    </row>
    <row r="30573" spans="32:32" x14ac:dyDescent="0.2">
      <c r="AF30573" s="679"/>
    </row>
    <row r="30574" spans="32:32" x14ac:dyDescent="0.2">
      <c r="AF30574" s="679"/>
    </row>
    <row r="30575" spans="32:32" x14ac:dyDescent="0.2">
      <c r="AF30575" s="679"/>
    </row>
    <row r="30576" spans="32:32" x14ac:dyDescent="0.2">
      <c r="AF30576" s="679"/>
    </row>
    <row r="30577" spans="32:32" x14ac:dyDescent="0.2">
      <c r="AF30577" s="679"/>
    </row>
    <row r="30578" spans="32:32" x14ac:dyDescent="0.2">
      <c r="AF30578" s="679"/>
    </row>
    <row r="30579" spans="32:32" x14ac:dyDescent="0.2">
      <c r="AF30579" s="679"/>
    </row>
    <row r="30580" spans="32:32" x14ac:dyDescent="0.2">
      <c r="AF30580" s="679"/>
    </row>
    <row r="30581" spans="32:32" x14ac:dyDescent="0.2">
      <c r="AF30581" s="679"/>
    </row>
    <row r="30582" spans="32:32" x14ac:dyDescent="0.2">
      <c r="AF30582" s="679"/>
    </row>
    <row r="30583" spans="32:32" x14ac:dyDescent="0.2">
      <c r="AF30583" s="679"/>
    </row>
    <row r="30584" spans="32:32" x14ac:dyDescent="0.2">
      <c r="AF30584" s="679"/>
    </row>
    <row r="30585" spans="32:32" x14ac:dyDescent="0.2">
      <c r="AF30585" s="679"/>
    </row>
    <row r="30586" spans="32:32" x14ac:dyDescent="0.2">
      <c r="AF30586" s="679"/>
    </row>
    <row r="30587" spans="32:32" x14ac:dyDescent="0.2">
      <c r="AF30587" s="679"/>
    </row>
    <row r="30588" spans="32:32" x14ac:dyDescent="0.2">
      <c r="AF30588" s="679"/>
    </row>
    <row r="30589" spans="32:32" x14ac:dyDescent="0.2">
      <c r="AF30589" s="679"/>
    </row>
    <row r="30590" spans="32:32" x14ac:dyDescent="0.2">
      <c r="AF30590" s="679"/>
    </row>
    <row r="30591" spans="32:32" x14ac:dyDescent="0.2">
      <c r="AF30591" s="679"/>
    </row>
    <row r="30592" spans="32:32" x14ac:dyDescent="0.2">
      <c r="AF30592" s="679"/>
    </row>
    <row r="30593" spans="32:32" x14ac:dyDescent="0.2">
      <c r="AF30593" s="679"/>
    </row>
    <row r="30594" spans="32:32" x14ac:dyDescent="0.2">
      <c r="AF30594" s="679"/>
    </row>
    <row r="30595" spans="32:32" x14ac:dyDescent="0.2">
      <c r="AF30595" s="679"/>
    </row>
    <row r="30596" spans="32:32" x14ac:dyDescent="0.2">
      <c r="AF30596" s="679"/>
    </row>
    <row r="30597" spans="32:32" x14ac:dyDescent="0.2">
      <c r="AF30597" s="679"/>
    </row>
    <row r="30598" spans="32:32" x14ac:dyDescent="0.2">
      <c r="AF30598" s="679"/>
    </row>
    <row r="30599" spans="32:32" x14ac:dyDescent="0.2">
      <c r="AF30599" s="679"/>
    </row>
    <row r="30600" spans="32:32" x14ac:dyDescent="0.2">
      <c r="AF30600" s="679"/>
    </row>
    <row r="30601" spans="32:32" x14ac:dyDescent="0.2">
      <c r="AF30601" s="679"/>
    </row>
    <row r="30602" spans="32:32" x14ac:dyDescent="0.2">
      <c r="AF30602" s="679"/>
    </row>
    <row r="30603" spans="32:32" x14ac:dyDescent="0.2">
      <c r="AF30603" s="679"/>
    </row>
    <row r="30604" spans="32:32" x14ac:dyDescent="0.2">
      <c r="AF30604" s="679"/>
    </row>
    <row r="30605" spans="32:32" x14ac:dyDescent="0.2">
      <c r="AF30605" s="679"/>
    </row>
    <row r="30606" spans="32:32" x14ac:dyDescent="0.2">
      <c r="AF30606" s="679"/>
    </row>
    <row r="30607" spans="32:32" x14ac:dyDescent="0.2">
      <c r="AF30607" s="679"/>
    </row>
    <row r="30608" spans="32:32" x14ac:dyDescent="0.2">
      <c r="AF30608" s="679"/>
    </row>
    <row r="30609" spans="32:32" x14ac:dyDescent="0.2">
      <c r="AF30609" s="679"/>
    </row>
    <row r="30610" spans="32:32" x14ac:dyDescent="0.2">
      <c r="AF30610" s="679"/>
    </row>
    <row r="30611" spans="32:32" x14ac:dyDescent="0.2">
      <c r="AF30611" s="679"/>
    </row>
    <row r="30612" spans="32:32" x14ac:dyDescent="0.2">
      <c r="AF30612" s="679"/>
    </row>
    <row r="30613" spans="32:32" x14ac:dyDescent="0.2">
      <c r="AF30613" s="679"/>
    </row>
    <row r="30614" spans="32:32" x14ac:dyDescent="0.2">
      <c r="AF30614" s="679"/>
    </row>
    <row r="30615" spans="32:32" x14ac:dyDescent="0.2">
      <c r="AF30615" s="679"/>
    </row>
    <row r="30616" spans="32:32" x14ac:dyDescent="0.2">
      <c r="AF30616" s="679"/>
    </row>
    <row r="30617" spans="32:32" x14ac:dyDescent="0.2">
      <c r="AF30617" s="679"/>
    </row>
    <row r="30618" spans="32:32" x14ac:dyDescent="0.2">
      <c r="AF30618" s="679"/>
    </row>
    <row r="30619" spans="32:32" x14ac:dyDescent="0.2">
      <c r="AF30619" s="679"/>
    </row>
    <row r="30620" spans="32:32" x14ac:dyDescent="0.2">
      <c r="AF30620" s="679"/>
    </row>
    <row r="30621" spans="32:32" x14ac:dyDescent="0.2">
      <c r="AF30621" s="679"/>
    </row>
    <row r="30622" spans="32:32" x14ac:dyDescent="0.2">
      <c r="AF30622" s="679"/>
    </row>
    <row r="30623" spans="32:32" x14ac:dyDescent="0.2">
      <c r="AF30623" s="679"/>
    </row>
    <row r="30624" spans="32:32" x14ac:dyDescent="0.2">
      <c r="AF30624" s="679"/>
    </row>
    <row r="30625" spans="32:32" x14ac:dyDescent="0.2">
      <c r="AF30625" s="679"/>
    </row>
    <row r="30626" spans="32:32" x14ac:dyDescent="0.2">
      <c r="AF30626" s="679"/>
    </row>
    <row r="30627" spans="32:32" x14ac:dyDescent="0.2">
      <c r="AF30627" s="679"/>
    </row>
    <row r="30628" spans="32:32" x14ac:dyDescent="0.2">
      <c r="AF30628" s="679"/>
    </row>
    <row r="30629" spans="32:32" x14ac:dyDescent="0.2">
      <c r="AF30629" s="679"/>
    </row>
    <row r="30630" spans="32:32" x14ac:dyDescent="0.2">
      <c r="AF30630" s="679"/>
    </row>
    <row r="30631" spans="32:32" x14ac:dyDescent="0.2">
      <c r="AF30631" s="679"/>
    </row>
    <row r="30632" spans="32:32" x14ac:dyDescent="0.2">
      <c r="AF30632" s="679"/>
    </row>
    <row r="30633" spans="32:32" x14ac:dyDescent="0.2">
      <c r="AF30633" s="679"/>
    </row>
    <row r="30634" spans="32:32" x14ac:dyDescent="0.2">
      <c r="AF30634" s="679"/>
    </row>
    <row r="30635" spans="32:32" x14ac:dyDescent="0.2">
      <c r="AF30635" s="679"/>
    </row>
    <row r="30636" spans="32:32" x14ac:dyDescent="0.2">
      <c r="AF30636" s="679"/>
    </row>
    <row r="30637" spans="32:32" x14ac:dyDescent="0.2">
      <c r="AF30637" s="679"/>
    </row>
    <row r="30638" spans="32:32" x14ac:dyDescent="0.2">
      <c r="AF30638" s="679"/>
    </row>
    <row r="30639" spans="32:32" x14ac:dyDescent="0.2">
      <c r="AF30639" s="679"/>
    </row>
    <row r="30640" spans="32:32" x14ac:dyDescent="0.2">
      <c r="AF30640" s="679"/>
    </row>
    <row r="30641" spans="32:32" x14ac:dyDescent="0.2">
      <c r="AF30641" s="679"/>
    </row>
    <row r="30642" spans="32:32" x14ac:dyDescent="0.2">
      <c r="AF30642" s="679"/>
    </row>
    <row r="30643" spans="32:32" x14ac:dyDescent="0.2">
      <c r="AF30643" s="679"/>
    </row>
    <row r="30644" spans="32:32" x14ac:dyDescent="0.2">
      <c r="AF30644" s="679"/>
    </row>
    <row r="30645" spans="32:32" x14ac:dyDescent="0.2">
      <c r="AF30645" s="679"/>
    </row>
    <row r="30646" spans="32:32" x14ac:dyDescent="0.2">
      <c r="AF30646" s="679"/>
    </row>
    <row r="30647" spans="32:32" x14ac:dyDescent="0.2">
      <c r="AF30647" s="679"/>
    </row>
    <row r="30648" spans="32:32" x14ac:dyDescent="0.2">
      <c r="AF30648" s="679"/>
    </row>
    <row r="30649" spans="32:32" x14ac:dyDescent="0.2">
      <c r="AF30649" s="679"/>
    </row>
    <row r="30650" spans="32:32" x14ac:dyDescent="0.2">
      <c r="AF30650" s="679"/>
    </row>
    <row r="30651" spans="32:32" x14ac:dyDescent="0.2">
      <c r="AF30651" s="679"/>
    </row>
    <row r="30652" spans="32:32" x14ac:dyDescent="0.2">
      <c r="AF30652" s="679"/>
    </row>
    <row r="30653" spans="32:32" x14ac:dyDescent="0.2">
      <c r="AF30653" s="679"/>
    </row>
    <row r="30654" spans="32:32" x14ac:dyDescent="0.2">
      <c r="AF30654" s="679"/>
    </row>
    <row r="30655" spans="32:32" x14ac:dyDescent="0.2">
      <c r="AF30655" s="679"/>
    </row>
    <row r="30656" spans="32:32" x14ac:dyDescent="0.2">
      <c r="AF30656" s="679"/>
    </row>
    <row r="30657" spans="32:32" x14ac:dyDescent="0.2">
      <c r="AF30657" s="679"/>
    </row>
    <row r="30658" spans="32:32" x14ac:dyDescent="0.2">
      <c r="AF30658" s="679"/>
    </row>
    <row r="30659" spans="32:32" x14ac:dyDescent="0.2">
      <c r="AF30659" s="679"/>
    </row>
    <row r="30660" spans="32:32" x14ac:dyDescent="0.2">
      <c r="AF30660" s="679"/>
    </row>
    <row r="30661" spans="32:32" x14ac:dyDescent="0.2">
      <c r="AF30661" s="679"/>
    </row>
    <row r="30662" spans="32:32" x14ac:dyDescent="0.2">
      <c r="AF30662" s="679"/>
    </row>
    <row r="30663" spans="32:32" x14ac:dyDescent="0.2">
      <c r="AF30663" s="679"/>
    </row>
    <row r="30664" spans="32:32" x14ac:dyDescent="0.2">
      <c r="AF30664" s="679"/>
    </row>
    <row r="30665" spans="32:32" x14ac:dyDescent="0.2">
      <c r="AF30665" s="679"/>
    </row>
    <row r="30666" spans="32:32" x14ac:dyDescent="0.2">
      <c r="AF30666" s="679"/>
    </row>
    <row r="30667" spans="32:32" x14ac:dyDescent="0.2">
      <c r="AF30667" s="679"/>
    </row>
    <row r="30668" spans="32:32" x14ac:dyDescent="0.2">
      <c r="AF30668" s="679"/>
    </row>
    <row r="30669" spans="32:32" x14ac:dyDescent="0.2">
      <c r="AF30669" s="679"/>
    </row>
    <row r="30670" spans="32:32" x14ac:dyDescent="0.2">
      <c r="AF30670" s="679"/>
    </row>
    <row r="30671" spans="32:32" x14ac:dyDescent="0.2">
      <c r="AF30671" s="679"/>
    </row>
    <row r="30672" spans="32:32" x14ac:dyDescent="0.2">
      <c r="AF30672" s="679"/>
    </row>
    <row r="30673" spans="32:32" x14ac:dyDescent="0.2">
      <c r="AF30673" s="679"/>
    </row>
    <row r="30674" spans="32:32" x14ac:dyDescent="0.2">
      <c r="AF30674" s="679"/>
    </row>
    <row r="30675" spans="32:32" x14ac:dyDescent="0.2">
      <c r="AF30675" s="679"/>
    </row>
    <row r="30676" spans="32:32" x14ac:dyDescent="0.2">
      <c r="AF30676" s="679"/>
    </row>
    <row r="30677" spans="32:32" x14ac:dyDescent="0.2">
      <c r="AF30677" s="679"/>
    </row>
    <row r="30678" spans="32:32" x14ac:dyDescent="0.2">
      <c r="AF30678" s="679"/>
    </row>
    <row r="30679" spans="32:32" x14ac:dyDescent="0.2">
      <c r="AF30679" s="679"/>
    </row>
    <row r="30680" spans="32:32" x14ac:dyDescent="0.2">
      <c r="AF30680" s="679"/>
    </row>
    <row r="30681" spans="32:32" x14ac:dyDescent="0.2">
      <c r="AF30681" s="679"/>
    </row>
    <row r="30682" spans="32:32" x14ac:dyDescent="0.2">
      <c r="AF30682" s="679"/>
    </row>
    <row r="30683" spans="32:32" x14ac:dyDescent="0.2">
      <c r="AF30683" s="679"/>
    </row>
    <row r="30684" spans="32:32" x14ac:dyDescent="0.2">
      <c r="AF30684" s="679"/>
    </row>
    <row r="30685" spans="32:32" x14ac:dyDescent="0.2">
      <c r="AF30685" s="679"/>
    </row>
    <row r="30686" spans="32:32" x14ac:dyDescent="0.2">
      <c r="AF30686" s="679"/>
    </row>
    <row r="30687" spans="32:32" x14ac:dyDescent="0.2">
      <c r="AF30687" s="679"/>
    </row>
    <row r="30688" spans="32:32" x14ac:dyDescent="0.2">
      <c r="AF30688" s="679"/>
    </row>
    <row r="30689" spans="32:32" x14ac:dyDescent="0.2">
      <c r="AF30689" s="679"/>
    </row>
    <row r="30690" spans="32:32" x14ac:dyDescent="0.2">
      <c r="AF30690" s="679"/>
    </row>
    <row r="30691" spans="32:32" x14ac:dyDescent="0.2">
      <c r="AF30691" s="679"/>
    </row>
    <row r="30692" spans="32:32" x14ac:dyDescent="0.2">
      <c r="AF30692" s="679"/>
    </row>
    <row r="30693" spans="32:32" x14ac:dyDescent="0.2">
      <c r="AF30693" s="679"/>
    </row>
    <row r="30694" spans="32:32" x14ac:dyDescent="0.2">
      <c r="AF30694" s="679"/>
    </row>
    <row r="30695" spans="32:32" x14ac:dyDescent="0.2">
      <c r="AF30695" s="679"/>
    </row>
    <row r="30696" spans="32:32" x14ac:dyDescent="0.2">
      <c r="AF30696" s="679"/>
    </row>
    <row r="30697" spans="32:32" x14ac:dyDescent="0.2">
      <c r="AF30697" s="679"/>
    </row>
    <row r="30698" spans="32:32" x14ac:dyDescent="0.2">
      <c r="AF30698" s="679"/>
    </row>
    <row r="30699" spans="32:32" x14ac:dyDescent="0.2">
      <c r="AF30699" s="679"/>
    </row>
    <row r="30700" spans="32:32" x14ac:dyDescent="0.2">
      <c r="AF30700" s="679"/>
    </row>
    <row r="30701" spans="32:32" x14ac:dyDescent="0.2">
      <c r="AF30701" s="679"/>
    </row>
    <row r="30702" spans="32:32" x14ac:dyDescent="0.2">
      <c r="AF30702" s="679"/>
    </row>
    <row r="30703" spans="32:32" x14ac:dyDescent="0.2">
      <c r="AF30703" s="679"/>
    </row>
    <row r="30704" spans="32:32" x14ac:dyDescent="0.2">
      <c r="AF30704" s="679"/>
    </row>
    <row r="30705" spans="32:32" x14ac:dyDescent="0.2">
      <c r="AF30705" s="679"/>
    </row>
    <row r="30706" spans="32:32" x14ac:dyDescent="0.2">
      <c r="AF30706" s="679"/>
    </row>
    <row r="30707" spans="32:32" x14ac:dyDescent="0.2">
      <c r="AF30707" s="679"/>
    </row>
    <row r="30708" spans="32:32" x14ac:dyDescent="0.2">
      <c r="AF30708" s="679"/>
    </row>
    <row r="30709" spans="32:32" x14ac:dyDescent="0.2">
      <c r="AF30709" s="679"/>
    </row>
    <row r="30710" spans="32:32" x14ac:dyDescent="0.2">
      <c r="AF30710" s="679"/>
    </row>
    <row r="30711" spans="32:32" x14ac:dyDescent="0.2">
      <c r="AF30711" s="679"/>
    </row>
    <row r="30712" spans="32:32" x14ac:dyDescent="0.2">
      <c r="AF30712" s="679"/>
    </row>
    <row r="30713" spans="32:32" x14ac:dyDescent="0.2">
      <c r="AF30713" s="679"/>
    </row>
    <row r="30714" spans="32:32" x14ac:dyDescent="0.2">
      <c r="AF30714" s="679"/>
    </row>
    <row r="30715" spans="32:32" x14ac:dyDescent="0.2">
      <c r="AF30715" s="679"/>
    </row>
    <row r="30716" spans="32:32" x14ac:dyDescent="0.2">
      <c r="AF30716" s="679"/>
    </row>
    <row r="30717" spans="32:32" x14ac:dyDescent="0.2">
      <c r="AF30717" s="679"/>
    </row>
    <row r="30718" spans="32:32" x14ac:dyDescent="0.2">
      <c r="AF30718" s="679"/>
    </row>
    <row r="30719" spans="32:32" x14ac:dyDescent="0.2">
      <c r="AF30719" s="679"/>
    </row>
    <row r="30720" spans="32:32" x14ac:dyDescent="0.2">
      <c r="AF30720" s="679"/>
    </row>
    <row r="30721" spans="32:32" x14ac:dyDescent="0.2">
      <c r="AF30721" s="679"/>
    </row>
    <row r="30722" spans="32:32" x14ac:dyDescent="0.2">
      <c r="AF30722" s="679"/>
    </row>
    <row r="30723" spans="32:32" x14ac:dyDescent="0.2">
      <c r="AF30723" s="679"/>
    </row>
    <row r="30724" spans="32:32" x14ac:dyDescent="0.2">
      <c r="AF30724" s="679"/>
    </row>
    <row r="30725" spans="32:32" x14ac:dyDescent="0.2">
      <c r="AF30725" s="679"/>
    </row>
    <row r="30726" spans="32:32" x14ac:dyDescent="0.2">
      <c r="AF30726" s="679"/>
    </row>
    <row r="30727" spans="32:32" x14ac:dyDescent="0.2">
      <c r="AF30727" s="679"/>
    </row>
    <row r="30728" spans="32:32" x14ac:dyDescent="0.2">
      <c r="AF30728" s="679"/>
    </row>
    <row r="30729" spans="32:32" x14ac:dyDescent="0.2">
      <c r="AF30729" s="679"/>
    </row>
    <row r="30730" spans="32:32" x14ac:dyDescent="0.2">
      <c r="AF30730" s="679"/>
    </row>
    <row r="30731" spans="32:32" x14ac:dyDescent="0.2">
      <c r="AF30731" s="679"/>
    </row>
    <row r="30732" spans="32:32" x14ac:dyDescent="0.2">
      <c r="AF30732" s="679"/>
    </row>
    <row r="30733" spans="32:32" x14ac:dyDescent="0.2">
      <c r="AF30733" s="679"/>
    </row>
    <row r="30734" spans="32:32" x14ac:dyDescent="0.2">
      <c r="AF30734" s="679"/>
    </row>
    <row r="30735" spans="32:32" x14ac:dyDescent="0.2">
      <c r="AF30735" s="679"/>
    </row>
    <row r="30736" spans="32:32" x14ac:dyDescent="0.2">
      <c r="AF30736" s="679"/>
    </row>
    <row r="30737" spans="32:32" x14ac:dyDescent="0.2">
      <c r="AF30737" s="679"/>
    </row>
    <row r="30738" spans="32:32" x14ac:dyDescent="0.2">
      <c r="AF30738" s="679"/>
    </row>
    <row r="30739" spans="32:32" x14ac:dyDescent="0.2">
      <c r="AF30739" s="679"/>
    </row>
    <row r="30740" spans="32:32" x14ac:dyDescent="0.2">
      <c r="AF30740" s="679"/>
    </row>
    <row r="30741" spans="32:32" x14ac:dyDescent="0.2">
      <c r="AF30741" s="679"/>
    </row>
    <row r="30742" spans="32:32" x14ac:dyDescent="0.2">
      <c r="AF30742" s="679"/>
    </row>
    <row r="30743" spans="32:32" x14ac:dyDescent="0.2">
      <c r="AF30743" s="679"/>
    </row>
    <row r="30744" spans="32:32" x14ac:dyDescent="0.2">
      <c r="AF30744" s="679"/>
    </row>
    <row r="30745" spans="32:32" x14ac:dyDescent="0.2">
      <c r="AF30745" s="679"/>
    </row>
    <row r="30746" spans="32:32" x14ac:dyDescent="0.2">
      <c r="AF30746" s="679"/>
    </row>
    <row r="30747" spans="32:32" x14ac:dyDescent="0.2">
      <c r="AF30747" s="679"/>
    </row>
    <row r="30748" spans="32:32" x14ac:dyDescent="0.2">
      <c r="AF30748" s="679"/>
    </row>
    <row r="30749" spans="32:32" x14ac:dyDescent="0.2">
      <c r="AF30749" s="679"/>
    </row>
    <row r="30750" spans="32:32" x14ac:dyDescent="0.2">
      <c r="AF30750" s="679"/>
    </row>
    <row r="30751" spans="32:32" x14ac:dyDescent="0.2">
      <c r="AF30751" s="679"/>
    </row>
    <row r="30752" spans="32:32" x14ac:dyDescent="0.2">
      <c r="AF30752" s="679"/>
    </row>
    <row r="30753" spans="32:32" x14ac:dyDescent="0.2">
      <c r="AF30753" s="679"/>
    </row>
    <row r="30754" spans="32:32" x14ac:dyDescent="0.2">
      <c r="AF30754" s="679"/>
    </row>
    <row r="30755" spans="32:32" x14ac:dyDescent="0.2">
      <c r="AF30755" s="679"/>
    </row>
    <row r="30756" spans="32:32" x14ac:dyDescent="0.2">
      <c r="AF30756" s="679"/>
    </row>
    <row r="30757" spans="32:32" x14ac:dyDescent="0.2">
      <c r="AF30757" s="679"/>
    </row>
    <row r="30758" spans="32:32" x14ac:dyDescent="0.2">
      <c r="AF30758" s="679"/>
    </row>
    <row r="30759" spans="32:32" x14ac:dyDescent="0.2">
      <c r="AF30759" s="679"/>
    </row>
    <row r="30760" spans="32:32" x14ac:dyDescent="0.2">
      <c r="AF30760" s="679"/>
    </row>
    <row r="30761" spans="32:32" x14ac:dyDescent="0.2">
      <c r="AF30761" s="679"/>
    </row>
    <row r="30762" spans="32:32" x14ac:dyDescent="0.2">
      <c r="AF30762" s="679"/>
    </row>
    <row r="30763" spans="32:32" x14ac:dyDescent="0.2">
      <c r="AF30763" s="679"/>
    </row>
    <row r="30764" spans="32:32" x14ac:dyDescent="0.2">
      <c r="AF30764" s="679"/>
    </row>
    <row r="30765" spans="32:32" x14ac:dyDescent="0.2">
      <c r="AF30765" s="679"/>
    </row>
    <row r="30766" spans="32:32" x14ac:dyDescent="0.2">
      <c r="AF30766" s="679"/>
    </row>
    <row r="30767" spans="32:32" x14ac:dyDescent="0.2">
      <c r="AF30767" s="679"/>
    </row>
    <row r="30768" spans="32:32" x14ac:dyDescent="0.2">
      <c r="AF30768" s="679"/>
    </row>
    <row r="30769" spans="32:32" x14ac:dyDescent="0.2">
      <c r="AF30769" s="679"/>
    </row>
    <row r="30770" spans="32:32" x14ac:dyDescent="0.2">
      <c r="AF30770" s="679"/>
    </row>
    <row r="30771" spans="32:32" x14ac:dyDescent="0.2">
      <c r="AF30771" s="679"/>
    </row>
    <row r="30772" spans="32:32" x14ac:dyDescent="0.2">
      <c r="AF30772" s="679"/>
    </row>
    <row r="30773" spans="32:32" x14ac:dyDescent="0.2">
      <c r="AF30773" s="679"/>
    </row>
    <row r="30774" spans="32:32" x14ac:dyDescent="0.2">
      <c r="AF30774" s="679"/>
    </row>
    <row r="30775" spans="32:32" x14ac:dyDescent="0.2">
      <c r="AF30775" s="679"/>
    </row>
    <row r="30776" spans="32:32" x14ac:dyDescent="0.2">
      <c r="AF30776" s="679"/>
    </row>
    <row r="30777" spans="32:32" x14ac:dyDescent="0.2">
      <c r="AF30777" s="679"/>
    </row>
    <row r="30778" spans="32:32" x14ac:dyDescent="0.2">
      <c r="AF30778" s="679"/>
    </row>
    <row r="30779" spans="32:32" x14ac:dyDescent="0.2">
      <c r="AF30779" s="679"/>
    </row>
    <row r="30780" spans="32:32" x14ac:dyDescent="0.2">
      <c r="AF30780" s="679"/>
    </row>
    <row r="30781" spans="32:32" x14ac:dyDescent="0.2">
      <c r="AF30781" s="679"/>
    </row>
    <row r="30782" spans="32:32" x14ac:dyDescent="0.2">
      <c r="AF30782" s="679"/>
    </row>
    <row r="30783" spans="32:32" x14ac:dyDescent="0.2">
      <c r="AF30783" s="679"/>
    </row>
    <row r="30784" spans="32:32" x14ac:dyDescent="0.2">
      <c r="AF30784" s="679"/>
    </row>
    <row r="30785" spans="32:32" x14ac:dyDescent="0.2">
      <c r="AF30785" s="679"/>
    </row>
    <row r="30786" spans="32:32" x14ac:dyDescent="0.2">
      <c r="AF30786" s="679"/>
    </row>
    <row r="30787" spans="32:32" x14ac:dyDescent="0.2">
      <c r="AF30787" s="679"/>
    </row>
    <row r="30788" spans="32:32" x14ac:dyDescent="0.2">
      <c r="AF30788" s="679"/>
    </row>
    <row r="30789" spans="32:32" x14ac:dyDescent="0.2">
      <c r="AF30789" s="679"/>
    </row>
    <row r="30790" spans="32:32" x14ac:dyDescent="0.2">
      <c r="AF30790" s="679"/>
    </row>
    <row r="30791" spans="32:32" x14ac:dyDescent="0.2">
      <c r="AF30791" s="679"/>
    </row>
    <row r="30792" spans="32:32" x14ac:dyDescent="0.2">
      <c r="AF30792" s="679"/>
    </row>
    <row r="30793" spans="32:32" x14ac:dyDescent="0.2">
      <c r="AF30793" s="679"/>
    </row>
    <row r="30794" spans="32:32" x14ac:dyDescent="0.2">
      <c r="AF30794" s="679"/>
    </row>
    <row r="30795" spans="32:32" x14ac:dyDescent="0.2">
      <c r="AF30795" s="679"/>
    </row>
    <row r="30796" spans="32:32" x14ac:dyDescent="0.2">
      <c r="AF30796" s="679"/>
    </row>
    <row r="30797" spans="32:32" x14ac:dyDescent="0.2">
      <c r="AF30797" s="679"/>
    </row>
    <row r="30798" spans="32:32" x14ac:dyDescent="0.2">
      <c r="AF30798" s="679"/>
    </row>
    <row r="30799" spans="32:32" x14ac:dyDescent="0.2">
      <c r="AF30799" s="679"/>
    </row>
    <row r="30800" spans="32:32" x14ac:dyDescent="0.2">
      <c r="AF30800" s="679"/>
    </row>
    <row r="30801" spans="32:32" x14ac:dyDescent="0.2">
      <c r="AF30801" s="679"/>
    </row>
    <row r="30802" spans="32:32" x14ac:dyDescent="0.2">
      <c r="AF30802" s="679"/>
    </row>
    <row r="30803" spans="32:32" x14ac:dyDescent="0.2">
      <c r="AF30803" s="679"/>
    </row>
    <row r="30804" spans="32:32" x14ac:dyDescent="0.2">
      <c r="AF30804" s="679"/>
    </row>
    <row r="30805" spans="32:32" x14ac:dyDescent="0.2">
      <c r="AF30805" s="679"/>
    </row>
    <row r="30806" spans="32:32" x14ac:dyDescent="0.2">
      <c r="AF30806" s="679"/>
    </row>
    <row r="30807" spans="32:32" x14ac:dyDescent="0.2">
      <c r="AF30807" s="679"/>
    </row>
    <row r="30808" spans="32:32" x14ac:dyDescent="0.2">
      <c r="AF30808" s="679"/>
    </row>
    <row r="30809" spans="32:32" x14ac:dyDescent="0.2">
      <c r="AF30809" s="679"/>
    </row>
    <row r="30810" spans="32:32" x14ac:dyDescent="0.2">
      <c r="AF30810" s="679"/>
    </row>
    <row r="30811" spans="32:32" x14ac:dyDescent="0.2">
      <c r="AF30811" s="679"/>
    </row>
    <row r="30812" spans="32:32" x14ac:dyDescent="0.2">
      <c r="AF30812" s="679"/>
    </row>
    <row r="30813" spans="32:32" x14ac:dyDescent="0.2">
      <c r="AF30813" s="679"/>
    </row>
    <row r="30814" spans="32:32" x14ac:dyDescent="0.2">
      <c r="AF30814" s="679"/>
    </row>
    <row r="30815" spans="32:32" x14ac:dyDescent="0.2">
      <c r="AF30815" s="679"/>
    </row>
    <row r="30816" spans="32:32" x14ac:dyDescent="0.2">
      <c r="AF30816" s="679"/>
    </row>
    <row r="30817" spans="32:32" x14ac:dyDescent="0.2">
      <c r="AF30817" s="679"/>
    </row>
    <row r="30818" spans="32:32" x14ac:dyDescent="0.2">
      <c r="AF30818" s="679"/>
    </row>
    <row r="30819" spans="32:32" x14ac:dyDescent="0.2">
      <c r="AF30819" s="679"/>
    </row>
    <row r="30820" spans="32:32" x14ac:dyDescent="0.2">
      <c r="AF30820" s="679"/>
    </row>
    <row r="30821" spans="32:32" x14ac:dyDescent="0.2">
      <c r="AF30821" s="679"/>
    </row>
    <row r="30822" spans="32:32" x14ac:dyDescent="0.2">
      <c r="AF30822" s="679"/>
    </row>
    <row r="30823" spans="32:32" x14ac:dyDescent="0.2">
      <c r="AF30823" s="679"/>
    </row>
    <row r="30824" spans="32:32" x14ac:dyDescent="0.2">
      <c r="AF30824" s="679"/>
    </row>
    <row r="30825" spans="32:32" x14ac:dyDescent="0.2">
      <c r="AF30825" s="679"/>
    </row>
    <row r="30826" spans="32:32" x14ac:dyDescent="0.2">
      <c r="AF30826" s="679"/>
    </row>
    <row r="30827" spans="32:32" x14ac:dyDescent="0.2">
      <c r="AF30827" s="679"/>
    </row>
    <row r="30828" spans="32:32" x14ac:dyDescent="0.2">
      <c r="AF30828" s="679"/>
    </row>
    <row r="30829" spans="32:32" x14ac:dyDescent="0.2">
      <c r="AF30829" s="679"/>
    </row>
    <row r="30830" spans="32:32" x14ac:dyDescent="0.2">
      <c r="AF30830" s="679"/>
    </row>
    <row r="30831" spans="32:32" x14ac:dyDescent="0.2">
      <c r="AF30831" s="679"/>
    </row>
    <row r="30832" spans="32:32" x14ac:dyDescent="0.2">
      <c r="AF30832" s="679"/>
    </row>
    <row r="30833" spans="32:32" x14ac:dyDescent="0.2">
      <c r="AF30833" s="679"/>
    </row>
    <row r="30834" spans="32:32" x14ac:dyDescent="0.2">
      <c r="AF30834" s="679"/>
    </row>
    <row r="30835" spans="32:32" x14ac:dyDescent="0.2">
      <c r="AF30835" s="679"/>
    </row>
    <row r="30836" spans="32:32" x14ac:dyDescent="0.2">
      <c r="AF30836" s="679"/>
    </row>
    <row r="30837" spans="32:32" x14ac:dyDescent="0.2">
      <c r="AF30837" s="679"/>
    </row>
    <row r="30838" spans="32:32" x14ac:dyDescent="0.2">
      <c r="AF30838" s="679"/>
    </row>
    <row r="30839" spans="32:32" x14ac:dyDescent="0.2">
      <c r="AF30839" s="679"/>
    </row>
    <row r="30840" spans="32:32" x14ac:dyDescent="0.2">
      <c r="AF30840" s="679"/>
    </row>
    <row r="30841" spans="32:32" x14ac:dyDescent="0.2">
      <c r="AF30841" s="679"/>
    </row>
    <row r="30842" spans="32:32" x14ac:dyDescent="0.2">
      <c r="AF30842" s="679"/>
    </row>
    <row r="30843" spans="32:32" x14ac:dyDescent="0.2">
      <c r="AF30843" s="679"/>
    </row>
    <row r="30844" spans="32:32" x14ac:dyDescent="0.2">
      <c r="AF30844" s="679"/>
    </row>
    <row r="30845" spans="32:32" x14ac:dyDescent="0.2">
      <c r="AF30845" s="679"/>
    </row>
    <row r="30846" spans="32:32" x14ac:dyDescent="0.2">
      <c r="AF30846" s="679"/>
    </row>
    <row r="30847" spans="32:32" x14ac:dyDescent="0.2">
      <c r="AF30847" s="679"/>
    </row>
    <row r="30848" spans="32:32" x14ac:dyDescent="0.2">
      <c r="AF30848" s="679"/>
    </row>
    <row r="30849" spans="32:32" x14ac:dyDescent="0.2">
      <c r="AF30849" s="679"/>
    </row>
    <row r="30850" spans="32:32" x14ac:dyDescent="0.2">
      <c r="AF30850" s="679"/>
    </row>
    <row r="30851" spans="32:32" x14ac:dyDescent="0.2">
      <c r="AF30851" s="679"/>
    </row>
    <row r="30852" spans="32:32" x14ac:dyDescent="0.2">
      <c r="AF30852" s="679"/>
    </row>
    <row r="30853" spans="32:32" x14ac:dyDescent="0.2">
      <c r="AF30853" s="679"/>
    </row>
    <row r="30854" spans="32:32" x14ac:dyDescent="0.2">
      <c r="AF30854" s="679"/>
    </row>
    <row r="30855" spans="32:32" x14ac:dyDescent="0.2">
      <c r="AF30855" s="679"/>
    </row>
    <row r="30856" spans="32:32" x14ac:dyDescent="0.2">
      <c r="AF30856" s="679"/>
    </row>
    <row r="30857" spans="32:32" x14ac:dyDescent="0.2">
      <c r="AF30857" s="679"/>
    </row>
    <row r="30858" spans="32:32" x14ac:dyDescent="0.2">
      <c r="AF30858" s="679"/>
    </row>
    <row r="30859" spans="32:32" x14ac:dyDescent="0.2">
      <c r="AF30859" s="679"/>
    </row>
    <row r="30860" spans="32:32" x14ac:dyDescent="0.2">
      <c r="AF30860" s="679"/>
    </row>
    <row r="30861" spans="32:32" x14ac:dyDescent="0.2">
      <c r="AF30861" s="679"/>
    </row>
    <row r="30862" spans="32:32" x14ac:dyDescent="0.2">
      <c r="AF30862" s="679"/>
    </row>
    <row r="30863" spans="32:32" x14ac:dyDescent="0.2">
      <c r="AF30863" s="679"/>
    </row>
    <row r="30864" spans="32:32" x14ac:dyDescent="0.2">
      <c r="AF30864" s="679"/>
    </row>
    <row r="30865" spans="32:32" x14ac:dyDescent="0.2">
      <c r="AF30865" s="679"/>
    </row>
    <row r="30866" spans="32:32" x14ac:dyDescent="0.2">
      <c r="AF30866" s="679"/>
    </row>
    <row r="30867" spans="32:32" x14ac:dyDescent="0.2">
      <c r="AF30867" s="679"/>
    </row>
    <row r="30868" spans="32:32" x14ac:dyDescent="0.2">
      <c r="AF30868" s="679"/>
    </row>
    <row r="30869" spans="32:32" x14ac:dyDescent="0.2">
      <c r="AF30869" s="679"/>
    </row>
    <row r="30870" spans="32:32" x14ac:dyDescent="0.2">
      <c r="AF30870" s="679"/>
    </row>
    <row r="30871" spans="32:32" x14ac:dyDescent="0.2">
      <c r="AF30871" s="679"/>
    </row>
    <row r="30872" spans="32:32" x14ac:dyDescent="0.2">
      <c r="AF30872" s="679"/>
    </row>
    <row r="30873" spans="32:32" x14ac:dyDescent="0.2">
      <c r="AF30873" s="679"/>
    </row>
    <row r="30874" spans="32:32" x14ac:dyDescent="0.2">
      <c r="AF30874" s="679"/>
    </row>
    <row r="30875" spans="32:32" x14ac:dyDescent="0.2">
      <c r="AF30875" s="679"/>
    </row>
    <row r="30876" spans="32:32" x14ac:dyDescent="0.2">
      <c r="AF30876" s="679"/>
    </row>
    <row r="30877" spans="32:32" x14ac:dyDescent="0.2">
      <c r="AF30877" s="679"/>
    </row>
    <row r="30878" spans="32:32" x14ac:dyDescent="0.2">
      <c r="AF30878" s="679"/>
    </row>
    <row r="30879" spans="32:32" x14ac:dyDescent="0.2">
      <c r="AF30879" s="679"/>
    </row>
    <row r="30880" spans="32:32" x14ac:dyDescent="0.2">
      <c r="AF30880" s="679"/>
    </row>
    <row r="30881" spans="32:32" x14ac:dyDescent="0.2">
      <c r="AF30881" s="679"/>
    </row>
    <row r="30882" spans="32:32" x14ac:dyDescent="0.2">
      <c r="AF30882" s="679"/>
    </row>
    <row r="30883" spans="32:32" x14ac:dyDescent="0.2">
      <c r="AF30883" s="679"/>
    </row>
    <row r="30884" spans="32:32" x14ac:dyDescent="0.2">
      <c r="AF30884" s="679"/>
    </row>
    <row r="30885" spans="32:32" x14ac:dyDescent="0.2">
      <c r="AF30885" s="679"/>
    </row>
    <row r="30886" spans="32:32" x14ac:dyDescent="0.2">
      <c r="AF30886" s="679"/>
    </row>
    <row r="30887" spans="32:32" x14ac:dyDescent="0.2">
      <c r="AF30887" s="679"/>
    </row>
    <row r="30888" spans="32:32" x14ac:dyDescent="0.2">
      <c r="AF30888" s="679"/>
    </row>
    <row r="30889" spans="32:32" x14ac:dyDescent="0.2">
      <c r="AF30889" s="679"/>
    </row>
    <row r="30890" spans="32:32" x14ac:dyDescent="0.2">
      <c r="AF30890" s="679"/>
    </row>
    <row r="30891" spans="32:32" x14ac:dyDescent="0.2">
      <c r="AF30891" s="679"/>
    </row>
    <row r="30892" spans="32:32" x14ac:dyDescent="0.2">
      <c r="AF30892" s="679"/>
    </row>
    <row r="30893" spans="32:32" x14ac:dyDescent="0.2">
      <c r="AF30893" s="679"/>
    </row>
    <row r="30894" spans="32:32" x14ac:dyDescent="0.2">
      <c r="AF30894" s="679"/>
    </row>
    <row r="30895" spans="32:32" x14ac:dyDescent="0.2">
      <c r="AF30895" s="679"/>
    </row>
    <row r="30896" spans="32:32" x14ac:dyDescent="0.2">
      <c r="AF30896" s="679"/>
    </row>
    <row r="30897" spans="32:32" x14ac:dyDescent="0.2">
      <c r="AF30897" s="679"/>
    </row>
    <row r="30898" spans="32:32" x14ac:dyDescent="0.2">
      <c r="AF30898" s="679"/>
    </row>
    <row r="30899" spans="32:32" x14ac:dyDescent="0.2">
      <c r="AF30899" s="679"/>
    </row>
    <row r="30900" spans="32:32" x14ac:dyDescent="0.2">
      <c r="AF30900" s="679"/>
    </row>
    <row r="30901" spans="32:32" x14ac:dyDescent="0.2">
      <c r="AF30901" s="679"/>
    </row>
    <row r="30902" spans="32:32" x14ac:dyDescent="0.2">
      <c r="AF30902" s="679"/>
    </row>
    <row r="30903" spans="32:32" x14ac:dyDescent="0.2">
      <c r="AF30903" s="679"/>
    </row>
    <row r="30904" spans="32:32" x14ac:dyDescent="0.2">
      <c r="AF30904" s="679"/>
    </row>
    <row r="30905" spans="32:32" x14ac:dyDescent="0.2">
      <c r="AF30905" s="679"/>
    </row>
    <row r="30906" spans="32:32" x14ac:dyDescent="0.2">
      <c r="AF30906" s="679"/>
    </row>
    <row r="30907" spans="32:32" x14ac:dyDescent="0.2">
      <c r="AF30907" s="679"/>
    </row>
    <row r="30908" spans="32:32" x14ac:dyDescent="0.2">
      <c r="AF30908" s="679"/>
    </row>
    <row r="30909" spans="32:32" x14ac:dyDescent="0.2">
      <c r="AF30909" s="679"/>
    </row>
    <row r="30910" spans="32:32" x14ac:dyDescent="0.2">
      <c r="AF30910" s="679"/>
    </row>
    <row r="30911" spans="32:32" x14ac:dyDescent="0.2">
      <c r="AF30911" s="679"/>
    </row>
    <row r="30912" spans="32:32" x14ac:dyDescent="0.2">
      <c r="AF30912" s="679"/>
    </row>
    <row r="30913" spans="32:32" x14ac:dyDescent="0.2">
      <c r="AF30913" s="679"/>
    </row>
    <row r="30914" spans="32:32" x14ac:dyDescent="0.2">
      <c r="AF30914" s="679"/>
    </row>
    <row r="30915" spans="32:32" x14ac:dyDescent="0.2">
      <c r="AF30915" s="679"/>
    </row>
    <row r="30916" spans="32:32" x14ac:dyDescent="0.2">
      <c r="AF30916" s="679"/>
    </row>
    <row r="30917" spans="32:32" x14ac:dyDescent="0.2">
      <c r="AF30917" s="679"/>
    </row>
    <row r="30918" spans="32:32" x14ac:dyDescent="0.2">
      <c r="AF30918" s="679"/>
    </row>
    <row r="30919" spans="32:32" x14ac:dyDescent="0.2">
      <c r="AF30919" s="679"/>
    </row>
    <row r="30920" spans="32:32" x14ac:dyDescent="0.2">
      <c r="AF30920" s="679"/>
    </row>
    <row r="30921" spans="32:32" x14ac:dyDescent="0.2">
      <c r="AF30921" s="679"/>
    </row>
    <row r="30922" spans="32:32" x14ac:dyDescent="0.2">
      <c r="AF30922" s="679"/>
    </row>
    <row r="30923" spans="32:32" x14ac:dyDescent="0.2">
      <c r="AF30923" s="679"/>
    </row>
    <row r="30924" spans="32:32" x14ac:dyDescent="0.2">
      <c r="AF30924" s="679"/>
    </row>
    <row r="30925" spans="32:32" x14ac:dyDescent="0.2">
      <c r="AF30925" s="679"/>
    </row>
    <row r="30926" spans="32:32" x14ac:dyDescent="0.2">
      <c r="AF30926" s="679"/>
    </row>
    <row r="30927" spans="32:32" x14ac:dyDescent="0.2">
      <c r="AF30927" s="679"/>
    </row>
    <row r="30928" spans="32:32" x14ac:dyDescent="0.2">
      <c r="AF30928" s="679"/>
    </row>
    <row r="30929" spans="32:32" x14ac:dyDescent="0.2">
      <c r="AF30929" s="679"/>
    </row>
    <row r="30930" spans="32:32" x14ac:dyDescent="0.2">
      <c r="AF30930" s="679"/>
    </row>
    <row r="30931" spans="32:32" x14ac:dyDescent="0.2">
      <c r="AF30931" s="679"/>
    </row>
    <row r="30932" spans="32:32" x14ac:dyDescent="0.2">
      <c r="AF30932" s="679"/>
    </row>
    <row r="30933" spans="32:32" x14ac:dyDescent="0.2">
      <c r="AF30933" s="679"/>
    </row>
    <row r="30934" spans="32:32" x14ac:dyDescent="0.2">
      <c r="AF30934" s="679"/>
    </row>
    <row r="30935" spans="32:32" x14ac:dyDescent="0.2">
      <c r="AF30935" s="679"/>
    </row>
    <row r="30936" spans="32:32" x14ac:dyDescent="0.2">
      <c r="AF30936" s="679"/>
    </row>
    <row r="30937" spans="32:32" x14ac:dyDescent="0.2">
      <c r="AF30937" s="679"/>
    </row>
    <row r="30938" spans="32:32" x14ac:dyDescent="0.2">
      <c r="AF30938" s="679"/>
    </row>
    <row r="30939" spans="32:32" x14ac:dyDescent="0.2">
      <c r="AF30939" s="679"/>
    </row>
    <row r="30940" spans="32:32" x14ac:dyDescent="0.2">
      <c r="AF30940" s="679"/>
    </row>
    <row r="30941" spans="32:32" x14ac:dyDescent="0.2">
      <c r="AF30941" s="679"/>
    </row>
    <row r="30942" spans="32:32" x14ac:dyDescent="0.2">
      <c r="AF30942" s="679"/>
    </row>
    <row r="30943" spans="32:32" x14ac:dyDescent="0.2">
      <c r="AF30943" s="679"/>
    </row>
    <row r="30944" spans="32:32" x14ac:dyDescent="0.2">
      <c r="AF30944" s="679"/>
    </row>
    <row r="30945" spans="32:32" x14ac:dyDescent="0.2">
      <c r="AF30945" s="679"/>
    </row>
    <row r="30946" spans="32:32" x14ac:dyDescent="0.2">
      <c r="AF30946" s="679"/>
    </row>
    <row r="30947" spans="32:32" x14ac:dyDescent="0.2">
      <c r="AF30947" s="679"/>
    </row>
    <row r="30948" spans="32:32" x14ac:dyDescent="0.2">
      <c r="AF30948" s="679"/>
    </row>
    <row r="30949" spans="32:32" x14ac:dyDescent="0.2">
      <c r="AF30949" s="679"/>
    </row>
    <row r="30950" spans="32:32" x14ac:dyDescent="0.2">
      <c r="AF30950" s="679"/>
    </row>
    <row r="30951" spans="32:32" x14ac:dyDescent="0.2">
      <c r="AF30951" s="679"/>
    </row>
    <row r="30952" spans="32:32" x14ac:dyDescent="0.2">
      <c r="AF30952" s="679"/>
    </row>
    <row r="30953" spans="32:32" x14ac:dyDescent="0.2">
      <c r="AF30953" s="679"/>
    </row>
    <row r="30954" spans="32:32" x14ac:dyDescent="0.2">
      <c r="AF30954" s="679"/>
    </row>
    <row r="30955" spans="32:32" x14ac:dyDescent="0.2">
      <c r="AF30955" s="679"/>
    </row>
    <row r="30956" spans="32:32" x14ac:dyDescent="0.2">
      <c r="AF30956" s="679"/>
    </row>
    <row r="30957" spans="32:32" x14ac:dyDescent="0.2">
      <c r="AF30957" s="679"/>
    </row>
    <row r="30958" spans="32:32" x14ac:dyDescent="0.2">
      <c r="AF30958" s="679"/>
    </row>
    <row r="30959" spans="32:32" x14ac:dyDescent="0.2">
      <c r="AF30959" s="679"/>
    </row>
    <row r="30960" spans="32:32" x14ac:dyDescent="0.2">
      <c r="AF30960" s="679"/>
    </row>
    <row r="30961" spans="32:32" x14ac:dyDescent="0.2">
      <c r="AF30961" s="679"/>
    </row>
    <row r="30962" spans="32:32" x14ac:dyDescent="0.2">
      <c r="AF30962" s="679"/>
    </row>
    <row r="30963" spans="32:32" x14ac:dyDescent="0.2">
      <c r="AF30963" s="679"/>
    </row>
    <row r="30964" spans="32:32" x14ac:dyDescent="0.2">
      <c r="AF30964" s="679"/>
    </row>
    <row r="30965" spans="32:32" x14ac:dyDescent="0.2">
      <c r="AF30965" s="679"/>
    </row>
    <row r="30966" spans="32:32" x14ac:dyDescent="0.2">
      <c r="AF30966" s="679"/>
    </row>
    <row r="30967" spans="32:32" x14ac:dyDescent="0.2">
      <c r="AF30967" s="679"/>
    </row>
    <row r="30968" spans="32:32" x14ac:dyDescent="0.2">
      <c r="AF30968" s="679"/>
    </row>
    <row r="30969" spans="32:32" x14ac:dyDescent="0.2">
      <c r="AF30969" s="679"/>
    </row>
    <row r="30970" spans="32:32" x14ac:dyDescent="0.2">
      <c r="AF30970" s="679"/>
    </row>
    <row r="30971" spans="32:32" x14ac:dyDescent="0.2">
      <c r="AF30971" s="679"/>
    </row>
    <row r="30972" spans="32:32" x14ac:dyDescent="0.2">
      <c r="AF30972" s="679"/>
    </row>
    <row r="30973" spans="32:32" x14ac:dyDescent="0.2">
      <c r="AF30973" s="679"/>
    </row>
    <row r="30974" spans="32:32" x14ac:dyDescent="0.2">
      <c r="AF30974" s="679"/>
    </row>
    <row r="30975" spans="32:32" x14ac:dyDescent="0.2">
      <c r="AF30975" s="679"/>
    </row>
    <row r="30976" spans="32:32" x14ac:dyDescent="0.2">
      <c r="AF30976" s="679"/>
    </row>
    <row r="30977" spans="32:32" x14ac:dyDescent="0.2">
      <c r="AF30977" s="679"/>
    </row>
    <row r="30978" spans="32:32" x14ac:dyDescent="0.2">
      <c r="AF30978" s="679"/>
    </row>
    <row r="30979" spans="32:32" x14ac:dyDescent="0.2">
      <c r="AF30979" s="679"/>
    </row>
    <row r="30980" spans="32:32" x14ac:dyDescent="0.2">
      <c r="AF30980" s="679"/>
    </row>
    <row r="30981" spans="32:32" x14ac:dyDescent="0.2">
      <c r="AF30981" s="679"/>
    </row>
    <row r="30982" spans="32:32" x14ac:dyDescent="0.2">
      <c r="AF30982" s="679"/>
    </row>
    <row r="30983" spans="32:32" x14ac:dyDescent="0.2">
      <c r="AF30983" s="679"/>
    </row>
    <row r="30984" spans="32:32" x14ac:dyDescent="0.2">
      <c r="AF30984" s="679"/>
    </row>
    <row r="30985" spans="32:32" x14ac:dyDescent="0.2">
      <c r="AF30985" s="679"/>
    </row>
    <row r="30986" spans="32:32" x14ac:dyDescent="0.2">
      <c r="AF30986" s="679"/>
    </row>
    <row r="30987" spans="32:32" x14ac:dyDescent="0.2">
      <c r="AF30987" s="679"/>
    </row>
    <row r="30988" spans="32:32" x14ac:dyDescent="0.2">
      <c r="AF30988" s="679"/>
    </row>
    <row r="30989" spans="32:32" x14ac:dyDescent="0.2">
      <c r="AF30989" s="679"/>
    </row>
    <row r="30990" spans="32:32" x14ac:dyDescent="0.2">
      <c r="AF30990" s="679"/>
    </row>
    <row r="30991" spans="32:32" x14ac:dyDescent="0.2">
      <c r="AF30991" s="679"/>
    </row>
    <row r="30992" spans="32:32" x14ac:dyDescent="0.2">
      <c r="AF30992" s="679"/>
    </row>
    <row r="30993" spans="32:32" x14ac:dyDescent="0.2">
      <c r="AF30993" s="679"/>
    </row>
    <row r="30994" spans="32:32" x14ac:dyDescent="0.2">
      <c r="AF30994" s="679"/>
    </row>
    <row r="30995" spans="32:32" x14ac:dyDescent="0.2">
      <c r="AF30995" s="679"/>
    </row>
    <row r="30996" spans="32:32" x14ac:dyDescent="0.2">
      <c r="AF30996" s="679"/>
    </row>
    <row r="30997" spans="32:32" x14ac:dyDescent="0.2">
      <c r="AF30997" s="679"/>
    </row>
    <row r="30998" spans="32:32" x14ac:dyDescent="0.2">
      <c r="AF30998" s="679"/>
    </row>
    <row r="30999" spans="32:32" x14ac:dyDescent="0.2">
      <c r="AF30999" s="679"/>
    </row>
    <row r="31000" spans="32:32" x14ac:dyDescent="0.2">
      <c r="AF31000" s="679"/>
    </row>
    <row r="31001" spans="32:32" x14ac:dyDescent="0.2">
      <c r="AF31001" s="679"/>
    </row>
    <row r="31002" spans="32:32" x14ac:dyDescent="0.2">
      <c r="AF31002" s="679"/>
    </row>
    <row r="31003" spans="32:32" x14ac:dyDescent="0.2">
      <c r="AF31003" s="679"/>
    </row>
    <row r="31004" spans="32:32" x14ac:dyDescent="0.2">
      <c r="AF31004" s="679"/>
    </row>
    <row r="31005" spans="32:32" x14ac:dyDescent="0.2">
      <c r="AF31005" s="679"/>
    </row>
    <row r="31006" spans="32:32" x14ac:dyDescent="0.2">
      <c r="AF31006" s="679"/>
    </row>
    <row r="31007" spans="32:32" x14ac:dyDescent="0.2">
      <c r="AF31007" s="679"/>
    </row>
    <row r="31008" spans="32:32" x14ac:dyDescent="0.2">
      <c r="AF31008" s="679"/>
    </row>
    <row r="31009" spans="32:32" x14ac:dyDescent="0.2">
      <c r="AF31009" s="679"/>
    </row>
    <row r="31010" spans="32:32" x14ac:dyDescent="0.2">
      <c r="AF31010" s="679"/>
    </row>
    <row r="31011" spans="32:32" x14ac:dyDescent="0.2">
      <c r="AF31011" s="679"/>
    </row>
    <row r="31012" spans="32:32" x14ac:dyDescent="0.2">
      <c r="AF31012" s="679"/>
    </row>
    <row r="31013" spans="32:32" x14ac:dyDescent="0.2">
      <c r="AF31013" s="679"/>
    </row>
    <row r="31014" spans="32:32" x14ac:dyDescent="0.2">
      <c r="AF31014" s="679"/>
    </row>
    <row r="31015" spans="32:32" x14ac:dyDescent="0.2">
      <c r="AF31015" s="679"/>
    </row>
    <row r="31016" spans="32:32" x14ac:dyDescent="0.2">
      <c r="AF31016" s="679"/>
    </row>
    <row r="31017" spans="32:32" x14ac:dyDescent="0.2">
      <c r="AF31017" s="679"/>
    </row>
    <row r="31018" spans="32:32" x14ac:dyDescent="0.2">
      <c r="AF31018" s="679"/>
    </row>
    <row r="31019" spans="32:32" x14ac:dyDescent="0.2">
      <c r="AF31019" s="679"/>
    </row>
    <row r="31020" spans="32:32" x14ac:dyDescent="0.2">
      <c r="AF31020" s="679"/>
    </row>
    <row r="31021" spans="32:32" x14ac:dyDescent="0.2">
      <c r="AF31021" s="679"/>
    </row>
    <row r="31022" spans="32:32" x14ac:dyDescent="0.2">
      <c r="AF31022" s="679"/>
    </row>
    <row r="31023" spans="32:32" x14ac:dyDescent="0.2">
      <c r="AF31023" s="679"/>
    </row>
    <row r="31024" spans="32:32" x14ac:dyDescent="0.2">
      <c r="AF31024" s="679"/>
    </row>
    <row r="31025" spans="32:32" x14ac:dyDescent="0.2">
      <c r="AF31025" s="679"/>
    </row>
    <row r="31026" spans="32:32" x14ac:dyDescent="0.2">
      <c r="AF31026" s="679"/>
    </row>
    <row r="31027" spans="32:32" x14ac:dyDescent="0.2">
      <c r="AF31027" s="679"/>
    </row>
    <row r="31028" spans="32:32" x14ac:dyDescent="0.2">
      <c r="AF31028" s="679"/>
    </row>
    <row r="31029" spans="32:32" x14ac:dyDescent="0.2">
      <c r="AF31029" s="679"/>
    </row>
    <row r="31030" spans="32:32" x14ac:dyDescent="0.2">
      <c r="AF31030" s="679"/>
    </row>
    <row r="31031" spans="32:32" x14ac:dyDescent="0.2">
      <c r="AF31031" s="679"/>
    </row>
    <row r="31032" spans="32:32" x14ac:dyDescent="0.2">
      <c r="AF31032" s="679"/>
    </row>
    <row r="31033" spans="32:32" x14ac:dyDescent="0.2">
      <c r="AF31033" s="679"/>
    </row>
    <row r="31034" spans="32:32" x14ac:dyDescent="0.2">
      <c r="AF31034" s="679"/>
    </row>
    <row r="31035" spans="32:32" x14ac:dyDescent="0.2">
      <c r="AF31035" s="679"/>
    </row>
    <row r="31036" spans="32:32" x14ac:dyDescent="0.2">
      <c r="AF31036" s="679"/>
    </row>
    <row r="31037" spans="32:32" x14ac:dyDescent="0.2">
      <c r="AF31037" s="679"/>
    </row>
    <row r="31038" spans="32:32" x14ac:dyDescent="0.2">
      <c r="AF31038" s="679"/>
    </row>
    <row r="31039" spans="32:32" x14ac:dyDescent="0.2">
      <c r="AF31039" s="679"/>
    </row>
    <row r="31040" spans="32:32" x14ac:dyDescent="0.2">
      <c r="AF31040" s="679"/>
    </row>
    <row r="31041" spans="32:32" x14ac:dyDescent="0.2">
      <c r="AF31041" s="679"/>
    </row>
    <row r="31042" spans="32:32" x14ac:dyDescent="0.2">
      <c r="AF31042" s="679"/>
    </row>
    <row r="31043" spans="32:32" x14ac:dyDescent="0.2">
      <c r="AF31043" s="679"/>
    </row>
    <row r="31044" spans="32:32" x14ac:dyDescent="0.2">
      <c r="AF31044" s="679"/>
    </row>
    <row r="31045" spans="32:32" x14ac:dyDescent="0.2">
      <c r="AF31045" s="679"/>
    </row>
    <row r="31046" spans="32:32" x14ac:dyDescent="0.2">
      <c r="AF31046" s="679"/>
    </row>
    <row r="31047" spans="32:32" x14ac:dyDescent="0.2">
      <c r="AF31047" s="679"/>
    </row>
    <row r="31048" spans="32:32" x14ac:dyDescent="0.2">
      <c r="AF31048" s="679"/>
    </row>
    <row r="31049" spans="32:32" x14ac:dyDescent="0.2">
      <c r="AF31049" s="679"/>
    </row>
    <row r="31050" spans="32:32" x14ac:dyDescent="0.2">
      <c r="AF31050" s="679"/>
    </row>
    <row r="31051" spans="32:32" x14ac:dyDescent="0.2">
      <c r="AF31051" s="679"/>
    </row>
    <row r="31052" spans="32:32" x14ac:dyDescent="0.2">
      <c r="AF31052" s="679"/>
    </row>
    <row r="31053" spans="32:32" x14ac:dyDescent="0.2">
      <c r="AF31053" s="679"/>
    </row>
    <row r="31054" spans="32:32" x14ac:dyDescent="0.2">
      <c r="AF31054" s="679"/>
    </row>
    <row r="31055" spans="32:32" x14ac:dyDescent="0.2">
      <c r="AF31055" s="679"/>
    </row>
    <row r="31056" spans="32:32" x14ac:dyDescent="0.2">
      <c r="AF31056" s="679"/>
    </row>
    <row r="31057" spans="32:32" x14ac:dyDescent="0.2">
      <c r="AF31057" s="679"/>
    </row>
    <row r="31058" spans="32:32" x14ac:dyDescent="0.2">
      <c r="AF31058" s="679"/>
    </row>
    <row r="31059" spans="32:32" x14ac:dyDescent="0.2">
      <c r="AF31059" s="679"/>
    </row>
    <row r="31060" spans="32:32" x14ac:dyDescent="0.2">
      <c r="AF31060" s="679"/>
    </row>
    <row r="31061" spans="32:32" x14ac:dyDescent="0.2">
      <c r="AF31061" s="679"/>
    </row>
    <row r="31062" spans="32:32" x14ac:dyDescent="0.2">
      <c r="AF31062" s="679"/>
    </row>
    <row r="31063" spans="32:32" x14ac:dyDescent="0.2">
      <c r="AF31063" s="679"/>
    </row>
    <row r="31064" spans="32:32" x14ac:dyDescent="0.2">
      <c r="AF31064" s="679"/>
    </row>
    <row r="31065" spans="32:32" x14ac:dyDescent="0.2">
      <c r="AF31065" s="679"/>
    </row>
    <row r="31066" spans="32:32" x14ac:dyDescent="0.2">
      <c r="AF31066" s="679"/>
    </row>
    <row r="31067" spans="32:32" x14ac:dyDescent="0.2">
      <c r="AF31067" s="679"/>
    </row>
    <row r="31068" spans="32:32" x14ac:dyDescent="0.2">
      <c r="AF31068" s="679"/>
    </row>
    <row r="31069" spans="32:32" x14ac:dyDescent="0.2">
      <c r="AF31069" s="679"/>
    </row>
    <row r="31070" spans="32:32" x14ac:dyDescent="0.2">
      <c r="AF31070" s="679"/>
    </row>
    <row r="31071" spans="32:32" x14ac:dyDescent="0.2">
      <c r="AF31071" s="679"/>
    </row>
    <row r="31072" spans="32:32" x14ac:dyDescent="0.2">
      <c r="AF31072" s="679"/>
    </row>
    <row r="31073" spans="32:32" x14ac:dyDescent="0.2">
      <c r="AF31073" s="679"/>
    </row>
    <row r="31074" spans="32:32" x14ac:dyDescent="0.2">
      <c r="AF31074" s="679"/>
    </row>
    <row r="31075" spans="32:32" x14ac:dyDescent="0.2">
      <c r="AF31075" s="679"/>
    </row>
    <row r="31076" spans="32:32" x14ac:dyDescent="0.2">
      <c r="AF31076" s="679"/>
    </row>
    <row r="31077" spans="32:32" x14ac:dyDescent="0.2">
      <c r="AF31077" s="679"/>
    </row>
    <row r="31078" spans="32:32" x14ac:dyDescent="0.2">
      <c r="AF31078" s="679"/>
    </row>
    <row r="31079" spans="32:32" x14ac:dyDescent="0.2">
      <c r="AF31079" s="679"/>
    </row>
    <row r="31080" spans="32:32" x14ac:dyDescent="0.2">
      <c r="AF31080" s="679"/>
    </row>
    <row r="31081" spans="32:32" x14ac:dyDescent="0.2">
      <c r="AF31081" s="679"/>
    </row>
    <row r="31082" spans="32:32" x14ac:dyDescent="0.2">
      <c r="AF31082" s="679"/>
    </row>
    <row r="31083" spans="32:32" x14ac:dyDescent="0.2">
      <c r="AF31083" s="679"/>
    </row>
    <row r="31084" spans="32:32" x14ac:dyDescent="0.2">
      <c r="AF31084" s="679"/>
    </row>
    <row r="31085" spans="32:32" x14ac:dyDescent="0.2">
      <c r="AF31085" s="679"/>
    </row>
    <row r="31086" spans="32:32" x14ac:dyDescent="0.2">
      <c r="AF31086" s="679"/>
    </row>
    <row r="31087" spans="32:32" x14ac:dyDescent="0.2">
      <c r="AF31087" s="679"/>
    </row>
    <row r="31088" spans="32:32" x14ac:dyDescent="0.2">
      <c r="AF31088" s="679"/>
    </row>
    <row r="31089" spans="32:32" x14ac:dyDescent="0.2">
      <c r="AF31089" s="679"/>
    </row>
    <row r="31090" spans="32:32" x14ac:dyDescent="0.2">
      <c r="AF31090" s="679"/>
    </row>
    <row r="31091" spans="32:32" x14ac:dyDescent="0.2">
      <c r="AF31091" s="679"/>
    </row>
    <row r="31092" spans="32:32" x14ac:dyDescent="0.2">
      <c r="AF31092" s="679"/>
    </row>
    <row r="31093" spans="32:32" x14ac:dyDescent="0.2">
      <c r="AF31093" s="679"/>
    </row>
    <row r="31094" spans="32:32" x14ac:dyDescent="0.2">
      <c r="AF31094" s="679"/>
    </row>
    <row r="31095" spans="32:32" x14ac:dyDescent="0.2">
      <c r="AF31095" s="679"/>
    </row>
    <row r="31096" spans="32:32" x14ac:dyDescent="0.2">
      <c r="AF31096" s="679"/>
    </row>
    <row r="31097" spans="32:32" x14ac:dyDescent="0.2">
      <c r="AF31097" s="679"/>
    </row>
    <row r="31098" spans="32:32" x14ac:dyDescent="0.2">
      <c r="AF31098" s="679"/>
    </row>
    <row r="31099" spans="32:32" x14ac:dyDescent="0.2">
      <c r="AF31099" s="679"/>
    </row>
    <row r="31100" spans="32:32" x14ac:dyDescent="0.2">
      <c r="AF31100" s="679"/>
    </row>
    <row r="31101" spans="32:32" x14ac:dyDescent="0.2">
      <c r="AF31101" s="679"/>
    </row>
    <row r="31102" spans="32:32" x14ac:dyDescent="0.2">
      <c r="AF31102" s="679"/>
    </row>
    <row r="31103" spans="32:32" x14ac:dyDescent="0.2">
      <c r="AF31103" s="679"/>
    </row>
    <row r="31104" spans="32:32" x14ac:dyDescent="0.2">
      <c r="AF31104" s="679"/>
    </row>
    <row r="31105" spans="32:32" x14ac:dyDescent="0.2">
      <c r="AF31105" s="679"/>
    </row>
    <row r="31106" spans="32:32" x14ac:dyDescent="0.2">
      <c r="AF31106" s="679"/>
    </row>
    <row r="31107" spans="32:32" x14ac:dyDescent="0.2">
      <c r="AF31107" s="679"/>
    </row>
    <row r="31108" spans="32:32" x14ac:dyDescent="0.2">
      <c r="AF31108" s="679"/>
    </row>
    <row r="31109" spans="32:32" x14ac:dyDescent="0.2">
      <c r="AF31109" s="679"/>
    </row>
    <row r="31110" spans="32:32" x14ac:dyDescent="0.2">
      <c r="AF31110" s="679"/>
    </row>
    <row r="31111" spans="32:32" x14ac:dyDescent="0.2">
      <c r="AF31111" s="679"/>
    </row>
    <row r="31112" spans="32:32" x14ac:dyDescent="0.2">
      <c r="AF31112" s="679"/>
    </row>
    <row r="31113" spans="32:32" x14ac:dyDescent="0.2">
      <c r="AF31113" s="679"/>
    </row>
    <row r="31114" spans="32:32" x14ac:dyDescent="0.2">
      <c r="AF31114" s="679"/>
    </row>
    <row r="31115" spans="32:32" x14ac:dyDescent="0.2">
      <c r="AF31115" s="679"/>
    </row>
    <row r="31116" spans="32:32" x14ac:dyDescent="0.2">
      <c r="AF31116" s="679"/>
    </row>
    <row r="31117" spans="32:32" x14ac:dyDescent="0.2">
      <c r="AF31117" s="679"/>
    </row>
    <row r="31118" spans="32:32" x14ac:dyDescent="0.2">
      <c r="AF31118" s="679"/>
    </row>
    <row r="31119" spans="32:32" x14ac:dyDescent="0.2">
      <c r="AF31119" s="679"/>
    </row>
    <row r="31120" spans="32:32" x14ac:dyDescent="0.2">
      <c r="AF31120" s="679"/>
    </row>
    <row r="31121" spans="32:32" x14ac:dyDescent="0.2">
      <c r="AF31121" s="679"/>
    </row>
    <row r="31122" spans="32:32" x14ac:dyDescent="0.2">
      <c r="AF31122" s="679"/>
    </row>
    <row r="31123" spans="32:32" x14ac:dyDescent="0.2">
      <c r="AF31123" s="679"/>
    </row>
    <row r="31124" spans="32:32" x14ac:dyDescent="0.2">
      <c r="AF31124" s="679"/>
    </row>
    <row r="31125" spans="32:32" x14ac:dyDescent="0.2">
      <c r="AF31125" s="679"/>
    </row>
    <row r="31126" spans="32:32" x14ac:dyDescent="0.2">
      <c r="AF31126" s="679"/>
    </row>
    <row r="31127" spans="32:32" x14ac:dyDescent="0.2">
      <c r="AF31127" s="679"/>
    </row>
    <row r="31128" spans="32:32" x14ac:dyDescent="0.2">
      <c r="AF31128" s="679"/>
    </row>
    <row r="31129" spans="32:32" x14ac:dyDescent="0.2">
      <c r="AF31129" s="679"/>
    </row>
    <row r="31130" spans="32:32" x14ac:dyDescent="0.2">
      <c r="AF31130" s="679"/>
    </row>
    <row r="31131" spans="32:32" x14ac:dyDescent="0.2">
      <c r="AF31131" s="679"/>
    </row>
    <row r="31132" spans="32:32" x14ac:dyDescent="0.2">
      <c r="AF31132" s="679"/>
    </row>
    <row r="31133" spans="32:32" x14ac:dyDescent="0.2">
      <c r="AF31133" s="679"/>
    </row>
    <row r="31134" spans="32:32" x14ac:dyDescent="0.2">
      <c r="AF31134" s="679"/>
    </row>
    <row r="31135" spans="32:32" x14ac:dyDescent="0.2">
      <c r="AF31135" s="679"/>
    </row>
    <row r="31136" spans="32:32" x14ac:dyDescent="0.2">
      <c r="AF31136" s="679"/>
    </row>
    <row r="31137" spans="32:32" x14ac:dyDescent="0.2">
      <c r="AF31137" s="679"/>
    </row>
    <row r="31138" spans="32:32" x14ac:dyDescent="0.2">
      <c r="AF31138" s="679"/>
    </row>
    <row r="31139" spans="32:32" x14ac:dyDescent="0.2">
      <c r="AF31139" s="679"/>
    </row>
    <row r="31140" spans="32:32" x14ac:dyDescent="0.2">
      <c r="AF31140" s="679"/>
    </row>
    <row r="31141" spans="32:32" x14ac:dyDescent="0.2">
      <c r="AF31141" s="679"/>
    </row>
    <row r="31142" spans="32:32" x14ac:dyDescent="0.2">
      <c r="AF31142" s="679"/>
    </row>
    <row r="31143" spans="32:32" x14ac:dyDescent="0.2">
      <c r="AF31143" s="679"/>
    </row>
    <row r="31144" spans="32:32" x14ac:dyDescent="0.2">
      <c r="AF31144" s="679"/>
    </row>
    <row r="31145" spans="32:32" x14ac:dyDescent="0.2">
      <c r="AF31145" s="679"/>
    </row>
    <row r="31146" spans="32:32" x14ac:dyDescent="0.2">
      <c r="AF31146" s="679"/>
    </row>
    <row r="31147" spans="32:32" x14ac:dyDescent="0.2">
      <c r="AF31147" s="679"/>
    </row>
    <row r="31148" spans="32:32" x14ac:dyDescent="0.2">
      <c r="AF31148" s="679"/>
    </row>
    <row r="31149" spans="32:32" x14ac:dyDescent="0.2">
      <c r="AF31149" s="679"/>
    </row>
    <row r="31150" spans="32:32" x14ac:dyDescent="0.2">
      <c r="AF31150" s="679"/>
    </row>
    <row r="31151" spans="32:32" x14ac:dyDescent="0.2">
      <c r="AF31151" s="679"/>
    </row>
    <row r="31152" spans="32:32" x14ac:dyDescent="0.2">
      <c r="AF31152" s="679"/>
    </row>
    <row r="31153" spans="32:32" x14ac:dyDescent="0.2">
      <c r="AF31153" s="679"/>
    </row>
    <row r="31154" spans="32:32" x14ac:dyDescent="0.2">
      <c r="AF31154" s="679"/>
    </row>
    <row r="31155" spans="32:32" x14ac:dyDescent="0.2">
      <c r="AF31155" s="679"/>
    </row>
    <row r="31156" spans="32:32" x14ac:dyDescent="0.2">
      <c r="AF31156" s="679"/>
    </row>
    <row r="31157" spans="32:32" x14ac:dyDescent="0.2">
      <c r="AF31157" s="679"/>
    </row>
    <row r="31158" spans="32:32" x14ac:dyDescent="0.2">
      <c r="AF31158" s="679"/>
    </row>
    <row r="31159" spans="32:32" x14ac:dyDescent="0.2">
      <c r="AF31159" s="679"/>
    </row>
    <row r="31160" spans="32:32" x14ac:dyDescent="0.2">
      <c r="AF31160" s="679"/>
    </row>
    <row r="31161" spans="32:32" x14ac:dyDescent="0.2">
      <c r="AF31161" s="679"/>
    </row>
    <row r="31162" spans="32:32" x14ac:dyDescent="0.2">
      <c r="AF31162" s="679"/>
    </row>
    <row r="31163" spans="32:32" x14ac:dyDescent="0.2">
      <c r="AF31163" s="679"/>
    </row>
    <row r="31164" spans="32:32" x14ac:dyDescent="0.2">
      <c r="AF31164" s="679"/>
    </row>
    <row r="31165" spans="32:32" x14ac:dyDescent="0.2">
      <c r="AF31165" s="679"/>
    </row>
    <row r="31166" spans="32:32" x14ac:dyDescent="0.2">
      <c r="AF31166" s="679"/>
    </row>
    <row r="31167" spans="32:32" x14ac:dyDescent="0.2">
      <c r="AF31167" s="679"/>
    </row>
    <row r="31168" spans="32:32" x14ac:dyDescent="0.2">
      <c r="AF31168" s="679"/>
    </row>
    <row r="31169" spans="32:32" x14ac:dyDescent="0.2">
      <c r="AF31169" s="679"/>
    </row>
    <row r="31170" spans="32:32" x14ac:dyDescent="0.2">
      <c r="AF31170" s="679"/>
    </row>
    <row r="31171" spans="32:32" x14ac:dyDescent="0.2">
      <c r="AF31171" s="679"/>
    </row>
    <row r="31172" spans="32:32" x14ac:dyDescent="0.2">
      <c r="AF31172" s="679"/>
    </row>
    <row r="31173" spans="32:32" x14ac:dyDescent="0.2">
      <c r="AF31173" s="679"/>
    </row>
    <row r="31174" spans="32:32" x14ac:dyDescent="0.2">
      <c r="AF31174" s="679"/>
    </row>
    <row r="31175" spans="32:32" x14ac:dyDescent="0.2">
      <c r="AF31175" s="679"/>
    </row>
    <row r="31176" spans="32:32" x14ac:dyDescent="0.2">
      <c r="AF31176" s="679"/>
    </row>
    <row r="31177" spans="32:32" x14ac:dyDescent="0.2">
      <c r="AF31177" s="679"/>
    </row>
    <row r="31178" spans="32:32" x14ac:dyDescent="0.2">
      <c r="AF31178" s="679"/>
    </row>
    <row r="31179" spans="32:32" x14ac:dyDescent="0.2">
      <c r="AF31179" s="679"/>
    </row>
    <row r="31180" spans="32:32" x14ac:dyDescent="0.2">
      <c r="AF31180" s="679"/>
    </row>
    <row r="31181" spans="32:32" x14ac:dyDescent="0.2">
      <c r="AF31181" s="679"/>
    </row>
    <row r="31182" spans="32:32" x14ac:dyDescent="0.2">
      <c r="AF31182" s="679"/>
    </row>
    <row r="31183" spans="32:32" x14ac:dyDescent="0.2">
      <c r="AF31183" s="679"/>
    </row>
    <row r="31184" spans="32:32" x14ac:dyDescent="0.2">
      <c r="AF31184" s="679"/>
    </row>
    <row r="31185" spans="32:32" x14ac:dyDescent="0.2">
      <c r="AF31185" s="679"/>
    </row>
    <row r="31186" spans="32:32" x14ac:dyDescent="0.2">
      <c r="AF31186" s="679"/>
    </row>
    <row r="31187" spans="32:32" x14ac:dyDescent="0.2">
      <c r="AF31187" s="679"/>
    </row>
    <row r="31188" spans="32:32" x14ac:dyDescent="0.2">
      <c r="AF31188" s="679"/>
    </row>
    <row r="31189" spans="32:32" x14ac:dyDescent="0.2">
      <c r="AF31189" s="679"/>
    </row>
    <row r="31190" spans="32:32" x14ac:dyDescent="0.2">
      <c r="AF31190" s="679"/>
    </row>
    <row r="31191" spans="32:32" x14ac:dyDescent="0.2">
      <c r="AF31191" s="679"/>
    </row>
    <row r="31192" spans="32:32" x14ac:dyDescent="0.2">
      <c r="AF31192" s="679"/>
    </row>
    <row r="31193" spans="32:32" x14ac:dyDescent="0.2">
      <c r="AF31193" s="679"/>
    </row>
    <row r="31194" spans="32:32" x14ac:dyDescent="0.2">
      <c r="AF31194" s="679"/>
    </row>
    <row r="31195" spans="32:32" x14ac:dyDescent="0.2">
      <c r="AF31195" s="679"/>
    </row>
    <row r="31196" spans="32:32" x14ac:dyDescent="0.2">
      <c r="AF31196" s="679"/>
    </row>
    <row r="31197" spans="32:32" x14ac:dyDescent="0.2">
      <c r="AF31197" s="679"/>
    </row>
    <row r="31198" spans="32:32" x14ac:dyDescent="0.2">
      <c r="AF31198" s="679"/>
    </row>
    <row r="31199" spans="32:32" x14ac:dyDescent="0.2">
      <c r="AF31199" s="679"/>
    </row>
    <row r="31200" spans="32:32" x14ac:dyDescent="0.2">
      <c r="AF31200" s="679"/>
    </row>
    <row r="31201" spans="32:32" x14ac:dyDescent="0.2">
      <c r="AF31201" s="679"/>
    </row>
    <row r="31202" spans="32:32" x14ac:dyDescent="0.2">
      <c r="AF31202" s="679"/>
    </row>
    <row r="31203" spans="32:32" x14ac:dyDescent="0.2">
      <c r="AF31203" s="679"/>
    </row>
    <row r="31204" spans="32:32" x14ac:dyDescent="0.2">
      <c r="AF31204" s="679"/>
    </row>
    <row r="31205" spans="32:32" x14ac:dyDescent="0.2">
      <c r="AF31205" s="679"/>
    </row>
    <row r="31206" spans="32:32" x14ac:dyDescent="0.2">
      <c r="AF31206" s="679"/>
    </row>
    <row r="31207" spans="32:32" x14ac:dyDescent="0.2">
      <c r="AF31207" s="679"/>
    </row>
    <row r="31208" spans="32:32" x14ac:dyDescent="0.2">
      <c r="AF31208" s="679"/>
    </row>
    <row r="31209" spans="32:32" x14ac:dyDescent="0.2">
      <c r="AF31209" s="679"/>
    </row>
    <row r="31210" spans="32:32" x14ac:dyDescent="0.2">
      <c r="AF31210" s="679"/>
    </row>
    <row r="31211" spans="32:32" x14ac:dyDescent="0.2">
      <c r="AF31211" s="679"/>
    </row>
    <row r="31212" spans="32:32" x14ac:dyDescent="0.2">
      <c r="AF31212" s="679"/>
    </row>
    <row r="31213" spans="32:32" x14ac:dyDescent="0.2">
      <c r="AF31213" s="679"/>
    </row>
    <row r="31214" spans="32:32" x14ac:dyDescent="0.2">
      <c r="AF31214" s="679"/>
    </row>
    <row r="31215" spans="32:32" x14ac:dyDescent="0.2">
      <c r="AF31215" s="679"/>
    </row>
    <row r="31216" spans="32:32" x14ac:dyDescent="0.2">
      <c r="AF31216" s="679"/>
    </row>
    <row r="31217" spans="32:32" x14ac:dyDescent="0.2">
      <c r="AF31217" s="679"/>
    </row>
    <row r="31218" spans="32:32" x14ac:dyDescent="0.2">
      <c r="AF31218" s="679"/>
    </row>
    <row r="31219" spans="32:32" x14ac:dyDescent="0.2">
      <c r="AF31219" s="679"/>
    </row>
    <row r="31220" spans="32:32" x14ac:dyDescent="0.2">
      <c r="AF31220" s="679"/>
    </row>
    <row r="31221" spans="32:32" x14ac:dyDescent="0.2">
      <c r="AF31221" s="679"/>
    </row>
    <row r="31222" spans="32:32" x14ac:dyDescent="0.2">
      <c r="AF31222" s="679"/>
    </row>
    <row r="31223" spans="32:32" x14ac:dyDescent="0.2">
      <c r="AF31223" s="679"/>
    </row>
    <row r="31224" spans="32:32" x14ac:dyDescent="0.2">
      <c r="AF31224" s="679"/>
    </row>
    <row r="31225" spans="32:32" x14ac:dyDescent="0.2">
      <c r="AF31225" s="679"/>
    </row>
    <row r="31226" spans="32:32" x14ac:dyDescent="0.2">
      <c r="AF31226" s="679"/>
    </row>
    <row r="31227" spans="32:32" x14ac:dyDescent="0.2">
      <c r="AF31227" s="679"/>
    </row>
    <row r="31228" spans="32:32" x14ac:dyDescent="0.2">
      <c r="AF31228" s="679"/>
    </row>
    <row r="31229" spans="32:32" x14ac:dyDescent="0.2">
      <c r="AF31229" s="679"/>
    </row>
    <row r="31230" spans="32:32" x14ac:dyDescent="0.2">
      <c r="AF31230" s="679"/>
    </row>
    <row r="31231" spans="32:32" x14ac:dyDescent="0.2">
      <c r="AF31231" s="679"/>
    </row>
    <row r="31232" spans="32:32" x14ac:dyDescent="0.2">
      <c r="AF31232" s="679"/>
    </row>
    <row r="31233" spans="32:32" x14ac:dyDescent="0.2">
      <c r="AF31233" s="679"/>
    </row>
    <row r="31234" spans="32:32" x14ac:dyDescent="0.2">
      <c r="AF31234" s="679"/>
    </row>
    <row r="31235" spans="32:32" x14ac:dyDescent="0.2">
      <c r="AF31235" s="679"/>
    </row>
    <row r="31236" spans="32:32" x14ac:dyDescent="0.2">
      <c r="AF31236" s="679"/>
    </row>
    <row r="31237" spans="32:32" x14ac:dyDescent="0.2">
      <c r="AF31237" s="679"/>
    </row>
    <row r="31238" spans="32:32" x14ac:dyDescent="0.2">
      <c r="AF31238" s="679"/>
    </row>
    <row r="31239" spans="32:32" x14ac:dyDescent="0.2">
      <c r="AF31239" s="679"/>
    </row>
    <row r="31240" spans="32:32" x14ac:dyDescent="0.2">
      <c r="AF31240" s="679"/>
    </row>
    <row r="31241" spans="32:32" x14ac:dyDescent="0.2">
      <c r="AF31241" s="679"/>
    </row>
    <row r="31242" spans="32:32" x14ac:dyDescent="0.2">
      <c r="AF31242" s="679"/>
    </row>
    <row r="31243" spans="32:32" x14ac:dyDescent="0.2">
      <c r="AF31243" s="679"/>
    </row>
    <row r="31244" spans="32:32" x14ac:dyDescent="0.2">
      <c r="AF31244" s="679"/>
    </row>
    <row r="31245" spans="32:32" x14ac:dyDescent="0.2">
      <c r="AF31245" s="679"/>
    </row>
    <row r="31246" spans="32:32" x14ac:dyDescent="0.2">
      <c r="AF31246" s="679"/>
    </row>
    <row r="31247" spans="32:32" x14ac:dyDescent="0.2">
      <c r="AF31247" s="679"/>
    </row>
    <row r="31248" spans="32:32" x14ac:dyDescent="0.2">
      <c r="AF31248" s="679"/>
    </row>
    <row r="31249" spans="32:32" x14ac:dyDescent="0.2">
      <c r="AF31249" s="679"/>
    </row>
    <row r="31250" spans="32:32" x14ac:dyDescent="0.2">
      <c r="AF31250" s="679"/>
    </row>
    <row r="31251" spans="32:32" x14ac:dyDescent="0.2">
      <c r="AF31251" s="679"/>
    </row>
    <row r="31252" spans="32:32" x14ac:dyDescent="0.2">
      <c r="AF31252" s="679"/>
    </row>
    <row r="31253" spans="32:32" x14ac:dyDescent="0.2">
      <c r="AF31253" s="679"/>
    </row>
    <row r="31254" spans="32:32" x14ac:dyDescent="0.2">
      <c r="AF31254" s="679"/>
    </row>
    <row r="31255" spans="32:32" x14ac:dyDescent="0.2">
      <c r="AF31255" s="679"/>
    </row>
    <row r="31256" spans="32:32" x14ac:dyDescent="0.2">
      <c r="AF31256" s="679"/>
    </row>
    <row r="31257" spans="32:32" x14ac:dyDescent="0.2">
      <c r="AF31257" s="679"/>
    </row>
    <row r="31258" spans="32:32" x14ac:dyDescent="0.2">
      <c r="AF31258" s="679"/>
    </row>
    <row r="31259" spans="32:32" x14ac:dyDescent="0.2">
      <c r="AF31259" s="679"/>
    </row>
    <row r="31260" spans="32:32" x14ac:dyDescent="0.2">
      <c r="AF31260" s="679"/>
    </row>
    <row r="31261" spans="32:32" x14ac:dyDescent="0.2">
      <c r="AF31261" s="679"/>
    </row>
    <row r="31262" spans="32:32" x14ac:dyDescent="0.2">
      <c r="AF31262" s="679"/>
    </row>
    <row r="31263" spans="32:32" x14ac:dyDescent="0.2">
      <c r="AF31263" s="679"/>
    </row>
    <row r="31264" spans="32:32" x14ac:dyDescent="0.2">
      <c r="AF31264" s="679"/>
    </row>
    <row r="31265" spans="32:32" x14ac:dyDescent="0.2">
      <c r="AF31265" s="679"/>
    </row>
    <row r="31266" spans="32:32" x14ac:dyDescent="0.2">
      <c r="AF31266" s="679"/>
    </row>
    <row r="31267" spans="32:32" x14ac:dyDescent="0.2">
      <c r="AF31267" s="679"/>
    </row>
    <row r="31268" spans="32:32" x14ac:dyDescent="0.2">
      <c r="AF31268" s="679"/>
    </row>
    <row r="31269" spans="32:32" x14ac:dyDescent="0.2">
      <c r="AF31269" s="679"/>
    </row>
    <row r="31270" spans="32:32" x14ac:dyDescent="0.2">
      <c r="AF31270" s="679"/>
    </row>
    <row r="31271" spans="32:32" x14ac:dyDescent="0.2">
      <c r="AF31271" s="679"/>
    </row>
    <row r="31272" spans="32:32" x14ac:dyDescent="0.2">
      <c r="AF31272" s="679"/>
    </row>
    <row r="31273" spans="32:32" x14ac:dyDescent="0.2">
      <c r="AF31273" s="679"/>
    </row>
    <row r="31274" spans="32:32" x14ac:dyDescent="0.2">
      <c r="AF31274" s="679"/>
    </row>
    <row r="31275" spans="32:32" x14ac:dyDescent="0.2">
      <c r="AF31275" s="679"/>
    </row>
    <row r="31276" spans="32:32" x14ac:dyDescent="0.2">
      <c r="AF31276" s="679"/>
    </row>
    <row r="31277" spans="32:32" x14ac:dyDescent="0.2">
      <c r="AF31277" s="679"/>
    </row>
    <row r="31278" spans="32:32" x14ac:dyDescent="0.2">
      <c r="AF31278" s="679"/>
    </row>
    <row r="31279" spans="32:32" x14ac:dyDescent="0.2">
      <c r="AF31279" s="679"/>
    </row>
    <row r="31280" spans="32:32" x14ac:dyDescent="0.2">
      <c r="AF31280" s="679"/>
    </row>
    <row r="31281" spans="32:32" x14ac:dyDescent="0.2">
      <c r="AF31281" s="679"/>
    </row>
    <row r="31282" spans="32:32" x14ac:dyDescent="0.2">
      <c r="AF31282" s="679"/>
    </row>
    <row r="31283" spans="32:32" x14ac:dyDescent="0.2">
      <c r="AF31283" s="679"/>
    </row>
    <row r="31284" spans="32:32" x14ac:dyDescent="0.2">
      <c r="AF31284" s="679"/>
    </row>
    <row r="31285" spans="32:32" x14ac:dyDescent="0.2">
      <c r="AF31285" s="679"/>
    </row>
    <row r="31286" spans="32:32" x14ac:dyDescent="0.2">
      <c r="AF31286" s="679"/>
    </row>
    <row r="31287" spans="32:32" x14ac:dyDescent="0.2">
      <c r="AF31287" s="679"/>
    </row>
    <row r="31288" spans="32:32" x14ac:dyDescent="0.2">
      <c r="AF31288" s="679"/>
    </row>
    <row r="31289" spans="32:32" x14ac:dyDescent="0.2">
      <c r="AF31289" s="679"/>
    </row>
    <row r="31290" spans="32:32" x14ac:dyDescent="0.2">
      <c r="AF31290" s="679"/>
    </row>
    <row r="31291" spans="32:32" x14ac:dyDescent="0.2">
      <c r="AF31291" s="679"/>
    </row>
    <row r="31292" spans="32:32" x14ac:dyDescent="0.2">
      <c r="AF31292" s="679"/>
    </row>
    <row r="31293" spans="32:32" x14ac:dyDescent="0.2">
      <c r="AF31293" s="679"/>
    </row>
    <row r="31294" spans="32:32" x14ac:dyDescent="0.2">
      <c r="AF31294" s="679"/>
    </row>
    <row r="31295" spans="32:32" x14ac:dyDescent="0.2">
      <c r="AF31295" s="679"/>
    </row>
    <row r="31296" spans="32:32" x14ac:dyDescent="0.2">
      <c r="AF31296" s="679"/>
    </row>
    <row r="31297" spans="32:32" x14ac:dyDescent="0.2">
      <c r="AF31297" s="679"/>
    </row>
    <row r="31298" spans="32:32" x14ac:dyDescent="0.2">
      <c r="AF31298" s="679"/>
    </row>
    <row r="31299" spans="32:32" x14ac:dyDescent="0.2">
      <c r="AF31299" s="679"/>
    </row>
    <row r="31300" spans="32:32" x14ac:dyDescent="0.2">
      <c r="AF31300" s="679"/>
    </row>
    <row r="31301" spans="32:32" x14ac:dyDescent="0.2">
      <c r="AF31301" s="679"/>
    </row>
    <row r="31302" spans="32:32" x14ac:dyDescent="0.2">
      <c r="AF31302" s="679"/>
    </row>
    <row r="31303" spans="32:32" x14ac:dyDescent="0.2">
      <c r="AF31303" s="679"/>
    </row>
    <row r="31304" spans="32:32" x14ac:dyDescent="0.2">
      <c r="AF31304" s="679"/>
    </row>
    <row r="31305" spans="32:32" x14ac:dyDescent="0.2">
      <c r="AF31305" s="679"/>
    </row>
    <row r="31306" spans="32:32" x14ac:dyDescent="0.2">
      <c r="AF31306" s="679"/>
    </row>
    <row r="31307" spans="32:32" x14ac:dyDescent="0.2">
      <c r="AF31307" s="679"/>
    </row>
    <row r="31308" spans="32:32" x14ac:dyDescent="0.2">
      <c r="AF31308" s="679"/>
    </row>
    <row r="31309" spans="32:32" x14ac:dyDescent="0.2">
      <c r="AF31309" s="679"/>
    </row>
    <row r="31310" spans="32:32" x14ac:dyDescent="0.2">
      <c r="AF31310" s="679"/>
    </row>
    <row r="31311" spans="32:32" x14ac:dyDescent="0.2">
      <c r="AF31311" s="679"/>
    </row>
    <row r="31312" spans="32:32" x14ac:dyDescent="0.2">
      <c r="AF31312" s="679"/>
    </row>
    <row r="31313" spans="32:32" x14ac:dyDescent="0.2">
      <c r="AF31313" s="679"/>
    </row>
    <row r="31314" spans="32:32" x14ac:dyDescent="0.2">
      <c r="AF31314" s="679"/>
    </row>
    <row r="31315" spans="32:32" x14ac:dyDescent="0.2">
      <c r="AF31315" s="679"/>
    </row>
    <row r="31316" spans="32:32" x14ac:dyDescent="0.2">
      <c r="AF31316" s="679"/>
    </row>
    <row r="31317" spans="32:32" x14ac:dyDescent="0.2">
      <c r="AF31317" s="679"/>
    </row>
    <row r="31318" spans="32:32" x14ac:dyDescent="0.2">
      <c r="AF31318" s="679"/>
    </row>
    <row r="31319" spans="32:32" x14ac:dyDescent="0.2">
      <c r="AF31319" s="679"/>
    </row>
    <row r="31320" spans="32:32" x14ac:dyDescent="0.2">
      <c r="AF31320" s="679"/>
    </row>
    <row r="31321" spans="32:32" x14ac:dyDescent="0.2">
      <c r="AF31321" s="679"/>
    </row>
    <row r="31322" spans="32:32" x14ac:dyDescent="0.2">
      <c r="AF31322" s="679"/>
    </row>
    <row r="31323" spans="32:32" x14ac:dyDescent="0.2">
      <c r="AF31323" s="679"/>
    </row>
    <row r="31324" spans="32:32" x14ac:dyDescent="0.2">
      <c r="AF31324" s="679"/>
    </row>
    <row r="31325" spans="32:32" x14ac:dyDescent="0.2">
      <c r="AF31325" s="679"/>
    </row>
    <row r="31326" spans="32:32" x14ac:dyDescent="0.2">
      <c r="AF31326" s="679"/>
    </row>
    <row r="31327" spans="32:32" x14ac:dyDescent="0.2">
      <c r="AF31327" s="679"/>
    </row>
    <row r="31328" spans="32:32" x14ac:dyDescent="0.2">
      <c r="AF31328" s="679"/>
    </row>
    <row r="31329" spans="32:32" x14ac:dyDescent="0.2">
      <c r="AF31329" s="679"/>
    </row>
    <row r="31330" spans="32:32" x14ac:dyDescent="0.2">
      <c r="AF31330" s="679"/>
    </row>
    <row r="31331" spans="32:32" x14ac:dyDescent="0.2">
      <c r="AF31331" s="679"/>
    </row>
    <row r="31332" spans="32:32" x14ac:dyDescent="0.2">
      <c r="AF31332" s="679"/>
    </row>
    <row r="31333" spans="32:32" x14ac:dyDescent="0.2">
      <c r="AF31333" s="679"/>
    </row>
    <row r="31334" spans="32:32" x14ac:dyDescent="0.2">
      <c r="AF31334" s="679"/>
    </row>
    <row r="31335" spans="32:32" x14ac:dyDescent="0.2">
      <c r="AF31335" s="679"/>
    </row>
    <row r="31336" spans="32:32" x14ac:dyDescent="0.2">
      <c r="AF31336" s="679"/>
    </row>
    <row r="31337" spans="32:32" x14ac:dyDescent="0.2">
      <c r="AF31337" s="679"/>
    </row>
    <row r="31338" spans="32:32" x14ac:dyDescent="0.2">
      <c r="AF31338" s="679"/>
    </row>
    <row r="31339" spans="32:32" x14ac:dyDescent="0.2">
      <c r="AF31339" s="679"/>
    </row>
    <row r="31340" spans="32:32" x14ac:dyDescent="0.2">
      <c r="AF31340" s="679"/>
    </row>
    <row r="31341" spans="32:32" x14ac:dyDescent="0.2">
      <c r="AF31341" s="679"/>
    </row>
    <row r="31342" spans="32:32" x14ac:dyDescent="0.2">
      <c r="AF31342" s="679"/>
    </row>
    <row r="31343" spans="32:32" x14ac:dyDescent="0.2">
      <c r="AF31343" s="679"/>
    </row>
    <row r="31344" spans="32:32" x14ac:dyDescent="0.2">
      <c r="AF31344" s="679"/>
    </row>
    <row r="31345" spans="32:32" x14ac:dyDescent="0.2">
      <c r="AF31345" s="679"/>
    </row>
    <row r="31346" spans="32:32" x14ac:dyDescent="0.2">
      <c r="AF31346" s="679"/>
    </row>
    <row r="31347" spans="32:32" x14ac:dyDescent="0.2">
      <c r="AF31347" s="679"/>
    </row>
    <row r="31348" spans="32:32" x14ac:dyDescent="0.2">
      <c r="AF31348" s="679"/>
    </row>
    <row r="31349" spans="32:32" x14ac:dyDescent="0.2">
      <c r="AF31349" s="679"/>
    </row>
    <row r="31350" spans="32:32" x14ac:dyDescent="0.2">
      <c r="AF31350" s="679"/>
    </row>
    <row r="31351" spans="32:32" x14ac:dyDescent="0.2">
      <c r="AF31351" s="679"/>
    </row>
    <row r="31352" spans="32:32" x14ac:dyDescent="0.2">
      <c r="AF31352" s="679"/>
    </row>
    <row r="31353" spans="32:32" x14ac:dyDescent="0.2">
      <c r="AF31353" s="679"/>
    </row>
    <row r="31354" spans="32:32" x14ac:dyDescent="0.2">
      <c r="AF31354" s="679"/>
    </row>
    <row r="31355" spans="32:32" x14ac:dyDescent="0.2">
      <c r="AF31355" s="679"/>
    </row>
    <row r="31356" spans="32:32" x14ac:dyDescent="0.2">
      <c r="AF31356" s="679"/>
    </row>
    <row r="31357" spans="32:32" x14ac:dyDescent="0.2">
      <c r="AF31357" s="679"/>
    </row>
    <row r="31358" spans="32:32" x14ac:dyDescent="0.2">
      <c r="AF31358" s="679"/>
    </row>
    <row r="31359" spans="32:32" x14ac:dyDescent="0.2">
      <c r="AF31359" s="679"/>
    </row>
    <row r="31360" spans="32:32" x14ac:dyDescent="0.2">
      <c r="AF31360" s="679"/>
    </row>
    <row r="31361" spans="32:32" x14ac:dyDescent="0.2">
      <c r="AF31361" s="679"/>
    </row>
    <row r="31362" spans="32:32" x14ac:dyDescent="0.2">
      <c r="AF31362" s="679"/>
    </row>
    <row r="31363" spans="32:32" x14ac:dyDescent="0.2">
      <c r="AF31363" s="679"/>
    </row>
    <row r="31364" spans="32:32" x14ac:dyDescent="0.2">
      <c r="AF31364" s="679"/>
    </row>
    <row r="31365" spans="32:32" x14ac:dyDescent="0.2">
      <c r="AF31365" s="679"/>
    </row>
    <row r="31366" spans="32:32" x14ac:dyDescent="0.2">
      <c r="AF31366" s="679"/>
    </row>
    <row r="31367" spans="32:32" x14ac:dyDescent="0.2">
      <c r="AF31367" s="679"/>
    </row>
    <row r="31368" spans="32:32" x14ac:dyDescent="0.2">
      <c r="AF31368" s="679"/>
    </row>
    <row r="31369" spans="32:32" x14ac:dyDescent="0.2">
      <c r="AF31369" s="679"/>
    </row>
    <row r="31370" spans="32:32" x14ac:dyDescent="0.2">
      <c r="AF31370" s="679"/>
    </row>
    <row r="31371" spans="32:32" x14ac:dyDescent="0.2">
      <c r="AF31371" s="679"/>
    </row>
    <row r="31372" spans="32:32" x14ac:dyDescent="0.2">
      <c r="AF31372" s="679"/>
    </row>
    <row r="31373" spans="32:32" x14ac:dyDescent="0.2">
      <c r="AF31373" s="679"/>
    </row>
    <row r="31374" spans="32:32" x14ac:dyDescent="0.2">
      <c r="AF31374" s="679"/>
    </row>
    <row r="31375" spans="32:32" x14ac:dyDescent="0.2">
      <c r="AF31375" s="679"/>
    </row>
    <row r="31376" spans="32:32" x14ac:dyDescent="0.2">
      <c r="AF31376" s="679"/>
    </row>
    <row r="31377" spans="32:32" x14ac:dyDescent="0.2">
      <c r="AF31377" s="679"/>
    </row>
    <row r="31378" spans="32:32" x14ac:dyDescent="0.2">
      <c r="AF31378" s="679"/>
    </row>
    <row r="31379" spans="32:32" x14ac:dyDescent="0.2">
      <c r="AF31379" s="679"/>
    </row>
    <row r="31380" spans="32:32" x14ac:dyDescent="0.2">
      <c r="AF31380" s="679"/>
    </row>
    <row r="31381" spans="32:32" x14ac:dyDescent="0.2">
      <c r="AF31381" s="679"/>
    </row>
    <row r="31382" spans="32:32" x14ac:dyDescent="0.2">
      <c r="AF31382" s="679"/>
    </row>
    <row r="31383" spans="32:32" x14ac:dyDescent="0.2">
      <c r="AF31383" s="679"/>
    </row>
    <row r="31384" spans="32:32" x14ac:dyDescent="0.2">
      <c r="AF31384" s="679"/>
    </row>
    <row r="31385" spans="32:32" x14ac:dyDescent="0.2">
      <c r="AF31385" s="679"/>
    </row>
    <row r="31386" spans="32:32" x14ac:dyDescent="0.2">
      <c r="AF31386" s="679"/>
    </row>
    <row r="31387" spans="32:32" x14ac:dyDescent="0.2">
      <c r="AF31387" s="679"/>
    </row>
    <row r="31388" spans="32:32" x14ac:dyDescent="0.2">
      <c r="AF31388" s="679"/>
    </row>
    <row r="31389" spans="32:32" x14ac:dyDescent="0.2">
      <c r="AF31389" s="679"/>
    </row>
    <row r="31390" spans="32:32" x14ac:dyDescent="0.2">
      <c r="AF31390" s="679"/>
    </row>
    <row r="31391" spans="32:32" x14ac:dyDescent="0.2">
      <c r="AF31391" s="679"/>
    </row>
    <row r="31392" spans="32:32" x14ac:dyDescent="0.2">
      <c r="AF31392" s="679"/>
    </row>
    <row r="31393" spans="32:32" x14ac:dyDescent="0.2">
      <c r="AF31393" s="679"/>
    </row>
    <row r="31394" spans="32:32" x14ac:dyDescent="0.2">
      <c r="AF31394" s="679"/>
    </row>
    <row r="31395" spans="32:32" x14ac:dyDescent="0.2">
      <c r="AF31395" s="679"/>
    </row>
    <row r="31396" spans="32:32" x14ac:dyDescent="0.2">
      <c r="AF31396" s="679"/>
    </row>
    <row r="31397" spans="32:32" x14ac:dyDescent="0.2">
      <c r="AF31397" s="679"/>
    </row>
    <row r="31398" spans="32:32" x14ac:dyDescent="0.2">
      <c r="AF31398" s="679"/>
    </row>
    <row r="31399" spans="32:32" x14ac:dyDescent="0.2">
      <c r="AF31399" s="679"/>
    </row>
    <row r="31400" spans="32:32" x14ac:dyDescent="0.2">
      <c r="AF31400" s="679"/>
    </row>
    <row r="31401" spans="32:32" x14ac:dyDescent="0.2">
      <c r="AF31401" s="679"/>
    </row>
    <row r="31402" spans="32:32" x14ac:dyDescent="0.2">
      <c r="AF31402" s="679"/>
    </row>
    <row r="31403" spans="32:32" x14ac:dyDescent="0.2">
      <c r="AF31403" s="679"/>
    </row>
    <row r="31404" spans="32:32" x14ac:dyDescent="0.2">
      <c r="AF31404" s="679"/>
    </row>
    <row r="31405" spans="32:32" x14ac:dyDescent="0.2">
      <c r="AF31405" s="679"/>
    </row>
    <row r="31406" spans="32:32" x14ac:dyDescent="0.2">
      <c r="AF31406" s="679"/>
    </row>
    <row r="31407" spans="32:32" x14ac:dyDescent="0.2">
      <c r="AF31407" s="679"/>
    </row>
    <row r="31408" spans="32:32" x14ac:dyDescent="0.2">
      <c r="AF31408" s="679"/>
    </row>
    <row r="31409" spans="32:32" x14ac:dyDescent="0.2">
      <c r="AF31409" s="679"/>
    </row>
    <row r="31410" spans="32:32" x14ac:dyDescent="0.2">
      <c r="AF31410" s="679"/>
    </row>
    <row r="31411" spans="32:32" x14ac:dyDescent="0.2">
      <c r="AF31411" s="679"/>
    </row>
    <row r="31412" spans="32:32" x14ac:dyDescent="0.2">
      <c r="AF31412" s="679"/>
    </row>
    <row r="31413" spans="32:32" x14ac:dyDescent="0.2">
      <c r="AF31413" s="679"/>
    </row>
    <row r="31414" spans="32:32" x14ac:dyDescent="0.2">
      <c r="AF31414" s="679"/>
    </row>
    <row r="31415" spans="32:32" x14ac:dyDescent="0.2">
      <c r="AF31415" s="679"/>
    </row>
    <row r="31416" spans="32:32" x14ac:dyDescent="0.2">
      <c r="AF31416" s="679"/>
    </row>
    <row r="31417" spans="32:32" x14ac:dyDescent="0.2">
      <c r="AF31417" s="679"/>
    </row>
    <row r="31418" spans="32:32" x14ac:dyDescent="0.2">
      <c r="AF31418" s="679"/>
    </row>
    <row r="31419" spans="32:32" x14ac:dyDescent="0.2">
      <c r="AF31419" s="679"/>
    </row>
    <row r="31420" spans="32:32" x14ac:dyDescent="0.2">
      <c r="AF31420" s="679"/>
    </row>
    <row r="31421" spans="32:32" x14ac:dyDescent="0.2">
      <c r="AF31421" s="679"/>
    </row>
    <row r="31422" spans="32:32" x14ac:dyDescent="0.2">
      <c r="AF31422" s="679"/>
    </row>
    <row r="31423" spans="32:32" x14ac:dyDescent="0.2">
      <c r="AF31423" s="679"/>
    </row>
    <row r="31424" spans="32:32" x14ac:dyDescent="0.2">
      <c r="AF31424" s="679"/>
    </row>
    <row r="31425" spans="32:32" x14ac:dyDescent="0.2">
      <c r="AF31425" s="679"/>
    </row>
    <row r="31426" spans="32:32" x14ac:dyDescent="0.2">
      <c r="AF31426" s="679"/>
    </row>
    <row r="31427" spans="32:32" x14ac:dyDescent="0.2">
      <c r="AF31427" s="679"/>
    </row>
    <row r="31428" spans="32:32" x14ac:dyDescent="0.2">
      <c r="AF31428" s="679"/>
    </row>
    <row r="31429" spans="32:32" x14ac:dyDescent="0.2">
      <c r="AF31429" s="679"/>
    </row>
    <row r="31430" spans="32:32" x14ac:dyDescent="0.2">
      <c r="AF31430" s="679"/>
    </row>
    <row r="31431" spans="32:32" x14ac:dyDescent="0.2">
      <c r="AF31431" s="679"/>
    </row>
    <row r="31432" spans="32:32" x14ac:dyDescent="0.2">
      <c r="AF31432" s="679"/>
    </row>
    <row r="31433" spans="32:32" x14ac:dyDescent="0.2">
      <c r="AF31433" s="679"/>
    </row>
    <row r="31434" spans="32:32" x14ac:dyDescent="0.2">
      <c r="AF31434" s="679"/>
    </row>
    <row r="31435" spans="32:32" x14ac:dyDescent="0.2">
      <c r="AF31435" s="679"/>
    </row>
    <row r="31436" spans="32:32" x14ac:dyDescent="0.2">
      <c r="AF31436" s="679"/>
    </row>
    <row r="31437" spans="32:32" x14ac:dyDescent="0.2">
      <c r="AF31437" s="679"/>
    </row>
    <row r="31438" spans="32:32" x14ac:dyDescent="0.2">
      <c r="AF31438" s="679"/>
    </row>
    <row r="31439" spans="32:32" x14ac:dyDescent="0.2">
      <c r="AF31439" s="679"/>
    </row>
    <row r="31440" spans="32:32" x14ac:dyDescent="0.2">
      <c r="AF31440" s="679"/>
    </row>
    <row r="31441" spans="32:32" x14ac:dyDescent="0.2">
      <c r="AF31441" s="679"/>
    </row>
    <row r="31442" spans="32:32" x14ac:dyDescent="0.2">
      <c r="AF31442" s="679"/>
    </row>
    <row r="31443" spans="32:32" x14ac:dyDescent="0.2">
      <c r="AF31443" s="679"/>
    </row>
    <row r="31444" spans="32:32" x14ac:dyDescent="0.2">
      <c r="AF31444" s="679"/>
    </row>
    <row r="31445" spans="32:32" x14ac:dyDescent="0.2">
      <c r="AF31445" s="679"/>
    </row>
    <row r="31446" spans="32:32" x14ac:dyDescent="0.2">
      <c r="AF31446" s="679"/>
    </row>
    <row r="31447" spans="32:32" x14ac:dyDescent="0.2">
      <c r="AF31447" s="679"/>
    </row>
    <row r="31448" spans="32:32" x14ac:dyDescent="0.2">
      <c r="AF31448" s="679"/>
    </row>
    <row r="31449" spans="32:32" x14ac:dyDescent="0.2">
      <c r="AF31449" s="679"/>
    </row>
    <row r="31450" spans="32:32" x14ac:dyDescent="0.2">
      <c r="AF31450" s="679"/>
    </row>
    <row r="31451" spans="32:32" x14ac:dyDescent="0.2">
      <c r="AF31451" s="679"/>
    </row>
    <row r="31452" spans="32:32" x14ac:dyDescent="0.2">
      <c r="AF31452" s="679"/>
    </row>
    <row r="31453" spans="32:32" x14ac:dyDescent="0.2">
      <c r="AF31453" s="679"/>
    </row>
    <row r="31454" spans="32:32" x14ac:dyDescent="0.2">
      <c r="AF31454" s="679"/>
    </row>
    <row r="31455" spans="32:32" x14ac:dyDescent="0.2">
      <c r="AF31455" s="679"/>
    </row>
    <row r="31456" spans="32:32" x14ac:dyDescent="0.2">
      <c r="AF31456" s="679"/>
    </row>
    <row r="31457" spans="32:32" x14ac:dyDescent="0.2">
      <c r="AF31457" s="679"/>
    </row>
    <row r="31458" spans="32:32" x14ac:dyDescent="0.2">
      <c r="AF31458" s="679"/>
    </row>
    <row r="31459" spans="32:32" x14ac:dyDescent="0.2">
      <c r="AF31459" s="679"/>
    </row>
    <row r="31460" spans="32:32" x14ac:dyDescent="0.2">
      <c r="AF31460" s="679"/>
    </row>
    <row r="31461" spans="32:32" x14ac:dyDescent="0.2">
      <c r="AF31461" s="679"/>
    </row>
    <row r="31462" spans="32:32" x14ac:dyDescent="0.2">
      <c r="AF31462" s="679"/>
    </row>
    <row r="31463" spans="32:32" x14ac:dyDescent="0.2">
      <c r="AF31463" s="679"/>
    </row>
    <row r="31464" spans="32:32" x14ac:dyDescent="0.2">
      <c r="AF31464" s="679"/>
    </row>
    <row r="31465" spans="32:32" x14ac:dyDescent="0.2">
      <c r="AF31465" s="679"/>
    </row>
    <row r="31466" spans="32:32" x14ac:dyDescent="0.2">
      <c r="AF31466" s="679"/>
    </row>
    <row r="31467" spans="32:32" x14ac:dyDescent="0.2">
      <c r="AF31467" s="679"/>
    </row>
    <row r="31468" spans="32:32" x14ac:dyDescent="0.2">
      <c r="AF31468" s="679"/>
    </row>
    <row r="31469" spans="32:32" x14ac:dyDescent="0.2">
      <c r="AF31469" s="679"/>
    </row>
    <row r="31470" spans="32:32" x14ac:dyDescent="0.2">
      <c r="AF31470" s="679"/>
    </row>
    <row r="31471" spans="32:32" x14ac:dyDescent="0.2">
      <c r="AF31471" s="679"/>
    </row>
    <row r="31472" spans="32:32" x14ac:dyDescent="0.2">
      <c r="AF31472" s="679"/>
    </row>
    <row r="31473" spans="32:32" x14ac:dyDescent="0.2">
      <c r="AF31473" s="679"/>
    </row>
    <row r="31474" spans="32:32" x14ac:dyDescent="0.2">
      <c r="AF31474" s="679"/>
    </row>
    <row r="31475" spans="32:32" x14ac:dyDescent="0.2">
      <c r="AF31475" s="679"/>
    </row>
    <row r="31476" spans="32:32" x14ac:dyDescent="0.2">
      <c r="AF31476" s="679"/>
    </row>
    <row r="31477" spans="32:32" x14ac:dyDescent="0.2">
      <c r="AF31477" s="679"/>
    </row>
    <row r="31478" spans="32:32" x14ac:dyDescent="0.2">
      <c r="AF31478" s="679"/>
    </row>
    <row r="31479" spans="32:32" x14ac:dyDescent="0.2">
      <c r="AF31479" s="679"/>
    </row>
    <row r="31480" spans="32:32" x14ac:dyDescent="0.2">
      <c r="AF31480" s="679"/>
    </row>
    <row r="31481" spans="32:32" x14ac:dyDescent="0.2">
      <c r="AF31481" s="679"/>
    </row>
    <row r="31482" spans="32:32" x14ac:dyDescent="0.2">
      <c r="AF31482" s="679"/>
    </row>
    <row r="31483" spans="32:32" x14ac:dyDescent="0.2">
      <c r="AF31483" s="679"/>
    </row>
    <row r="31484" spans="32:32" x14ac:dyDescent="0.2">
      <c r="AF31484" s="679"/>
    </row>
    <row r="31485" spans="32:32" x14ac:dyDescent="0.2">
      <c r="AF31485" s="679"/>
    </row>
    <row r="31486" spans="32:32" x14ac:dyDescent="0.2">
      <c r="AF31486" s="679"/>
    </row>
    <row r="31487" spans="32:32" x14ac:dyDescent="0.2">
      <c r="AF31487" s="679"/>
    </row>
    <row r="31488" spans="32:32" x14ac:dyDescent="0.2">
      <c r="AF31488" s="679"/>
    </row>
    <row r="31489" spans="32:32" x14ac:dyDescent="0.2">
      <c r="AF31489" s="679"/>
    </row>
    <row r="31490" spans="32:32" x14ac:dyDescent="0.2">
      <c r="AF31490" s="679"/>
    </row>
    <row r="31491" spans="32:32" x14ac:dyDescent="0.2">
      <c r="AF31491" s="679"/>
    </row>
    <row r="31492" spans="32:32" x14ac:dyDescent="0.2">
      <c r="AF31492" s="679"/>
    </row>
    <row r="31493" spans="32:32" x14ac:dyDescent="0.2">
      <c r="AF31493" s="679"/>
    </row>
    <row r="31494" spans="32:32" x14ac:dyDescent="0.2">
      <c r="AF31494" s="679"/>
    </row>
    <row r="31495" spans="32:32" x14ac:dyDescent="0.2">
      <c r="AF31495" s="679"/>
    </row>
    <row r="31496" spans="32:32" x14ac:dyDescent="0.2">
      <c r="AF31496" s="679"/>
    </row>
    <row r="31497" spans="32:32" x14ac:dyDescent="0.2">
      <c r="AF31497" s="679"/>
    </row>
    <row r="31498" spans="32:32" x14ac:dyDescent="0.2">
      <c r="AF31498" s="679"/>
    </row>
    <row r="31499" spans="32:32" x14ac:dyDescent="0.2">
      <c r="AF31499" s="679"/>
    </row>
    <row r="31500" spans="32:32" x14ac:dyDescent="0.2">
      <c r="AF31500" s="679"/>
    </row>
    <row r="31501" spans="32:32" x14ac:dyDescent="0.2">
      <c r="AF31501" s="679"/>
    </row>
    <row r="31502" spans="32:32" x14ac:dyDescent="0.2">
      <c r="AF31502" s="679"/>
    </row>
    <row r="31503" spans="32:32" x14ac:dyDescent="0.2">
      <c r="AF31503" s="679"/>
    </row>
    <row r="31504" spans="32:32" x14ac:dyDescent="0.2">
      <c r="AF31504" s="679"/>
    </row>
    <row r="31505" spans="32:32" x14ac:dyDescent="0.2">
      <c r="AF31505" s="679"/>
    </row>
    <row r="31506" spans="32:32" x14ac:dyDescent="0.2">
      <c r="AF31506" s="679"/>
    </row>
    <row r="31507" spans="32:32" x14ac:dyDescent="0.2">
      <c r="AF31507" s="679"/>
    </row>
    <row r="31508" spans="32:32" x14ac:dyDescent="0.2">
      <c r="AF31508" s="679"/>
    </row>
    <row r="31509" spans="32:32" x14ac:dyDescent="0.2">
      <c r="AF31509" s="679"/>
    </row>
    <row r="31510" spans="32:32" x14ac:dyDescent="0.2">
      <c r="AF31510" s="679"/>
    </row>
    <row r="31511" spans="32:32" x14ac:dyDescent="0.2">
      <c r="AF31511" s="679"/>
    </row>
    <row r="31512" spans="32:32" x14ac:dyDescent="0.2">
      <c r="AF31512" s="679"/>
    </row>
    <row r="31513" spans="32:32" x14ac:dyDescent="0.2">
      <c r="AF31513" s="679"/>
    </row>
    <row r="31514" spans="32:32" x14ac:dyDescent="0.2">
      <c r="AF31514" s="679"/>
    </row>
    <row r="31515" spans="32:32" x14ac:dyDescent="0.2">
      <c r="AF31515" s="679"/>
    </row>
    <row r="31516" spans="32:32" x14ac:dyDescent="0.2">
      <c r="AF31516" s="679"/>
    </row>
    <row r="31517" spans="32:32" x14ac:dyDescent="0.2">
      <c r="AF31517" s="679"/>
    </row>
    <row r="31518" spans="32:32" x14ac:dyDescent="0.2">
      <c r="AF31518" s="679"/>
    </row>
    <row r="31519" spans="32:32" x14ac:dyDescent="0.2">
      <c r="AF31519" s="679"/>
    </row>
    <row r="31520" spans="32:32" x14ac:dyDescent="0.2">
      <c r="AF31520" s="679"/>
    </row>
    <row r="31521" spans="32:32" x14ac:dyDescent="0.2">
      <c r="AF31521" s="679"/>
    </row>
    <row r="31522" spans="32:32" x14ac:dyDescent="0.2">
      <c r="AF31522" s="679"/>
    </row>
    <row r="31523" spans="32:32" x14ac:dyDescent="0.2">
      <c r="AF31523" s="679"/>
    </row>
    <row r="31524" spans="32:32" x14ac:dyDescent="0.2">
      <c r="AF31524" s="679"/>
    </row>
    <row r="31525" spans="32:32" x14ac:dyDescent="0.2">
      <c r="AF31525" s="679"/>
    </row>
    <row r="31526" spans="32:32" x14ac:dyDescent="0.2">
      <c r="AF31526" s="679"/>
    </row>
    <row r="31527" spans="32:32" x14ac:dyDescent="0.2">
      <c r="AF31527" s="679"/>
    </row>
    <row r="31528" spans="32:32" x14ac:dyDescent="0.2">
      <c r="AF31528" s="679"/>
    </row>
    <row r="31529" spans="32:32" x14ac:dyDescent="0.2">
      <c r="AF31529" s="679"/>
    </row>
    <row r="31530" spans="32:32" x14ac:dyDescent="0.2">
      <c r="AF31530" s="679"/>
    </row>
    <row r="31531" spans="32:32" x14ac:dyDescent="0.2">
      <c r="AF31531" s="679"/>
    </row>
    <row r="31532" spans="32:32" x14ac:dyDescent="0.2">
      <c r="AF31532" s="679"/>
    </row>
    <row r="31533" spans="32:32" x14ac:dyDescent="0.2">
      <c r="AF31533" s="679"/>
    </row>
    <row r="31534" spans="32:32" x14ac:dyDescent="0.2">
      <c r="AF31534" s="679"/>
    </row>
    <row r="31535" spans="32:32" x14ac:dyDescent="0.2">
      <c r="AF31535" s="679"/>
    </row>
    <row r="31536" spans="32:32" x14ac:dyDescent="0.2">
      <c r="AF31536" s="679"/>
    </row>
    <row r="31537" spans="32:32" x14ac:dyDescent="0.2">
      <c r="AF31537" s="679"/>
    </row>
    <row r="31538" spans="32:32" x14ac:dyDescent="0.2">
      <c r="AF31538" s="679"/>
    </row>
    <row r="31539" spans="32:32" x14ac:dyDescent="0.2">
      <c r="AF31539" s="679"/>
    </row>
    <row r="31540" spans="32:32" x14ac:dyDescent="0.2">
      <c r="AF31540" s="679"/>
    </row>
    <row r="31541" spans="32:32" x14ac:dyDescent="0.2">
      <c r="AF31541" s="679"/>
    </row>
    <row r="31542" spans="32:32" x14ac:dyDescent="0.2">
      <c r="AF31542" s="679"/>
    </row>
    <row r="31543" spans="32:32" x14ac:dyDescent="0.2">
      <c r="AF31543" s="679"/>
    </row>
    <row r="31544" spans="32:32" x14ac:dyDescent="0.2">
      <c r="AF31544" s="679"/>
    </row>
    <row r="31545" spans="32:32" x14ac:dyDescent="0.2">
      <c r="AF31545" s="679"/>
    </row>
    <row r="31546" spans="32:32" x14ac:dyDescent="0.2">
      <c r="AF31546" s="679"/>
    </row>
    <row r="31547" spans="32:32" x14ac:dyDescent="0.2">
      <c r="AF31547" s="679"/>
    </row>
    <row r="31548" spans="32:32" x14ac:dyDescent="0.2">
      <c r="AF31548" s="679"/>
    </row>
    <row r="31549" spans="32:32" x14ac:dyDescent="0.2">
      <c r="AF31549" s="679"/>
    </row>
    <row r="31550" spans="32:32" x14ac:dyDescent="0.2">
      <c r="AF31550" s="679"/>
    </row>
    <row r="31551" spans="32:32" x14ac:dyDescent="0.2">
      <c r="AF31551" s="679"/>
    </row>
    <row r="31552" spans="32:32" x14ac:dyDescent="0.2">
      <c r="AF31552" s="679"/>
    </row>
    <row r="31553" spans="32:32" x14ac:dyDescent="0.2">
      <c r="AF31553" s="679"/>
    </row>
    <row r="31554" spans="32:32" x14ac:dyDescent="0.2">
      <c r="AF31554" s="679"/>
    </row>
    <row r="31555" spans="32:32" x14ac:dyDescent="0.2">
      <c r="AF31555" s="679"/>
    </row>
    <row r="31556" spans="32:32" x14ac:dyDescent="0.2">
      <c r="AF31556" s="679"/>
    </row>
    <row r="31557" spans="32:32" x14ac:dyDescent="0.2">
      <c r="AF31557" s="679"/>
    </row>
    <row r="31558" spans="32:32" x14ac:dyDescent="0.2">
      <c r="AF31558" s="679"/>
    </row>
    <row r="31559" spans="32:32" x14ac:dyDescent="0.2">
      <c r="AF31559" s="679"/>
    </row>
    <row r="31560" spans="32:32" x14ac:dyDescent="0.2">
      <c r="AF31560" s="679"/>
    </row>
    <row r="31561" spans="32:32" x14ac:dyDescent="0.2">
      <c r="AF31561" s="679"/>
    </row>
    <row r="31562" spans="32:32" x14ac:dyDescent="0.2">
      <c r="AF31562" s="679"/>
    </row>
    <row r="31563" spans="32:32" x14ac:dyDescent="0.2">
      <c r="AF31563" s="679"/>
    </row>
    <row r="31564" spans="32:32" x14ac:dyDescent="0.2">
      <c r="AF31564" s="679"/>
    </row>
    <row r="31565" spans="32:32" x14ac:dyDescent="0.2">
      <c r="AF31565" s="679"/>
    </row>
    <row r="31566" spans="32:32" x14ac:dyDescent="0.2">
      <c r="AF31566" s="679"/>
    </row>
    <row r="31567" spans="32:32" x14ac:dyDescent="0.2">
      <c r="AF31567" s="679"/>
    </row>
    <row r="31568" spans="32:32" x14ac:dyDescent="0.2">
      <c r="AF31568" s="679"/>
    </row>
    <row r="31569" spans="32:32" x14ac:dyDescent="0.2">
      <c r="AF31569" s="679"/>
    </row>
    <row r="31570" spans="32:32" x14ac:dyDescent="0.2">
      <c r="AF31570" s="679"/>
    </row>
    <row r="31571" spans="32:32" x14ac:dyDescent="0.2">
      <c r="AF31571" s="679"/>
    </row>
    <row r="31572" spans="32:32" x14ac:dyDescent="0.2">
      <c r="AF31572" s="679"/>
    </row>
    <row r="31573" spans="32:32" x14ac:dyDescent="0.2">
      <c r="AF31573" s="679"/>
    </row>
    <row r="31574" spans="32:32" x14ac:dyDescent="0.2">
      <c r="AF31574" s="679"/>
    </row>
    <row r="31575" spans="32:32" x14ac:dyDescent="0.2">
      <c r="AF31575" s="679"/>
    </row>
    <row r="31576" spans="32:32" x14ac:dyDescent="0.2">
      <c r="AF31576" s="679"/>
    </row>
    <row r="31577" spans="32:32" x14ac:dyDescent="0.2">
      <c r="AF31577" s="679"/>
    </row>
    <row r="31578" spans="32:32" x14ac:dyDescent="0.2">
      <c r="AF31578" s="679"/>
    </row>
    <row r="31579" spans="32:32" x14ac:dyDescent="0.2">
      <c r="AF31579" s="679"/>
    </row>
    <row r="31580" spans="32:32" x14ac:dyDescent="0.2">
      <c r="AF31580" s="679"/>
    </row>
    <row r="31581" spans="32:32" x14ac:dyDescent="0.2">
      <c r="AF31581" s="679"/>
    </row>
    <row r="31582" spans="32:32" x14ac:dyDescent="0.2">
      <c r="AF31582" s="679"/>
    </row>
    <row r="31583" spans="32:32" x14ac:dyDescent="0.2">
      <c r="AF31583" s="679"/>
    </row>
    <row r="31584" spans="32:32" x14ac:dyDescent="0.2">
      <c r="AF31584" s="679"/>
    </row>
    <row r="31585" spans="32:32" x14ac:dyDescent="0.2">
      <c r="AF31585" s="679"/>
    </row>
    <row r="31586" spans="32:32" x14ac:dyDescent="0.2">
      <c r="AF31586" s="679"/>
    </row>
    <row r="31587" spans="32:32" x14ac:dyDescent="0.2">
      <c r="AF31587" s="679"/>
    </row>
    <row r="31588" spans="32:32" x14ac:dyDescent="0.2">
      <c r="AF31588" s="679"/>
    </row>
    <row r="31589" spans="32:32" x14ac:dyDescent="0.2">
      <c r="AF31589" s="679"/>
    </row>
    <row r="31590" spans="32:32" x14ac:dyDescent="0.2">
      <c r="AF31590" s="679"/>
    </row>
    <row r="31591" spans="32:32" x14ac:dyDescent="0.2">
      <c r="AF31591" s="679"/>
    </row>
    <row r="31592" spans="32:32" x14ac:dyDescent="0.2">
      <c r="AF31592" s="679"/>
    </row>
    <row r="31593" spans="32:32" x14ac:dyDescent="0.2">
      <c r="AF31593" s="679"/>
    </row>
    <row r="31594" spans="32:32" x14ac:dyDescent="0.2">
      <c r="AF31594" s="679"/>
    </row>
    <row r="31595" spans="32:32" x14ac:dyDescent="0.2">
      <c r="AF31595" s="679"/>
    </row>
    <row r="31596" spans="32:32" x14ac:dyDescent="0.2">
      <c r="AF31596" s="679"/>
    </row>
    <row r="31597" spans="32:32" x14ac:dyDescent="0.2">
      <c r="AF31597" s="679"/>
    </row>
    <row r="31598" spans="32:32" x14ac:dyDescent="0.2">
      <c r="AF31598" s="679"/>
    </row>
    <row r="31599" spans="32:32" x14ac:dyDescent="0.2">
      <c r="AF31599" s="679"/>
    </row>
    <row r="31600" spans="32:32" x14ac:dyDescent="0.2">
      <c r="AF31600" s="679"/>
    </row>
    <row r="31601" spans="32:32" x14ac:dyDescent="0.2">
      <c r="AF31601" s="679"/>
    </row>
    <row r="31602" spans="32:32" x14ac:dyDescent="0.2">
      <c r="AF31602" s="679"/>
    </row>
    <row r="31603" spans="32:32" x14ac:dyDescent="0.2">
      <c r="AF31603" s="679"/>
    </row>
    <row r="31604" spans="32:32" x14ac:dyDescent="0.2">
      <c r="AF31604" s="679"/>
    </row>
    <row r="31605" spans="32:32" x14ac:dyDescent="0.2">
      <c r="AF31605" s="679"/>
    </row>
    <row r="31606" spans="32:32" x14ac:dyDescent="0.2">
      <c r="AF31606" s="679"/>
    </row>
    <row r="31607" spans="32:32" x14ac:dyDescent="0.2">
      <c r="AF31607" s="679"/>
    </row>
    <row r="31608" spans="32:32" x14ac:dyDescent="0.2">
      <c r="AF31608" s="679"/>
    </row>
    <row r="31609" spans="32:32" x14ac:dyDescent="0.2">
      <c r="AF31609" s="679"/>
    </row>
    <row r="31610" spans="32:32" x14ac:dyDescent="0.2">
      <c r="AF31610" s="679"/>
    </row>
    <row r="31611" spans="32:32" x14ac:dyDescent="0.2">
      <c r="AF31611" s="679"/>
    </row>
    <row r="31612" spans="32:32" x14ac:dyDescent="0.2">
      <c r="AF31612" s="679"/>
    </row>
    <row r="31613" spans="32:32" x14ac:dyDescent="0.2">
      <c r="AF31613" s="679"/>
    </row>
    <row r="31614" spans="32:32" x14ac:dyDescent="0.2">
      <c r="AF31614" s="679"/>
    </row>
    <row r="31615" spans="32:32" x14ac:dyDescent="0.2">
      <c r="AF31615" s="679"/>
    </row>
    <row r="31616" spans="32:32" x14ac:dyDescent="0.2">
      <c r="AF31616" s="679"/>
    </row>
    <row r="31617" spans="32:32" x14ac:dyDescent="0.2">
      <c r="AF31617" s="679"/>
    </row>
    <row r="31618" spans="32:32" x14ac:dyDescent="0.2">
      <c r="AF31618" s="679"/>
    </row>
    <row r="31619" spans="32:32" x14ac:dyDescent="0.2">
      <c r="AF31619" s="679"/>
    </row>
    <row r="31620" spans="32:32" x14ac:dyDescent="0.2">
      <c r="AF31620" s="679"/>
    </row>
    <row r="31621" spans="32:32" x14ac:dyDescent="0.2">
      <c r="AF31621" s="679"/>
    </row>
    <row r="31622" spans="32:32" x14ac:dyDescent="0.2">
      <c r="AF31622" s="679"/>
    </row>
    <row r="31623" spans="32:32" x14ac:dyDescent="0.2">
      <c r="AF31623" s="679"/>
    </row>
    <row r="31624" spans="32:32" x14ac:dyDescent="0.2">
      <c r="AF31624" s="679"/>
    </row>
    <row r="31625" spans="32:32" x14ac:dyDescent="0.2">
      <c r="AF31625" s="679"/>
    </row>
    <row r="31626" spans="32:32" x14ac:dyDescent="0.2">
      <c r="AF31626" s="679"/>
    </row>
    <row r="31627" spans="32:32" x14ac:dyDescent="0.2">
      <c r="AF31627" s="679"/>
    </row>
    <row r="31628" spans="32:32" x14ac:dyDescent="0.2">
      <c r="AF31628" s="679"/>
    </row>
    <row r="31629" spans="32:32" x14ac:dyDescent="0.2">
      <c r="AF31629" s="679"/>
    </row>
    <row r="31630" spans="32:32" x14ac:dyDescent="0.2">
      <c r="AF31630" s="679"/>
    </row>
    <row r="31631" spans="32:32" x14ac:dyDescent="0.2">
      <c r="AF31631" s="679"/>
    </row>
    <row r="31632" spans="32:32" x14ac:dyDescent="0.2">
      <c r="AF31632" s="679"/>
    </row>
    <row r="31633" spans="32:32" x14ac:dyDescent="0.2">
      <c r="AF31633" s="679"/>
    </row>
    <row r="31634" spans="32:32" x14ac:dyDescent="0.2">
      <c r="AF31634" s="679"/>
    </row>
    <row r="31635" spans="32:32" x14ac:dyDescent="0.2">
      <c r="AF31635" s="679"/>
    </row>
    <row r="31636" spans="32:32" x14ac:dyDescent="0.2">
      <c r="AF31636" s="679"/>
    </row>
    <row r="31637" spans="32:32" x14ac:dyDescent="0.2">
      <c r="AF31637" s="679"/>
    </row>
    <row r="31638" spans="32:32" x14ac:dyDescent="0.2">
      <c r="AF31638" s="679"/>
    </row>
    <row r="31639" spans="32:32" x14ac:dyDescent="0.2">
      <c r="AF31639" s="679"/>
    </row>
    <row r="31640" spans="32:32" x14ac:dyDescent="0.2">
      <c r="AF31640" s="679"/>
    </row>
    <row r="31641" spans="32:32" x14ac:dyDescent="0.2">
      <c r="AF31641" s="679"/>
    </row>
    <row r="31642" spans="32:32" x14ac:dyDescent="0.2">
      <c r="AF31642" s="679"/>
    </row>
    <row r="31643" spans="32:32" x14ac:dyDescent="0.2">
      <c r="AF31643" s="679"/>
    </row>
    <row r="31644" spans="32:32" x14ac:dyDescent="0.2">
      <c r="AF31644" s="679"/>
    </row>
    <row r="31645" spans="32:32" x14ac:dyDescent="0.2">
      <c r="AF31645" s="679"/>
    </row>
    <row r="31646" spans="32:32" x14ac:dyDescent="0.2">
      <c r="AF31646" s="679"/>
    </row>
    <row r="31647" spans="32:32" x14ac:dyDescent="0.2">
      <c r="AF31647" s="679"/>
    </row>
    <row r="31648" spans="32:32" x14ac:dyDescent="0.2">
      <c r="AF31648" s="679"/>
    </row>
    <row r="31649" spans="32:32" x14ac:dyDescent="0.2">
      <c r="AF31649" s="679"/>
    </row>
    <row r="31650" spans="32:32" x14ac:dyDescent="0.2">
      <c r="AF31650" s="679"/>
    </row>
    <row r="31651" spans="32:32" x14ac:dyDescent="0.2">
      <c r="AF31651" s="679"/>
    </row>
    <row r="31652" spans="32:32" x14ac:dyDescent="0.2">
      <c r="AF31652" s="679"/>
    </row>
    <row r="31653" spans="32:32" x14ac:dyDescent="0.2">
      <c r="AF31653" s="679"/>
    </row>
    <row r="31654" spans="32:32" x14ac:dyDescent="0.2">
      <c r="AF31654" s="679"/>
    </row>
    <row r="31655" spans="32:32" x14ac:dyDescent="0.2">
      <c r="AF31655" s="679"/>
    </row>
    <row r="31656" spans="32:32" x14ac:dyDescent="0.2">
      <c r="AF31656" s="679"/>
    </row>
    <row r="31657" spans="32:32" x14ac:dyDescent="0.2">
      <c r="AF31657" s="679"/>
    </row>
    <row r="31658" spans="32:32" x14ac:dyDescent="0.2">
      <c r="AF31658" s="679"/>
    </row>
    <row r="31659" spans="32:32" x14ac:dyDescent="0.2">
      <c r="AF31659" s="679"/>
    </row>
    <row r="31660" spans="32:32" x14ac:dyDescent="0.2">
      <c r="AF31660" s="679"/>
    </row>
    <row r="31661" spans="32:32" x14ac:dyDescent="0.2">
      <c r="AF31661" s="679"/>
    </row>
    <row r="31662" spans="32:32" x14ac:dyDescent="0.2">
      <c r="AF31662" s="679"/>
    </row>
    <row r="31663" spans="32:32" x14ac:dyDescent="0.2">
      <c r="AF31663" s="679"/>
    </row>
    <row r="31664" spans="32:32" x14ac:dyDescent="0.2">
      <c r="AF31664" s="679"/>
    </row>
    <row r="31665" spans="32:32" x14ac:dyDescent="0.2">
      <c r="AF31665" s="679"/>
    </row>
    <row r="31666" spans="32:32" x14ac:dyDescent="0.2">
      <c r="AF31666" s="679"/>
    </row>
    <row r="31667" spans="32:32" x14ac:dyDescent="0.2">
      <c r="AF31667" s="679"/>
    </row>
    <row r="31668" spans="32:32" x14ac:dyDescent="0.2">
      <c r="AF31668" s="679"/>
    </row>
    <row r="31669" spans="32:32" x14ac:dyDescent="0.2">
      <c r="AF31669" s="679"/>
    </row>
    <row r="31670" spans="32:32" x14ac:dyDescent="0.2">
      <c r="AF31670" s="679"/>
    </row>
    <row r="31671" spans="32:32" x14ac:dyDescent="0.2">
      <c r="AF31671" s="679"/>
    </row>
    <row r="31672" spans="32:32" x14ac:dyDescent="0.2">
      <c r="AF31672" s="679"/>
    </row>
    <row r="31673" spans="32:32" x14ac:dyDescent="0.2">
      <c r="AF31673" s="679"/>
    </row>
    <row r="31674" spans="32:32" x14ac:dyDescent="0.2">
      <c r="AF31674" s="679"/>
    </row>
    <row r="31675" spans="32:32" x14ac:dyDescent="0.2">
      <c r="AF31675" s="679"/>
    </row>
    <row r="31676" spans="32:32" x14ac:dyDescent="0.2">
      <c r="AF31676" s="679"/>
    </row>
    <row r="31677" spans="32:32" x14ac:dyDescent="0.2">
      <c r="AF31677" s="679"/>
    </row>
    <row r="31678" spans="32:32" x14ac:dyDescent="0.2">
      <c r="AF31678" s="679"/>
    </row>
    <row r="31679" spans="32:32" x14ac:dyDescent="0.2">
      <c r="AF31679" s="679"/>
    </row>
    <row r="31680" spans="32:32" x14ac:dyDescent="0.2">
      <c r="AF31680" s="679"/>
    </row>
    <row r="31681" spans="32:32" x14ac:dyDescent="0.2">
      <c r="AF31681" s="679"/>
    </row>
    <row r="31682" spans="32:32" x14ac:dyDescent="0.2">
      <c r="AF31682" s="679"/>
    </row>
    <row r="31683" spans="32:32" x14ac:dyDescent="0.2">
      <c r="AF31683" s="679"/>
    </row>
    <row r="31684" spans="32:32" x14ac:dyDescent="0.2">
      <c r="AF31684" s="679"/>
    </row>
    <row r="31685" spans="32:32" x14ac:dyDescent="0.2">
      <c r="AF31685" s="679"/>
    </row>
    <row r="31686" spans="32:32" x14ac:dyDescent="0.2">
      <c r="AF31686" s="679"/>
    </row>
    <row r="31687" spans="32:32" x14ac:dyDescent="0.2">
      <c r="AF31687" s="679"/>
    </row>
    <row r="31688" spans="32:32" x14ac:dyDescent="0.2">
      <c r="AF31688" s="679"/>
    </row>
    <row r="31689" spans="32:32" x14ac:dyDescent="0.2">
      <c r="AF31689" s="679"/>
    </row>
    <row r="31690" spans="32:32" x14ac:dyDescent="0.2">
      <c r="AF31690" s="679"/>
    </row>
    <row r="31691" spans="32:32" x14ac:dyDescent="0.2">
      <c r="AF31691" s="679"/>
    </row>
    <row r="31692" spans="32:32" x14ac:dyDescent="0.2">
      <c r="AF31692" s="679"/>
    </row>
    <row r="31693" spans="32:32" x14ac:dyDescent="0.2">
      <c r="AF31693" s="679"/>
    </row>
    <row r="31694" spans="32:32" x14ac:dyDescent="0.2">
      <c r="AF31694" s="679"/>
    </row>
    <row r="31695" spans="32:32" x14ac:dyDescent="0.2">
      <c r="AF31695" s="679"/>
    </row>
    <row r="31696" spans="32:32" x14ac:dyDescent="0.2">
      <c r="AF31696" s="679"/>
    </row>
    <row r="31697" spans="32:32" x14ac:dyDescent="0.2">
      <c r="AF31697" s="679"/>
    </row>
    <row r="31698" spans="32:32" x14ac:dyDescent="0.2">
      <c r="AF31698" s="679"/>
    </row>
    <row r="31699" spans="32:32" x14ac:dyDescent="0.2">
      <c r="AF31699" s="679"/>
    </row>
    <row r="31700" spans="32:32" x14ac:dyDescent="0.2">
      <c r="AF31700" s="679"/>
    </row>
    <row r="31701" spans="32:32" x14ac:dyDescent="0.2">
      <c r="AF31701" s="679"/>
    </row>
    <row r="31702" spans="32:32" x14ac:dyDescent="0.2">
      <c r="AF31702" s="679"/>
    </row>
    <row r="31703" spans="32:32" x14ac:dyDescent="0.2">
      <c r="AF31703" s="679"/>
    </row>
    <row r="31704" spans="32:32" x14ac:dyDescent="0.2">
      <c r="AF31704" s="679"/>
    </row>
    <row r="31705" spans="32:32" x14ac:dyDescent="0.2">
      <c r="AF31705" s="679"/>
    </row>
    <row r="31706" spans="32:32" x14ac:dyDescent="0.2">
      <c r="AF31706" s="679"/>
    </row>
    <row r="31707" spans="32:32" x14ac:dyDescent="0.2">
      <c r="AF31707" s="679"/>
    </row>
    <row r="31708" spans="32:32" x14ac:dyDescent="0.2">
      <c r="AF31708" s="679"/>
    </row>
    <row r="31709" spans="32:32" x14ac:dyDescent="0.2">
      <c r="AF31709" s="679"/>
    </row>
    <row r="31710" spans="32:32" x14ac:dyDescent="0.2">
      <c r="AF31710" s="679"/>
    </row>
    <row r="31711" spans="32:32" x14ac:dyDescent="0.2">
      <c r="AF31711" s="679"/>
    </row>
    <row r="31712" spans="32:32" x14ac:dyDescent="0.2">
      <c r="AF31712" s="679"/>
    </row>
    <row r="31713" spans="32:32" x14ac:dyDescent="0.2">
      <c r="AF31713" s="679"/>
    </row>
    <row r="31714" spans="32:32" x14ac:dyDescent="0.2">
      <c r="AF31714" s="679"/>
    </row>
    <row r="31715" spans="32:32" x14ac:dyDescent="0.2">
      <c r="AF31715" s="679"/>
    </row>
    <row r="31716" spans="32:32" x14ac:dyDescent="0.2">
      <c r="AF31716" s="679"/>
    </row>
    <row r="31717" spans="32:32" x14ac:dyDescent="0.2">
      <c r="AF31717" s="679"/>
    </row>
    <row r="31718" spans="32:32" x14ac:dyDescent="0.2">
      <c r="AF31718" s="679"/>
    </row>
    <row r="31719" spans="32:32" x14ac:dyDescent="0.2">
      <c r="AF31719" s="679"/>
    </row>
    <row r="31720" spans="32:32" x14ac:dyDescent="0.2">
      <c r="AF31720" s="679"/>
    </row>
    <row r="31721" spans="32:32" x14ac:dyDescent="0.2">
      <c r="AF31721" s="679"/>
    </row>
    <row r="31722" spans="32:32" x14ac:dyDescent="0.2">
      <c r="AF31722" s="679"/>
    </row>
    <row r="31723" spans="32:32" x14ac:dyDescent="0.2">
      <c r="AF31723" s="679"/>
    </row>
    <row r="31724" spans="32:32" x14ac:dyDescent="0.2">
      <c r="AF31724" s="679"/>
    </row>
    <row r="31725" spans="32:32" x14ac:dyDescent="0.2">
      <c r="AF31725" s="679"/>
    </row>
    <row r="31726" spans="32:32" x14ac:dyDescent="0.2">
      <c r="AF31726" s="679"/>
    </row>
    <row r="31727" spans="32:32" x14ac:dyDescent="0.2">
      <c r="AF31727" s="679"/>
    </row>
    <row r="31728" spans="32:32" x14ac:dyDescent="0.2">
      <c r="AF31728" s="679"/>
    </row>
    <row r="31729" spans="32:32" x14ac:dyDescent="0.2">
      <c r="AF31729" s="679"/>
    </row>
    <row r="31730" spans="32:32" x14ac:dyDescent="0.2">
      <c r="AF31730" s="679"/>
    </row>
    <row r="31731" spans="32:32" x14ac:dyDescent="0.2">
      <c r="AF31731" s="679"/>
    </row>
    <row r="31732" spans="32:32" x14ac:dyDescent="0.2">
      <c r="AF31732" s="679"/>
    </row>
    <row r="31733" spans="32:32" x14ac:dyDescent="0.2">
      <c r="AF31733" s="679"/>
    </row>
    <row r="31734" spans="32:32" x14ac:dyDescent="0.2">
      <c r="AF31734" s="679"/>
    </row>
    <row r="31735" spans="32:32" x14ac:dyDescent="0.2">
      <c r="AF31735" s="679"/>
    </row>
    <row r="31736" spans="32:32" x14ac:dyDescent="0.2">
      <c r="AF31736" s="679"/>
    </row>
    <row r="31737" spans="32:32" x14ac:dyDescent="0.2">
      <c r="AF31737" s="679"/>
    </row>
    <row r="31738" spans="32:32" x14ac:dyDescent="0.2">
      <c r="AF31738" s="679"/>
    </row>
    <row r="31739" spans="32:32" x14ac:dyDescent="0.2">
      <c r="AF31739" s="679"/>
    </row>
    <row r="31740" spans="32:32" x14ac:dyDescent="0.2">
      <c r="AF31740" s="679"/>
    </row>
    <row r="31741" spans="32:32" x14ac:dyDescent="0.2">
      <c r="AF31741" s="679"/>
    </row>
    <row r="31742" spans="32:32" x14ac:dyDescent="0.2">
      <c r="AF31742" s="679"/>
    </row>
    <row r="31743" spans="32:32" x14ac:dyDescent="0.2">
      <c r="AF31743" s="679"/>
    </row>
    <row r="31744" spans="32:32" x14ac:dyDescent="0.2">
      <c r="AF31744" s="679"/>
    </row>
    <row r="31745" spans="32:32" x14ac:dyDescent="0.2">
      <c r="AF31745" s="679"/>
    </row>
    <row r="31746" spans="32:32" x14ac:dyDescent="0.2">
      <c r="AF31746" s="679"/>
    </row>
    <row r="31747" spans="32:32" x14ac:dyDescent="0.2">
      <c r="AF31747" s="679"/>
    </row>
    <row r="31748" spans="32:32" x14ac:dyDescent="0.2">
      <c r="AF31748" s="679"/>
    </row>
    <row r="31749" spans="32:32" x14ac:dyDescent="0.2">
      <c r="AF31749" s="679"/>
    </row>
    <row r="31750" spans="32:32" x14ac:dyDescent="0.2">
      <c r="AF31750" s="679"/>
    </row>
    <row r="31751" spans="32:32" x14ac:dyDescent="0.2">
      <c r="AF31751" s="679"/>
    </row>
    <row r="31752" spans="32:32" x14ac:dyDescent="0.2">
      <c r="AF31752" s="679"/>
    </row>
    <row r="31753" spans="32:32" x14ac:dyDescent="0.2">
      <c r="AF31753" s="679"/>
    </row>
    <row r="31754" spans="32:32" x14ac:dyDescent="0.2">
      <c r="AF31754" s="679"/>
    </row>
    <row r="31755" spans="32:32" x14ac:dyDescent="0.2">
      <c r="AF31755" s="679"/>
    </row>
    <row r="31756" spans="32:32" x14ac:dyDescent="0.2">
      <c r="AF31756" s="679"/>
    </row>
    <row r="31757" spans="32:32" x14ac:dyDescent="0.2">
      <c r="AF31757" s="679"/>
    </row>
    <row r="31758" spans="32:32" x14ac:dyDescent="0.2">
      <c r="AF31758" s="679"/>
    </row>
    <row r="31759" spans="32:32" x14ac:dyDescent="0.2">
      <c r="AF31759" s="679"/>
    </row>
    <row r="31760" spans="32:32" x14ac:dyDescent="0.2">
      <c r="AF31760" s="679"/>
    </row>
    <row r="31761" spans="32:32" x14ac:dyDescent="0.2">
      <c r="AF31761" s="679"/>
    </row>
    <row r="31762" spans="32:32" x14ac:dyDescent="0.2">
      <c r="AF31762" s="679"/>
    </row>
    <row r="31763" spans="32:32" x14ac:dyDescent="0.2">
      <c r="AF31763" s="679"/>
    </row>
    <row r="31764" spans="32:32" x14ac:dyDescent="0.2">
      <c r="AF31764" s="679"/>
    </row>
    <row r="31765" spans="32:32" x14ac:dyDescent="0.2">
      <c r="AF31765" s="679"/>
    </row>
    <row r="31766" spans="32:32" x14ac:dyDescent="0.2">
      <c r="AF31766" s="679"/>
    </row>
    <row r="31767" spans="32:32" x14ac:dyDescent="0.2">
      <c r="AF31767" s="679"/>
    </row>
    <row r="31768" spans="32:32" x14ac:dyDescent="0.2">
      <c r="AF31768" s="679"/>
    </row>
    <row r="31769" spans="32:32" x14ac:dyDescent="0.2">
      <c r="AF31769" s="679"/>
    </row>
    <row r="31770" spans="32:32" x14ac:dyDescent="0.2">
      <c r="AF31770" s="679"/>
    </row>
    <row r="31771" spans="32:32" x14ac:dyDescent="0.2">
      <c r="AF31771" s="679"/>
    </row>
    <row r="31772" spans="32:32" x14ac:dyDescent="0.2">
      <c r="AF31772" s="679"/>
    </row>
    <row r="31773" spans="32:32" x14ac:dyDescent="0.2">
      <c r="AF31773" s="679"/>
    </row>
    <row r="31774" spans="32:32" x14ac:dyDescent="0.2">
      <c r="AF31774" s="679"/>
    </row>
    <row r="31775" spans="32:32" x14ac:dyDescent="0.2">
      <c r="AF31775" s="679"/>
    </row>
    <row r="31776" spans="32:32" x14ac:dyDescent="0.2">
      <c r="AF31776" s="679"/>
    </row>
    <row r="31777" spans="32:32" x14ac:dyDescent="0.2">
      <c r="AF31777" s="679"/>
    </row>
    <row r="31778" spans="32:32" x14ac:dyDescent="0.2">
      <c r="AF31778" s="679"/>
    </row>
    <row r="31779" spans="32:32" x14ac:dyDescent="0.2">
      <c r="AF31779" s="679"/>
    </row>
    <row r="31780" spans="32:32" x14ac:dyDescent="0.2">
      <c r="AF31780" s="679"/>
    </row>
    <row r="31781" spans="32:32" x14ac:dyDescent="0.2">
      <c r="AF31781" s="679"/>
    </row>
    <row r="31782" spans="32:32" x14ac:dyDescent="0.2">
      <c r="AF31782" s="679"/>
    </row>
    <row r="31783" spans="32:32" x14ac:dyDescent="0.2">
      <c r="AF31783" s="679"/>
    </row>
    <row r="31784" spans="32:32" x14ac:dyDescent="0.2">
      <c r="AF31784" s="679"/>
    </row>
    <row r="31785" spans="32:32" x14ac:dyDescent="0.2">
      <c r="AF31785" s="679"/>
    </row>
    <row r="31786" spans="32:32" x14ac:dyDescent="0.2">
      <c r="AF31786" s="679"/>
    </row>
    <row r="31787" spans="32:32" x14ac:dyDescent="0.2">
      <c r="AF31787" s="679"/>
    </row>
    <row r="31788" spans="32:32" x14ac:dyDescent="0.2">
      <c r="AF31788" s="679"/>
    </row>
    <row r="31789" spans="32:32" x14ac:dyDescent="0.2">
      <c r="AF31789" s="679"/>
    </row>
    <row r="31790" spans="32:32" x14ac:dyDescent="0.2">
      <c r="AF31790" s="679"/>
    </row>
    <row r="31791" spans="32:32" x14ac:dyDescent="0.2">
      <c r="AF31791" s="679"/>
    </row>
    <row r="31792" spans="32:32" x14ac:dyDescent="0.2">
      <c r="AF31792" s="679"/>
    </row>
    <row r="31793" spans="32:32" x14ac:dyDescent="0.2">
      <c r="AF31793" s="679"/>
    </row>
    <row r="31794" spans="32:32" x14ac:dyDescent="0.2">
      <c r="AF31794" s="679"/>
    </row>
    <row r="31795" spans="32:32" x14ac:dyDescent="0.2">
      <c r="AF31795" s="679"/>
    </row>
    <row r="31796" spans="32:32" x14ac:dyDescent="0.2">
      <c r="AF31796" s="679"/>
    </row>
    <row r="31797" spans="32:32" x14ac:dyDescent="0.2">
      <c r="AF31797" s="679"/>
    </row>
    <row r="31798" spans="32:32" x14ac:dyDescent="0.2">
      <c r="AF31798" s="679"/>
    </row>
    <row r="31799" spans="32:32" x14ac:dyDescent="0.2">
      <c r="AF31799" s="679"/>
    </row>
    <row r="31800" spans="32:32" x14ac:dyDescent="0.2">
      <c r="AF31800" s="679"/>
    </row>
    <row r="31801" spans="32:32" x14ac:dyDescent="0.2">
      <c r="AF31801" s="679"/>
    </row>
    <row r="31802" spans="32:32" x14ac:dyDescent="0.2">
      <c r="AF31802" s="679"/>
    </row>
    <row r="31803" spans="32:32" x14ac:dyDescent="0.2">
      <c r="AF31803" s="679"/>
    </row>
    <row r="31804" spans="32:32" x14ac:dyDescent="0.2">
      <c r="AF31804" s="679"/>
    </row>
    <row r="31805" spans="32:32" x14ac:dyDescent="0.2">
      <c r="AF31805" s="679"/>
    </row>
    <row r="31806" spans="32:32" x14ac:dyDescent="0.2">
      <c r="AF31806" s="679"/>
    </row>
    <row r="31807" spans="32:32" x14ac:dyDescent="0.2">
      <c r="AF31807" s="679"/>
    </row>
    <row r="31808" spans="32:32" x14ac:dyDescent="0.2">
      <c r="AF31808" s="679"/>
    </row>
    <row r="31809" spans="32:32" x14ac:dyDescent="0.2">
      <c r="AF31809" s="679"/>
    </row>
    <row r="31810" spans="32:32" x14ac:dyDescent="0.2">
      <c r="AF31810" s="679"/>
    </row>
    <row r="31811" spans="32:32" x14ac:dyDescent="0.2">
      <c r="AF31811" s="679"/>
    </row>
    <row r="31812" spans="32:32" x14ac:dyDescent="0.2">
      <c r="AF31812" s="679"/>
    </row>
    <row r="31813" spans="32:32" x14ac:dyDescent="0.2">
      <c r="AF31813" s="679"/>
    </row>
    <row r="31814" spans="32:32" x14ac:dyDescent="0.2">
      <c r="AF31814" s="679"/>
    </row>
    <row r="31815" spans="32:32" x14ac:dyDescent="0.2">
      <c r="AF31815" s="679"/>
    </row>
    <row r="31816" spans="32:32" x14ac:dyDescent="0.2">
      <c r="AF31816" s="679"/>
    </row>
    <row r="31817" spans="32:32" x14ac:dyDescent="0.2">
      <c r="AF31817" s="679"/>
    </row>
    <row r="31818" spans="32:32" x14ac:dyDescent="0.2">
      <c r="AF31818" s="679"/>
    </row>
    <row r="31819" spans="32:32" x14ac:dyDescent="0.2">
      <c r="AF31819" s="679"/>
    </row>
    <row r="31820" spans="32:32" x14ac:dyDescent="0.2">
      <c r="AF31820" s="679"/>
    </row>
    <row r="31821" spans="32:32" x14ac:dyDescent="0.2">
      <c r="AF31821" s="679"/>
    </row>
    <row r="31822" spans="32:32" x14ac:dyDescent="0.2">
      <c r="AF31822" s="679"/>
    </row>
    <row r="31823" spans="32:32" x14ac:dyDescent="0.2">
      <c r="AF31823" s="679"/>
    </row>
    <row r="31824" spans="32:32" x14ac:dyDescent="0.2">
      <c r="AF31824" s="679"/>
    </row>
    <row r="31825" spans="32:32" x14ac:dyDescent="0.2">
      <c r="AF31825" s="679"/>
    </row>
    <row r="31826" spans="32:32" x14ac:dyDescent="0.2">
      <c r="AF31826" s="679"/>
    </row>
    <row r="31827" spans="32:32" x14ac:dyDescent="0.2">
      <c r="AF31827" s="679"/>
    </row>
    <row r="31828" spans="32:32" x14ac:dyDescent="0.2">
      <c r="AF31828" s="679"/>
    </row>
    <row r="31829" spans="32:32" x14ac:dyDescent="0.2">
      <c r="AF31829" s="679"/>
    </row>
    <row r="31830" spans="32:32" x14ac:dyDescent="0.2">
      <c r="AF31830" s="679"/>
    </row>
    <row r="31831" spans="32:32" x14ac:dyDescent="0.2">
      <c r="AF31831" s="679"/>
    </row>
    <row r="31832" spans="32:32" x14ac:dyDescent="0.2">
      <c r="AF31832" s="679"/>
    </row>
    <row r="31833" spans="32:32" x14ac:dyDescent="0.2">
      <c r="AF31833" s="679"/>
    </row>
    <row r="31834" spans="32:32" x14ac:dyDescent="0.2">
      <c r="AF31834" s="679"/>
    </row>
    <row r="31835" spans="32:32" x14ac:dyDescent="0.2">
      <c r="AF31835" s="679"/>
    </row>
    <row r="31836" spans="32:32" x14ac:dyDescent="0.2">
      <c r="AF31836" s="679"/>
    </row>
    <row r="31837" spans="32:32" x14ac:dyDescent="0.2">
      <c r="AF31837" s="679"/>
    </row>
    <row r="31838" spans="32:32" x14ac:dyDescent="0.2">
      <c r="AF31838" s="679"/>
    </row>
    <row r="31839" spans="32:32" x14ac:dyDescent="0.2">
      <c r="AF31839" s="679"/>
    </row>
    <row r="31840" spans="32:32" x14ac:dyDescent="0.2">
      <c r="AF31840" s="679"/>
    </row>
    <row r="31841" spans="32:32" x14ac:dyDescent="0.2">
      <c r="AF31841" s="679"/>
    </row>
    <row r="31842" spans="32:32" x14ac:dyDescent="0.2">
      <c r="AF31842" s="679"/>
    </row>
    <row r="31843" spans="32:32" x14ac:dyDescent="0.2">
      <c r="AF31843" s="679"/>
    </row>
    <row r="31844" spans="32:32" x14ac:dyDescent="0.2">
      <c r="AF31844" s="679"/>
    </row>
    <row r="31845" spans="32:32" x14ac:dyDescent="0.2">
      <c r="AF31845" s="679"/>
    </row>
    <row r="31846" spans="32:32" x14ac:dyDescent="0.2">
      <c r="AF31846" s="679"/>
    </row>
    <row r="31847" spans="32:32" x14ac:dyDescent="0.2">
      <c r="AF31847" s="679"/>
    </row>
    <row r="31848" spans="32:32" x14ac:dyDescent="0.2">
      <c r="AF31848" s="679"/>
    </row>
    <row r="31849" spans="32:32" x14ac:dyDescent="0.2">
      <c r="AF31849" s="679"/>
    </row>
    <row r="31850" spans="32:32" x14ac:dyDescent="0.2">
      <c r="AF31850" s="679"/>
    </row>
    <row r="31851" spans="32:32" x14ac:dyDescent="0.2">
      <c r="AF31851" s="679"/>
    </row>
    <row r="31852" spans="32:32" x14ac:dyDescent="0.2">
      <c r="AF31852" s="679"/>
    </row>
    <row r="31853" spans="32:32" x14ac:dyDescent="0.2">
      <c r="AF31853" s="679"/>
    </row>
    <row r="31854" spans="32:32" x14ac:dyDescent="0.2">
      <c r="AF31854" s="679"/>
    </row>
    <row r="31855" spans="32:32" x14ac:dyDescent="0.2">
      <c r="AF31855" s="679"/>
    </row>
    <row r="31856" spans="32:32" x14ac:dyDescent="0.2">
      <c r="AF31856" s="679"/>
    </row>
    <row r="31857" spans="32:32" x14ac:dyDescent="0.2">
      <c r="AF31857" s="679"/>
    </row>
    <row r="31858" spans="32:32" x14ac:dyDescent="0.2">
      <c r="AF31858" s="679"/>
    </row>
    <row r="31859" spans="32:32" x14ac:dyDescent="0.2">
      <c r="AF31859" s="679"/>
    </row>
    <row r="31860" spans="32:32" x14ac:dyDescent="0.2">
      <c r="AF31860" s="679"/>
    </row>
    <row r="31861" spans="32:32" x14ac:dyDescent="0.2">
      <c r="AF31861" s="679"/>
    </row>
    <row r="31862" spans="32:32" x14ac:dyDescent="0.2">
      <c r="AF31862" s="679"/>
    </row>
    <row r="31863" spans="32:32" x14ac:dyDescent="0.2">
      <c r="AF31863" s="679"/>
    </row>
    <row r="31864" spans="32:32" x14ac:dyDescent="0.2">
      <c r="AF31864" s="679"/>
    </row>
    <row r="31865" spans="32:32" x14ac:dyDescent="0.2">
      <c r="AF31865" s="679"/>
    </row>
    <row r="31866" spans="32:32" x14ac:dyDescent="0.2">
      <c r="AF31866" s="679"/>
    </row>
    <row r="31867" spans="32:32" x14ac:dyDescent="0.2">
      <c r="AF31867" s="679"/>
    </row>
    <row r="31868" spans="32:32" x14ac:dyDescent="0.2">
      <c r="AF31868" s="679"/>
    </row>
    <row r="31869" spans="32:32" x14ac:dyDescent="0.2">
      <c r="AF31869" s="679"/>
    </row>
    <row r="31870" spans="32:32" x14ac:dyDescent="0.2">
      <c r="AF31870" s="679"/>
    </row>
    <row r="31871" spans="32:32" x14ac:dyDescent="0.2">
      <c r="AF31871" s="679"/>
    </row>
    <row r="31872" spans="32:32" x14ac:dyDescent="0.2">
      <c r="AF31872" s="679"/>
    </row>
    <row r="31873" spans="32:32" x14ac:dyDescent="0.2">
      <c r="AF31873" s="679"/>
    </row>
    <row r="31874" spans="32:32" x14ac:dyDescent="0.2">
      <c r="AF31874" s="679"/>
    </row>
    <row r="31875" spans="32:32" x14ac:dyDescent="0.2">
      <c r="AF31875" s="679"/>
    </row>
    <row r="31876" spans="32:32" x14ac:dyDescent="0.2">
      <c r="AF31876" s="679"/>
    </row>
    <row r="31877" spans="32:32" x14ac:dyDescent="0.2">
      <c r="AF31877" s="679"/>
    </row>
    <row r="31878" spans="32:32" x14ac:dyDescent="0.2">
      <c r="AF31878" s="679"/>
    </row>
    <row r="31879" spans="32:32" x14ac:dyDescent="0.2">
      <c r="AF31879" s="679"/>
    </row>
    <row r="31880" spans="32:32" x14ac:dyDescent="0.2">
      <c r="AF31880" s="679"/>
    </row>
    <row r="31881" spans="32:32" x14ac:dyDescent="0.2">
      <c r="AF31881" s="679"/>
    </row>
    <row r="31882" spans="32:32" x14ac:dyDescent="0.2">
      <c r="AF31882" s="679"/>
    </row>
    <row r="31883" spans="32:32" x14ac:dyDescent="0.2">
      <c r="AF31883" s="679"/>
    </row>
    <row r="31884" spans="32:32" x14ac:dyDescent="0.2">
      <c r="AF31884" s="679"/>
    </row>
    <row r="31885" spans="32:32" x14ac:dyDescent="0.2">
      <c r="AF31885" s="679"/>
    </row>
    <row r="31886" spans="32:32" x14ac:dyDescent="0.2">
      <c r="AF31886" s="679"/>
    </row>
    <row r="31887" spans="32:32" x14ac:dyDescent="0.2">
      <c r="AF31887" s="679"/>
    </row>
    <row r="31888" spans="32:32" x14ac:dyDescent="0.2">
      <c r="AF31888" s="679"/>
    </row>
    <row r="31889" spans="32:32" x14ac:dyDescent="0.2">
      <c r="AF31889" s="679"/>
    </row>
    <row r="31890" spans="32:32" x14ac:dyDescent="0.2">
      <c r="AF31890" s="679"/>
    </row>
    <row r="31891" spans="32:32" x14ac:dyDescent="0.2">
      <c r="AF31891" s="679"/>
    </row>
    <row r="31892" spans="32:32" x14ac:dyDescent="0.2">
      <c r="AF31892" s="679"/>
    </row>
    <row r="31893" spans="32:32" x14ac:dyDescent="0.2">
      <c r="AF31893" s="679"/>
    </row>
    <row r="31894" spans="32:32" x14ac:dyDescent="0.2">
      <c r="AF31894" s="679"/>
    </row>
    <row r="31895" spans="32:32" x14ac:dyDescent="0.2">
      <c r="AF31895" s="679"/>
    </row>
    <row r="31896" spans="32:32" x14ac:dyDescent="0.2">
      <c r="AF31896" s="679"/>
    </row>
    <row r="31897" spans="32:32" x14ac:dyDescent="0.2">
      <c r="AF31897" s="679"/>
    </row>
    <row r="31898" spans="32:32" x14ac:dyDescent="0.2">
      <c r="AF31898" s="679"/>
    </row>
    <row r="31899" spans="32:32" x14ac:dyDescent="0.2">
      <c r="AF31899" s="679"/>
    </row>
    <row r="31900" spans="32:32" x14ac:dyDescent="0.2">
      <c r="AF31900" s="679"/>
    </row>
    <row r="31901" spans="32:32" x14ac:dyDescent="0.2">
      <c r="AF31901" s="679"/>
    </row>
    <row r="31902" spans="32:32" x14ac:dyDescent="0.2">
      <c r="AF31902" s="679"/>
    </row>
    <row r="31903" spans="32:32" x14ac:dyDescent="0.2">
      <c r="AF31903" s="679"/>
    </row>
    <row r="31904" spans="32:32" x14ac:dyDescent="0.2">
      <c r="AF31904" s="679"/>
    </row>
    <row r="31905" spans="32:32" x14ac:dyDescent="0.2">
      <c r="AF31905" s="679"/>
    </row>
    <row r="31906" spans="32:32" x14ac:dyDescent="0.2">
      <c r="AF31906" s="679"/>
    </row>
    <row r="31907" spans="32:32" x14ac:dyDescent="0.2">
      <c r="AF31907" s="679"/>
    </row>
    <row r="31908" spans="32:32" x14ac:dyDescent="0.2">
      <c r="AF31908" s="679"/>
    </row>
    <row r="31909" spans="32:32" x14ac:dyDescent="0.2">
      <c r="AF31909" s="679"/>
    </row>
    <row r="31910" spans="32:32" x14ac:dyDescent="0.2">
      <c r="AF31910" s="679"/>
    </row>
    <row r="31911" spans="32:32" x14ac:dyDescent="0.2">
      <c r="AF31911" s="679"/>
    </row>
    <row r="31912" spans="32:32" x14ac:dyDescent="0.2">
      <c r="AF31912" s="679"/>
    </row>
    <row r="31913" spans="32:32" x14ac:dyDescent="0.2">
      <c r="AF31913" s="679"/>
    </row>
    <row r="31914" spans="32:32" x14ac:dyDescent="0.2">
      <c r="AF31914" s="679"/>
    </row>
    <row r="31915" spans="32:32" x14ac:dyDescent="0.2">
      <c r="AF31915" s="679"/>
    </row>
    <row r="31916" spans="32:32" x14ac:dyDescent="0.2">
      <c r="AF31916" s="679"/>
    </row>
    <row r="31917" spans="32:32" x14ac:dyDescent="0.2">
      <c r="AF31917" s="679"/>
    </row>
    <row r="31918" spans="32:32" x14ac:dyDescent="0.2">
      <c r="AF31918" s="679"/>
    </row>
    <row r="31919" spans="32:32" x14ac:dyDescent="0.2">
      <c r="AF31919" s="679"/>
    </row>
    <row r="31920" spans="32:32" x14ac:dyDescent="0.2">
      <c r="AF31920" s="679"/>
    </row>
    <row r="31921" spans="32:32" x14ac:dyDescent="0.2">
      <c r="AF31921" s="679"/>
    </row>
    <row r="31922" spans="32:32" x14ac:dyDescent="0.2">
      <c r="AF31922" s="679"/>
    </row>
    <row r="31923" spans="32:32" x14ac:dyDescent="0.2">
      <c r="AF31923" s="679"/>
    </row>
    <row r="31924" spans="32:32" x14ac:dyDescent="0.2">
      <c r="AF31924" s="679"/>
    </row>
    <row r="31925" spans="32:32" x14ac:dyDescent="0.2">
      <c r="AF31925" s="679"/>
    </row>
    <row r="31926" spans="32:32" x14ac:dyDescent="0.2">
      <c r="AF31926" s="679"/>
    </row>
    <row r="31927" spans="32:32" x14ac:dyDescent="0.2">
      <c r="AF31927" s="679"/>
    </row>
    <row r="31928" spans="32:32" x14ac:dyDescent="0.2">
      <c r="AF31928" s="679"/>
    </row>
    <row r="31929" spans="32:32" x14ac:dyDescent="0.2">
      <c r="AF31929" s="679"/>
    </row>
    <row r="31930" spans="32:32" x14ac:dyDescent="0.2">
      <c r="AF31930" s="679"/>
    </row>
    <row r="31931" spans="32:32" x14ac:dyDescent="0.2">
      <c r="AF31931" s="679"/>
    </row>
    <row r="31932" spans="32:32" x14ac:dyDescent="0.2">
      <c r="AF31932" s="679"/>
    </row>
    <row r="31933" spans="32:32" x14ac:dyDescent="0.2">
      <c r="AF31933" s="679"/>
    </row>
    <row r="31934" spans="32:32" x14ac:dyDescent="0.2">
      <c r="AF31934" s="679"/>
    </row>
    <row r="31935" spans="32:32" x14ac:dyDescent="0.2">
      <c r="AF31935" s="679"/>
    </row>
    <row r="31936" spans="32:32" x14ac:dyDescent="0.2">
      <c r="AF31936" s="679"/>
    </row>
    <row r="31937" spans="32:32" x14ac:dyDescent="0.2">
      <c r="AF31937" s="679"/>
    </row>
    <row r="31938" spans="32:32" x14ac:dyDescent="0.2">
      <c r="AF31938" s="679"/>
    </row>
    <row r="31939" spans="32:32" x14ac:dyDescent="0.2">
      <c r="AF31939" s="679"/>
    </row>
    <row r="31940" spans="32:32" x14ac:dyDescent="0.2">
      <c r="AF31940" s="679"/>
    </row>
    <row r="31941" spans="32:32" x14ac:dyDescent="0.2">
      <c r="AF31941" s="679"/>
    </row>
    <row r="31942" spans="32:32" x14ac:dyDescent="0.2">
      <c r="AF31942" s="679"/>
    </row>
    <row r="31943" spans="32:32" x14ac:dyDescent="0.2">
      <c r="AF31943" s="679"/>
    </row>
    <row r="31944" spans="32:32" x14ac:dyDescent="0.2">
      <c r="AF31944" s="679"/>
    </row>
    <row r="31945" spans="32:32" x14ac:dyDescent="0.2">
      <c r="AF31945" s="679"/>
    </row>
    <row r="31946" spans="32:32" x14ac:dyDescent="0.2">
      <c r="AF31946" s="679"/>
    </row>
    <row r="31947" spans="32:32" x14ac:dyDescent="0.2">
      <c r="AF31947" s="679"/>
    </row>
    <row r="31948" spans="32:32" x14ac:dyDescent="0.2">
      <c r="AF31948" s="679"/>
    </row>
    <row r="31949" spans="32:32" x14ac:dyDescent="0.2">
      <c r="AF31949" s="679"/>
    </row>
    <row r="31950" spans="32:32" x14ac:dyDescent="0.2">
      <c r="AF31950" s="679"/>
    </row>
    <row r="31951" spans="32:32" x14ac:dyDescent="0.2">
      <c r="AF31951" s="679"/>
    </row>
    <row r="31952" spans="32:32" x14ac:dyDescent="0.2">
      <c r="AF31952" s="679"/>
    </row>
    <row r="31953" spans="32:32" x14ac:dyDescent="0.2">
      <c r="AF31953" s="679"/>
    </row>
    <row r="31954" spans="32:32" x14ac:dyDescent="0.2">
      <c r="AF31954" s="679"/>
    </row>
    <row r="31955" spans="32:32" x14ac:dyDescent="0.2">
      <c r="AF31955" s="679"/>
    </row>
    <row r="31956" spans="32:32" x14ac:dyDescent="0.2">
      <c r="AF31956" s="679"/>
    </row>
    <row r="31957" spans="32:32" x14ac:dyDescent="0.2">
      <c r="AF31957" s="679"/>
    </row>
    <row r="31958" spans="32:32" x14ac:dyDescent="0.2">
      <c r="AF31958" s="679"/>
    </row>
    <row r="31959" spans="32:32" x14ac:dyDescent="0.2">
      <c r="AF31959" s="679"/>
    </row>
    <row r="31960" spans="32:32" x14ac:dyDescent="0.2">
      <c r="AF31960" s="679"/>
    </row>
    <row r="31961" spans="32:32" x14ac:dyDescent="0.2">
      <c r="AF31961" s="679"/>
    </row>
    <row r="31962" spans="32:32" x14ac:dyDescent="0.2">
      <c r="AF31962" s="679"/>
    </row>
    <row r="31963" spans="32:32" x14ac:dyDescent="0.2">
      <c r="AF31963" s="679"/>
    </row>
    <row r="31964" spans="32:32" x14ac:dyDescent="0.2">
      <c r="AF31964" s="679"/>
    </row>
    <row r="31965" spans="32:32" x14ac:dyDescent="0.2">
      <c r="AF31965" s="679"/>
    </row>
    <row r="31966" spans="32:32" x14ac:dyDescent="0.2">
      <c r="AF31966" s="679"/>
    </row>
    <row r="31967" spans="32:32" x14ac:dyDescent="0.2">
      <c r="AF31967" s="679"/>
    </row>
    <row r="31968" spans="32:32" x14ac:dyDescent="0.2">
      <c r="AF31968" s="679"/>
    </row>
    <row r="31969" spans="32:32" x14ac:dyDescent="0.2">
      <c r="AF31969" s="679"/>
    </row>
    <row r="31970" spans="32:32" x14ac:dyDescent="0.2">
      <c r="AF31970" s="679"/>
    </row>
    <row r="31971" spans="32:32" x14ac:dyDescent="0.2">
      <c r="AF31971" s="679"/>
    </row>
    <row r="31972" spans="32:32" x14ac:dyDescent="0.2">
      <c r="AF31972" s="679"/>
    </row>
    <row r="31973" spans="32:32" x14ac:dyDescent="0.2">
      <c r="AF31973" s="679"/>
    </row>
    <row r="31974" spans="32:32" x14ac:dyDescent="0.2">
      <c r="AF31974" s="679"/>
    </row>
    <row r="31975" spans="32:32" x14ac:dyDescent="0.2">
      <c r="AF31975" s="679"/>
    </row>
    <row r="31976" spans="32:32" x14ac:dyDescent="0.2">
      <c r="AF31976" s="679"/>
    </row>
    <row r="31977" spans="32:32" x14ac:dyDescent="0.2">
      <c r="AF31977" s="679"/>
    </row>
    <row r="31978" spans="32:32" x14ac:dyDescent="0.2">
      <c r="AF31978" s="679"/>
    </row>
    <row r="31979" spans="32:32" x14ac:dyDescent="0.2">
      <c r="AF31979" s="679"/>
    </row>
    <row r="31980" spans="32:32" x14ac:dyDescent="0.2">
      <c r="AF31980" s="679"/>
    </row>
    <row r="31981" spans="32:32" x14ac:dyDescent="0.2">
      <c r="AF31981" s="679"/>
    </row>
    <row r="31982" spans="32:32" x14ac:dyDescent="0.2">
      <c r="AF31982" s="679"/>
    </row>
    <row r="31983" spans="32:32" x14ac:dyDescent="0.2">
      <c r="AF31983" s="679"/>
    </row>
    <row r="31984" spans="32:32" x14ac:dyDescent="0.2">
      <c r="AF31984" s="679"/>
    </row>
    <row r="31985" spans="32:32" x14ac:dyDescent="0.2">
      <c r="AF31985" s="679"/>
    </row>
    <row r="31986" spans="32:32" x14ac:dyDescent="0.2">
      <c r="AF31986" s="679"/>
    </row>
    <row r="31987" spans="32:32" x14ac:dyDescent="0.2">
      <c r="AF31987" s="679"/>
    </row>
    <row r="31988" spans="32:32" x14ac:dyDescent="0.2">
      <c r="AF31988" s="679"/>
    </row>
    <row r="31989" spans="32:32" x14ac:dyDescent="0.2">
      <c r="AF31989" s="679"/>
    </row>
    <row r="31990" spans="32:32" x14ac:dyDescent="0.2">
      <c r="AF31990" s="679"/>
    </row>
    <row r="31991" spans="32:32" x14ac:dyDescent="0.2">
      <c r="AF31991" s="679"/>
    </row>
    <row r="31992" spans="32:32" x14ac:dyDescent="0.2">
      <c r="AF31992" s="679"/>
    </row>
    <row r="31993" spans="32:32" x14ac:dyDescent="0.2">
      <c r="AF31993" s="679"/>
    </row>
    <row r="31994" spans="32:32" x14ac:dyDescent="0.2">
      <c r="AF31994" s="679"/>
    </row>
    <row r="31995" spans="32:32" x14ac:dyDescent="0.2">
      <c r="AF31995" s="679"/>
    </row>
    <row r="31996" spans="32:32" x14ac:dyDescent="0.2">
      <c r="AF31996" s="679"/>
    </row>
    <row r="31997" spans="32:32" x14ac:dyDescent="0.2">
      <c r="AF31997" s="679"/>
    </row>
    <row r="31998" spans="32:32" x14ac:dyDescent="0.2">
      <c r="AF31998" s="679"/>
    </row>
    <row r="31999" spans="32:32" x14ac:dyDescent="0.2">
      <c r="AF31999" s="679"/>
    </row>
    <row r="32000" spans="32:32" x14ac:dyDescent="0.2">
      <c r="AF32000" s="679"/>
    </row>
    <row r="32001" spans="32:32" x14ac:dyDescent="0.2">
      <c r="AF32001" s="679"/>
    </row>
    <row r="32002" spans="32:32" x14ac:dyDescent="0.2">
      <c r="AF32002" s="679"/>
    </row>
    <row r="32003" spans="32:32" x14ac:dyDescent="0.2">
      <c r="AF32003" s="679"/>
    </row>
    <row r="32004" spans="32:32" x14ac:dyDescent="0.2">
      <c r="AF32004" s="679"/>
    </row>
    <row r="32005" spans="32:32" x14ac:dyDescent="0.2">
      <c r="AF32005" s="679"/>
    </row>
    <row r="32006" spans="32:32" x14ac:dyDescent="0.2">
      <c r="AF32006" s="679"/>
    </row>
    <row r="32007" spans="32:32" x14ac:dyDescent="0.2">
      <c r="AF32007" s="679"/>
    </row>
    <row r="32008" spans="32:32" x14ac:dyDescent="0.2">
      <c r="AF32008" s="679"/>
    </row>
    <row r="32009" spans="32:32" x14ac:dyDescent="0.2">
      <c r="AF32009" s="679"/>
    </row>
    <row r="32010" spans="32:32" x14ac:dyDescent="0.2">
      <c r="AF32010" s="679"/>
    </row>
    <row r="32011" spans="32:32" x14ac:dyDescent="0.2">
      <c r="AF32011" s="679"/>
    </row>
    <row r="32012" spans="32:32" x14ac:dyDescent="0.2">
      <c r="AF32012" s="679"/>
    </row>
    <row r="32013" spans="32:32" x14ac:dyDescent="0.2">
      <c r="AF32013" s="679"/>
    </row>
    <row r="32014" spans="32:32" x14ac:dyDescent="0.2">
      <c r="AF32014" s="679"/>
    </row>
    <row r="32015" spans="32:32" x14ac:dyDescent="0.2">
      <c r="AF32015" s="679"/>
    </row>
    <row r="32016" spans="32:32" x14ac:dyDescent="0.2">
      <c r="AF32016" s="679"/>
    </row>
    <row r="32017" spans="32:32" x14ac:dyDescent="0.2">
      <c r="AF32017" s="679"/>
    </row>
    <row r="32018" spans="32:32" x14ac:dyDescent="0.2">
      <c r="AF32018" s="679"/>
    </row>
    <row r="32019" spans="32:32" x14ac:dyDescent="0.2">
      <c r="AF32019" s="679"/>
    </row>
    <row r="32020" spans="32:32" x14ac:dyDescent="0.2">
      <c r="AF32020" s="679"/>
    </row>
    <row r="32021" spans="32:32" x14ac:dyDescent="0.2">
      <c r="AF32021" s="679"/>
    </row>
    <row r="32022" spans="32:32" x14ac:dyDescent="0.2">
      <c r="AF32022" s="679"/>
    </row>
    <row r="32023" spans="32:32" x14ac:dyDescent="0.2">
      <c r="AF32023" s="679"/>
    </row>
    <row r="32024" spans="32:32" x14ac:dyDescent="0.2">
      <c r="AF32024" s="679"/>
    </row>
    <row r="32025" spans="32:32" x14ac:dyDescent="0.2">
      <c r="AF32025" s="679"/>
    </row>
    <row r="32026" spans="32:32" x14ac:dyDescent="0.2">
      <c r="AF32026" s="679"/>
    </row>
    <row r="32027" spans="32:32" x14ac:dyDescent="0.2">
      <c r="AF32027" s="679"/>
    </row>
    <row r="32028" spans="32:32" x14ac:dyDescent="0.2">
      <c r="AF32028" s="679"/>
    </row>
    <row r="32029" spans="32:32" x14ac:dyDescent="0.2">
      <c r="AF32029" s="679"/>
    </row>
    <row r="32030" spans="32:32" x14ac:dyDescent="0.2">
      <c r="AF32030" s="679"/>
    </row>
    <row r="32031" spans="32:32" x14ac:dyDescent="0.2">
      <c r="AF32031" s="679"/>
    </row>
    <row r="32032" spans="32:32" x14ac:dyDescent="0.2">
      <c r="AF32032" s="679"/>
    </row>
    <row r="32033" spans="32:32" x14ac:dyDescent="0.2">
      <c r="AF32033" s="679"/>
    </row>
    <row r="32034" spans="32:32" x14ac:dyDescent="0.2">
      <c r="AF32034" s="679"/>
    </row>
    <row r="32035" spans="32:32" x14ac:dyDescent="0.2">
      <c r="AF32035" s="679"/>
    </row>
    <row r="32036" spans="32:32" x14ac:dyDescent="0.2">
      <c r="AF32036" s="679"/>
    </row>
    <row r="32037" spans="32:32" x14ac:dyDescent="0.2">
      <c r="AF32037" s="679"/>
    </row>
    <row r="32038" spans="32:32" x14ac:dyDescent="0.2">
      <c r="AF32038" s="679"/>
    </row>
    <row r="32039" spans="32:32" x14ac:dyDescent="0.2">
      <c r="AF32039" s="679"/>
    </row>
    <row r="32040" spans="32:32" x14ac:dyDescent="0.2">
      <c r="AF32040" s="679"/>
    </row>
    <row r="32041" spans="32:32" x14ac:dyDescent="0.2">
      <c r="AF32041" s="679"/>
    </row>
    <row r="32042" spans="32:32" x14ac:dyDescent="0.2">
      <c r="AF32042" s="679"/>
    </row>
    <row r="32043" spans="32:32" x14ac:dyDescent="0.2">
      <c r="AF32043" s="679"/>
    </row>
    <row r="32044" spans="32:32" x14ac:dyDescent="0.2">
      <c r="AF32044" s="679"/>
    </row>
    <row r="32045" spans="32:32" x14ac:dyDescent="0.2">
      <c r="AF32045" s="679"/>
    </row>
    <row r="32046" spans="32:32" x14ac:dyDescent="0.2">
      <c r="AF32046" s="679"/>
    </row>
    <row r="32047" spans="32:32" x14ac:dyDescent="0.2">
      <c r="AF32047" s="679"/>
    </row>
    <row r="32048" spans="32:32" x14ac:dyDescent="0.2">
      <c r="AF32048" s="679"/>
    </row>
    <row r="32049" spans="32:32" x14ac:dyDescent="0.2">
      <c r="AF32049" s="679"/>
    </row>
    <row r="32050" spans="32:32" x14ac:dyDescent="0.2">
      <c r="AF32050" s="679"/>
    </row>
    <row r="32051" spans="32:32" x14ac:dyDescent="0.2">
      <c r="AF32051" s="679"/>
    </row>
    <row r="32052" spans="32:32" x14ac:dyDescent="0.2">
      <c r="AF32052" s="679"/>
    </row>
    <row r="32053" spans="32:32" x14ac:dyDescent="0.2">
      <c r="AF32053" s="679"/>
    </row>
    <row r="32054" spans="32:32" x14ac:dyDescent="0.2">
      <c r="AF32054" s="679"/>
    </row>
    <row r="32055" spans="32:32" x14ac:dyDescent="0.2">
      <c r="AF32055" s="679"/>
    </row>
    <row r="32056" spans="32:32" x14ac:dyDescent="0.2">
      <c r="AF32056" s="679"/>
    </row>
    <row r="32057" spans="32:32" x14ac:dyDescent="0.2">
      <c r="AF32057" s="679"/>
    </row>
    <row r="32058" spans="32:32" x14ac:dyDescent="0.2">
      <c r="AF32058" s="679"/>
    </row>
    <row r="32059" spans="32:32" x14ac:dyDescent="0.2">
      <c r="AF32059" s="679"/>
    </row>
    <row r="32060" spans="32:32" x14ac:dyDescent="0.2">
      <c r="AF32060" s="679"/>
    </row>
    <row r="32061" spans="32:32" x14ac:dyDescent="0.2">
      <c r="AF32061" s="679"/>
    </row>
    <row r="32062" spans="32:32" x14ac:dyDescent="0.2">
      <c r="AF32062" s="679"/>
    </row>
    <row r="32063" spans="32:32" x14ac:dyDescent="0.2">
      <c r="AF32063" s="679"/>
    </row>
    <row r="32064" spans="32:32" x14ac:dyDescent="0.2">
      <c r="AF32064" s="679"/>
    </row>
    <row r="32065" spans="32:32" x14ac:dyDescent="0.2">
      <c r="AF32065" s="679"/>
    </row>
    <row r="32066" spans="32:32" x14ac:dyDescent="0.2">
      <c r="AF32066" s="679"/>
    </row>
    <row r="32067" spans="32:32" x14ac:dyDescent="0.2">
      <c r="AF32067" s="679"/>
    </row>
    <row r="32068" spans="32:32" x14ac:dyDescent="0.2">
      <c r="AF32068" s="679"/>
    </row>
    <row r="32069" spans="32:32" x14ac:dyDescent="0.2">
      <c r="AF32069" s="679"/>
    </row>
    <row r="32070" spans="32:32" x14ac:dyDescent="0.2">
      <c r="AF32070" s="679"/>
    </row>
    <row r="32071" spans="32:32" x14ac:dyDescent="0.2">
      <c r="AF32071" s="679"/>
    </row>
    <row r="32072" spans="32:32" x14ac:dyDescent="0.2">
      <c r="AF32072" s="679"/>
    </row>
    <row r="32073" spans="32:32" x14ac:dyDescent="0.2">
      <c r="AF32073" s="679"/>
    </row>
    <row r="32074" spans="32:32" x14ac:dyDescent="0.2">
      <c r="AF32074" s="679"/>
    </row>
    <row r="32075" spans="32:32" x14ac:dyDescent="0.2">
      <c r="AF32075" s="679"/>
    </row>
    <row r="32076" spans="32:32" x14ac:dyDescent="0.2">
      <c r="AF32076" s="679"/>
    </row>
    <row r="32077" spans="32:32" x14ac:dyDescent="0.2">
      <c r="AF32077" s="679"/>
    </row>
    <row r="32078" spans="32:32" x14ac:dyDescent="0.2">
      <c r="AF32078" s="679"/>
    </row>
    <row r="32079" spans="32:32" x14ac:dyDescent="0.2">
      <c r="AF32079" s="679"/>
    </row>
    <row r="32080" spans="32:32" x14ac:dyDescent="0.2">
      <c r="AF32080" s="679"/>
    </row>
    <row r="32081" spans="32:32" x14ac:dyDescent="0.2">
      <c r="AF32081" s="679"/>
    </row>
    <row r="32082" spans="32:32" x14ac:dyDescent="0.2">
      <c r="AF32082" s="679"/>
    </row>
    <row r="32083" spans="32:32" x14ac:dyDescent="0.2">
      <c r="AF32083" s="679"/>
    </row>
    <row r="32084" spans="32:32" x14ac:dyDescent="0.2">
      <c r="AF32084" s="679"/>
    </row>
    <row r="32085" spans="32:32" x14ac:dyDescent="0.2">
      <c r="AF32085" s="679"/>
    </row>
    <row r="32086" spans="32:32" x14ac:dyDescent="0.2">
      <c r="AF32086" s="679"/>
    </row>
    <row r="32087" spans="32:32" x14ac:dyDescent="0.2">
      <c r="AF32087" s="679"/>
    </row>
    <row r="32088" spans="32:32" x14ac:dyDescent="0.2">
      <c r="AF32088" s="679"/>
    </row>
    <row r="32089" spans="32:32" x14ac:dyDescent="0.2">
      <c r="AF32089" s="679"/>
    </row>
    <row r="32090" spans="32:32" x14ac:dyDescent="0.2">
      <c r="AF32090" s="679"/>
    </row>
    <row r="32091" spans="32:32" x14ac:dyDescent="0.2">
      <c r="AF32091" s="679"/>
    </row>
    <row r="32092" spans="32:32" x14ac:dyDescent="0.2">
      <c r="AF32092" s="679"/>
    </row>
    <row r="32093" spans="32:32" x14ac:dyDescent="0.2">
      <c r="AF32093" s="679"/>
    </row>
    <row r="32094" spans="32:32" x14ac:dyDescent="0.2">
      <c r="AF32094" s="679"/>
    </row>
    <row r="32095" spans="32:32" x14ac:dyDescent="0.2">
      <c r="AF32095" s="679"/>
    </row>
    <row r="32096" spans="32:32" x14ac:dyDescent="0.2">
      <c r="AF32096" s="679"/>
    </row>
    <row r="32097" spans="32:32" x14ac:dyDescent="0.2">
      <c r="AF32097" s="679"/>
    </row>
    <row r="32098" spans="32:32" x14ac:dyDescent="0.2">
      <c r="AF32098" s="679"/>
    </row>
    <row r="32099" spans="32:32" x14ac:dyDescent="0.2">
      <c r="AF32099" s="679"/>
    </row>
    <row r="32100" spans="32:32" x14ac:dyDescent="0.2">
      <c r="AF32100" s="679"/>
    </row>
    <row r="32101" spans="32:32" x14ac:dyDescent="0.2">
      <c r="AF32101" s="679"/>
    </row>
    <row r="32102" spans="32:32" x14ac:dyDescent="0.2">
      <c r="AF32102" s="679"/>
    </row>
    <row r="32103" spans="32:32" x14ac:dyDescent="0.2">
      <c r="AF32103" s="679"/>
    </row>
    <row r="32104" spans="32:32" x14ac:dyDescent="0.2">
      <c r="AF32104" s="679"/>
    </row>
    <row r="32105" spans="32:32" x14ac:dyDescent="0.2">
      <c r="AF32105" s="679"/>
    </row>
    <row r="32106" spans="32:32" x14ac:dyDescent="0.2">
      <c r="AF32106" s="679"/>
    </row>
    <row r="32107" spans="32:32" x14ac:dyDescent="0.2">
      <c r="AF32107" s="679"/>
    </row>
    <row r="32108" spans="32:32" x14ac:dyDescent="0.2">
      <c r="AF32108" s="679"/>
    </row>
    <row r="32109" spans="32:32" x14ac:dyDescent="0.2">
      <c r="AF32109" s="679"/>
    </row>
    <row r="32110" spans="32:32" x14ac:dyDescent="0.2">
      <c r="AF32110" s="679"/>
    </row>
    <row r="32111" spans="32:32" x14ac:dyDescent="0.2">
      <c r="AF32111" s="679"/>
    </row>
    <row r="32112" spans="32:32" x14ac:dyDescent="0.2">
      <c r="AF32112" s="679"/>
    </row>
    <row r="32113" spans="32:32" x14ac:dyDescent="0.2">
      <c r="AF32113" s="679"/>
    </row>
    <row r="32114" spans="32:32" x14ac:dyDescent="0.2">
      <c r="AF32114" s="679"/>
    </row>
    <row r="32115" spans="32:32" x14ac:dyDescent="0.2">
      <c r="AF32115" s="679"/>
    </row>
    <row r="32116" spans="32:32" x14ac:dyDescent="0.2">
      <c r="AF32116" s="679"/>
    </row>
    <row r="32117" spans="32:32" x14ac:dyDescent="0.2">
      <c r="AF32117" s="679"/>
    </row>
    <row r="32118" spans="32:32" x14ac:dyDescent="0.2">
      <c r="AF32118" s="679"/>
    </row>
    <row r="32119" spans="32:32" x14ac:dyDescent="0.2">
      <c r="AF32119" s="679"/>
    </row>
    <row r="32120" spans="32:32" x14ac:dyDescent="0.2">
      <c r="AF32120" s="679"/>
    </row>
    <row r="32121" spans="32:32" x14ac:dyDescent="0.2">
      <c r="AF32121" s="679"/>
    </row>
    <row r="32122" spans="32:32" x14ac:dyDescent="0.2">
      <c r="AF32122" s="679"/>
    </row>
    <row r="32123" spans="32:32" x14ac:dyDescent="0.2">
      <c r="AF32123" s="679"/>
    </row>
    <row r="32124" spans="32:32" x14ac:dyDescent="0.2">
      <c r="AF32124" s="679"/>
    </row>
    <row r="32125" spans="32:32" x14ac:dyDescent="0.2">
      <c r="AF32125" s="679"/>
    </row>
    <row r="32126" spans="32:32" x14ac:dyDescent="0.2">
      <c r="AF32126" s="679"/>
    </row>
    <row r="32127" spans="32:32" x14ac:dyDescent="0.2">
      <c r="AF32127" s="679"/>
    </row>
    <row r="32128" spans="32:32" x14ac:dyDescent="0.2">
      <c r="AF32128" s="679"/>
    </row>
    <row r="32129" spans="32:32" x14ac:dyDescent="0.2">
      <c r="AF32129" s="679"/>
    </row>
    <row r="32130" spans="32:32" x14ac:dyDescent="0.2">
      <c r="AF32130" s="679"/>
    </row>
    <row r="32131" spans="32:32" x14ac:dyDescent="0.2">
      <c r="AF32131" s="679"/>
    </row>
    <row r="32132" spans="32:32" x14ac:dyDescent="0.2">
      <c r="AF32132" s="679"/>
    </row>
    <row r="32133" spans="32:32" x14ac:dyDescent="0.2">
      <c r="AF32133" s="679"/>
    </row>
    <row r="32134" spans="32:32" x14ac:dyDescent="0.2">
      <c r="AF32134" s="679"/>
    </row>
    <row r="32135" spans="32:32" x14ac:dyDescent="0.2">
      <c r="AF32135" s="679"/>
    </row>
    <row r="32136" spans="32:32" x14ac:dyDescent="0.2">
      <c r="AF32136" s="679"/>
    </row>
    <row r="32137" spans="32:32" x14ac:dyDescent="0.2">
      <c r="AF32137" s="679"/>
    </row>
    <row r="32138" spans="32:32" x14ac:dyDescent="0.2">
      <c r="AF32138" s="679"/>
    </row>
    <row r="32139" spans="32:32" x14ac:dyDescent="0.2">
      <c r="AF32139" s="679"/>
    </row>
    <row r="32140" spans="32:32" x14ac:dyDescent="0.2">
      <c r="AF32140" s="679"/>
    </row>
    <row r="32141" spans="32:32" x14ac:dyDescent="0.2">
      <c r="AF32141" s="679"/>
    </row>
    <row r="32142" spans="32:32" x14ac:dyDescent="0.2">
      <c r="AF32142" s="679"/>
    </row>
    <row r="32143" spans="32:32" x14ac:dyDescent="0.2">
      <c r="AF32143" s="679"/>
    </row>
    <row r="32144" spans="32:32" x14ac:dyDescent="0.2">
      <c r="AF32144" s="679"/>
    </row>
    <row r="32145" spans="32:32" x14ac:dyDescent="0.2">
      <c r="AF32145" s="679"/>
    </row>
    <row r="32146" spans="32:32" x14ac:dyDescent="0.2">
      <c r="AF32146" s="679"/>
    </row>
    <row r="32147" spans="32:32" x14ac:dyDescent="0.2">
      <c r="AF32147" s="679"/>
    </row>
    <row r="32148" spans="32:32" x14ac:dyDescent="0.2">
      <c r="AF32148" s="679"/>
    </row>
    <row r="32149" spans="32:32" x14ac:dyDescent="0.2">
      <c r="AF32149" s="679"/>
    </row>
    <row r="32150" spans="32:32" x14ac:dyDescent="0.2">
      <c r="AF32150" s="679"/>
    </row>
    <row r="32151" spans="32:32" x14ac:dyDescent="0.2">
      <c r="AF32151" s="679"/>
    </row>
    <row r="32152" spans="32:32" x14ac:dyDescent="0.2">
      <c r="AF32152" s="679"/>
    </row>
    <row r="32153" spans="32:32" x14ac:dyDescent="0.2">
      <c r="AF32153" s="679"/>
    </row>
    <row r="32154" spans="32:32" x14ac:dyDescent="0.2">
      <c r="AF32154" s="679"/>
    </row>
    <row r="32155" spans="32:32" x14ac:dyDescent="0.2">
      <c r="AF32155" s="679"/>
    </row>
    <row r="32156" spans="32:32" x14ac:dyDescent="0.2">
      <c r="AF32156" s="679"/>
    </row>
    <row r="32157" spans="32:32" x14ac:dyDescent="0.2">
      <c r="AF32157" s="679"/>
    </row>
    <row r="32158" spans="32:32" x14ac:dyDescent="0.2">
      <c r="AF32158" s="679"/>
    </row>
    <row r="32159" spans="32:32" x14ac:dyDescent="0.2">
      <c r="AF32159" s="679"/>
    </row>
    <row r="32160" spans="32:32" x14ac:dyDescent="0.2">
      <c r="AF32160" s="679"/>
    </row>
    <row r="32161" spans="32:32" x14ac:dyDescent="0.2">
      <c r="AF32161" s="679"/>
    </row>
    <row r="32162" spans="32:32" x14ac:dyDescent="0.2">
      <c r="AF32162" s="679"/>
    </row>
    <row r="32163" spans="32:32" x14ac:dyDescent="0.2">
      <c r="AF32163" s="679"/>
    </row>
    <row r="32164" spans="32:32" x14ac:dyDescent="0.2">
      <c r="AF32164" s="679"/>
    </row>
    <row r="32165" spans="32:32" x14ac:dyDescent="0.2">
      <c r="AF32165" s="679"/>
    </row>
    <row r="32166" spans="32:32" x14ac:dyDescent="0.2">
      <c r="AF32166" s="679"/>
    </row>
    <row r="32167" spans="32:32" x14ac:dyDescent="0.2">
      <c r="AF32167" s="679"/>
    </row>
    <row r="32168" spans="32:32" x14ac:dyDescent="0.2">
      <c r="AF32168" s="679"/>
    </row>
    <row r="32169" spans="32:32" x14ac:dyDescent="0.2">
      <c r="AF32169" s="679"/>
    </row>
    <row r="32170" spans="32:32" x14ac:dyDescent="0.2">
      <c r="AF32170" s="679"/>
    </row>
    <row r="32171" spans="32:32" x14ac:dyDescent="0.2">
      <c r="AF32171" s="679"/>
    </row>
    <row r="32172" spans="32:32" x14ac:dyDescent="0.2">
      <c r="AF32172" s="679"/>
    </row>
    <row r="32173" spans="32:32" x14ac:dyDescent="0.2">
      <c r="AF32173" s="679"/>
    </row>
    <row r="32174" spans="32:32" x14ac:dyDescent="0.2">
      <c r="AF32174" s="679"/>
    </row>
    <row r="32175" spans="32:32" x14ac:dyDescent="0.2">
      <c r="AF32175" s="679"/>
    </row>
    <row r="32176" spans="32:32" x14ac:dyDescent="0.2">
      <c r="AF32176" s="679"/>
    </row>
    <row r="32177" spans="32:32" x14ac:dyDescent="0.2">
      <c r="AF32177" s="679"/>
    </row>
    <row r="32178" spans="32:32" x14ac:dyDescent="0.2">
      <c r="AF32178" s="679"/>
    </row>
    <row r="32179" spans="32:32" x14ac:dyDescent="0.2">
      <c r="AF32179" s="679"/>
    </row>
    <row r="32180" spans="32:32" x14ac:dyDescent="0.2">
      <c r="AF32180" s="679"/>
    </row>
    <row r="32181" spans="32:32" x14ac:dyDescent="0.2">
      <c r="AF32181" s="679"/>
    </row>
    <row r="32182" spans="32:32" x14ac:dyDescent="0.2">
      <c r="AF32182" s="679"/>
    </row>
    <row r="32183" spans="32:32" x14ac:dyDescent="0.2">
      <c r="AF32183" s="679"/>
    </row>
    <row r="32184" spans="32:32" x14ac:dyDescent="0.2">
      <c r="AF32184" s="679"/>
    </row>
    <row r="32185" spans="32:32" x14ac:dyDescent="0.2">
      <c r="AF32185" s="679"/>
    </row>
    <row r="32186" spans="32:32" x14ac:dyDescent="0.2">
      <c r="AF32186" s="679"/>
    </row>
    <row r="32187" spans="32:32" x14ac:dyDescent="0.2">
      <c r="AF32187" s="679"/>
    </row>
    <row r="32188" spans="32:32" x14ac:dyDescent="0.2">
      <c r="AF32188" s="679"/>
    </row>
    <row r="32189" spans="32:32" x14ac:dyDescent="0.2">
      <c r="AF32189" s="679"/>
    </row>
    <row r="32190" spans="32:32" x14ac:dyDescent="0.2">
      <c r="AF32190" s="679"/>
    </row>
    <row r="32191" spans="32:32" x14ac:dyDescent="0.2">
      <c r="AF32191" s="679"/>
    </row>
    <row r="32192" spans="32:32" x14ac:dyDescent="0.2">
      <c r="AF32192" s="679"/>
    </row>
    <row r="32193" spans="32:32" x14ac:dyDescent="0.2">
      <c r="AF32193" s="679"/>
    </row>
    <row r="32194" spans="32:32" x14ac:dyDescent="0.2">
      <c r="AF32194" s="679"/>
    </row>
    <row r="32195" spans="32:32" x14ac:dyDescent="0.2">
      <c r="AF32195" s="679"/>
    </row>
    <row r="32196" spans="32:32" x14ac:dyDescent="0.2">
      <c r="AF32196" s="679"/>
    </row>
    <row r="32197" spans="32:32" x14ac:dyDescent="0.2">
      <c r="AF32197" s="679"/>
    </row>
    <row r="32198" spans="32:32" x14ac:dyDescent="0.2">
      <c r="AF32198" s="679"/>
    </row>
    <row r="32199" spans="32:32" x14ac:dyDescent="0.2">
      <c r="AF32199" s="679"/>
    </row>
    <row r="32200" spans="32:32" x14ac:dyDescent="0.2">
      <c r="AF32200" s="679"/>
    </row>
    <row r="32201" spans="32:32" x14ac:dyDescent="0.2">
      <c r="AF32201" s="679"/>
    </row>
    <row r="32202" spans="32:32" x14ac:dyDescent="0.2">
      <c r="AF32202" s="679"/>
    </row>
    <row r="32203" spans="32:32" x14ac:dyDescent="0.2">
      <c r="AF32203" s="679"/>
    </row>
    <row r="32204" spans="32:32" x14ac:dyDescent="0.2">
      <c r="AF32204" s="679"/>
    </row>
    <row r="32205" spans="32:32" x14ac:dyDescent="0.2">
      <c r="AF32205" s="679"/>
    </row>
    <row r="32206" spans="32:32" x14ac:dyDescent="0.2">
      <c r="AF32206" s="679"/>
    </row>
    <row r="32207" spans="32:32" x14ac:dyDescent="0.2">
      <c r="AF32207" s="679"/>
    </row>
    <row r="32208" spans="32:32" x14ac:dyDescent="0.2">
      <c r="AF32208" s="679"/>
    </row>
    <row r="32209" spans="32:32" x14ac:dyDescent="0.2">
      <c r="AF32209" s="679"/>
    </row>
    <row r="32210" spans="32:32" x14ac:dyDescent="0.2">
      <c r="AF32210" s="679"/>
    </row>
    <row r="32211" spans="32:32" x14ac:dyDescent="0.2">
      <c r="AF32211" s="679"/>
    </row>
    <row r="32212" spans="32:32" x14ac:dyDescent="0.2">
      <c r="AF32212" s="679"/>
    </row>
    <row r="32213" spans="32:32" x14ac:dyDescent="0.2">
      <c r="AF32213" s="679"/>
    </row>
    <row r="32214" spans="32:32" x14ac:dyDescent="0.2">
      <c r="AF32214" s="679"/>
    </row>
    <row r="32215" spans="32:32" x14ac:dyDescent="0.2">
      <c r="AF32215" s="679"/>
    </row>
    <row r="32216" spans="32:32" x14ac:dyDescent="0.2">
      <c r="AF32216" s="679"/>
    </row>
    <row r="32217" spans="32:32" x14ac:dyDescent="0.2">
      <c r="AF32217" s="679"/>
    </row>
    <row r="32218" spans="32:32" x14ac:dyDescent="0.2">
      <c r="AF32218" s="679"/>
    </row>
    <row r="32219" spans="32:32" x14ac:dyDescent="0.2">
      <c r="AF32219" s="679"/>
    </row>
    <row r="32220" spans="32:32" x14ac:dyDescent="0.2">
      <c r="AF32220" s="679"/>
    </row>
    <row r="32221" spans="32:32" x14ac:dyDescent="0.2">
      <c r="AF32221" s="679"/>
    </row>
    <row r="32222" spans="32:32" x14ac:dyDescent="0.2">
      <c r="AF32222" s="679"/>
    </row>
    <row r="32223" spans="32:32" x14ac:dyDescent="0.2">
      <c r="AF32223" s="679"/>
    </row>
    <row r="32224" spans="32:32" x14ac:dyDescent="0.2">
      <c r="AF32224" s="679"/>
    </row>
    <row r="32225" spans="32:32" x14ac:dyDescent="0.2">
      <c r="AF32225" s="679"/>
    </row>
    <row r="32226" spans="32:32" x14ac:dyDescent="0.2">
      <c r="AF32226" s="679"/>
    </row>
    <row r="32227" spans="32:32" x14ac:dyDescent="0.2">
      <c r="AF32227" s="679"/>
    </row>
    <row r="32228" spans="32:32" x14ac:dyDescent="0.2">
      <c r="AF32228" s="679"/>
    </row>
    <row r="32229" spans="32:32" x14ac:dyDescent="0.2">
      <c r="AF32229" s="679"/>
    </row>
    <row r="32230" spans="32:32" x14ac:dyDescent="0.2">
      <c r="AF32230" s="679"/>
    </row>
    <row r="32231" spans="32:32" x14ac:dyDescent="0.2">
      <c r="AF32231" s="679"/>
    </row>
    <row r="32232" spans="32:32" x14ac:dyDescent="0.2">
      <c r="AF32232" s="679"/>
    </row>
    <row r="32233" spans="32:32" x14ac:dyDescent="0.2">
      <c r="AF32233" s="679"/>
    </row>
    <row r="32234" spans="32:32" x14ac:dyDescent="0.2">
      <c r="AF32234" s="679"/>
    </row>
    <row r="32235" spans="32:32" x14ac:dyDescent="0.2">
      <c r="AF32235" s="679"/>
    </row>
    <row r="32236" spans="32:32" x14ac:dyDescent="0.2">
      <c r="AF32236" s="679"/>
    </row>
    <row r="32237" spans="32:32" x14ac:dyDescent="0.2">
      <c r="AF32237" s="679"/>
    </row>
    <row r="32238" spans="32:32" x14ac:dyDescent="0.2">
      <c r="AF32238" s="679"/>
    </row>
    <row r="32239" spans="32:32" x14ac:dyDescent="0.2">
      <c r="AF32239" s="679"/>
    </row>
    <row r="32240" spans="32:32" x14ac:dyDescent="0.2">
      <c r="AF32240" s="679"/>
    </row>
    <row r="32241" spans="32:32" x14ac:dyDescent="0.2">
      <c r="AF32241" s="679"/>
    </row>
    <row r="32242" spans="32:32" x14ac:dyDescent="0.2">
      <c r="AF32242" s="679"/>
    </row>
    <row r="32243" spans="32:32" x14ac:dyDescent="0.2">
      <c r="AF32243" s="679"/>
    </row>
    <row r="32244" spans="32:32" x14ac:dyDescent="0.2">
      <c r="AF32244" s="679"/>
    </row>
    <row r="32245" spans="32:32" x14ac:dyDescent="0.2">
      <c r="AF32245" s="679"/>
    </row>
    <row r="32246" spans="32:32" x14ac:dyDescent="0.2">
      <c r="AF32246" s="679"/>
    </row>
    <row r="32247" spans="32:32" x14ac:dyDescent="0.2">
      <c r="AF32247" s="679"/>
    </row>
    <row r="32248" spans="32:32" x14ac:dyDescent="0.2">
      <c r="AF32248" s="679"/>
    </row>
    <row r="32249" spans="32:32" x14ac:dyDescent="0.2">
      <c r="AF32249" s="679"/>
    </row>
    <row r="32250" spans="32:32" x14ac:dyDescent="0.2">
      <c r="AF32250" s="679"/>
    </row>
    <row r="32251" spans="32:32" x14ac:dyDescent="0.2">
      <c r="AF32251" s="679"/>
    </row>
    <row r="32252" spans="32:32" x14ac:dyDescent="0.2">
      <c r="AF32252" s="679"/>
    </row>
    <row r="32253" spans="32:32" x14ac:dyDescent="0.2">
      <c r="AF32253" s="679"/>
    </row>
    <row r="32254" spans="32:32" x14ac:dyDescent="0.2">
      <c r="AF32254" s="679"/>
    </row>
    <row r="32255" spans="32:32" x14ac:dyDescent="0.2">
      <c r="AF32255" s="679"/>
    </row>
    <row r="32256" spans="32:32" x14ac:dyDescent="0.2">
      <c r="AF32256" s="679"/>
    </row>
    <row r="32257" spans="32:32" x14ac:dyDescent="0.2">
      <c r="AF32257" s="679"/>
    </row>
    <row r="32258" spans="32:32" x14ac:dyDescent="0.2">
      <c r="AF32258" s="679"/>
    </row>
    <row r="32259" spans="32:32" x14ac:dyDescent="0.2">
      <c r="AF32259" s="679"/>
    </row>
    <row r="32260" spans="32:32" x14ac:dyDescent="0.2">
      <c r="AF32260" s="679"/>
    </row>
    <row r="32261" spans="32:32" x14ac:dyDescent="0.2">
      <c r="AF32261" s="679"/>
    </row>
    <row r="32262" spans="32:32" x14ac:dyDescent="0.2">
      <c r="AF32262" s="679"/>
    </row>
    <row r="32263" spans="32:32" x14ac:dyDescent="0.2">
      <c r="AF32263" s="679"/>
    </row>
    <row r="32264" spans="32:32" x14ac:dyDescent="0.2">
      <c r="AF32264" s="679"/>
    </row>
    <row r="32265" spans="32:32" x14ac:dyDescent="0.2">
      <c r="AF32265" s="679"/>
    </row>
    <row r="32266" spans="32:32" x14ac:dyDescent="0.2">
      <c r="AF32266" s="679"/>
    </row>
    <row r="32267" spans="32:32" x14ac:dyDescent="0.2">
      <c r="AF32267" s="679"/>
    </row>
    <row r="32268" spans="32:32" x14ac:dyDescent="0.2">
      <c r="AF32268" s="679"/>
    </row>
    <row r="32269" spans="32:32" x14ac:dyDescent="0.2">
      <c r="AF32269" s="679"/>
    </row>
    <row r="32270" spans="32:32" x14ac:dyDescent="0.2">
      <c r="AF32270" s="679"/>
    </row>
    <row r="32271" spans="32:32" x14ac:dyDescent="0.2">
      <c r="AF32271" s="679"/>
    </row>
    <row r="32272" spans="32:32" x14ac:dyDescent="0.2">
      <c r="AF32272" s="679"/>
    </row>
    <row r="32273" spans="32:32" x14ac:dyDescent="0.2">
      <c r="AF32273" s="679"/>
    </row>
    <row r="32274" spans="32:32" x14ac:dyDescent="0.2">
      <c r="AF32274" s="679"/>
    </row>
    <row r="32275" spans="32:32" x14ac:dyDescent="0.2">
      <c r="AF32275" s="679"/>
    </row>
    <row r="32276" spans="32:32" x14ac:dyDescent="0.2">
      <c r="AF32276" s="679"/>
    </row>
    <row r="32277" spans="32:32" x14ac:dyDescent="0.2">
      <c r="AF32277" s="679"/>
    </row>
    <row r="32278" spans="32:32" x14ac:dyDescent="0.2">
      <c r="AF32278" s="679"/>
    </row>
    <row r="32279" spans="32:32" x14ac:dyDescent="0.2">
      <c r="AF32279" s="679"/>
    </row>
    <row r="32280" spans="32:32" x14ac:dyDescent="0.2">
      <c r="AF32280" s="679"/>
    </row>
    <row r="32281" spans="32:32" x14ac:dyDescent="0.2">
      <c r="AF32281" s="679"/>
    </row>
    <row r="32282" spans="32:32" x14ac:dyDescent="0.2">
      <c r="AF32282" s="679"/>
    </row>
    <row r="32283" spans="32:32" x14ac:dyDescent="0.2">
      <c r="AF32283" s="679"/>
    </row>
    <row r="32284" spans="32:32" x14ac:dyDescent="0.2">
      <c r="AF32284" s="679"/>
    </row>
    <row r="32285" spans="32:32" x14ac:dyDescent="0.2">
      <c r="AF32285" s="679"/>
    </row>
    <row r="32286" spans="32:32" x14ac:dyDescent="0.2">
      <c r="AF32286" s="679"/>
    </row>
    <row r="32287" spans="32:32" x14ac:dyDescent="0.2">
      <c r="AF32287" s="679"/>
    </row>
    <row r="32288" spans="32:32" x14ac:dyDescent="0.2">
      <c r="AF32288" s="679"/>
    </row>
    <row r="32289" spans="32:32" x14ac:dyDescent="0.2">
      <c r="AF32289" s="679"/>
    </row>
    <row r="32290" spans="32:32" x14ac:dyDescent="0.2">
      <c r="AF32290" s="679"/>
    </row>
    <row r="32291" spans="32:32" x14ac:dyDescent="0.2">
      <c r="AF32291" s="679"/>
    </row>
    <row r="32292" spans="32:32" x14ac:dyDescent="0.2">
      <c r="AF32292" s="679"/>
    </row>
    <row r="32293" spans="32:32" x14ac:dyDescent="0.2">
      <c r="AF32293" s="679"/>
    </row>
    <row r="32294" spans="32:32" x14ac:dyDescent="0.2">
      <c r="AF32294" s="679"/>
    </row>
    <row r="32295" spans="32:32" x14ac:dyDescent="0.2">
      <c r="AF32295" s="679"/>
    </row>
    <row r="32296" spans="32:32" x14ac:dyDescent="0.2">
      <c r="AF32296" s="679"/>
    </row>
    <row r="32297" spans="32:32" x14ac:dyDescent="0.2">
      <c r="AF32297" s="679"/>
    </row>
    <row r="32298" spans="32:32" x14ac:dyDescent="0.2">
      <c r="AF32298" s="679"/>
    </row>
    <row r="32299" spans="32:32" x14ac:dyDescent="0.2">
      <c r="AF32299" s="679"/>
    </row>
    <row r="32300" spans="32:32" x14ac:dyDescent="0.2">
      <c r="AF32300" s="679"/>
    </row>
    <row r="32301" spans="32:32" x14ac:dyDescent="0.2">
      <c r="AF32301" s="679"/>
    </row>
    <row r="32302" spans="32:32" x14ac:dyDescent="0.2">
      <c r="AF32302" s="679"/>
    </row>
    <row r="32303" spans="32:32" x14ac:dyDescent="0.2">
      <c r="AF32303" s="679"/>
    </row>
    <row r="32304" spans="32:32" x14ac:dyDescent="0.2">
      <c r="AF32304" s="679"/>
    </row>
    <row r="32305" spans="32:32" x14ac:dyDescent="0.2">
      <c r="AF32305" s="679"/>
    </row>
    <row r="32306" spans="32:32" x14ac:dyDescent="0.2">
      <c r="AF32306" s="679"/>
    </row>
    <row r="32307" spans="32:32" x14ac:dyDescent="0.2">
      <c r="AF32307" s="679"/>
    </row>
    <row r="32308" spans="32:32" x14ac:dyDescent="0.2">
      <c r="AF32308" s="679"/>
    </row>
    <row r="32309" spans="32:32" x14ac:dyDescent="0.2">
      <c r="AF32309" s="679"/>
    </row>
    <row r="32310" spans="32:32" x14ac:dyDescent="0.2">
      <c r="AF32310" s="679"/>
    </row>
    <row r="32311" spans="32:32" x14ac:dyDescent="0.2">
      <c r="AF32311" s="679"/>
    </row>
    <row r="32312" spans="32:32" x14ac:dyDescent="0.2">
      <c r="AF32312" s="679"/>
    </row>
    <row r="32313" spans="32:32" x14ac:dyDescent="0.2">
      <c r="AF32313" s="679"/>
    </row>
    <row r="32314" spans="32:32" x14ac:dyDescent="0.2">
      <c r="AF32314" s="679"/>
    </row>
    <row r="32315" spans="32:32" x14ac:dyDescent="0.2">
      <c r="AF32315" s="679"/>
    </row>
    <row r="32316" spans="32:32" x14ac:dyDescent="0.2">
      <c r="AF32316" s="679"/>
    </row>
    <row r="32317" spans="32:32" x14ac:dyDescent="0.2">
      <c r="AF32317" s="679"/>
    </row>
    <row r="32318" spans="32:32" x14ac:dyDescent="0.2">
      <c r="AF32318" s="679"/>
    </row>
    <row r="32319" spans="32:32" x14ac:dyDescent="0.2">
      <c r="AF32319" s="679"/>
    </row>
    <row r="32320" spans="32:32" x14ac:dyDescent="0.2">
      <c r="AF32320" s="679"/>
    </row>
    <row r="32321" spans="32:32" x14ac:dyDescent="0.2">
      <c r="AF32321" s="679"/>
    </row>
    <row r="32322" spans="32:32" x14ac:dyDescent="0.2">
      <c r="AF32322" s="679"/>
    </row>
    <row r="32323" spans="32:32" x14ac:dyDescent="0.2">
      <c r="AF32323" s="679"/>
    </row>
    <row r="32324" spans="32:32" x14ac:dyDescent="0.2">
      <c r="AF32324" s="679"/>
    </row>
    <row r="32325" spans="32:32" x14ac:dyDescent="0.2">
      <c r="AF32325" s="679"/>
    </row>
    <row r="32326" spans="32:32" x14ac:dyDescent="0.2">
      <c r="AF32326" s="679"/>
    </row>
    <row r="32327" spans="32:32" x14ac:dyDescent="0.2">
      <c r="AF32327" s="679"/>
    </row>
    <row r="32328" spans="32:32" x14ac:dyDescent="0.2">
      <c r="AF32328" s="679"/>
    </row>
    <row r="32329" spans="32:32" x14ac:dyDescent="0.2">
      <c r="AF32329" s="679"/>
    </row>
    <row r="32330" spans="32:32" x14ac:dyDescent="0.2">
      <c r="AF32330" s="679"/>
    </row>
    <row r="32331" spans="32:32" x14ac:dyDescent="0.2">
      <c r="AF32331" s="679"/>
    </row>
    <row r="32332" spans="32:32" x14ac:dyDescent="0.2">
      <c r="AF32332" s="679"/>
    </row>
    <row r="32333" spans="32:32" x14ac:dyDescent="0.2">
      <c r="AF32333" s="679"/>
    </row>
    <row r="32334" spans="32:32" x14ac:dyDescent="0.2">
      <c r="AF32334" s="679"/>
    </row>
    <row r="32335" spans="32:32" x14ac:dyDescent="0.2">
      <c r="AF32335" s="679"/>
    </row>
    <row r="32336" spans="32:32" x14ac:dyDescent="0.2">
      <c r="AF32336" s="679"/>
    </row>
    <row r="32337" spans="32:32" x14ac:dyDescent="0.2">
      <c r="AF32337" s="679"/>
    </row>
    <row r="32338" spans="32:32" x14ac:dyDescent="0.2">
      <c r="AF32338" s="679"/>
    </row>
    <row r="32339" spans="32:32" x14ac:dyDescent="0.2">
      <c r="AF32339" s="679"/>
    </row>
    <row r="32340" spans="32:32" x14ac:dyDescent="0.2">
      <c r="AF32340" s="679"/>
    </row>
    <row r="32341" spans="32:32" x14ac:dyDescent="0.2">
      <c r="AF32341" s="679"/>
    </row>
    <row r="32342" spans="32:32" x14ac:dyDescent="0.2">
      <c r="AF32342" s="679"/>
    </row>
    <row r="32343" spans="32:32" x14ac:dyDescent="0.2">
      <c r="AF32343" s="679"/>
    </row>
    <row r="32344" spans="32:32" x14ac:dyDescent="0.2">
      <c r="AF32344" s="679"/>
    </row>
    <row r="32345" spans="32:32" x14ac:dyDescent="0.2">
      <c r="AF32345" s="679"/>
    </row>
    <row r="32346" spans="32:32" x14ac:dyDescent="0.2">
      <c r="AF32346" s="679"/>
    </row>
    <row r="32347" spans="32:32" x14ac:dyDescent="0.2">
      <c r="AF32347" s="679"/>
    </row>
    <row r="32348" spans="32:32" x14ac:dyDescent="0.2">
      <c r="AF32348" s="679"/>
    </row>
    <row r="32349" spans="32:32" x14ac:dyDescent="0.2">
      <c r="AF32349" s="679"/>
    </row>
    <row r="32350" spans="32:32" x14ac:dyDescent="0.2">
      <c r="AF32350" s="679"/>
    </row>
    <row r="32351" spans="32:32" x14ac:dyDescent="0.2">
      <c r="AF32351" s="679"/>
    </row>
    <row r="32352" spans="32:32" x14ac:dyDescent="0.2">
      <c r="AF32352" s="679"/>
    </row>
    <row r="32353" spans="32:32" x14ac:dyDescent="0.2">
      <c r="AF32353" s="679"/>
    </row>
    <row r="32354" spans="32:32" x14ac:dyDescent="0.2">
      <c r="AF32354" s="679"/>
    </row>
    <row r="32355" spans="32:32" x14ac:dyDescent="0.2">
      <c r="AF32355" s="679"/>
    </row>
    <row r="32356" spans="32:32" x14ac:dyDescent="0.2">
      <c r="AF32356" s="679"/>
    </row>
    <row r="32357" spans="32:32" x14ac:dyDescent="0.2">
      <c r="AF32357" s="679"/>
    </row>
    <row r="32358" spans="32:32" x14ac:dyDescent="0.2">
      <c r="AF32358" s="679"/>
    </row>
    <row r="32359" spans="32:32" x14ac:dyDescent="0.2">
      <c r="AF32359" s="679"/>
    </row>
    <row r="32360" spans="32:32" x14ac:dyDescent="0.2">
      <c r="AF32360" s="679"/>
    </row>
    <row r="32361" spans="32:32" x14ac:dyDescent="0.2">
      <c r="AF32361" s="679"/>
    </row>
    <row r="32362" spans="32:32" x14ac:dyDescent="0.2">
      <c r="AF32362" s="679"/>
    </row>
    <row r="32363" spans="32:32" x14ac:dyDescent="0.2">
      <c r="AF32363" s="679"/>
    </row>
    <row r="32364" spans="32:32" x14ac:dyDescent="0.2">
      <c r="AF32364" s="679"/>
    </row>
    <row r="32365" spans="32:32" x14ac:dyDescent="0.2">
      <c r="AF32365" s="679"/>
    </row>
    <row r="32366" spans="32:32" x14ac:dyDescent="0.2">
      <c r="AF32366" s="679"/>
    </row>
    <row r="32367" spans="32:32" x14ac:dyDescent="0.2">
      <c r="AF32367" s="679"/>
    </row>
    <row r="32368" spans="32:32" x14ac:dyDescent="0.2">
      <c r="AF32368" s="679"/>
    </row>
    <row r="32369" spans="32:32" x14ac:dyDescent="0.2">
      <c r="AF32369" s="679"/>
    </row>
    <row r="32370" spans="32:32" x14ac:dyDescent="0.2">
      <c r="AF32370" s="679"/>
    </row>
    <row r="32371" spans="32:32" x14ac:dyDescent="0.2">
      <c r="AF32371" s="679"/>
    </row>
    <row r="32372" spans="32:32" x14ac:dyDescent="0.2">
      <c r="AF32372" s="679"/>
    </row>
    <row r="32373" spans="32:32" x14ac:dyDescent="0.2">
      <c r="AF32373" s="679"/>
    </row>
    <row r="32374" spans="32:32" x14ac:dyDescent="0.2">
      <c r="AF32374" s="679"/>
    </row>
    <row r="32375" spans="32:32" x14ac:dyDescent="0.2">
      <c r="AF32375" s="679"/>
    </row>
    <row r="32376" spans="32:32" x14ac:dyDescent="0.2">
      <c r="AF32376" s="679"/>
    </row>
    <row r="32377" spans="32:32" x14ac:dyDescent="0.2">
      <c r="AF32377" s="679"/>
    </row>
    <row r="32378" spans="32:32" x14ac:dyDescent="0.2">
      <c r="AF32378" s="679"/>
    </row>
    <row r="32379" spans="32:32" x14ac:dyDescent="0.2">
      <c r="AF32379" s="679"/>
    </row>
    <row r="32380" spans="32:32" x14ac:dyDescent="0.2">
      <c r="AF32380" s="679"/>
    </row>
    <row r="32381" spans="32:32" x14ac:dyDescent="0.2">
      <c r="AF32381" s="679"/>
    </row>
    <row r="32382" spans="32:32" x14ac:dyDescent="0.2">
      <c r="AF32382" s="679"/>
    </row>
    <row r="32383" spans="32:32" x14ac:dyDescent="0.2">
      <c r="AF32383" s="679"/>
    </row>
    <row r="32384" spans="32:32" x14ac:dyDescent="0.2">
      <c r="AF32384" s="679"/>
    </row>
    <row r="32385" spans="32:32" x14ac:dyDescent="0.2">
      <c r="AF32385" s="679"/>
    </row>
    <row r="32386" spans="32:32" x14ac:dyDescent="0.2">
      <c r="AF32386" s="679"/>
    </row>
    <row r="32387" spans="32:32" x14ac:dyDescent="0.2">
      <c r="AF32387" s="679"/>
    </row>
    <row r="32388" spans="32:32" x14ac:dyDescent="0.2">
      <c r="AF32388" s="679"/>
    </row>
    <row r="32389" spans="32:32" x14ac:dyDescent="0.2">
      <c r="AF32389" s="679"/>
    </row>
    <row r="32390" spans="32:32" x14ac:dyDescent="0.2">
      <c r="AF32390" s="679"/>
    </row>
    <row r="32391" spans="32:32" x14ac:dyDescent="0.2">
      <c r="AF32391" s="679"/>
    </row>
    <row r="32392" spans="32:32" x14ac:dyDescent="0.2">
      <c r="AF32392" s="679"/>
    </row>
    <row r="32393" spans="32:32" x14ac:dyDescent="0.2">
      <c r="AF32393" s="679"/>
    </row>
    <row r="32394" spans="32:32" x14ac:dyDescent="0.2">
      <c r="AF32394" s="679"/>
    </row>
    <row r="32395" spans="32:32" x14ac:dyDescent="0.2">
      <c r="AF32395" s="679"/>
    </row>
    <row r="32396" spans="32:32" x14ac:dyDescent="0.2">
      <c r="AF32396" s="679"/>
    </row>
    <row r="32397" spans="32:32" x14ac:dyDescent="0.2">
      <c r="AF32397" s="679"/>
    </row>
    <row r="32398" spans="32:32" x14ac:dyDescent="0.2">
      <c r="AF32398" s="679"/>
    </row>
    <row r="32399" spans="32:32" x14ac:dyDescent="0.2">
      <c r="AF32399" s="679"/>
    </row>
    <row r="32400" spans="32:32" x14ac:dyDescent="0.2">
      <c r="AF32400" s="679"/>
    </row>
    <row r="32401" spans="32:32" x14ac:dyDescent="0.2">
      <c r="AF32401" s="679"/>
    </row>
    <row r="32402" spans="32:32" x14ac:dyDescent="0.2">
      <c r="AF32402" s="679"/>
    </row>
    <row r="32403" spans="32:32" x14ac:dyDescent="0.2">
      <c r="AF32403" s="679"/>
    </row>
    <row r="32404" spans="32:32" x14ac:dyDescent="0.2">
      <c r="AF32404" s="679"/>
    </row>
    <row r="32405" spans="32:32" x14ac:dyDescent="0.2">
      <c r="AF32405" s="679"/>
    </row>
    <row r="32406" spans="32:32" x14ac:dyDescent="0.2">
      <c r="AF32406" s="679"/>
    </row>
    <row r="32407" spans="32:32" x14ac:dyDescent="0.2">
      <c r="AF32407" s="679"/>
    </row>
    <row r="32408" spans="32:32" x14ac:dyDescent="0.2">
      <c r="AF32408" s="679"/>
    </row>
    <row r="32409" spans="32:32" x14ac:dyDescent="0.2">
      <c r="AF32409" s="679"/>
    </row>
    <row r="32410" spans="32:32" x14ac:dyDescent="0.2">
      <c r="AF32410" s="679"/>
    </row>
    <row r="32411" spans="32:32" x14ac:dyDescent="0.2">
      <c r="AF32411" s="679"/>
    </row>
    <row r="32412" spans="32:32" x14ac:dyDescent="0.2">
      <c r="AF32412" s="679"/>
    </row>
    <row r="32413" spans="32:32" x14ac:dyDescent="0.2">
      <c r="AF32413" s="679"/>
    </row>
    <row r="32414" spans="32:32" x14ac:dyDescent="0.2">
      <c r="AF32414" s="679"/>
    </row>
    <row r="32415" spans="32:32" x14ac:dyDescent="0.2">
      <c r="AF32415" s="679"/>
    </row>
    <row r="32416" spans="32:32" x14ac:dyDescent="0.2">
      <c r="AF32416" s="679"/>
    </row>
    <row r="32417" spans="32:32" x14ac:dyDescent="0.2">
      <c r="AF32417" s="679"/>
    </row>
    <row r="32418" spans="32:32" x14ac:dyDescent="0.2">
      <c r="AF32418" s="679"/>
    </row>
    <row r="32419" spans="32:32" x14ac:dyDescent="0.2">
      <c r="AF32419" s="679"/>
    </row>
    <row r="32420" spans="32:32" x14ac:dyDescent="0.2">
      <c r="AF32420" s="679"/>
    </row>
    <row r="32421" spans="32:32" x14ac:dyDescent="0.2">
      <c r="AF32421" s="679"/>
    </row>
    <row r="32422" spans="32:32" x14ac:dyDescent="0.2">
      <c r="AF32422" s="679"/>
    </row>
    <row r="32423" spans="32:32" x14ac:dyDescent="0.2">
      <c r="AF32423" s="679"/>
    </row>
    <row r="32424" spans="32:32" x14ac:dyDescent="0.2">
      <c r="AF32424" s="679"/>
    </row>
    <row r="32425" spans="32:32" x14ac:dyDescent="0.2">
      <c r="AF32425" s="679"/>
    </row>
    <row r="32426" spans="32:32" x14ac:dyDescent="0.2">
      <c r="AF32426" s="679"/>
    </row>
    <row r="32427" spans="32:32" x14ac:dyDescent="0.2">
      <c r="AF32427" s="679"/>
    </row>
    <row r="32428" spans="32:32" x14ac:dyDescent="0.2">
      <c r="AF32428" s="679"/>
    </row>
    <row r="32429" spans="32:32" x14ac:dyDescent="0.2">
      <c r="AF32429" s="679"/>
    </row>
    <row r="32430" spans="32:32" x14ac:dyDescent="0.2">
      <c r="AF32430" s="679"/>
    </row>
    <row r="32431" spans="32:32" x14ac:dyDescent="0.2">
      <c r="AF32431" s="679"/>
    </row>
    <row r="32432" spans="32:32" x14ac:dyDescent="0.2">
      <c r="AF32432" s="679"/>
    </row>
    <row r="32433" spans="32:32" x14ac:dyDescent="0.2">
      <c r="AF32433" s="679"/>
    </row>
    <row r="32434" spans="32:32" x14ac:dyDescent="0.2">
      <c r="AF32434" s="679"/>
    </row>
    <row r="32435" spans="32:32" x14ac:dyDescent="0.2">
      <c r="AF32435" s="679"/>
    </row>
    <row r="32436" spans="32:32" x14ac:dyDescent="0.2">
      <c r="AF32436" s="679"/>
    </row>
    <row r="32437" spans="32:32" x14ac:dyDescent="0.2">
      <c r="AF32437" s="679"/>
    </row>
    <row r="32438" spans="32:32" x14ac:dyDescent="0.2">
      <c r="AF32438" s="679"/>
    </row>
    <row r="32439" spans="32:32" x14ac:dyDescent="0.2">
      <c r="AF32439" s="679"/>
    </row>
    <row r="32440" spans="32:32" x14ac:dyDescent="0.2">
      <c r="AF32440" s="679"/>
    </row>
    <row r="32441" spans="32:32" x14ac:dyDescent="0.2">
      <c r="AF32441" s="679"/>
    </row>
    <row r="32442" spans="32:32" x14ac:dyDescent="0.2">
      <c r="AF32442" s="679"/>
    </row>
    <row r="32443" spans="32:32" x14ac:dyDescent="0.2">
      <c r="AF32443" s="679"/>
    </row>
    <row r="32444" spans="32:32" x14ac:dyDescent="0.2">
      <c r="AF32444" s="679"/>
    </row>
    <row r="32445" spans="32:32" x14ac:dyDescent="0.2">
      <c r="AF32445" s="679"/>
    </row>
    <row r="32446" spans="32:32" x14ac:dyDescent="0.2">
      <c r="AF32446" s="679"/>
    </row>
    <row r="32447" spans="32:32" x14ac:dyDescent="0.2">
      <c r="AF32447" s="679"/>
    </row>
    <row r="32448" spans="32:32" x14ac:dyDescent="0.2">
      <c r="AF32448" s="679"/>
    </row>
    <row r="32449" spans="32:32" x14ac:dyDescent="0.2">
      <c r="AF32449" s="679"/>
    </row>
    <row r="32450" spans="32:32" x14ac:dyDescent="0.2">
      <c r="AF32450" s="679"/>
    </row>
    <row r="32451" spans="32:32" x14ac:dyDescent="0.2">
      <c r="AF32451" s="679"/>
    </row>
    <row r="32452" spans="32:32" x14ac:dyDescent="0.2">
      <c r="AF32452" s="679"/>
    </row>
    <row r="32453" spans="32:32" x14ac:dyDescent="0.2">
      <c r="AF32453" s="679"/>
    </row>
    <row r="32454" spans="32:32" x14ac:dyDescent="0.2">
      <c r="AF32454" s="679"/>
    </row>
    <row r="32455" spans="32:32" x14ac:dyDescent="0.2">
      <c r="AF32455" s="679"/>
    </row>
    <row r="32456" spans="32:32" x14ac:dyDescent="0.2">
      <c r="AF32456" s="679"/>
    </row>
    <row r="32457" spans="32:32" x14ac:dyDescent="0.2">
      <c r="AF32457" s="679"/>
    </row>
    <row r="32458" spans="32:32" x14ac:dyDescent="0.2">
      <c r="AF32458" s="679"/>
    </row>
    <row r="32459" spans="32:32" x14ac:dyDescent="0.2">
      <c r="AF32459" s="679"/>
    </row>
    <row r="32460" spans="32:32" x14ac:dyDescent="0.2">
      <c r="AF32460" s="679"/>
    </row>
    <row r="32461" spans="32:32" x14ac:dyDescent="0.2">
      <c r="AF32461" s="679"/>
    </row>
    <row r="32462" spans="32:32" x14ac:dyDescent="0.2">
      <c r="AF32462" s="679"/>
    </row>
    <row r="32463" spans="32:32" x14ac:dyDescent="0.2">
      <c r="AF32463" s="679"/>
    </row>
    <row r="32464" spans="32:32" x14ac:dyDescent="0.2">
      <c r="AF32464" s="679"/>
    </row>
    <row r="32465" spans="32:32" x14ac:dyDescent="0.2">
      <c r="AF32465" s="679"/>
    </row>
    <row r="32466" spans="32:32" x14ac:dyDescent="0.2">
      <c r="AF32466" s="679"/>
    </row>
    <row r="32467" spans="32:32" x14ac:dyDescent="0.2">
      <c r="AF32467" s="679"/>
    </row>
    <row r="32468" spans="32:32" x14ac:dyDescent="0.2">
      <c r="AF32468" s="679"/>
    </row>
    <row r="32469" spans="32:32" x14ac:dyDescent="0.2">
      <c r="AF32469" s="679"/>
    </row>
    <row r="32470" spans="32:32" x14ac:dyDescent="0.2">
      <c r="AF32470" s="679"/>
    </row>
    <row r="32471" spans="32:32" x14ac:dyDescent="0.2">
      <c r="AF32471" s="679"/>
    </row>
    <row r="32472" spans="32:32" x14ac:dyDescent="0.2">
      <c r="AF32472" s="679"/>
    </row>
    <row r="32473" spans="32:32" x14ac:dyDescent="0.2">
      <c r="AF32473" s="679"/>
    </row>
    <row r="32474" spans="32:32" x14ac:dyDescent="0.2">
      <c r="AF32474" s="679"/>
    </row>
    <row r="32475" spans="32:32" x14ac:dyDescent="0.2">
      <c r="AF32475" s="679"/>
    </row>
    <row r="32476" spans="32:32" x14ac:dyDescent="0.2">
      <c r="AF32476" s="679"/>
    </row>
    <row r="32477" spans="32:32" x14ac:dyDescent="0.2">
      <c r="AF32477" s="679"/>
    </row>
    <row r="32478" spans="32:32" x14ac:dyDescent="0.2">
      <c r="AF32478" s="679"/>
    </row>
    <row r="32479" spans="32:32" x14ac:dyDescent="0.2">
      <c r="AF32479" s="679"/>
    </row>
    <row r="32480" spans="32:32" x14ac:dyDescent="0.2">
      <c r="AF32480" s="679"/>
    </row>
    <row r="32481" spans="32:32" x14ac:dyDescent="0.2">
      <c r="AF32481" s="679"/>
    </row>
    <row r="32482" spans="32:32" x14ac:dyDescent="0.2">
      <c r="AF32482" s="679"/>
    </row>
    <row r="32483" spans="32:32" x14ac:dyDescent="0.2">
      <c r="AF32483" s="679"/>
    </row>
    <row r="32484" spans="32:32" x14ac:dyDescent="0.2">
      <c r="AF32484" s="679"/>
    </row>
    <row r="32485" spans="32:32" x14ac:dyDescent="0.2">
      <c r="AF32485" s="679"/>
    </row>
    <row r="32486" spans="32:32" x14ac:dyDescent="0.2">
      <c r="AF32486" s="679"/>
    </row>
    <row r="32487" spans="32:32" x14ac:dyDescent="0.2">
      <c r="AF32487" s="679"/>
    </row>
    <row r="32488" spans="32:32" x14ac:dyDescent="0.2">
      <c r="AF32488" s="679"/>
    </row>
    <row r="32489" spans="32:32" x14ac:dyDescent="0.2">
      <c r="AF32489" s="679"/>
    </row>
    <row r="32490" spans="32:32" x14ac:dyDescent="0.2">
      <c r="AF32490" s="679"/>
    </row>
    <row r="32491" spans="32:32" x14ac:dyDescent="0.2">
      <c r="AF32491" s="679"/>
    </row>
    <row r="32492" spans="32:32" x14ac:dyDescent="0.2">
      <c r="AF32492" s="679"/>
    </row>
    <row r="32493" spans="32:32" x14ac:dyDescent="0.2">
      <c r="AF32493" s="679"/>
    </row>
    <row r="32494" spans="32:32" x14ac:dyDescent="0.2">
      <c r="AF32494" s="679"/>
    </row>
    <row r="32495" spans="32:32" x14ac:dyDescent="0.2">
      <c r="AF32495" s="679"/>
    </row>
    <row r="32496" spans="32:32" x14ac:dyDescent="0.2">
      <c r="AF32496" s="679"/>
    </row>
    <row r="32497" spans="32:32" x14ac:dyDescent="0.2">
      <c r="AF32497" s="679"/>
    </row>
    <row r="32498" spans="32:32" x14ac:dyDescent="0.2">
      <c r="AF32498" s="679"/>
    </row>
    <row r="32499" spans="32:32" x14ac:dyDescent="0.2">
      <c r="AF32499" s="679"/>
    </row>
    <row r="32500" spans="32:32" x14ac:dyDescent="0.2">
      <c r="AF32500" s="679"/>
    </row>
    <row r="32501" spans="32:32" x14ac:dyDescent="0.2">
      <c r="AF32501" s="679"/>
    </row>
    <row r="32502" spans="32:32" x14ac:dyDescent="0.2">
      <c r="AF32502" s="679"/>
    </row>
    <row r="32503" spans="32:32" x14ac:dyDescent="0.2">
      <c r="AF32503" s="679"/>
    </row>
    <row r="32504" spans="32:32" x14ac:dyDescent="0.2">
      <c r="AF32504" s="679"/>
    </row>
    <row r="32505" spans="32:32" x14ac:dyDescent="0.2">
      <c r="AF32505" s="679"/>
    </row>
    <row r="32506" spans="32:32" x14ac:dyDescent="0.2">
      <c r="AF32506" s="679"/>
    </row>
    <row r="32507" spans="32:32" x14ac:dyDescent="0.2">
      <c r="AF32507" s="679"/>
    </row>
    <row r="32508" spans="32:32" x14ac:dyDescent="0.2">
      <c r="AF32508" s="679"/>
    </row>
    <row r="32509" spans="32:32" x14ac:dyDescent="0.2">
      <c r="AF32509" s="679"/>
    </row>
    <row r="32510" spans="32:32" x14ac:dyDescent="0.2">
      <c r="AF32510" s="679"/>
    </row>
    <row r="32511" spans="32:32" x14ac:dyDescent="0.2">
      <c r="AF32511" s="679"/>
    </row>
    <row r="32512" spans="32:32" x14ac:dyDescent="0.2">
      <c r="AF32512" s="679"/>
    </row>
    <row r="32513" spans="32:32" x14ac:dyDescent="0.2">
      <c r="AF32513" s="679"/>
    </row>
    <row r="32514" spans="32:32" x14ac:dyDescent="0.2">
      <c r="AF32514" s="679"/>
    </row>
    <row r="32515" spans="32:32" x14ac:dyDescent="0.2">
      <c r="AF32515" s="679"/>
    </row>
    <row r="32516" spans="32:32" x14ac:dyDescent="0.2">
      <c r="AF32516" s="679"/>
    </row>
    <row r="32517" spans="32:32" x14ac:dyDescent="0.2">
      <c r="AF32517" s="679"/>
    </row>
    <row r="32518" spans="32:32" x14ac:dyDescent="0.2">
      <c r="AF32518" s="679"/>
    </row>
    <row r="32519" spans="32:32" x14ac:dyDescent="0.2">
      <c r="AF32519" s="679"/>
    </row>
    <row r="32520" spans="32:32" x14ac:dyDescent="0.2">
      <c r="AF32520" s="679"/>
    </row>
    <row r="32521" spans="32:32" x14ac:dyDescent="0.2">
      <c r="AF32521" s="679"/>
    </row>
    <row r="32522" spans="32:32" x14ac:dyDescent="0.2">
      <c r="AF32522" s="679"/>
    </row>
    <row r="32523" spans="32:32" x14ac:dyDescent="0.2">
      <c r="AF32523" s="679"/>
    </row>
    <row r="32524" spans="32:32" x14ac:dyDescent="0.2">
      <c r="AF32524" s="679"/>
    </row>
    <row r="32525" spans="32:32" x14ac:dyDescent="0.2">
      <c r="AF32525" s="679"/>
    </row>
    <row r="32526" spans="32:32" x14ac:dyDescent="0.2">
      <c r="AF32526" s="679"/>
    </row>
    <row r="32527" spans="32:32" x14ac:dyDescent="0.2">
      <c r="AF32527" s="679"/>
    </row>
    <row r="32528" spans="32:32" x14ac:dyDescent="0.2">
      <c r="AF32528" s="679"/>
    </row>
    <row r="32529" spans="32:32" x14ac:dyDescent="0.2">
      <c r="AF32529" s="679"/>
    </row>
    <row r="32530" spans="32:32" x14ac:dyDescent="0.2">
      <c r="AF32530" s="679"/>
    </row>
    <row r="32531" spans="32:32" x14ac:dyDescent="0.2">
      <c r="AF32531" s="679"/>
    </row>
    <row r="32532" spans="32:32" x14ac:dyDescent="0.2">
      <c r="AF32532" s="679"/>
    </row>
    <row r="32533" spans="32:32" x14ac:dyDescent="0.2">
      <c r="AF32533" s="679"/>
    </row>
    <row r="32534" spans="32:32" x14ac:dyDescent="0.2">
      <c r="AF32534" s="679"/>
    </row>
    <row r="32535" spans="32:32" x14ac:dyDescent="0.2">
      <c r="AF32535" s="679"/>
    </row>
    <row r="32536" spans="32:32" x14ac:dyDescent="0.2">
      <c r="AF32536" s="679"/>
    </row>
    <row r="32537" spans="32:32" x14ac:dyDescent="0.2">
      <c r="AF32537" s="679"/>
    </row>
    <row r="32538" spans="32:32" x14ac:dyDescent="0.2">
      <c r="AF32538" s="679"/>
    </row>
    <row r="32539" spans="32:32" x14ac:dyDescent="0.2">
      <c r="AF32539" s="679"/>
    </row>
    <row r="32540" spans="32:32" x14ac:dyDescent="0.2">
      <c r="AF32540" s="679"/>
    </row>
    <row r="32541" spans="32:32" x14ac:dyDescent="0.2">
      <c r="AF32541" s="679"/>
    </row>
    <row r="32542" spans="32:32" x14ac:dyDescent="0.2">
      <c r="AF32542" s="679"/>
    </row>
    <row r="32543" spans="32:32" x14ac:dyDescent="0.2">
      <c r="AF32543" s="679"/>
    </row>
    <row r="32544" spans="32:32" x14ac:dyDescent="0.2">
      <c r="AF32544" s="679"/>
    </row>
    <row r="32545" spans="32:32" x14ac:dyDescent="0.2">
      <c r="AF32545" s="679"/>
    </row>
    <row r="32546" spans="32:32" x14ac:dyDescent="0.2">
      <c r="AF32546" s="679"/>
    </row>
    <row r="32547" spans="32:32" x14ac:dyDescent="0.2">
      <c r="AF32547" s="679"/>
    </row>
    <row r="32548" spans="32:32" x14ac:dyDescent="0.2">
      <c r="AF32548" s="679"/>
    </row>
    <row r="32549" spans="32:32" x14ac:dyDescent="0.2">
      <c r="AF32549" s="679"/>
    </row>
    <row r="32550" spans="32:32" x14ac:dyDescent="0.2">
      <c r="AF32550" s="679"/>
    </row>
    <row r="32551" spans="32:32" x14ac:dyDescent="0.2">
      <c r="AF32551" s="679"/>
    </row>
    <row r="32552" spans="32:32" x14ac:dyDescent="0.2">
      <c r="AF32552" s="679"/>
    </row>
    <row r="32553" spans="32:32" x14ac:dyDescent="0.2">
      <c r="AF32553" s="679"/>
    </row>
    <row r="32554" spans="32:32" x14ac:dyDescent="0.2">
      <c r="AF32554" s="679"/>
    </row>
    <row r="32555" spans="32:32" x14ac:dyDescent="0.2">
      <c r="AF32555" s="679"/>
    </row>
    <row r="32556" spans="32:32" x14ac:dyDescent="0.2">
      <c r="AF32556" s="679"/>
    </row>
    <row r="32557" spans="32:32" x14ac:dyDescent="0.2">
      <c r="AF32557" s="679"/>
    </row>
    <row r="32558" spans="32:32" x14ac:dyDescent="0.2">
      <c r="AF32558" s="679"/>
    </row>
    <row r="32559" spans="32:32" x14ac:dyDescent="0.2">
      <c r="AF32559" s="679"/>
    </row>
    <row r="32560" spans="32:32" x14ac:dyDescent="0.2">
      <c r="AF32560" s="679"/>
    </row>
    <row r="32561" spans="32:32" x14ac:dyDescent="0.2">
      <c r="AF32561" s="679"/>
    </row>
    <row r="32562" spans="32:32" x14ac:dyDescent="0.2">
      <c r="AF32562" s="679"/>
    </row>
    <row r="32563" spans="32:32" x14ac:dyDescent="0.2">
      <c r="AF32563" s="679"/>
    </row>
    <row r="32564" spans="32:32" x14ac:dyDescent="0.2">
      <c r="AF32564" s="679"/>
    </row>
    <row r="32565" spans="32:32" x14ac:dyDescent="0.2">
      <c r="AF32565" s="679"/>
    </row>
    <row r="32566" spans="32:32" x14ac:dyDescent="0.2">
      <c r="AF32566" s="679"/>
    </row>
    <row r="32567" spans="32:32" x14ac:dyDescent="0.2">
      <c r="AF32567" s="679"/>
    </row>
    <row r="32568" spans="32:32" x14ac:dyDescent="0.2">
      <c r="AF32568" s="679"/>
    </row>
    <row r="32569" spans="32:32" x14ac:dyDescent="0.2">
      <c r="AF32569" s="679"/>
    </row>
    <row r="32570" spans="32:32" x14ac:dyDescent="0.2">
      <c r="AF32570" s="679"/>
    </row>
    <row r="32571" spans="32:32" x14ac:dyDescent="0.2">
      <c r="AF32571" s="679"/>
    </row>
    <row r="32572" spans="32:32" x14ac:dyDescent="0.2">
      <c r="AF32572" s="679"/>
    </row>
    <row r="32573" spans="32:32" x14ac:dyDescent="0.2">
      <c r="AF32573" s="679"/>
    </row>
    <row r="32574" spans="32:32" x14ac:dyDescent="0.2">
      <c r="AF32574" s="679"/>
    </row>
    <row r="32575" spans="32:32" x14ac:dyDescent="0.2">
      <c r="AF32575" s="679"/>
    </row>
    <row r="32576" spans="32:32" x14ac:dyDescent="0.2">
      <c r="AF32576" s="679"/>
    </row>
    <row r="32577" spans="32:32" x14ac:dyDescent="0.2">
      <c r="AF32577" s="679"/>
    </row>
    <row r="32578" spans="32:32" x14ac:dyDescent="0.2">
      <c r="AF32578" s="679"/>
    </row>
    <row r="32579" spans="32:32" x14ac:dyDescent="0.2">
      <c r="AF32579" s="679"/>
    </row>
    <row r="32580" spans="32:32" x14ac:dyDescent="0.2">
      <c r="AF32580" s="679"/>
    </row>
    <row r="32581" spans="32:32" x14ac:dyDescent="0.2">
      <c r="AF32581" s="679"/>
    </row>
    <row r="32582" spans="32:32" x14ac:dyDescent="0.2">
      <c r="AF32582" s="679"/>
    </row>
    <row r="32583" spans="32:32" x14ac:dyDescent="0.2">
      <c r="AF32583" s="679"/>
    </row>
    <row r="32584" spans="32:32" x14ac:dyDescent="0.2">
      <c r="AF32584" s="679"/>
    </row>
    <row r="32585" spans="32:32" x14ac:dyDescent="0.2">
      <c r="AF32585" s="679"/>
    </row>
    <row r="32586" spans="32:32" x14ac:dyDescent="0.2">
      <c r="AF32586" s="679"/>
    </row>
    <row r="32587" spans="32:32" x14ac:dyDescent="0.2">
      <c r="AF32587" s="679"/>
    </row>
    <row r="32588" spans="32:32" x14ac:dyDescent="0.2">
      <c r="AF32588" s="679"/>
    </row>
    <row r="32589" spans="32:32" x14ac:dyDescent="0.2">
      <c r="AF32589" s="679"/>
    </row>
    <row r="32590" spans="32:32" x14ac:dyDescent="0.2">
      <c r="AF32590" s="679"/>
    </row>
    <row r="32591" spans="32:32" x14ac:dyDescent="0.2">
      <c r="AF32591" s="679"/>
    </row>
    <row r="32592" spans="32:32" x14ac:dyDescent="0.2">
      <c r="AF32592" s="679"/>
    </row>
    <row r="32593" spans="32:32" x14ac:dyDescent="0.2">
      <c r="AF32593" s="679"/>
    </row>
    <row r="32594" spans="32:32" x14ac:dyDescent="0.2">
      <c r="AF32594" s="679"/>
    </row>
    <row r="32595" spans="32:32" x14ac:dyDescent="0.2">
      <c r="AF32595" s="679"/>
    </row>
    <row r="32596" spans="32:32" x14ac:dyDescent="0.2">
      <c r="AF32596" s="679"/>
    </row>
    <row r="32597" spans="32:32" x14ac:dyDescent="0.2">
      <c r="AF32597" s="679"/>
    </row>
    <row r="32598" spans="32:32" x14ac:dyDescent="0.2">
      <c r="AF32598" s="679"/>
    </row>
    <row r="32599" spans="32:32" x14ac:dyDescent="0.2">
      <c r="AF32599" s="679"/>
    </row>
    <row r="32600" spans="32:32" x14ac:dyDescent="0.2">
      <c r="AF32600" s="679"/>
    </row>
    <row r="32601" spans="32:32" x14ac:dyDescent="0.2">
      <c r="AF32601" s="679"/>
    </row>
    <row r="32602" spans="32:32" x14ac:dyDescent="0.2">
      <c r="AF32602" s="679"/>
    </row>
    <row r="32603" spans="32:32" x14ac:dyDescent="0.2">
      <c r="AF32603" s="679"/>
    </row>
    <row r="32604" spans="32:32" x14ac:dyDescent="0.2">
      <c r="AF32604" s="679"/>
    </row>
    <row r="32605" spans="32:32" x14ac:dyDescent="0.2">
      <c r="AF32605" s="679"/>
    </row>
    <row r="32606" spans="32:32" x14ac:dyDescent="0.2">
      <c r="AF32606" s="679"/>
    </row>
    <row r="32607" spans="32:32" x14ac:dyDescent="0.2">
      <c r="AF32607" s="679"/>
    </row>
    <row r="32608" spans="32:32" x14ac:dyDescent="0.2">
      <c r="AF32608" s="679"/>
    </row>
    <row r="32609" spans="32:32" x14ac:dyDescent="0.2">
      <c r="AF32609" s="679"/>
    </row>
    <row r="32610" spans="32:32" x14ac:dyDescent="0.2">
      <c r="AF32610" s="679"/>
    </row>
    <row r="32611" spans="32:32" x14ac:dyDescent="0.2">
      <c r="AF32611" s="679"/>
    </row>
    <row r="32612" spans="32:32" x14ac:dyDescent="0.2">
      <c r="AF32612" s="679"/>
    </row>
    <row r="32613" spans="32:32" x14ac:dyDescent="0.2">
      <c r="AF32613" s="679"/>
    </row>
    <row r="32614" spans="32:32" x14ac:dyDescent="0.2">
      <c r="AF32614" s="679"/>
    </row>
    <row r="32615" spans="32:32" x14ac:dyDescent="0.2">
      <c r="AF32615" s="679"/>
    </row>
    <row r="32616" spans="32:32" x14ac:dyDescent="0.2">
      <c r="AF32616" s="679"/>
    </row>
    <row r="32617" spans="32:32" x14ac:dyDescent="0.2">
      <c r="AF32617" s="679"/>
    </row>
    <row r="32618" spans="32:32" x14ac:dyDescent="0.2">
      <c r="AF32618" s="679"/>
    </row>
    <row r="32619" spans="32:32" x14ac:dyDescent="0.2">
      <c r="AF32619" s="679"/>
    </row>
    <row r="32620" spans="32:32" x14ac:dyDescent="0.2">
      <c r="AF32620" s="679"/>
    </row>
    <row r="32621" spans="32:32" x14ac:dyDescent="0.2">
      <c r="AF32621" s="679"/>
    </row>
    <row r="32622" spans="32:32" x14ac:dyDescent="0.2">
      <c r="AF32622" s="679"/>
    </row>
    <row r="32623" spans="32:32" x14ac:dyDescent="0.2">
      <c r="AF32623" s="679"/>
    </row>
    <row r="32624" spans="32:32" x14ac:dyDescent="0.2">
      <c r="AF32624" s="679"/>
    </row>
    <row r="32625" spans="32:32" x14ac:dyDescent="0.2">
      <c r="AF32625" s="679"/>
    </row>
    <row r="32626" spans="32:32" x14ac:dyDescent="0.2">
      <c r="AF32626" s="679"/>
    </row>
    <row r="32627" spans="32:32" x14ac:dyDescent="0.2">
      <c r="AF32627" s="679"/>
    </row>
    <row r="32628" spans="32:32" x14ac:dyDescent="0.2">
      <c r="AF32628" s="679"/>
    </row>
    <row r="32629" spans="32:32" x14ac:dyDescent="0.2">
      <c r="AF32629" s="679"/>
    </row>
    <row r="32630" spans="32:32" x14ac:dyDescent="0.2">
      <c r="AF32630" s="679"/>
    </row>
    <row r="32631" spans="32:32" x14ac:dyDescent="0.2">
      <c r="AF32631" s="679"/>
    </row>
    <row r="32632" spans="32:32" x14ac:dyDescent="0.2">
      <c r="AF32632" s="679"/>
    </row>
    <row r="32633" spans="32:32" x14ac:dyDescent="0.2">
      <c r="AF32633" s="679"/>
    </row>
    <row r="32634" spans="32:32" x14ac:dyDescent="0.2">
      <c r="AF32634" s="679"/>
    </row>
    <row r="32635" spans="32:32" x14ac:dyDescent="0.2">
      <c r="AF32635" s="679"/>
    </row>
    <row r="32636" spans="32:32" x14ac:dyDescent="0.2">
      <c r="AF32636" s="679"/>
    </row>
    <row r="32637" spans="32:32" x14ac:dyDescent="0.2">
      <c r="AF32637" s="679"/>
    </row>
    <row r="32638" spans="32:32" x14ac:dyDescent="0.2">
      <c r="AF32638" s="679"/>
    </row>
    <row r="32639" spans="32:32" x14ac:dyDescent="0.2">
      <c r="AF32639" s="679"/>
    </row>
    <row r="32640" spans="32:32" x14ac:dyDescent="0.2">
      <c r="AF32640" s="679"/>
    </row>
    <row r="32641" spans="32:32" x14ac:dyDescent="0.2">
      <c r="AF32641" s="679"/>
    </row>
    <row r="32642" spans="32:32" x14ac:dyDescent="0.2">
      <c r="AF32642" s="679"/>
    </row>
    <row r="32643" spans="32:32" x14ac:dyDescent="0.2">
      <c r="AF32643" s="679"/>
    </row>
    <row r="32644" spans="32:32" x14ac:dyDescent="0.2">
      <c r="AF32644" s="679"/>
    </row>
    <row r="32645" spans="32:32" x14ac:dyDescent="0.2">
      <c r="AF32645" s="679"/>
    </row>
    <row r="32646" spans="32:32" x14ac:dyDescent="0.2">
      <c r="AF32646" s="679"/>
    </row>
    <row r="32647" spans="32:32" x14ac:dyDescent="0.2">
      <c r="AF32647" s="679"/>
    </row>
    <row r="32648" spans="32:32" x14ac:dyDescent="0.2">
      <c r="AF32648" s="679"/>
    </row>
    <row r="32649" spans="32:32" x14ac:dyDescent="0.2">
      <c r="AF32649" s="679"/>
    </row>
    <row r="32650" spans="32:32" x14ac:dyDescent="0.2">
      <c r="AF32650" s="679"/>
    </row>
    <row r="32651" spans="32:32" x14ac:dyDescent="0.2">
      <c r="AF32651" s="679"/>
    </row>
    <row r="32652" spans="32:32" x14ac:dyDescent="0.2">
      <c r="AF32652" s="679"/>
    </row>
    <row r="32653" spans="32:32" x14ac:dyDescent="0.2">
      <c r="AF32653" s="679"/>
    </row>
    <row r="32654" spans="32:32" x14ac:dyDescent="0.2">
      <c r="AF32654" s="679"/>
    </row>
    <row r="32655" spans="32:32" x14ac:dyDescent="0.2">
      <c r="AF32655" s="679"/>
    </row>
    <row r="32656" spans="32:32" x14ac:dyDescent="0.2">
      <c r="AF32656" s="679"/>
    </row>
    <row r="32657" spans="32:32" x14ac:dyDescent="0.2">
      <c r="AF32657" s="679"/>
    </row>
    <row r="32658" spans="32:32" x14ac:dyDescent="0.2">
      <c r="AF32658" s="679"/>
    </row>
    <row r="32659" spans="32:32" x14ac:dyDescent="0.2">
      <c r="AF32659" s="679"/>
    </row>
    <row r="32660" spans="32:32" x14ac:dyDescent="0.2">
      <c r="AF32660" s="679"/>
    </row>
    <row r="32661" spans="32:32" x14ac:dyDescent="0.2">
      <c r="AF32661" s="679"/>
    </row>
    <row r="32662" spans="32:32" x14ac:dyDescent="0.2">
      <c r="AF32662" s="679"/>
    </row>
    <row r="32663" spans="32:32" x14ac:dyDescent="0.2">
      <c r="AF32663" s="679"/>
    </row>
    <row r="32664" spans="32:32" x14ac:dyDescent="0.2">
      <c r="AF32664" s="679"/>
    </row>
    <row r="32665" spans="32:32" x14ac:dyDescent="0.2">
      <c r="AF32665" s="679"/>
    </row>
    <row r="32666" spans="32:32" x14ac:dyDescent="0.2">
      <c r="AF32666" s="679"/>
    </row>
    <row r="32667" spans="32:32" x14ac:dyDescent="0.2">
      <c r="AF32667" s="679"/>
    </row>
    <row r="32668" spans="32:32" x14ac:dyDescent="0.2">
      <c r="AF32668" s="679"/>
    </row>
    <row r="32669" spans="32:32" x14ac:dyDescent="0.2">
      <c r="AF32669" s="679"/>
    </row>
    <row r="32670" spans="32:32" x14ac:dyDescent="0.2">
      <c r="AF32670" s="679"/>
    </row>
    <row r="32671" spans="32:32" x14ac:dyDescent="0.2">
      <c r="AF32671" s="679"/>
    </row>
    <row r="32672" spans="32:32" x14ac:dyDescent="0.2">
      <c r="AF32672" s="679"/>
    </row>
    <row r="32673" spans="32:32" x14ac:dyDescent="0.2">
      <c r="AF32673" s="679"/>
    </row>
    <row r="32674" spans="32:32" x14ac:dyDescent="0.2">
      <c r="AF32674" s="679"/>
    </row>
    <row r="32675" spans="32:32" x14ac:dyDescent="0.2">
      <c r="AF32675" s="679"/>
    </row>
    <row r="32676" spans="32:32" x14ac:dyDescent="0.2">
      <c r="AF32676" s="679"/>
    </row>
    <row r="32677" spans="32:32" x14ac:dyDescent="0.2">
      <c r="AF32677" s="679"/>
    </row>
    <row r="32678" spans="32:32" x14ac:dyDescent="0.2">
      <c r="AF32678" s="679"/>
    </row>
    <row r="32679" spans="32:32" x14ac:dyDescent="0.2">
      <c r="AF32679" s="679"/>
    </row>
    <row r="32680" spans="32:32" x14ac:dyDescent="0.2">
      <c r="AF32680" s="679"/>
    </row>
    <row r="32681" spans="32:32" x14ac:dyDescent="0.2">
      <c r="AF32681" s="679"/>
    </row>
    <row r="32682" spans="32:32" x14ac:dyDescent="0.2">
      <c r="AF32682" s="679"/>
    </row>
    <row r="32683" spans="32:32" x14ac:dyDescent="0.2">
      <c r="AF32683" s="679"/>
    </row>
    <row r="32684" spans="32:32" x14ac:dyDescent="0.2">
      <c r="AF32684" s="679"/>
    </row>
    <row r="32685" spans="32:32" x14ac:dyDescent="0.2">
      <c r="AF32685" s="679"/>
    </row>
    <row r="32686" spans="32:32" x14ac:dyDescent="0.2">
      <c r="AF32686" s="679"/>
    </row>
    <row r="32687" spans="32:32" x14ac:dyDescent="0.2">
      <c r="AF32687" s="679"/>
    </row>
    <row r="32688" spans="32:32" x14ac:dyDescent="0.2">
      <c r="AF32688" s="679"/>
    </row>
    <row r="32689" spans="32:32" x14ac:dyDescent="0.2">
      <c r="AF32689" s="679"/>
    </row>
    <row r="32690" spans="32:32" x14ac:dyDescent="0.2">
      <c r="AF32690" s="679"/>
    </row>
    <row r="32691" spans="32:32" x14ac:dyDescent="0.2">
      <c r="AF32691" s="679"/>
    </row>
    <row r="32692" spans="32:32" x14ac:dyDescent="0.2">
      <c r="AF32692" s="679"/>
    </row>
    <row r="32693" spans="32:32" x14ac:dyDescent="0.2">
      <c r="AF32693" s="679"/>
    </row>
    <row r="32694" spans="32:32" x14ac:dyDescent="0.2">
      <c r="AF32694" s="679"/>
    </row>
    <row r="32695" spans="32:32" x14ac:dyDescent="0.2">
      <c r="AF32695" s="679"/>
    </row>
    <row r="32696" spans="32:32" x14ac:dyDescent="0.2">
      <c r="AF32696" s="679"/>
    </row>
    <row r="32697" spans="32:32" x14ac:dyDescent="0.2">
      <c r="AF32697" s="679"/>
    </row>
    <row r="32698" spans="32:32" x14ac:dyDescent="0.2">
      <c r="AF32698" s="679"/>
    </row>
    <row r="32699" spans="32:32" x14ac:dyDescent="0.2">
      <c r="AF32699" s="679"/>
    </row>
    <row r="32700" spans="32:32" x14ac:dyDescent="0.2">
      <c r="AF32700" s="679"/>
    </row>
    <row r="32701" spans="32:32" x14ac:dyDescent="0.2">
      <c r="AF32701" s="679"/>
    </row>
    <row r="32702" spans="32:32" x14ac:dyDescent="0.2">
      <c r="AF32702" s="679"/>
    </row>
    <row r="32703" spans="32:32" x14ac:dyDescent="0.2">
      <c r="AF32703" s="679"/>
    </row>
    <row r="32704" spans="32:32" x14ac:dyDescent="0.2">
      <c r="AF32704" s="679"/>
    </row>
    <row r="32705" spans="32:32" x14ac:dyDescent="0.2">
      <c r="AF32705" s="679"/>
    </row>
    <row r="32706" spans="32:32" x14ac:dyDescent="0.2">
      <c r="AF32706" s="679"/>
    </row>
    <row r="32707" spans="32:32" x14ac:dyDescent="0.2">
      <c r="AF32707" s="679"/>
    </row>
    <row r="32708" spans="32:32" x14ac:dyDescent="0.2">
      <c r="AF32708" s="679"/>
    </row>
    <row r="32709" spans="32:32" x14ac:dyDescent="0.2">
      <c r="AF32709" s="679"/>
    </row>
    <row r="32710" spans="32:32" x14ac:dyDescent="0.2">
      <c r="AF32710" s="679"/>
    </row>
    <row r="32711" spans="32:32" x14ac:dyDescent="0.2">
      <c r="AF32711" s="679"/>
    </row>
    <row r="32712" spans="32:32" x14ac:dyDescent="0.2">
      <c r="AF32712" s="679"/>
    </row>
    <row r="32713" spans="32:32" x14ac:dyDescent="0.2">
      <c r="AF32713" s="679"/>
    </row>
    <row r="32714" spans="32:32" x14ac:dyDescent="0.2">
      <c r="AF32714" s="679"/>
    </row>
    <row r="32715" spans="32:32" x14ac:dyDescent="0.2">
      <c r="AF32715" s="679"/>
    </row>
    <row r="32716" spans="32:32" x14ac:dyDescent="0.2">
      <c r="AF32716" s="679"/>
    </row>
    <row r="32717" spans="32:32" x14ac:dyDescent="0.2">
      <c r="AF32717" s="679"/>
    </row>
    <row r="32718" spans="32:32" x14ac:dyDescent="0.2">
      <c r="AF32718" s="679"/>
    </row>
    <row r="32719" spans="32:32" x14ac:dyDescent="0.2">
      <c r="AF32719" s="679"/>
    </row>
    <row r="32720" spans="32:32" x14ac:dyDescent="0.2">
      <c r="AF32720" s="679"/>
    </row>
    <row r="32721" spans="32:32" x14ac:dyDescent="0.2">
      <c r="AF32721" s="679"/>
    </row>
    <row r="32722" spans="32:32" x14ac:dyDescent="0.2">
      <c r="AF32722" s="679"/>
    </row>
    <row r="32723" spans="32:32" x14ac:dyDescent="0.2">
      <c r="AF32723" s="679"/>
    </row>
    <row r="32724" spans="32:32" x14ac:dyDescent="0.2">
      <c r="AF32724" s="679"/>
    </row>
    <row r="32725" spans="32:32" x14ac:dyDescent="0.2">
      <c r="AF32725" s="679"/>
    </row>
    <row r="32726" spans="32:32" x14ac:dyDescent="0.2">
      <c r="AF32726" s="679"/>
    </row>
    <row r="32727" spans="32:32" x14ac:dyDescent="0.2">
      <c r="AF32727" s="679"/>
    </row>
    <row r="32728" spans="32:32" x14ac:dyDescent="0.2">
      <c r="AF32728" s="679"/>
    </row>
    <row r="32729" spans="32:32" x14ac:dyDescent="0.2">
      <c r="AF32729" s="679"/>
    </row>
    <row r="32730" spans="32:32" x14ac:dyDescent="0.2">
      <c r="AF32730" s="679"/>
    </row>
    <row r="32731" spans="32:32" x14ac:dyDescent="0.2">
      <c r="AF32731" s="679"/>
    </row>
    <row r="32732" spans="32:32" x14ac:dyDescent="0.2">
      <c r="AF32732" s="679"/>
    </row>
    <row r="32733" spans="32:32" x14ac:dyDescent="0.2">
      <c r="AF32733" s="679"/>
    </row>
    <row r="32734" spans="32:32" x14ac:dyDescent="0.2">
      <c r="AF32734" s="679"/>
    </row>
    <row r="32735" spans="32:32" x14ac:dyDescent="0.2">
      <c r="AF32735" s="679"/>
    </row>
    <row r="32736" spans="32:32" x14ac:dyDescent="0.2">
      <c r="AF32736" s="679"/>
    </row>
    <row r="32737" spans="32:32" x14ac:dyDescent="0.2">
      <c r="AF32737" s="679"/>
    </row>
    <row r="32738" spans="32:32" x14ac:dyDescent="0.2">
      <c r="AF32738" s="679"/>
    </row>
    <row r="32739" spans="32:32" x14ac:dyDescent="0.2">
      <c r="AF32739" s="679"/>
    </row>
    <row r="32740" spans="32:32" x14ac:dyDescent="0.2">
      <c r="AF32740" s="679"/>
    </row>
    <row r="32741" spans="32:32" x14ac:dyDescent="0.2">
      <c r="AF32741" s="679"/>
    </row>
    <row r="32742" spans="32:32" x14ac:dyDescent="0.2">
      <c r="AF32742" s="679"/>
    </row>
    <row r="32743" spans="32:32" x14ac:dyDescent="0.2">
      <c r="AF32743" s="679"/>
    </row>
    <row r="32744" spans="32:32" x14ac:dyDescent="0.2">
      <c r="AF32744" s="679"/>
    </row>
    <row r="32745" spans="32:32" x14ac:dyDescent="0.2">
      <c r="AF32745" s="679"/>
    </row>
    <row r="32746" spans="32:32" x14ac:dyDescent="0.2">
      <c r="AF32746" s="679"/>
    </row>
    <row r="32747" spans="32:32" x14ac:dyDescent="0.2">
      <c r="AF32747" s="679"/>
    </row>
    <row r="32748" spans="32:32" x14ac:dyDescent="0.2">
      <c r="AF32748" s="679"/>
    </row>
    <row r="32749" spans="32:32" x14ac:dyDescent="0.2">
      <c r="AF32749" s="679"/>
    </row>
    <row r="32750" spans="32:32" x14ac:dyDescent="0.2">
      <c r="AF32750" s="679"/>
    </row>
    <row r="32751" spans="32:32" x14ac:dyDescent="0.2">
      <c r="AF32751" s="679"/>
    </row>
    <row r="32752" spans="32:32" x14ac:dyDescent="0.2">
      <c r="AF32752" s="679"/>
    </row>
    <row r="32753" spans="32:32" x14ac:dyDescent="0.2">
      <c r="AF32753" s="679"/>
    </row>
    <row r="32754" spans="32:32" x14ac:dyDescent="0.2">
      <c r="AF32754" s="679"/>
    </row>
    <row r="32755" spans="32:32" x14ac:dyDescent="0.2">
      <c r="AF32755" s="679"/>
    </row>
    <row r="32756" spans="32:32" x14ac:dyDescent="0.2">
      <c r="AF32756" s="679"/>
    </row>
    <row r="32757" spans="32:32" x14ac:dyDescent="0.2">
      <c r="AF32757" s="679"/>
    </row>
    <row r="32758" spans="32:32" x14ac:dyDescent="0.2">
      <c r="AF32758" s="679"/>
    </row>
    <row r="32759" spans="32:32" x14ac:dyDescent="0.2">
      <c r="AF32759" s="679"/>
    </row>
    <row r="32760" spans="32:32" x14ac:dyDescent="0.2">
      <c r="AF32760" s="679"/>
    </row>
    <row r="32761" spans="32:32" x14ac:dyDescent="0.2">
      <c r="AF32761" s="679"/>
    </row>
    <row r="32762" spans="32:32" x14ac:dyDescent="0.2">
      <c r="AF32762" s="679"/>
    </row>
    <row r="32763" spans="32:32" x14ac:dyDescent="0.2">
      <c r="AF32763" s="679"/>
    </row>
    <row r="32764" spans="32:32" x14ac:dyDescent="0.2">
      <c r="AF32764" s="679"/>
    </row>
    <row r="32765" spans="32:32" x14ac:dyDescent="0.2">
      <c r="AF32765" s="679"/>
    </row>
    <row r="32766" spans="32:32" x14ac:dyDescent="0.2">
      <c r="AF32766" s="679"/>
    </row>
    <row r="32767" spans="32:32" x14ac:dyDescent="0.2">
      <c r="AF32767" s="679"/>
    </row>
    <row r="32768" spans="32:32" x14ac:dyDescent="0.2">
      <c r="AF32768" s="679"/>
    </row>
    <row r="32769" spans="32:32" x14ac:dyDescent="0.2">
      <c r="AF32769" s="679"/>
    </row>
    <row r="32770" spans="32:32" x14ac:dyDescent="0.2">
      <c r="AF32770" s="679"/>
    </row>
    <row r="32771" spans="32:32" x14ac:dyDescent="0.2">
      <c r="AF32771" s="679"/>
    </row>
    <row r="32772" spans="32:32" x14ac:dyDescent="0.2">
      <c r="AF32772" s="679"/>
    </row>
    <row r="32773" spans="32:32" x14ac:dyDescent="0.2">
      <c r="AF32773" s="679"/>
    </row>
    <row r="32774" spans="32:32" x14ac:dyDescent="0.2">
      <c r="AF32774" s="679"/>
    </row>
    <row r="32775" spans="32:32" x14ac:dyDescent="0.2">
      <c r="AF32775" s="679"/>
    </row>
    <row r="32776" spans="32:32" x14ac:dyDescent="0.2">
      <c r="AF32776" s="679"/>
    </row>
    <row r="32777" spans="32:32" x14ac:dyDescent="0.2">
      <c r="AF32777" s="679"/>
    </row>
    <row r="32778" spans="32:32" x14ac:dyDescent="0.2">
      <c r="AF32778" s="679"/>
    </row>
    <row r="32779" spans="32:32" x14ac:dyDescent="0.2">
      <c r="AF32779" s="679"/>
    </row>
    <row r="32780" spans="32:32" x14ac:dyDescent="0.2">
      <c r="AF32780" s="679"/>
    </row>
    <row r="32781" spans="32:32" x14ac:dyDescent="0.2">
      <c r="AF32781" s="679"/>
    </row>
    <row r="32782" spans="32:32" x14ac:dyDescent="0.2">
      <c r="AF32782" s="679"/>
    </row>
    <row r="32783" spans="32:32" x14ac:dyDescent="0.2">
      <c r="AF32783" s="679"/>
    </row>
    <row r="32784" spans="32:32" x14ac:dyDescent="0.2">
      <c r="AF32784" s="679"/>
    </row>
    <row r="32785" spans="32:32" x14ac:dyDescent="0.2">
      <c r="AF32785" s="679"/>
    </row>
    <row r="32786" spans="32:32" x14ac:dyDescent="0.2">
      <c r="AF32786" s="679"/>
    </row>
    <row r="32787" spans="32:32" x14ac:dyDescent="0.2">
      <c r="AF32787" s="679"/>
    </row>
    <row r="32788" spans="32:32" x14ac:dyDescent="0.2">
      <c r="AF32788" s="679"/>
    </row>
    <row r="32789" spans="32:32" x14ac:dyDescent="0.2">
      <c r="AF32789" s="679"/>
    </row>
    <row r="32790" spans="32:32" x14ac:dyDescent="0.2">
      <c r="AF32790" s="679"/>
    </row>
    <row r="32791" spans="32:32" x14ac:dyDescent="0.2">
      <c r="AF32791" s="679"/>
    </row>
    <row r="32792" spans="32:32" x14ac:dyDescent="0.2">
      <c r="AF32792" s="679"/>
    </row>
    <row r="32793" spans="32:32" x14ac:dyDescent="0.2">
      <c r="AF32793" s="679"/>
    </row>
    <row r="32794" spans="32:32" x14ac:dyDescent="0.2">
      <c r="AF32794" s="679"/>
    </row>
    <row r="32795" spans="32:32" x14ac:dyDescent="0.2">
      <c r="AF32795" s="679"/>
    </row>
    <row r="32796" spans="32:32" x14ac:dyDescent="0.2">
      <c r="AF32796" s="679"/>
    </row>
    <row r="32797" spans="32:32" x14ac:dyDescent="0.2">
      <c r="AF32797" s="679"/>
    </row>
    <row r="32798" spans="32:32" x14ac:dyDescent="0.2">
      <c r="AF32798" s="679"/>
    </row>
    <row r="32799" spans="32:32" x14ac:dyDescent="0.2">
      <c r="AF32799" s="679"/>
    </row>
    <row r="32800" spans="32:32" x14ac:dyDescent="0.2">
      <c r="AF32800" s="679"/>
    </row>
    <row r="32801" spans="32:32" x14ac:dyDescent="0.2">
      <c r="AF32801" s="679"/>
    </row>
    <row r="32802" spans="32:32" x14ac:dyDescent="0.2">
      <c r="AF32802" s="679"/>
    </row>
    <row r="32803" spans="32:32" x14ac:dyDescent="0.2">
      <c r="AF32803" s="679"/>
    </row>
    <row r="32804" spans="32:32" x14ac:dyDescent="0.2">
      <c r="AF32804" s="679"/>
    </row>
    <row r="32805" spans="32:32" x14ac:dyDescent="0.2">
      <c r="AF32805" s="679"/>
    </row>
    <row r="32806" spans="32:32" x14ac:dyDescent="0.2">
      <c r="AF32806" s="679"/>
    </row>
    <row r="32807" spans="32:32" x14ac:dyDescent="0.2">
      <c r="AF32807" s="679"/>
    </row>
    <row r="32808" spans="32:32" x14ac:dyDescent="0.2">
      <c r="AF32808" s="679"/>
    </row>
    <row r="32809" spans="32:32" x14ac:dyDescent="0.2">
      <c r="AF32809" s="679"/>
    </row>
    <row r="32810" spans="32:32" x14ac:dyDescent="0.2">
      <c r="AF32810" s="679"/>
    </row>
    <row r="32811" spans="32:32" x14ac:dyDescent="0.2">
      <c r="AF32811" s="679"/>
    </row>
    <row r="32812" spans="32:32" x14ac:dyDescent="0.2">
      <c r="AF32812" s="679"/>
    </row>
    <row r="32813" spans="32:32" x14ac:dyDescent="0.2">
      <c r="AF32813" s="679"/>
    </row>
    <row r="32814" spans="32:32" x14ac:dyDescent="0.2">
      <c r="AF32814" s="679"/>
    </row>
    <row r="32815" spans="32:32" x14ac:dyDescent="0.2">
      <c r="AF32815" s="679"/>
    </row>
    <row r="32816" spans="32:32" x14ac:dyDescent="0.2">
      <c r="AF32816" s="679"/>
    </row>
    <row r="32817" spans="32:32" x14ac:dyDescent="0.2">
      <c r="AF32817" s="679"/>
    </row>
    <row r="32818" spans="32:32" x14ac:dyDescent="0.2">
      <c r="AF32818" s="679"/>
    </row>
    <row r="32819" spans="32:32" x14ac:dyDescent="0.2">
      <c r="AF32819" s="679"/>
    </row>
    <row r="32820" spans="32:32" x14ac:dyDescent="0.2">
      <c r="AF32820" s="679"/>
    </row>
    <row r="32821" spans="32:32" x14ac:dyDescent="0.2">
      <c r="AF32821" s="679"/>
    </row>
    <row r="32822" spans="32:32" x14ac:dyDescent="0.2">
      <c r="AF32822" s="679"/>
    </row>
    <row r="32823" spans="32:32" x14ac:dyDescent="0.2">
      <c r="AF32823" s="679"/>
    </row>
    <row r="32824" spans="32:32" x14ac:dyDescent="0.2">
      <c r="AF32824" s="679"/>
    </row>
    <row r="32825" spans="32:32" x14ac:dyDescent="0.2">
      <c r="AF32825" s="679"/>
    </row>
    <row r="32826" spans="32:32" x14ac:dyDescent="0.2">
      <c r="AF32826" s="679"/>
    </row>
    <row r="32827" spans="32:32" x14ac:dyDescent="0.2">
      <c r="AF32827" s="679"/>
    </row>
    <row r="32828" spans="32:32" x14ac:dyDescent="0.2">
      <c r="AF32828" s="679"/>
    </row>
    <row r="32829" spans="32:32" x14ac:dyDescent="0.2">
      <c r="AF32829" s="679"/>
    </row>
    <row r="32830" spans="32:32" x14ac:dyDescent="0.2">
      <c r="AF32830" s="679"/>
    </row>
    <row r="32831" spans="32:32" x14ac:dyDescent="0.2">
      <c r="AF32831" s="679"/>
    </row>
    <row r="32832" spans="32:32" x14ac:dyDescent="0.2">
      <c r="AF32832" s="679"/>
    </row>
    <row r="32833" spans="32:32" x14ac:dyDescent="0.2">
      <c r="AF32833" s="679"/>
    </row>
    <row r="32834" spans="32:32" x14ac:dyDescent="0.2">
      <c r="AF32834" s="679"/>
    </row>
    <row r="32835" spans="32:32" x14ac:dyDescent="0.2">
      <c r="AF32835" s="679"/>
    </row>
    <row r="32836" spans="32:32" x14ac:dyDescent="0.2">
      <c r="AF32836" s="679"/>
    </row>
    <row r="32837" spans="32:32" x14ac:dyDescent="0.2">
      <c r="AF32837" s="679"/>
    </row>
    <row r="32838" spans="32:32" x14ac:dyDescent="0.2">
      <c r="AF32838" s="679"/>
    </row>
    <row r="32839" spans="32:32" x14ac:dyDescent="0.2">
      <c r="AF32839" s="679"/>
    </row>
    <row r="32840" spans="32:32" x14ac:dyDescent="0.2">
      <c r="AF32840" s="679"/>
    </row>
    <row r="32841" spans="32:32" x14ac:dyDescent="0.2">
      <c r="AF32841" s="679"/>
    </row>
    <row r="32842" spans="32:32" x14ac:dyDescent="0.2">
      <c r="AF32842" s="679"/>
    </row>
    <row r="32843" spans="32:32" x14ac:dyDescent="0.2">
      <c r="AF32843" s="679"/>
    </row>
    <row r="32844" spans="32:32" x14ac:dyDescent="0.2">
      <c r="AF32844" s="679"/>
    </row>
    <row r="32845" spans="32:32" x14ac:dyDescent="0.2">
      <c r="AF32845" s="679"/>
    </row>
    <row r="32846" spans="32:32" x14ac:dyDescent="0.2">
      <c r="AF32846" s="679"/>
    </row>
    <row r="32847" spans="32:32" x14ac:dyDescent="0.2">
      <c r="AF32847" s="679"/>
    </row>
    <row r="32848" spans="32:32" x14ac:dyDescent="0.2">
      <c r="AF32848" s="679"/>
    </row>
    <row r="32849" spans="32:32" x14ac:dyDescent="0.2">
      <c r="AF32849" s="679"/>
    </row>
    <row r="32850" spans="32:32" x14ac:dyDescent="0.2">
      <c r="AF32850" s="679"/>
    </row>
    <row r="32851" spans="32:32" x14ac:dyDescent="0.2">
      <c r="AF32851" s="679"/>
    </row>
    <row r="32852" spans="32:32" x14ac:dyDescent="0.2">
      <c r="AF32852" s="679"/>
    </row>
    <row r="32853" spans="32:32" x14ac:dyDescent="0.2">
      <c r="AF32853" s="679"/>
    </row>
    <row r="32854" spans="32:32" x14ac:dyDescent="0.2">
      <c r="AF32854" s="679"/>
    </row>
    <row r="32855" spans="32:32" x14ac:dyDescent="0.2">
      <c r="AF32855" s="679"/>
    </row>
    <row r="32856" spans="32:32" x14ac:dyDescent="0.2">
      <c r="AF32856" s="679"/>
    </row>
    <row r="32857" spans="32:32" x14ac:dyDescent="0.2">
      <c r="AF32857" s="679"/>
    </row>
    <row r="32858" spans="32:32" x14ac:dyDescent="0.2">
      <c r="AF32858" s="679"/>
    </row>
    <row r="32859" spans="32:32" x14ac:dyDescent="0.2">
      <c r="AF32859" s="679"/>
    </row>
    <row r="32860" spans="32:32" x14ac:dyDescent="0.2">
      <c r="AF32860" s="679"/>
    </row>
    <row r="32861" spans="32:32" x14ac:dyDescent="0.2">
      <c r="AF32861" s="679"/>
    </row>
    <row r="32862" spans="32:32" x14ac:dyDescent="0.2">
      <c r="AF32862" s="679"/>
    </row>
    <row r="32863" spans="32:32" x14ac:dyDescent="0.2">
      <c r="AF32863" s="679"/>
    </row>
    <row r="32864" spans="32:32" x14ac:dyDescent="0.2">
      <c r="AF32864" s="679"/>
    </row>
    <row r="32865" spans="32:32" x14ac:dyDescent="0.2">
      <c r="AF32865" s="679"/>
    </row>
    <row r="32866" spans="32:32" x14ac:dyDescent="0.2">
      <c r="AF32866" s="679"/>
    </row>
    <row r="32867" spans="32:32" x14ac:dyDescent="0.2">
      <c r="AF32867" s="679"/>
    </row>
    <row r="32868" spans="32:32" x14ac:dyDescent="0.2">
      <c r="AF32868" s="679"/>
    </row>
    <row r="32869" spans="32:32" x14ac:dyDescent="0.2">
      <c r="AF32869" s="679"/>
    </row>
    <row r="32870" spans="32:32" x14ac:dyDescent="0.2">
      <c r="AF32870" s="679"/>
    </row>
    <row r="32871" spans="32:32" x14ac:dyDescent="0.2">
      <c r="AF32871" s="679"/>
    </row>
    <row r="32872" spans="32:32" x14ac:dyDescent="0.2">
      <c r="AF32872" s="679"/>
    </row>
    <row r="32873" spans="32:32" x14ac:dyDescent="0.2">
      <c r="AF32873" s="679"/>
    </row>
    <row r="32874" spans="32:32" x14ac:dyDescent="0.2">
      <c r="AF32874" s="679"/>
    </row>
    <row r="32875" spans="32:32" x14ac:dyDescent="0.2">
      <c r="AF32875" s="679"/>
    </row>
    <row r="32876" spans="32:32" x14ac:dyDescent="0.2">
      <c r="AF32876" s="679"/>
    </row>
    <row r="32877" spans="32:32" x14ac:dyDescent="0.2">
      <c r="AF32877" s="679"/>
    </row>
    <row r="32878" spans="32:32" x14ac:dyDescent="0.2">
      <c r="AF32878" s="679"/>
    </row>
    <row r="32879" spans="32:32" x14ac:dyDescent="0.2">
      <c r="AF32879" s="679"/>
    </row>
    <row r="32880" spans="32:32" x14ac:dyDescent="0.2">
      <c r="AF32880" s="679"/>
    </row>
    <row r="32881" spans="32:32" x14ac:dyDescent="0.2">
      <c r="AF32881" s="679"/>
    </row>
    <row r="32882" spans="32:32" x14ac:dyDescent="0.2">
      <c r="AF32882" s="679"/>
    </row>
    <row r="32883" spans="32:32" x14ac:dyDescent="0.2">
      <c r="AF32883" s="679"/>
    </row>
    <row r="32884" spans="32:32" x14ac:dyDescent="0.2">
      <c r="AF32884" s="679"/>
    </row>
    <row r="32885" spans="32:32" x14ac:dyDescent="0.2">
      <c r="AF32885" s="679"/>
    </row>
    <row r="32886" spans="32:32" x14ac:dyDescent="0.2">
      <c r="AF32886" s="679"/>
    </row>
    <row r="32887" spans="32:32" x14ac:dyDescent="0.2">
      <c r="AF32887" s="679"/>
    </row>
    <row r="32888" spans="32:32" x14ac:dyDescent="0.2">
      <c r="AF32888" s="679"/>
    </row>
    <row r="32889" spans="32:32" x14ac:dyDescent="0.2">
      <c r="AF32889" s="679"/>
    </row>
    <row r="32890" spans="32:32" x14ac:dyDescent="0.2">
      <c r="AF32890" s="679"/>
    </row>
    <row r="32891" spans="32:32" x14ac:dyDescent="0.2">
      <c r="AF32891" s="679"/>
    </row>
    <row r="32892" spans="32:32" x14ac:dyDescent="0.2">
      <c r="AF32892" s="679"/>
    </row>
    <row r="32893" spans="32:32" x14ac:dyDescent="0.2">
      <c r="AF32893" s="679"/>
    </row>
    <row r="32894" spans="32:32" x14ac:dyDescent="0.2">
      <c r="AF32894" s="679"/>
    </row>
    <row r="32895" spans="32:32" x14ac:dyDescent="0.2">
      <c r="AF32895" s="679"/>
    </row>
    <row r="32896" spans="32:32" x14ac:dyDescent="0.2">
      <c r="AF32896" s="679"/>
    </row>
    <row r="32897" spans="32:32" x14ac:dyDescent="0.2">
      <c r="AF32897" s="679"/>
    </row>
    <row r="32898" spans="32:32" x14ac:dyDescent="0.2">
      <c r="AF32898" s="679"/>
    </row>
    <row r="32899" spans="32:32" x14ac:dyDescent="0.2">
      <c r="AF32899" s="679"/>
    </row>
    <row r="32900" spans="32:32" x14ac:dyDescent="0.2">
      <c r="AF32900" s="679"/>
    </row>
    <row r="32901" spans="32:32" x14ac:dyDescent="0.2">
      <c r="AF32901" s="679"/>
    </row>
    <row r="32902" spans="32:32" x14ac:dyDescent="0.2">
      <c r="AF32902" s="679"/>
    </row>
    <row r="32903" spans="32:32" x14ac:dyDescent="0.2">
      <c r="AF32903" s="679"/>
    </row>
    <row r="32904" spans="32:32" x14ac:dyDescent="0.2">
      <c r="AF32904" s="679"/>
    </row>
    <row r="32905" spans="32:32" x14ac:dyDescent="0.2">
      <c r="AF32905" s="679"/>
    </row>
    <row r="32906" spans="32:32" x14ac:dyDescent="0.2">
      <c r="AF32906" s="679"/>
    </row>
    <row r="32907" spans="32:32" x14ac:dyDescent="0.2">
      <c r="AF32907" s="679"/>
    </row>
    <row r="32908" spans="32:32" x14ac:dyDescent="0.2">
      <c r="AF32908" s="679"/>
    </row>
    <row r="32909" spans="32:32" x14ac:dyDescent="0.2">
      <c r="AF32909" s="679"/>
    </row>
    <row r="32910" spans="32:32" x14ac:dyDescent="0.2">
      <c r="AF32910" s="679"/>
    </row>
    <row r="32911" spans="32:32" x14ac:dyDescent="0.2">
      <c r="AF32911" s="679"/>
    </row>
    <row r="32912" spans="32:32" x14ac:dyDescent="0.2">
      <c r="AF32912" s="679"/>
    </row>
    <row r="32913" spans="32:32" x14ac:dyDescent="0.2">
      <c r="AF32913" s="679"/>
    </row>
    <row r="32914" spans="32:32" x14ac:dyDescent="0.2">
      <c r="AF32914" s="679"/>
    </row>
    <row r="32915" spans="32:32" x14ac:dyDescent="0.2">
      <c r="AF32915" s="679"/>
    </row>
    <row r="32916" spans="32:32" x14ac:dyDescent="0.2">
      <c r="AF32916" s="679"/>
    </row>
    <row r="32917" spans="32:32" x14ac:dyDescent="0.2">
      <c r="AF32917" s="679"/>
    </row>
    <row r="32918" spans="32:32" x14ac:dyDescent="0.2">
      <c r="AF32918" s="679"/>
    </row>
    <row r="32919" spans="32:32" x14ac:dyDescent="0.2">
      <c r="AF32919" s="679"/>
    </row>
    <row r="32920" spans="32:32" x14ac:dyDescent="0.2">
      <c r="AF32920" s="679"/>
    </row>
    <row r="32921" spans="32:32" x14ac:dyDescent="0.2">
      <c r="AF32921" s="679"/>
    </row>
    <row r="32922" spans="32:32" x14ac:dyDescent="0.2">
      <c r="AF32922" s="679"/>
    </row>
    <row r="32923" spans="32:32" x14ac:dyDescent="0.2">
      <c r="AF32923" s="679"/>
    </row>
    <row r="32924" spans="32:32" x14ac:dyDescent="0.2">
      <c r="AF32924" s="679"/>
    </row>
    <row r="32925" spans="32:32" x14ac:dyDescent="0.2">
      <c r="AF32925" s="679"/>
    </row>
    <row r="32926" spans="32:32" x14ac:dyDescent="0.2">
      <c r="AF32926" s="679"/>
    </row>
    <row r="32927" spans="32:32" x14ac:dyDescent="0.2">
      <c r="AF32927" s="679"/>
    </row>
    <row r="32928" spans="32:32" x14ac:dyDescent="0.2">
      <c r="AF32928" s="679"/>
    </row>
    <row r="32929" spans="32:32" x14ac:dyDescent="0.2">
      <c r="AF32929" s="679"/>
    </row>
    <row r="32930" spans="32:32" x14ac:dyDescent="0.2">
      <c r="AF32930" s="679"/>
    </row>
    <row r="32931" spans="32:32" x14ac:dyDescent="0.2">
      <c r="AF32931" s="679"/>
    </row>
    <row r="32932" spans="32:32" x14ac:dyDescent="0.2">
      <c r="AF32932" s="679"/>
    </row>
    <row r="32933" spans="32:32" x14ac:dyDescent="0.2">
      <c r="AF32933" s="679"/>
    </row>
    <row r="32934" spans="32:32" x14ac:dyDescent="0.2">
      <c r="AF32934" s="679"/>
    </row>
    <row r="32935" spans="32:32" x14ac:dyDescent="0.2">
      <c r="AF32935" s="679"/>
    </row>
    <row r="32936" spans="32:32" x14ac:dyDescent="0.2">
      <c r="AF32936" s="679"/>
    </row>
    <row r="32937" spans="32:32" x14ac:dyDescent="0.2">
      <c r="AF32937" s="679"/>
    </row>
    <row r="32938" spans="32:32" x14ac:dyDescent="0.2">
      <c r="AF32938" s="679"/>
    </row>
    <row r="32939" spans="32:32" x14ac:dyDescent="0.2">
      <c r="AF32939" s="679"/>
    </row>
    <row r="32940" spans="32:32" x14ac:dyDescent="0.2">
      <c r="AF32940" s="679"/>
    </row>
    <row r="32941" spans="32:32" x14ac:dyDescent="0.2">
      <c r="AF32941" s="679"/>
    </row>
    <row r="32942" spans="32:32" x14ac:dyDescent="0.2">
      <c r="AF32942" s="679"/>
    </row>
    <row r="32943" spans="32:32" x14ac:dyDescent="0.2">
      <c r="AF32943" s="679"/>
    </row>
    <row r="32944" spans="32:32" x14ac:dyDescent="0.2">
      <c r="AF32944" s="679"/>
    </row>
    <row r="32945" spans="32:32" x14ac:dyDescent="0.2">
      <c r="AF32945" s="679"/>
    </row>
    <row r="32946" spans="32:32" x14ac:dyDescent="0.2">
      <c r="AF32946" s="679"/>
    </row>
    <row r="32947" spans="32:32" x14ac:dyDescent="0.2">
      <c r="AF32947" s="679"/>
    </row>
    <row r="32948" spans="32:32" x14ac:dyDescent="0.2">
      <c r="AF32948" s="679"/>
    </row>
    <row r="32949" spans="32:32" x14ac:dyDescent="0.2">
      <c r="AF32949" s="679"/>
    </row>
    <row r="32950" spans="32:32" x14ac:dyDescent="0.2">
      <c r="AF32950" s="679"/>
    </row>
    <row r="32951" spans="32:32" x14ac:dyDescent="0.2">
      <c r="AF32951" s="679"/>
    </row>
    <row r="32952" spans="32:32" x14ac:dyDescent="0.2">
      <c r="AF32952" s="679"/>
    </row>
    <row r="32953" spans="32:32" x14ac:dyDescent="0.2">
      <c r="AF32953" s="679"/>
    </row>
    <row r="32954" spans="32:32" x14ac:dyDescent="0.2">
      <c r="AF32954" s="679"/>
    </row>
    <row r="32955" spans="32:32" x14ac:dyDescent="0.2">
      <c r="AF32955" s="679"/>
    </row>
    <row r="32956" spans="32:32" x14ac:dyDescent="0.2">
      <c r="AF32956" s="679"/>
    </row>
    <row r="32957" spans="32:32" x14ac:dyDescent="0.2">
      <c r="AF32957" s="679"/>
    </row>
    <row r="32958" spans="32:32" x14ac:dyDescent="0.2">
      <c r="AF32958" s="679"/>
    </row>
    <row r="32959" spans="32:32" x14ac:dyDescent="0.2">
      <c r="AF32959" s="679"/>
    </row>
    <row r="32960" spans="32:32" x14ac:dyDescent="0.2">
      <c r="AF32960" s="679"/>
    </row>
    <row r="32961" spans="32:32" x14ac:dyDescent="0.2">
      <c r="AF32961" s="679"/>
    </row>
    <row r="32962" spans="32:32" x14ac:dyDescent="0.2">
      <c r="AF32962" s="679"/>
    </row>
    <row r="32963" spans="32:32" x14ac:dyDescent="0.2">
      <c r="AF32963" s="679"/>
    </row>
    <row r="32964" spans="32:32" x14ac:dyDescent="0.2">
      <c r="AF32964" s="679"/>
    </row>
    <row r="32965" spans="32:32" x14ac:dyDescent="0.2">
      <c r="AF32965" s="679"/>
    </row>
    <row r="32966" spans="32:32" x14ac:dyDescent="0.2">
      <c r="AF32966" s="679"/>
    </row>
    <row r="32967" spans="32:32" x14ac:dyDescent="0.2">
      <c r="AF32967" s="679"/>
    </row>
    <row r="32968" spans="32:32" x14ac:dyDescent="0.2">
      <c r="AF32968" s="679"/>
    </row>
    <row r="32969" spans="32:32" x14ac:dyDescent="0.2">
      <c r="AF32969" s="679"/>
    </row>
    <row r="32970" spans="32:32" x14ac:dyDescent="0.2">
      <c r="AF32970" s="679"/>
    </row>
    <row r="32971" spans="32:32" x14ac:dyDescent="0.2">
      <c r="AF32971" s="679"/>
    </row>
    <row r="32972" spans="32:32" x14ac:dyDescent="0.2">
      <c r="AF32972" s="679"/>
    </row>
    <row r="32973" spans="32:32" x14ac:dyDescent="0.2">
      <c r="AF32973" s="679"/>
    </row>
    <row r="32974" spans="32:32" x14ac:dyDescent="0.2">
      <c r="AF32974" s="679"/>
    </row>
    <row r="32975" spans="32:32" x14ac:dyDescent="0.2">
      <c r="AF32975" s="679"/>
    </row>
    <row r="32976" spans="32:32" x14ac:dyDescent="0.2">
      <c r="AF32976" s="679"/>
    </row>
    <row r="32977" spans="32:32" x14ac:dyDescent="0.2">
      <c r="AF32977" s="679"/>
    </row>
    <row r="32978" spans="32:32" x14ac:dyDescent="0.2">
      <c r="AF32978" s="679"/>
    </row>
    <row r="32979" spans="32:32" x14ac:dyDescent="0.2">
      <c r="AF32979" s="679"/>
    </row>
    <row r="32980" spans="32:32" x14ac:dyDescent="0.2">
      <c r="AF32980" s="679"/>
    </row>
    <row r="32981" spans="32:32" x14ac:dyDescent="0.2">
      <c r="AF32981" s="679"/>
    </row>
    <row r="32982" spans="32:32" x14ac:dyDescent="0.2">
      <c r="AF32982" s="679"/>
    </row>
    <row r="32983" spans="32:32" x14ac:dyDescent="0.2">
      <c r="AF32983" s="679"/>
    </row>
    <row r="32984" spans="32:32" x14ac:dyDescent="0.2">
      <c r="AF32984" s="679"/>
    </row>
    <row r="32985" spans="32:32" x14ac:dyDescent="0.2">
      <c r="AF32985" s="679"/>
    </row>
    <row r="32986" spans="32:32" x14ac:dyDescent="0.2">
      <c r="AF32986" s="679"/>
    </row>
    <row r="32987" spans="32:32" x14ac:dyDescent="0.2">
      <c r="AF32987" s="679"/>
    </row>
    <row r="32988" spans="32:32" x14ac:dyDescent="0.2">
      <c r="AF32988" s="679"/>
    </row>
    <row r="32989" spans="32:32" x14ac:dyDescent="0.2">
      <c r="AF32989" s="679"/>
    </row>
    <row r="32990" spans="32:32" x14ac:dyDescent="0.2">
      <c r="AF32990" s="679"/>
    </row>
    <row r="32991" spans="32:32" x14ac:dyDescent="0.2">
      <c r="AF32991" s="679"/>
    </row>
    <row r="32992" spans="32:32" x14ac:dyDescent="0.2">
      <c r="AF32992" s="679"/>
    </row>
    <row r="32993" spans="32:32" x14ac:dyDescent="0.2">
      <c r="AF32993" s="679"/>
    </row>
    <row r="32994" spans="32:32" x14ac:dyDescent="0.2">
      <c r="AF32994" s="679"/>
    </row>
    <row r="32995" spans="32:32" x14ac:dyDescent="0.2">
      <c r="AF32995" s="679"/>
    </row>
    <row r="32996" spans="32:32" x14ac:dyDescent="0.2">
      <c r="AF32996" s="679"/>
    </row>
    <row r="32997" spans="32:32" x14ac:dyDescent="0.2">
      <c r="AF32997" s="679"/>
    </row>
    <row r="32998" spans="32:32" x14ac:dyDescent="0.2">
      <c r="AF32998" s="679"/>
    </row>
    <row r="32999" spans="32:32" x14ac:dyDescent="0.2">
      <c r="AF32999" s="679"/>
    </row>
    <row r="33000" spans="32:32" x14ac:dyDescent="0.2">
      <c r="AF33000" s="679"/>
    </row>
    <row r="33001" spans="32:32" x14ac:dyDescent="0.2">
      <c r="AF33001" s="679"/>
    </row>
    <row r="33002" spans="32:32" x14ac:dyDescent="0.2">
      <c r="AF33002" s="679"/>
    </row>
    <row r="33003" spans="32:32" x14ac:dyDescent="0.2">
      <c r="AF33003" s="679"/>
    </row>
    <row r="33004" spans="32:32" x14ac:dyDescent="0.2">
      <c r="AF33004" s="679"/>
    </row>
    <row r="33005" spans="32:32" x14ac:dyDescent="0.2">
      <c r="AF33005" s="679"/>
    </row>
    <row r="33006" spans="32:32" x14ac:dyDescent="0.2">
      <c r="AF33006" s="679"/>
    </row>
    <row r="33007" spans="32:32" x14ac:dyDescent="0.2">
      <c r="AF33007" s="679"/>
    </row>
    <row r="33008" spans="32:32" x14ac:dyDescent="0.2">
      <c r="AF33008" s="679"/>
    </row>
    <row r="33009" spans="32:32" x14ac:dyDescent="0.2">
      <c r="AF33009" s="679"/>
    </row>
    <row r="33010" spans="32:32" x14ac:dyDescent="0.2">
      <c r="AF33010" s="679"/>
    </row>
    <row r="33011" spans="32:32" x14ac:dyDescent="0.2">
      <c r="AF33011" s="679"/>
    </row>
    <row r="33012" spans="32:32" x14ac:dyDescent="0.2">
      <c r="AF33012" s="679"/>
    </row>
    <row r="33013" spans="32:32" x14ac:dyDescent="0.2">
      <c r="AF33013" s="679"/>
    </row>
    <row r="33014" spans="32:32" x14ac:dyDescent="0.2">
      <c r="AF33014" s="679"/>
    </row>
    <row r="33015" spans="32:32" x14ac:dyDescent="0.2">
      <c r="AF33015" s="679"/>
    </row>
    <row r="33016" spans="32:32" x14ac:dyDescent="0.2">
      <c r="AF33016" s="679"/>
    </row>
    <row r="33017" spans="32:32" x14ac:dyDescent="0.2">
      <c r="AF33017" s="679"/>
    </row>
    <row r="33018" spans="32:32" x14ac:dyDescent="0.2">
      <c r="AF33018" s="679"/>
    </row>
    <row r="33019" spans="32:32" x14ac:dyDescent="0.2">
      <c r="AF33019" s="679"/>
    </row>
    <row r="33020" spans="32:32" x14ac:dyDescent="0.2">
      <c r="AF33020" s="679"/>
    </row>
    <row r="33021" spans="32:32" x14ac:dyDescent="0.2">
      <c r="AF33021" s="679"/>
    </row>
    <row r="33022" spans="32:32" x14ac:dyDescent="0.2">
      <c r="AF33022" s="679"/>
    </row>
    <row r="33023" spans="32:32" x14ac:dyDescent="0.2">
      <c r="AF33023" s="679"/>
    </row>
    <row r="33024" spans="32:32" x14ac:dyDescent="0.2">
      <c r="AF33024" s="679"/>
    </row>
    <row r="33025" spans="32:32" x14ac:dyDescent="0.2">
      <c r="AF33025" s="679"/>
    </row>
    <row r="33026" spans="32:32" x14ac:dyDescent="0.2">
      <c r="AF33026" s="679"/>
    </row>
    <row r="33027" spans="32:32" x14ac:dyDescent="0.2">
      <c r="AF33027" s="679"/>
    </row>
    <row r="33028" spans="32:32" x14ac:dyDescent="0.2">
      <c r="AF33028" s="679"/>
    </row>
    <row r="33029" spans="32:32" x14ac:dyDescent="0.2">
      <c r="AF33029" s="679"/>
    </row>
    <row r="33030" spans="32:32" x14ac:dyDescent="0.2">
      <c r="AF33030" s="679"/>
    </row>
    <row r="33031" spans="32:32" x14ac:dyDescent="0.2">
      <c r="AF33031" s="679"/>
    </row>
    <row r="33032" spans="32:32" x14ac:dyDescent="0.2">
      <c r="AF33032" s="679"/>
    </row>
    <row r="33033" spans="32:32" x14ac:dyDescent="0.2">
      <c r="AF33033" s="679"/>
    </row>
    <row r="33034" spans="32:32" x14ac:dyDescent="0.2">
      <c r="AF33034" s="679"/>
    </row>
    <row r="33035" spans="32:32" x14ac:dyDescent="0.2">
      <c r="AF33035" s="679"/>
    </row>
    <row r="33036" spans="32:32" x14ac:dyDescent="0.2">
      <c r="AF33036" s="679"/>
    </row>
    <row r="33037" spans="32:32" x14ac:dyDescent="0.2">
      <c r="AF33037" s="679"/>
    </row>
    <row r="33038" spans="32:32" x14ac:dyDescent="0.2">
      <c r="AF33038" s="679"/>
    </row>
    <row r="33039" spans="32:32" x14ac:dyDescent="0.2">
      <c r="AF33039" s="679"/>
    </row>
    <row r="33040" spans="32:32" x14ac:dyDescent="0.2">
      <c r="AF33040" s="679"/>
    </row>
    <row r="33041" spans="32:32" x14ac:dyDescent="0.2">
      <c r="AF33041" s="679"/>
    </row>
    <row r="33042" spans="32:32" x14ac:dyDescent="0.2">
      <c r="AF33042" s="679"/>
    </row>
    <row r="33043" spans="32:32" x14ac:dyDescent="0.2">
      <c r="AF33043" s="679"/>
    </row>
    <row r="33044" spans="32:32" x14ac:dyDescent="0.2">
      <c r="AF33044" s="679"/>
    </row>
    <row r="33045" spans="32:32" x14ac:dyDescent="0.2">
      <c r="AF33045" s="679"/>
    </row>
    <row r="33046" spans="32:32" x14ac:dyDescent="0.2">
      <c r="AF33046" s="679"/>
    </row>
    <row r="33047" spans="32:32" x14ac:dyDescent="0.2">
      <c r="AF33047" s="679"/>
    </row>
    <row r="33048" spans="32:32" x14ac:dyDescent="0.2">
      <c r="AF33048" s="679"/>
    </row>
    <row r="33049" spans="32:32" x14ac:dyDescent="0.2">
      <c r="AF33049" s="679"/>
    </row>
    <row r="33050" spans="32:32" x14ac:dyDescent="0.2">
      <c r="AF33050" s="679"/>
    </row>
    <row r="33051" spans="32:32" x14ac:dyDescent="0.2">
      <c r="AF33051" s="679"/>
    </row>
    <row r="33052" spans="32:32" x14ac:dyDescent="0.2">
      <c r="AF33052" s="679"/>
    </row>
    <row r="33053" spans="32:32" x14ac:dyDescent="0.2">
      <c r="AF33053" s="679"/>
    </row>
    <row r="33054" spans="32:32" x14ac:dyDescent="0.2">
      <c r="AF33054" s="679"/>
    </row>
    <row r="33055" spans="32:32" x14ac:dyDescent="0.2">
      <c r="AF33055" s="679"/>
    </row>
    <row r="33056" spans="32:32" x14ac:dyDescent="0.2">
      <c r="AF33056" s="679"/>
    </row>
    <row r="33057" spans="32:32" x14ac:dyDescent="0.2">
      <c r="AF33057" s="679"/>
    </row>
    <row r="33058" spans="32:32" x14ac:dyDescent="0.2">
      <c r="AF33058" s="679"/>
    </row>
    <row r="33059" spans="32:32" x14ac:dyDescent="0.2">
      <c r="AF33059" s="679"/>
    </row>
    <row r="33060" spans="32:32" x14ac:dyDescent="0.2">
      <c r="AF33060" s="679"/>
    </row>
    <row r="33061" spans="32:32" x14ac:dyDescent="0.2">
      <c r="AF33061" s="679"/>
    </row>
    <row r="33062" spans="32:32" x14ac:dyDescent="0.2">
      <c r="AF33062" s="679"/>
    </row>
    <row r="33063" spans="32:32" x14ac:dyDescent="0.2">
      <c r="AF33063" s="679"/>
    </row>
    <row r="33064" spans="32:32" x14ac:dyDescent="0.2">
      <c r="AF33064" s="679"/>
    </row>
    <row r="33065" spans="32:32" x14ac:dyDescent="0.2">
      <c r="AF33065" s="679"/>
    </row>
    <row r="33066" spans="32:32" x14ac:dyDescent="0.2">
      <c r="AF33066" s="679"/>
    </row>
    <row r="33067" spans="32:32" x14ac:dyDescent="0.2">
      <c r="AF33067" s="679"/>
    </row>
    <row r="33068" spans="32:32" x14ac:dyDescent="0.2">
      <c r="AF33068" s="679"/>
    </row>
    <row r="33069" spans="32:32" x14ac:dyDescent="0.2">
      <c r="AF33069" s="679"/>
    </row>
    <row r="33070" spans="32:32" x14ac:dyDescent="0.2">
      <c r="AF33070" s="679"/>
    </row>
    <row r="33071" spans="32:32" x14ac:dyDescent="0.2">
      <c r="AF33071" s="679"/>
    </row>
    <row r="33072" spans="32:32" x14ac:dyDescent="0.2">
      <c r="AF33072" s="679"/>
    </row>
    <row r="33073" spans="32:32" x14ac:dyDescent="0.2">
      <c r="AF33073" s="679"/>
    </row>
    <row r="33074" spans="32:32" x14ac:dyDescent="0.2">
      <c r="AF33074" s="679"/>
    </row>
    <row r="33075" spans="32:32" x14ac:dyDescent="0.2">
      <c r="AF33075" s="679"/>
    </row>
    <row r="33076" spans="32:32" x14ac:dyDescent="0.2">
      <c r="AF33076" s="679"/>
    </row>
    <row r="33077" spans="32:32" x14ac:dyDescent="0.2">
      <c r="AF33077" s="679"/>
    </row>
    <row r="33078" spans="32:32" x14ac:dyDescent="0.2">
      <c r="AF33078" s="679"/>
    </row>
    <row r="33079" spans="32:32" x14ac:dyDescent="0.2">
      <c r="AF33079" s="679"/>
    </row>
    <row r="33080" spans="32:32" x14ac:dyDescent="0.2">
      <c r="AF33080" s="679"/>
    </row>
    <row r="33081" spans="32:32" x14ac:dyDescent="0.2">
      <c r="AF33081" s="679"/>
    </row>
    <row r="33082" spans="32:32" x14ac:dyDescent="0.2">
      <c r="AF33082" s="679"/>
    </row>
    <row r="33083" spans="32:32" x14ac:dyDescent="0.2">
      <c r="AF33083" s="679"/>
    </row>
    <row r="33084" spans="32:32" x14ac:dyDescent="0.2">
      <c r="AF33084" s="679"/>
    </row>
    <row r="33085" spans="32:32" x14ac:dyDescent="0.2">
      <c r="AF33085" s="679"/>
    </row>
    <row r="33086" spans="32:32" x14ac:dyDescent="0.2">
      <c r="AF33086" s="679"/>
    </row>
    <row r="33087" spans="32:32" x14ac:dyDescent="0.2">
      <c r="AF33087" s="679"/>
    </row>
    <row r="33088" spans="32:32" x14ac:dyDescent="0.2">
      <c r="AF33088" s="679"/>
    </row>
    <row r="33089" spans="32:32" x14ac:dyDescent="0.2">
      <c r="AF33089" s="679"/>
    </row>
    <row r="33090" spans="32:32" x14ac:dyDescent="0.2">
      <c r="AF33090" s="679"/>
    </row>
    <row r="33091" spans="32:32" x14ac:dyDescent="0.2">
      <c r="AF33091" s="679"/>
    </row>
    <row r="33092" spans="32:32" x14ac:dyDescent="0.2">
      <c r="AF33092" s="679"/>
    </row>
    <row r="33093" spans="32:32" x14ac:dyDescent="0.2">
      <c r="AF33093" s="679"/>
    </row>
    <row r="33094" spans="32:32" x14ac:dyDescent="0.2">
      <c r="AF33094" s="679"/>
    </row>
    <row r="33095" spans="32:32" x14ac:dyDescent="0.2">
      <c r="AF33095" s="679"/>
    </row>
    <row r="33096" spans="32:32" x14ac:dyDescent="0.2">
      <c r="AF33096" s="679"/>
    </row>
    <row r="33097" spans="32:32" x14ac:dyDescent="0.2">
      <c r="AF33097" s="679"/>
    </row>
    <row r="33098" spans="32:32" x14ac:dyDescent="0.2">
      <c r="AF33098" s="679"/>
    </row>
    <row r="33099" spans="32:32" x14ac:dyDescent="0.2">
      <c r="AF33099" s="679"/>
    </row>
    <row r="33100" spans="32:32" x14ac:dyDescent="0.2">
      <c r="AF33100" s="679"/>
    </row>
    <row r="33101" spans="32:32" x14ac:dyDescent="0.2">
      <c r="AF33101" s="679"/>
    </row>
    <row r="33102" spans="32:32" x14ac:dyDescent="0.2">
      <c r="AF33102" s="679"/>
    </row>
    <row r="33103" spans="32:32" x14ac:dyDescent="0.2">
      <c r="AF33103" s="679"/>
    </row>
    <row r="33104" spans="32:32" x14ac:dyDescent="0.2">
      <c r="AF33104" s="679"/>
    </row>
    <row r="33105" spans="32:32" x14ac:dyDescent="0.2">
      <c r="AF33105" s="679"/>
    </row>
    <row r="33106" spans="32:32" x14ac:dyDescent="0.2">
      <c r="AF33106" s="679"/>
    </row>
    <row r="33107" spans="32:32" x14ac:dyDescent="0.2">
      <c r="AF33107" s="679"/>
    </row>
    <row r="33108" spans="32:32" x14ac:dyDescent="0.2">
      <c r="AF33108" s="679"/>
    </row>
    <row r="33109" spans="32:32" x14ac:dyDescent="0.2">
      <c r="AF33109" s="679"/>
    </row>
    <row r="33110" spans="32:32" x14ac:dyDescent="0.2">
      <c r="AF33110" s="679"/>
    </row>
    <row r="33111" spans="32:32" x14ac:dyDescent="0.2">
      <c r="AF33111" s="679"/>
    </row>
    <row r="33112" spans="32:32" x14ac:dyDescent="0.2">
      <c r="AF33112" s="679"/>
    </row>
    <row r="33113" spans="32:32" x14ac:dyDescent="0.2">
      <c r="AF33113" s="679"/>
    </row>
    <row r="33114" spans="32:32" x14ac:dyDescent="0.2">
      <c r="AF33114" s="679"/>
    </row>
    <row r="33115" spans="32:32" x14ac:dyDescent="0.2">
      <c r="AF33115" s="679"/>
    </row>
    <row r="33116" spans="32:32" x14ac:dyDescent="0.2">
      <c r="AF33116" s="679"/>
    </row>
    <row r="33117" spans="32:32" x14ac:dyDescent="0.2">
      <c r="AF33117" s="679"/>
    </row>
    <row r="33118" spans="32:32" x14ac:dyDescent="0.2">
      <c r="AF33118" s="679"/>
    </row>
    <row r="33119" spans="32:32" x14ac:dyDescent="0.2">
      <c r="AF33119" s="679"/>
    </row>
    <row r="33120" spans="32:32" x14ac:dyDescent="0.2">
      <c r="AF33120" s="679"/>
    </row>
    <row r="33121" spans="32:32" x14ac:dyDescent="0.2">
      <c r="AF33121" s="679"/>
    </row>
    <row r="33122" spans="32:32" x14ac:dyDescent="0.2">
      <c r="AF33122" s="679"/>
    </row>
    <row r="33123" spans="32:32" x14ac:dyDescent="0.2">
      <c r="AF33123" s="679"/>
    </row>
    <row r="33124" spans="32:32" x14ac:dyDescent="0.2">
      <c r="AF33124" s="679"/>
    </row>
    <row r="33125" spans="32:32" x14ac:dyDescent="0.2">
      <c r="AF33125" s="679"/>
    </row>
    <row r="33126" spans="32:32" x14ac:dyDescent="0.2">
      <c r="AF33126" s="679"/>
    </row>
    <row r="33127" spans="32:32" x14ac:dyDescent="0.2">
      <c r="AF33127" s="679"/>
    </row>
    <row r="33128" spans="32:32" x14ac:dyDescent="0.2">
      <c r="AF33128" s="679"/>
    </row>
    <row r="33129" spans="32:32" x14ac:dyDescent="0.2">
      <c r="AF33129" s="679"/>
    </row>
    <row r="33130" spans="32:32" x14ac:dyDescent="0.2">
      <c r="AF33130" s="679"/>
    </row>
    <row r="33131" spans="32:32" x14ac:dyDescent="0.2">
      <c r="AF33131" s="679"/>
    </row>
    <row r="33132" spans="32:32" x14ac:dyDescent="0.2">
      <c r="AF33132" s="679"/>
    </row>
    <row r="33133" spans="32:32" x14ac:dyDescent="0.2">
      <c r="AF33133" s="679"/>
    </row>
    <row r="33134" spans="32:32" x14ac:dyDescent="0.2">
      <c r="AF33134" s="679"/>
    </row>
    <row r="33135" spans="32:32" x14ac:dyDescent="0.2">
      <c r="AF33135" s="679"/>
    </row>
    <row r="33136" spans="32:32" x14ac:dyDescent="0.2">
      <c r="AF33136" s="679"/>
    </row>
    <row r="33137" spans="32:32" x14ac:dyDescent="0.2">
      <c r="AF33137" s="679"/>
    </row>
    <row r="33138" spans="32:32" x14ac:dyDescent="0.2">
      <c r="AF33138" s="679"/>
    </row>
    <row r="33139" spans="32:32" x14ac:dyDescent="0.2">
      <c r="AF33139" s="679"/>
    </row>
    <row r="33140" spans="32:32" x14ac:dyDescent="0.2">
      <c r="AF33140" s="679"/>
    </row>
    <row r="33141" spans="32:32" x14ac:dyDescent="0.2">
      <c r="AF33141" s="679"/>
    </row>
    <row r="33142" spans="32:32" x14ac:dyDescent="0.2">
      <c r="AF33142" s="679"/>
    </row>
    <row r="33143" spans="32:32" x14ac:dyDescent="0.2">
      <c r="AF33143" s="679"/>
    </row>
    <row r="33144" spans="32:32" x14ac:dyDescent="0.2">
      <c r="AF33144" s="679"/>
    </row>
    <row r="33145" spans="32:32" x14ac:dyDescent="0.2">
      <c r="AF33145" s="679"/>
    </row>
    <row r="33146" spans="32:32" x14ac:dyDescent="0.2">
      <c r="AF33146" s="679"/>
    </row>
    <row r="33147" spans="32:32" x14ac:dyDescent="0.2">
      <c r="AF33147" s="679"/>
    </row>
    <row r="33148" spans="32:32" x14ac:dyDescent="0.2">
      <c r="AF33148" s="679"/>
    </row>
    <row r="33149" spans="32:32" x14ac:dyDescent="0.2">
      <c r="AF33149" s="679"/>
    </row>
    <row r="33150" spans="32:32" x14ac:dyDescent="0.2">
      <c r="AF33150" s="679"/>
    </row>
    <row r="33151" spans="32:32" x14ac:dyDescent="0.2">
      <c r="AF33151" s="679"/>
    </row>
    <row r="33152" spans="32:32" x14ac:dyDescent="0.2">
      <c r="AF33152" s="679"/>
    </row>
    <row r="33153" spans="32:32" x14ac:dyDescent="0.2">
      <c r="AF33153" s="679"/>
    </row>
    <row r="33154" spans="32:32" x14ac:dyDescent="0.2">
      <c r="AF33154" s="679"/>
    </row>
    <row r="33155" spans="32:32" x14ac:dyDescent="0.2">
      <c r="AF33155" s="679"/>
    </row>
    <row r="33156" spans="32:32" x14ac:dyDescent="0.2">
      <c r="AF33156" s="679"/>
    </row>
    <row r="33157" spans="32:32" x14ac:dyDescent="0.2">
      <c r="AF33157" s="679"/>
    </row>
    <row r="33158" spans="32:32" x14ac:dyDescent="0.2">
      <c r="AF33158" s="679"/>
    </row>
    <row r="33159" spans="32:32" x14ac:dyDescent="0.2">
      <c r="AF33159" s="679"/>
    </row>
    <row r="33160" spans="32:32" x14ac:dyDescent="0.2">
      <c r="AF33160" s="679"/>
    </row>
    <row r="33161" spans="32:32" x14ac:dyDescent="0.2">
      <c r="AF33161" s="679"/>
    </row>
    <row r="33162" spans="32:32" x14ac:dyDescent="0.2">
      <c r="AF33162" s="679"/>
    </row>
    <row r="33163" spans="32:32" x14ac:dyDescent="0.2">
      <c r="AF33163" s="679"/>
    </row>
    <row r="33164" spans="32:32" x14ac:dyDescent="0.2">
      <c r="AF33164" s="679"/>
    </row>
    <row r="33165" spans="32:32" x14ac:dyDescent="0.2">
      <c r="AF33165" s="679"/>
    </row>
    <row r="33166" spans="32:32" x14ac:dyDescent="0.2">
      <c r="AF33166" s="679"/>
    </row>
    <row r="33167" spans="32:32" x14ac:dyDescent="0.2">
      <c r="AF33167" s="679"/>
    </row>
    <row r="33168" spans="32:32" x14ac:dyDescent="0.2">
      <c r="AF33168" s="679"/>
    </row>
    <row r="33169" spans="32:32" x14ac:dyDescent="0.2">
      <c r="AF33169" s="679"/>
    </row>
    <row r="33170" spans="32:32" x14ac:dyDescent="0.2">
      <c r="AF33170" s="679"/>
    </row>
    <row r="33171" spans="32:32" x14ac:dyDescent="0.2">
      <c r="AF33171" s="679"/>
    </row>
    <row r="33172" spans="32:32" x14ac:dyDescent="0.2">
      <c r="AF33172" s="679"/>
    </row>
    <row r="33173" spans="32:32" x14ac:dyDescent="0.2">
      <c r="AF33173" s="679"/>
    </row>
    <row r="33174" spans="32:32" x14ac:dyDescent="0.2">
      <c r="AF33174" s="679"/>
    </row>
    <row r="33175" spans="32:32" x14ac:dyDescent="0.2">
      <c r="AF33175" s="679"/>
    </row>
    <row r="33176" spans="32:32" x14ac:dyDescent="0.2">
      <c r="AF33176" s="679"/>
    </row>
    <row r="33177" spans="32:32" x14ac:dyDescent="0.2">
      <c r="AF33177" s="679"/>
    </row>
    <row r="33178" spans="32:32" x14ac:dyDescent="0.2">
      <c r="AF33178" s="679"/>
    </row>
    <row r="33179" spans="32:32" x14ac:dyDescent="0.2">
      <c r="AF33179" s="679"/>
    </row>
    <row r="33180" spans="32:32" x14ac:dyDescent="0.2">
      <c r="AF33180" s="679"/>
    </row>
    <row r="33181" spans="32:32" x14ac:dyDescent="0.2">
      <c r="AF33181" s="679"/>
    </row>
    <row r="33182" spans="32:32" x14ac:dyDescent="0.2">
      <c r="AF33182" s="679"/>
    </row>
    <row r="33183" spans="32:32" x14ac:dyDescent="0.2">
      <c r="AF33183" s="679"/>
    </row>
    <row r="33184" spans="32:32" x14ac:dyDescent="0.2">
      <c r="AF33184" s="679"/>
    </row>
    <row r="33185" spans="32:32" x14ac:dyDescent="0.2">
      <c r="AF33185" s="679"/>
    </row>
    <row r="33186" spans="32:32" x14ac:dyDescent="0.2">
      <c r="AF33186" s="679"/>
    </row>
    <row r="33187" spans="32:32" x14ac:dyDescent="0.2">
      <c r="AF33187" s="679"/>
    </row>
    <row r="33188" spans="32:32" x14ac:dyDescent="0.2">
      <c r="AF33188" s="679"/>
    </row>
    <row r="33189" spans="32:32" x14ac:dyDescent="0.2">
      <c r="AF33189" s="679"/>
    </row>
    <row r="33190" spans="32:32" x14ac:dyDescent="0.2">
      <c r="AF33190" s="679"/>
    </row>
    <row r="33191" spans="32:32" x14ac:dyDescent="0.2">
      <c r="AF33191" s="679"/>
    </row>
    <row r="33192" spans="32:32" x14ac:dyDescent="0.2">
      <c r="AF33192" s="679"/>
    </row>
    <row r="33193" spans="32:32" x14ac:dyDescent="0.2">
      <c r="AF33193" s="679"/>
    </row>
    <row r="33194" spans="32:32" x14ac:dyDescent="0.2">
      <c r="AF33194" s="679"/>
    </row>
    <row r="33195" spans="32:32" x14ac:dyDescent="0.2">
      <c r="AF33195" s="679"/>
    </row>
    <row r="33196" spans="32:32" x14ac:dyDescent="0.2">
      <c r="AF33196" s="679"/>
    </row>
    <row r="33197" spans="32:32" x14ac:dyDescent="0.2">
      <c r="AF33197" s="679"/>
    </row>
    <row r="33198" spans="32:32" x14ac:dyDescent="0.2">
      <c r="AF33198" s="679"/>
    </row>
    <row r="33199" spans="32:32" x14ac:dyDescent="0.2">
      <c r="AF33199" s="679"/>
    </row>
    <row r="33200" spans="32:32" x14ac:dyDescent="0.2">
      <c r="AF33200" s="679"/>
    </row>
    <row r="33201" spans="32:32" x14ac:dyDescent="0.2">
      <c r="AF33201" s="679"/>
    </row>
    <row r="33202" spans="32:32" x14ac:dyDescent="0.2">
      <c r="AF33202" s="679"/>
    </row>
    <row r="33203" spans="32:32" x14ac:dyDescent="0.2">
      <c r="AF33203" s="679"/>
    </row>
    <row r="33204" spans="32:32" x14ac:dyDescent="0.2">
      <c r="AF33204" s="679"/>
    </row>
    <row r="33205" spans="32:32" x14ac:dyDescent="0.2">
      <c r="AF33205" s="679"/>
    </row>
    <row r="33206" spans="32:32" x14ac:dyDescent="0.2">
      <c r="AF33206" s="679"/>
    </row>
    <row r="33207" spans="32:32" x14ac:dyDescent="0.2">
      <c r="AF33207" s="679"/>
    </row>
    <row r="33208" spans="32:32" x14ac:dyDescent="0.2">
      <c r="AF33208" s="679"/>
    </row>
    <row r="33209" spans="32:32" x14ac:dyDescent="0.2">
      <c r="AF33209" s="679"/>
    </row>
    <row r="33210" spans="32:32" x14ac:dyDescent="0.2">
      <c r="AF33210" s="679"/>
    </row>
    <row r="33211" spans="32:32" x14ac:dyDescent="0.2">
      <c r="AF33211" s="679"/>
    </row>
    <row r="33212" spans="32:32" x14ac:dyDescent="0.2">
      <c r="AF33212" s="679"/>
    </row>
    <row r="33213" spans="32:32" x14ac:dyDescent="0.2">
      <c r="AF33213" s="679"/>
    </row>
    <row r="33214" spans="32:32" x14ac:dyDescent="0.2">
      <c r="AF33214" s="679"/>
    </row>
    <row r="33215" spans="32:32" x14ac:dyDescent="0.2">
      <c r="AF33215" s="679"/>
    </row>
    <row r="33216" spans="32:32" x14ac:dyDescent="0.2">
      <c r="AF33216" s="679"/>
    </row>
    <row r="33217" spans="32:32" x14ac:dyDescent="0.2">
      <c r="AF33217" s="679"/>
    </row>
    <row r="33218" spans="32:32" x14ac:dyDescent="0.2">
      <c r="AF33218" s="679"/>
    </row>
    <row r="33219" spans="32:32" x14ac:dyDescent="0.2">
      <c r="AF33219" s="679"/>
    </row>
    <row r="33220" spans="32:32" x14ac:dyDescent="0.2">
      <c r="AF33220" s="679"/>
    </row>
    <row r="33221" spans="32:32" x14ac:dyDescent="0.2">
      <c r="AF33221" s="679"/>
    </row>
    <row r="33222" spans="32:32" x14ac:dyDescent="0.2">
      <c r="AF33222" s="679"/>
    </row>
    <row r="33223" spans="32:32" x14ac:dyDescent="0.2">
      <c r="AF33223" s="679"/>
    </row>
    <row r="33224" spans="32:32" x14ac:dyDescent="0.2">
      <c r="AF33224" s="679"/>
    </row>
    <row r="33225" spans="32:32" x14ac:dyDescent="0.2">
      <c r="AF33225" s="679"/>
    </row>
    <row r="33226" spans="32:32" x14ac:dyDescent="0.2">
      <c r="AF33226" s="679"/>
    </row>
    <row r="33227" spans="32:32" x14ac:dyDescent="0.2">
      <c r="AF33227" s="679"/>
    </row>
    <row r="33228" spans="32:32" x14ac:dyDescent="0.2">
      <c r="AF33228" s="679"/>
    </row>
    <row r="33229" spans="32:32" x14ac:dyDescent="0.2">
      <c r="AF33229" s="679"/>
    </row>
    <row r="33230" spans="32:32" x14ac:dyDescent="0.2">
      <c r="AF33230" s="679"/>
    </row>
    <row r="33231" spans="32:32" x14ac:dyDescent="0.2">
      <c r="AF33231" s="679"/>
    </row>
    <row r="33232" spans="32:32" x14ac:dyDescent="0.2">
      <c r="AF33232" s="679"/>
    </row>
    <row r="33233" spans="32:32" x14ac:dyDescent="0.2">
      <c r="AF33233" s="679"/>
    </row>
    <row r="33234" spans="32:32" x14ac:dyDescent="0.2">
      <c r="AF33234" s="679"/>
    </row>
    <row r="33235" spans="32:32" x14ac:dyDescent="0.2">
      <c r="AF33235" s="679"/>
    </row>
    <row r="33236" spans="32:32" x14ac:dyDescent="0.2">
      <c r="AF33236" s="679"/>
    </row>
    <row r="33237" spans="32:32" x14ac:dyDescent="0.2">
      <c r="AF33237" s="679"/>
    </row>
    <row r="33238" spans="32:32" x14ac:dyDescent="0.2">
      <c r="AF33238" s="679"/>
    </row>
    <row r="33239" spans="32:32" x14ac:dyDescent="0.2">
      <c r="AF33239" s="679"/>
    </row>
    <row r="33240" spans="32:32" x14ac:dyDescent="0.2">
      <c r="AF33240" s="679"/>
    </row>
    <row r="33241" spans="32:32" x14ac:dyDescent="0.2">
      <c r="AF33241" s="679"/>
    </row>
    <row r="33242" spans="32:32" x14ac:dyDescent="0.2">
      <c r="AF33242" s="679"/>
    </row>
    <row r="33243" spans="32:32" x14ac:dyDescent="0.2">
      <c r="AF33243" s="679"/>
    </row>
    <row r="33244" spans="32:32" x14ac:dyDescent="0.2">
      <c r="AF33244" s="679"/>
    </row>
    <row r="33245" spans="32:32" x14ac:dyDescent="0.2">
      <c r="AF33245" s="679"/>
    </row>
    <row r="33246" spans="32:32" x14ac:dyDescent="0.2">
      <c r="AF33246" s="679"/>
    </row>
    <row r="33247" spans="32:32" x14ac:dyDescent="0.2">
      <c r="AF33247" s="679"/>
    </row>
    <row r="33248" spans="32:32" x14ac:dyDescent="0.2">
      <c r="AF33248" s="679"/>
    </row>
    <row r="33249" spans="32:32" x14ac:dyDescent="0.2">
      <c r="AF33249" s="679"/>
    </row>
    <row r="33250" spans="32:32" x14ac:dyDescent="0.2">
      <c r="AF33250" s="679"/>
    </row>
    <row r="33251" spans="32:32" x14ac:dyDescent="0.2">
      <c r="AF33251" s="679"/>
    </row>
    <row r="33252" spans="32:32" x14ac:dyDescent="0.2">
      <c r="AF33252" s="679"/>
    </row>
    <row r="33253" spans="32:32" x14ac:dyDescent="0.2">
      <c r="AF33253" s="679"/>
    </row>
    <row r="33254" spans="32:32" x14ac:dyDescent="0.2">
      <c r="AF33254" s="679"/>
    </row>
    <row r="33255" spans="32:32" x14ac:dyDescent="0.2">
      <c r="AF33255" s="679"/>
    </row>
    <row r="33256" spans="32:32" x14ac:dyDescent="0.2">
      <c r="AF33256" s="679"/>
    </row>
    <row r="33257" spans="32:32" x14ac:dyDescent="0.2">
      <c r="AF33257" s="679"/>
    </row>
    <row r="33258" spans="32:32" x14ac:dyDescent="0.2">
      <c r="AF33258" s="679"/>
    </row>
    <row r="33259" spans="32:32" x14ac:dyDescent="0.2">
      <c r="AF33259" s="679"/>
    </row>
    <row r="33260" spans="32:32" x14ac:dyDescent="0.2">
      <c r="AF33260" s="679"/>
    </row>
    <row r="33261" spans="32:32" x14ac:dyDescent="0.2">
      <c r="AF33261" s="679"/>
    </row>
    <row r="33262" spans="32:32" x14ac:dyDescent="0.2">
      <c r="AF33262" s="679"/>
    </row>
    <row r="33263" spans="32:32" x14ac:dyDescent="0.2">
      <c r="AF33263" s="679"/>
    </row>
    <row r="33264" spans="32:32" x14ac:dyDescent="0.2">
      <c r="AF33264" s="679"/>
    </row>
    <row r="33265" spans="32:32" x14ac:dyDescent="0.2">
      <c r="AF33265" s="679"/>
    </row>
    <row r="33266" spans="32:32" x14ac:dyDescent="0.2">
      <c r="AF33266" s="679"/>
    </row>
    <row r="33267" spans="32:32" x14ac:dyDescent="0.2">
      <c r="AF33267" s="679"/>
    </row>
    <row r="33268" spans="32:32" x14ac:dyDescent="0.2">
      <c r="AF33268" s="679"/>
    </row>
    <row r="33269" spans="32:32" x14ac:dyDescent="0.2">
      <c r="AF33269" s="679"/>
    </row>
    <row r="33270" spans="32:32" x14ac:dyDescent="0.2">
      <c r="AF33270" s="679"/>
    </row>
    <row r="33271" spans="32:32" x14ac:dyDescent="0.2">
      <c r="AF33271" s="679"/>
    </row>
    <row r="33272" spans="32:32" x14ac:dyDescent="0.2">
      <c r="AF33272" s="679"/>
    </row>
    <row r="33273" spans="32:32" x14ac:dyDescent="0.2">
      <c r="AF33273" s="679"/>
    </row>
    <row r="33274" spans="32:32" x14ac:dyDescent="0.2">
      <c r="AF33274" s="679"/>
    </row>
    <row r="33275" spans="32:32" x14ac:dyDescent="0.2">
      <c r="AF33275" s="679"/>
    </row>
    <row r="33276" spans="32:32" x14ac:dyDescent="0.2">
      <c r="AF33276" s="679"/>
    </row>
    <row r="33277" spans="32:32" x14ac:dyDescent="0.2">
      <c r="AF33277" s="679"/>
    </row>
    <row r="33278" spans="32:32" x14ac:dyDescent="0.2">
      <c r="AF33278" s="679"/>
    </row>
    <row r="33279" spans="32:32" x14ac:dyDescent="0.2">
      <c r="AF33279" s="679"/>
    </row>
    <row r="33280" spans="32:32" x14ac:dyDescent="0.2">
      <c r="AF33280" s="679"/>
    </row>
    <row r="33281" spans="32:32" x14ac:dyDescent="0.2">
      <c r="AF33281" s="679"/>
    </row>
    <row r="33282" spans="32:32" x14ac:dyDescent="0.2">
      <c r="AF33282" s="679"/>
    </row>
    <row r="33283" spans="32:32" x14ac:dyDescent="0.2">
      <c r="AF33283" s="679"/>
    </row>
    <row r="33284" spans="32:32" x14ac:dyDescent="0.2">
      <c r="AF33284" s="679"/>
    </row>
    <row r="33285" spans="32:32" x14ac:dyDescent="0.2">
      <c r="AF33285" s="679"/>
    </row>
    <row r="33286" spans="32:32" x14ac:dyDescent="0.2">
      <c r="AF33286" s="679"/>
    </row>
    <row r="33287" spans="32:32" x14ac:dyDescent="0.2">
      <c r="AF33287" s="679"/>
    </row>
    <row r="33288" spans="32:32" x14ac:dyDescent="0.2">
      <c r="AF33288" s="679"/>
    </row>
    <row r="33289" spans="32:32" x14ac:dyDescent="0.2">
      <c r="AF33289" s="679"/>
    </row>
    <row r="33290" spans="32:32" x14ac:dyDescent="0.2">
      <c r="AF33290" s="679"/>
    </row>
    <row r="33291" spans="32:32" x14ac:dyDescent="0.2">
      <c r="AF33291" s="679"/>
    </row>
    <row r="33292" spans="32:32" x14ac:dyDescent="0.2">
      <c r="AF33292" s="679"/>
    </row>
    <row r="33293" spans="32:32" x14ac:dyDescent="0.2">
      <c r="AF33293" s="679"/>
    </row>
    <row r="33294" spans="32:32" x14ac:dyDescent="0.2">
      <c r="AF33294" s="679"/>
    </row>
    <row r="33295" spans="32:32" x14ac:dyDescent="0.2">
      <c r="AF33295" s="679"/>
    </row>
    <row r="33296" spans="32:32" x14ac:dyDescent="0.2">
      <c r="AF33296" s="679"/>
    </row>
    <row r="33297" spans="32:32" x14ac:dyDescent="0.2">
      <c r="AF33297" s="679"/>
    </row>
    <row r="33298" spans="32:32" x14ac:dyDescent="0.2">
      <c r="AF33298" s="679"/>
    </row>
    <row r="33299" spans="32:32" x14ac:dyDescent="0.2">
      <c r="AF33299" s="679"/>
    </row>
    <row r="33300" spans="32:32" x14ac:dyDescent="0.2">
      <c r="AF33300" s="679"/>
    </row>
    <row r="33301" spans="32:32" x14ac:dyDescent="0.2">
      <c r="AF33301" s="679"/>
    </row>
    <row r="33302" spans="32:32" x14ac:dyDescent="0.2">
      <c r="AF33302" s="679"/>
    </row>
    <row r="33303" spans="32:32" x14ac:dyDescent="0.2">
      <c r="AF33303" s="679"/>
    </row>
    <row r="33304" spans="32:32" x14ac:dyDescent="0.2">
      <c r="AF33304" s="679"/>
    </row>
    <row r="33305" spans="32:32" x14ac:dyDescent="0.2">
      <c r="AF33305" s="679"/>
    </row>
    <row r="33306" spans="32:32" x14ac:dyDescent="0.2">
      <c r="AF33306" s="679"/>
    </row>
    <row r="33307" spans="32:32" x14ac:dyDescent="0.2">
      <c r="AF33307" s="679"/>
    </row>
    <row r="33308" spans="32:32" x14ac:dyDescent="0.2">
      <c r="AF33308" s="679"/>
    </row>
    <row r="33309" spans="32:32" x14ac:dyDescent="0.2">
      <c r="AF33309" s="679"/>
    </row>
    <row r="33310" spans="32:32" x14ac:dyDescent="0.2">
      <c r="AF33310" s="679"/>
    </row>
    <row r="33311" spans="32:32" x14ac:dyDescent="0.2">
      <c r="AF33311" s="679"/>
    </row>
    <row r="33312" spans="32:32" x14ac:dyDescent="0.2">
      <c r="AF33312" s="679"/>
    </row>
    <row r="33313" spans="32:32" x14ac:dyDescent="0.2">
      <c r="AF33313" s="679"/>
    </row>
    <row r="33314" spans="32:32" x14ac:dyDescent="0.2">
      <c r="AF33314" s="679"/>
    </row>
    <row r="33315" spans="32:32" x14ac:dyDescent="0.2">
      <c r="AF33315" s="679"/>
    </row>
    <row r="33316" spans="32:32" x14ac:dyDescent="0.2">
      <c r="AF33316" s="679"/>
    </row>
    <row r="33317" spans="32:32" x14ac:dyDescent="0.2">
      <c r="AF33317" s="679"/>
    </row>
    <row r="33318" spans="32:32" x14ac:dyDescent="0.2">
      <c r="AF33318" s="679"/>
    </row>
    <row r="33319" spans="32:32" x14ac:dyDescent="0.2">
      <c r="AF33319" s="679"/>
    </row>
    <row r="33320" spans="32:32" x14ac:dyDescent="0.2">
      <c r="AF33320" s="679"/>
    </row>
    <row r="33321" spans="32:32" x14ac:dyDescent="0.2">
      <c r="AF33321" s="679"/>
    </row>
    <row r="33322" spans="32:32" x14ac:dyDescent="0.2">
      <c r="AF33322" s="679"/>
    </row>
    <row r="33323" spans="32:32" x14ac:dyDescent="0.2">
      <c r="AF33323" s="679"/>
    </row>
    <row r="33324" spans="32:32" x14ac:dyDescent="0.2">
      <c r="AF33324" s="679"/>
    </row>
    <row r="33325" spans="32:32" x14ac:dyDescent="0.2">
      <c r="AF33325" s="679"/>
    </row>
    <row r="33326" spans="32:32" x14ac:dyDescent="0.2">
      <c r="AF33326" s="679"/>
    </row>
    <row r="33327" spans="32:32" x14ac:dyDescent="0.2">
      <c r="AF33327" s="679"/>
    </row>
    <row r="33328" spans="32:32" x14ac:dyDescent="0.2">
      <c r="AF33328" s="679"/>
    </row>
    <row r="33329" spans="32:32" x14ac:dyDescent="0.2">
      <c r="AF33329" s="679"/>
    </row>
    <row r="33330" spans="32:32" x14ac:dyDescent="0.2">
      <c r="AF33330" s="679"/>
    </row>
    <row r="33331" spans="32:32" x14ac:dyDescent="0.2">
      <c r="AF33331" s="679"/>
    </row>
    <row r="33332" spans="32:32" x14ac:dyDescent="0.2">
      <c r="AF33332" s="679"/>
    </row>
    <row r="33333" spans="32:32" x14ac:dyDescent="0.2">
      <c r="AF33333" s="679"/>
    </row>
    <row r="33334" spans="32:32" x14ac:dyDescent="0.2">
      <c r="AF33334" s="679"/>
    </row>
    <row r="33335" spans="32:32" x14ac:dyDescent="0.2">
      <c r="AF33335" s="679"/>
    </row>
    <row r="33336" spans="32:32" x14ac:dyDescent="0.2">
      <c r="AF33336" s="679"/>
    </row>
    <row r="33337" spans="32:32" x14ac:dyDescent="0.2">
      <c r="AF33337" s="679"/>
    </row>
    <row r="33338" spans="32:32" x14ac:dyDescent="0.2">
      <c r="AF33338" s="679"/>
    </row>
    <row r="33339" spans="32:32" x14ac:dyDescent="0.2">
      <c r="AF33339" s="679"/>
    </row>
    <row r="33340" spans="32:32" x14ac:dyDescent="0.2">
      <c r="AF33340" s="679"/>
    </row>
    <row r="33341" spans="32:32" x14ac:dyDescent="0.2">
      <c r="AF33341" s="679"/>
    </row>
    <row r="33342" spans="32:32" x14ac:dyDescent="0.2">
      <c r="AF33342" s="679"/>
    </row>
    <row r="33343" spans="32:32" x14ac:dyDescent="0.2">
      <c r="AF33343" s="679"/>
    </row>
    <row r="33344" spans="32:32" x14ac:dyDescent="0.2">
      <c r="AF33344" s="679"/>
    </row>
    <row r="33345" spans="32:32" x14ac:dyDescent="0.2">
      <c r="AF33345" s="679"/>
    </row>
    <row r="33346" spans="32:32" x14ac:dyDescent="0.2">
      <c r="AF33346" s="679"/>
    </row>
    <row r="33347" spans="32:32" x14ac:dyDescent="0.2">
      <c r="AF33347" s="679"/>
    </row>
    <row r="33348" spans="32:32" x14ac:dyDescent="0.2">
      <c r="AF33348" s="679"/>
    </row>
    <row r="33349" spans="32:32" x14ac:dyDescent="0.2">
      <c r="AF33349" s="679"/>
    </row>
    <row r="33350" spans="32:32" x14ac:dyDescent="0.2">
      <c r="AF33350" s="679"/>
    </row>
    <row r="33351" spans="32:32" x14ac:dyDescent="0.2">
      <c r="AF33351" s="679"/>
    </row>
    <row r="33352" spans="32:32" x14ac:dyDescent="0.2">
      <c r="AF33352" s="679"/>
    </row>
    <row r="33353" spans="32:32" x14ac:dyDescent="0.2">
      <c r="AF33353" s="679"/>
    </row>
    <row r="33354" spans="32:32" x14ac:dyDescent="0.2">
      <c r="AF33354" s="679"/>
    </row>
    <row r="33355" spans="32:32" x14ac:dyDescent="0.2">
      <c r="AF33355" s="679"/>
    </row>
    <row r="33356" spans="32:32" x14ac:dyDescent="0.2">
      <c r="AF33356" s="679"/>
    </row>
    <row r="33357" spans="32:32" x14ac:dyDescent="0.2">
      <c r="AF33357" s="679"/>
    </row>
    <row r="33358" spans="32:32" x14ac:dyDescent="0.2">
      <c r="AF33358" s="679"/>
    </row>
    <row r="33359" spans="32:32" x14ac:dyDescent="0.2">
      <c r="AF33359" s="679"/>
    </row>
    <row r="33360" spans="32:32" x14ac:dyDescent="0.2">
      <c r="AF33360" s="679"/>
    </row>
    <row r="33361" spans="32:32" x14ac:dyDescent="0.2">
      <c r="AF33361" s="679"/>
    </row>
    <row r="33362" spans="32:32" x14ac:dyDescent="0.2">
      <c r="AF33362" s="679"/>
    </row>
    <row r="33363" spans="32:32" x14ac:dyDescent="0.2">
      <c r="AF33363" s="679"/>
    </row>
    <row r="33364" spans="32:32" x14ac:dyDescent="0.2">
      <c r="AF33364" s="679"/>
    </row>
    <row r="33365" spans="32:32" x14ac:dyDescent="0.2">
      <c r="AF33365" s="679"/>
    </row>
    <row r="33366" spans="32:32" x14ac:dyDescent="0.2">
      <c r="AF33366" s="679"/>
    </row>
    <row r="33367" spans="32:32" x14ac:dyDescent="0.2">
      <c r="AF33367" s="679"/>
    </row>
    <row r="33368" spans="32:32" x14ac:dyDescent="0.2">
      <c r="AF33368" s="679"/>
    </row>
    <row r="33369" spans="32:32" x14ac:dyDescent="0.2">
      <c r="AF33369" s="679"/>
    </row>
    <row r="33370" spans="32:32" x14ac:dyDescent="0.2">
      <c r="AF33370" s="679"/>
    </row>
    <row r="33371" spans="32:32" x14ac:dyDescent="0.2">
      <c r="AF33371" s="679"/>
    </row>
    <row r="33372" spans="32:32" x14ac:dyDescent="0.2">
      <c r="AF33372" s="679"/>
    </row>
    <row r="33373" spans="32:32" x14ac:dyDescent="0.2">
      <c r="AF33373" s="679"/>
    </row>
    <row r="33374" spans="32:32" x14ac:dyDescent="0.2">
      <c r="AF33374" s="679"/>
    </row>
    <row r="33375" spans="32:32" x14ac:dyDescent="0.2">
      <c r="AF33375" s="679"/>
    </row>
    <row r="33376" spans="32:32" x14ac:dyDescent="0.2">
      <c r="AF33376" s="679"/>
    </row>
    <row r="33377" spans="32:32" x14ac:dyDescent="0.2">
      <c r="AF33377" s="679"/>
    </row>
    <row r="33378" spans="32:32" x14ac:dyDescent="0.2">
      <c r="AF33378" s="679"/>
    </row>
    <row r="33379" spans="32:32" x14ac:dyDescent="0.2">
      <c r="AF33379" s="679"/>
    </row>
    <row r="33380" spans="32:32" x14ac:dyDescent="0.2">
      <c r="AF33380" s="679"/>
    </row>
    <row r="33381" spans="32:32" x14ac:dyDescent="0.2">
      <c r="AF33381" s="679"/>
    </row>
    <row r="33382" spans="32:32" x14ac:dyDescent="0.2">
      <c r="AF33382" s="679"/>
    </row>
    <row r="33383" spans="32:32" x14ac:dyDescent="0.2">
      <c r="AF33383" s="679"/>
    </row>
    <row r="33384" spans="32:32" x14ac:dyDescent="0.2">
      <c r="AF33384" s="679"/>
    </row>
    <row r="33385" spans="32:32" x14ac:dyDescent="0.2">
      <c r="AF33385" s="679"/>
    </row>
    <row r="33386" spans="32:32" x14ac:dyDescent="0.2">
      <c r="AF33386" s="679"/>
    </row>
    <row r="33387" spans="32:32" x14ac:dyDescent="0.2">
      <c r="AF33387" s="679"/>
    </row>
    <row r="33388" spans="32:32" x14ac:dyDescent="0.2">
      <c r="AF33388" s="679"/>
    </row>
    <row r="33389" spans="32:32" x14ac:dyDescent="0.2">
      <c r="AF33389" s="679"/>
    </row>
    <row r="33390" spans="32:32" x14ac:dyDescent="0.2">
      <c r="AF33390" s="679"/>
    </row>
    <row r="33391" spans="32:32" x14ac:dyDescent="0.2">
      <c r="AF33391" s="679"/>
    </row>
    <row r="33392" spans="32:32" x14ac:dyDescent="0.2">
      <c r="AF33392" s="679"/>
    </row>
    <row r="33393" spans="32:32" x14ac:dyDescent="0.2">
      <c r="AF33393" s="679"/>
    </row>
    <row r="33394" spans="32:32" x14ac:dyDescent="0.2">
      <c r="AF33394" s="679"/>
    </row>
    <row r="33395" spans="32:32" x14ac:dyDescent="0.2">
      <c r="AF33395" s="679"/>
    </row>
    <row r="33396" spans="32:32" x14ac:dyDescent="0.2">
      <c r="AF33396" s="679"/>
    </row>
    <row r="33397" spans="32:32" x14ac:dyDescent="0.2">
      <c r="AF33397" s="679"/>
    </row>
    <row r="33398" spans="32:32" x14ac:dyDescent="0.2">
      <c r="AF33398" s="679"/>
    </row>
    <row r="33399" spans="32:32" x14ac:dyDescent="0.2">
      <c r="AF33399" s="679"/>
    </row>
    <row r="33400" spans="32:32" x14ac:dyDescent="0.2">
      <c r="AF33400" s="679"/>
    </row>
    <row r="33401" spans="32:32" x14ac:dyDescent="0.2">
      <c r="AF33401" s="679"/>
    </row>
    <row r="33402" spans="32:32" x14ac:dyDescent="0.2">
      <c r="AF33402" s="679"/>
    </row>
    <row r="33403" spans="32:32" x14ac:dyDescent="0.2">
      <c r="AF33403" s="679"/>
    </row>
    <row r="33404" spans="32:32" x14ac:dyDescent="0.2">
      <c r="AF33404" s="679"/>
    </row>
    <row r="33405" spans="32:32" x14ac:dyDescent="0.2">
      <c r="AF33405" s="679"/>
    </row>
    <row r="33406" spans="32:32" x14ac:dyDescent="0.2">
      <c r="AF33406" s="679"/>
    </row>
    <row r="33407" spans="32:32" x14ac:dyDescent="0.2">
      <c r="AF33407" s="679"/>
    </row>
    <row r="33408" spans="32:32" x14ac:dyDescent="0.2">
      <c r="AF33408" s="679"/>
    </row>
    <row r="33409" spans="32:32" x14ac:dyDescent="0.2">
      <c r="AF33409" s="679"/>
    </row>
    <row r="33410" spans="32:32" x14ac:dyDescent="0.2">
      <c r="AF33410" s="679"/>
    </row>
    <row r="33411" spans="32:32" x14ac:dyDescent="0.2">
      <c r="AF33411" s="679"/>
    </row>
    <row r="33412" spans="32:32" x14ac:dyDescent="0.2">
      <c r="AF33412" s="679"/>
    </row>
    <row r="33413" spans="32:32" x14ac:dyDescent="0.2">
      <c r="AF33413" s="679"/>
    </row>
    <row r="33414" spans="32:32" x14ac:dyDescent="0.2">
      <c r="AF33414" s="679"/>
    </row>
    <row r="33415" spans="32:32" x14ac:dyDescent="0.2">
      <c r="AF33415" s="679"/>
    </row>
    <row r="33416" spans="32:32" x14ac:dyDescent="0.2">
      <c r="AF33416" s="679"/>
    </row>
    <row r="33417" spans="32:32" x14ac:dyDescent="0.2">
      <c r="AF33417" s="679"/>
    </row>
    <row r="33418" spans="32:32" x14ac:dyDescent="0.2">
      <c r="AF33418" s="679"/>
    </row>
    <row r="33419" spans="32:32" x14ac:dyDescent="0.2">
      <c r="AF33419" s="679"/>
    </row>
    <row r="33420" spans="32:32" x14ac:dyDescent="0.2">
      <c r="AF33420" s="679"/>
    </row>
    <row r="33421" spans="32:32" x14ac:dyDescent="0.2">
      <c r="AF33421" s="679"/>
    </row>
    <row r="33422" spans="32:32" x14ac:dyDescent="0.2">
      <c r="AF33422" s="679"/>
    </row>
    <row r="33423" spans="32:32" x14ac:dyDescent="0.2">
      <c r="AF33423" s="679"/>
    </row>
    <row r="33424" spans="32:32" x14ac:dyDescent="0.2">
      <c r="AF33424" s="679"/>
    </row>
    <row r="33425" spans="32:32" x14ac:dyDescent="0.2">
      <c r="AF33425" s="679"/>
    </row>
    <row r="33426" spans="32:32" x14ac:dyDescent="0.2">
      <c r="AF33426" s="679"/>
    </row>
    <row r="33427" spans="32:32" x14ac:dyDescent="0.2">
      <c r="AF33427" s="679"/>
    </row>
    <row r="33428" spans="32:32" x14ac:dyDescent="0.2">
      <c r="AF33428" s="679"/>
    </row>
    <row r="33429" spans="32:32" x14ac:dyDescent="0.2">
      <c r="AF33429" s="679"/>
    </row>
    <row r="33430" spans="32:32" x14ac:dyDescent="0.2">
      <c r="AF33430" s="679"/>
    </row>
    <row r="33431" spans="32:32" x14ac:dyDescent="0.2">
      <c r="AF33431" s="679"/>
    </row>
    <row r="33432" spans="32:32" x14ac:dyDescent="0.2">
      <c r="AF33432" s="679"/>
    </row>
    <row r="33433" spans="32:32" x14ac:dyDescent="0.2">
      <c r="AF33433" s="679"/>
    </row>
    <row r="33434" spans="32:32" x14ac:dyDescent="0.2">
      <c r="AF33434" s="679"/>
    </row>
    <row r="33435" spans="32:32" x14ac:dyDescent="0.2">
      <c r="AF33435" s="679"/>
    </row>
    <row r="33436" spans="32:32" x14ac:dyDescent="0.2">
      <c r="AF33436" s="679"/>
    </row>
    <row r="33437" spans="32:32" x14ac:dyDescent="0.2">
      <c r="AF33437" s="679"/>
    </row>
    <row r="33438" spans="32:32" x14ac:dyDescent="0.2">
      <c r="AF33438" s="679"/>
    </row>
    <row r="33439" spans="32:32" x14ac:dyDescent="0.2">
      <c r="AF33439" s="679"/>
    </row>
    <row r="33440" spans="32:32" x14ac:dyDescent="0.2">
      <c r="AF33440" s="679"/>
    </row>
    <row r="33441" spans="32:32" x14ac:dyDescent="0.2">
      <c r="AF33441" s="679"/>
    </row>
    <row r="33442" spans="32:32" x14ac:dyDescent="0.2">
      <c r="AF33442" s="679"/>
    </row>
    <row r="33443" spans="32:32" x14ac:dyDescent="0.2">
      <c r="AF33443" s="679"/>
    </row>
    <row r="33444" spans="32:32" x14ac:dyDescent="0.2">
      <c r="AF33444" s="679"/>
    </row>
    <row r="33445" spans="32:32" x14ac:dyDescent="0.2">
      <c r="AF33445" s="679"/>
    </row>
    <row r="33446" spans="32:32" x14ac:dyDescent="0.2">
      <c r="AF33446" s="679"/>
    </row>
    <row r="33447" spans="32:32" x14ac:dyDescent="0.2">
      <c r="AF33447" s="679"/>
    </row>
    <row r="33448" spans="32:32" x14ac:dyDescent="0.2">
      <c r="AF33448" s="679"/>
    </row>
    <row r="33449" spans="32:32" x14ac:dyDescent="0.2">
      <c r="AF33449" s="679"/>
    </row>
    <row r="33450" spans="32:32" x14ac:dyDescent="0.2">
      <c r="AF33450" s="679"/>
    </row>
    <row r="33451" spans="32:32" x14ac:dyDescent="0.2">
      <c r="AF33451" s="679"/>
    </row>
    <row r="33452" spans="32:32" x14ac:dyDescent="0.2">
      <c r="AF33452" s="679"/>
    </row>
    <row r="33453" spans="32:32" x14ac:dyDescent="0.2">
      <c r="AF33453" s="679"/>
    </row>
    <row r="33454" spans="32:32" x14ac:dyDescent="0.2">
      <c r="AF33454" s="679"/>
    </row>
    <row r="33455" spans="32:32" x14ac:dyDescent="0.2">
      <c r="AF33455" s="679"/>
    </row>
    <row r="33456" spans="32:32" x14ac:dyDescent="0.2">
      <c r="AF33456" s="679"/>
    </row>
    <row r="33457" spans="32:32" x14ac:dyDescent="0.2">
      <c r="AF33457" s="679"/>
    </row>
    <row r="33458" spans="32:32" x14ac:dyDescent="0.2">
      <c r="AF33458" s="679"/>
    </row>
    <row r="33459" spans="32:32" x14ac:dyDescent="0.2">
      <c r="AF33459" s="679"/>
    </row>
    <row r="33460" spans="32:32" x14ac:dyDescent="0.2">
      <c r="AF33460" s="679"/>
    </row>
    <row r="33461" spans="32:32" x14ac:dyDescent="0.2">
      <c r="AF33461" s="679"/>
    </row>
    <row r="33462" spans="32:32" x14ac:dyDescent="0.2">
      <c r="AF33462" s="679"/>
    </row>
    <row r="33463" spans="32:32" x14ac:dyDescent="0.2">
      <c r="AF33463" s="679"/>
    </row>
    <row r="33464" spans="32:32" x14ac:dyDescent="0.2">
      <c r="AF33464" s="679"/>
    </row>
    <row r="33465" spans="32:32" x14ac:dyDescent="0.2">
      <c r="AF33465" s="679"/>
    </row>
    <row r="33466" spans="32:32" x14ac:dyDescent="0.2">
      <c r="AF33466" s="679"/>
    </row>
    <row r="33467" spans="32:32" x14ac:dyDescent="0.2">
      <c r="AF33467" s="679"/>
    </row>
    <row r="33468" spans="32:32" x14ac:dyDescent="0.2">
      <c r="AF33468" s="679"/>
    </row>
    <row r="33469" spans="32:32" x14ac:dyDescent="0.2">
      <c r="AF33469" s="679"/>
    </row>
    <row r="33470" spans="32:32" x14ac:dyDescent="0.2">
      <c r="AF33470" s="679"/>
    </row>
    <row r="33471" spans="32:32" x14ac:dyDescent="0.2">
      <c r="AF33471" s="679"/>
    </row>
    <row r="33472" spans="32:32" x14ac:dyDescent="0.2">
      <c r="AF33472" s="679"/>
    </row>
    <row r="33473" spans="32:32" x14ac:dyDescent="0.2">
      <c r="AF33473" s="679"/>
    </row>
    <row r="33474" spans="32:32" x14ac:dyDescent="0.2">
      <c r="AF33474" s="679"/>
    </row>
    <row r="33475" spans="32:32" x14ac:dyDescent="0.2">
      <c r="AF33475" s="679"/>
    </row>
    <row r="33476" spans="32:32" x14ac:dyDescent="0.2">
      <c r="AF33476" s="679"/>
    </row>
    <row r="33477" spans="32:32" x14ac:dyDescent="0.2">
      <c r="AF33477" s="679"/>
    </row>
    <row r="33478" spans="32:32" x14ac:dyDescent="0.2">
      <c r="AF33478" s="679"/>
    </row>
    <row r="33479" spans="32:32" x14ac:dyDescent="0.2">
      <c r="AF33479" s="679"/>
    </row>
    <row r="33480" spans="32:32" x14ac:dyDescent="0.2">
      <c r="AF33480" s="679"/>
    </row>
    <row r="33481" spans="32:32" x14ac:dyDescent="0.2">
      <c r="AF33481" s="679"/>
    </row>
    <row r="33482" spans="32:32" x14ac:dyDescent="0.2">
      <c r="AF33482" s="679"/>
    </row>
    <row r="33483" spans="32:32" x14ac:dyDescent="0.2">
      <c r="AF33483" s="679"/>
    </row>
    <row r="33484" spans="32:32" x14ac:dyDescent="0.2">
      <c r="AF33484" s="679"/>
    </row>
    <row r="33485" spans="32:32" x14ac:dyDescent="0.2">
      <c r="AF33485" s="679"/>
    </row>
    <row r="33486" spans="32:32" x14ac:dyDescent="0.2">
      <c r="AF33486" s="679"/>
    </row>
    <row r="33487" spans="32:32" x14ac:dyDescent="0.2">
      <c r="AF33487" s="679"/>
    </row>
    <row r="33488" spans="32:32" x14ac:dyDescent="0.2">
      <c r="AF33488" s="679"/>
    </row>
    <row r="33489" spans="32:32" x14ac:dyDescent="0.2">
      <c r="AF33489" s="679"/>
    </row>
    <row r="33490" spans="32:32" x14ac:dyDescent="0.2">
      <c r="AF33490" s="679"/>
    </row>
    <row r="33491" spans="32:32" x14ac:dyDescent="0.2">
      <c r="AF33491" s="679"/>
    </row>
    <row r="33492" spans="32:32" x14ac:dyDescent="0.2">
      <c r="AF33492" s="679"/>
    </row>
    <row r="33493" spans="32:32" x14ac:dyDescent="0.2">
      <c r="AF33493" s="679"/>
    </row>
    <row r="33494" spans="32:32" x14ac:dyDescent="0.2">
      <c r="AF33494" s="679"/>
    </row>
    <row r="33495" spans="32:32" x14ac:dyDescent="0.2">
      <c r="AF33495" s="679"/>
    </row>
    <row r="33496" spans="32:32" x14ac:dyDescent="0.2">
      <c r="AF33496" s="679"/>
    </row>
    <row r="33497" spans="32:32" x14ac:dyDescent="0.2">
      <c r="AF33497" s="679"/>
    </row>
    <row r="33498" spans="32:32" x14ac:dyDescent="0.2">
      <c r="AF33498" s="679"/>
    </row>
    <row r="33499" spans="32:32" x14ac:dyDescent="0.2">
      <c r="AF33499" s="679"/>
    </row>
    <row r="33500" spans="32:32" x14ac:dyDescent="0.2">
      <c r="AF33500" s="679"/>
    </row>
    <row r="33501" spans="32:32" x14ac:dyDescent="0.2">
      <c r="AF33501" s="679"/>
    </row>
    <row r="33502" spans="32:32" x14ac:dyDescent="0.2">
      <c r="AF33502" s="679"/>
    </row>
    <row r="33503" spans="32:32" x14ac:dyDescent="0.2">
      <c r="AF33503" s="679"/>
    </row>
    <row r="33504" spans="32:32" x14ac:dyDescent="0.2">
      <c r="AF33504" s="679"/>
    </row>
    <row r="33505" spans="32:32" x14ac:dyDescent="0.2">
      <c r="AF33505" s="679"/>
    </row>
    <row r="33506" spans="32:32" x14ac:dyDescent="0.2">
      <c r="AF33506" s="679"/>
    </row>
    <row r="33507" spans="32:32" x14ac:dyDescent="0.2">
      <c r="AF33507" s="679"/>
    </row>
    <row r="33508" spans="32:32" x14ac:dyDescent="0.2">
      <c r="AF33508" s="679"/>
    </row>
    <row r="33509" spans="32:32" x14ac:dyDescent="0.2">
      <c r="AF33509" s="679"/>
    </row>
    <row r="33510" spans="32:32" x14ac:dyDescent="0.2">
      <c r="AF33510" s="679"/>
    </row>
    <row r="33511" spans="32:32" x14ac:dyDescent="0.2">
      <c r="AF33511" s="679"/>
    </row>
    <row r="33512" spans="32:32" x14ac:dyDescent="0.2">
      <c r="AF33512" s="679"/>
    </row>
    <row r="33513" spans="32:32" x14ac:dyDescent="0.2">
      <c r="AF33513" s="679"/>
    </row>
    <row r="33514" spans="32:32" x14ac:dyDescent="0.2">
      <c r="AF33514" s="679"/>
    </row>
    <row r="33515" spans="32:32" x14ac:dyDescent="0.2">
      <c r="AF33515" s="679"/>
    </row>
    <row r="33516" spans="32:32" x14ac:dyDescent="0.2">
      <c r="AF33516" s="679"/>
    </row>
    <row r="33517" spans="32:32" x14ac:dyDescent="0.2">
      <c r="AF33517" s="679"/>
    </row>
    <row r="33518" spans="32:32" x14ac:dyDescent="0.2">
      <c r="AF33518" s="679"/>
    </row>
    <row r="33519" spans="32:32" x14ac:dyDescent="0.2">
      <c r="AF33519" s="679"/>
    </row>
    <row r="33520" spans="32:32" x14ac:dyDescent="0.2">
      <c r="AF33520" s="679"/>
    </row>
    <row r="33521" spans="32:32" x14ac:dyDescent="0.2">
      <c r="AF33521" s="679"/>
    </row>
    <row r="33522" spans="32:32" x14ac:dyDescent="0.2">
      <c r="AF33522" s="679"/>
    </row>
    <row r="33523" spans="32:32" x14ac:dyDescent="0.2">
      <c r="AF33523" s="679"/>
    </row>
    <row r="33524" spans="32:32" x14ac:dyDescent="0.2">
      <c r="AF33524" s="679"/>
    </row>
    <row r="33525" spans="32:32" x14ac:dyDescent="0.2">
      <c r="AF33525" s="679"/>
    </row>
    <row r="33526" spans="32:32" x14ac:dyDescent="0.2">
      <c r="AF33526" s="679"/>
    </row>
    <row r="33527" spans="32:32" x14ac:dyDescent="0.2">
      <c r="AF33527" s="679"/>
    </row>
    <row r="33528" spans="32:32" x14ac:dyDescent="0.2">
      <c r="AF33528" s="679"/>
    </row>
    <row r="33529" spans="32:32" x14ac:dyDescent="0.2">
      <c r="AF33529" s="679"/>
    </row>
    <row r="33530" spans="32:32" x14ac:dyDescent="0.2">
      <c r="AF33530" s="679"/>
    </row>
    <row r="33531" spans="32:32" x14ac:dyDescent="0.2">
      <c r="AF33531" s="679"/>
    </row>
    <row r="33532" spans="32:32" x14ac:dyDescent="0.2">
      <c r="AF33532" s="679"/>
    </row>
    <row r="33533" spans="32:32" x14ac:dyDescent="0.2">
      <c r="AF33533" s="679"/>
    </row>
    <row r="33534" spans="32:32" x14ac:dyDescent="0.2">
      <c r="AF33534" s="679"/>
    </row>
    <row r="33535" spans="32:32" x14ac:dyDescent="0.2">
      <c r="AF33535" s="679"/>
    </row>
    <row r="33536" spans="32:32" x14ac:dyDescent="0.2">
      <c r="AF33536" s="679"/>
    </row>
    <row r="33537" spans="32:32" x14ac:dyDescent="0.2">
      <c r="AF33537" s="679"/>
    </row>
    <row r="33538" spans="32:32" x14ac:dyDescent="0.2">
      <c r="AF33538" s="679"/>
    </row>
    <row r="33539" spans="32:32" x14ac:dyDescent="0.2">
      <c r="AF33539" s="679"/>
    </row>
    <row r="33540" spans="32:32" x14ac:dyDescent="0.2">
      <c r="AF33540" s="679"/>
    </row>
    <row r="33541" spans="32:32" x14ac:dyDescent="0.2">
      <c r="AF33541" s="679"/>
    </row>
    <row r="33542" spans="32:32" x14ac:dyDescent="0.2">
      <c r="AF33542" s="679"/>
    </row>
    <row r="33543" spans="32:32" x14ac:dyDescent="0.2">
      <c r="AF33543" s="679"/>
    </row>
    <row r="33544" spans="32:32" x14ac:dyDescent="0.2">
      <c r="AF33544" s="679"/>
    </row>
    <row r="33545" spans="32:32" x14ac:dyDescent="0.2">
      <c r="AF33545" s="679"/>
    </row>
    <row r="33546" spans="32:32" x14ac:dyDescent="0.2">
      <c r="AF33546" s="679"/>
    </row>
    <row r="33547" spans="32:32" x14ac:dyDescent="0.2">
      <c r="AF33547" s="679"/>
    </row>
    <row r="33548" spans="32:32" x14ac:dyDescent="0.2">
      <c r="AF33548" s="679"/>
    </row>
    <row r="33549" spans="32:32" x14ac:dyDescent="0.2">
      <c r="AF33549" s="679"/>
    </row>
    <row r="33550" spans="32:32" x14ac:dyDescent="0.2">
      <c r="AF33550" s="679"/>
    </row>
    <row r="33551" spans="32:32" x14ac:dyDescent="0.2">
      <c r="AF33551" s="679"/>
    </row>
    <row r="33552" spans="32:32" x14ac:dyDescent="0.2">
      <c r="AF33552" s="679"/>
    </row>
    <row r="33553" spans="32:32" x14ac:dyDescent="0.2">
      <c r="AF33553" s="679"/>
    </row>
    <row r="33554" spans="32:32" x14ac:dyDescent="0.2">
      <c r="AF33554" s="679"/>
    </row>
    <row r="33555" spans="32:32" x14ac:dyDescent="0.2">
      <c r="AF33555" s="679"/>
    </row>
    <row r="33556" spans="32:32" x14ac:dyDescent="0.2">
      <c r="AF33556" s="679"/>
    </row>
    <row r="33557" spans="32:32" x14ac:dyDescent="0.2">
      <c r="AF33557" s="679"/>
    </row>
    <row r="33558" spans="32:32" x14ac:dyDescent="0.2">
      <c r="AF33558" s="679"/>
    </row>
    <row r="33559" spans="32:32" x14ac:dyDescent="0.2">
      <c r="AF33559" s="679"/>
    </row>
    <row r="33560" spans="32:32" x14ac:dyDescent="0.2">
      <c r="AF33560" s="679"/>
    </row>
    <row r="33561" spans="32:32" x14ac:dyDescent="0.2">
      <c r="AF33561" s="679"/>
    </row>
    <row r="33562" spans="32:32" x14ac:dyDescent="0.2">
      <c r="AF33562" s="679"/>
    </row>
    <row r="33563" spans="32:32" x14ac:dyDescent="0.2">
      <c r="AF33563" s="679"/>
    </row>
    <row r="33564" spans="32:32" x14ac:dyDescent="0.2">
      <c r="AF33564" s="679"/>
    </row>
    <row r="33565" spans="32:32" x14ac:dyDescent="0.2">
      <c r="AF33565" s="679"/>
    </row>
    <row r="33566" spans="32:32" x14ac:dyDescent="0.2">
      <c r="AF33566" s="679"/>
    </row>
    <row r="33567" spans="32:32" x14ac:dyDescent="0.2">
      <c r="AF33567" s="679"/>
    </row>
    <row r="33568" spans="32:32" x14ac:dyDescent="0.2">
      <c r="AF33568" s="679"/>
    </row>
    <row r="33569" spans="32:32" x14ac:dyDescent="0.2">
      <c r="AF33569" s="679"/>
    </row>
    <row r="33570" spans="32:32" x14ac:dyDescent="0.2">
      <c r="AF33570" s="679"/>
    </row>
    <row r="33571" spans="32:32" x14ac:dyDescent="0.2">
      <c r="AF33571" s="679"/>
    </row>
    <row r="33572" spans="32:32" x14ac:dyDescent="0.2">
      <c r="AF33572" s="679"/>
    </row>
    <row r="33573" spans="32:32" x14ac:dyDescent="0.2">
      <c r="AF33573" s="679"/>
    </row>
    <row r="33574" spans="32:32" x14ac:dyDescent="0.2">
      <c r="AF33574" s="679"/>
    </row>
    <row r="33575" spans="32:32" x14ac:dyDescent="0.2">
      <c r="AF33575" s="679"/>
    </row>
    <row r="33576" spans="32:32" x14ac:dyDescent="0.2">
      <c r="AF33576" s="679"/>
    </row>
    <row r="33577" spans="32:32" x14ac:dyDescent="0.2">
      <c r="AF33577" s="679"/>
    </row>
    <row r="33578" spans="32:32" x14ac:dyDescent="0.2">
      <c r="AF33578" s="679"/>
    </row>
    <row r="33579" spans="32:32" x14ac:dyDescent="0.2">
      <c r="AF33579" s="679"/>
    </row>
    <row r="33580" spans="32:32" x14ac:dyDescent="0.2">
      <c r="AF33580" s="679"/>
    </row>
    <row r="33581" spans="32:32" x14ac:dyDescent="0.2">
      <c r="AF33581" s="679"/>
    </row>
    <row r="33582" spans="32:32" x14ac:dyDescent="0.2">
      <c r="AF33582" s="679"/>
    </row>
    <row r="33583" spans="32:32" x14ac:dyDescent="0.2">
      <c r="AF33583" s="679"/>
    </row>
    <row r="33584" spans="32:32" x14ac:dyDescent="0.2">
      <c r="AF33584" s="679"/>
    </row>
    <row r="33585" spans="32:32" x14ac:dyDescent="0.2">
      <c r="AF33585" s="679"/>
    </row>
    <row r="33586" spans="32:32" x14ac:dyDescent="0.2">
      <c r="AF33586" s="679"/>
    </row>
    <row r="33587" spans="32:32" x14ac:dyDescent="0.2">
      <c r="AF33587" s="679"/>
    </row>
    <row r="33588" spans="32:32" x14ac:dyDescent="0.2">
      <c r="AF33588" s="679"/>
    </row>
    <row r="33589" spans="32:32" x14ac:dyDescent="0.2">
      <c r="AF33589" s="679"/>
    </row>
    <row r="33590" spans="32:32" x14ac:dyDescent="0.2">
      <c r="AF33590" s="679"/>
    </row>
    <row r="33591" spans="32:32" x14ac:dyDescent="0.2">
      <c r="AF33591" s="679"/>
    </row>
    <row r="33592" spans="32:32" x14ac:dyDescent="0.2">
      <c r="AF33592" s="679"/>
    </row>
    <row r="33593" spans="32:32" x14ac:dyDescent="0.2">
      <c r="AF33593" s="679"/>
    </row>
    <row r="33594" spans="32:32" x14ac:dyDescent="0.2">
      <c r="AF33594" s="679"/>
    </row>
    <row r="33595" spans="32:32" x14ac:dyDescent="0.2">
      <c r="AF33595" s="679"/>
    </row>
    <row r="33596" spans="32:32" x14ac:dyDescent="0.2">
      <c r="AF33596" s="679"/>
    </row>
    <row r="33597" spans="32:32" x14ac:dyDescent="0.2">
      <c r="AF33597" s="679"/>
    </row>
    <row r="33598" spans="32:32" x14ac:dyDescent="0.2">
      <c r="AF33598" s="679"/>
    </row>
    <row r="33599" spans="32:32" x14ac:dyDescent="0.2">
      <c r="AF33599" s="679"/>
    </row>
    <row r="33600" spans="32:32" x14ac:dyDescent="0.2">
      <c r="AF33600" s="679"/>
    </row>
    <row r="33601" spans="32:32" x14ac:dyDescent="0.2">
      <c r="AF33601" s="679"/>
    </row>
    <row r="33602" spans="32:32" x14ac:dyDescent="0.2">
      <c r="AF33602" s="679"/>
    </row>
    <row r="33603" spans="32:32" x14ac:dyDescent="0.2">
      <c r="AF33603" s="679"/>
    </row>
    <row r="33604" spans="32:32" x14ac:dyDescent="0.2">
      <c r="AF33604" s="679"/>
    </row>
    <row r="33605" spans="32:32" x14ac:dyDescent="0.2">
      <c r="AF33605" s="679"/>
    </row>
    <row r="33606" spans="32:32" x14ac:dyDescent="0.2">
      <c r="AF33606" s="679"/>
    </row>
    <row r="33607" spans="32:32" x14ac:dyDescent="0.2">
      <c r="AF33607" s="679"/>
    </row>
    <row r="33608" spans="32:32" x14ac:dyDescent="0.2">
      <c r="AF33608" s="679"/>
    </row>
    <row r="33609" spans="32:32" x14ac:dyDescent="0.2">
      <c r="AF33609" s="679"/>
    </row>
    <row r="33610" spans="32:32" x14ac:dyDescent="0.2">
      <c r="AF33610" s="679"/>
    </row>
    <row r="33611" spans="32:32" x14ac:dyDescent="0.2">
      <c r="AF33611" s="679"/>
    </row>
    <row r="33612" spans="32:32" x14ac:dyDescent="0.2">
      <c r="AF33612" s="679"/>
    </row>
    <row r="33613" spans="32:32" x14ac:dyDescent="0.2">
      <c r="AF33613" s="679"/>
    </row>
    <row r="33614" spans="32:32" x14ac:dyDescent="0.2">
      <c r="AF33614" s="679"/>
    </row>
    <row r="33615" spans="32:32" x14ac:dyDescent="0.2">
      <c r="AF33615" s="679"/>
    </row>
    <row r="33616" spans="32:32" x14ac:dyDescent="0.2">
      <c r="AF33616" s="679"/>
    </row>
    <row r="33617" spans="32:32" x14ac:dyDescent="0.2">
      <c r="AF33617" s="679"/>
    </row>
    <row r="33618" spans="32:32" x14ac:dyDescent="0.2">
      <c r="AF33618" s="679"/>
    </row>
    <row r="33619" spans="32:32" x14ac:dyDescent="0.2">
      <c r="AF33619" s="679"/>
    </row>
    <row r="33620" spans="32:32" x14ac:dyDescent="0.2">
      <c r="AF33620" s="679"/>
    </row>
    <row r="33621" spans="32:32" x14ac:dyDescent="0.2">
      <c r="AF33621" s="679"/>
    </row>
    <row r="33622" spans="32:32" x14ac:dyDescent="0.2">
      <c r="AF33622" s="679"/>
    </row>
    <row r="33623" spans="32:32" x14ac:dyDescent="0.2">
      <c r="AF33623" s="679"/>
    </row>
    <row r="33624" spans="32:32" x14ac:dyDescent="0.2">
      <c r="AF33624" s="679"/>
    </row>
    <row r="33625" spans="32:32" x14ac:dyDescent="0.2">
      <c r="AF33625" s="679"/>
    </row>
    <row r="33626" spans="32:32" x14ac:dyDescent="0.2">
      <c r="AF33626" s="679"/>
    </row>
    <row r="33627" spans="32:32" x14ac:dyDescent="0.2">
      <c r="AF33627" s="679"/>
    </row>
    <row r="33628" spans="32:32" x14ac:dyDescent="0.2">
      <c r="AF33628" s="679"/>
    </row>
    <row r="33629" spans="32:32" x14ac:dyDescent="0.2">
      <c r="AF33629" s="679"/>
    </row>
    <row r="33630" spans="32:32" x14ac:dyDescent="0.2">
      <c r="AF33630" s="679"/>
    </row>
    <row r="33631" spans="32:32" x14ac:dyDescent="0.2">
      <c r="AF33631" s="679"/>
    </row>
    <row r="33632" spans="32:32" x14ac:dyDescent="0.2">
      <c r="AF33632" s="679"/>
    </row>
    <row r="33633" spans="32:32" x14ac:dyDescent="0.2">
      <c r="AF33633" s="679"/>
    </row>
    <row r="33634" spans="32:32" x14ac:dyDescent="0.2">
      <c r="AF33634" s="679"/>
    </row>
    <row r="33635" spans="32:32" x14ac:dyDescent="0.2">
      <c r="AF33635" s="679"/>
    </row>
    <row r="33636" spans="32:32" x14ac:dyDescent="0.2">
      <c r="AF33636" s="679"/>
    </row>
    <row r="33637" spans="32:32" x14ac:dyDescent="0.2">
      <c r="AF33637" s="679"/>
    </row>
    <row r="33638" spans="32:32" x14ac:dyDescent="0.2">
      <c r="AF33638" s="679"/>
    </row>
    <row r="33639" spans="32:32" x14ac:dyDescent="0.2">
      <c r="AF33639" s="679"/>
    </row>
    <row r="33640" spans="32:32" x14ac:dyDescent="0.2">
      <c r="AF33640" s="679"/>
    </row>
    <row r="33641" spans="32:32" x14ac:dyDescent="0.2">
      <c r="AF33641" s="679"/>
    </row>
    <row r="33642" spans="32:32" x14ac:dyDescent="0.2">
      <c r="AF33642" s="679"/>
    </row>
    <row r="33643" spans="32:32" x14ac:dyDescent="0.2">
      <c r="AF33643" s="679"/>
    </row>
    <row r="33644" spans="32:32" x14ac:dyDescent="0.2">
      <c r="AF33644" s="679"/>
    </row>
    <row r="33645" spans="32:32" x14ac:dyDescent="0.2">
      <c r="AF33645" s="679"/>
    </row>
    <row r="33646" spans="32:32" x14ac:dyDescent="0.2">
      <c r="AF33646" s="679"/>
    </row>
    <row r="33647" spans="32:32" x14ac:dyDescent="0.2">
      <c r="AF33647" s="679"/>
    </row>
    <row r="33648" spans="32:32" x14ac:dyDescent="0.2">
      <c r="AF33648" s="679"/>
    </row>
    <row r="33649" spans="32:32" x14ac:dyDescent="0.2">
      <c r="AF33649" s="679"/>
    </row>
    <row r="33650" spans="32:32" x14ac:dyDescent="0.2">
      <c r="AF33650" s="679"/>
    </row>
    <row r="33651" spans="32:32" x14ac:dyDescent="0.2">
      <c r="AF33651" s="679"/>
    </row>
    <row r="33652" spans="32:32" x14ac:dyDescent="0.2">
      <c r="AF33652" s="679"/>
    </row>
    <row r="33653" spans="32:32" x14ac:dyDescent="0.2">
      <c r="AF33653" s="679"/>
    </row>
    <row r="33654" spans="32:32" x14ac:dyDescent="0.2">
      <c r="AF33654" s="679"/>
    </row>
    <row r="33655" spans="32:32" x14ac:dyDescent="0.2">
      <c r="AF33655" s="679"/>
    </row>
    <row r="33656" spans="32:32" x14ac:dyDescent="0.2">
      <c r="AF33656" s="679"/>
    </row>
    <row r="33657" spans="32:32" x14ac:dyDescent="0.2">
      <c r="AF33657" s="679"/>
    </row>
    <row r="33658" spans="32:32" x14ac:dyDescent="0.2">
      <c r="AF33658" s="679"/>
    </row>
    <row r="33659" spans="32:32" x14ac:dyDescent="0.2">
      <c r="AF33659" s="679"/>
    </row>
    <row r="33660" spans="32:32" x14ac:dyDescent="0.2">
      <c r="AF33660" s="679"/>
    </row>
    <row r="33661" spans="32:32" x14ac:dyDescent="0.2">
      <c r="AF33661" s="679"/>
    </row>
    <row r="33662" spans="32:32" x14ac:dyDescent="0.2">
      <c r="AF33662" s="679"/>
    </row>
    <row r="33663" spans="32:32" x14ac:dyDescent="0.2">
      <c r="AF33663" s="679"/>
    </row>
    <row r="33664" spans="32:32" x14ac:dyDescent="0.2">
      <c r="AF33664" s="679"/>
    </row>
    <row r="33665" spans="32:32" x14ac:dyDescent="0.2">
      <c r="AF33665" s="679"/>
    </row>
    <row r="33666" spans="32:32" x14ac:dyDescent="0.2">
      <c r="AF33666" s="679"/>
    </row>
    <row r="33667" spans="32:32" x14ac:dyDescent="0.2">
      <c r="AF33667" s="679"/>
    </row>
    <row r="33668" spans="32:32" x14ac:dyDescent="0.2">
      <c r="AF33668" s="679"/>
    </row>
    <row r="33669" spans="32:32" x14ac:dyDescent="0.2">
      <c r="AF33669" s="679"/>
    </row>
    <row r="33670" spans="32:32" x14ac:dyDescent="0.2">
      <c r="AF33670" s="679"/>
    </row>
    <row r="33671" spans="32:32" x14ac:dyDescent="0.2">
      <c r="AF33671" s="679"/>
    </row>
    <row r="33672" spans="32:32" x14ac:dyDescent="0.2">
      <c r="AF33672" s="679"/>
    </row>
    <row r="33673" spans="32:32" x14ac:dyDescent="0.2">
      <c r="AF33673" s="679"/>
    </row>
    <row r="33674" spans="32:32" x14ac:dyDescent="0.2">
      <c r="AF33674" s="679"/>
    </row>
    <row r="33675" spans="32:32" x14ac:dyDescent="0.2">
      <c r="AF33675" s="679"/>
    </row>
    <row r="33676" spans="32:32" x14ac:dyDescent="0.2">
      <c r="AF33676" s="679"/>
    </row>
    <row r="33677" spans="32:32" x14ac:dyDescent="0.2">
      <c r="AF33677" s="679"/>
    </row>
    <row r="33678" spans="32:32" x14ac:dyDescent="0.2">
      <c r="AF33678" s="679"/>
    </row>
    <row r="33679" spans="32:32" x14ac:dyDescent="0.2">
      <c r="AF33679" s="679"/>
    </row>
    <row r="33680" spans="32:32" x14ac:dyDescent="0.2">
      <c r="AF33680" s="679"/>
    </row>
    <row r="33681" spans="32:32" x14ac:dyDescent="0.2">
      <c r="AF33681" s="679"/>
    </row>
    <row r="33682" spans="32:32" x14ac:dyDescent="0.2">
      <c r="AF33682" s="679"/>
    </row>
    <row r="33683" spans="32:32" x14ac:dyDescent="0.2">
      <c r="AF33683" s="679"/>
    </row>
    <row r="33684" spans="32:32" x14ac:dyDescent="0.2">
      <c r="AF33684" s="679"/>
    </row>
    <row r="33685" spans="32:32" x14ac:dyDescent="0.2">
      <c r="AF33685" s="679"/>
    </row>
    <row r="33686" spans="32:32" x14ac:dyDescent="0.2">
      <c r="AF33686" s="679"/>
    </row>
    <row r="33687" spans="32:32" x14ac:dyDescent="0.2">
      <c r="AF33687" s="679"/>
    </row>
    <row r="33688" spans="32:32" x14ac:dyDescent="0.2">
      <c r="AF33688" s="679"/>
    </row>
    <row r="33689" spans="32:32" x14ac:dyDescent="0.2">
      <c r="AF33689" s="679"/>
    </row>
    <row r="33690" spans="32:32" x14ac:dyDescent="0.2">
      <c r="AF33690" s="679"/>
    </row>
    <row r="33691" spans="32:32" x14ac:dyDescent="0.2">
      <c r="AF33691" s="679"/>
    </row>
    <row r="33692" spans="32:32" x14ac:dyDescent="0.2">
      <c r="AF33692" s="679"/>
    </row>
    <row r="33693" spans="32:32" x14ac:dyDescent="0.2">
      <c r="AF33693" s="679"/>
    </row>
    <row r="33694" spans="32:32" x14ac:dyDescent="0.2">
      <c r="AF33694" s="679"/>
    </row>
    <row r="33695" spans="32:32" x14ac:dyDescent="0.2">
      <c r="AF33695" s="679"/>
    </row>
    <row r="33696" spans="32:32" x14ac:dyDescent="0.2">
      <c r="AF33696" s="679"/>
    </row>
    <row r="33697" spans="32:32" x14ac:dyDescent="0.2">
      <c r="AF33697" s="679"/>
    </row>
    <row r="33698" spans="32:32" x14ac:dyDescent="0.2">
      <c r="AF33698" s="679"/>
    </row>
    <row r="33699" spans="32:32" x14ac:dyDescent="0.2">
      <c r="AF33699" s="679"/>
    </row>
    <row r="33700" spans="32:32" x14ac:dyDescent="0.2">
      <c r="AF33700" s="679"/>
    </row>
    <row r="33701" spans="32:32" x14ac:dyDescent="0.2">
      <c r="AF33701" s="679"/>
    </row>
    <row r="33702" spans="32:32" x14ac:dyDescent="0.2">
      <c r="AF33702" s="679"/>
    </row>
    <row r="33703" spans="32:32" x14ac:dyDescent="0.2">
      <c r="AF33703" s="679"/>
    </row>
    <row r="33704" spans="32:32" x14ac:dyDescent="0.2">
      <c r="AF33704" s="679"/>
    </row>
    <row r="33705" spans="32:32" x14ac:dyDescent="0.2">
      <c r="AF33705" s="679"/>
    </row>
    <row r="33706" spans="32:32" x14ac:dyDescent="0.2">
      <c r="AF33706" s="679"/>
    </row>
    <row r="33707" spans="32:32" x14ac:dyDescent="0.2">
      <c r="AF33707" s="679"/>
    </row>
    <row r="33708" spans="32:32" x14ac:dyDescent="0.2">
      <c r="AF33708" s="679"/>
    </row>
    <row r="33709" spans="32:32" x14ac:dyDescent="0.2">
      <c r="AF33709" s="679"/>
    </row>
    <row r="33710" spans="32:32" x14ac:dyDescent="0.2">
      <c r="AF33710" s="679"/>
    </row>
    <row r="33711" spans="32:32" x14ac:dyDescent="0.2">
      <c r="AF33711" s="679"/>
    </row>
    <row r="33712" spans="32:32" x14ac:dyDescent="0.2">
      <c r="AF33712" s="679"/>
    </row>
    <row r="33713" spans="32:32" x14ac:dyDescent="0.2">
      <c r="AF33713" s="679"/>
    </row>
    <row r="33714" spans="32:32" x14ac:dyDescent="0.2">
      <c r="AF33714" s="679"/>
    </row>
    <row r="33715" spans="32:32" x14ac:dyDescent="0.2">
      <c r="AF33715" s="679"/>
    </row>
    <row r="33716" spans="32:32" x14ac:dyDescent="0.2">
      <c r="AF33716" s="679"/>
    </row>
    <row r="33717" spans="32:32" x14ac:dyDescent="0.2">
      <c r="AF33717" s="679"/>
    </row>
    <row r="33718" spans="32:32" x14ac:dyDescent="0.2">
      <c r="AF33718" s="679"/>
    </row>
    <row r="33719" spans="32:32" x14ac:dyDescent="0.2">
      <c r="AF33719" s="679"/>
    </row>
    <row r="33720" spans="32:32" x14ac:dyDescent="0.2">
      <c r="AF33720" s="679"/>
    </row>
    <row r="33721" spans="32:32" x14ac:dyDescent="0.2">
      <c r="AF33721" s="679"/>
    </row>
    <row r="33722" spans="32:32" x14ac:dyDescent="0.2">
      <c r="AF33722" s="679"/>
    </row>
    <row r="33723" spans="32:32" x14ac:dyDescent="0.2">
      <c r="AF33723" s="679"/>
    </row>
    <row r="33724" spans="32:32" x14ac:dyDescent="0.2">
      <c r="AF33724" s="679"/>
    </row>
    <row r="33725" spans="32:32" x14ac:dyDescent="0.2">
      <c r="AF33725" s="679"/>
    </row>
    <row r="33726" spans="32:32" x14ac:dyDescent="0.2">
      <c r="AF33726" s="679"/>
    </row>
    <row r="33727" spans="32:32" x14ac:dyDescent="0.2">
      <c r="AF33727" s="679"/>
    </row>
    <row r="33728" spans="32:32" x14ac:dyDescent="0.2">
      <c r="AF33728" s="679"/>
    </row>
    <row r="33729" spans="32:32" x14ac:dyDescent="0.2">
      <c r="AF33729" s="679"/>
    </row>
    <row r="33730" spans="32:32" x14ac:dyDescent="0.2">
      <c r="AF33730" s="679"/>
    </row>
    <row r="33731" spans="32:32" x14ac:dyDescent="0.2">
      <c r="AF33731" s="679"/>
    </row>
    <row r="33732" spans="32:32" x14ac:dyDescent="0.2">
      <c r="AF33732" s="679"/>
    </row>
    <row r="33733" spans="32:32" x14ac:dyDescent="0.2">
      <c r="AF33733" s="679"/>
    </row>
    <row r="33734" spans="32:32" x14ac:dyDescent="0.2">
      <c r="AF33734" s="679"/>
    </row>
    <row r="33735" spans="32:32" x14ac:dyDescent="0.2">
      <c r="AF33735" s="679"/>
    </row>
    <row r="33736" spans="32:32" x14ac:dyDescent="0.2">
      <c r="AF33736" s="679"/>
    </row>
    <row r="33737" spans="32:32" x14ac:dyDescent="0.2">
      <c r="AF33737" s="679"/>
    </row>
    <row r="33738" spans="32:32" x14ac:dyDescent="0.2">
      <c r="AF33738" s="679"/>
    </row>
    <row r="33739" spans="32:32" x14ac:dyDescent="0.2">
      <c r="AF33739" s="679"/>
    </row>
    <row r="33740" spans="32:32" x14ac:dyDescent="0.2">
      <c r="AF33740" s="679"/>
    </row>
    <row r="33741" spans="32:32" x14ac:dyDescent="0.2">
      <c r="AF33741" s="679"/>
    </row>
    <row r="33742" spans="32:32" x14ac:dyDescent="0.2">
      <c r="AF33742" s="679"/>
    </row>
    <row r="33743" spans="32:32" x14ac:dyDescent="0.2">
      <c r="AF33743" s="679"/>
    </row>
    <row r="33744" spans="32:32" x14ac:dyDescent="0.2">
      <c r="AF33744" s="679"/>
    </row>
    <row r="33745" spans="32:32" x14ac:dyDescent="0.2">
      <c r="AF33745" s="679"/>
    </row>
    <row r="33746" spans="32:32" x14ac:dyDescent="0.2">
      <c r="AF33746" s="679"/>
    </row>
    <row r="33747" spans="32:32" x14ac:dyDescent="0.2">
      <c r="AF33747" s="679"/>
    </row>
    <row r="33748" spans="32:32" x14ac:dyDescent="0.2">
      <c r="AF33748" s="679"/>
    </row>
    <row r="33749" spans="32:32" x14ac:dyDescent="0.2">
      <c r="AF33749" s="679"/>
    </row>
    <row r="33750" spans="32:32" x14ac:dyDescent="0.2">
      <c r="AF33750" s="679"/>
    </row>
    <row r="33751" spans="32:32" x14ac:dyDescent="0.2">
      <c r="AF33751" s="679"/>
    </row>
    <row r="33752" spans="32:32" x14ac:dyDescent="0.2">
      <c r="AF33752" s="679"/>
    </row>
    <row r="33753" spans="32:32" x14ac:dyDescent="0.2">
      <c r="AF33753" s="679"/>
    </row>
    <row r="33754" spans="32:32" x14ac:dyDescent="0.2">
      <c r="AF33754" s="679"/>
    </row>
    <row r="33755" spans="32:32" x14ac:dyDescent="0.2">
      <c r="AF33755" s="679"/>
    </row>
    <row r="33756" spans="32:32" x14ac:dyDescent="0.2">
      <c r="AF33756" s="679"/>
    </row>
    <row r="33757" spans="32:32" x14ac:dyDescent="0.2">
      <c r="AF33757" s="679"/>
    </row>
    <row r="33758" spans="32:32" x14ac:dyDescent="0.2">
      <c r="AF33758" s="679"/>
    </row>
    <row r="33759" spans="32:32" x14ac:dyDescent="0.2">
      <c r="AF33759" s="679"/>
    </row>
    <row r="33760" spans="32:32" x14ac:dyDescent="0.2">
      <c r="AF33760" s="679"/>
    </row>
    <row r="33761" spans="32:32" x14ac:dyDescent="0.2">
      <c r="AF33761" s="679"/>
    </row>
    <row r="33762" spans="32:32" x14ac:dyDescent="0.2">
      <c r="AF33762" s="679"/>
    </row>
    <row r="33763" spans="32:32" x14ac:dyDescent="0.2">
      <c r="AF33763" s="679"/>
    </row>
    <row r="33764" spans="32:32" x14ac:dyDescent="0.2">
      <c r="AF33764" s="679"/>
    </row>
    <row r="33765" spans="32:32" x14ac:dyDescent="0.2">
      <c r="AF33765" s="679"/>
    </row>
    <row r="33766" spans="32:32" x14ac:dyDescent="0.2">
      <c r="AF33766" s="679"/>
    </row>
    <row r="33767" spans="32:32" x14ac:dyDescent="0.2">
      <c r="AF33767" s="679"/>
    </row>
    <row r="33768" spans="32:32" x14ac:dyDescent="0.2">
      <c r="AF33768" s="679"/>
    </row>
    <row r="33769" spans="32:32" x14ac:dyDescent="0.2">
      <c r="AF33769" s="679"/>
    </row>
    <row r="33770" spans="32:32" x14ac:dyDescent="0.2">
      <c r="AF33770" s="679"/>
    </row>
    <row r="33771" spans="32:32" x14ac:dyDescent="0.2">
      <c r="AF33771" s="679"/>
    </row>
    <row r="33772" spans="32:32" x14ac:dyDescent="0.2">
      <c r="AF33772" s="679"/>
    </row>
    <row r="33773" spans="32:32" x14ac:dyDescent="0.2">
      <c r="AF33773" s="679"/>
    </row>
    <row r="33774" spans="32:32" x14ac:dyDescent="0.2">
      <c r="AF33774" s="679"/>
    </row>
    <row r="33775" spans="32:32" x14ac:dyDescent="0.2">
      <c r="AF33775" s="679"/>
    </row>
    <row r="33776" spans="32:32" x14ac:dyDescent="0.2">
      <c r="AF33776" s="679"/>
    </row>
    <row r="33777" spans="32:32" x14ac:dyDescent="0.2">
      <c r="AF33777" s="679"/>
    </row>
    <row r="33778" spans="32:32" x14ac:dyDescent="0.2">
      <c r="AF33778" s="679"/>
    </row>
    <row r="33779" spans="32:32" x14ac:dyDescent="0.2">
      <c r="AF33779" s="679"/>
    </row>
    <row r="33780" spans="32:32" x14ac:dyDescent="0.2">
      <c r="AF33780" s="679"/>
    </row>
    <row r="33781" spans="32:32" x14ac:dyDescent="0.2">
      <c r="AF33781" s="679"/>
    </row>
    <row r="33782" spans="32:32" x14ac:dyDescent="0.2">
      <c r="AF33782" s="679"/>
    </row>
    <row r="33783" spans="32:32" x14ac:dyDescent="0.2">
      <c r="AF33783" s="679"/>
    </row>
    <row r="33784" spans="32:32" x14ac:dyDescent="0.2">
      <c r="AF33784" s="679"/>
    </row>
    <row r="33785" spans="32:32" x14ac:dyDescent="0.2">
      <c r="AF33785" s="679"/>
    </row>
    <row r="33786" spans="32:32" x14ac:dyDescent="0.2">
      <c r="AF33786" s="679"/>
    </row>
    <row r="33787" spans="32:32" x14ac:dyDescent="0.2">
      <c r="AF33787" s="679"/>
    </row>
    <row r="33788" spans="32:32" x14ac:dyDescent="0.2">
      <c r="AF33788" s="679"/>
    </row>
    <row r="33789" spans="32:32" x14ac:dyDescent="0.2">
      <c r="AF33789" s="679"/>
    </row>
    <row r="33790" spans="32:32" x14ac:dyDescent="0.2">
      <c r="AF33790" s="679"/>
    </row>
    <row r="33791" spans="32:32" x14ac:dyDescent="0.2">
      <c r="AF33791" s="679"/>
    </row>
    <row r="33792" spans="32:32" x14ac:dyDescent="0.2">
      <c r="AF33792" s="679"/>
    </row>
    <row r="33793" spans="32:32" x14ac:dyDescent="0.2">
      <c r="AF33793" s="679"/>
    </row>
    <row r="33794" spans="32:32" x14ac:dyDescent="0.2">
      <c r="AF33794" s="679"/>
    </row>
    <row r="33795" spans="32:32" x14ac:dyDescent="0.2">
      <c r="AF33795" s="679"/>
    </row>
    <row r="33796" spans="32:32" x14ac:dyDescent="0.2">
      <c r="AF33796" s="679"/>
    </row>
    <row r="33797" spans="32:32" x14ac:dyDescent="0.2">
      <c r="AF33797" s="679"/>
    </row>
    <row r="33798" spans="32:32" x14ac:dyDescent="0.2">
      <c r="AF33798" s="679"/>
    </row>
    <row r="33799" spans="32:32" x14ac:dyDescent="0.2">
      <c r="AF33799" s="679"/>
    </row>
    <row r="33800" spans="32:32" x14ac:dyDescent="0.2">
      <c r="AF33800" s="679"/>
    </row>
    <row r="33801" spans="32:32" x14ac:dyDescent="0.2">
      <c r="AF33801" s="679"/>
    </row>
    <row r="33802" spans="32:32" x14ac:dyDescent="0.2">
      <c r="AF33802" s="679"/>
    </row>
    <row r="33803" spans="32:32" x14ac:dyDescent="0.2">
      <c r="AF33803" s="679"/>
    </row>
    <row r="33804" spans="32:32" x14ac:dyDescent="0.2">
      <c r="AF33804" s="679"/>
    </row>
    <row r="33805" spans="32:32" x14ac:dyDescent="0.2">
      <c r="AF33805" s="679"/>
    </row>
    <row r="33806" spans="32:32" x14ac:dyDescent="0.2">
      <c r="AF33806" s="679"/>
    </row>
    <row r="33807" spans="32:32" x14ac:dyDescent="0.2">
      <c r="AF33807" s="679"/>
    </row>
    <row r="33808" spans="32:32" x14ac:dyDescent="0.2">
      <c r="AF33808" s="679"/>
    </row>
    <row r="33809" spans="32:32" x14ac:dyDescent="0.2">
      <c r="AF33809" s="679"/>
    </row>
    <row r="33810" spans="32:32" x14ac:dyDescent="0.2">
      <c r="AF33810" s="679"/>
    </row>
    <row r="33811" spans="32:32" x14ac:dyDescent="0.2">
      <c r="AF33811" s="679"/>
    </row>
    <row r="33812" spans="32:32" x14ac:dyDescent="0.2">
      <c r="AF33812" s="679"/>
    </row>
    <row r="33813" spans="32:32" x14ac:dyDescent="0.2">
      <c r="AF33813" s="679"/>
    </row>
    <row r="33814" spans="32:32" x14ac:dyDescent="0.2">
      <c r="AF33814" s="679"/>
    </row>
    <row r="33815" spans="32:32" x14ac:dyDescent="0.2">
      <c r="AF33815" s="679"/>
    </row>
    <row r="33816" spans="32:32" x14ac:dyDescent="0.2">
      <c r="AF33816" s="679"/>
    </row>
    <row r="33817" spans="32:32" x14ac:dyDescent="0.2">
      <c r="AF33817" s="679"/>
    </row>
    <row r="33818" spans="32:32" x14ac:dyDescent="0.2">
      <c r="AF33818" s="679"/>
    </row>
    <row r="33819" spans="32:32" x14ac:dyDescent="0.2">
      <c r="AF33819" s="679"/>
    </row>
    <row r="33820" spans="32:32" x14ac:dyDescent="0.2">
      <c r="AF33820" s="679"/>
    </row>
    <row r="33821" spans="32:32" x14ac:dyDescent="0.2">
      <c r="AF33821" s="679"/>
    </row>
    <row r="33822" spans="32:32" x14ac:dyDescent="0.2">
      <c r="AF33822" s="679"/>
    </row>
    <row r="33823" spans="32:32" x14ac:dyDescent="0.2">
      <c r="AF33823" s="679"/>
    </row>
    <row r="33824" spans="32:32" x14ac:dyDescent="0.2">
      <c r="AF33824" s="679"/>
    </row>
    <row r="33825" spans="32:32" x14ac:dyDescent="0.2">
      <c r="AF33825" s="679"/>
    </row>
    <row r="33826" spans="32:32" x14ac:dyDescent="0.2">
      <c r="AF33826" s="679"/>
    </row>
    <row r="33827" spans="32:32" x14ac:dyDescent="0.2">
      <c r="AF33827" s="679"/>
    </row>
    <row r="33828" spans="32:32" x14ac:dyDescent="0.2">
      <c r="AF33828" s="679"/>
    </row>
    <row r="33829" spans="32:32" x14ac:dyDescent="0.2">
      <c r="AF33829" s="679"/>
    </row>
    <row r="33830" spans="32:32" x14ac:dyDescent="0.2">
      <c r="AF33830" s="679"/>
    </row>
    <row r="33831" spans="32:32" x14ac:dyDescent="0.2">
      <c r="AF33831" s="679"/>
    </row>
    <row r="33832" spans="32:32" x14ac:dyDescent="0.2">
      <c r="AF33832" s="679"/>
    </row>
    <row r="33833" spans="32:32" x14ac:dyDescent="0.2">
      <c r="AF33833" s="679"/>
    </row>
    <row r="33834" spans="32:32" x14ac:dyDescent="0.2">
      <c r="AF33834" s="679"/>
    </row>
    <row r="33835" spans="32:32" x14ac:dyDescent="0.2">
      <c r="AF33835" s="679"/>
    </row>
    <row r="33836" spans="32:32" x14ac:dyDescent="0.2">
      <c r="AF33836" s="679"/>
    </row>
    <row r="33837" spans="32:32" x14ac:dyDescent="0.2">
      <c r="AF33837" s="679"/>
    </row>
    <row r="33838" spans="32:32" x14ac:dyDescent="0.2">
      <c r="AF33838" s="679"/>
    </row>
    <row r="33839" spans="32:32" x14ac:dyDescent="0.2">
      <c r="AF33839" s="679"/>
    </row>
    <row r="33840" spans="32:32" x14ac:dyDescent="0.2">
      <c r="AF33840" s="679"/>
    </row>
    <row r="33841" spans="32:32" x14ac:dyDescent="0.2">
      <c r="AF33841" s="679"/>
    </row>
    <row r="33842" spans="32:32" x14ac:dyDescent="0.2">
      <c r="AF33842" s="679"/>
    </row>
    <row r="33843" spans="32:32" x14ac:dyDescent="0.2">
      <c r="AF33843" s="679"/>
    </row>
    <row r="33844" spans="32:32" x14ac:dyDescent="0.2">
      <c r="AF33844" s="679"/>
    </row>
    <row r="33845" spans="32:32" x14ac:dyDescent="0.2">
      <c r="AF33845" s="679"/>
    </row>
    <row r="33846" spans="32:32" x14ac:dyDescent="0.2">
      <c r="AF33846" s="679"/>
    </row>
    <row r="33847" spans="32:32" x14ac:dyDescent="0.2">
      <c r="AF33847" s="679"/>
    </row>
    <row r="33848" spans="32:32" x14ac:dyDescent="0.2">
      <c r="AF33848" s="679"/>
    </row>
    <row r="33849" spans="32:32" x14ac:dyDescent="0.2">
      <c r="AF33849" s="679"/>
    </row>
    <row r="33850" spans="32:32" x14ac:dyDescent="0.2">
      <c r="AF33850" s="679"/>
    </row>
    <row r="33851" spans="32:32" x14ac:dyDescent="0.2">
      <c r="AF33851" s="679"/>
    </row>
    <row r="33852" spans="32:32" x14ac:dyDescent="0.2">
      <c r="AF33852" s="679"/>
    </row>
    <row r="33853" spans="32:32" x14ac:dyDescent="0.2">
      <c r="AF33853" s="679"/>
    </row>
    <row r="33854" spans="32:32" x14ac:dyDescent="0.2">
      <c r="AF33854" s="679"/>
    </row>
    <row r="33855" spans="32:32" x14ac:dyDescent="0.2">
      <c r="AF33855" s="679"/>
    </row>
    <row r="33856" spans="32:32" x14ac:dyDescent="0.2">
      <c r="AF33856" s="679"/>
    </row>
    <row r="33857" spans="32:32" x14ac:dyDescent="0.2">
      <c r="AF33857" s="679"/>
    </row>
    <row r="33858" spans="32:32" x14ac:dyDescent="0.2">
      <c r="AF33858" s="679"/>
    </row>
    <row r="33859" spans="32:32" x14ac:dyDescent="0.2">
      <c r="AF33859" s="679"/>
    </row>
    <row r="33860" spans="32:32" x14ac:dyDescent="0.2">
      <c r="AF33860" s="679"/>
    </row>
    <row r="33861" spans="32:32" x14ac:dyDescent="0.2">
      <c r="AF33861" s="679"/>
    </row>
    <row r="33862" spans="32:32" x14ac:dyDescent="0.2">
      <c r="AF33862" s="679"/>
    </row>
    <row r="33863" spans="32:32" x14ac:dyDescent="0.2">
      <c r="AF33863" s="679"/>
    </row>
    <row r="33864" spans="32:32" x14ac:dyDescent="0.2">
      <c r="AF33864" s="679"/>
    </row>
    <row r="33865" spans="32:32" x14ac:dyDescent="0.2">
      <c r="AF33865" s="679"/>
    </row>
    <row r="33866" spans="32:32" x14ac:dyDescent="0.2">
      <c r="AF33866" s="679"/>
    </row>
    <row r="33867" spans="32:32" x14ac:dyDescent="0.2">
      <c r="AF33867" s="679"/>
    </row>
    <row r="33868" spans="32:32" x14ac:dyDescent="0.2">
      <c r="AF33868" s="679"/>
    </row>
    <row r="33869" spans="32:32" x14ac:dyDescent="0.2">
      <c r="AF33869" s="679"/>
    </row>
    <row r="33870" spans="32:32" x14ac:dyDescent="0.2">
      <c r="AF33870" s="679"/>
    </row>
    <row r="33871" spans="32:32" x14ac:dyDescent="0.2">
      <c r="AF33871" s="679"/>
    </row>
    <row r="33872" spans="32:32" x14ac:dyDescent="0.2">
      <c r="AF33872" s="679"/>
    </row>
    <row r="33873" spans="32:32" x14ac:dyDescent="0.2">
      <c r="AF33873" s="679"/>
    </row>
    <row r="33874" spans="32:32" x14ac:dyDescent="0.2">
      <c r="AF33874" s="679"/>
    </row>
    <row r="33875" spans="32:32" x14ac:dyDescent="0.2">
      <c r="AF33875" s="679"/>
    </row>
    <row r="33876" spans="32:32" x14ac:dyDescent="0.2">
      <c r="AF33876" s="679"/>
    </row>
    <row r="33877" spans="32:32" x14ac:dyDescent="0.2">
      <c r="AF33877" s="679"/>
    </row>
    <row r="33878" spans="32:32" x14ac:dyDescent="0.2">
      <c r="AF33878" s="679"/>
    </row>
    <row r="33879" spans="32:32" x14ac:dyDescent="0.2">
      <c r="AF33879" s="679"/>
    </row>
    <row r="33880" spans="32:32" x14ac:dyDescent="0.2">
      <c r="AF33880" s="679"/>
    </row>
    <row r="33881" spans="32:32" x14ac:dyDescent="0.2">
      <c r="AF33881" s="679"/>
    </row>
    <row r="33882" spans="32:32" x14ac:dyDescent="0.2">
      <c r="AF33882" s="679"/>
    </row>
    <row r="33883" spans="32:32" x14ac:dyDescent="0.2">
      <c r="AF33883" s="679"/>
    </row>
    <row r="33884" spans="32:32" x14ac:dyDescent="0.2">
      <c r="AF33884" s="679"/>
    </row>
    <row r="33885" spans="32:32" x14ac:dyDescent="0.2">
      <c r="AF33885" s="679"/>
    </row>
    <row r="33886" spans="32:32" x14ac:dyDescent="0.2">
      <c r="AF33886" s="679"/>
    </row>
    <row r="33887" spans="32:32" x14ac:dyDescent="0.2">
      <c r="AF33887" s="679"/>
    </row>
    <row r="33888" spans="32:32" x14ac:dyDescent="0.2">
      <c r="AF33888" s="679"/>
    </row>
    <row r="33889" spans="32:32" x14ac:dyDescent="0.2">
      <c r="AF33889" s="679"/>
    </row>
    <row r="33890" spans="32:32" x14ac:dyDescent="0.2">
      <c r="AF33890" s="679"/>
    </row>
    <row r="33891" spans="32:32" x14ac:dyDescent="0.2">
      <c r="AF33891" s="679"/>
    </row>
    <row r="33892" spans="32:32" x14ac:dyDescent="0.2">
      <c r="AF33892" s="679"/>
    </row>
    <row r="33893" spans="32:32" x14ac:dyDescent="0.2">
      <c r="AF33893" s="679"/>
    </row>
    <row r="33894" spans="32:32" x14ac:dyDescent="0.2">
      <c r="AF33894" s="679"/>
    </row>
    <row r="33895" spans="32:32" x14ac:dyDescent="0.2">
      <c r="AF33895" s="679"/>
    </row>
    <row r="33896" spans="32:32" x14ac:dyDescent="0.2">
      <c r="AF33896" s="679"/>
    </row>
    <row r="33897" spans="32:32" x14ac:dyDescent="0.2">
      <c r="AF33897" s="679"/>
    </row>
    <row r="33898" spans="32:32" x14ac:dyDescent="0.2">
      <c r="AF33898" s="679"/>
    </row>
    <row r="33899" spans="32:32" x14ac:dyDescent="0.2">
      <c r="AF33899" s="679"/>
    </row>
    <row r="33900" spans="32:32" x14ac:dyDescent="0.2">
      <c r="AF33900" s="679"/>
    </row>
    <row r="33901" spans="32:32" x14ac:dyDescent="0.2">
      <c r="AF33901" s="679"/>
    </row>
    <row r="33902" spans="32:32" x14ac:dyDescent="0.2">
      <c r="AF33902" s="679"/>
    </row>
    <row r="33903" spans="32:32" x14ac:dyDescent="0.2">
      <c r="AF33903" s="679"/>
    </row>
    <row r="33904" spans="32:32" x14ac:dyDescent="0.2">
      <c r="AF33904" s="679"/>
    </row>
    <row r="33905" spans="32:32" x14ac:dyDescent="0.2">
      <c r="AF33905" s="679"/>
    </row>
    <row r="33906" spans="32:32" x14ac:dyDescent="0.2">
      <c r="AF33906" s="679"/>
    </row>
    <row r="33907" spans="32:32" x14ac:dyDescent="0.2">
      <c r="AF33907" s="679"/>
    </row>
    <row r="33908" spans="32:32" x14ac:dyDescent="0.2">
      <c r="AF33908" s="679"/>
    </row>
    <row r="33909" spans="32:32" x14ac:dyDescent="0.2">
      <c r="AF33909" s="679"/>
    </row>
    <row r="33910" spans="32:32" x14ac:dyDescent="0.2">
      <c r="AF33910" s="679"/>
    </row>
    <row r="33911" spans="32:32" x14ac:dyDescent="0.2">
      <c r="AF33911" s="679"/>
    </row>
    <row r="33912" spans="32:32" x14ac:dyDescent="0.2">
      <c r="AF33912" s="679"/>
    </row>
    <row r="33913" spans="32:32" x14ac:dyDescent="0.2">
      <c r="AF33913" s="679"/>
    </row>
    <row r="33914" spans="32:32" x14ac:dyDescent="0.2">
      <c r="AF33914" s="679"/>
    </row>
    <row r="33915" spans="32:32" x14ac:dyDescent="0.2">
      <c r="AF33915" s="679"/>
    </row>
    <row r="33916" spans="32:32" x14ac:dyDescent="0.2">
      <c r="AF33916" s="679"/>
    </row>
    <row r="33917" spans="32:32" x14ac:dyDescent="0.2">
      <c r="AF33917" s="679"/>
    </row>
    <row r="33918" spans="32:32" x14ac:dyDescent="0.2">
      <c r="AF33918" s="679"/>
    </row>
    <row r="33919" spans="32:32" x14ac:dyDescent="0.2">
      <c r="AF33919" s="679"/>
    </row>
    <row r="33920" spans="32:32" x14ac:dyDescent="0.2">
      <c r="AF33920" s="679"/>
    </row>
    <row r="33921" spans="32:32" x14ac:dyDescent="0.2">
      <c r="AF33921" s="679"/>
    </row>
    <row r="33922" spans="32:32" x14ac:dyDescent="0.2">
      <c r="AF33922" s="679"/>
    </row>
    <row r="33923" spans="32:32" x14ac:dyDescent="0.2">
      <c r="AF33923" s="679"/>
    </row>
    <row r="33924" spans="32:32" x14ac:dyDescent="0.2">
      <c r="AF33924" s="679"/>
    </row>
    <row r="33925" spans="32:32" x14ac:dyDescent="0.2">
      <c r="AF33925" s="679"/>
    </row>
    <row r="33926" spans="32:32" x14ac:dyDescent="0.2">
      <c r="AF33926" s="679"/>
    </row>
    <row r="33927" spans="32:32" x14ac:dyDescent="0.2">
      <c r="AF33927" s="679"/>
    </row>
    <row r="33928" spans="32:32" x14ac:dyDescent="0.2">
      <c r="AF33928" s="679"/>
    </row>
    <row r="33929" spans="32:32" x14ac:dyDescent="0.2">
      <c r="AF33929" s="679"/>
    </row>
    <row r="33930" spans="32:32" x14ac:dyDescent="0.2">
      <c r="AF33930" s="679"/>
    </row>
    <row r="33931" spans="32:32" x14ac:dyDescent="0.2">
      <c r="AF33931" s="679"/>
    </row>
    <row r="33932" spans="32:32" x14ac:dyDescent="0.2">
      <c r="AF33932" s="679"/>
    </row>
    <row r="33933" spans="32:32" x14ac:dyDescent="0.2">
      <c r="AF33933" s="679"/>
    </row>
    <row r="33934" spans="32:32" x14ac:dyDescent="0.2">
      <c r="AF33934" s="679"/>
    </row>
    <row r="33935" spans="32:32" x14ac:dyDescent="0.2">
      <c r="AF33935" s="679"/>
    </row>
    <row r="33936" spans="32:32" x14ac:dyDescent="0.2">
      <c r="AF33936" s="679"/>
    </row>
    <row r="33937" spans="32:32" x14ac:dyDescent="0.2">
      <c r="AF33937" s="679"/>
    </row>
    <row r="33938" spans="32:32" x14ac:dyDescent="0.2">
      <c r="AF33938" s="679"/>
    </row>
    <row r="33939" spans="32:32" x14ac:dyDescent="0.2">
      <c r="AF33939" s="679"/>
    </row>
    <row r="33940" spans="32:32" x14ac:dyDescent="0.2">
      <c r="AF33940" s="679"/>
    </row>
    <row r="33941" spans="32:32" x14ac:dyDescent="0.2">
      <c r="AF33941" s="679"/>
    </row>
    <row r="33942" spans="32:32" x14ac:dyDescent="0.2">
      <c r="AF33942" s="679"/>
    </row>
    <row r="33943" spans="32:32" x14ac:dyDescent="0.2">
      <c r="AF33943" s="679"/>
    </row>
    <row r="33944" spans="32:32" x14ac:dyDescent="0.2">
      <c r="AF33944" s="679"/>
    </row>
    <row r="33945" spans="32:32" x14ac:dyDescent="0.2">
      <c r="AF33945" s="679"/>
    </row>
    <row r="33946" spans="32:32" x14ac:dyDescent="0.2">
      <c r="AF33946" s="679"/>
    </row>
    <row r="33947" spans="32:32" x14ac:dyDescent="0.2">
      <c r="AF33947" s="679"/>
    </row>
    <row r="33948" spans="32:32" x14ac:dyDescent="0.2">
      <c r="AF33948" s="679"/>
    </row>
    <row r="33949" spans="32:32" x14ac:dyDescent="0.2">
      <c r="AF33949" s="679"/>
    </row>
    <row r="33950" spans="32:32" x14ac:dyDescent="0.2">
      <c r="AF33950" s="679"/>
    </row>
    <row r="33951" spans="32:32" x14ac:dyDescent="0.2">
      <c r="AF33951" s="679"/>
    </row>
    <row r="33952" spans="32:32" x14ac:dyDescent="0.2">
      <c r="AF33952" s="679"/>
    </row>
    <row r="33953" spans="32:32" x14ac:dyDescent="0.2">
      <c r="AF33953" s="679"/>
    </row>
    <row r="33954" spans="32:32" x14ac:dyDescent="0.2">
      <c r="AF33954" s="679"/>
    </row>
    <row r="33955" spans="32:32" x14ac:dyDescent="0.2">
      <c r="AF33955" s="679"/>
    </row>
    <row r="33956" spans="32:32" x14ac:dyDescent="0.2">
      <c r="AF33956" s="679"/>
    </row>
    <row r="33957" spans="32:32" x14ac:dyDescent="0.2">
      <c r="AF33957" s="679"/>
    </row>
    <row r="33958" spans="32:32" x14ac:dyDescent="0.2">
      <c r="AF33958" s="679"/>
    </row>
    <row r="33959" spans="32:32" x14ac:dyDescent="0.2">
      <c r="AF33959" s="679"/>
    </row>
    <row r="33960" spans="32:32" x14ac:dyDescent="0.2">
      <c r="AF33960" s="679"/>
    </row>
    <row r="33961" spans="32:32" x14ac:dyDescent="0.2">
      <c r="AF33961" s="679"/>
    </row>
    <row r="33962" spans="32:32" x14ac:dyDescent="0.2">
      <c r="AF33962" s="679"/>
    </row>
    <row r="33963" spans="32:32" x14ac:dyDescent="0.2">
      <c r="AF33963" s="679"/>
    </row>
    <row r="33964" spans="32:32" x14ac:dyDescent="0.2">
      <c r="AF33964" s="679"/>
    </row>
    <row r="33965" spans="32:32" x14ac:dyDescent="0.2">
      <c r="AF33965" s="679"/>
    </row>
    <row r="33966" spans="32:32" x14ac:dyDescent="0.2">
      <c r="AF33966" s="679"/>
    </row>
    <row r="33967" spans="32:32" x14ac:dyDescent="0.2">
      <c r="AF33967" s="679"/>
    </row>
    <row r="33968" spans="32:32" x14ac:dyDescent="0.2">
      <c r="AF33968" s="679"/>
    </row>
    <row r="33969" spans="32:32" x14ac:dyDescent="0.2">
      <c r="AF33969" s="679"/>
    </row>
    <row r="33970" spans="32:32" x14ac:dyDescent="0.2">
      <c r="AF33970" s="679"/>
    </row>
    <row r="33971" spans="32:32" x14ac:dyDescent="0.2">
      <c r="AF33971" s="679"/>
    </row>
    <row r="33972" spans="32:32" x14ac:dyDescent="0.2">
      <c r="AF33972" s="679"/>
    </row>
    <row r="33973" spans="32:32" x14ac:dyDescent="0.2">
      <c r="AF33973" s="679"/>
    </row>
    <row r="33974" spans="32:32" x14ac:dyDescent="0.2">
      <c r="AF33974" s="679"/>
    </row>
    <row r="33975" spans="32:32" x14ac:dyDescent="0.2">
      <c r="AF33975" s="679"/>
    </row>
    <row r="33976" spans="32:32" x14ac:dyDescent="0.2">
      <c r="AF33976" s="679"/>
    </row>
    <row r="33977" spans="32:32" x14ac:dyDescent="0.2">
      <c r="AF33977" s="679"/>
    </row>
    <row r="33978" spans="32:32" x14ac:dyDescent="0.2">
      <c r="AF33978" s="679"/>
    </row>
    <row r="33979" spans="32:32" x14ac:dyDescent="0.2">
      <c r="AF33979" s="679"/>
    </row>
    <row r="33980" spans="32:32" x14ac:dyDescent="0.2">
      <c r="AF33980" s="679"/>
    </row>
    <row r="33981" spans="32:32" x14ac:dyDescent="0.2">
      <c r="AF33981" s="679"/>
    </row>
    <row r="33982" spans="32:32" x14ac:dyDescent="0.2">
      <c r="AF33982" s="679"/>
    </row>
    <row r="33983" spans="32:32" x14ac:dyDescent="0.2">
      <c r="AF33983" s="679"/>
    </row>
    <row r="33984" spans="32:32" x14ac:dyDescent="0.2">
      <c r="AF33984" s="679"/>
    </row>
    <row r="33985" spans="32:32" x14ac:dyDescent="0.2">
      <c r="AF33985" s="679"/>
    </row>
    <row r="33986" spans="32:32" x14ac:dyDescent="0.2">
      <c r="AF33986" s="679"/>
    </row>
    <row r="33987" spans="32:32" x14ac:dyDescent="0.2">
      <c r="AF33987" s="679"/>
    </row>
    <row r="33988" spans="32:32" x14ac:dyDescent="0.2">
      <c r="AF33988" s="679"/>
    </row>
    <row r="33989" spans="32:32" x14ac:dyDescent="0.2">
      <c r="AF33989" s="679"/>
    </row>
    <row r="33990" spans="32:32" x14ac:dyDescent="0.2">
      <c r="AF33990" s="679"/>
    </row>
    <row r="33991" spans="32:32" x14ac:dyDescent="0.2">
      <c r="AF33991" s="679"/>
    </row>
    <row r="33992" spans="32:32" x14ac:dyDescent="0.2">
      <c r="AF33992" s="679"/>
    </row>
    <row r="33993" spans="32:32" x14ac:dyDescent="0.2">
      <c r="AF33993" s="679"/>
    </row>
    <row r="33994" spans="32:32" x14ac:dyDescent="0.2">
      <c r="AF33994" s="679"/>
    </row>
    <row r="33995" spans="32:32" x14ac:dyDescent="0.2">
      <c r="AF33995" s="679"/>
    </row>
    <row r="33996" spans="32:32" x14ac:dyDescent="0.2">
      <c r="AF33996" s="679"/>
    </row>
    <row r="33997" spans="32:32" x14ac:dyDescent="0.2">
      <c r="AF33997" s="679"/>
    </row>
    <row r="33998" spans="32:32" x14ac:dyDescent="0.2">
      <c r="AF33998" s="679"/>
    </row>
    <row r="33999" spans="32:32" x14ac:dyDescent="0.2">
      <c r="AF33999" s="679"/>
    </row>
    <row r="34000" spans="32:32" x14ac:dyDescent="0.2">
      <c r="AF34000" s="679"/>
    </row>
    <row r="34001" spans="32:32" x14ac:dyDescent="0.2">
      <c r="AF34001" s="679"/>
    </row>
    <row r="34002" spans="32:32" x14ac:dyDescent="0.2">
      <c r="AF34002" s="679"/>
    </row>
    <row r="34003" spans="32:32" x14ac:dyDescent="0.2">
      <c r="AF34003" s="679"/>
    </row>
    <row r="34004" spans="32:32" x14ac:dyDescent="0.2">
      <c r="AF34004" s="679"/>
    </row>
    <row r="34005" spans="32:32" x14ac:dyDescent="0.2">
      <c r="AF34005" s="679"/>
    </row>
    <row r="34006" spans="32:32" x14ac:dyDescent="0.2">
      <c r="AF34006" s="679"/>
    </row>
    <row r="34007" spans="32:32" x14ac:dyDescent="0.2">
      <c r="AF34007" s="679"/>
    </row>
    <row r="34008" spans="32:32" x14ac:dyDescent="0.2">
      <c r="AF34008" s="679"/>
    </row>
    <row r="34009" spans="32:32" x14ac:dyDescent="0.2">
      <c r="AF34009" s="679"/>
    </row>
    <row r="34010" spans="32:32" x14ac:dyDescent="0.2">
      <c r="AF34010" s="679"/>
    </row>
    <row r="34011" spans="32:32" x14ac:dyDescent="0.2">
      <c r="AF34011" s="679"/>
    </row>
    <row r="34012" spans="32:32" x14ac:dyDescent="0.2">
      <c r="AF34012" s="679"/>
    </row>
    <row r="34013" spans="32:32" x14ac:dyDescent="0.2">
      <c r="AF34013" s="679"/>
    </row>
    <row r="34014" spans="32:32" x14ac:dyDescent="0.2">
      <c r="AF34014" s="679"/>
    </row>
    <row r="34015" spans="32:32" x14ac:dyDescent="0.2">
      <c r="AF34015" s="679"/>
    </row>
    <row r="34016" spans="32:32" x14ac:dyDescent="0.2">
      <c r="AF34016" s="679"/>
    </row>
    <row r="34017" spans="32:32" x14ac:dyDescent="0.2">
      <c r="AF34017" s="679"/>
    </row>
    <row r="34018" spans="32:32" x14ac:dyDescent="0.2">
      <c r="AF34018" s="679"/>
    </row>
    <row r="34019" spans="32:32" x14ac:dyDescent="0.2">
      <c r="AF34019" s="679"/>
    </row>
    <row r="34020" spans="32:32" x14ac:dyDescent="0.2">
      <c r="AF34020" s="679"/>
    </row>
    <row r="34021" spans="32:32" x14ac:dyDescent="0.2">
      <c r="AF34021" s="679"/>
    </row>
    <row r="34022" spans="32:32" x14ac:dyDescent="0.2">
      <c r="AF34022" s="679"/>
    </row>
    <row r="34023" spans="32:32" x14ac:dyDescent="0.2">
      <c r="AF34023" s="679"/>
    </row>
    <row r="34024" spans="32:32" x14ac:dyDescent="0.2">
      <c r="AF34024" s="679"/>
    </row>
    <row r="34025" spans="32:32" x14ac:dyDescent="0.2">
      <c r="AF34025" s="679"/>
    </row>
    <row r="34026" spans="32:32" x14ac:dyDescent="0.2">
      <c r="AF34026" s="679"/>
    </row>
    <row r="34027" spans="32:32" x14ac:dyDescent="0.2">
      <c r="AF34027" s="679"/>
    </row>
    <row r="34028" spans="32:32" x14ac:dyDescent="0.2">
      <c r="AF34028" s="679"/>
    </row>
    <row r="34029" spans="32:32" x14ac:dyDescent="0.2">
      <c r="AF34029" s="679"/>
    </row>
    <row r="34030" spans="32:32" x14ac:dyDescent="0.2">
      <c r="AF34030" s="679"/>
    </row>
    <row r="34031" spans="32:32" x14ac:dyDescent="0.2">
      <c r="AF34031" s="679"/>
    </row>
    <row r="34032" spans="32:32" x14ac:dyDescent="0.2">
      <c r="AF34032" s="679"/>
    </row>
    <row r="34033" spans="32:32" x14ac:dyDescent="0.2">
      <c r="AF34033" s="679"/>
    </row>
    <row r="34034" spans="32:32" x14ac:dyDescent="0.2">
      <c r="AF34034" s="679"/>
    </row>
    <row r="34035" spans="32:32" x14ac:dyDescent="0.2">
      <c r="AF34035" s="679"/>
    </row>
    <row r="34036" spans="32:32" x14ac:dyDescent="0.2">
      <c r="AF34036" s="679"/>
    </row>
    <row r="34037" spans="32:32" x14ac:dyDescent="0.2">
      <c r="AF34037" s="679"/>
    </row>
    <row r="34038" spans="32:32" x14ac:dyDescent="0.2">
      <c r="AF34038" s="679"/>
    </row>
    <row r="34039" spans="32:32" x14ac:dyDescent="0.2">
      <c r="AF34039" s="679"/>
    </row>
    <row r="34040" spans="32:32" x14ac:dyDescent="0.2">
      <c r="AF34040" s="679"/>
    </row>
    <row r="34041" spans="32:32" x14ac:dyDescent="0.2">
      <c r="AF34041" s="679"/>
    </row>
    <row r="34042" spans="32:32" x14ac:dyDescent="0.2">
      <c r="AF34042" s="679"/>
    </row>
    <row r="34043" spans="32:32" x14ac:dyDescent="0.2">
      <c r="AF34043" s="679"/>
    </row>
    <row r="34044" spans="32:32" x14ac:dyDescent="0.2">
      <c r="AF34044" s="679"/>
    </row>
    <row r="34045" spans="32:32" x14ac:dyDescent="0.2">
      <c r="AF34045" s="679"/>
    </row>
    <row r="34046" spans="32:32" x14ac:dyDescent="0.2">
      <c r="AF34046" s="679"/>
    </row>
    <row r="34047" spans="32:32" x14ac:dyDescent="0.2">
      <c r="AF34047" s="679"/>
    </row>
    <row r="34048" spans="32:32" x14ac:dyDescent="0.2">
      <c r="AF34048" s="679"/>
    </row>
    <row r="34049" spans="32:32" x14ac:dyDescent="0.2">
      <c r="AF34049" s="679"/>
    </row>
    <row r="34050" spans="32:32" x14ac:dyDescent="0.2">
      <c r="AF34050" s="679"/>
    </row>
    <row r="34051" spans="32:32" x14ac:dyDescent="0.2">
      <c r="AF34051" s="679"/>
    </row>
    <row r="34052" spans="32:32" x14ac:dyDescent="0.2">
      <c r="AF34052" s="679"/>
    </row>
    <row r="34053" spans="32:32" x14ac:dyDescent="0.2">
      <c r="AF34053" s="679"/>
    </row>
    <row r="34054" spans="32:32" x14ac:dyDescent="0.2">
      <c r="AF34054" s="679"/>
    </row>
    <row r="34055" spans="32:32" x14ac:dyDescent="0.2">
      <c r="AF34055" s="679"/>
    </row>
    <row r="34056" spans="32:32" x14ac:dyDescent="0.2">
      <c r="AF34056" s="679"/>
    </row>
    <row r="34057" spans="32:32" x14ac:dyDescent="0.2">
      <c r="AF34057" s="679"/>
    </row>
    <row r="34058" spans="32:32" x14ac:dyDescent="0.2">
      <c r="AF34058" s="679"/>
    </row>
    <row r="34059" spans="32:32" x14ac:dyDescent="0.2">
      <c r="AF34059" s="679"/>
    </row>
    <row r="34060" spans="32:32" x14ac:dyDescent="0.2">
      <c r="AF34060" s="679"/>
    </row>
    <row r="34061" spans="32:32" x14ac:dyDescent="0.2">
      <c r="AF34061" s="679"/>
    </row>
    <row r="34062" spans="32:32" x14ac:dyDescent="0.2">
      <c r="AF34062" s="679"/>
    </row>
    <row r="34063" spans="32:32" x14ac:dyDescent="0.2">
      <c r="AF34063" s="679"/>
    </row>
    <row r="34064" spans="32:32" x14ac:dyDescent="0.2">
      <c r="AF34064" s="679"/>
    </row>
    <row r="34065" spans="32:32" x14ac:dyDescent="0.2">
      <c r="AF34065" s="679"/>
    </row>
    <row r="34066" spans="32:32" x14ac:dyDescent="0.2">
      <c r="AF34066" s="679"/>
    </row>
    <row r="34067" spans="32:32" x14ac:dyDescent="0.2">
      <c r="AF34067" s="679"/>
    </row>
    <row r="34068" spans="32:32" x14ac:dyDescent="0.2">
      <c r="AF34068" s="679"/>
    </row>
    <row r="34069" spans="32:32" x14ac:dyDescent="0.2">
      <c r="AF34069" s="679"/>
    </row>
    <row r="34070" spans="32:32" x14ac:dyDescent="0.2">
      <c r="AF34070" s="679"/>
    </row>
    <row r="34071" spans="32:32" x14ac:dyDescent="0.2">
      <c r="AF34071" s="679"/>
    </row>
    <row r="34072" spans="32:32" x14ac:dyDescent="0.2">
      <c r="AF34072" s="679"/>
    </row>
    <row r="34073" spans="32:32" x14ac:dyDescent="0.2">
      <c r="AF34073" s="679"/>
    </row>
    <row r="34074" spans="32:32" x14ac:dyDescent="0.2">
      <c r="AF34074" s="679"/>
    </row>
    <row r="34075" spans="32:32" x14ac:dyDescent="0.2">
      <c r="AF34075" s="679"/>
    </row>
    <row r="34076" spans="32:32" x14ac:dyDescent="0.2">
      <c r="AF34076" s="679"/>
    </row>
    <row r="34077" spans="32:32" x14ac:dyDescent="0.2">
      <c r="AF34077" s="679"/>
    </row>
    <row r="34078" spans="32:32" x14ac:dyDescent="0.2">
      <c r="AF34078" s="679"/>
    </row>
    <row r="34079" spans="32:32" x14ac:dyDescent="0.2">
      <c r="AF34079" s="679"/>
    </row>
    <row r="34080" spans="32:32" x14ac:dyDescent="0.2">
      <c r="AF34080" s="679"/>
    </row>
    <row r="34081" spans="32:32" x14ac:dyDescent="0.2">
      <c r="AF34081" s="679"/>
    </row>
    <row r="34082" spans="32:32" x14ac:dyDescent="0.2">
      <c r="AF34082" s="679"/>
    </row>
    <row r="34083" spans="32:32" x14ac:dyDescent="0.2">
      <c r="AF34083" s="679"/>
    </row>
    <row r="34084" spans="32:32" x14ac:dyDescent="0.2">
      <c r="AF34084" s="679"/>
    </row>
    <row r="34085" spans="32:32" x14ac:dyDescent="0.2">
      <c r="AF34085" s="679"/>
    </row>
    <row r="34086" spans="32:32" x14ac:dyDescent="0.2">
      <c r="AF34086" s="679"/>
    </row>
    <row r="34087" spans="32:32" x14ac:dyDescent="0.2">
      <c r="AF34087" s="679"/>
    </row>
    <row r="34088" spans="32:32" x14ac:dyDescent="0.2">
      <c r="AF34088" s="679"/>
    </row>
    <row r="34089" spans="32:32" x14ac:dyDescent="0.2">
      <c r="AF34089" s="679"/>
    </row>
    <row r="34090" spans="32:32" x14ac:dyDescent="0.2">
      <c r="AF34090" s="679"/>
    </row>
    <row r="34091" spans="32:32" x14ac:dyDescent="0.2">
      <c r="AF34091" s="679"/>
    </row>
    <row r="34092" spans="32:32" x14ac:dyDescent="0.2">
      <c r="AF34092" s="679"/>
    </row>
    <row r="34093" spans="32:32" x14ac:dyDescent="0.2">
      <c r="AF34093" s="679"/>
    </row>
    <row r="34094" spans="32:32" x14ac:dyDescent="0.2">
      <c r="AF34094" s="679"/>
    </row>
    <row r="34095" spans="32:32" x14ac:dyDescent="0.2">
      <c r="AF34095" s="679"/>
    </row>
    <row r="34096" spans="32:32" x14ac:dyDescent="0.2">
      <c r="AF34096" s="679"/>
    </row>
    <row r="34097" spans="32:32" x14ac:dyDescent="0.2">
      <c r="AF34097" s="679"/>
    </row>
    <row r="34098" spans="32:32" x14ac:dyDescent="0.2">
      <c r="AF34098" s="679"/>
    </row>
    <row r="34099" spans="32:32" x14ac:dyDescent="0.2">
      <c r="AF34099" s="679"/>
    </row>
    <row r="34100" spans="32:32" x14ac:dyDescent="0.2">
      <c r="AF34100" s="679"/>
    </row>
    <row r="34101" spans="32:32" x14ac:dyDescent="0.2">
      <c r="AF34101" s="679"/>
    </row>
    <row r="34102" spans="32:32" x14ac:dyDescent="0.2">
      <c r="AF34102" s="679"/>
    </row>
    <row r="34103" spans="32:32" x14ac:dyDescent="0.2">
      <c r="AF34103" s="679"/>
    </row>
    <row r="34104" spans="32:32" x14ac:dyDescent="0.2">
      <c r="AF34104" s="679"/>
    </row>
    <row r="34105" spans="32:32" x14ac:dyDescent="0.2">
      <c r="AF34105" s="679"/>
    </row>
    <row r="34106" spans="32:32" x14ac:dyDescent="0.2">
      <c r="AF34106" s="679"/>
    </row>
    <row r="34107" spans="32:32" x14ac:dyDescent="0.2">
      <c r="AF34107" s="679"/>
    </row>
    <row r="34108" spans="32:32" x14ac:dyDescent="0.2">
      <c r="AF34108" s="679"/>
    </row>
    <row r="34109" spans="32:32" x14ac:dyDescent="0.2">
      <c r="AF34109" s="679"/>
    </row>
    <row r="34110" spans="32:32" x14ac:dyDescent="0.2">
      <c r="AF34110" s="679"/>
    </row>
    <row r="34111" spans="32:32" x14ac:dyDescent="0.2">
      <c r="AF34111" s="679"/>
    </row>
    <row r="34112" spans="32:32" x14ac:dyDescent="0.2">
      <c r="AF34112" s="679"/>
    </row>
    <row r="34113" spans="32:32" x14ac:dyDescent="0.2">
      <c r="AF34113" s="679"/>
    </row>
    <row r="34114" spans="32:32" x14ac:dyDescent="0.2">
      <c r="AF34114" s="679"/>
    </row>
    <row r="34115" spans="32:32" x14ac:dyDescent="0.2">
      <c r="AF34115" s="679"/>
    </row>
    <row r="34116" spans="32:32" x14ac:dyDescent="0.2">
      <c r="AF34116" s="679"/>
    </row>
    <row r="34117" spans="32:32" x14ac:dyDescent="0.2">
      <c r="AF34117" s="679"/>
    </row>
    <row r="34118" spans="32:32" x14ac:dyDescent="0.2">
      <c r="AF34118" s="679"/>
    </row>
    <row r="34119" spans="32:32" x14ac:dyDescent="0.2">
      <c r="AF34119" s="679"/>
    </row>
    <row r="34120" spans="32:32" x14ac:dyDescent="0.2">
      <c r="AF34120" s="679"/>
    </row>
    <row r="34121" spans="32:32" x14ac:dyDescent="0.2">
      <c r="AF34121" s="679"/>
    </row>
    <row r="34122" spans="32:32" x14ac:dyDescent="0.2">
      <c r="AF34122" s="679"/>
    </row>
    <row r="34123" spans="32:32" x14ac:dyDescent="0.2">
      <c r="AF34123" s="679"/>
    </row>
    <row r="34124" spans="32:32" x14ac:dyDescent="0.2">
      <c r="AF34124" s="679"/>
    </row>
    <row r="34125" spans="32:32" x14ac:dyDescent="0.2">
      <c r="AF34125" s="679"/>
    </row>
    <row r="34126" spans="32:32" x14ac:dyDescent="0.2">
      <c r="AF34126" s="679"/>
    </row>
    <row r="34127" spans="32:32" x14ac:dyDescent="0.2">
      <c r="AF34127" s="679"/>
    </row>
    <row r="34128" spans="32:32" x14ac:dyDescent="0.2">
      <c r="AF34128" s="679"/>
    </row>
    <row r="34129" spans="32:32" x14ac:dyDescent="0.2">
      <c r="AF34129" s="679"/>
    </row>
    <row r="34130" spans="32:32" x14ac:dyDescent="0.2">
      <c r="AF34130" s="679"/>
    </row>
    <row r="34131" spans="32:32" x14ac:dyDescent="0.2">
      <c r="AF34131" s="679"/>
    </row>
    <row r="34132" spans="32:32" x14ac:dyDescent="0.2">
      <c r="AF34132" s="679"/>
    </row>
    <row r="34133" spans="32:32" x14ac:dyDescent="0.2">
      <c r="AF34133" s="679"/>
    </row>
    <row r="34134" spans="32:32" x14ac:dyDescent="0.2">
      <c r="AF34134" s="679"/>
    </row>
    <row r="34135" spans="32:32" x14ac:dyDescent="0.2">
      <c r="AF34135" s="679"/>
    </row>
    <row r="34136" spans="32:32" x14ac:dyDescent="0.2">
      <c r="AF34136" s="679"/>
    </row>
    <row r="34137" spans="32:32" x14ac:dyDescent="0.2">
      <c r="AF34137" s="679"/>
    </row>
    <row r="34138" spans="32:32" x14ac:dyDescent="0.2">
      <c r="AF34138" s="679"/>
    </row>
    <row r="34139" spans="32:32" x14ac:dyDescent="0.2">
      <c r="AF34139" s="679"/>
    </row>
    <row r="34140" spans="32:32" x14ac:dyDescent="0.2">
      <c r="AF34140" s="679"/>
    </row>
    <row r="34141" spans="32:32" x14ac:dyDescent="0.2">
      <c r="AF34141" s="679"/>
    </row>
    <row r="34142" spans="32:32" x14ac:dyDescent="0.2">
      <c r="AF34142" s="679"/>
    </row>
    <row r="34143" spans="32:32" x14ac:dyDescent="0.2">
      <c r="AF34143" s="679"/>
    </row>
    <row r="34144" spans="32:32" x14ac:dyDescent="0.2">
      <c r="AF34144" s="679"/>
    </row>
    <row r="34145" spans="32:32" x14ac:dyDescent="0.2">
      <c r="AF34145" s="679"/>
    </row>
    <row r="34146" spans="32:32" x14ac:dyDescent="0.2">
      <c r="AF34146" s="679"/>
    </row>
    <row r="34147" spans="32:32" x14ac:dyDescent="0.2">
      <c r="AF34147" s="679"/>
    </row>
    <row r="34148" spans="32:32" x14ac:dyDescent="0.2">
      <c r="AF34148" s="679"/>
    </row>
    <row r="34149" spans="32:32" x14ac:dyDescent="0.2">
      <c r="AF34149" s="679"/>
    </row>
    <row r="34150" spans="32:32" x14ac:dyDescent="0.2">
      <c r="AF34150" s="679"/>
    </row>
    <row r="34151" spans="32:32" x14ac:dyDescent="0.2">
      <c r="AF34151" s="679"/>
    </row>
    <row r="34152" spans="32:32" x14ac:dyDescent="0.2">
      <c r="AF34152" s="679"/>
    </row>
    <row r="34153" spans="32:32" x14ac:dyDescent="0.2">
      <c r="AF34153" s="679"/>
    </row>
    <row r="34154" spans="32:32" x14ac:dyDescent="0.2">
      <c r="AF34154" s="679"/>
    </row>
    <row r="34155" spans="32:32" x14ac:dyDescent="0.2">
      <c r="AF34155" s="679"/>
    </row>
    <row r="34156" spans="32:32" x14ac:dyDescent="0.2">
      <c r="AF34156" s="679"/>
    </row>
    <row r="34157" spans="32:32" x14ac:dyDescent="0.2">
      <c r="AF34157" s="679"/>
    </row>
    <row r="34158" spans="32:32" x14ac:dyDescent="0.2">
      <c r="AF34158" s="679"/>
    </row>
    <row r="34159" spans="32:32" x14ac:dyDescent="0.2">
      <c r="AF34159" s="679"/>
    </row>
    <row r="34160" spans="32:32" x14ac:dyDescent="0.2">
      <c r="AF34160" s="679"/>
    </row>
    <row r="34161" spans="32:32" x14ac:dyDescent="0.2">
      <c r="AF34161" s="679"/>
    </row>
    <row r="34162" spans="32:32" x14ac:dyDescent="0.2">
      <c r="AF34162" s="679"/>
    </row>
    <row r="34163" spans="32:32" x14ac:dyDescent="0.2">
      <c r="AF34163" s="679"/>
    </row>
    <row r="34164" spans="32:32" x14ac:dyDescent="0.2">
      <c r="AF34164" s="679"/>
    </row>
    <row r="34165" spans="32:32" x14ac:dyDescent="0.2">
      <c r="AF34165" s="679"/>
    </row>
    <row r="34166" spans="32:32" x14ac:dyDescent="0.2">
      <c r="AF34166" s="679"/>
    </row>
    <row r="34167" spans="32:32" x14ac:dyDescent="0.2">
      <c r="AF34167" s="679"/>
    </row>
    <row r="34168" spans="32:32" x14ac:dyDescent="0.2">
      <c r="AF34168" s="679"/>
    </row>
    <row r="34169" spans="32:32" x14ac:dyDescent="0.2">
      <c r="AF34169" s="679"/>
    </row>
    <row r="34170" spans="32:32" x14ac:dyDescent="0.2">
      <c r="AF34170" s="679"/>
    </row>
    <row r="34171" spans="32:32" x14ac:dyDescent="0.2">
      <c r="AF34171" s="679"/>
    </row>
    <row r="34172" spans="32:32" x14ac:dyDescent="0.2">
      <c r="AF34172" s="679"/>
    </row>
    <row r="34173" spans="32:32" x14ac:dyDescent="0.2">
      <c r="AF34173" s="679"/>
    </row>
    <row r="34174" spans="32:32" x14ac:dyDescent="0.2">
      <c r="AF34174" s="679"/>
    </row>
    <row r="34175" spans="32:32" x14ac:dyDescent="0.2">
      <c r="AF34175" s="679"/>
    </row>
    <row r="34176" spans="32:32" x14ac:dyDescent="0.2">
      <c r="AF34176" s="679"/>
    </row>
    <row r="34177" spans="32:32" x14ac:dyDescent="0.2">
      <c r="AF34177" s="679"/>
    </row>
    <row r="34178" spans="32:32" x14ac:dyDescent="0.2">
      <c r="AF34178" s="679"/>
    </row>
    <row r="34179" spans="32:32" x14ac:dyDescent="0.2">
      <c r="AF34179" s="679"/>
    </row>
    <row r="34180" spans="32:32" x14ac:dyDescent="0.2">
      <c r="AF34180" s="679"/>
    </row>
    <row r="34181" spans="32:32" x14ac:dyDescent="0.2">
      <c r="AF34181" s="679"/>
    </row>
    <row r="34182" spans="32:32" x14ac:dyDescent="0.2">
      <c r="AF34182" s="679"/>
    </row>
    <row r="34183" spans="32:32" x14ac:dyDescent="0.2">
      <c r="AF34183" s="679"/>
    </row>
    <row r="34184" spans="32:32" x14ac:dyDescent="0.2">
      <c r="AF34184" s="679"/>
    </row>
    <row r="34185" spans="32:32" x14ac:dyDescent="0.2">
      <c r="AF34185" s="679"/>
    </row>
    <row r="34186" spans="32:32" x14ac:dyDescent="0.2">
      <c r="AF34186" s="679"/>
    </row>
    <row r="34187" spans="32:32" x14ac:dyDescent="0.2">
      <c r="AF34187" s="679"/>
    </row>
    <row r="34188" spans="32:32" x14ac:dyDescent="0.2">
      <c r="AF34188" s="679"/>
    </row>
    <row r="34189" spans="32:32" x14ac:dyDescent="0.2">
      <c r="AF34189" s="679"/>
    </row>
    <row r="34190" spans="32:32" x14ac:dyDescent="0.2">
      <c r="AF34190" s="679"/>
    </row>
    <row r="34191" spans="32:32" x14ac:dyDescent="0.2">
      <c r="AF34191" s="679"/>
    </row>
    <row r="34192" spans="32:32" x14ac:dyDescent="0.2">
      <c r="AF34192" s="679"/>
    </row>
    <row r="34193" spans="32:32" x14ac:dyDescent="0.2">
      <c r="AF34193" s="679"/>
    </row>
    <row r="34194" spans="32:32" x14ac:dyDescent="0.2">
      <c r="AF34194" s="679"/>
    </row>
    <row r="34195" spans="32:32" x14ac:dyDescent="0.2">
      <c r="AF34195" s="679"/>
    </row>
    <row r="34196" spans="32:32" x14ac:dyDescent="0.2">
      <c r="AF34196" s="679"/>
    </row>
    <row r="34197" spans="32:32" x14ac:dyDescent="0.2">
      <c r="AF34197" s="679"/>
    </row>
    <row r="34198" spans="32:32" x14ac:dyDescent="0.2">
      <c r="AF34198" s="679"/>
    </row>
    <row r="34199" spans="32:32" x14ac:dyDescent="0.2">
      <c r="AF34199" s="679"/>
    </row>
    <row r="34200" spans="32:32" x14ac:dyDescent="0.2">
      <c r="AF34200" s="679"/>
    </row>
    <row r="34201" spans="32:32" x14ac:dyDescent="0.2">
      <c r="AF34201" s="679"/>
    </row>
    <row r="34202" spans="32:32" x14ac:dyDescent="0.2">
      <c r="AF34202" s="679"/>
    </row>
    <row r="34203" spans="32:32" x14ac:dyDescent="0.2">
      <c r="AF34203" s="679"/>
    </row>
    <row r="34204" spans="32:32" x14ac:dyDescent="0.2">
      <c r="AF34204" s="679"/>
    </row>
    <row r="34205" spans="32:32" x14ac:dyDescent="0.2">
      <c r="AF34205" s="679"/>
    </row>
    <row r="34206" spans="32:32" x14ac:dyDescent="0.2">
      <c r="AF34206" s="679"/>
    </row>
    <row r="34207" spans="32:32" x14ac:dyDescent="0.2">
      <c r="AF34207" s="679"/>
    </row>
    <row r="34208" spans="32:32" x14ac:dyDescent="0.2">
      <c r="AF34208" s="679"/>
    </row>
    <row r="34209" spans="32:32" x14ac:dyDescent="0.2">
      <c r="AF34209" s="679"/>
    </row>
    <row r="34210" spans="32:32" x14ac:dyDescent="0.2">
      <c r="AF34210" s="679"/>
    </row>
    <row r="34211" spans="32:32" x14ac:dyDescent="0.2">
      <c r="AF34211" s="679"/>
    </row>
    <row r="34212" spans="32:32" x14ac:dyDescent="0.2">
      <c r="AF34212" s="679"/>
    </row>
    <row r="34213" spans="32:32" x14ac:dyDescent="0.2">
      <c r="AF34213" s="679"/>
    </row>
    <row r="34214" spans="32:32" x14ac:dyDescent="0.2">
      <c r="AF34214" s="679"/>
    </row>
    <row r="34215" spans="32:32" x14ac:dyDescent="0.2">
      <c r="AF34215" s="679"/>
    </row>
    <row r="34216" spans="32:32" x14ac:dyDescent="0.2">
      <c r="AF34216" s="679"/>
    </row>
    <row r="34217" spans="32:32" x14ac:dyDescent="0.2">
      <c r="AF34217" s="679"/>
    </row>
    <row r="34218" spans="32:32" x14ac:dyDescent="0.2">
      <c r="AF34218" s="679"/>
    </row>
    <row r="34219" spans="32:32" x14ac:dyDescent="0.2">
      <c r="AF34219" s="679"/>
    </row>
    <row r="34220" spans="32:32" x14ac:dyDescent="0.2">
      <c r="AF34220" s="679"/>
    </row>
    <row r="34221" spans="32:32" x14ac:dyDescent="0.2">
      <c r="AF34221" s="679"/>
    </row>
    <row r="34222" spans="32:32" x14ac:dyDescent="0.2">
      <c r="AF34222" s="679"/>
    </row>
    <row r="34223" spans="32:32" x14ac:dyDescent="0.2">
      <c r="AF34223" s="679"/>
    </row>
    <row r="34224" spans="32:32" x14ac:dyDescent="0.2">
      <c r="AF34224" s="679"/>
    </row>
    <row r="34225" spans="32:32" x14ac:dyDescent="0.2">
      <c r="AF34225" s="679"/>
    </row>
    <row r="34226" spans="32:32" x14ac:dyDescent="0.2">
      <c r="AF34226" s="679"/>
    </row>
    <row r="34227" spans="32:32" x14ac:dyDescent="0.2">
      <c r="AF34227" s="679"/>
    </row>
    <row r="34228" spans="32:32" x14ac:dyDescent="0.2">
      <c r="AF34228" s="679"/>
    </row>
    <row r="34229" spans="32:32" x14ac:dyDescent="0.2">
      <c r="AF34229" s="679"/>
    </row>
    <row r="34230" spans="32:32" x14ac:dyDescent="0.2">
      <c r="AF34230" s="679"/>
    </row>
    <row r="34231" spans="32:32" x14ac:dyDescent="0.2">
      <c r="AF34231" s="679"/>
    </row>
    <row r="34232" spans="32:32" x14ac:dyDescent="0.2">
      <c r="AF34232" s="679"/>
    </row>
    <row r="34233" spans="32:32" x14ac:dyDescent="0.2">
      <c r="AF34233" s="679"/>
    </row>
    <row r="34234" spans="32:32" x14ac:dyDescent="0.2">
      <c r="AF34234" s="679"/>
    </row>
    <row r="34235" spans="32:32" x14ac:dyDescent="0.2">
      <c r="AF34235" s="679"/>
    </row>
    <row r="34236" spans="32:32" x14ac:dyDescent="0.2">
      <c r="AF34236" s="679"/>
    </row>
    <row r="34237" spans="32:32" x14ac:dyDescent="0.2">
      <c r="AF34237" s="679"/>
    </row>
    <row r="34238" spans="32:32" x14ac:dyDescent="0.2">
      <c r="AF34238" s="679"/>
    </row>
    <row r="34239" spans="32:32" x14ac:dyDescent="0.2">
      <c r="AF34239" s="679"/>
    </row>
    <row r="34240" spans="32:32" x14ac:dyDescent="0.2">
      <c r="AF34240" s="679"/>
    </row>
    <row r="34241" spans="32:32" x14ac:dyDescent="0.2">
      <c r="AF34241" s="679"/>
    </row>
    <row r="34242" spans="32:32" x14ac:dyDescent="0.2">
      <c r="AF34242" s="679"/>
    </row>
    <row r="34243" spans="32:32" x14ac:dyDescent="0.2">
      <c r="AF34243" s="679"/>
    </row>
    <row r="34244" spans="32:32" x14ac:dyDescent="0.2">
      <c r="AF34244" s="679"/>
    </row>
    <row r="34245" spans="32:32" x14ac:dyDescent="0.2">
      <c r="AF34245" s="679"/>
    </row>
    <row r="34246" spans="32:32" x14ac:dyDescent="0.2">
      <c r="AF34246" s="679"/>
    </row>
    <row r="34247" spans="32:32" x14ac:dyDescent="0.2">
      <c r="AF34247" s="679"/>
    </row>
    <row r="34248" spans="32:32" x14ac:dyDescent="0.2">
      <c r="AF34248" s="679"/>
    </row>
    <row r="34249" spans="32:32" x14ac:dyDescent="0.2">
      <c r="AF34249" s="679"/>
    </row>
    <row r="34250" spans="32:32" x14ac:dyDescent="0.2">
      <c r="AF34250" s="679"/>
    </row>
    <row r="34251" spans="32:32" x14ac:dyDescent="0.2">
      <c r="AF34251" s="679"/>
    </row>
    <row r="34252" spans="32:32" x14ac:dyDescent="0.2">
      <c r="AF34252" s="679"/>
    </row>
    <row r="34253" spans="32:32" x14ac:dyDescent="0.2">
      <c r="AF34253" s="679"/>
    </row>
    <row r="34254" spans="32:32" x14ac:dyDescent="0.2">
      <c r="AF34254" s="679"/>
    </row>
    <row r="34255" spans="32:32" x14ac:dyDescent="0.2">
      <c r="AF34255" s="679"/>
    </row>
    <row r="34256" spans="32:32" x14ac:dyDescent="0.2">
      <c r="AF34256" s="679"/>
    </row>
    <row r="34257" spans="32:32" x14ac:dyDescent="0.2">
      <c r="AF34257" s="679"/>
    </row>
    <row r="34258" spans="32:32" x14ac:dyDescent="0.2">
      <c r="AF34258" s="679"/>
    </row>
    <row r="34259" spans="32:32" x14ac:dyDescent="0.2">
      <c r="AF34259" s="679"/>
    </row>
    <row r="34260" spans="32:32" x14ac:dyDescent="0.2">
      <c r="AF34260" s="679"/>
    </row>
    <row r="34261" spans="32:32" x14ac:dyDescent="0.2">
      <c r="AF34261" s="679"/>
    </row>
    <row r="34262" spans="32:32" x14ac:dyDescent="0.2">
      <c r="AF34262" s="679"/>
    </row>
    <row r="34263" spans="32:32" x14ac:dyDescent="0.2">
      <c r="AF34263" s="679"/>
    </row>
    <row r="34264" spans="32:32" x14ac:dyDescent="0.2">
      <c r="AF34264" s="679"/>
    </row>
    <row r="34265" spans="32:32" x14ac:dyDescent="0.2">
      <c r="AF34265" s="679"/>
    </row>
    <row r="34266" spans="32:32" x14ac:dyDescent="0.2">
      <c r="AF34266" s="679"/>
    </row>
    <row r="34267" spans="32:32" x14ac:dyDescent="0.2">
      <c r="AF34267" s="679"/>
    </row>
    <row r="34268" spans="32:32" x14ac:dyDescent="0.2">
      <c r="AF34268" s="679"/>
    </row>
    <row r="34269" spans="32:32" x14ac:dyDescent="0.2">
      <c r="AF34269" s="679"/>
    </row>
    <row r="34270" spans="32:32" x14ac:dyDescent="0.2">
      <c r="AF34270" s="679"/>
    </row>
    <row r="34271" spans="32:32" x14ac:dyDescent="0.2">
      <c r="AF34271" s="679"/>
    </row>
    <row r="34272" spans="32:32" x14ac:dyDescent="0.2">
      <c r="AF34272" s="679"/>
    </row>
    <row r="34273" spans="32:32" x14ac:dyDescent="0.2">
      <c r="AF34273" s="679"/>
    </row>
    <row r="34274" spans="32:32" x14ac:dyDescent="0.2">
      <c r="AF34274" s="679"/>
    </row>
    <row r="34275" spans="32:32" x14ac:dyDescent="0.2">
      <c r="AF34275" s="679"/>
    </row>
    <row r="34276" spans="32:32" x14ac:dyDescent="0.2">
      <c r="AF34276" s="679"/>
    </row>
    <row r="34277" spans="32:32" x14ac:dyDescent="0.2">
      <c r="AF34277" s="679"/>
    </row>
    <row r="34278" spans="32:32" x14ac:dyDescent="0.2">
      <c r="AF34278" s="679"/>
    </row>
    <row r="34279" spans="32:32" x14ac:dyDescent="0.2">
      <c r="AF34279" s="679"/>
    </row>
    <row r="34280" spans="32:32" x14ac:dyDescent="0.2">
      <c r="AF34280" s="679"/>
    </row>
    <row r="34281" spans="32:32" x14ac:dyDescent="0.2">
      <c r="AF34281" s="679"/>
    </row>
    <row r="34282" spans="32:32" x14ac:dyDescent="0.2">
      <c r="AF34282" s="679"/>
    </row>
    <row r="34283" spans="32:32" x14ac:dyDescent="0.2">
      <c r="AF34283" s="679"/>
    </row>
    <row r="34284" spans="32:32" x14ac:dyDescent="0.2">
      <c r="AF34284" s="679"/>
    </row>
    <row r="34285" spans="32:32" x14ac:dyDescent="0.2">
      <c r="AF34285" s="679"/>
    </row>
    <row r="34286" spans="32:32" x14ac:dyDescent="0.2">
      <c r="AF34286" s="679"/>
    </row>
    <row r="34287" spans="32:32" x14ac:dyDescent="0.2">
      <c r="AF34287" s="679"/>
    </row>
    <row r="34288" spans="32:32" x14ac:dyDescent="0.2">
      <c r="AF34288" s="679"/>
    </row>
    <row r="34289" spans="32:32" x14ac:dyDescent="0.2">
      <c r="AF34289" s="679"/>
    </row>
    <row r="34290" spans="32:32" x14ac:dyDescent="0.2">
      <c r="AF34290" s="679"/>
    </row>
    <row r="34291" spans="32:32" x14ac:dyDescent="0.2">
      <c r="AF34291" s="679"/>
    </row>
    <row r="34292" spans="32:32" x14ac:dyDescent="0.2">
      <c r="AF34292" s="679"/>
    </row>
    <row r="34293" spans="32:32" x14ac:dyDescent="0.2">
      <c r="AF34293" s="679"/>
    </row>
    <row r="34294" spans="32:32" x14ac:dyDescent="0.2">
      <c r="AF34294" s="679"/>
    </row>
    <row r="34295" spans="32:32" x14ac:dyDescent="0.2">
      <c r="AF34295" s="679"/>
    </row>
    <row r="34296" spans="32:32" x14ac:dyDescent="0.2">
      <c r="AF34296" s="679"/>
    </row>
    <row r="34297" spans="32:32" x14ac:dyDescent="0.2">
      <c r="AF34297" s="679"/>
    </row>
    <row r="34298" spans="32:32" x14ac:dyDescent="0.2">
      <c r="AF34298" s="679"/>
    </row>
    <row r="34299" spans="32:32" x14ac:dyDescent="0.2">
      <c r="AF34299" s="679"/>
    </row>
    <row r="34300" spans="32:32" x14ac:dyDescent="0.2">
      <c r="AF34300" s="679"/>
    </row>
    <row r="34301" spans="32:32" x14ac:dyDescent="0.2">
      <c r="AF34301" s="679"/>
    </row>
    <row r="34302" spans="32:32" x14ac:dyDescent="0.2">
      <c r="AF34302" s="679"/>
    </row>
    <row r="34303" spans="32:32" x14ac:dyDescent="0.2">
      <c r="AF34303" s="679"/>
    </row>
    <row r="34304" spans="32:32" x14ac:dyDescent="0.2">
      <c r="AF34304" s="679"/>
    </row>
    <row r="34305" spans="32:32" x14ac:dyDescent="0.2">
      <c r="AF34305" s="679"/>
    </row>
    <row r="34306" spans="32:32" x14ac:dyDescent="0.2">
      <c r="AF34306" s="679"/>
    </row>
    <row r="34307" spans="32:32" x14ac:dyDescent="0.2">
      <c r="AF34307" s="679"/>
    </row>
    <row r="34308" spans="32:32" x14ac:dyDescent="0.2">
      <c r="AF34308" s="679"/>
    </row>
    <row r="34309" spans="32:32" x14ac:dyDescent="0.2">
      <c r="AF34309" s="679"/>
    </row>
    <row r="34310" spans="32:32" x14ac:dyDescent="0.2">
      <c r="AF34310" s="679"/>
    </row>
    <row r="34311" spans="32:32" x14ac:dyDescent="0.2">
      <c r="AF34311" s="679"/>
    </row>
    <row r="34312" spans="32:32" x14ac:dyDescent="0.2">
      <c r="AF34312" s="679"/>
    </row>
    <row r="34313" spans="32:32" x14ac:dyDescent="0.2">
      <c r="AF34313" s="679"/>
    </row>
    <row r="34314" spans="32:32" x14ac:dyDescent="0.2">
      <c r="AF34314" s="679"/>
    </row>
    <row r="34315" spans="32:32" x14ac:dyDescent="0.2">
      <c r="AF34315" s="679"/>
    </row>
    <row r="34316" spans="32:32" x14ac:dyDescent="0.2">
      <c r="AF34316" s="679"/>
    </row>
    <row r="34317" spans="32:32" x14ac:dyDescent="0.2">
      <c r="AF34317" s="679"/>
    </row>
    <row r="34318" spans="32:32" x14ac:dyDescent="0.2">
      <c r="AF34318" s="679"/>
    </row>
    <row r="34319" spans="32:32" x14ac:dyDescent="0.2">
      <c r="AF34319" s="679"/>
    </row>
    <row r="34320" spans="32:32" x14ac:dyDescent="0.2">
      <c r="AF34320" s="679"/>
    </row>
    <row r="34321" spans="32:32" x14ac:dyDescent="0.2">
      <c r="AF34321" s="679"/>
    </row>
    <row r="34322" spans="32:32" x14ac:dyDescent="0.2">
      <c r="AF34322" s="679"/>
    </row>
    <row r="34323" spans="32:32" x14ac:dyDescent="0.2">
      <c r="AF34323" s="679"/>
    </row>
    <row r="34324" spans="32:32" x14ac:dyDescent="0.2">
      <c r="AF34324" s="679"/>
    </row>
    <row r="34325" spans="32:32" x14ac:dyDescent="0.2">
      <c r="AF34325" s="679"/>
    </row>
    <row r="34326" spans="32:32" x14ac:dyDescent="0.2">
      <c r="AF34326" s="679"/>
    </row>
    <row r="34327" spans="32:32" x14ac:dyDescent="0.2">
      <c r="AF34327" s="679"/>
    </row>
    <row r="34328" spans="32:32" x14ac:dyDescent="0.2">
      <c r="AF34328" s="679"/>
    </row>
    <row r="34329" spans="32:32" x14ac:dyDescent="0.2">
      <c r="AF34329" s="679"/>
    </row>
    <row r="34330" spans="32:32" x14ac:dyDescent="0.2">
      <c r="AF34330" s="679"/>
    </row>
    <row r="34331" spans="32:32" x14ac:dyDescent="0.2">
      <c r="AF34331" s="679"/>
    </row>
    <row r="34332" spans="32:32" x14ac:dyDescent="0.2">
      <c r="AF34332" s="679"/>
    </row>
    <row r="34333" spans="32:32" x14ac:dyDescent="0.2">
      <c r="AF34333" s="679"/>
    </row>
    <row r="34334" spans="32:32" x14ac:dyDescent="0.2">
      <c r="AF34334" s="679"/>
    </row>
    <row r="34335" spans="32:32" x14ac:dyDescent="0.2">
      <c r="AF34335" s="679"/>
    </row>
    <row r="34336" spans="32:32" x14ac:dyDescent="0.2">
      <c r="AF34336" s="679"/>
    </row>
    <row r="34337" spans="32:32" x14ac:dyDescent="0.2">
      <c r="AF34337" s="679"/>
    </row>
    <row r="34338" spans="32:32" x14ac:dyDescent="0.2">
      <c r="AF34338" s="679"/>
    </row>
    <row r="34339" spans="32:32" x14ac:dyDescent="0.2">
      <c r="AF34339" s="679"/>
    </row>
    <row r="34340" spans="32:32" x14ac:dyDescent="0.2">
      <c r="AF34340" s="679"/>
    </row>
    <row r="34341" spans="32:32" x14ac:dyDescent="0.2">
      <c r="AF34341" s="679"/>
    </row>
    <row r="34342" spans="32:32" x14ac:dyDescent="0.2">
      <c r="AF34342" s="679"/>
    </row>
    <row r="34343" spans="32:32" x14ac:dyDescent="0.2">
      <c r="AF34343" s="679"/>
    </row>
    <row r="34344" spans="32:32" x14ac:dyDescent="0.2">
      <c r="AF34344" s="679"/>
    </row>
    <row r="34345" spans="32:32" x14ac:dyDescent="0.2">
      <c r="AF34345" s="679"/>
    </row>
    <row r="34346" spans="32:32" x14ac:dyDescent="0.2">
      <c r="AF34346" s="679"/>
    </row>
    <row r="34347" spans="32:32" x14ac:dyDescent="0.2">
      <c r="AF34347" s="679"/>
    </row>
    <row r="34348" spans="32:32" x14ac:dyDescent="0.2">
      <c r="AF34348" s="679"/>
    </row>
    <row r="34349" spans="32:32" x14ac:dyDescent="0.2">
      <c r="AF34349" s="679"/>
    </row>
    <row r="34350" spans="32:32" x14ac:dyDescent="0.2">
      <c r="AF34350" s="679"/>
    </row>
    <row r="34351" spans="32:32" x14ac:dyDescent="0.2">
      <c r="AF34351" s="679"/>
    </row>
    <row r="34352" spans="32:32" x14ac:dyDescent="0.2">
      <c r="AF34352" s="679"/>
    </row>
    <row r="34353" spans="32:32" x14ac:dyDescent="0.2">
      <c r="AF34353" s="679"/>
    </row>
    <row r="34354" spans="32:32" x14ac:dyDescent="0.2">
      <c r="AF34354" s="679"/>
    </row>
    <row r="34355" spans="32:32" x14ac:dyDescent="0.2">
      <c r="AF34355" s="679"/>
    </row>
    <row r="34356" spans="32:32" x14ac:dyDescent="0.2">
      <c r="AF34356" s="679"/>
    </row>
    <row r="34357" spans="32:32" x14ac:dyDescent="0.2">
      <c r="AF34357" s="679"/>
    </row>
    <row r="34358" spans="32:32" x14ac:dyDescent="0.2">
      <c r="AF34358" s="679"/>
    </row>
    <row r="34359" spans="32:32" x14ac:dyDescent="0.2">
      <c r="AF34359" s="679"/>
    </row>
    <row r="34360" spans="32:32" x14ac:dyDescent="0.2">
      <c r="AF34360" s="679"/>
    </row>
    <row r="34361" spans="32:32" x14ac:dyDescent="0.2">
      <c r="AF34361" s="679"/>
    </row>
    <row r="34362" spans="32:32" x14ac:dyDescent="0.2">
      <c r="AF34362" s="679"/>
    </row>
    <row r="34363" spans="32:32" x14ac:dyDescent="0.2">
      <c r="AF34363" s="679"/>
    </row>
    <row r="34364" spans="32:32" x14ac:dyDescent="0.2">
      <c r="AF34364" s="679"/>
    </row>
    <row r="34365" spans="32:32" x14ac:dyDescent="0.2">
      <c r="AF34365" s="679"/>
    </row>
    <row r="34366" spans="32:32" x14ac:dyDescent="0.2">
      <c r="AF34366" s="679"/>
    </row>
    <row r="34367" spans="32:32" x14ac:dyDescent="0.2">
      <c r="AF34367" s="679"/>
    </row>
    <row r="34368" spans="32:32" x14ac:dyDescent="0.2">
      <c r="AF34368" s="679"/>
    </row>
    <row r="34369" spans="32:32" x14ac:dyDescent="0.2">
      <c r="AF34369" s="679"/>
    </row>
    <row r="34370" spans="32:32" x14ac:dyDescent="0.2">
      <c r="AF34370" s="679"/>
    </row>
    <row r="34371" spans="32:32" x14ac:dyDescent="0.2">
      <c r="AF34371" s="679"/>
    </row>
    <row r="34372" spans="32:32" x14ac:dyDescent="0.2">
      <c r="AF34372" s="679"/>
    </row>
    <row r="34373" spans="32:32" x14ac:dyDescent="0.2">
      <c r="AF34373" s="679"/>
    </row>
    <row r="34374" spans="32:32" x14ac:dyDescent="0.2">
      <c r="AF34374" s="679"/>
    </row>
    <row r="34375" spans="32:32" x14ac:dyDescent="0.2">
      <c r="AF34375" s="679"/>
    </row>
    <row r="34376" spans="32:32" x14ac:dyDescent="0.2">
      <c r="AF34376" s="679"/>
    </row>
    <row r="34377" spans="32:32" x14ac:dyDescent="0.2">
      <c r="AF34377" s="679"/>
    </row>
    <row r="34378" spans="32:32" x14ac:dyDescent="0.2">
      <c r="AF34378" s="679"/>
    </row>
    <row r="34379" spans="32:32" x14ac:dyDescent="0.2">
      <c r="AF34379" s="679"/>
    </row>
    <row r="34380" spans="32:32" x14ac:dyDescent="0.2">
      <c r="AF34380" s="679"/>
    </row>
    <row r="34381" spans="32:32" x14ac:dyDescent="0.2">
      <c r="AF34381" s="679"/>
    </row>
    <row r="34382" spans="32:32" x14ac:dyDescent="0.2">
      <c r="AF34382" s="679"/>
    </row>
    <row r="34383" spans="32:32" x14ac:dyDescent="0.2">
      <c r="AF34383" s="679"/>
    </row>
    <row r="34384" spans="32:32" x14ac:dyDescent="0.2">
      <c r="AF34384" s="679"/>
    </row>
    <row r="34385" spans="32:32" x14ac:dyDescent="0.2">
      <c r="AF34385" s="679"/>
    </row>
    <row r="34386" spans="32:32" x14ac:dyDescent="0.2">
      <c r="AF34386" s="679"/>
    </row>
    <row r="34387" spans="32:32" x14ac:dyDescent="0.2">
      <c r="AF34387" s="679"/>
    </row>
    <row r="34388" spans="32:32" x14ac:dyDescent="0.2">
      <c r="AF34388" s="679"/>
    </row>
    <row r="34389" spans="32:32" x14ac:dyDescent="0.2">
      <c r="AF34389" s="679"/>
    </row>
    <row r="34390" spans="32:32" x14ac:dyDescent="0.2">
      <c r="AF34390" s="679"/>
    </row>
    <row r="34391" spans="32:32" x14ac:dyDescent="0.2">
      <c r="AF34391" s="679"/>
    </row>
    <row r="34392" spans="32:32" x14ac:dyDescent="0.2">
      <c r="AF34392" s="679"/>
    </row>
    <row r="34393" spans="32:32" x14ac:dyDescent="0.2">
      <c r="AF34393" s="679"/>
    </row>
    <row r="34394" spans="32:32" x14ac:dyDescent="0.2">
      <c r="AF34394" s="679"/>
    </row>
    <row r="34395" spans="32:32" x14ac:dyDescent="0.2">
      <c r="AF34395" s="679"/>
    </row>
    <row r="34396" spans="32:32" x14ac:dyDescent="0.2">
      <c r="AF34396" s="679"/>
    </row>
    <row r="34397" spans="32:32" x14ac:dyDescent="0.2">
      <c r="AF34397" s="679"/>
    </row>
    <row r="34398" spans="32:32" x14ac:dyDescent="0.2">
      <c r="AF34398" s="679"/>
    </row>
    <row r="34399" spans="32:32" x14ac:dyDescent="0.2">
      <c r="AF34399" s="679"/>
    </row>
    <row r="34400" spans="32:32" x14ac:dyDescent="0.2">
      <c r="AF34400" s="679"/>
    </row>
    <row r="34401" spans="32:32" x14ac:dyDescent="0.2">
      <c r="AF34401" s="679"/>
    </row>
    <row r="34402" spans="32:32" x14ac:dyDescent="0.2">
      <c r="AF34402" s="679"/>
    </row>
    <row r="34403" spans="32:32" x14ac:dyDescent="0.2">
      <c r="AF34403" s="679"/>
    </row>
    <row r="34404" spans="32:32" x14ac:dyDescent="0.2">
      <c r="AF34404" s="679"/>
    </row>
    <row r="34405" spans="32:32" x14ac:dyDescent="0.2">
      <c r="AF34405" s="679"/>
    </row>
    <row r="34406" spans="32:32" x14ac:dyDescent="0.2">
      <c r="AF34406" s="679"/>
    </row>
    <row r="34407" spans="32:32" x14ac:dyDescent="0.2">
      <c r="AF34407" s="679"/>
    </row>
    <row r="34408" spans="32:32" x14ac:dyDescent="0.2">
      <c r="AF34408" s="679"/>
    </row>
    <row r="34409" spans="32:32" x14ac:dyDescent="0.2">
      <c r="AF34409" s="679"/>
    </row>
    <row r="34410" spans="32:32" x14ac:dyDescent="0.2">
      <c r="AF34410" s="679"/>
    </row>
    <row r="34411" spans="32:32" x14ac:dyDescent="0.2">
      <c r="AF34411" s="679"/>
    </row>
    <row r="34412" spans="32:32" x14ac:dyDescent="0.2">
      <c r="AF34412" s="679"/>
    </row>
    <row r="34413" spans="32:32" x14ac:dyDescent="0.2">
      <c r="AF34413" s="679"/>
    </row>
    <row r="34414" spans="32:32" x14ac:dyDescent="0.2">
      <c r="AF34414" s="679"/>
    </row>
    <row r="34415" spans="32:32" x14ac:dyDescent="0.2">
      <c r="AF34415" s="679"/>
    </row>
    <row r="34416" spans="32:32" x14ac:dyDescent="0.2">
      <c r="AF34416" s="679"/>
    </row>
    <row r="34417" spans="32:32" x14ac:dyDescent="0.2">
      <c r="AF34417" s="679"/>
    </row>
    <row r="34418" spans="32:32" x14ac:dyDescent="0.2">
      <c r="AF34418" s="679"/>
    </row>
    <row r="34419" spans="32:32" x14ac:dyDescent="0.2">
      <c r="AF34419" s="679"/>
    </row>
    <row r="34420" spans="32:32" x14ac:dyDescent="0.2">
      <c r="AF34420" s="679"/>
    </row>
    <row r="34421" spans="32:32" x14ac:dyDescent="0.2">
      <c r="AF34421" s="679"/>
    </row>
    <row r="34422" spans="32:32" x14ac:dyDescent="0.2">
      <c r="AF34422" s="679"/>
    </row>
    <row r="34423" spans="32:32" x14ac:dyDescent="0.2">
      <c r="AF34423" s="679"/>
    </row>
    <row r="34424" spans="32:32" x14ac:dyDescent="0.2">
      <c r="AF34424" s="679"/>
    </row>
    <row r="34425" spans="32:32" x14ac:dyDescent="0.2">
      <c r="AF34425" s="679"/>
    </row>
    <row r="34426" spans="32:32" x14ac:dyDescent="0.2">
      <c r="AF34426" s="679"/>
    </row>
    <row r="34427" spans="32:32" x14ac:dyDescent="0.2">
      <c r="AF34427" s="679"/>
    </row>
    <row r="34428" spans="32:32" x14ac:dyDescent="0.2">
      <c r="AF34428" s="679"/>
    </row>
    <row r="34429" spans="32:32" x14ac:dyDescent="0.2">
      <c r="AF34429" s="679"/>
    </row>
    <row r="34430" spans="32:32" x14ac:dyDescent="0.2">
      <c r="AF34430" s="679"/>
    </row>
    <row r="34431" spans="32:32" x14ac:dyDescent="0.2">
      <c r="AF34431" s="679"/>
    </row>
    <row r="34432" spans="32:32" x14ac:dyDescent="0.2">
      <c r="AF34432" s="679"/>
    </row>
    <row r="34433" spans="32:32" x14ac:dyDescent="0.2">
      <c r="AF34433" s="679"/>
    </row>
    <row r="34434" spans="32:32" x14ac:dyDescent="0.2">
      <c r="AF34434" s="679"/>
    </row>
    <row r="34435" spans="32:32" x14ac:dyDescent="0.2">
      <c r="AF34435" s="679"/>
    </row>
    <row r="34436" spans="32:32" x14ac:dyDescent="0.2">
      <c r="AF34436" s="679"/>
    </row>
    <row r="34437" spans="32:32" x14ac:dyDescent="0.2">
      <c r="AF34437" s="679"/>
    </row>
    <row r="34438" spans="32:32" x14ac:dyDescent="0.2">
      <c r="AF34438" s="679"/>
    </row>
    <row r="34439" spans="32:32" x14ac:dyDescent="0.2">
      <c r="AF34439" s="679"/>
    </row>
    <row r="34440" spans="32:32" x14ac:dyDescent="0.2">
      <c r="AF34440" s="679"/>
    </row>
    <row r="34441" spans="32:32" x14ac:dyDescent="0.2">
      <c r="AF34441" s="679"/>
    </row>
    <row r="34442" spans="32:32" x14ac:dyDescent="0.2">
      <c r="AF34442" s="679"/>
    </row>
    <row r="34443" spans="32:32" x14ac:dyDescent="0.2">
      <c r="AF34443" s="679"/>
    </row>
    <row r="34444" spans="32:32" x14ac:dyDescent="0.2">
      <c r="AF34444" s="679"/>
    </row>
    <row r="34445" spans="32:32" x14ac:dyDescent="0.2">
      <c r="AF34445" s="679"/>
    </row>
    <row r="34446" spans="32:32" x14ac:dyDescent="0.2">
      <c r="AF34446" s="679"/>
    </row>
    <row r="34447" spans="32:32" x14ac:dyDescent="0.2">
      <c r="AF34447" s="679"/>
    </row>
    <row r="34448" spans="32:32" x14ac:dyDescent="0.2">
      <c r="AF34448" s="679"/>
    </row>
    <row r="34449" spans="32:32" x14ac:dyDescent="0.2">
      <c r="AF34449" s="679"/>
    </row>
    <row r="34450" spans="32:32" x14ac:dyDescent="0.2">
      <c r="AF34450" s="679"/>
    </row>
    <row r="34451" spans="32:32" x14ac:dyDescent="0.2">
      <c r="AF34451" s="679"/>
    </row>
    <row r="34452" spans="32:32" x14ac:dyDescent="0.2">
      <c r="AF34452" s="679"/>
    </row>
    <row r="34453" spans="32:32" x14ac:dyDescent="0.2">
      <c r="AF34453" s="679"/>
    </row>
    <row r="34454" spans="32:32" x14ac:dyDescent="0.2">
      <c r="AF34454" s="679"/>
    </row>
    <row r="34455" spans="32:32" x14ac:dyDescent="0.2">
      <c r="AF34455" s="679"/>
    </row>
    <row r="34456" spans="32:32" x14ac:dyDescent="0.2">
      <c r="AF34456" s="679"/>
    </row>
    <row r="34457" spans="32:32" x14ac:dyDescent="0.2">
      <c r="AF34457" s="679"/>
    </row>
    <row r="34458" spans="32:32" x14ac:dyDescent="0.2">
      <c r="AF34458" s="679"/>
    </row>
    <row r="34459" spans="32:32" x14ac:dyDescent="0.2">
      <c r="AF34459" s="679"/>
    </row>
    <row r="34460" spans="32:32" x14ac:dyDescent="0.2">
      <c r="AF34460" s="679"/>
    </row>
    <row r="34461" spans="32:32" x14ac:dyDescent="0.2">
      <c r="AF34461" s="679"/>
    </row>
    <row r="34462" spans="32:32" x14ac:dyDescent="0.2">
      <c r="AF34462" s="679"/>
    </row>
    <row r="34463" spans="32:32" x14ac:dyDescent="0.2">
      <c r="AF34463" s="679"/>
    </row>
    <row r="34464" spans="32:32" x14ac:dyDescent="0.2">
      <c r="AF34464" s="679"/>
    </row>
    <row r="34465" spans="32:32" x14ac:dyDescent="0.2">
      <c r="AF34465" s="679"/>
    </row>
    <row r="34466" spans="32:32" x14ac:dyDescent="0.2">
      <c r="AF34466" s="679"/>
    </row>
    <row r="34467" spans="32:32" x14ac:dyDescent="0.2">
      <c r="AF34467" s="679"/>
    </row>
    <row r="34468" spans="32:32" x14ac:dyDescent="0.2">
      <c r="AF34468" s="679"/>
    </row>
    <row r="34469" spans="32:32" x14ac:dyDescent="0.2">
      <c r="AF34469" s="679"/>
    </row>
    <row r="34470" spans="32:32" x14ac:dyDescent="0.2">
      <c r="AF34470" s="679"/>
    </row>
    <row r="34471" spans="32:32" x14ac:dyDescent="0.2">
      <c r="AF34471" s="679"/>
    </row>
    <row r="34472" spans="32:32" x14ac:dyDescent="0.2">
      <c r="AF34472" s="679"/>
    </row>
    <row r="34473" spans="32:32" x14ac:dyDescent="0.2">
      <c r="AF34473" s="679"/>
    </row>
    <row r="34474" spans="32:32" x14ac:dyDescent="0.2">
      <c r="AF34474" s="679"/>
    </row>
    <row r="34475" spans="32:32" x14ac:dyDescent="0.2">
      <c r="AF34475" s="679"/>
    </row>
    <row r="34476" spans="32:32" x14ac:dyDescent="0.2">
      <c r="AF34476" s="679"/>
    </row>
    <row r="34477" spans="32:32" x14ac:dyDescent="0.2">
      <c r="AF34477" s="679"/>
    </row>
    <row r="34478" spans="32:32" x14ac:dyDescent="0.2">
      <c r="AF34478" s="679"/>
    </row>
    <row r="34479" spans="32:32" x14ac:dyDescent="0.2">
      <c r="AF34479" s="679"/>
    </row>
    <row r="34480" spans="32:32" x14ac:dyDescent="0.2">
      <c r="AF34480" s="679"/>
    </row>
    <row r="34481" spans="32:32" x14ac:dyDescent="0.2">
      <c r="AF34481" s="679"/>
    </row>
    <row r="34482" spans="32:32" x14ac:dyDescent="0.2">
      <c r="AF34482" s="679"/>
    </row>
    <row r="34483" spans="32:32" x14ac:dyDescent="0.2">
      <c r="AF34483" s="679"/>
    </row>
    <row r="34484" spans="32:32" x14ac:dyDescent="0.2">
      <c r="AF34484" s="679"/>
    </row>
    <row r="34485" spans="32:32" x14ac:dyDescent="0.2">
      <c r="AF34485" s="679"/>
    </row>
    <row r="34486" spans="32:32" x14ac:dyDescent="0.2">
      <c r="AF34486" s="679"/>
    </row>
    <row r="34487" spans="32:32" x14ac:dyDescent="0.2">
      <c r="AF34487" s="679"/>
    </row>
    <row r="34488" spans="32:32" x14ac:dyDescent="0.2">
      <c r="AF34488" s="679"/>
    </row>
    <row r="34489" spans="32:32" x14ac:dyDescent="0.2">
      <c r="AF34489" s="679"/>
    </row>
    <row r="34490" spans="32:32" x14ac:dyDescent="0.2">
      <c r="AF34490" s="679"/>
    </row>
    <row r="34491" spans="32:32" x14ac:dyDescent="0.2">
      <c r="AF34491" s="679"/>
    </row>
    <row r="34492" spans="32:32" x14ac:dyDescent="0.2">
      <c r="AF34492" s="679"/>
    </row>
    <row r="34493" spans="32:32" x14ac:dyDescent="0.2">
      <c r="AF34493" s="679"/>
    </row>
    <row r="34494" spans="32:32" x14ac:dyDescent="0.2">
      <c r="AF34494" s="679"/>
    </row>
    <row r="34495" spans="32:32" x14ac:dyDescent="0.2">
      <c r="AF34495" s="679"/>
    </row>
    <row r="34496" spans="32:32" x14ac:dyDescent="0.2">
      <c r="AF34496" s="679"/>
    </row>
    <row r="34497" spans="32:32" x14ac:dyDescent="0.2">
      <c r="AF34497" s="679"/>
    </row>
    <row r="34498" spans="32:32" x14ac:dyDescent="0.2">
      <c r="AF34498" s="679"/>
    </row>
    <row r="34499" spans="32:32" x14ac:dyDescent="0.2">
      <c r="AF34499" s="679"/>
    </row>
    <row r="34500" spans="32:32" x14ac:dyDescent="0.2">
      <c r="AF34500" s="679"/>
    </row>
    <row r="34501" spans="32:32" x14ac:dyDescent="0.2">
      <c r="AF34501" s="679"/>
    </row>
    <row r="34502" spans="32:32" x14ac:dyDescent="0.2">
      <c r="AF34502" s="679"/>
    </row>
    <row r="34503" spans="32:32" x14ac:dyDescent="0.2">
      <c r="AF34503" s="679"/>
    </row>
    <row r="34504" spans="32:32" x14ac:dyDescent="0.2">
      <c r="AF34504" s="679"/>
    </row>
    <row r="34505" spans="32:32" x14ac:dyDescent="0.2">
      <c r="AF34505" s="679"/>
    </row>
    <row r="34506" spans="32:32" x14ac:dyDescent="0.2">
      <c r="AF34506" s="679"/>
    </row>
    <row r="34507" spans="32:32" x14ac:dyDescent="0.2">
      <c r="AF34507" s="679"/>
    </row>
    <row r="34508" spans="32:32" x14ac:dyDescent="0.2">
      <c r="AF34508" s="679"/>
    </row>
    <row r="34509" spans="32:32" x14ac:dyDescent="0.2">
      <c r="AF34509" s="679"/>
    </row>
    <row r="34510" spans="32:32" x14ac:dyDescent="0.2">
      <c r="AF34510" s="679"/>
    </row>
    <row r="34511" spans="32:32" x14ac:dyDescent="0.2">
      <c r="AF34511" s="679"/>
    </row>
    <row r="34512" spans="32:32" x14ac:dyDescent="0.2">
      <c r="AF34512" s="679"/>
    </row>
    <row r="34513" spans="32:32" x14ac:dyDescent="0.2">
      <c r="AF34513" s="679"/>
    </row>
    <row r="34514" spans="32:32" x14ac:dyDescent="0.2">
      <c r="AF34514" s="679"/>
    </row>
    <row r="34515" spans="32:32" x14ac:dyDescent="0.2">
      <c r="AF34515" s="679"/>
    </row>
    <row r="34516" spans="32:32" x14ac:dyDescent="0.2">
      <c r="AF34516" s="679"/>
    </row>
    <row r="34517" spans="32:32" x14ac:dyDescent="0.2">
      <c r="AF34517" s="679"/>
    </row>
    <row r="34518" spans="32:32" x14ac:dyDescent="0.2">
      <c r="AF34518" s="679"/>
    </row>
    <row r="34519" spans="32:32" x14ac:dyDescent="0.2">
      <c r="AF34519" s="679"/>
    </row>
    <row r="34520" spans="32:32" x14ac:dyDescent="0.2">
      <c r="AF34520" s="679"/>
    </row>
    <row r="34521" spans="32:32" x14ac:dyDescent="0.2">
      <c r="AF34521" s="679"/>
    </row>
    <row r="34522" spans="32:32" x14ac:dyDescent="0.2">
      <c r="AF34522" s="679"/>
    </row>
    <row r="34523" spans="32:32" x14ac:dyDescent="0.2">
      <c r="AF34523" s="679"/>
    </row>
    <row r="34524" spans="32:32" x14ac:dyDescent="0.2">
      <c r="AF34524" s="679"/>
    </row>
    <row r="34525" spans="32:32" x14ac:dyDescent="0.2">
      <c r="AF34525" s="679"/>
    </row>
    <row r="34526" spans="32:32" x14ac:dyDescent="0.2">
      <c r="AF34526" s="679"/>
    </row>
    <row r="34527" spans="32:32" x14ac:dyDescent="0.2">
      <c r="AF34527" s="679"/>
    </row>
    <row r="34528" spans="32:32" x14ac:dyDescent="0.2">
      <c r="AF34528" s="679"/>
    </row>
    <row r="34529" spans="32:32" x14ac:dyDescent="0.2">
      <c r="AF34529" s="679"/>
    </row>
    <row r="34530" spans="32:32" x14ac:dyDescent="0.2">
      <c r="AF34530" s="679"/>
    </row>
    <row r="34531" spans="32:32" x14ac:dyDescent="0.2">
      <c r="AF34531" s="679"/>
    </row>
    <row r="34532" spans="32:32" x14ac:dyDescent="0.2">
      <c r="AF34532" s="679"/>
    </row>
    <row r="34533" spans="32:32" x14ac:dyDescent="0.2">
      <c r="AF34533" s="679"/>
    </row>
    <row r="34534" spans="32:32" x14ac:dyDescent="0.2">
      <c r="AF34534" s="679"/>
    </row>
    <row r="34535" spans="32:32" x14ac:dyDescent="0.2">
      <c r="AF34535" s="679"/>
    </row>
    <row r="34536" spans="32:32" x14ac:dyDescent="0.2">
      <c r="AF34536" s="679"/>
    </row>
    <row r="34537" spans="32:32" x14ac:dyDescent="0.2">
      <c r="AF34537" s="679"/>
    </row>
    <row r="34538" spans="32:32" x14ac:dyDescent="0.2">
      <c r="AF34538" s="679"/>
    </row>
    <row r="34539" spans="32:32" x14ac:dyDescent="0.2">
      <c r="AF34539" s="679"/>
    </row>
    <row r="34540" spans="32:32" x14ac:dyDescent="0.2">
      <c r="AF34540" s="679"/>
    </row>
    <row r="34541" spans="32:32" x14ac:dyDescent="0.2">
      <c r="AF34541" s="679"/>
    </row>
    <row r="34542" spans="32:32" x14ac:dyDescent="0.2">
      <c r="AF34542" s="679"/>
    </row>
    <row r="34543" spans="32:32" x14ac:dyDescent="0.2">
      <c r="AF34543" s="679"/>
    </row>
    <row r="34544" spans="32:32" x14ac:dyDescent="0.2">
      <c r="AF34544" s="679"/>
    </row>
    <row r="34545" spans="32:32" x14ac:dyDescent="0.2">
      <c r="AF34545" s="679"/>
    </row>
    <row r="34546" spans="32:32" x14ac:dyDescent="0.2">
      <c r="AF34546" s="679"/>
    </row>
    <row r="34547" spans="32:32" x14ac:dyDescent="0.2">
      <c r="AF34547" s="679"/>
    </row>
    <row r="34548" spans="32:32" x14ac:dyDescent="0.2">
      <c r="AF34548" s="679"/>
    </row>
    <row r="34549" spans="32:32" x14ac:dyDescent="0.2">
      <c r="AF34549" s="679"/>
    </row>
    <row r="34550" spans="32:32" x14ac:dyDescent="0.2">
      <c r="AF34550" s="679"/>
    </row>
    <row r="34551" spans="32:32" x14ac:dyDescent="0.2">
      <c r="AF34551" s="679"/>
    </row>
    <row r="34552" spans="32:32" x14ac:dyDescent="0.2">
      <c r="AF34552" s="679"/>
    </row>
    <row r="34553" spans="32:32" x14ac:dyDescent="0.2">
      <c r="AF34553" s="679"/>
    </row>
    <row r="34554" spans="32:32" x14ac:dyDescent="0.2">
      <c r="AF34554" s="679"/>
    </row>
    <row r="34555" spans="32:32" x14ac:dyDescent="0.2">
      <c r="AF34555" s="679"/>
    </row>
    <row r="34556" spans="32:32" x14ac:dyDescent="0.2">
      <c r="AF34556" s="679"/>
    </row>
    <row r="34557" spans="32:32" x14ac:dyDescent="0.2">
      <c r="AF34557" s="679"/>
    </row>
    <row r="34558" spans="32:32" x14ac:dyDescent="0.2">
      <c r="AF34558" s="679"/>
    </row>
    <row r="34559" spans="32:32" x14ac:dyDescent="0.2">
      <c r="AF34559" s="679"/>
    </row>
    <row r="34560" spans="32:32" x14ac:dyDescent="0.2">
      <c r="AF34560" s="679"/>
    </row>
    <row r="34561" spans="32:32" x14ac:dyDescent="0.2">
      <c r="AF34561" s="679"/>
    </row>
    <row r="34562" spans="32:32" x14ac:dyDescent="0.2">
      <c r="AF34562" s="679"/>
    </row>
    <row r="34563" spans="32:32" x14ac:dyDescent="0.2">
      <c r="AF34563" s="679"/>
    </row>
    <row r="34564" spans="32:32" x14ac:dyDescent="0.2">
      <c r="AF34564" s="679"/>
    </row>
    <row r="34565" spans="32:32" x14ac:dyDescent="0.2">
      <c r="AF34565" s="679"/>
    </row>
    <row r="34566" spans="32:32" x14ac:dyDescent="0.2">
      <c r="AF34566" s="679"/>
    </row>
    <row r="34567" spans="32:32" x14ac:dyDescent="0.2">
      <c r="AF34567" s="679"/>
    </row>
    <row r="34568" spans="32:32" x14ac:dyDescent="0.2">
      <c r="AF34568" s="679"/>
    </row>
    <row r="34569" spans="32:32" x14ac:dyDescent="0.2">
      <c r="AF34569" s="679"/>
    </row>
    <row r="34570" spans="32:32" x14ac:dyDescent="0.2">
      <c r="AF34570" s="679"/>
    </row>
    <row r="34571" spans="32:32" x14ac:dyDescent="0.2">
      <c r="AF34571" s="679"/>
    </row>
    <row r="34572" spans="32:32" x14ac:dyDescent="0.2">
      <c r="AF34572" s="679"/>
    </row>
    <row r="34573" spans="32:32" x14ac:dyDescent="0.2">
      <c r="AF34573" s="679"/>
    </row>
    <row r="34574" spans="32:32" x14ac:dyDescent="0.2">
      <c r="AF34574" s="679"/>
    </row>
    <row r="34575" spans="32:32" x14ac:dyDescent="0.2">
      <c r="AF34575" s="679"/>
    </row>
    <row r="34576" spans="32:32" x14ac:dyDescent="0.2">
      <c r="AF34576" s="679"/>
    </row>
    <row r="34577" spans="32:32" x14ac:dyDescent="0.2">
      <c r="AF34577" s="679"/>
    </row>
    <row r="34578" spans="32:32" x14ac:dyDescent="0.2">
      <c r="AF34578" s="679"/>
    </row>
    <row r="34579" spans="32:32" x14ac:dyDescent="0.2">
      <c r="AF34579" s="679"/>
    </row>
    <row r="34580" spans="32:32" x14ac:dyDescent="0.2">
      <c r="AF34580" s="679"/>
    </row>
    <row r="34581" spans="32:32" x14ac:dyDescent="0.2">
      <c r="AF34581" s="679"/>
    </row>
    <row r="34582" spans="32:32" x14ac:dyDescent="0.2">
      <c r="AF34582" s="679"/>
    </row>
    <row r="34583" spans="32:32" x14ac:dyDescent="0.2">
      <c r="AF34583" s="679"/>
    </row>
    <row r="34584" spans="32:32" x14ac:dyDescent="0.2">
      <c r="AF34584" s="679"/>
    </row>
    <row r="34585" spans="32:32" x14ac:dyDescent="0.2">
      <c r="AF34585" s="679"/>
    </row>
    <row r="34586" spans="32:32" x14ac:dyDescent="0.2">
      <c r="AF34586" s="679"/>
    </row>
    <row r="34587" spans="32:32" x14ac:dyDescent="0.2">
      <c r="AF34587" s="679"/>
    </row>
    <row r="34588" spans="32:32" x14ac:dyDescent="0.2">
      <c r="AF34588" s="679"/>
    </row>
    <row r="34589" spans="32:32" x14ac:dyDescent="0.2">
      <c r="AF34589" s="679"/>
    </row>
    <row r="34590" spans="32:32" x14ac:dyDescent="0.2">
      <c r="AF34590" s="679"/>
    </row>
    <row r="34591" spans="32:32" x14ac:dyDescent="0.2">
      <c r="AF34591" s="679"/>
    </row>
    <row r="34592" spans="32:32" x14ac:dyDescent="0.2">
      <c r="AF34592" s="679"/>
    </row>
    <row r="34593" spans="32:32" x14ac:dyDescent="0.2">
      <c r="AF34593" s="679"/>
    </row>
    <row r="34594" spans="32:32" x14ac:dyDescent="0.2">
      <c r="AF34594" s="679"/>
    </row>
    <row r="34595" spans="32:32" x14ac:dyDescent="0.2">
      <c r="AF34595" s="679"/>
    </row>
    <row r="34596" spans="32:32" x14ac:dyDescent="0.2">
      <c r="AF34596" s="679"/>
    </row>
    <row r="34597" spans="32:32" x14ac:dyDescent="0.2">
      <c r="AF34597" s="679"/>
    </row>
    <row r="34598" spans="32:32" x14ac:dyDescent="0.2">
      <c r="AF34598" s="679"/>
    </row>
    <row r="34599" spans="32:32" x14ac:dyDescent="0.2">
      <c r="AF34599" s="679"/>
    </row>
    <row r="34600" spans="32:32" x14ac:dyDescent="0.2">
      <c r="AF34600" s="679"/>
    </row>
    <row r="34601" spans="32:32" x14ac:dyDescent="0.2">
      <c r="AF34601" s="679"/>
    </row>
    <row r="34602" spans="32:32" x14ac:dyDescent="0.2">
      <c r="AF34602" s="679"/>
    </row>
    <row r="34603" spans="32:32" x14ac:dyDescent="0.2">
      <c r="AF34603" s="679"/>
    </row>
    <row r="34604" spans="32:32" x14ac:dyDescent="0.2">
      <c r="AF34604" s="679"/>
    </row>
    <row r="34605" spans="32:32" x14ac:dyDescent="0.2">
      <c r="AF34605" s="679"/>
    </row>
    <row r="34606" spans="32:32" x14ac:dyDescent="0.2">
      <c r="AF34606" s="679"/>
    </row>
    <row r="34607" spans="32:32" x14ac:dyDescent="0.2">
      <c r="AF34607" s="679"/>
    </row>
    <row r="34608" spans="32:32" x14ac:dyDescent="0.2">
      <c r="AF34608" s="679"/>
    </row>
    <row r="34609" spans="32:32" x14ac:dyDescent="0.2">
      <c r="AF34609" s="679"/>
    </row>
    <row r="34610" spans="32:32" x14ac:dyDescent="0.2">
      <c r="AF34610" s="679"/>
    </row>
    <row r="34611" spans="32:32" x14ac:dyDescent="0.2">
      <c r="AF34611" s="679"/>
    </row>
    <row r="34612" spans="32:32" x14ac:dyDescent="0.2">
      <c r="AF34612" s="679"/>
    </row>
    <row r="34613" spans="32:32" x14ac:dyDescent="0.2">
      <c r="AF34613" s="679"/>
    </row>
    <row r="34614" spans="32:32" x14ac:dyDescent="0.2">
      <c r="AF34614" s="679"/>
    </row>
    <row r="34615" spans="32:32" x14ac:dyDescent="0.2">
      <c r="AF34615" s="679"/>
    </row>
    <row r="34616" spans="32:32" x14ac:dyDescent="0.2">
      <c r="AF34616" s="679"/>
    </row>
    <row r="34617" spans="32:32" x14ac:dyDescent="0.2">
      <c r="AF34617" s="679"/>
    </row>
    <row r="34618" spans="32:32" x14ac:dyDescent="0.2">
      <c r="AF34618" s="679"/>
    </row>
    <row r="34619" spans="32:32" x14ac:dyDescent="0.2">
      <c r="AF34619" s="679"/>
    </row>
    <row r="34620" spans="32:32" x14ac:dyDescent="0.2">
      <c r="AF34620" s="679"/>
    </row>
    <row r="34621" spans="32:32" x14ac:dyDescent="0.2">
      <c r="AF34621" s="679"/>
    </row>
    <row r="34622" spans="32:32" x14ac:dyDescent="0.2">
      <c r="AF34622" s="679"/>
    </row>
    <row r="34623" spans="32:32" x14ac:dyDescent="0.2">
      <c r="AF34623" s="679"/>
    </row>
    <row r="34624" spans="32:32" x14ac:dyDescent="0.2">
      <c r="AF34624" s="679"/>
    </row>
    <row r="34625" spans="32:32" x14ac:dyDescent="0.2">
      <c r="AF34625" s="679"/>
    </row>
    <row r="34626" spans="32:32" x14ac:dyDescent="0.2">
      <c r="AF34626" s="679"/>
    </row>
    <row r="34627" spans="32:32" x14ac:dyDescent="0.2">
      <c r="AF34627" s="679"/>
    </row>
    <row r="34628" spans="32:32" x14ac:dyDescent="0.2">
      <c r="AF34628" s="679"/>
    </row>
    <row r="34629" spans="32:32" x14ac:dyDescent="0.2">
      <c r="AF34629" s="679"/>
    </row>
    <row r="34630" spans="32:32" x14ac:dyDescent="0.2">
      <c r="AF34630" s="679"/>
    </row>
    <row r="34631" spans="32:32" x14ac:dyDescent="0.2">
      <c r="AF34631" s="679"/>
    </row>
    <row r="34632" spans="32:32" x14ac:dyDescent="0.2">
      <c r="AF34632" s="679"/>
    </row>
    <row r="34633" spans="32:32" x14ac:dyDescent="0.2">
      <c r="AF34633" s="679"/>
    </row>
    <row r="34634" spans="32:32" x14ac:dyDescent="0.2">
      <c r="AF34634" s="679"/>
    </row>
    <row r="34635" spans="32:32" x14ac:dyDescent="0.2">
      <c r="AF34635" s="679"/>
    </row>
    <row r="34636" spans="32:32" x14ac:dyDescent="0.2">
      <c r="AF34636" s="679"/>
    </row>
    <row r="34637" spans="32:32" x14ac:dyDescent="0.2">
      <c r="AF34637" s="679"/>
    </row>
    <row r="34638" spans="32:32" x14ac:dyDescent="0.2">
      <c r="AF34638" s="679"/>
    </row>
    <row r="34639" spans="32:32" x14ac:dyDescent="0.2">
      <c r="AF34639" s="679"/>
    </row>
    <row r="34640" spans="32:32" x14ac:dyDescent="0.2">
      <c r="AF34640" s="679"/>
    </row>
    <row r="34641" spans="32:32" x14ac:dyDescent="0.2">
      <c r="AF34641" s="679"/>
    </row>
    <row r="34642" spans="32:32" x14ac:dyDescent="0.2">
      <c r="AF34642" s="679"/>
    </row>
    <row r="34643" spans="32:32" x14ac:dyDescent="0.2">
      <c r="AF34643" s="679"/>
    </row>
    <row r="34644" spans="32:32" x14ac:dyDescent="0.2">
      <c r="AF34644" s="679"/>
    </row>
    <row r="34645" spans="32:32" x14ac:dyDescent="0.2">
      <c r="AF34645" s="679"/>
    </row>
    <row r="34646" spans="32:32" x14ac:dyDescent="0.2">
      <c r="AF34646" s="679"/>
    </row>
    <row r="34647" spans="32:32" x14ac:dyDescent="0.2">
      <c r="AF34647" s="679"/>
    </row>
    <row r="34648" spans="32:32" x14ac:dyDescent="0.2">
      <c r="AF34648" s="679"/>
    </row>
    <row r="34649" spans="32:32" x14ac:dyDescent="0.2">
      <c r="AF34649" s="679"/>
    </row>
    <row r="34650" spans="32:32" x14ac:dyDescent="0.2">
      <c r="AF34650" s="679"/>
    </row>
    <row r="34651" spans="32:32" x14ac:dyDescent="0.2">
      <c r="AF34651" s="679"/>
    </row>
    <row r="34652" spans="32:32" x14ac:dyDescent="0.2">
      <c r="AF34652" s="679"/>
    </row>
    <row r="34653" spans="32:32" x14ac:dyDescent="0.2">
      <c r="AF34653" s="679"/>
    </row>
    <row r="34654" spans="32:32" x14ac:dyDescent="0.2">
      <c r="AF34654" s="679"/>
    </row>
    <row r="34655" spans="32:32" x14ac:dyDescent="0.2">
      <c r="AF34655" s="679"/>
    </row>
    <row r="34656" spans="32:32" x14ac:dyDescent="0.2">
      <c r="AF34656" s="679"/>
    </row>
    <row r="34657" spans="32:32" x14ac:dyDescent="0.2">
      <c r="AF34657" s="679"/>
    </row>
    <row r="34658" spans="32:32" x14ac:dyDescent="0.2">
      <c r="AF34658" s="679"/>
    </row>
    <row r="34659" spans="32:32" x14ac:dyDescent="0.2">
      <c r="AF34659" s="679"/>
    </row>
    <row r="34660" spans="32:32" x14ac:dyDescent="0.2">
      <c r="AF34660" s="679"/>
    </row>
    <row r="34661" spans="32:32" x14ac:dyDescent="0.2">
      <c r="AF34661" s="679"/>
    </row>
    <row r="34662" spans="32:32" x14ac:dyDescent="0.2">
      <c r="AF34662" s="679"/>
    </row>
    <row r="34663" spans="32:32" x14ac:dyDescent="0.2">
      <c r="AF34663" s="679"/>
    </row>
    <row r="34664" spans="32:32" x14ac:dyDescent="0.2">
      <c r="AF34664" s="679"/>
    </row>
    <row r="34665" spans="32:32" x14ac:dyDescent="0.2">
      <c r="AF34665" s="679"/>
    </row>
    <row r="34666" spans="32:32" x14ac:dyDescent="0.2">
      <c r="AF34666" s="679"/>
    </row>
    <row r="34667" spans="32:32" x14ac:dyDescent="0.2">
      <c r="AF34667" s="679"/>
    </row>
    <row r="34668" spans="32:32" x14ac:dyDescent="0.2">
      <c r="AF34668" s="679"/>
    </row>
    <row r="34669" spans="32:32" x14ac:dyDescent="0.2">
      <c r="AF34669" s="679"/>
    </row>
    <row r="34670" spans="32:32" x14ac:dyDescent="0.2">
      <c r="AF34670" s="679"/>
    </row>
    <row r="34671" spans="32:32" x14ac:dyDescent="0.2">
      <c r="AF34671" s="679"/>
    </row>
    <row r="34672" spans="32:32" x14ac:dyDescent="0.2">
      <c r="AF34672" s="679"/>
    </row>
    <row r="34673" spans="32:32" x14ac:dyDescent="0.2">
      <c r="AF34673" s="679"/>
    </row>
    <row r="34674" spans="32:32" x14ac:dyDescent="0.2">
      <c r="AF34674" s="679"/>
    </row>
    <row r="34675" spans="32:32" x14ac:dyDescent="0.2">
      <c r="AF34675" s="679"/>
    </row>
    <row r="34676" spans="32:32" x14ac:dyDescent="0.2">
      <c r="AF34676" s="679"/>
    </row>
    <row r="34677" spans="32:32" x14ac:dyDescent="0.2">
      <c r="AF34677" s="679"/>
    </row>
    <row r="34678" spans="32:32" x14ac:dyDescent="0.2">
      <c r="AF34678" s="679"/>
    </row>
    <row r="34679" spans="32:32" x14ac:dyDescent="0.2">
      <c r="AF34679" s="679"/>
    </row>
    <row r="34680" spans="32:32" x14ac:dyDescent="0.2">
      <c r="AF34680" s="679"/>
    </row>
    <row r="34681" spans="32:32" x14ac:dyDescent="0.2">
      <c r="AF34681" s="679"/>
    </row>
    <row r="34682" spans="32:32" x14ac:dyDescent="0.2">
      <c r="AF34682" s="679"/>
    </row>
    <row r="34683" spans="32:32" x14ac:dyDescent="0.2">
      <c r="AF34683" s="679"/>
    </row>
    <row r="34684" spans="32:32" x14ac:dyDescent="0.2">
      <c r="AF34684" s="679"/>
    </row>
    <row r="34685" spans="32:32" x14ac:dyDescent="0.2">
      <c r="AF34685" s="679"/>
    </row>
    <row r="34686" spans="32:32" x14ac:dyDescent="0.2">
      <c r="AF34686" s="679"/>
    </row>
    <row r="34687" spans="32:32" x14ac:dyDescent="0.2">
      <c r="AF34687" s="679"/>
    </row>
    <row r="34688" spans="32:32" x14ac:dyDescent="0.2">
      <c r="AF34688" s="679"/>
    </row>
    <row r="34689" spans="32:32" x14ac:dyDescent="0.2">
      <c r="AF34689" s="679"/>
    </row>
    <row r="34690" spans="32:32" x14ac:dyDescent="0.2">
      <c r="AF34690" s="679"/>
    </row>
    <row r="34691" spans="32:32" x14ac:dyDescent="0.2">
      <c r="AF34691" s="679"/>
    </row>
    <row r="34692" spans="32:32" x14ac:dyDescent="0.2">
      <c r="AF34692" s="679"/>
    </row>
    <row r="34693" spans="32:32" x14ac:dyDescent="0.2">
      <c r="AF34693" s="679"/>
    </row>
    <row r="34694" spans="32:32" x14ac:dyDescent="0.2">
      <c r="AF34694" s="679"/>
    </row>
    <row r="34695" spans="32:32" x14ac:dyDescent="0.2">
      <c r="AF34695" s="679"/>
    </row>
    <row r="34696" spans="32:32" x14ac:dyDescent="0.2">
      <c r="AF34696" s="679"/>
    </row>
    <row r="34697" spans="32:32" x14ac:dyDescent="0.2">
      <c r="AF34697" s="679"/>
    </row>
    <row r="34698" spans="32:32" x14ac:dyDescent="0.2">
      <c r="AF34698" s="679"/>
    </row>
    <row r="34699" spans="32:32" x14ac:dyDescent="0.2">
      <c r="AF34699" s="679"/>
    </row>
    <row r="34700" spans="32:32" x14ac:dyDescent="0.2">
      <c r="AF34700" s="679"/>
    </row>
    <row r="34701" spans="32:32" x14ac:dyDescent="0.2">
      <c r="AF34701" s="679"/>
    </row>
    <row r="34702" spans="32:32" x14ac:dyDescent="0.2">
      <c r="AF34702" s="679"/>
    </row>
    <row r="34703" spans="32:32" x14ac:dyDescent="0.2">
      <c r="AF34703" s="679"/>
    </row>
    <row r="34704" spans="32:32" x14ac:dyDescent="0.2">
      <c r="AF34704" s="679"/>
    </row>
    <row r="34705" spans="32:32" x14ac:dyDescent="0.2">
      <c r="AF34705" s="679"/>
    </row>
    <row r="34706" spans="32:32" x14ac:dyDescent="0.2">
      <c r="AF34706" s="679"/>
    </row>
    <row r="34707" spans="32:32" x14ac:dyDescent="0.2">
      <c r="AF34707" s="679"/>
    </row>
    <row r="34708" spans="32:32" x14ac:dyDescent="0.2">
      <c r="AF34708" s="679"/>
    </row>
    <row r="34709" spans="32:32" x14ac:dyDescent="0.2">
      <c r="AF34709" s="679"/>
    </row>
    <row r="34710" spans="32:32" x14ac:dyDescent="0.2">
      <c r="AF34710" s="679"/>
    </row>
    <row r="34711" spans="32:32" x14ac:dyDescent="0.2">
      <c r="AF34711" s="679"/>
    </row>
    <row r="34712" spans="32:32" x14ac:dyDescent="0.2">
      <c r="AF34712" s="679"/>
    </row>
    <row r="34713" spans="32:32" x14ac:dyDescent="0.2">
      <c r="AF34713" s="679"/>
    </row>
    <row r="34714" spans="32:32" x14ac:dyDescent="0.2">
      <c r="AF34714" s="679"/>
    </row>
    <row r="34715" spans="32:32" x14ac:dyDescent="0.2">
      <c r="AF34715" s="679"/>
    </row>
    <row r="34716" spans="32:32" x14ac:dyDescent="0.2">
      <c r="AF34716" s="679"/>
    </row>
    <row r="34717" spans="32:32" x14ac:dyDescent="0.2">
      <c r="AF34717" s="679"/>
    </row>
    <row r="34718" spans="32:32" x14ac:dyDescent="0.2">
      <c r="AF34718" s="679"/>
    </row>
    <row r="34719" spans="32:32" x14ac:dyDescent="0.2">
      <c r="AF34719" s="679"/>
    </row>
    <row r="34720" spans="32:32" x14ac:dyDescent="0.2">
      <c r="AF34720" s="679"/>
    </row>
    <row r="34721" spans="32:32" x14ac:dyDescent="0.2">
      <c r="AF34721" s="679"/>
    </row>
    <row r="34722" spans="32:32" x14ac:dyDescent="0.2">
      <c r="AF34722" s="679"/>
    </row>
    <row r="34723" spans="32:32" x14ac:dyDescent="0.2">
      <c r="AF34723" s="679"/>
    </row>
    <row r="34724" spans="32:32" x14ac:dyDescent="0.2">
      <c r="AF34724" s="679"/>
    </row>
    <row r="34725" spans="32:32" x14ac:dyDescent="0.2">
      <c r="AF34725" s="679"/>
    </row>
    <row r="34726" spans="32:32" x14ac:dyDescent="0.2">
      <c r="AF34726" s="679"/>
    </row>
    <row r="34727" spans="32:32" x14ac:dyDescent="0.2">
      <c r="AF34727" s="679"/>
    </row>
    <row r="34728" spans="32:32" x14ac:dyDescent="0.2">
      <c r="AF34728" s="679"/>
    </row>
    <row r="34729" spans="32:32" x14ac:dyDescent="0.2">
      <c r="AF34729" s="679"/>
    </row>
    <row r="34730" spans="32:32" x14ac:dyDescent="0.2">
      <c r="AF34730" s="679"/>
    </row>
    <row r="34731" spans="32:32" x14ac:dyDescent="0.2">
      <c r="AF34731" s="679"/>
    </row>
    <row r="34732" spans="32:32" x14ac:dyDescent="0.2">
      <c r="AF34732" s="679"/>
    </row>
    <row r="34733" spans="32:32" x14ac:dyDescent="0.2">
      <c r="AF34733" s="679"/>
    </row>
    <row r="34734" spans="32:32" x14ac:dyDescent="0.2">
      <c r="AF34734" s="679"/>
    </row>
    <row r="34735" spans="32:32" x14ac:dyDescent="0.2">
      <c r="AF34735" s="679"/>
    </row>
    <row r="34736" spans="32:32" x14ac:dyDescent="0.2">
      <c r="AF34736" s="679"/>
    </row>
    <row r="34737" spans="32:32" x14ac:dyDescent="0.2">
      <c r="AF34737" s="679"/>
    </row>
    <row r="34738" spans="32:32" x14ac:dyDescent="0.2">
      <c r="AF34738" s="679"/>
    </row>
    <row r="34739" spans="32:32" x14ac:dyDescent="0.2">
      <c r="AF34739" s="679"/>
    </row>
    <row r="34740" spans="32:32" x14ac:dyDescent="0.2">
      <c r="AF34740" s="679"/>
    </row>
    <row r="34741" spans="32:32" x14ac:dyDescent="0.2">
      <c r="AF34741" s="679"/>
    </row>
    <row r="34742" spans="32:32" x14ac:dyDescent="0.2">
      <c r="AF34742" s="679"/>
    </row>
    <row r="34743" spans="32:32" x14ac:dyDescent="0.2">
      <c r="AF34743" s="679"/>
    </row>
    <row r="34744" spans="32:32" x14ac:dyDescent="0.2">
      <c r="AF34744" s="679"/>
    </row>
    <row r="34745" spans="32:32" x14ac:dyDescent="0.2">
      <c r="AF34745" s="679"/>
    </row>
    <row r="34746" spans="32:32" x14ac:dyDescent="0.2">
      <c r="AF34746" s="679"/>
    </row>
    <row r="34747" spans="32:32" x14ac:dyDescent="0.2">
      <c r="AF34747" s="679"/>
    </row>
    <row r="34748" spans="32:32" x14ac:dyDescent="0.2">
      <c r="AF34748" s="679"/>
    </row>
    <row r="34749" spans="32:32" x14ac:dyDescent="0.2">
      <c r="AF34749" s="679"/>
    </row>
    <row r="34750" spans="32:32" x14ac:dyDescent="0.2">
      <c r="AF34750" s="679"/>
    </row>
    <row r="34751" spans="32:32" x14ac:dyDescent="0.2">
      <c r="AF34751" s="679"/>
    </row>
    <row r="34752" spans="32:32" x14ac:dyDescent="0.2">
      <c r="AF34752" s="679"/>
    </row>
    <row r="34753" spans="32:32" x14ac:dyDescent="0.2">
      <c r="AF34753" s="679"/>
    </row>
    <row r="34754" spans="32:32" x14ac:dyDescent="0.2">
      <c r="AF34754" s="679"/>
    </row>
    <row r="34755" spans="32:32" x14ac:dyDescent="0.2">
      <c r="AF34755" s="679"/>
    </row>
    <row r="34756" spans="32:32" x14ac:dyDescent="0.2">
      <c r="AF34756" s="679"/>
    </row>
    <row r="34757" spans="32:32" x14ac:dyDescent="0.2">
      <c r="AF34757" s="679"/>
    </row>
    <row r="34758" spans="32:32" x14ac:dyDescent="0.2">
      <c r="AF34758" s="679"/>
    </row>
    <row r="34759" spans="32:32" x14ac:dyDescent="0.2">
      <c r="AF34759" s="679"/>
    </row>
    <row r="34760" spans="32:32" x14ac:dyDescent="0.2">
      <c r="AF34760" s="679"/>
    </row>
    <row r="34761" spans="32:32" x14ac:dyDescent="0.2">
      <c r="AF34761" s="679"/>
    </row>
    <row r="34762" spans="32:32" x14ac:dyDescent="0.2">
      <c r="AF34762" s="679"/>
    </row>
    <row r="34763" spans="32:32" x14ac:dyDescent="0.2">
      <c r="AF34763" s="679"/>
    </row>
    <row r="34764" spans="32:32" x14ac:dyDescent="0.2">
      <c r="AF34764" s="679"/>
    </row>
    <row r="34765" spans="32:32" x14ac:dyDescent="0.2">
      <c r="AF34765" s="679"/>
    </row>
    <row r="34766" spans="32:32" x14ac:dyDescent="0.2">
      <c r="AF34766" s="679"/>
    </row>
    <row r="34767" spans="32:32" x14ac:dyDescent="0.2">
      <c r="AF34767" s="679"/>
    </row>
    <row r="34768" spans="32:32" x14ac:dyDescent="0.2">
      <c r="AF34768" s="679"/>
    </row>
    <row r="34769" spans="32:32" x14ac:dyDescent="0.2">
      <c r="AF34769" s="679"/>
    </row>
    <row r="34770" spans="32:32" x14ac:dyDescent="0.2">
      <c r="AF34770" s="679"/>
    </row>
    <row r="34771" spans="32:32" x14ac:dyDescent="0.2">
      <c r="AF34771" s="679"/>
    </row>
    <row r="34772" spans="32:32" x14ac:dyDescent="0.2">
      <c r="AF34772" s="679"/>
    </row>
    <row r="34773" spans="32:32" x14ac:dyDescent="0.2">
      <c r="AF34773" s="679"/>
    </row>
    <row r="34774" spans="32:32" x14ac:dyDescent="0.2">
      <c r="AF34774" s="679"/>
    </row>
    <row r="34775" spans="32:32" x14ac:dyDescent="0.2">
      <c r="AF34775" s="679"/>
    </row>
    <row r="34776" spans="32:32" x14ac:dyDescent="0.2">
      <c r="AF34776" s="679"/>
    </row>
    <row r="34777" spans="32:32" x14ac:dyDescent="0.2">
      <c r="AF34777" s="679"/>
    </row>
    <row r="34778" spans="32:32" x14ac:dyDescent="0.2">
      <c r="AF34778" s="679"/>
    </row>
    <row r="34779" spans="32:32" x14ac:dyDescent="0.2">
      <c r="AF34779" s="679"/>
    </row>
    <row r="34780" spans="32:32" x14ac:dyDescent="0.2">
      <c r="AF34780" s="679"/>
    </row>
    <row r="34781" spans="32:32" x14ac:dyDescent="0.2">
      <c r="AF34781" s="679"/>
    </row>
    <row r="34782" spans="32:32" x14ac:dyDescent="0.2">
      <c r="AF34782" s="679"/>
    </row>
    <row r="34783" spans="32:32" x14ac:dyDescent="0.2">
      <c r="AF34783" s="679"/>
    </row>
    <row r="34784" spans="32:32" x14ac:dyDescent="0.2">
      <c r="AF34784" s="679"/>
    </row>
    <row r="34785" spans="32:32" x14ac:dyDescent="0.2">
      <c r="AF34785" s="679"/>
    </row>
    <row r="34786" spans="32:32" x14ac:dyDescent="0.2">
      <c r="AF34786" s="679"/>
    </row>
    <row r="34787" spans="32:32" x14ac:dyDescent="0.2">
      <c r="AF34787" s="679"/>
    </row>
    <row r="34788" spans="32:32" x14ac:dyDescent="0.2">
      <c r="AF34788" s="679"/>
    </row>
    <row r="34789" spans="32:32" x14ac:dyDescent="0.2">
      <c r="AF34789" s="679"/>
    </row>
    <row r="34790" spans="32:32" x14ac:dyDescent="0.2">
      <c r="AF34790" s="679"/>
    </row>
    <row r="34791" spans="32:32" x14ac:dyDescent="0.2">
      <c r="AF34791" s="679"/>
    </row>
    <row r="34792" spans="32:32" x14ac:dyDescent="0.2">
      <c r="AF34792" s="679"/>
    </row>
    <row r="34793" spans="32:32" x14ac:dyDescent="0.2">
      <c r="AF34793" s="679"/>
    </row>
    <row r="34794" spans="32:32" x14ac:dyDescent="0.2">
      <c r="AF34794" s="679"/>
    </row>
    <row r="34795" spans="32:32" x14ac:dyDescent="0.2">
      <c r="AF34795" s="679"/>
    </row>
    <row r="34796" spans="32:32" x14ac:dyDescent="0.2">
      <c r="AF34796" s="679"/>
    </row>
    <row r="34797" spans="32:32" x14ac:dyDescent="0.2">
      <c r="AF34797" s="679"/>
    </row>
    <row r="34798" spans="32:32" x14ac:dyDescent="0.2">
      <c r="AF34798" s="679"/>
    </row>
    <row r="34799" spans="32:32" x14ac:dyDescent="0.2">
      <c r="AF34799" s="679"/>
    </row>
    <row r="34800" spans="32:32" x14ac:dyDescent="0.2">
      <c r="AF34800" s="679"/>
    </row>
    <row r="34801" spans="32:32" x14ac:dyDescent="0.2">
      <c r="AF34801" s="679"/>
    </row>
    <row r="34802" spans="32:32" x14ac:dyDescent="0.2">
      <c r="AF34802" s="679"/>
    </row>
    <row r="34803" spans="32:32" x14ac:dyDescent="0.2">
      <c r="AF34803" s="679"/>
    </row>
    <row r="34804" spans="32:32" x14ac:dyDescent="0.2">
      <c r="AF34804" s="679"/>
    </row>
    <row r="34805" spans="32:32" x14ac:dyDescent="0.2">
      <c r="AF34805" s="679"/>
    </row>
    <row r="34806" spans="32:32" x14ac:dyDescent="0.2">
      <c r="AF34806" s="679"/>
    </row>
    <row r="34807" spans="32:32" x14ac:dyDescent="0.2">
      <c r="AF34807" s="679"/>
    </row>
    <row r="34808" spans="32:32" x14ac:dyDescent="0.2">
      <c r="AF34808" s="679"/>
    </row>
    <row r="34809" spans="32:32" x14ac:dyDescent="0.2">
      <c r="AF34809" s="679"/>
    </row>
    <row r="34810" spans="32:32" x14ac:dyDescent="0.2">
      <c r="AF34810" s="679"/>
    </row>
    <row r="34811" spans="32:32" x14ac:dyDescent="0.2">
      <c r="AF34811" s="679"/>
    </row>
    <row r="34812" spans="32:32" x14ac:dyDescent="0.2">
      <c r="AF34812" s="679"/>
    </row>
    <row r="34813" spans="32:32" x14ac:dyDescent="0.2">
      <c r="AF34813" s="679"/>
    </row>
    <row r="34814" spans="32:32" x14ac:dyDescent="0.2">
      <c r="AF34814" s="679"/>
    </row>
    <row r="34815" spans="32:32" x14ac:dyDescent="0.2">
      <c r="AF34815" s="679"/>
    </row>
    <row r="34816" spans="32:32" x14ac:dyDescent="0.2">
      <c r="AF34816" s="679"/>
    </row>
    <row r="34817" spans="32:32" x14ac:dyDescent="0.2">
      <c r="AF34817" s="679"/>
    </row>
    <row r="34818" spans="32:32" x14ac:dyDescent="0.2">
      <c r="AF34818" s="679"/>
    </row>
    <row r="34819" spans="32:32" x14ac:dyDescent="0.2">
      <c r="AF34819" s="679"/>
    </row>
    <row r="34820" spans="32:32" x14ac:dyDescent="0.2">
      <c r="AF34820" s="679"/>
    </row>
    <row r="34821" spans="32:32" x14ac:dyDescent="0.2">
      <c r="AF34821" s="679"/>
    </row>
    <row r="34822" spans="32:32" x14ac:dyDescent="0.2">
      <c r="AF34822" s="679"/>
    </row>
    <row r="34823" spans="32:32" x14ac:dyDescent="0.2">
      <c r="AF34823" s="679"/>
    </row>
    <row r="34824" spans="32:32" x14ac:dyDescent="0.2">
      <c r="AF34824" s="679"/>
    </row>
    <row r="34825" spans="32:32" x14ac:dyDescent="0.2">
      <c r="AF34825" s="679"/>
    </row>
    <row r="34826" spans="32:32" x14ac:dyDescent="0.2">
      <c r="AF34826" s="679"/>
    </row>
    <row r="34827" spans="32:32" x14ac:dyDescent="0.2">
      <c r="AF34827" s="679"/>
    </row>
    <row r="34828" spans="32:32" x14ac:dyDescent="0.2">
      <c r="AF34828" s="679"/>
    </row>
    <row r="34829" spans="32:32" x14ac:dyDescent="0.2">
      <c r="AF34829" s="679"/>
    </row>
    <row r="34830" spans="32:32" x14ac:dyDescent="0.2">
      <c r="AF34830" s="679"/>
    </row>
    <row r="34831" spans="32:32" x14ac:dyDescent="0.2">
      <c r="AF34831" s="679"/>
    </row>
    <row r="34832" spans="32:32" x14ac:dyDescent="0.2">
      <c r="AF34832" s="679"/>
    </row>
    <row r="34833" spans="32:32" x14ac:dyDescent="0.2">
      <c r="AF34833" s="679"/>
    </row>
    <row r="34834" spans="32:32" x14ac:dyDescent="0.2">
      <c r="AF34834" s="679"/>
    </row>
    <row r="34835" spans="32:32" x14ac:dyDescent="0.2">
      <c r="AF34835" s="679"/>
    </row>
    <row r="34836" spans="32:32" x14ac:dyDescent="0.2">
      <c r="AF34836" s="679"/>
    </row>
    <row r="34837" spans="32:32" x14ac:dyDescent="0.2">
      <c r="AF34837" s="679"/>
    </row>
    <row r="34838" spans="32:32" x14ac:dyDescent="0.2">
      <c r="AF34838" s="679"/>
    </row>
    <row r="34839" spans="32:32" x14ac:dyDescent="0.2">
      <c r="AF34839" s="679"/>
    </row>
    <row r="34840" spans="32:32" x14ac:dyDescent="0.2">
      <c r="AF34840" s="679"/>
    </row>
    <row r="34841" spans="32:32" x14ac:dyDescent="0.2">
      <c r="AF34841" s="679"/>
    </row>
    <row r="34842" spans="32:32" x14ac:dyDescent="0.2">
      <c r="AF34842" s="679"/>
    </row>
    <row r="34843" spans="32:32" x14ac:dyDescent="0.2">
      <c r="AF34843" s="679"/>
    </row>
    <row r="34844" spans="32:32" x14ac:dyDescent="0.2">
      <c r="AF34844" s="679"/>
    </row>
    <row r="34845" spans="32:32" x14ac:dyDescent="0.2">
      <c r="AF34845" s="679"/>
    </row>
    <row r="34846" spans="32:32" x14ac:dyDescent="0.2">
      <c r="AF34846" s="679"/>
    </row>
    <row r="34847" spans="32:32" x14ac:dyDescent="0.2">
      <c r="AF34847" s="679"/>
    </row>
    <row r="34848" spans="32:32" x14ac:dyDescent="0.2">
      <c r="AF34848" s="679"/>
    </row>
    <row r="34849" spans="32:32" x14ac:dyDescent="0.2">
      <c r="AF34849" s="679"/>
    </row>
    <row r="34850" spans="32:32" x14ac:dyDescent="0.2">
      <c r="AF34850" s="679"/>
    </row>
    <row r="34851" spans="32:32" x14ac:dyDescent="0.2">
      <c r="AF34851" s="679"/>
    </row>
    <row r="34852" spans="32:32" x14ac:dyDescent="0.2">
      <c r="AF34852" s="679"/>
    </row>
    <row r="34853" spans="32:32" x14ac:dyDescent="0.2">
      <c r="AF34853" s="679"/>
    </row>
    <row r="34854" spans="32:32" x14ac:dyDescent="0.2">
      <c r="AF34854" s="679"/>
    </row>
    <row r="34855" spans="32:32" x14ac:dyDescent="0.2">
      <c r="AF34855" s="679"/>
    </row>
    <row r="34856" spans="32:32" x14ac:dyDescent="0.2">
      <c r="AF34856" s="679"/>
    </row>
    <row r="34857" spans="32:32" x14ac:dyDescent="0.2">
      <c r="AF34857" s="679"/>
    </row>
    <row r="34858" spans="32:32" x14ac:dyDescent="0.2">
      <c r="AF34858" s="679"/>
    </row>
    <row r="34859" spans="32:32" x14ac:dyDescent="0.2">
      <c r="AF34859" s="679"/>
    </row>
    <row r="34860" spans="32:32" x14ac:dyDescent="0.2">
      <c r="AF34860" s="679"/>
    </row>
    <row r="34861" spans="32:32" x14ac:dyDescent="0.2">
      <c r="AF34861" s="679"/>
    </row>
    <row r="34862" spans="32:32" x14ac:dyDescent="0.2">
      <c r="AF34862" s="679"/>
    </row>
    <row r="34863" spans="32:32" x14ac:dyDescent="0.2">
      <c r="AF34863" s="679"/>
    </row>
    <row r="34864" spans="32:32" x14ac:dyDescent="0.2">
      <c r="AF34864" s="679"/>
    </row>
    <row r="34865" spans="32:32" x14ac:dyDescent="0.2">
      <c r="AF34865" s="679"/>
    </row>
    <row r="34866" spans="32:32" x14ac:dyDescent="0.2">
      <c r="AF34866" s="679"/>
    </row>
    <row r="34867" spans="32:32" x14ac:dyDescent="0.2">
      <c r="AF34867" s="679"/>
    </row>
    <row r="34868" spans="32:32" x14ac:dyDescent="0.2">
      <c r="AF34868" s="679"/>
    </row>
    <row r="34869" spans="32:32" x14ac:dyDescent="0.2">
      <c r="AF34869" s="679"/>
    </row>
    <row r="34870" spans="32:32" x14ac:dyDescent="0.2">
      <c r="AF34870" s="679"/>
    </row>
    <row r="34871" spans="32:32" x14ac:dyDescent="0.2">
      <c r="AF34871" s="679"/>
    </row>
    <row r="34872" spans="32:32" x14ac:dyDescent="0.2">
      <c r="AF34872" s="679"/>
    </row>
    <row r="34873" spans="32:32" x14ac:dyDescent="0.2">
      <c r="AF34873" s="679"/>
    </row>
    <row r="34874" spans="32:32" x14ac:dyDescent="0.2">
      <c r="AF34874" s="679"/>
    </row>
    <row r="34875" spans="32:32" x14ac:dyDescent="0.2">
      <c r="AF34875" s="679"/>
    </row>
    <row r="34876" spans="32:32" x14ac:dyDescent="0.2">
      <c r="AF34876" s="679"/>
    </row>
    <row r="34877" spans="32:32" x14ac:dyDescent="0.2">
      <c r="AF34877" s="679"/>
    </row>
    <row r="34878" spans="32:32" x14ac:dyDescent="0.2">
      <c r="AF34878" s="679"/>
    </row>
    <row r="34879" spans="32:32" x14ac:dyDescent="0.2">
      <c r="AF34879" s="679"/>
    </row>
    <row r="34880" spans="32:32" x14ac:dyDescent="0.2">
      <c r="AF34880" s="679"/>
    </row>
    <row r="34881" spans="32:32" x14ac:dyDescent="0.2">
      <c r="AF34881" s="679"/>
    </row>
    <row r="34882" spans="32:32" x14ac:dyDescent="0.2">
      <c r="AF34882" s="679"/>
    </row>
    <row r="34883" spans="32:32" x14ac:dyDescent="0.2">
      <c r="AF34883" s="679"/>
    </row>
    <row r="34884" spans="32:32" x14ac:dyDescent="0.2">
      <c r="AF34884" s="679"/>
    </row>
    <row r="34885" spans="32:32" x14ac:dyDescent="0.2">
      <c r="AF34885" s="679"/>
    </row>
    <row r="34886" spans="32:32" x14ac:dyDescent="0.2">
      <c r="AF34886" s="679"/>
    </row>
    <row r="34887" spans="32:32" x14ac:dyDescent="0.2">
      <c r="AF34887" s="679"/>
    </row>
    <row r="34888" spans="32:32" x14ac:dyDescent="0.2">
      <c r="AF34888" s="679"/>
    </row>
    <row r="34889" spans="32:32" x14ac:dyDescent="0.2">
      <c r="AF34889" s="679"/>
    </row>
    <row r="34890" spans="32:32" x14ac:dyDescent="0.2">
      <c r="AF34890" s="679"/>
    </row>
    <row r="34891" spans="32:32" x14ac:dyDescent="0.2">
      <c r="AF34891" s="679"/>
    </row>
    <row r="34892" spans="32:32" x14ac:dyDescent="0.2">
      <c r="AF34892" s="679"/>
    </row>
    <row r="34893" spans="32:32" x14ac:dyDescent="0.2">
      <c r="AF34893" s="679"/>
    </row>
    <row r="34894" spans="32:32" x14ac:dyDescent="0.2">
      <c r="AF34894" s="679"/>
    </row>
    <row r="34895" spans="32:32" x14ac:dyDescent="0.2">
      <c r="AF34895" s="679"/>
    </row>
    <row r="34896" spans="32:32" x14ac:dyDescent="0.2">
      <c r="AF34896" s="679"/>
    </row>
    <row r="34897" spans="32:32" x14ac:dyDescent="0.2">
      <c r="AF34897" s="679"/>
    </row>
    <row r="34898" spans="32:32" x14ac:dyDescent="0.2">
      <c r="AF34898" s="679"/>
    </row>
    <row r="34899" spans="32:32" x14ac:dyDescent="0.2">
      <c r="AF34899" s="679"/>
    </row>
    <row r="34900" spans="32:32" x14ac:dyDescent="0.2">
      <c r="AF34900" s="679"/>
    </row>
    <row r="34901" spans="32:32" x14ac:dyDescent="0.2">
      <c r="AF34901" s="679"/>
    </row>
    <row r="34902" spans="32:32" x14ac:dyDescent="0.2">
      <c r="AF34902" s="679"/>
    </row>
    <row r="34903" spans="32:32" x14ac:dyDescent="0.2">
      <c r="AF34903" s="679"/>
    </row>
    <row r="34904" spans="32:32" x14ac:dyDescent="0.2">
      <c r="AF34904" s="679"/>
    </row>
    <row r="34905" spans="32:32" x14ac:dyDescent="0.2">
      <c r="AF34905" s="679"/>
    </row>
    <row r="34906" spans="32:32" x14ac:dyDescent="0.2">
      <c r="AF34906" s="679"/>
    </row>
    <row r="34907" spans="32:32" x14ac:dyDescent="0.2">
      <c r="AF34907" s="679"/>
    </row>
    <row r="34908" spans="32:32" x14ac:dyDescent="0.2">
      <c r="AF34908" s="679"/>
    </row>
    <row r="34909" spans="32:32" x14ac:dyDescent="0.2">
      <c r="AF34909" s="679"/>
    </row>
    <row r="34910" spans="32:32" x14ac:dyDescent="0.2">
      <c r="AF34910" s="679"/>
    </row>
    <row r="34911" spans="32:32" x14ac:dyDescent="0.2">
      <c r="AF34911" s="679"/>
    </row>
    <row r="34912" spans="32:32" x14ac:dyDescent="0.2">
      <c r="AF34912" s="679"/>
    </row>
    <row r="34913" spans="32:32" x14ac:dyDescent="0.2">
      <c r="AF34913" s="679"/>
    </row>
    <row r="34914" spans="32:32" x14ac:dyDescent="0.2">
      <c r="AF34914" s="679"/>
    </row>
    <row r="34915" spans="32:32" x14ac:dyDescent="0.2">
      <c r="AF34915" s="679"/>
    </row>
    <row r="34916" spans="32:32" x14ac:dyDescent="0.2">
      <c r="AF34916" s="679"/>
    </row>
    <row r="34917" spans="32:32" x14ac:dyDescent="0.2">
      <c r="AF34917" s="679"/>
    </row>
    <row r="34918" spans="32:32" x14ac:dyDescent="0.2">
      <c r="AF34918" s="679"/>
    </row>
    <row r="34919" spans="32:32" x14ac:dyDescent="0.2">
      <c r="AF34919" s="679"/>
    </row>
    <row r="34920" spans="32:32" x14ac:dyDescent="0.2">
      <c r="AF34920" s="679"/>
    </row>
    <row r="34921" spans="32:32" x14ac:dyDescent="0.2">
      <c r="AF34921" s="679"/>
    </row>
    <row r="34922" spans="32:32" x14ac:dyDescent="0.2">
      <c r="AF34922" s="679"/>
    </row>
    <row r="34923" spans="32:32" x14ac:dyDescent="0.2">
      <c r="AF34923" s="679"/>
    </row>
    <row r="34924" spans="32:32" x14ac:dyDescent="0.2">
      <c r="AF34924" s="679"/>
    </row>
    <row r="34925" spans="32:32" x14ac:dyDescent="0.2">
      <c r="AF34925" s="679"/>
    </row>
    <row r="34926" spans="32:32" x14ac:dyDescent="0.2">
      <c r="AF34926" s="679"/>
    </row>
    <row r="34927" spans="32:32" x14ac:dyDescent="0.2">
      <c r="AF34927" s="679"/>
    </row>
    <row r="34928" spans="32:32" x14ac:dyDescent="0.2">
      <c r="AF34928" s="679"/>
    </row>
    <row r="34929" spans="32:32" x14ac:dyDescent="0.2">
      <c r="AF34929" s="679"/>
    </row>
    <row r="34930" spans="32:32" x14ac:dyDescent="0.2">
      <c r="AF34930" s="679"/>
    </row>
    <row r="34931" spans="32:32" x14ac:dyDescent="0.2">
      <c r="AF34931" s="679"/>
    </row>
    <row r="34932" spans="32:32" x14ac:dyDescent="0.2">
      <c r="AF34932" s="679"/>
    </row>
    <row r="34933" spans="32:32" x14ac:dyDescent="0.2">
      <c r="AF34933" s="679"/>
    </row>
    <row r="34934" spans="32:32" x14ac:dyDescent="0.2">
      <c r="AF34934" s="679"/>
    </row>
    <row r="34935" spans="32:32" x14ac:dyDescent="0.2">
      <c r="AF34935" s="679"/>
    </row>
    <row r="34936" spans="32:32" x14ac:dyDescent="0.2">
      <c r="AF34936" s="679"/>
    </row>
    <row r="34937" spans="32:32" x14ac:dyDescent="0.2">
      <c r="AF34937" s="679"/>
    </row>
    <row r="34938" spans="32:32" x14ac:dyDescent="0.2">
      <c r="AF34938" s="679"/>
    </row>
    <row r="34939" spans="32:32" x14ac:dyDescent="0.2">
      <c r="AF34939" s="679"/>
    </row>
    <row r="34940" spans="32:32" x14ac:dyDescent="0.2">
      <c r="AF34940" s="679"/>
    </row>
    <row r="34941" spans="32:32" x14ac:dyDescent="0.2">
      <c r="AF34941" s="679"/>
    </row>
    <row r="34942" spans="32:32" x14ac:dyDescent="0.2">
      <c r="AF34942" s="679"/>
    </row>
    <row r="34943" spans="32:32" x14ac:dyDescent="0.2">
      <c r="AF34943" s="679"/>
    </row>
    <row r="34944" spans="32:32" x14ac:dyDescent="0.2">
      <c r="AF34944" s="679"/>
    </row>
    <row r="34945" spans="32:32" x14ac:dyDescent="0.2">
      <c r="AF34945" s="679"/>
    </row>
    <row r="34946" spans="32:32" x14ac:dyDescent="0.2">
      <c r="AF34946" s="679"/>
    </row>
    <row r="34947" spans="32:32" x14ac:dyDescent="0.2">
      <c r="AF34947" s="679"/>
    </row>
    <row r="34948" spans="32:32" x14ac:dyDescent="0.2">
      <c r="AF34948" s="679"/>
    </row>
    <row r="34949" spans="32:32" x14ac:dyDescent="0.2">
      <c r="AF34949" s="679"/>
    </row>
    <row r="34950" spans="32:32" x14ac:dyDescent="0.2">
      <c r="AF34950" s="679"/>
    </row>
    <row r="34951" spans="32:32" x14ac:dyDescent="0.2">
      <c r="AF34951" s="679"/>
    </row>
    <row r="34952" spans="32:32" x14ac:dyDescent="0.2">
      <c r="AF34952" s="679"/>
    </row>
    <row r="34953" spans="32:32" x14ac:dyDescent="0.2">
      <c r="AF34953" s="679"/>
    </row>
    <row r="34954" spans="32:32" x14ac:dyDescent="0.2">
      <c r="AF34954" s="679"/>
    </row>
    <row r="34955" spans="32:32" x14ac:dyDescent="0.2">
      <c r="AF34955" s="679"/>
    </row>
    <row r="34956" spans="32:32" x14ac:dyDescent="0.2">
      <c r="AF34956" s="679"/>
    </row>
    <row r="34957" spans="32:32" x14ac:dyDescent="0.2">
      <c r="AF34957" s="679"/>
    </row>
    <row r="34958" spans="32:32" x14ac:dyDescent="0.2">
      <c r="AF34958" s="679"/>
    </row>
    <row r="34959" spans="32:32" x14ac:dyDescent="0.2">
      <c r="AF34959" s="679"/>
    </row>
    <row r="34960" spans="32:32" x14ac:dyDescent="0.2">
      <c r="AF34960" s="679"/>
    </row>
    <row r="34961" spans="32:32" x14ac:dyDescent="0.2">
      <c r="AF34961" s="679"/>
    </row>
    <row r="34962" spans="32:32" x14ac:dyDescent="0.2">
      <c r="AF34962" s="679"/>
    </row>
    <row r="34963" spans="32:32" x14ac:dyDescent="0.2">
      <c r="AF34963" s="679"/>
    </row>
    <row r="34964" spans="32:32" x14ac:dyDescent="0.2">
      <c r="AF34964" s="679"/>
    </row>
    <row r="34965" spans="32:32" x14ac:dyDescent="0.2">
      <c r="AF34965" s="679"/>
    </row>
    <row r="34966" spans="32:32" x14ac:dyDescent="0.2">
      <c r="AF34966" s="679"/>
    </row>
    <row r="34967" spans="32:32" x14ac:dyDescent="0.2">
      <c r="AF34967" s="679"/>
    </row>
    <row r="34968" spans="32:32" x14ac:dyDescent="0.2">
      <c r="AF34968" s="679"/>
    </row>
    <row r="34969" spans="32:32" x14ac:dyDescent="0.2">
      <c r="AF34969" s="679"/>
    </row>
    <row r="34970" spans="32:32" x14ac:dyDescent="0.2">
      <c r="AF34970" s="679"/>
    </row>
    <row r="34971" spans="32:32" x14ac:dyDescent="0.2">
      <c r="AF34971" s="679"/>
    </row>
    <row r="34972" spans="32:32" x14ac:dyDescent="0.2">
      <c r="AF34972" s="679"/>
    </row>
    <row r="34973" spans="32:32" x14ac:dyDescent="0.2">
      <c r="AF34973" s="679"/>
    </row>
    <row r="34974" spans="32:32" x14ac:dyDescent="0.2">
      <c r="AF34974" s="679"/>
    </row>
    <row r="34975" spans="32:32" x14ac:dyDescent="0.2">
      <c r="AF34975" s="679"/>
    </row>
    <row r="34976" spans="32:32" x14ac:dyDescent="0.2">
      <c r="AF34976" s="679"/>
    </row>
    <row r="34977" spans="32:32" x14ac:dyDescent="0.2">
      <c r="AF34977" s="679"/>
    </row>
    <row r="34978" spans="32:32" x14ac:dyDescent="0.2">
      <c r="AF34978" s="679"/>
    </row>
    <row r="34979" spans="32:32" x14ac:dyDescent="0.2">
      <c r="AF34979" s="679"/>
    </row>
    <row r="34980" spans="32:32" x14ac:dyDescent="0.2">
      <c r="AF34980" s="679"/>
    </row>
    <row r="34981" spans="32:32" x14ac:dyDescent="0.2">
      <c r="AF34981" s="679"/>
    </row>
    <row r="34982" spans="32:32" x14ac:dyDescent="0.2">
      <c r="AF34982" s="679"/>
    </row>
    <row r="34983" spans="32:32" x14ac:dyDescent="0.2">
      <c r="AF34983" s="679"/>
    </row>
    <row r="34984" spans="32:32" x14ac:dyDescent="0.2">
      <c r="AF34984" s="679"/>
    </row>
    <row r="34985" spans="32:32" x14ac:dyDescent="0.2">
      <c r="AF34985" s="679"/>
    </row>
    <row r="34986" spans="32:32" x14ac:dyDescent="0.2">
      <c r="AF34986" s="679"/>
    </row>
    <row r="34987" spans="32:32" x14ac:dyDescent="0.2">
      <c r="AF34987" s="679"/>
    </row>
    <row r="34988" spans="32:32" x14ac:dyDescent="0.2">
      <c r="AF34988" s="679"/>
    </row>
    <row r="34989" spans="32:32" x14ac:dyDescent="0.2">
      <c r="AF34989" s="679"/>
    </row>
    <row r="34990" spans="32:32" x14ac:dyDescent="0.2">
      <c r="AF34990" s="679"/>
    </row>
    <row r="34991" spans="32:32" x14ac:dyDescent="0.2">
      <c r="AF34991" s="679"/>
    </row>
    <row r="34992" spans="32:32" x14ac:dyDescent="0.2">
      <c r="AF34992" s="679"/>
    </row>
    <row r="34993" spans="32:32" x14ac:dyDescent="0.2">
      <c r="AF34993" s="679"/>
    </row>
    <row r="34994" spans="32:32" x14ac:dyDescent="0.2">
      <c r="AF34994" s="679"/>
    </row>
    <row r="34995" spans="32:32" x14ac:dyDescent="0.2">
      <c r="AF34995" s="679"/>
    </row>
    <row r="34996" spans="32:32" x14ac:dyDescent="0.2">
      <c r="AF34996" s="679"/>
    </row>
    <row r="34997" spans="32:32" x14ac:dyDescent="0.2">
      <c r="AF34997" s="679"/>
    </row>
    <row r="34998" spans="32:32" x14ac:dyDescent="0.2">
      <c r="AF34998" s="679"/>
    </row>
    <row r="34999" spans="32:32" x14ac:dyDescent="0.2">
      <c r="AF34999" s="679"/>
    </row>
    <row r="35000" spans="32:32" x14ac:dyDescent="0.2">
      <c r="AF35000" s="679"/>
    </row>
    <row r="35001" spans="32:32" x14ac:dyDescent="0.2">
      <c r="AF35001" s="679"/>
    </row>
    <row r="35002" spans="32:32" x14ac:dyDescent="0.2">
      <c r="AF35002" s="679"/>
    </row>
    <row r="35003" spans="32:32" x14ac:dyDescent="0.2">
      <c r="AF35003" s="679"/>
    </row>
    <row r="35004" spans="32:32" x14ac:dyDescent="0.2">
      <c r="AF35004" s="679"/>
    </row>
    <row r="35005" spans="32:32" x14ac:dyDescent="0.2">
      <c r="AF35005" s="679"/>
    </row>
    <row r="35006" spans="32:32" x14ac:dyDescent="0.2">
      <c r="AF35006" s="679"/>
    </row>
    <row r="35007" spans="32:32" x14ac:dyDescent="0.2">
      <c r="AF35007" s="679"/>
    </row>
    <row r="35008" spans="32:32" x14ac:dyDescent="0.2">
      <c r="AF35008" s="679"/>
    </row>
    <row r="35009" spans="32:32" x14ac:dyDescent="0.2">
      <c r="AF35009" s="679"/>
    </row>
    <row r="35010" spans="32:32" x14ac:dyDescent="0.2">
      <c r="AF35010" s="679"/>
    </row>
    <row r="35011" spans="32:32" x14ac:dyDescent="0.2">
      <c r="AF35011" s="679"/>
    </row>
    <row r="35012" spans="32:32" x14ac:dyDescent="0.2">
      <c r="AF35012" s="679"/>
    </row>
    <row r="35013" spans="32:32" x14ac:dyDescent="0.2">
      <c r="AF35013" s="679"/>
    </row>
    <row r="35014" spans="32:32" x14ac:dyDescent="0.2">
      <c r="AF35014" s="679"/>
    </row>
    <row r="35015" spans="32:32" x14ac:dyDescent="0.2">
      <c r="AF35015" s="679"/>
    </row>
    <row r="35016" spans="32:32" x14ac:dyDescent="0.2">
      <c r="AF35016" s="679"/>
    </row>
    <row r="35017" spans="32:32" x14ac:dyDescent="0.2">
      <c r="AF35017" s="679"/>
    </row>
    <row r="35018" spans="32:32" x14ac:dyDescent="0.2">
      <c r="AF35018" s="679"/>
    </row>
    <row r="35019" spans="32:32" x14ac:dyDescent="0.2">
      <c r="AF35019" s="679"/>
    </row>
    <row r="35020" spans="32:32" x14ac:dyDescent="0.2">
      <c r="AF35020" s="679"/>
    </row>
    <row r="35021" spans="32:32" x14ac:dyDescent="0.2">
      <c r="AF35021" s="679"/>
    </row>
    <row r="35022" spans="32:32" x14ac:dyDescent="0.2">
      <c r="AF35022" s="679"/>
    </row>
    <row r="35023" spans="32:32" x14ac:dyDescent="0.2">
      <c r="AF35023" s="679"/>
    </row>
    <row r="35024" spans="32:32" x14ac:dyDescent="0.2">
      <c r="AF35024" s="679"/>
    </row>
    <row r="35025" spans="32:32" x14ac:dyDescent="0.2">
      <c r="AF35025" s="679"/>
    </row>
    <row r="35026" spans="32:32" x14ac:dyDescent="0.2">
      <c r="AF35026" s="679"/>
    </row>
    <row r="35027" spans="32:32" x14ac:dyDescent="0.2">
      <c r="AF35027" s="679"/>
    </row>
    <row r="35028" spans="32:32" x14ac:dyDescent="0.2">
      <c r="AF35028" s="679"/>
    </row>
    <row r="35029" spans="32:32" x14ac:dyDescent="0.2">
      <c r="AF35029" s="679"/>
    </row>
    <row r="35030" spans="32:32" x14ac:dyDescent="0.2">
      <c r="AF35030" s="679"/>
    </row>
    <row r="35031" spans="32:32" x14ac:dyDescent="0.2">
      <c r="AF35031" s="679"/>
    </row>
    <row r="35032" spans="32:32" x14ac:dyDescent="0.2">
      <c r="AF35032" s="679"/>
    </row>
    <row r="35033" spans="32:32" x14ac:dyDescent="0.2">
      <c r="AF35033" s="679"/>
    </row>
    <row r="35034" spans="32:32" x14ac:dyDescent="0.2">
      <c r="AF35034" s="679"/>
    </row>
    <row r="35035" spans="32:32" x14ac:dyDescent="0.2">
      <c r="AF35035" s="679"/>
    </row>
    <row r="35036" spans="32:32" x14ac:dyDescent="0.2">
      <c r="AF35036" s="679"/>
    </row>
    <row r="35037" spans="32:32" x14ac:dyDescent="0.2">
      <c r="AF35037" s="679"/>
    </row>
    <row r="35038" spans="32:32" x14ac:dyDescent="0.2">
      <c r="AF35038" s="679"/>
    </row>
    <row r="35039" spans="32:32" x14ac:dyDescent="0.2">
      <c r="AF35039" s="679"/>
    </row>
    <row r="35040" spans="32:32" x14ac:dyDescent="0.2">
      <c r="AF35040" s="679"/>
    </row>
    <row r="35041" spans="32:32" x14ac:dyDescent="0.2">
      <c r="AF35041" s="679"/>
    </row>
    <row r="35042" spans="32:32" x14ac:dyDescent="0.2">
      <c r="AF35042" s="679"/>
    </row>
    <row r="35043" spans="32:32" x14ac:dyDescent="0.2">
      <c r="AF35043" s="679"/>
    </row>
    <row r="35044" spans="32:32" x14ac:dyDescent="0.2">
      <c r="AF35044" s="679"/>
    </row>
    <row r="35045" spans="32:32" x14ac:dyDescent="0.2">
      <c r="AF35045" s="679"/>
    </row>
    <row r="35046" spans="32:32" x14ac:dyDescent="0.2">
      <c r="AF35046" s="679"/>
    </row>
    <row r="35047" spans="32:32" x14ac:dyDescent="0.2">
      <c r="AF35047" s="679"/>
    </row>
    <row r="35048" spans="32:32" x14ac:dyDescent="0.2">
      <c r="AF35048" s="679"/>
    </row>
    <row r="35049" spans="32:32" x14ac:dyDescent="0.2">
      <c r="AF35049" s="679"/>
    </row>
    <row r="35050" spans="32:32" x14ac:dyDescent="0.2">
      <c r="AF35050" s="679"/>
    </row>
    <row r="35051" spans="32:32" x14ac:dyDescent="0.2">
      <c r="AF35051" s="679"/>
    </row>
    <row r="35052" spans="32:32" x14ac:dyDescent="0.2">
      <c r="AF35052" s="679"/>
    </row>
    <row r="35053" spans="32:32" x14ac:dyDescent="0.2">
      <c r="AF35053" s="679"/>
    </row>
    <row r="35054" spans="32:32" x14ac:dyDescent="0.2">
      <c r="AF35054" s="679"/>
    </row>
    <row r="35055" spans="32:32" x14ac:dyDescent="0.2">
      <c r="AF35055" s="679"/>
    </row>
    <row r="35056" spans="32:32" x14ac:dyDescent="0.2">
      <c r="AF35056" s="679"/>
    </row>
    <row r="35057" spans="32:32" x14ac:dyDescent="0.2">
      <c r="AF35057" s="679"/>
    </row>
    <row r="35058" spans="32:32" x14ac:dyDescent="0.2">
      <c r="AF35058" s="679"/>
    </row>
    <row r="35059" spans="32:32" x14ac:dyDescent="0.2">
      <c r="AF35059" s="679"/>
    </row>
    <row r="35060" spans="32:32" x14ac:dyDescent="0.2">
      <c r="AF35060" s="679"/>
    </row>
    <row r="35061" spans="32:32" x14ac:dyDescent="0.2">
      <c r="AF35061" s="679"/>
    </row>
    <row r="35062" spans="32:32" x14ac:dyDescent="0.2">
      <c r="AF35062" s="679"/>
    </row>
    <row r="35063" spans="32:32" x14ac:dyDescent="0.2">
      <c r="AF35063" s="679"/>
    </row>
    <row r="35064" spans="32:32" x14ac:dyDescent="0.2">
      <c r="AF35064" s="679"/>
    </row>
    <row r="35065" spans="32:32" x14ac:dyDescent="0.2">
      <c r="AF35065" s="679"/>
    </row>
    <row r="35066" spans="32:32" x14ac:dyDescent="0.2">
      <c r="AF35066" s="679"/>
    </row>
    <row r="35067" spans="32:32" x14ac:dyDescent="0.2">
      <c r="AF35067" s="679"/>
    </row>
    <row r="35068" spans="32:32" x14ac:dyDescent="0.2">
      <c r="AF35068" s="679"/>
    </row>
    <row r="35069" spans="32:32" x14ac:dyDescent="0.2">
      <c r="AF35069" s="679"/>
    </row>
    <row r="35070" spans="32:32" x14ac:dyDescent="0.2">
      <c r="AF35070" s="679"/>
    </row>
    <row r="35071" spans="32:32" x14ac:dyDescent="0.2">
      <c r="AF35071" s="679"/>
    </row>
    <row r="35072" spans="32:32" x14ac:dyDescent="0.2">
      <c r="AF35072" s="679"/>
    </row>
    <row r="35073" spans="32:32" x14ac:dyDescent="0.2">
      <c r="AF35073" s="679"/>
    </row>
    <row r="35074" spans="32:32" x14ac:dyDescent="0.2">
      <c r="AF35074" s="679"/>
    </row>
    <row r="35075" spans="32:32" x14ac:dyDescent="0.2">
      <c r="AF35075" s="679"/>
    </row>
    <row r="35076" spans="32:32" x14ac:dyDescent="0.2">
      <c r="AF35076" s="679"/>
    </row>
    <row r="35077" spans="32:32" x14ac:dyDescent="0.2">
      <c r="AF35077" s="679"/>
    </row>
    <row r="35078" spans="32:32" x14ac:dyDescent="0.2">
      <c r="AF35078" s="679"/>
    </row>
    <row r="35079" spans="32:32" x14ac:dyDescent="0.2">
      <c r="AF35079" s="679"/>
    </row>
    <row r="35080" spans="32:32" x14ac:dyDescent="0.2">
      <c r="AF35080" s="679"/>
    </row>
    <row r="35081" spans="32:32" x14ac:dyDescent="0.2">
      <c r="AF35081" s="679"/>
    </row>
    <row r="35082" spans="32:32" x14ac:dyDescent="0.2">
      <c r="AF35082" s="679"/>
    </row>
    <row r="35083" spans="32:32" x14ac:dyDescent="0.2">
      <c r="AF35083" s="679"/>
    </row>
    <row r="35084" spans="32:32" x14ac:dyDescent="0.2">
      <c r="AF35084" s="679"/>
    </row>
    <row r="35085" spans="32:32" x14ac:dyDescent="0.2">
      <c r="AF35085" s="679"/>
    </row>
    <row r="35086" spans="32:32" x14ac:dyDescent="0.2">
      <c r="AF35086" s="679"/>
    </row>
    <row r="35087" spans="32:32" x14ac:dyDescent="0.2">
      <c r="AF35087" s="679"/>
    </row>
    <row r="35088" spans="32:32" x14ac:dyDescent="0.2">
      <c r="AF35088" s="679"/>
    </row>
    <row r="35089" spans="32:32" x14ac:dyDescent="0.2">
      <c r="AF35089" s="679"/>
    </row>
    <row r="35090" spans="32:32" x14ac:dyDescent="0.2">
      <c r="AF35090" s="679"/>
    </row>
    <row r="35091" spans="32:32" x14ac:dyDescent="0.2">
      <c r="AF35091" s="679"/>
    </row>
    <row r="35092" spans="32:32" x14ac:dyDescent="0.2">
      <c r="AF35092" s="679"/>
    </row>
    <row r="35093" spans="32:32" x14ac:dyDescent="0.2">
      <c r="AF35093" s="679"/>
    </row>
    <row r="35094" spans="32:32" x14ac:dyDescent="0.2">
      <c r="AF35094" s="679"/>
    </row>
    <row r="35095" spans="32:32" x14ac:dyDescent="0.2">
      <c r="AF35095" s="679"/>
    </row>
    <row r="35096" spans="32:32" x14ac:dyDescent="0.2">
      <c r="AF35096" s="679"/>
    </row>
    <row r="35097" spans="32:32" x14ac:dyDescent="0.2">
      <c r="AF35097" s="679"/>
    </row>
    <row r="35098" spans="32:32" x14ac:dyDescent="0.2">
      <c r="AF35098" s="679"/>
    </row>
    <row r="35099" spans="32:32" x14ac:dyDescent="0.2">
      <c r="AF35099" s="679"/>
    </row>
    <row r="35100" spans="32:32" x14ac:dyDescent="0.2">
      <c r="AF35100" s="679"/>
    </row>
    <row r="35101" spans="32:32" x14ac:dyDescent="0.2">
      <c r="AF35101" s="679"/>
    </row>
    <row r="35102" spans="32:32" x14ac:dyDescent="0.2">
      <c r="AF35102" s="679"/>
    </row>
    <row r="35103" spans="32:32" x14ac:dyDescent="0.2">
      <c r="AF35103" s="679"/>
    </row>
    <row r="35104" spans="32:32" x14ac:dyDescent="0.2">
      <c r="AF35104" s="679"/>
    </row>
    <row r="35105" spans="32:32" x14ac:dyDescent="0.2">
      <c r="AF35105" s="679"/>
    </row>
    <row r="35106" spans="32:32" x14ac:dyDescent="0.2">
      <c r="AF35106" s="679"/>
    </row>
    <row r="35107" spans="32:32" x14ac:dyDescent="0.2">
      <c r="AF35107" s="679"/>
    </row>
    <row r="35108" spans="32:32" x14ac:dyDescent="0.2">
      <c r="AF35108" s="679"/>
    </row>
    <row r="35109" spans="32:32" x14ac:dyDescent="0.2">
      <c r="AF35109" s="679"/>
    </row>
    <row r="35110" spans="32:32" x14ac:dyDescent="0.2">
      <c r="AF35110" s="679"/>
    </row>
    <row r="35111" spans="32:32" x14ac:dyDescent="0.2">
      <c r="AF35111" s="679"/>
    </row>
    <row r="35112" spans="32:32" x14ac:dyDescent="0.2">
      <c r="AF35112" s="679"/>
    </row>
    <row r="35113" spans="32:32" x14ac:dyDescent="0.2">
      <c r="AF35113" s="679"/>
    </row>
    <row r="35114" spans="32:32" x14ac:dyDescent="0.2">
      <c r="AF35114" s="679"/>
    </row>
    <row r="35115" spans="32:32" x14ac:dyDescent="0.2">
      <c r="AF35115" s="679"/>
    </row>
    <row r="35116" spans="32:32" x14ac:dyDescent="0.2">
      <c r="AF35116" s="679"/>
    </row>
    <row r="35117" spans="32:32" x14ac:dyDescent="0.2">
      <c r="AF35117" s="679"/>
    </row>
    <row r="35118" spans="32:32" x14ac:dyDescent="0.2">
      <c r="AF35118" s="679"/>
    </row>
    <row r="35119" spans="32:32" x14ac:dyDescent="0.2">
      <c r="AF35119" s="679"/>
    </row>
    <row r="35120" spans="32:32" x14ac:dyDescent="0.2">
      <c r="AF35120" s="679"/>
    </row>
    <row r="35121" spans="32:32" x14ac:dyDescent="0.2">
      <c r="AF35121" s="679"/>
    </row>
    <row r="35122" spans="32:32" x14ac:dyDescent="0.2">
      <c r="AF35122" s="679"/>
    </row>
    <row r="35123" spans="32:32" x14ac:dyDescent="0.2">
      <c r="AF35123" s="679"/>
    </row>
    <row r="35124" spans="32:32" x14ac:dyDescent="0.2">
      <c r="AF35124" s="679"/>
    </row>
    <row r="35125" spans="32:32" x14ac:dyDescent="0.2">
      <c r="AF35125" s="679"/>
    </row>
    <row r="35126" spans="32:32" x14ac:dyDescent="0.2">
      <c r="AF35126" s="679"/>
    </row>
    <row r="35127" spans="32:32" x14ac:dyDescent="0.2">
      <c r="AF35127" s="679"/>
    </row>
    <row r="35128" spans="32:32" x14ac:dyDescent="0.2">
      <c r="AF35128" s="679"/>
    </row>
    <row r="35129" spans="32:32" x14ac:dyDescent="0.2">
      <c r="AF35129" s="679"/>
    </row>
    <row r="35130" spans="32:32" x14ac:dyDescent="0.2">
      <c r="AF35130" s="679"/>
    </row>
    <row r="35131" spans="32:32" x14ac:dyDescent="0.2">
      <c r="AF35131" s="679"/>
    </row>
    <row r="35132" spans="32:32" x14ac:dyDescent="0.2">
      <c r="AF35132" s="679"/>
    </row>
    <row r="35133" spans="32:32" x14ac:dyDescent="0.2">
      <c r="AF35133" s="679"/>
    </row>
    <row r="35134" spans="32:32" x14ac:dyDescent="0.2">
      <c r="AF35134" s="679"/>
    </row>
    <row r="35135" spans="32:32" x14ac:dyDescent="0.2">
      <c r="AF35135" s="679"/>
    </row>
    <row r="35136" spans="32:32" x14ac:dyDescent="0.2">
      <c r="AF35136" s="679"/>
    </row>
    <row r="35137" spans="32:32" x14ac:dyDescent="0.2">
      <c r="AF35137" s="679"/>
    </row>
    <row r="35138" spans="32:32" x14ac:dyDescent="0.2">
      <c r="AF35138" s="679"/>
    </row>
    <row r="35139" spans="32:32" x14ac:dyDescent="0.2">
      <c r="AF35139" s="679"/>
    </row>
    <row r="35140" spans="32:32" x14ac:dyDescent="0.2">
      <c r="AF35140" s="679"/>
    </row>
    <row r="35141" spans="32:32" x14ac:dyDescent="0.2">
      <c r="AF35141" s="679"/>
    </row>
    <row r="35142" spans="32:32" x14ac:dyDescent="0.2">
      <c r="AF35142" s="679"/>
    </row>
    <row r="35143" spans="32:32" x14ac:dyDescent="0.2">
      <c r="AF35143" s="679"/>
    </row>
    <row r="35144" spans="32:32" x14ac:dyDescent="0.2">
      <c r="AF35144" s="679"/>
    </row>
    <row r="35145" spans="32:32" x14ac:dyDescent="0.2">
      <c r="AF35145" s="679"/>
    </row>
    <row r="35146" spans="32:32" x14ac:dyDescent="0.2">
      <c r="AF35146" s="679"/>
    </row>
    <row r="35147" spans="32:32" x14ac:dyDescent="0.2">
      <c r="AF35147" s="679"/>
    </row>
    <row r="35148" spans="32:32" x14ac:dyDescent="0.2">
      <c r="AF35148" s="679"/>
    </row>
    <row r="35149" spans="32:32" x14ac:dyDescent="0.2">
      <c r="AF35149" s="679"/>
    </row>
    <row r="35150" spans="32:32" x14ac:dyDescent="0.2">
      <c r="AF35150" s="679"/>
    </row>
    <row r="35151" spans="32:32" x14ac:dyDescent="0.2">
      <c r="AF35151" s="679"/>
    </row>
    <row r="35152" spans="32:32" x14ac:dyDescent="0.2">
      <c r="AF35152" s="679"/>
    </row>
    <row r="35153" spans="32:32" x14ac:dyDescent="0.2">
      <c r="AF35153" s="679"/>
    </row>
    <row r="35154" spans="32:32" x14ac:dyDescent="0.2">
      <c r="AF35154" s="679"/>
    </row>
    <row r="35155" spans="32:32" x14ac:dyDescent="0.2">
      <c r="AF35155" s="679"/>
    </row>
    <row r="35156" spans="32:32" x14ac:dyDescent="0.2">
      <c r="AF35156" s="679"/>
    </row>
    <row r="35157" spans="32:32" x14ac:dyDescent="0.2">
      <c r="AF35157" s="679"/>
    </row>
    <row r="35158" spans="32:32" x14ac:dyDescent="0.2">
      <c r="AF35158" s="679"/>
    </row>
    <row r="35159" spans="32:32" x14ac:dyDescent="0.2">
      <c r="AF35159" s="679"/>
    </row>
    <row r="35160" spans="32:32" x14ac:dyDescent="0.2">
      <c r="AF35160" s="679"/>
    </row>
    <row r="35161" spans="32:32" x14ac:dyDescent="0.2">
      <c r="AF35161" s="679"/>
    </row>
    <row r="35162" spans="32:32" x14ac:dyDescent="0.2">
      <c r="AF35162" s="679"/>
    </row>
    <row r="35163" spans="32:32" x14ac:dyDescent="0.2">
      <c r="AF35163" s="679"/>
    </row>
    <row r="35164" spans="32:32" x14ac:dyDescent="0.2">
      <c r="AF35164" s="679"/>
    </row>
    <row r="35165" spans="32:32" x14ac:dyDescent="0.2">
      <c r="AF35165" s="679"/>
    </row>
    <row r="35166" spans="32:32" x14ac:dyDescent="0.2">
      <c r="AF35166" s="679"/>
    </row>
    <row r="35167" spans="32:32" x14ac:dyDescent="0.2">
      <c r="AF35167" s="679"/>
    </row>
    <row r="35168" spans="32:32" x14ac:dyDescent="0.2">
      <c r="AF35168" s="679"/>
    </row>
    <row r="35169" spans="32:32" x14ac:dyDescent="0.2">
      <c r="AF35169" s="679"/>
    </row>
    <row r="35170" spans="32:32" x14ac:dyDescent="0.2">
      <c r="AF35170" s="679"/>
    </row>
    <row r="35171" spans="32:32" x14ac:dyDescent="0.2">
      <c r="AF35171" s="679"/>
    </row>
    <row r="35172" spans="32:32" x14ac:dyDescent="0.2">
      <c r="AF35172" s="679"/>
    </row>
    <row r="35173" spans="32:32" x14ac:dyDescent="0.2">
      <c r="AF35173" s="679"/>
    </row>
    <row r="35174" spans="32:32" x14ac:dyDescent="0.2">
      <c r="AF35174" s="679"/>
    </row>
    <row r="35175" spans="32:32" x14ac:dyDescent="0.2">
      <c r="AF35175" s="679"/>
    </row>
    <row r="35176" spans="32:32" x14ac:dyDescent="0.2">
      <c r="AF35176" s="679"/>
    </row>
    <row r="35177" spans="32:32" x14ac:dyDescent="0.2">
      <c r="AF35177" s="679"/>
    </row>
    <row r="35178" spans="32:32" x14ac:dyDescent="0.2">
      <c r="AF35178" s="679"/>
    </row>
    <row r="35179" spans="32:32" x14ac:dyDescent="0.2">
      <c r="AF35179" s="679"/>
    </row>
    <row r="35180" spans="32:32" x14ac:dyDescent="0.2">
      <c r="AF35180" s="679"/>
    </row>
    <row r="35181" spans="32:32" x14ac:dyDescent="0.2">
      <c r="AF35181" s="679"/>
    </row>
    <row r="35182" spans="32:32" x14ac:dyDescent="0.2">
      <c r="AF35182" s="679"/>
    </row>
    <row r="35183" spans="32:32" x14ac:dyDescent="0.2">
      <c r="AF35183" s="679"/>
    </row>
    <row r="35184" spans="32:32" x14ac:dyDescent="0.2">
      <c r="AF35184" s="679"/>
    </row>
    <row r="35185" spans="32:32" x14ac:dyDescent="0.2">
      <c r="AF35185" s="679"/>
    </row>
    <row r="35186" spans="32:32" x14ac:dyDescent="0.2">
      <c r="AF35186" s="679"/>
    </row>
    <row r="35187" spans="32:32" x14ac:dyDescent="0.2">
      <c r="AF35187" s="679"/>
    </row>
    <row r="35188" spans="32:32" x14ac:dyDescent="0.2">
      <c r="AF35188" s="679"/>
    </row>
    <row r="35189" spans="32:32" x14ac:dyDescent="0.2">
      <c r="AF35189" s="679"/>
    </row>
    <row r="35190" spans="32:32" x14ac:dyDescent="0.2">
      <c r="AF35190" s="679"/>
    </row>
    <row r="35191" spans="32:32" x14ac:dyDescent="0.2">
      <c r="AF35191" s="679"/>
    </row>
    <row r="35192" spans="32:32" x14ac:dyDescent="0.2">
      <c r="AF35192" s="679"/>
    </row>
    <row r="35193" spans="32:32" x14ac:dyDescent="0.2">
      <c r="AF35193" s="679"/>
    </row>
    <row r="35194" spans="32:32" x14ac:dyDescent="0.2">
      <c r="AF35194" s="679"/>
    </row>
    <row r="35195" spans="32:32" x14ac:dyDescent="0.2">
      <c r="AF35195" s="679"/>
    </row>
    <row r="35196" spans="32:32" x14ac:dyDescent="0.2">
      <c r="AF35196" s="679"/>
    </row>
    <row r="35197" spans="32:32" x14ac:dyDescent="0.2">
      <c r="AF35197" s="679"/>
    </row>
    <row r="35198" spans="32:32" x14ac:dyDescent="0.2">
      <c r="AF35198" s="679"/>
    </row>
    <row r="35199" spans="32:32" x14ac:dyDescent="0.2">
      <c r="AF35199" s="679"/>
    </row>
    <row r="35200" spans="32:32" x14ac:dyDescent="0.2">
      <c r="AF35200" s="679"/>
    </row>
    <row r="35201" spans="32:32" x14ac:dyDescent="0.2">
      <c r="AF35201" s="679"/>
    </row>
    <row r="35202" spans="32:32" x14ac:dyDescent="0.2">
      <c r="AF35202" s="679"/>
    </row>
    <row r="35203" spans="32:32" x14ac:dyDescent="0.2">
      <c r="AF35203" s="679"/>
    </row>
    <row r="35204" spans="32:32" x14ac:dyDescent="0.2">
      <c r="AF35204" s="679"/>
    </row>
    <row r="35205" spans="32:32" x14ac:dyDescent="0.2">
      <c r="AF35205" s="679"/>
    </row>
    <row r="35206" spans="32:32" x14ac:dyDescent="0.2">
      <c r="AF35206" s="679"/>
    </row>
    <row r="35207" spans="32:32" x14ac:dyDescent="0.2">
      <c r="AF35207" s="679"/>
    </row>
    <row r="35208" spans="32:32" x14ac:dyDescent="0.2">
      <c r="AF35208" s="679"/>
    </row>
    <row r="35209" spans="32:32" x14ac:dyDescent="0.2">
      <c r="AF35209" s="679"/>
    </row>
    <row r="35210" spans="32:32" x14ac:dyDescent="0.2">
      <c r="AF35210" s="679"/>
    </row>
    <row r="35211" spans="32:32" x14ac:dyDescent="0.2">
      <c r="AF35211" s="679"/>
    </row>
    <row r="35212" spans="32:32" x14ac:dyDescent="0.2">
      <c r="AF35212" s="679"/>
    </row>
    <row r="35213" spans="32:32" x14ac:dyDescent="0.2">
      <c r="AF35213" s="679"/>
    </row>
    <row r="35214" spans="32:32" x14ac:dyDescent="0.2">
      <c r="AF35214" s="679"/>
    </row>
    <row r="35215" spans="32:32" x14ac:dyDescent="0.2">
      <c r="AF35215" s="679"/>
    </row>
    <row r="35216" spans="32:32" x14ac:dyDescent="0.2">
      <c r="AF35216" s="679"/>
    </row>
    <row r="35217" spans="32:32" x14ac:dyDescent="0.2">
      <c r="AF35217" s="679"/>
    </row>
    <row r="35218" spans="32:32" x14ac:dyDescent="0.2">
      <c r="AF35218" s="679"/>
    </row>
    <row r="35219" spans="32:32" x14ac:dyDescent="0.2">
      <c r="AF35219" s="679"/>
    </row>
    <row r="35220" spans="32:32" x14ac:dyDescent="0.2">
      <c r="AF35220" s="679"/>
    </row>
    <row r="35221" spans="32:32" x14ac:dyDescent="0.2">
      <c r="AF35221" s="679"/>
    </row>
    <row r="35222" spans="32:32" x14ac:dyDescent="0.2">
      <c r="AF35222" s="679"/>
    </row>
    <row r="35223" spans="32:32" x14ac:dyDescent="0.2">
      <c r="AF35223" s="679"/>
    </row>
    <row r="35224" spans="32:32" x14ac:dyDescent="0.2">
      <c r="AF35224" s="679"/>
    </row>
    <row r="35225" spans="32:32" x14ac:dyDescent="0.2">
      <c r="AF35225" s="679"/>
    </row>
    <row r="35226" spans="32:32" x14ac:dyDescent="0.2">
      <c r="AF35226" s="679"/>
    </row>
    <row r="35227" spans="32:32" x14ac:dyDescent="0.2">
      <c r="AF35227" s="679"/>
    </row>
    <row r="35228" spans="32:32" x14ac:dyDescent="0.2">
      <c r="AF35228" s="679"/>
    </row>
    <row r="35229" spans="32:32" x14ac:dyDescent="0.2">
      <c r="AF35229" s="679"/>
    </row>
    <row r="35230" spans="32:32" x14ac:dyDescent="0.2">
      <c r="AF35230" s="679"/>
    </row>
    <row r="35231" spans="32:32" x14ac:dyDescent="0.2">
      <c r="AF35231" s="679"/>
    </row>
    <row r="35232" spans="32:32" x14ac:dyDescent="0.2">
      <c r="AF35232" s="679"/>
    </row>
    <row r="35233" spans="32:32" x14ac:dyDescent="0.2">
      <c r="AF35233" s="679"/>
    </row>
    <row r="35234" spans="32:32" x14ac:dyDescent="0.2">
      <c r="AF35234" s="679"/>
    </row>
    <row r="35235" spans="32:32" x14ac:dyDescent="0.2">
      <c r="AF35235" s="679"/>
    </row>
    <row r="35236" spans="32:32" x14ac:dyDescent="0.2">
      <c r="AF35236" s="679"/>
    </row>
    <row r="35237" spans="32:32" x14ac:dyDescent="0.2">
      <c r="AF35237" s="679"/>
    </row>
    <row r="35238" spans="32:32" x14ac:dyDescent="0.2">
      <c r="AF35238" s="679"/>
    </row>
    <row r="35239" spans="32:32" x14ac:dyDescent="0.2">
      <c r="AF35239" s="679"/>
    </row>
    <row r="35240" spans="32:32" x14ac:dyDescent="0.2">
      <c r="AF35240" s="679"/>
    </row>
    <row r="35241" spans="32:32" x14ac:dyDescent="0.2">
      <c r="AF35241" s="679"/>
    </row>
    <row r="35242" spans="32:32" x14ac:dyDescent="0.2">
      <c r="AF35242" s="679"/>
    </row>
    <row r="35243" spans="32:32" x14ac:dyDescent="0.2">
      <c r="AF35243" s="679"/>
    </row>
    <row r="35244" spans="32:32" x14ac:dyDescent="0.2">
      <c r="AF35244" s="679"/>
    </row>
    <row r="35245" spans="32:32" x14ac:dyDescent="0.2">
      <c r="AF35245" s="679"/>
    </row>
    <row r="35246" spans="32:32" x14ac:dyDescent="0.2">
      <c r="AF35246" s="679"/>
    </row>
    <row r="35247" spans="32:32" x14ac:dyDescent="0.2">
      <c r="AF35247" s="679"/>
    </row>
    <row r="35248" spans="32:32" x14ac:dyDescent="0.2">
      <c r="AF35248" s="679"/>
    </row>
    <row r="35249" spans="32:32" x14ac:dyDescent="0.2">
      <c r="AF35249" s="679"/>
    </row>
    <row r="35250" spans="32:32" x14ac:dyDescent="0.2">
      <c r="AF35250" s="679"/>
    </row>
    <row r="35251" spans="32:32" x14ac:dyDescent="0.2">
      <c r="AF35251" s="679"/>
    </row>
    <row r="35252" spans="32:32" x14ac:dyDescent="0.2">
      <c r="AF35252" s="679"/>
    </row>
    <row r="35253" spans="32:32" x14ac:dyDescent="0.2">
      <c r="AF35253" s="679"/>
    </row>
    <row r="35254" spans="32:32" x14ac:dyDescent="0.2">
      <c r="AF35254" s="679"/>
    </row>
    <row r="35255" spans="32:32" x14ac:dyDescent="0.2">
      <c r="AF35255" s="679"/>
    </row>
    <row r="35256" spans="32:32" x14ac:dyDescent="0.2">
      <c r="AF35256" s="679"/>
    </row>
    <row r="35257" spans="32:32" x14ac:dyDescent="0.2">
      <c r="AF35257" s="679"/>
    </row>
    <row r="35258" spans="32:32" x14ac:dyDescent="0.2">
      <c r="AF35258" s="679"/>
    </row>
    <row r="35259" spans="32:32" x14ac:dyDescent="0.2">
      <c r="AF35259" s="679"/>
    </row>
    <row r="35260" spans="32:32" x14ac:dyDescent="0.2">
      <c r="AF35260" s="679"/>
    </row>
    <row r="35261" spans="32:32" x14ac:dyDescent="0.2">
      <c r="AF35261" s="679"/>
    </row>
    <row r="35262" spans="32:32" x14ac:dyDescent="0.2">
      <c r="AF35262" s="679"/>
    </row>
    <row r="35263" spans="32:32" x14ac:dyDescent="0.2">
      <c r="AF35263" s="679"/>
    </row>
    <row r="35264" spans="32:32" x14ac:dyDescent="0.2">
      <c r="AF35264" s="679"/>
    </row>
    <row r="35265" spans="32:32" x14ac:dyDescent="0.2">
      <c r="AF35265" s="679"/>
    </row>
    <row r="35266" spans="32:32" x14ac:dyDescent="0.2">
      <c r="AF35266" s="679"/>
    </row>
    <row r="35267" spans="32:32" x14ac:dyDescent="0.2">
      <c r="AF35267" s="679"/>
    </row>
    <row r="35268" spans="32:32" x14ac:dyDescent="0.2">
      <c r="AF35268" s="679"/>
    </row>
    <row r="35269" spans="32:32" x14ac:dyDescent="0.2">
      <c r="AF35269" s="679"/>
    </row>
    <row r="35270" spans="32:32" x14ac:dyDescent="0.2">
      <c r="AF35270" s="679"/>
    </row>
    <row r="35271" spans="32:32" x14ac:dyDescent="0.2">
      <c r="AF35271" s="679"/>
    </row>
    <row r="35272" spans="32:32" x14ac:dyDescent="0.2">
      <c r="AF35272" s="679"/>
    </row>
    <row r="35273" spans="32:32" x14ac:dyDescent="0.2">
      <c r="AF35273" s="679"/>
    </row>
    <row r="35274" spans="32:32" x14ac:dyDescent="0.2">
      <c r="AF35274" s="679"/>
    </row>
    <row r="35275" spans="32:32" x14ac:dyDescent="0.2">
      <c r="AF35275" s="679"/>
    </row>
    <row r="35276" spans="32:32" x14ac:dyDescent="0.2">
      <c r="AF35276" s="679"/>
    </row>
    <row r="35277" spans="32:32" x14ac:dyDescent="0.2">
      <c r="AF35277" s="679"/>
    </row>
    <row r="35278" spans="32:32" x14ac:dyDescent="0.2">
      <c r="AF35278" s="679"/>
    </row>
    <row r="35279" spans="32:32" x14ac:dyDescent="0.2">
      <c r="AF35279" s="679"/>
    </row>
    <row r="35280" spans="32:32" x14ac:dyDescent="0.2">
      <c r="AF35280" s="679"/>
    </row>
    <row r="35281" spans="32:32" x14ac:dyDescent="0.2">
      <c r="AF35281" s="679"/>
    </row>
    <row r="35282" spans="32:32" x14ac:dyDescent="0.2">
      <c r="AF35282" s="679"/>
    </row>
    <row r="35283" spans="32:32" x14ac:dyDescent="0.2">
      <c r="AF35283" s="679"/>
    </row>
    <row r="35284" spans="32:32" x14ac:dyDescent="0.2">
      <c r="AF35284" s="679"/>
    </row>
    <row r="35285" spans="32:32" x14ac:dyDescent="0.2">
      <c r="AF35285" s="679"/>
    </row>
    <row r="35286" spans="32:32" x14ac:dyDescent="0.2">
      <c r="AF35286" s="679"/>
    </row>
    <row r="35287" spans="32:32" x14ac:dyDescent="0.2">
      <c r="AF35287" s="679"/>
    </row>
    <row r="35288" spans="32:32" x14ac:dyDescent="0.2">
      <c r="AF35288" s="679"/>
    </row>
    <row r="35289" spans="32:32" x14ac:dyDescent="0.2">
      <c r="AF35289" s="679"/>
    </row>
    <row r="35290" spans="32:32" x14ac:dyDescent="0.2">
      <c r="AF35290" s="679"/>
    </row>
    <row r="35291" spans="32:32" x14ac:dyDescent="0.2">
      <c r="AF35291" s="679"/>
    </row>
    <row r="35292" spans="32:32" x14ac:dyDescent="0.2">
      <c r="AF35292" s="679"/>
    </row>
    <row r="35293" spans="32:32" x14ac:dyDescent="0.2">
      <c r="AF35293" s="679"/>
    </row>
    <row r="35294" spans="32:32" x14ac:dyDescent="0.2">
      <c r="AF35294" s="679"/>
    </row>
    <row r="35295" spans="32:32" x14ac:dyDescent="0.2">
      <c r="AF35295" s="679"/>
    </row>
    <row r="35296" spans="32:32" x14ac:dyDescent="0.2">
      <c r="AF35296" s="679"/>
    </row>
    <row r="35297" spans="32:32" x14ac:dyDescent="0.2">
      <c r="AF35297" s="679"/>
    </row>
    <row r="35298" spans="32:32" x14ac:dyDescent="0.2">
      <c r="AF35298" s="679"/>
    </row>
    <row r="35299" spans="32:32" x14ac:dyDescent="0.2">
      <c r="AF35299" s="679"/>
    </row>
    <row r="35300" spans="32:32" x14ac:dyDescent="0.2">
      <c r="AF35300" s="679"/>
    </row>
    <row r="35301" spans="32:32" x14ac:dyDescent="0.2">
      <c r="AF35301" s="679"/>
    </row>
    <row r="35302" spans="32:32" x14ac:dyDescent="0.2">
      <c r="AF35302" s="679"/>
    </row>
    <row r="35303" spans="32:32" x14ac:dyDescent="0.2">
      <c r="AF35303" s="679"/>
    </row>
    <row r="35304" spans="32:32" x14ac:dyDescent="0.2">
      <c r="AF35304" s="679"/>
    </row>
    <row r="35305" spans="32:32" x14ac:dyDescent="0.2">
      <c r="AF35305" s="679"/>
    </row>
    <row r="35306" spans="32:32" x14ac:dyDescent="0.2">
      <c r="AF35306" s="679"/>
    </row>
    <row r="35307" spans="32:32" x14ac:dyDescent="0.2">
      <c r="AF35307" s="679"/>
    </row>
    <row r="35308" spans="32:32" x14ac:dyDescent="0.2">
      <c r="AF35308" s="679"/>
    </row>
    <row r="35309" spans="32:32" x14ac:dyDescent="0.2">
      <c r="AF35309" s="679"/>
    </row>
    <row r="35310" spans="32:32" x14ac:dyDescent="0.2">
      <c r="AF35310" s="679"/>
    </row>
    <row r="35311" spans="32:32" x14ac:dyDescent="0.2">
      <c r="AF35311" s="679"/>
    </row>
    <row r="35312" spans="32:32" x14ac:dyDescent="0.2">
      <c r="AF35312" s="679"/>
    </row>
    <row r="35313" spans="32:32" x14ac:dyDescent="0.2">
      <c r="AF35313" s="679"/>
    </row>
    <row r="35314" spans="32:32" x14ac:dyDescent="0.2">
      <c r="AF35314" s="679"/>
    </row>
    <row r="35315" spans="32:32" x14ac:dyDescent="0.2">
      <c r="AF35315" s="679"/>
    </row>
    <row r="35316" spans="32:32" x14ac:dyDescent="0.2">
      <c r="AF35316" s="679"/>
    </row>
    <row r="35317" spans="32:32" x14ac:dyDescent="0.2">
      <c r="AF35317" s="679"/>
    </row>
    <row r="35318" spans="32:32" x14ac:dyDescent="0.2">
      <c r="AF35318" s="679"/>
    </row>
    <row r="35319" spans="32:32" x14ac:dyDescent="0.2">
      <c r="AF35319" s="679"/>
    </row>
    <row r="35320" spans="32:32" x14ac:dyDescent="0.2">
      <c r="AF35320" s="679"/>
    </row>
    <row r="35321" spans="32:32" x14ac:dyDescent="0.2">
      <c r="AF35321" s="679"/>
    </row>
    <row r="35322" spans="32:32" x14ac:dyDescent="0.2">
      <c r="AF35322" s="679"/>
    </row>
    <row r="35323" spans="32:32" x14ac:dyDescent="0.2">
      <c r="AF35323" s="679"/>
    </row>
    <row r="35324" spans="32:32" x14ac:dyDescent="0.2">
      <c r="AF35324" s="679"/>
    </row>
    <row r="35325" spans="32:32" x14ac:dyDescent="0.2">
      <c r="AF35325" s="679"/>
    </row>
    <row r="35326" spans="32:32" x14ac:dyDescent="0.2">
      <c r="AF35326" s="679"/>
    </row>
    <row r="35327" spans="32:32" x14ac:dyDescent="0.2">
      <c r="AF35327" s="679"/>
    </row>
    <row r="35328" spans="32:32" x14ac:dyDescent="0.2">
      <c r="AF35328" s="679"/>
    </row>
    <row r="35329" spans="32:32" x14ac:dyDescent="0.2">
      <c r="AF35329" s="679"/>
    </row>
    <row r="35330" spans="32:32" x14ac:dyDescent="0.2">
      <c r="AF35330" s="679"/>
    </row>
    <row r="35331" spans="32:32" x14ac:dyDescent="0.2">
      <c r="AF35331" s="679"/>
    </row>
    <row r="35332" spans="32:32" x14ac:dyDescent="0.2">
      <c r="AF35332" s="679"/>
    </row>
    <row r="35333" spans="32:32" x14ac:dyDescent="0.2">
      <c r="AF35333" s="679"/>
    </row>
    <row r="35334" spans="32:32" x14ac:dyDescent="0.2">
      <c r="AF35334" s="679"/>
    </row>
    <row r="35335" spans="32:32" x14ac:dyDescent="0.2">
      <c r="AF35335" s="679"/>
    </row>
    <row r="35336" spans="32:32" x14ac:dyDescent="0.2">
      <c r="AF35336" s="679"/>
    </row>
    <row r="35337" spans="32:32" x14ac:dyDescent="0.2">
      <c r="AF35337" s="679"/>
    </row>
    <row r="35338" spans="32:32" x14ac:dyDescent="0.2">
      <c r="AF35338" s="679"/>
    </row>
    <row r="35339" spans="32:32" x14ac:dyDescent="0.2">
      <c r="AF35339" s="679"/>
    </row>
    <row r="35340" spans="32:32" x14ac:dyDescent="0.2">
      <c r="AF35340" s="679"/>
    </row>
    <row r="35341" spans="32:32" x14ac:dyDescent="0.2">
      <c r="AF35341" s="679"/>
    </row>
    <row r="35342" spans="32:32" x14ac:dyDescent="0.2">
      <c r="AF35342" s="679"/>
    </row>
    <row r="35343" spans="32:32" x14ac:dyDescent="0.2">
      <c r="AF35343" s="679"/>
    </row>
    <row r="35344" spans="32:32" x14ac:dyDescent="0.2">
      <c r="AF35344" s="679"/>
    </row>
    <row r="35345" spans="32:32" x14ac:dyDescent="0.2">
      <c r="AF35345" s="679"/>
    </row>
    <row r="35346" spans="32:32" x14ac:dyDescent="0.2">
      <c r="AF35346" s="679"/>
    </row>
    <row r="35347" spans="32:32" x14ac:dyDescent="0.2">
      <c r="AF35347" s="679"/>
    </row>
    <row r="35348" spans="32:32" x14ac:dyDescent="0.2">
      <c r="AF35348" s="679"/>
    </row>
    <row r="35349" spans="32:32" x14ac:dyDescent="0.2">
      <c r="AF35349" s="679"/>
    </row>
    <row r="35350" spans="32:32" x14ac:dyDescent="0.2">
      <c r="AF35350" s="679"/>
    </row>
    <row r="35351" spans="32:32" x14ac:dyDescent="0.2">
      <c r="AF35351" s="679"/>
    </row>
    <row r="35352" spans="32:32" x14ac:dyDescent="0.2">
      <c r="AF35352" s="679"/>
    </row>
    <row r="35353" spans="32:32" x14ac:dyDescent="0.2">
      <c r="AF35353" s="679"/>
    </row>
    <row r="35354" spans="32:32" x14ac:dyDescent="0.2">
      <c r="AF35354" s="679"/>
    </row>
    <row r="35355" spans="32:32" x14ac:dyDescent="0.2">
      <c r="AF35355" s="679"/>
    </row>
    <row r="35356" spans="32:32" x14ac:dyDescent="0.2">
      <c r="AF35356" s="679"/>
    </row>
    <row r="35357" spans="32:32" x14ac:dyDescent="0.2">
      <c r="AF35357" s="679"/>
    </row>
    <row r="35358" spans="32:32" x14ac:dyDescent="0.2">
      <c r="AF35358" s="679"/>
    </row>
    <row r="35359" spans="32:32" x14ac:dyDescent="0.2">
      <c r="AF35359" s="679"/>
    </row>
    <row r="35360" spans="32:32" x14ac:dyDescent="0.2">
      <c r="AF35360" s="679"/>
    </row>
    <row r="35361" spans="32:32" x14ac:dyDescent="0.2">
      <c r="AF35361" s="679"/>
    </row>
    <row r="35362" spans="32:32" x14ac:dyDescent="0.2">
      <c r="AF35362" s="679"/>
    </row>
    <row r="35363" spans="32:32" x14ac:dyDescent="0.2">
      <c r="AF35363" s="679"/>
    </row>
    <row r="35364" spans="32:32" x14ac:dyDescent="0.2">
      <c r="AF35364" s="679"/>
    </row>
    <row r="35365" spans="32:32" x14ac:dyDescent="0.2">
      <c r="AF35365" s="679"/>
    </row>
    <row r="35366" spans="32:32" x14ac:dyDescent="0.2">
      <c r="AF35366" s="679"/>
    </row>
    <row r="35367" spans="32:32" x14ac:dyDescent="0.2">
      <c r="AF35367" s="679"/>
    </row>
    <row r="35368" spans="32:32" x14ac:dyDescent="0.2">
      <c r="AF35368" s="679"/>
    </row>
    <row r="35369" spans="32:32" x14ac:dyDescent="0.2">
      <c r="AF35369" s="679"/>
    </row>
    <row r="35370" spans="32:32" x14ac:dyDescent="0.2">
      <c r="AF35370" s="679"/>
    </row>
    <row r="35371" spans="32:32" x14ac:dyDescent="0.2">
      <c r="AF35371" s="679"/>
    </row>
    <row r="35372" spans="32:32" x14ac:dyDescent="0.2">
      <c r="AF35372" s="679"/>
    </row>
    <row r="35373" spans="32:32" x14ac:dyDescent="0.2">
      <c r="AF35373" s="679"/>
    </row>
    <row r="35374" spans="32:32" x14ac:dyDescent="0.2">
      <c r="AF35374" s="679"/>
    </row>
    <row r="35375" spans="32:32" x14ac:dyDescent="0.2">
      <c r="AF35375" s="679"/>
    </row>
    <row r="35376" spans="32:32" x14ac:dyDescent="0.2">
      <c r="AF35376" s="679"/>
    </row>
    <row r="35377" spans="32:32" x14ac:dyDescent="0.2">
      <c r="AF35377" s="679"/>
    </row>
    <row r="35378" spans="32:32" x14ac:dyDescent="0.2">
      <c r="AF35378" s="679"/>
    </row>
    <row r="35379" spans="32:32" x14ac:dyDescent="0.2">
      <c r="AF35379" s="679"/>
    </row>
    <row r="35380" spans="32:32" x14ac:dyDescent="0.2">
      <c r="AF35380" s="679"/>
    </row>
    <row r="35381" spans="32:32" x14ac:dyDescent="0.2">
      <c r="AF35381" s="679"/>
    </row>
    <row r="35382" spans="32:32" x14ac:dyDescent="0.2">
      <c r="AF35382" s="679"/>
    </row>
    <row r="35383" spans="32:32" x14ac:dyDescent="0.2">
      <c r="AF35383" s="679"/>
    </row>
    <row r="35384" spans="32:32" x14ac:dyDescent="0.2">
      <c r="AF35384" s="679"/>
    </row>
    <row r="35385" spans="32:32" x14ac:dyDescent="0.2">
      <c r="AF35385" s="679"/>
    </row>
    <row r="35386" spans="32:32" x14ac:dyDescent="0.2">
      <c r="AF35386" s="679"/>
    </row>
    <row r="35387" spans="32:32" x14ac:dyDescent="0.2">
      <c r="AF35387" s="679"/>
    </row>
    <row r="35388" spans="32:32" x14ac:dyDescent="0.2">
      <c r="AF35388" s="679"/>
    </row>
    <row r="35389" spans="32:32" x14ac:dyDescent="0.2">
      <c r="AF35389" s="679"/>
    </row>
    <row r="35390" spans="32:32" x14ac:dyDescent="0.2">
      <c r="AF35390" s="679"/>
    </row>
    <row r="35391" spans="32:32" x14ac:dyDescent="0.2">
      <c r="AF35391" s="679"/>
    </row>
    <row r="35392" spans="32:32" x14ac:dyDescent="0.2">
      <c r="AF35392" s="679"/>
    </row>
    <row r="35393" spans="32:32" x14ac:dyDescent="0.2">
      <c r="AF35393" s="679"/>
    </row>
    <row r="35394" spans="32:32" x14ac:dyDescent="0.2">
      <c r="AF35394" s="679"/>
    </row>
    <row r="35395" spans="32:32" x14ac:dyDescent="0.2">
      <c r="AF35395" s="679"/>
    </row>
    <row r="35396" spans="32:32" x14ac:dyDescent="0.2">
      <c r="AF35396" s="679"/>
    </row>
    <row r="35397" spans="32:32" x14ac:dyDescent="0.2">
      <c r="AF35397" s="679"/>
    </row>
    <row r="35398" spans="32:32" x14ac:dyDescent="0.2">
      <c r="AF35398" s="679"/>
    </row>
    <row r="35399" spans="32:32" x14ac:dyDescent="0.2">
      <c r="AF35399" s="679"/>
    </row>
    <row r="35400" spans="32:32" x14ac:dyDescent="0.2">
      <c r="AF35400" s="679"/>
    </row>
    <row r="35401" spans="32:32" x14ac:dyDescent="0.2">
      <c r="AF35401" s="679"/>
    </row>
    <row r="35402" spans="32:32" x14ac:dyDescent="0.2">
      <c r="AF35402" s="679"/>
    </row>
    <row r="35403" spans="32:32" x14ac:dyDescent="0.2">
      <c r="AF35403" s="679"/>
    </row>
    <row r="35404" spans="32:32" x14ac:dyDescent="0.2">
      <c r="AF35404" s="679"/>
    </row>
    <row r="35405" spans="32:32" x14ac:dyDescent="0.2">
      <c r="AF35405" s="679"/>
    </row>
    <row r="35406" spans="32:32" x14ac:dyDescent="0.2">
      <c r="AF35406" s="679"/>
    </row>
    <row r="35407" spans="32:32" x14ac:dyDescent="0.2">
      <c r="AF35407" s="679"/>
    </row>
    <row r="35408" spans="32:32" x14ac:dyDescent="0.2">
      <c r="AF35408" s="679"/>
    </row>
    <row r="35409" spans="32:32" x14ac:dyDescent="0.2">
      <c r="AF35409" s="679"/>
    </row>
    <row r="35410" spans="32:32" x14ac:dyDescent="0.2">
      <c r="AF35410" s="679"/>
    </row>
    <row r="35411" spans="32:32" x14ac:dyDescent="0.2">
      <c r="AF35411" s="679"/>
    </row>
    <row r="35412" spans="32:32" x14ac:dyDescent="0.2">
      <c r="AF35412" s="679"/>
    </row>
    <row r="35413" spans="32:32" x14ac:dyDescent="0.2">
      <c r="AF35413" s="679"/>
    </row>
    <row r="35414" spans="32:32" x14ac:dyDescent="0.2">
      <c r="AF35414" s="679"/>
    </row>
    <row r="35415" spans="32:32" x14ac:dyDescent="0.2">
      <c r="AF35415" s="679"/>
    </row>
    <row r="35416" spans="32:32" x14ac:dyDescent="0.2">
      <c r="AF35416" s="679"/>
    </row>
    <row r="35417" spans="32:32" x14ac:dyDescent="0.2">
      <c r="AF35417" s="679"/>
    </row>
    <row r="35418" spans="32:32" x14ac:dyDescent="0.2">
      <c r="AF35418" s="679"/>
    </row>
    <row r="35419" spans="32:32" x14ac:dyDescent="0.2">
      <c r="AF35419" s="679"/>
    </row>
    <row r="35420" spans="32:32" x14ac:dyDescent="0.2">
      <c r="AF35420" s="679"/>
    </row>
    <row r="35421" spans="32:32" x14ac:dyDescent="0.2">
      <c r="AF35421" s="679"/>
    </row>
    <row r="35422" spans="32:32" x14ac:dyDescent="0.2">
      <c r="AF35422" s="679"/>
    </row>
    <row r="35423" spans="32:32" x14ac:dyDescent="0.2">
      <c r="AF35423" s="679"/>
    </row>
    <row r="35424" spans="32:32" x14ac:dyDescent="0.2">
      <c r="AF35424" s="679"/>
    </row>
    <row r="35425" spans="32:32" x14ac:dyDescent="0.2">
      <c r="AF35425" s="679"/>
    </row>
    <row r="35426" spans="32:32" x14ac:dyDescent="0.2">
      <c r="AF35426" s="679"/>
    </row>
    <row r="35427" spans="32:32" x14ac:dyDescent="0.2">
      <c r="AF35427" s="679"/>
    </row>
    <row r="35428" spans="32:32" x14ac:dyDescent="0.2">
      <c r="AF35428" s="679"/>
    </row>
    <row r="35429" spans="32:32" x14ac:dyDescent="0.2">
      <c r="AF35429" s="679"/>
    </row>
    <row r="35430" spans="32:32" x14ac:dyDescent="0.2">
      <c r="AF35430" s="679"/>
    </row>
    <row r="35431" spans="32:32" x14ac:dyDescent="0.2">
      <c r="AF35431" s="679"/>
    </row>
    <row r="35432" spans="32:32" x14ac:dyDescent="0.2">
      <c r="AF35432" s="679"/>
    </row>
    <row r="35433" spans="32:32" x14ac:dyDescent="0.2">
      <c r="AF35433" s="679"/>
    </row>
    <row r="35434" spans="32:32" x14ac:dyDescent="0.2">
      <c r="AF35434" s="679"/>
    </row>
    <row r="35435" spans="32:32" x14ac:dyDescent="0.2">
      <c r="AF35435" s="679"/>
    </row>
    <row r="35436" spans="32:32" x14ac:dyDescent="0.2">
      <c r="AF35436" s="679"/>
    </row>
    <row r="35437" spans="32:32" x14ac:dyDescent="0.2">
      <c r="AF35437" s="679"/>
    </row>
    <row r="35438" spans="32:32" x14ac:dyDescent="0.2">
      <c r="AF35438" s="679"/>
    </row>
    <row r="35439" spans="32:32" x14ac:dyDescent="0.2">
      <c r="AF35439" s="679"/>
    </row>
    <row r="35440" spans="32:32" x14ac:dyDescent="0.2">
      <c r="AF35440" s="679"/>
    </row>
    <row r="35441" spans="32:32" x14ac:dyDescent="0.2">
      <c r="AF35441" s="679"/>
    </row>
    <row r="35442" spans="32:32" x14ac:dyDescent="0.2">
      <c r="AF35442" s="679"/>
    </row>
    <row r="35443" spans="32:32" x14ac:dyDescent="0.2">
      <c r="AF35443" s="679"/>
    </row>
    <row r="35444" spans="32:32" x14ac:dyDescent="0.2">
      <c r="AF35444" s="679"/>
    </row>
    <row r="35445" spans="32:32" x14ac:dyDescent="0.2">
      <c r="AF35445" s="679"/>
    </row>
    <row r="35446" spans="32:32" x14ac:dyDescent="0.2">
      <c r="AF35446" s="679"/>
    </row>
    <row r="35447" spans="32:32" x14ac:dyDescent="0.2">
      <c r="AF35447" s="679"/>
    </row>
    <row r="35448" spans="32:32" x14ac:dyDescent="0.2">
      <c r="AF35448" s="679"/>
    </row>
    <row r="35449" spans="32:32" x14ac:dyDescent="0.2">
      <c r="AF35449" s="679"/>
    </row>
    <row r="35450" spans="32:32" x14ac:dyDescent="0.2">
      <c r="AF35450" s="679"/>
    </row>
    <row r="35451" spans="32:32" x14ac:dyDescent="0.2">
      <c r="AF35451" s="679"/>
    </row>
    <row r="35452" spans="32:32" x14ac:dyDescent="0.2">
      <c r="AF35452" s="679"/>
    </row>
    <row r="35453" spans="32:32" x14ac:dyDescent="0.2">
      <c r="AF35453" s="679"/>
    </row>
    <row r="35454" spans="32:32" x14ac:dyDescent="0.2">
      <c r="AF35454" s="679"/>
    </row>
    <row r="35455" spans="32:32" x14ac:dyDescent="0.2">
      <c r="AF35455" s="679"/>
    </row>
    <row r="35456" spans="32:32" x14ac:dyDescent="0.2">
      <c r="AF35456" s="679"/>
    </row>
    <row r="35457" spans="32:32" x14ac:dyDescent="0.2">
      <c r="AF35457" s="679"/>
    </row>
    <row r="35458" spans="32:32" x14ac:dyDescent="0.2">
      <c r="AF35458" s="679"/>
    </row>
    <row r="35459" spans="32:32" x14ac:dyDescent="0.2">
      <c r="AF35459" s="679"/>
    </row>
    <row r="35460" spans="32:32" x14ac:dyDescent="0.2">
      <c r="AF35460" s="679"/>
    </row>
    <row r="35461" spans="32:32" x14ac:dyDescent="0.2">
      <c r="AF35461" s="679"/>
    </row>
    <row r="35462" spans="32:32" x14ac:dyDescent="0.2">
      <c r="AF35462" s="679"/>
    </row>
    <row r="35463" spans="32:32" x14ac:dyDescent="0.2">
      <c r="AF35463" s="679"/>
    </row>
    <row r="35464" spans="32:32" x14ac:dyDescent="0.2">
      <c r="AF35464" s="679"/>
    </row>
    <row r="35465" spans="32:32" x14ac:dyDescent="0.2">
      <c r="AF35465" s="679"/>
    </row>
    <row r="35466" spans="32:32" x14ac:dyDescent="0.2">
      <c r="AF35466" s="679"/>
    </row>
    <row r="35467" spans="32:32" x14ac:dyDescent="0.2">
      <c r="AF35467" s="679"/>
    </row>
    <row r="35468" spans="32:32" x14ac:dyDescent="0.2">
      <c r="AF35468" s="679"/>
    </row>
    <row r="35469" spans="32:32" x14ac:dyDescent="0.2">
      <c r="AF35469" s="679"/>
    </row>
    <row r="35470" spans="32:32" x14ac:dyDescent="0.2">
      <c r="AF35470" s="679"/>
    </row>
    <row r="35471" spans="32:32" x14ac:dyDescent="0.2">
      <c r="AF35471" s="679"/>
    </row>
    <row r="35472" spans="32:32" x14ac:dyDescent="0.2">
      <c r="AF35472" s="679"/>
    </row>
    <row r="35473" spans="32:32" x14ac:dyDescent="0.2">
      <c r="AF35473" s="679"/>
    </row>
    <row r="35474" spans="32:32" x14ac:dyDescent="0.2">
      <c r="AF35474" s="679"/>
    </row>
    <row r="35475" spans="32:32" x14ac:dyDescent="0.2">
      <c r="AF35475" s="679"/>
    </row>
    <row r="35476" spans="32:32" x14ac:dyDescent="0.2">
      <c r="AF35476" s="679"/>
    </row>
    <row r="35477" spans="32:32" x14ac:dyDescent="0.2">
      <c r="AF35477" s="679"/>
    </row>
    <row r="35478" spans="32:32" x14ac:dyDescent="0.2">
      <c r="AF35478" s="679"/>
    </row>
    <row r="35479" spans="32:32" x14ac:dyDescent="0.2">
      <c r="AF35479" s="679"/>
    </row>
    <row r="35480" spans="32:32" x14ac:dyDescent="0.2">
      <c r="AF35480" s="679"/>
    </row>
    <row r="35481" spans="32:32" x14ac:dyDescent="0.2">
      <c r="AF35481" s="679"/>
    </row>
    <row r="35482" spans="32:32" x14ac:dyDescent="0.2">
      <c r="AF35482" s="679"/>
    </row>
    <row r="35483" spans="32:32" x14ac:dyDescent="0.2">
      <c r="AF35483" s="679"/>
    </row>
    <row r="35484" spans="32:32" x14ac:dyDescent="0.2">
      <c r="AF35484" s="679"/>
    </row>
    <row r="35485" spans="32:32" x14ac:dyDescent="0.2">
      <c r="AF35485" s="679"/>
    </row>
    <row r="35486" spans="32:32" x14ac:dyDescent="0.2">
      <c r="AF35486" s="679"/>
    </row>
    <row r="35487" spans="32:32" x14ac:dyDescent="0.2">
      <c r="AF35487" s="679"/>
    </row>
    <row r="35488" spans="32:32" x14ac:dyDescent="0.2">
      <c r="AF35488" s="679"/>
    </row>
    <row r="35489" spans="32:32" x14ac:dyDescent="0.2">
      <c r="AF35489" s="679"/>
    </row>
    <row r="35490" spans="32:32" x14ac:dyDescent="0.2">
      <c r="AF35490" s="679"/>
    </row>
    <row r="35491" spans="32:32" x14ac:dyDescent="0.2">
      <c r="AF35491" s="679"/>
    </row>
    <row r="35492" spans="32:32" x14ac:dyDescent="0.2">
      <c r="AF35492" s="679"/>
    </row>
    <row r="35493" spans="32:32" x14ac:dyDescent="0.2">
      <c r="AF35493" s="679"/>
    </row>
    <row r="35494" spans="32:32" x14ac:dyDescent="0.2">
      <c r="AF35494" s="679"/>
    </row>
    <row r="35495" spans="32:32" x14ac:dyDescent="0.2">
      <c r="AF35495" s="679"/>
    </row>
    <row r="35496" spans="32:32" x14ac:dyDescent="0.2">
      <c r="AF35496" s="679"/>
    </row>
    <row r="35497" spans="32:32" x14ac:dyDescent="0.2">
      <c r="AF35497" s="679"/>
    </row>
    <row r="35498" spans="32:32" x14ac:dyDescent="0.2">
      <c r="AF35498" s="679"/>
    </row>
    <row r="35499" spans="32:32" x14ac:dyDescent="0.2">
      <c r="AF35499" s="679"/>
    </row>
    <row r="35500" spans="32:32" x14ac:dyDescent="0.2">
      <c r="AF35500" s="679"/>
    </row>
    <row r="35501" spans="32:32" x14ac:dyDescent="0.2">
      <c r="AF35501" s="679"/>
    </row>
    <row r="35502" spans="32:32" x14ac:dyDescent="0.2">
      <c r="AF35502" s="679"/>
    </row>
    <row r="35503" spans="32:32" x14ac:dyDescent="0.2">
      <c r="AF35503" s="679"/>
    </row>
    <row r="35504" spans="32:32" x14ac:dyDescent="0.2">
      <c r="AF35504" s="679"/>
    </row>
    <row r="35505" spans="32:32" x14ac:dyDescent="0.2">
      <c r="AF35505" s="679"/>
    </row>
    <row r="35506" spans="32:32" x14ac:dyDescent="0.2">
      <c r="AF35506" s="679"/>
    </row>
    <row r="35507" spans="32:32" x14ac:dyDescent="0.2">
      <c r="AF35507" s="679"/>
    </row>
    <row r="35508" spans="32:32" x14ac:dyDescent="0.2">
      <c r="AF35508" s="679"/>
    </row>
    <row r="35509" spans="32:32" x14ac:dyDescent="0.2">
      <c r="AF35509" s="679"/>
    </row>
    <row r="35510" spans="32:32" x14ac:dyDescent="0.2">
      <c r="AF35510" s="679"/>
    </row>
    <row r="35511" spans="32:32" x14ac:dyDescent="0.2">
      <c r="AF35511" s="679"/>
    </row>
    <row r="35512" spans="32:32" x14ac:dyDescent="0.2">
      <c r="AF35512" s="679"/>
    </row>
    <row r="35513" spans="32:32" x14ac:dyDescent="0.2">
      <c r="AF35513" s="679"/>
    </row>
    <row r="35514" spans="32:32" x14ac:dyDescent="0.2">
      <c r="AF35514" s="679"/>
    </row>
    <row r="35515" spans="32:32" x14ac:dyDescent="0.2">
      <c r="AF35515" s="679"/>
    </row>
    <row r="35516" spans="32:32" x14ac:dyDescent="0.2">
      <c r="AF35516" s="679"/>
    </row>
    <row r="35517" spans="32:32" x14ac:dyDescent="0.2">
      <c r="AF35517" s="679"/>
    </row>
    <row r="35518" spans="32:32" x14ac:dyDescent="0.2">
      <c r="AF35518" s="679"/>
    </row>
    <row r="35519" spans="32:32" x14ac:dyDescent="0.2">
      <c r="AF35519" s="679"/>
    </row>
    <row r="35520" spans="32:32" x14ac:dyDescent="0.2">
      <c r="AF35520" s="679"/>
    </row>
    <row r="35521" spans="32:32" x14ac:dyDescent="0.2">
      <c r="AF35521" s="679"/>
    </row>
    <row r="35522" spans="32:32" x14ac:dyDescent="0.2">
      <c r="AF35522" s="679"/>
    </row>
    <row r="35523" spans="32:32" x14ac:dyDescent="0.2">
      <c r="AF35523" s="679"/>
    </row>
    <row r="35524" spans="32:32" x14ac:dyDescent="0.2">
      <c r="AF35524" s="679"/>
    </row>
    <row r="35525" spans="32:32" x14ac:dyDescent="0.2">
      <c r="AF35525" s="679"/>
    </row>
    <row r="35526" spans="32:32" x14ac:dyDescent="0.2">
      <c r="AF35526" s="679"/>
    </row>
    <row r="35527" spans="32:32" x14ac:dyDescent="0.2">
      <c r="AF35527" s="679"/>
    </row>
    <row r="35528" spans="32:32" x14ac:dyDescent="0.2">
      <c r="AF35528" s="679"/>
    </row>
    <row r="35529" spans="32:32" x14ac:dyDescent="0.2">
      <c r="AF35529" s="679"/>
    </row>
    <row r="35530" spans="32:32" x14ac:dyDescent="0.2">
      <c r="AF35530" s="679"/>
    </row>
    <row r="35531" spans="32:32" x14ac:dyDescent="0.2">
      <c r="AF35531" s="679"/>
    </row>
    <row r="35532" spans="32:32" x14ac:dyDescent="0.2">
      <c r="AF35532" s="679"/>
    </row>
    <row r="35533" spans="32:32" x14ac:dyDescent="0.2">
      <c r="AF35533" s="679"/>
    </row>
    <row r="35534" spans="32:32" x14ac:dyDescent="0.2">
      <c r="AF35534" s="679"/>
    </row>
    <row r="35535" spans="32:32" x14ac:dyDescent="0.2">
      <c r="AF35535" s="679"/>
    </row>
    <row r="35536" spans="32:32" x14ac:dyDescent="0.2">
      <c r="AF35536" s="679"/>
    </row>
    <row r="35537" spans="32:32" x14ac:dyDescent="0.2">
      <c r="AF35537" s="679"/>
    </row>
    <row r="35538" spans="32:32" x14ac:dyDescent="0.2">
      <c r="AF35538" s="679"/>
    </row>
    <row r="35539" spans="32:32" x14ac:dyDescent="0.2">
      <c r="AF35539" s="679"/>
    </row>
    <row r="35540" spans="32:32" x14ac:dyDescent="0.2">
      <c r="AF35540" s="679"/>
    </row>
    <row r="35541" spans="32:32" x14ac:dyDescent="0.2">
      <c r="AF35541" s="679"/>
    </row>
    <row r="35542" spans="32:32" x14ac:dyDescent="0.2">
      <c r="AF35542" s="679"/>
    </row>
    <row r="35543" spans="32:32" x14ac:dyDescent="0.2">
      <c r="AF35543" s="679"/>
    </row>
    <row r="35544" spans="32:32" x14ac:dyDescent="0.2">
      <c r="AF35544" s="679"/>
    </row>
    <row r="35545" spans="32:32" x14ac:dyDescent="0.2">
      <c r="AF35545" s="679"/>
    </row>
    <row r="35546" spans="32:32" x14ac:dyDescent="0.2">
      <c r="AF35546" s="679"/>
    </row>
    <row r="35547" spans="32:32" x14ac:dyDescent="0.2">
      <c r="AF35547" s="679"/>
    </row>
    <row r="35548" spans="32:32" x14ac:dyDescent="0.2">
      <c r="AF35548" s="679"/>
    </row>
    <row r="35549" spans="32:32" x14ac:dyDescent="0.2">
      <c r="AF35549" s="679"/>
    </row>
    <row r="35550" spans="32:32" x14ac:dyDescent="0.2">
      <c r="AF35550" s="679"/>
    </row>
    <row r="35551" spans="32:32" x14ac:dyDescent="0.2">
      <c r="AF35551" s="679"/>
    </row>
    <row r="35552" spans="32:32" x14ac:dyDescent="0.2">
      <c r="AF35552" s="679"/>
    </row>
    <row r="35553" spans="32:32" x14ac:dyDescent="0.2">
      <c r="AF35553" s="679"/>
    </row>
    <row r="35554" spans="32:32" x14ac:dyDescent="0.2">
      <c r="AF35554" s="679"/>
    </row>
    <row r="35555" spans="32:32" x14ac:dyDescent="0.2">
      <c r="AF35555" s="679"/>
    </row>
    <row r="35556" spans="32:32" x14ac:dyDescent="0.2">
      <c r="AF35556" s="679"/>
    </row>
    <row r="35557" spans="32:32" x14ac:dyDescent="0.2">
      <c r="AF35557" s="679"/>
    </row>
    <row r="35558" spans="32:32" x14ac:dyDescent="0.2">
      <c r="AF35558" s="679"/>
    </row>
    <row r="35559" spans="32:32" x14ac:dyDescent="0.2">
      <c r="AF35559" s="679"/>
    </row>
    <row r="35560" spans="32:32" x14ac:dyDescent="0.2">
      <c r="AF35560" s="679"/>
    </row>
    <row r="35561" spans="32:32" x14ac:dyDescent="0.2">
      <c r="AF35561" s="679"/>
    </row>
    <row r="35562" spans="32:32" x14ac:dyDescent="0.2">
      <c r="AF35562" s="679"/>
    </row>
    <row r="35563" spans="32:32" x14ac:dyDescent="0.2">
      <c r="AF35563" s="679"/>
    </row>
    <row r="35564" spans="32:32" x14ac:dyDescent="0.2">
      <c r="AF35564" s="679"/>
    </row>
    <row r="35565" spans="32:32" x14ac:dyDescent="0.2">
      <c r="AF35565" s="679"/>
    </row>
    <row r="35566" spans="32:32" x14ac:dyDescent="0.2">
      <c r="AF35566" s="679"/>
    </row>
    <row r="35567" spans="32:32" x14ac:dyDescent="0.2">
      <c r="AF35567" s="679"/>
    </row>
    <row r="35568" spans="32:32" x14ac:dyDescent="0.2">
      <c r="AF35568" s="679"/>
    </row>
    <row r="35569" spans="32:32" x14ac:dyDescent="0.2">
      <c r="AF35569" s="679"/>
    </row>
    <row r="35570" spans="32:32" x14ac:dyDescent="0.2">
      <c r="AF35570" s="679"/>
    </row>
    <row r="35571" spans="32:32" x14ac:dyDescent="0.2">
      <c r="AF35571" s="679"/>
    </row>
    <row r="35572" spans="32:32" x14ac:dyDescent="0.2">
      <c r="AF35572" s="679"/>
    </row>
    <row r="35573" spans="32:32" x14ac:dyDescent="0.2">
      <c r="AF35573" s="679"/>
    </row>
    <row r="35574" spans="32:32" x14ac:dyDescent="0.2">
      <c r="AF35574" s="679"/>
    </row>
    <row r="35575" spans="32:32" x14ac:dyDescent="0.2">
      <c r="AF35575" s="679"/>
    </row>
    <row r="35576" spans="32:32" x14ac:dyDescent="0.2">
      <c r="AF35576" s="679"/>
    </row>
    <row r="35577" spans="32:32" x14ac:dyDescent="0.2">
      <c r="AF35577" s="679"/>
    </row>
    <row r="35578" spans="32:32" x14ac:dyDescent="0.2">
      <c r="AF35578" s="679"/>
    </row>
    <row r="35579" spans="32:32" x14ac:dyDescent="0.2">
      <c r="AF35579" s="679"/>
    </row>
    <row r="35580" spans="32:32" x14ac:dyDescent="0.2">
      <c r="AF35580" s="679"/>
    </row>
    <row r="35581" spans="32:32" x14ac:dyDescent="0.2">
      <c r="AF35581" s="679"/>
    </row>
    <row r="35582" spans="32:32" x14ac:dyDescent="0.2">
      <c r="AF35582" s="679"/>
    </row>
    <row r="35583" spans="32:32" x14ac:dyDescent="0.2">
      <c r="AF35583" s="679"/>
    </row>
    <row r="35584" spans="32:32" x14ac:dyDescent="0.2">
      <c r="AF35584" s="679"/>
    </row>
    <row r="35585" spans="32:32" x14ac:dyDescent="0.2">
      <c r="AF35585" s="679"/>
    </row>
    <row r="35586" spans="32:32" x14ac:dyDescent="0.2">
      <c r="AF35586" s="679"/>
    </row>
    <row r="35587" spans="32:32" x14ac:dyDescent="0.2">
      <c r="AF35587" s="679"/>
    </row>
    <row r="35588" spans="32:32" x14ac:dyDescent="0.2">
      <c r="AF35588" s="679"/>
    </row>
    <row r="35589" spans="32:32" x14ac:dyDescent="0.2">
      <c r="AF35589" s="679"/>
    </row>
    <row r="35590" spans="32:32" x14ac:dyDescent="0.2">
      <c r="AF35590" s="679"/>
    </row>
    <row r="35591" spans="32:32" x14ac:dyDescent="0.2">
      <c r="AF35591" s="679"/>
    </row>
    <row r="35592" spans="32:32" x14ac:dyDescent="0.2">
      <c r="AF35592" s="679"/>
    </row>
    <row r="35593" spans="32:32" x14ac:dyDescent="0.2">
      <c r="AF35593" s="679"/>
    </row>
    <row r="35594" spans="32:32" x14ac:dyDescent="0.2">
      <c r="AF35594" s="679"/>
    </row>
    <row r="35595" spans="32:32" x14ac:dyDescent="0.2">
      <c r="AF35595" s="679"/>
    </row>
    <row r="35596" spans="32:32" x14ac:dyDescent="0.2">
      <c r="AF35596" s="679"/>
    </row>
    <row r="35597" spans="32:32" x14ac:dyDescent="0.2">
      <c r="AF35597" s="679"/>
    </row>
    <row r="35598" spans="32:32" x14ac:dyDescent="0.2">
      <c r="AF35598" s="679"/>
    </row>
    <row r="35599" spans="32:32" x14ac:dyDescent="0.2">
      <c r="AF35599" s="679"/>
    </row>
    <row r="35600" spans="32:32" x14ac:dyDescent="0.2">
      <c r="AF35600" s="679"/>
    </row>
    <row r="35601" spans="32:32" x14ac:dyDescent="0.2">
      <c r="AF35601" s="679"/>
    </row>
    <row r="35602" spans="32:32" x14ac:dyDescent="0.2">
      <c r="AF35602" s="679"/>
    </row>
    <row r="35603" spans="32:32" x14ac:dyDescent="0.2">
      <c r="AF35603" s="679"/>
    </row>
    <row r="35604" spans="32:32" x14ac:dyDescent="0.2">
      <c r="AF35604" s="679"/>
    </row>
    <row r="35605" spans="32:32" x14ac:dyDescent="0.2">
      <c r="AF35605" s="679"/>
    </row>
    <row r="35606" spans="32:32" x14ac:dyDescent="0.2">
      <c r="AF35606" s="679"/>
    </row>
    <row r="35607" spans="32:32" x14ac:dyDescent="0.2">
      <c r="AF35607" s="679"/>
    </row>
    <row r="35608" spans="32:32" x14ac:dyDescent="0.2">
      <c r="AF35608" s="679"/>
    </row>
    <row r="35609" spans="32:32" x14ac:dyDescent="0.2">
      <c r="AF35609" s="679"/>
    </row>
    <row r="35610" spans="32:32" x14ac:dyDescent="0.2">
      <c r="AF35610" s="679"/>
    </row>
    <row r="35611" spans="32:32" x14ac:dyDescent="0.2">
      <c r="AF35611" s="679"/>
    </row>
    <row r="35612" spans="32:32" x14ac:dyDescent="0.2">
      <c r="AF35612" s="679"/>
    </row>
    <row r="35613" spans="32:32" x14ac:dyDescent="0.2">
      <c r="AF35613" s="679"/>
    </row>
    <row r="35614" spans="32:32" x14ac:dyDescent="0.2">
      <c r="AF35614" s="679"/>
    </row>
    <row r="35615" spans="32:32" x14ac:dyDescent="0.2">
      <c r="AF35615" s="679"/>
    </row>
    <row r="35616" spans="32:32" x14ac:dyDescent="0.2">
      <c r="AF35616" s="679"/>
    </row>
    <row r="35617" spans="32:32" x14ac:dyDescent="0.2">
      <c r="AF35617" s="679"/>
    </row>
    <row r="35618" spans="32:32" x14ac:dyDescent="0.2">
      <c r="AF35618" s="679"/>
    </row>
    <row r="35619" spans="32:32" x14ac:dyDescent="0.2">
      <c r="AF35619" s="679"/>
    </row>
    <row r="35620" spans="32:32" x14ac:dyDescent="0.2">
      <c r="AF35620" s="679"/>
    </row>
    <row r="35621" spans="32:32" x14ac:dyDescent="0.2">
      <c r="AF35621" s="679"/>
    </row>
    <row r="35622" spans="32:32" x14ac:dyDescent="0.2">
      <c r="AF35622" s="679"/>
    </row>
    <row r="35623" spans="32:32" x14ac:dyDescent="0.2">
      <c r="AF35623" s="679"/>
    </row>
    <row r="35624" spans="32:32" x14ac:dyDescent="0.2">
      <c r="AF35624" s="679"/>
    </row>
    <row r="35625" spans="32:32" x14ac:dyDescent="0.2">
      <c r="AF35625" s="679"/>
    </row>
    <row r="35626" spans="32:32" x14ac:dyDescent="0.2">
      <c r="AF35626" s="679"/>
    </row>
    <row r="35627" spans="32:32" x14ac:dyDescent="0.2">
      <c r="AF35627" s="679"/>
    </row>
    <row r="35628" spans="32:32" x14ac:dyDescent="0.2">
      <c r="AF35628" s="679"/>
    </row>
    <row r="35629" spans="32:32" x14ac:dyDescent="0.2">
      <c r="AF35629" s="679"/>
    </row>
    <row r="35630" spans="32:32" x14ac:dyDescent="0.2">
      <c r="AF35630" s="679"/>
    </row>
    <row r="35631" spans="32:32" x14ac:dyDescent="0.2">
      <c r="AF35631" s="679"/>
    </row>
    <row r="35632" spans="32:32" x14ac:dyDescent="0.2">
      <c r="AF35632" s="679"/>
    </row>
    <row r="35633" spans="32:32" x14ac:dyDescent="0.2">
      <c r="AF35633" s="679"/>
    </row>
    <row r="35634" spans="32:32" x14ac:dyDescent="0.2">
      <c r="AF35634" s="679"/>
    </row>
    <row r="35635" spans="32:32" x14ac:dyDescent="0.2">
      <c r="AF35635" s="679"/>
    </row>
    <row r="35636" spans="32:32" x14ac:dyDescent="0.2">
      <c r="AF35636" s="679"/>
    </row>
    <row r="35637" spans="32:32" x14ac:dyDescent="0.2">
      <c r="AF35637" s="679"/>
    </row>
    <row r="35638" spans="32:32" x14ac:dyDescent="0.2">
      <c r="AF35638" s="679"/>
    </row>
    <row r="35639" spans="32:32" x14ac:dyDescent="0.2">
      <c r="AF35639" s="679"/>
    </row>
    <row r="35640" spans="32:32" x14ac:dyDescent="0.2">
      <c r="AF35640" s="679"/>
    </row>
    <row r="35641" spans="32:32" x14ac:dyDescent="0.2">
      <c r="AF35641" s="679"/>
    </row>
    <row r="35642" spans="32:32" x14ac:dyDescent="0.2">
      <c r="AF35642" s="679"/>
    </row>
    <row r="35643" spans="32:32" x14ac:dyDescent="0.2">
      <c r="AF35643" s="679"/>
    </row>
    <row r="35644" spans="32:32" x14ac:dyDescent="0.2">
      <c r="AF35644" s="679"/>
    </row>
    <row r="35645" spans="32:32" x14ac:dyDescent="0.2">
      <c r="AF35645" s="679"/>
    </row>
    <row r="35646" spans="32:32" x14ac:dyDescent="0.2">
      <c r="AF35646" s="679"/>
    </row>
    <row r="35647" spans="32:32" x14ac:dyDescent="0.2">
      <c r="AF35647" s="679"/>
    </row>
    <row r="35648" spans="32:32" x14ac:dyDescent="0.2">
      <c r="AF35648" s="679"/>
    </row>
    <row r="35649" spans="32:32" x14ac:dyDescent="0.2">
      <c r="AF35649" s="679"/>
    </row>
    <row r="35650" spans="32:32" x14ac:dyDescent="0.2">
      <c r="AF35650" s="679"/>
    </row>
    <row r="35651" spans="32:32" x14ac:dyDescent="0.2">
      <c r="AF35651" s="679"/>
    </row>
    <row r="35652" spans="32:32" x14ac:dyDescent="0.2">
      <c r="AF35652" s="679"/>
    </row>
    <row r="35653" spans="32:32" x14ac:dyDescent="0.2">
      <c r="AF35653" s="679"/>
    </row>
    <row r="35654" spans="32:32" x14ac:dyDescent="0.2">
      <c r="AF35654" s="679"/>
    </row>
    <row r="35655" spans="32:32" x14ac:dyDescent="0.2">
      <c r="AF35655" s="679"/>
    </row>
    <row r="35656" spans="32:32" x14ac:dyDescent="0.2">
      <c r="AF35656" s="679"/>
    </row>
    <row r="35657" spans="32:32" x14ac:dyDescent="0.2">
      <c r="AF35657" s="679"/>
    </row>
    <row r="35658" spans="32:32" x14ac:dyDescent="0.2">
      <c r="AF35658" s="679"/>
    </row>
    <row r="35659" spans="32:32" x14ac:dyDescent="0.2">
      <c r="AF35659" s="679"/>
    </row>
    <row r="35660" spans="32:32" x14ac:dyDescent="0.2">
      <c r="AF35660" s="679"/>
    </row>
    <row r="35661" spans="32:32" x14ac:dyDescent="0.2">
      <c r="AF35661" s="679"/>
    </row>
    <row r="35662" spans="32:32" x14ac:dyDescent="0.2">
      <c r="AF35662" s="679"/>
    </row>
    <row r="35663" spans="32:32" x14ac:dyDescent="0.2">
      <c r="AF35663" s="679"/>
    </row>
    <row r="35664" spans="32:32" x14ac:dyDescent="0.2">
      <c r="AF35664" s="679"/>
    </row>
    <row r="35665" spans="32:32" x14ac:dyDescent="0.2">
      <c r="AF35665" s="679"/>
    </row>
    <row r="35666" spans="32:32" x14ac:dyDescent="0.2">
      <c r="AF35666" s="679"/>
    </row>
    <row r="35667" spans="32:32" x14ac:dyDescent="0.2">
      <c r="AF35667" s="679"/>
    </row>
    <row r="35668" spans="32:32" x14ac:dyDescent="0.2">
      <c r="AF35668" s="679"/>
    </row>
    <row r="35669" spans="32:32" x14ac:dyDescent="0.2">
      <c r="AF35669" s="679"/>
    </row>
    <row r="35670" spans="32:32" x14ac:dyDescent="0.2">
      <c r="AF35670" s="679"/>
    </row>
    <row r="35671" spans="32:32" x14ac:dyDescent="0.2">
      <c r="AF35671" s="679"/>
    </row>
    <row r="35672" spans="32:32" x14ac:dyDescent="0.2">
      <c r="AF35672" s="679"/>
    </row>
    <row r="35673" spans="32:32" x14ac:dyDescent="0.2">
      <c r="AF35673" s="679"/>
    </row>
    <row r="35674" spans="32:32" x14ac:dyDescent="0.2">
      <c r="AF35674" s="679"/>
    </row>
    <row r="35675" spans="32:32" x14ac:dyDescent="0.2">
      <c r="AF35675" s="679"/>
    </row>
    <row r="35676" spans="32:32" x14ac:dyDescent="0.2">
      <c r="AF35676" s="679"/>
    </row>
    <row r="35677" spans="32:32" x14ac:dyDescent="0.2">
      <c r="AF35677" s="679"/>
    </row>
    <row r="35678" spans="32:32" x14ac:dyDescent="0.2">
      <c r="AF35678" s="679"/>
    </row>
    <row r="35679" spans="32:32" x14ac:dyDescent="0.2">
      <c r="AF35679" s="679"/>
    </row>
    <row r="35680" spans="32:32" x14ac:dyDescent="0.2">
      <c r="AF35680" s="679"/>
    </row>
    <row r="35681" spans="32:32" x14ac:dyDescent="0.2">
      <c r="AF35681" s="679"/>
    </row>
    <row r="35682" spans="32:32" x14ac:dyDescent="0.2">
      <c r="AF35682" s="679"/>
    </row>
    <row r="35683" spans="32:32" x14ac:dyDescent="0.2">
      <c r="AF35683" s="679"/>
    </row>
    <row r="35684" spans="32:32" x14ac:dyDescent="0.2">
      <c r="AF35684" s="679"/>
    </row>
    <row r="35685" spans="32:32" x14ac:dyDescent="0.2">
      <c r="AF35685" s="679"/>
    </row>
    <row r="35686" spans="32:32" x14ac:dyDescent="0.2">
      <c r="AF35686" s="679"/>
    </row>
    <row r="35687" spans="32:32" x14ac:dyDescent="0.2">
      <c r="AF35687" s="679"/>
    </row>
    <row r="35688" spans="32:32" x14ac:dyDescent="0.2">
      <c r="AF35688" s="679"/>
    </row>
    <row r="35689" spans="32:32" x14ac:dyDescent="0.2">
      <c r="AF35689" s="679"/>
    </row>
    <row r="35690" spans="32:32" x14ac:dyDescent="0.2">
      <c r="AF35690" s="679"/>
    </row>
    <row r="35691" spans="32:32" x14ac:dyDescent="0.2">
      <c r="AF35691" s="679"/>
    </row>
    <row r="35692" spans="32:32" x14ac:dyDescent="0.2">
      <c r="AF35692" s="679"/>
    </row>
    <row r="35693" spans="32:32" x14ac:dyDescent="0.2">
      <c r="AF35693" s="679"/>
    </row>
    <row r="35694" spans="32:32" x14ac:dyDescent="0.2">
      <c r="AF35694" s="679"/>
    </row>
    <row r="35695" spans="32:32" x14ac:dyDescent="0.2">
      <c r="AF35695" s="679"/>
    </row>
    <row r="35696" spans="32:32" x14ac:dyDescent="0.2">
      <c r="AF35696" s="679"/>
    </row>
    <row r="35697" spans="32:32" x14ac:dyDescent="0.2">
      <c r="AF35697" s="679"/>
    </row>
    <row r="35698" spans="32:32" x14ac:dyDescent="0.2">
      <c r="AF35698" s="679"/>
    </row>
    <row r="35699" spans="32:32" x14ac:dyDescent="0.2">
      <c r="AF35699" s="679"/>
    </row>
    <row r="35700" spans="32:32" x14ac:dyDescent="0.2">
      <c r="AF35700" s="679"/>
    </row>
    <row r="35701" spans="32:32" x14ac:dyDescent="0.2">
      <c r="AF35701" s="679"/>
    </row>
    <row r="35702" spans="32:32" x14ac:dyDescent="0.2">
      <c r="AF35702" s="679"/>
    </row>
    <row r="35703" spans="32:32" x14ac:dyDescent="0.2">
      <c r="AF35703" s="679"/>
    </row>
    <row r="35704" spans="32:32" x14ac:dyDescent="0.2">
      <c r="AF35704" s="679"/>
    </row>
    <row r="35705" spans="32:32" x14ac:dyDescent="0.2">
      <c r="AF35705" s="679"/>
    </row>
    <row r="35706" spans="32:32" x14ac:dyDescent="0.2">
      <c r="AF35706" s="679"/>
    </row>
    <row r="35707" spans="32:32" x14ac:dyDescent="0.2">
      <c r="AF35707" s="679"/>
    </row>
    <row r="35708" spans="32:32" x14ac:dyDescent="0.2">
      <c r="AF35708" s="679"/>
    </row>
    <row r="35709" spans="32:32" x14ac:dyDescent="0.2">
      <c r="AF35709" s="679"/>
    </row>
    <row r="35710" spans="32:32" x14ac:dyDescent="0.2">
      <c r="AF35710" s="679"/>
    </row>
    <row r="35711" spans="32:32" x14ac:dyDescent="0.2">
      <c r="AF35711" s="679"/>
    </row>
    <row r="35712" spans="32:32" x14ac:dyDescent="0.2">
      <c r="AF35712" s="679"/>
    </row>
    <row r="35713" spans="32:32" x14ac:dyDescent="0.2">
      <c r="AF35713" s="679"/>
    </row>
    <row r="35714" spans="32:32" x14ac:dyDescent="0.2">
      <c r="AF35714" s="679"/>
    </row>
    <row r="35715" spans="32:32" x14ac:dyDescent="0.2">
      <c r="AF35715" s="679"/>
    </row>
    <row r="35716" spans="32:32" x14ac:dyDescent="0.2">
      <c r="AF35716" s="679"/>
    </row>
    <row r="35717" spans="32:32" x14ac:dyDescent="0.2">
      <c r="AF35717" s="679"/>
    </row>
    <row r="35718" spans="32:32" x14ac:dyDescent="0.2">
      <c r="AF35718" s="679"/>
    </row>
    <row r="35719" spans="32:32" x14ac:dyDescent="0.2">
      <c r="AF35719" s="679"/>
    </row>
    <row r="35720" spans="32:32" x14ac:dyDescent="0.2">
      <c r="AF35720" s="679"/>
    </row>
    <row r="35721" spans="32:32" x14ac:dyDescent="0.2">
      <c r="AF35721" s="679"/>
    </row>
    <row r="35722" spans="32:32" x14ac:dyDescent="0.2">
      <c r="AF35722" s="679"/>
    </row>
    <row r="35723" spans="32:32" x14ac:dyDescent="0.2">
      <c r="AF35723" s="679"/>
    </row>
    <row r="35724" spans="32:32" x14ac:dyDescent="0.2">
      <c r="AF35724" s="679"/>
    </row>
    <row r="35725" spans="32:32" x14ac:dyDescent="0.2">
      <c r="AF35725" s="679"/>
    </row>
    <row r="35726" spans="32:32" x14ac:dyDescent="0.2">
      <c r="AF35726" s="679"/>
    </row>
    <row r="35727" spans="32:32" x14ac:dyDescent="0.2">
      <c r="AF35727" s="679"/>
    </row>
    <row r="35728" spans="32:32" x14ac:dyDescent="0.2">
      <c r="AF35728" s="679"/>
    </row>
    <row r="35729" spans="32:32" x14ac:dyDescent="0.2">
      <c r="AF35729" s="679"/>
    </row>
    <row r="35730" spans="32:32" x14ac:dyDescent="0.2">
      <c r="AF35730" s="679"/>
    </row>
    <row r="35731" spans="32:32" x14ac:dyDescent="0.2">
      <c r="AF35731" s="679"/>
    </row>
    <row r="35732" spans="32:32" x14ac:dyDescent="0.2">
      <c r="AF35732" s="679"/>
    </row>
    <row r="35733" spans="32:32" x14ac:dyDescent="0.2">
      <c r="AF35733" s="679"/>
    </row>
    <row r="35734" spans="32:32" x14ac:dyDescent="0.2">
      <c r="AF35734" s="679"/>
    </row>
    <row r="35735" spans="32:32" x14ac:dyDescent="0.2">
      <c r="AF35735" s="679"/>
    </row>
    <row r="35736" spans="32:32" x14ac:dyDescent="0.2">
      <c r="AF35736" s="679"/>
    </row>
    <row r="35737" spans="32:32" x14ac:dyDescent="0.2">
      <c r="AF35737" s="679"/>
    </row>
    <row r="35738" spans="32:32" x14ac:dyDescent="0.2">
      <c r="AF35738" s="679"/>
    </row>
    <row r="35739" spans="32:32" x14ac:dyDescent="0.2">
      <c r="AF35739" s="679"/>
    </row>
    <row r="35740" spans="32:32" x14ac:dyDescent="0.2">
      <c r="AF35740" s="679"/>
    </row>
    <row r="35741" spans="32:32" x14ac:dyDescent="0.2">
      <c r="AF35741" s="679"/>
    </row>
    <row r="35742" spans="32:32" x14ac:dyDescent="0.2">
      <c r="AF35742" s="679"/>
    </row>
    <row r="35743" spans="32:32" x14ac:dyDescent="0.2">
      <c r="AF35743" s="679"/>
    </row>
    <row r="35744" spans="32:32" x14ac:dyDescent="0.2">
      <c r="AF35744" s="679"/>
    </row>
    <row r="35745" spans="32:32" x14ac:dyDescent="0.2">
      <c r="AF35745" s="679"/>
    </row>
    <row r="35746" spans="32:32" x14ac:dyDescent="0.2">
      <c r="AF35746" s="679"/>
    </row>
    <row r="35747" spans="32:32" x14ac:dyDescent="0.2">
      <c r="AF35747" s="679"/>
    </row>
    <row r="35748" spans="32:32" x14ac:dyDescent="0.2">
      <c r="AF35748" s="679"/>
    </row>
    <row r="35749" spans="32:32" x14ac:dyDescent="0.2">
      <c r="AF35749" s="679"/>
    </row>
    <row r="35750" spans="32:32" x14ac:dyDescent="0.2">
      <c r="AF35750" s="679"/>
    </row>
    <row r="35751" spans="32:32" x14ac:dyDescent="0.2">
      <c r="AF35751" s="679"/>
    </row>
    <row r="35752" spans="32:32" x14ac:dyDescent="0.2">
      <c r="AF35752" s="679"/>
    </row>
    <row r="35753" spans="32:32" x14ac:dyDescent="0.2">
      <c r="AF35753" s="679"/>
    </row>
    <row r="35754" spans="32:32" x14ac:dyDescent="0.2">
      <c r="AF35754" s="679"/>
    </row>
    <row r="35755" spans="32:32" x14ac:dyDescent="0.2">
      <c r="AF35755" s="679"/>
    </row>
    <row r="35756" spans="32:32" x14ac:dyDescent="0.2">
      <c r="AF35756" s="679"/>
    </row>
    <row r="35757" spans="32:32" x14ac:dyDescent="0.2">
      <c r="AF35757" s="679"/>
    </row>
    <row r="35758" spans="32:32" x14ac:dyDescent="0.2">
      <c r="AF35758" s="679"/>
    </row>
    <row r="35759" spans="32:32" x14ac:dyDescent="0.2">
      <c r="AF35759" s="679"/>
    </row>
    <row r="35760" spans="32:32" x14ac:dyDescent="0.2">
      <c r="AF35760" s="679"/>
    </row>
    <row r="35761" spans="32:32" x14ac:dyDescent="0.2">
      <c r="AF35761" s="679"/>
    </row>
    <row r="35762" spans="32:32" x14ac:dyDescent="0.2">
      <c r="AF35762" s="679"/>
    </row>
    <row r="35763" spans="32:32" x14ac:dyDescent="0.2">
      <c r="AF35763" s="679"/>
    </row>
    <row r="35764" spans="32:32" x14ac:dyDescent="0.2">
      <c r="AF35764" s="679"/>
    </row>
    <row r="35765" spans="32:32" x14ac:dyDescent="0.2">
      <c r="AF35765" s="679"/>
    </row>
    <row r="35766" spans="32:32" x14ac:dyDescent="0.2">
      <c r="AF35766" s="679"/>
    </row>
    <row r="35767" spans="32:32" x14ac:dyDescent="0.2">
      <c r="AF35767" s="679"/>
    </row>
    <row r="35768" spans="32:32" x14ac:dyDescent="0.2">
      <c r="AF35768" s="679"/>
    </row>
    <row r="35769" spans="32:32" x14ac:dyDescent="0.2">
      <c r="AF35769" s="679"/>
    </row>
    <row r="35770" spans="32:32" x14ac:dyDescent="0.2">
      <c r="AF35770" s="679"/>
    </row>
    <row r="35771" spans="32:32" x14ac:dyDescent="0.2">
      <c r="AF35771" s="679"/>
    </row>
    <row r="35772" spans="32:32" x14ac:dyDescent="0.2">
      <c r="AF35772" s="679"/>
    </row>
    <row r="35773" spans="32:32" x14ac:dyDescent="0.2">
      <c r="AF35773" s="679"/>
    </row>
    <row r="35774" spans="32:32" x14ac:dyDescent="0.2">
      <c r="AF35774" s="679"/>
    </row>
    <row r="35775" spans="32:32" x14ac:dyDescent="0.2">
      <c r="AF35775" s="679"/>
    </row>
    <row r="35776" spans="32:32" x14ac:dyDescent="0.2">
      <c r="AF35776" s="679"/>
    </row>
    <row r="35777" spans="32:32" x14ac:dyDescent="0.2">
      <c r="AF35777" s="679"/>
    </row>
    <row r="35778" spans="32:32" x14ac:dyDescent="0.2">
      <c r="AF35778" s="679"/>
    </row>
    <row r="35779" spans="32:32" x14ac:dyDescent="0.2">
      <c r="AF35779" s="679"/>
    </row>
    <row r="35780" spans="32:32" x14ac:dyDescent="0.2">
      <c r="AF35780" s="679"/>
    </row>
    <row r="35781" spans="32:32" x14ac:dyDescent="0.2">
      <c r="AF35781" s="679"/>
    </row>
    <row r="35782" spans="32:32" x14ac:dyDescent="0.2">
      <c r="AF35782" s="679"/>
    </row>
    <row r="35783" spans="32:32" x14ac:dyDescent="0.2">
      <c r="AF35783" s="679"/>
    </row>
    <row r="35784" spans="32:32" x14ac:dyDescent="0.2">
      <c r="AF35784" s="679"/>
    </row>
    <row r="35785" spans="32:32" x14ac:dyDescent="0.2">
      <c r="AF35785" s="679"/>
    </row>
    <row r="35786" spans="32:32" x14ac:dyDescent="0.2">
      <c r="AF35786" s="679"/>
    </row>
    <row r="35787" spans="32:32" x14ac:dyDescent="0.2">
      <c r="AF35787" s="679"/>
    </row>
    <row r="35788" spans="32:32" x14ac:dyDescent="0.2">
      <c r="AF35788" s="679"/>
    </row>
    <row r="35789" spans="32:32" x14ac:dyDescent="0.2">
      <c r="AF35789" s="679"/>
    </row>
    <row r="35790" spans="32:32" x14ac:dyDescent="0.2">
      <c r="AF35790" s="679"/>
    </row>
    <row r="35791" spans="32:32" x14ac:dyDescent="0.2">
      <c r="AF35791" s="679"/>
    </row>
    <row r="35792" spans="32:32" x14ac:dyDescent="0.2">
      <c r="AF35792" s="679"/>
    </row>
    <row r="35793" spans="32:32" x14ac:dyDescent="0.2">
      <c r="AF35793" s="679"/>
    </row>
    <row r="35794" spans="32:32" x14ac:dyDescent="0.2">
      <c r="AF35794" s="679"/>
    </row>
    <row r="35795" spans="32:32" x14ac:dyDescent="0.2">
      <c r="AF35795" s="679"/>
    </row>
    <row r="35796" spans="32:32" x14ac:dyDescent="0.2">
      <c r="AF35796" s="679"/>
    </row>
    <row r="35797" spans="32:32" x14ac:dyDescent="0.2">
      <c r="AF35797" s="679"/>
    </row>
    <row r="35798" spans="32:32" x14ac:dyDescent="0.2">
      <c r="AF35798" s="679"/>
    </row>
    <row r="35799" spans="32:32" x14ac:dyDescent="0.2">
      <c r="AF35799" s="679"/>
    </row>
    <row r="35800" spans="32:32" x14ac:dyDescent="0.2">
      <c r="AF35800" s="679"/>
    </row>
    <row r="35801" spans="32:32" x14ac:dyDescent="0.2">
      <c r="AF35801" s="679"/>
    </row>
    <row r="35802" spans="32:32" x14ac:dyDescent="0.2">
      <c r="AF35802" s="679"/>
    </row>
    <row r="35803" spans="32:32" x14ac:dyDescent="0.2">
      <c r="AF35803" s="679"/>
    </row>
    <row r="35804" spans="32:32" x14ac:dyDescent="0.2">
      <c r="AF35804" s="679"/>
    </row>
    <row r="35805" spans="32:32" x14ac:dyDescent="0.2">
      <c r="AF35805" s="679"/>
    </row>
    <row r="35806" spans="32:32" x14ac:dyDescent="0.2">
      <c r="AF35806" s="679"/>
    </row>
    <row r="35807" spans="32:32" x14ac:dyDescent="0.2">
      <c r="AF35807" s="679"/>
    </row>
    <row r="35808" spans="32:32" x14ac:dyDescent="0.2">
      <c r="AF35808" s="679"/>
    </row>
    <row r="35809" spans="32:32" x14ac:dyDescent="0.2">
      <c r="AF35809" s="679"/>
    </row>
    <row r="35810" spans="32:32" x14ac:dyDescent="0.2">
      <c r="AF35810" s="679"/>
    </row>
    <row r="35811" spans="32:32" x14ac:dyDescent="0.2">
      <c r="AF35811" s="679"/>
    </row>
    <row r="35812" spans="32:32" x14ac:dyDescent="0.2">
      <c r="AF35812" s="679"/>
    </row>
    <row r="35813" spans="32:32" x14ac:dyDescent="0.2">
      <c r="AF35813" s="679"/>
    </row>
    <row r="35814" spans="32:32" x14ac:dyDescent="0.2">
      <c r="AF35814" s="679"/>
    </row>
    <row r="35815" spans="32:32" x14ac:dyDescent="0.2">
      <c r="AF35815" s="679"/>
    </row>
    <row r="35816" spans="32:32" x14ac:dyDescent="0.2">
      <c r="AF35816" s="679"/>
    </row>
    <row r="35817" spans="32:32" x14ac:dyDescent="0.2">
      <c r="AF35817" s="679"/>
    </row>
    <row r="35818" spans="32:32" x14ac:dyDescent="0.2">
      <c r="AF35818" s="679"/>
    </row>
    <row r="35819" spans="32:32" x14ac:dyDescent="0.2">
      <c r="AF35819" s="679"/>
    </row>
    <row r="35820" spans="32:32" x14ac:dyDescent="0.2">
      <c r="AF35820" s="679"/>
    </row>
    <row r="35821" spans="32:32" x14ac:dyDescent="0.2">
      <c r="AF35821" s="679"/>
    </row>
    <row r="35822" spans="32:32" x14ac:dyDescent="0.2">
      <c r="AF35822" s="679"/>
    </row>
    <row r="35823" spans="32:32" x14ac:dyDescent="0.2">
      <c r="AF35823" s="679"/>
    </row>
    <row r="35824" spans="32:32" x14ac:dyDescent="0.2">
      <c r="AF35824" s="679"/>
    </row>
    <row r="35825" spans="32:32" x14ac:dyDescent="0.2">
      <c r="AF35825" s="679"/>
    </row>
    <row r="35826" spans="32:32" x14ac:dyDescent="0.2">
      <c r="AF35826" s="679"/>
    </row>
    <row r="35827" spans="32:32" x14ac:dyDescent="0.2">
      <c r="AF35827" s="679"/>
    </row>
    <row r="35828" spans="32:32" x14ac:dyDescent="0.2">
      <c r="AF35828" s="679"/>
    </row>
    <row r="35829" spans="32:32" x14ac:dyDescent="0.2">
      <c r="AF35829" s="679"/>
    </row>
    <row r="35830" spans="32:32" x14ac:dyDescent="0.2">
      <c r="AF35830" s="679"/>
    </row>
    <row r="35831" spans="32:32" x14ac:dyDescent="0.2">
      <c r="AF35831" s="679"/>
    </row>
    <row r="35832" spans="32:32" x14ac:dyDescent="0.2">
      <c r="AF35832" s="679"/>
    </row>
    <row r="35833" spans="32:32" x14ac:dyDescent="0.2">
      <c r="AF35833" s="679"/>
    </row>
    <row r="35834" spans="32:32" x14ac:dyDescent="0.2">
      <c r="AF35834" s="679"/>
    </row>
    <row r="35835" spans="32:32" x14ac:dyDescent="0.2">
      <c r="AF35835" s="679"/>
    </row>
    <row r="35836" spans="32:32" x14ac:dyDescent="0.2">
      <c r="AF35836" s="679"/>
    </row>
    <row r="35837" spans="32:32" x14ac:dyDescent="0.2">
      <c r="AF35837" s="679"/>
    </row>
    <row r="35838" spans="32:32" x14ac:dyDescent="0.2">
      <c r="AF35838" s="679"/>
    </row>
    <row r="35839" spans="32:32" x14ac:dyDescent="0.2">
      <c r="AF35839" s="679"/>
    </row>
    <row r="35840" spans="32:32" x14ac:dyDescent="0.2">
      <c r="AF35840" s="679"/>
    </row>
    <row r="35841" spans="32:32" x14ac:dyDescent="0.2">
      <c r="AF35841" s="679"/>
    </row>
    <row r="35842" spans="32:32" x14ac:dyDescent="0.2">
      <c r="AF35842" s="679"/>
    </row>
    <row r="35843" spans="32:32" x14ac:dyDescent="0.2">
      <c r="AF35843" s="679"/>
    </row>
    <row r="35844" spans="32:32" x14ac:dyDescent="0.2">
      <c r="AF35844" s="679"/>
    </row>
    <row r="35845" spans="32:32" x14ac:dyDescent="0.2">
      <c r="AF35845" s="679"/>
    </row>
    <row r="35846" spans="32:32" x14ac:dyDescent="0.2">
      <c r="AF35846" s="679"/>
    </row>
    <row r="35847" spans="32:32" x14ac:dyDescent="0.2">
      <c r="AF35847" s="679"/>
    </row>
    <row r="35848" spans="32:32" x14ac:dyDescent="0.2">
      <c r="AF35848" s="679"/>
    </row>
    <row r="35849" spans="32:32" x14ac:dyDescent="0.2">
      <c r="AF35849" s="679"/>
    </row>
    <row r="35850" spans="32:32" x14ac:dyDescent="0.2">
      <c r="AF35850" s="679"/>
    </row>
    <row r="35851" spans="32:32" x14ac:dyDescent="0.2">
      <c r="AF35851" s="679"/>
    </row>
    <row r="35852" spans="32:32" x14ac:dyDescent="0.2">
      <c r="AF35852" s="679"/>
    </row>
    <row r="35853" spans="32:32" x14ac:dyDescent="0.2">
      <c r="AF35853" s="679"/>
    </row>
    <row r="35854" spans="32:32" x14ac:dyDescent="0.2">
      <c r="AF35854" s="679"/>
    </row>
    <row r="35855" spans="32:32" x14ac:dyDescent="0.2">
      <c r="AF35855" s="679"/>
    </row>
    <row r="35856" spans="32:32" x14ac:dyDescent="0.2">
      <c r="AF35856" s="679"/>
    </row>
    <row r="35857" spans="32:32" x14ac:dyDescent="0.2">
      <c r="AF35857" s="679"/>
    </row>
    <row r="35858" spans="32:32" x14ac:dyDescent="0.2">
      <c r="AF35858" s="679"/>
    </row>
    <row r="35859" spans="32:32" x14ac:dyDescent="0.2">
      <c r="AF35859" s="679"/>
    </row>
    <row r="35860" spans="32:32" x14ac:dyDescent="0.2">
      <c r="AF35860" s="679"/>
    </row>
    <row r="35861" spans="32:32" x14ac:dyDescent="0.2">
      <c r="AF35861" s="679"/>
    </row>
    <row r="35862" spans="32:32" x14ac:dyDescent="0.2">
      <c r="AF35862" s="679"/>
    </row>
    <row r="35863" spans="32:32" x14ac:dyDescent="0.2">
      <c r="AF35863" s="679"/>
    </row>
    <row r="35864" spans="32:32" x14ac:dyDescent="0.2">
      <c r="AF35864" s="679"/>
    </row>
    <row r="35865" spans="32:32" x14ac:dyDescent="0.2">
      <c r="AF35865" s="679"/>
    </row>
    <row r="35866" spans="32:32" x14ac:dyDescent="0.2">
      <c r="AF35866" s="679"/>
    </row>
    <row r="35867" spans="32:32" x14ac:dyDescent="0.2">
      <c r="AF35867" s="679"/>
    </row>
    <row r="35868" spans="32:32" x14ac:dyDescent="0.2">
      <c r="AF35868" s="679"/>
    </row>
    <row r="35869" spans="32:32" x14ac:dyDescent="0.2">
      <c r="AF35869" s="679"/>
    </row>
    <row r="35870" spans="32:32" x14ac:dyDescent="0.2">
      <c r="AF35870" s="679"/>
    </row>
    <row r="35871" spans="32:32" x14ac:dyDescent="0.2">
      <c r="AF35871" s="679"/>
    </row>
    <row r="35872" spans="32:32" x14ac:dyDescent="0.2">
      <c r="AF35872" s="679"/>
    </row>
    <row r="35873" spans="32:32" x14ac:dyDescent="0.2">
      <c r="AF35873" s="679"/>
    </row>
    <row r="35874" spans="32:32" x14ac:dyDescent="0.2">
      <c r="AF35874" s="679"/>
    </row>
    <row r="35875" spans="32:32" x14ac:dyDescent="0.2">
      <c r="AF35875" s="679"/>
    </row>
    <row r="35876" spans="32:32" x14ac:dyDescent="0.2">
      <c r="AF35876" s="679"/>
    </row>
    <row r="35877" spans="32:32" x14ac:dyDescent="0.2">
      <c r="AF35877" s="679"/>
    </row>
    <row r="35878" spans="32:32" x14ac:dyDescent="0.2">
      <c r="AF35878" s="679"/>
    </row>
    <row r="35879" spans="32:32" x14ac:dyDescent="0.2">
      <c r="AF35879" s="679"/>
    </row>
    <row r="35880" spans="32:32" x14ac:dyDescent="0.2">
      <c r="AF35880" s="679"/>
    </row>
    <row r="35881" spans="32:32" x14ac:dyDescent="0.2">
      <c r="AF35881" s="679"/>
    </row>
    <row r="35882" spans="32:32" x14ac:dyDescent="0.2">
      <c r="AF35882" s="679"/>
    </row>
    <row r="35883" spans="32:32" x14ac:dyDescent="0.2">
      <c r="AF35883" s="679"/>
    </row>
    <row r="35884" spans="32:32" x14ac:dyDescent="0.2">
      <c r="AF35884" s="679"/>
    </row>
    <row r="35885" spans="32:32" x14ac:dyDescent="0.2">
      <c r="AF35885" s="679"/>
    </row>
    <row r="35886" spans="32:32" x14ac:dyDescent="0.2">
      <c r="AF35886" s="679"/>
    </row>
    <row r="35887" spans="32:32" x14ac:dyDescent="0.2">
      <c r="AF35887" s="679"/>
    </row>
    <row r="35888" spans="32:32" x14ac:dyDescent="0.2">
      <c r="AF35888" s="679"/>
    </row>
    <row r="35889" spans="32:32" x14ac:dyDescent="0.2">
      <c r="AF35889" s="679"/>
    </row>
    <row r="35890" spans="32:32" x14ac:dyDescent="0.2">
      <c r="AF35890" s="679"/>
    </row>
    <row r="35891" spans="32:32" x14ac:dyDescent="0.2">
      <c r="AF35891" s="679"/>
    </row>
    <row r="35892" spans="32:32" x14ac:dyDescent="0.2">
      <c r="AF35892" s="679"/>
    </row>
    <row r="35893" spans="32:32" x14ac:dyDescent="0.2">
      <c r="AF35893" s="679"/>
    </row>
    <row r="35894" spans="32:32" x14ac:dyDescent="0.2">
      <c r="AF35894" s="679"/>
    </row>
    <row r="35895" spans="32:32" x14ac:dyDescent="0.2">
      <c r="AF35895" s="679"/>
    </row>
    <row r="35896" spans="32:32" x14ac:dyDescent="0.2">
      <c r="AF35896" s="679"/>
    </row>
    <row r="35897" spans="32:32" x14ac:dyDescent="0.2">
      <c r="AF35897" s="679"/>
    </row>
    <row r="35898" spans="32:32" x14ac:dyDescent="0.2">
      <c r="AF35898" s="679"/>
    </row>
    <row r="35899" spans="32:32" x14ac:dyDescent="0.2">
      <c r="AF35899" s="679"/>
    </row>
    <row r="35900" spans="32:32" x14ac:dyDescent="0.2">
      <c r="AF35900" s="679"/>
    </row>
    <row r="35901" spans="32:32" x14ac:dyDescent="0.2">
      <c r="AF35901" s="679"/>
    </row>
    <row r="35902" spans="32:32" x14ac:dyDescent="0.2">
      <c r="AF35902" s="679"/>
    </row>
    <row r="35903" spans="32:32" x14ac:dyDescent="0.2">
      <c r="AF35903" s="679"/>
    </row>
    <row r="35904" spans="32:32" x14ac:dyDescent="0.2">
      <c r="AF35904" s="679"/>
    </row>
    <row r="35905" spans="32:32" x14ac:dyDescent="0.2">
      <c r="AF35905" s="679"/>
    </row>
    <row r="35906" spans="32:32" x14ac:dyDescent="0.2">
      <c r="AF35906" s="679"/>
    </row>
    <row r="35907" spans="32:32" x14ac:dyDescent="0.2">
      <c r="AF35907" s="679"/>
    </row>
    <row r="35908" spans="32:32" x14ac:dyDescent="0.2">
      <c r="AF35908" s="679"/>
    </row>
    <row r="35909" spans="32:32" x14ac:dyDescent="0.2">
      <c r="AF35909" s="679"/>
    </row>
    <row r="35910" spans="32:32" x14ac:dyDescent="0.2">
      <c r="AF35910" s="679"/>
    </row>
    <row r="35911" spans="32:32" x14ac:dyDescent="0.2">
      <c r="AF35911" s="679"/>
    </row>
    <row r="35912" spans="32:32" x14ac:dyDescent="0.2">
      <c r="AF35912" s="679"/>
    </row>
    <row r="35913" spans="32:32" x14ac:dyDescent="0.2">
      <c r="AF35913" s="679"/>
    </row>
    <row r="35914" spans="32:32" x14ac:dyDescent="0.2">
      <c r="AF35914" s="679"/>
    </row>
    <row r="35915" spans="32:32" x14ac:dyDescent="0.2">
      <c r="AF35915" s="679"/>
    </row>
    <row r="35916" spans="32:32" x14ac:dyDescent="0.2">
      <c r="AF35916" s="679"/>
    </row>
    <row r="35917" spans="32:32" x14ac:dyDescent="0.2">
      <c r="AF35917" s="679"/>
    </row>
    <row r="35918" spans="32:32" x14ac:dyDescent="0.2">
      <c r="AF35918" s="679"/>
    </row>
    <row r="35919" spans="32:32" x14ac:dyDescent="0.2">
      <c r="AF35919" s="679"/>
    </row>
    <row r="35920" spans="32:32" x14ac:dyDescent="0.2">
      <c r="AF35920" s="679"/>
    </row>
    <row r="35921" spans="32:32" x14ac:dyDescent="0.2">
      <c r="AF35921" s="679"/>
    </row>
    <row r="35922" spans="32:32" x14ac:dyDescent="0.2">
      <c r="AF35922" s="679"/>
    </row>
    <row r="35923" spans="32:32" x14ac:dyDescent="0.2">
      <c r="AF35923" s="679"/>
    </row>
    <row r="35924" spans="32:32" x14ac:dyDescent="0.2">
      <c r="AF35924" s="679"/>
    </row>
    <row r="35925" spans="32:32" x14ac:dyDescent="0.2">
      <c r="AF35925" s="679"/>
    </row>
    <row r="35926" spans="32:32" x14ac:dyDescent="0.2">
      <c r="AF35926" s="679"/>
    </row>
    <row r="35927" spans="32:32" x14ac:dyDescent="0.2">
      <c r="AF35927" s="679"/>
    </row>
    <row r="35928" spans="32:32" x14ac:dyDescent="0.2">
      <c r="AF35928" s="679"/>
    </row>
    <row r="35929" spans="32:32" x14ac:dyDescent="0.2">
      <c r="AF35929" s="679"/>
    </row>
    <row r="35930" spans="32:32" x14ac:dyDescent="0.2">
      <c r="AF35930" s="679"/>
    </row>
    <row r="35931" spans="32:32" x14ac:dyDescent="0.2">
      <c r="AF35931" s="679"/>
    </row>
    <row r="35932" spans="32:32" x14ac:dyDescent="0.2">
      <c r="AF35932" s="679"/>
    </row>
    <row r="35933" spans="32:32" x14ac:dyDescent="0.2">
      <c r="AF35933" s="679"/>
    </row>
    <row r="35934" spans="32:32" x14ac:dyDescent="0.2">
      <c r="AF35934" s="679"/>
    </row>
    <row r="35935" spans="32:32" x14ac:dyDescent="0.2">
      <c r="AF35935" s="679"/>
    </row>
    <row r="35936" spans="32:32" x14ac:dyDescent="0.2">
      <c r="AF35936" s="679"/>
    </row>
    <row r="35937" spans="32:32" x14ac:dyDescent="0.2">
      <c r="AF35937" s="679"/>
    </row>
    <row r="35938" spans="32:32" x14ac:dyDescent="0.2">
      <c r="AF35938" s="679"/>
    </row>
    <row r="35939" spans="32:32" x14ac:dyDescent="0.2">
      <c r="AF35939" s="679"/>
    </row>
    <row r="35940" spans="32:32" x14ac:dyDescent="0.2">
      <c r="AF35940" s="679"/>
    </row>
    <row r="35941" spans="32:32" x14ac:dyDescent="0.2">
      <c r="AF35941" s="679"/>
    </row>
    <row r="35942" spans="32:32" x14ac:dyDescent="0.2">
      <c r="AF35942" s="679"/>
    </row>
    <row r="35943" spans="32:32" x14ac:dyDescent="0.2">
      <c r="AF35943" s="679"/>
    </row>
    <row r="35944" spans="32:32" x14ac:dyDescent="0.2">
      <c r="AF35944" s="679"/>
    </row>
    <row r="35945" spans="32:32" x14ac:dyDescent="0.2">
      <c r="AF35945" s="679"/>
    </row>
    <row r="35946" spans="32:32" x14ac:dyDescent="0.2">
      <c r="AF35946" s="679"/>
    </row>
    <row r="35947" spans="32:32" x14ac:dyDescent="0.2">
      <c r="AF35947" s="679"/>
    </row>
    <row r="35948" spans="32:32" x14ac:dyDescent="0.2">
      <c r="AF35948" s="679"/>
    </row>
    <row r="35949" spans="32:32" x14ac:dyDescent="0.2">
      <c r="AF35949" s="679"/>
    </row>
    <row r="35950" spans="32:32" x14ac:dyDescent="0.2">
      <c r="AF35950" s="679"/>
    </row>
    <row r="35951" spans="32:32" x14ac:dyDescent="0.2">
      <c r="AF35951" s="679"/>
    </row>
    <row r="35952" spans="32:32" x14ac:dyDescent="0.2">
      <c r="AF35952" s="679"/>
    </row>
    <row r="35953" spans="32:32" x14ac:dyDescent="0.2">
      <c r="AF35953" s="679"/>
    </row>
    <row r="35954" spans="32:32" x14ac:dyDescent="0.2">
      <c r="AF35954" s="679"/>
    </row>
    <row r="35955" spans="32:32" x14ac:dyDescent="0.2">
      <c r="AF35955" s="679"/>
    </row>
    <row r="35956" spans="32:32" x14ac:dyDescent="0.2">
      <c r="AF35956" s="679"/>
    </row>
    <row r="35957" spans="32:32" x14ac:dyDescent="0.2">
      <c r="AF35957" s="679"/>
    </row>
    <row r="35958" spans="32:32" x14ac:dyDescent="0.2">
      <c r="AF35958" s="679"/>
    </row>
    <row r="35959" spans="32:32" x14ac:dyDescent="0.2">
      <c r="AF35959" s="679"/>
    </row>
    <row r="35960" spans="32:32" x14ac:dyDescent="0.2">
      <c r="AF35960" s="679"/>
    </row>
    <row r="35961" spans="32:32" x14ac:dyDescent="0.2">
      <c r="AF35961" s="679"/>
    </row>
    <row r="35962" spans="32:32" x14ac:dyDescent="0.2">
      <c r="AF35962" s="679"/>
    </row>
    <row r="35963" spans="32:32" x14ac:dyDescent="0.2">
      <c r="AF35963" s="679"/>
    </row>
    <row r="35964" spans="32:32" x14ac:dyDescent="0.2">
      <c r="AF35964" s="679"/>
    </row>
    <row r="35965" spans="32:32" x14ac:dyDescent="0.2">
      <c r="AF35965" s="679"/>
    </row>
    <row r="35966" spans="32:32" x14ac:dyDescent="0.2">
      <c r="AF35966" s="679"/>
    </row>
    <row r="35967" spans="32:32" x14ac:dyDescent="0.2">
      <c r="AF35967" s="679"/>
    </row>
    <row r="35968" spans="32:32" x14ac:dyDescent="0.2">
      <c r="AF35968" s="679"/>
    </row>
    <row r="35969" spans="32:32" x14ac:dyDescent="0.2">
      <c r="AF35969" s="679"/>
    </row>
    <row r="35970" spans="32:32" x14ac:dyDescent="0.2">
      <c r="AF35970" s="679"/>
    </row>
    <row r="35971" spans="32:32" x14ac:dyDescent="0.2">
      <c r="AF35971" s="679"/>
    </row>
    <row r="35972" spans="32:32" x14ac:dyDescent="0.2">
      <c r="AF35972" s="679"/>
    </row>
    <row r="35973" spans="32:32" x14ac:dyDescent="0.2">
      <c r="AF35973" s="679"/>
    </row>
    <row r="35974" spans="32:32" x14ac:dyDescent="0.2">
      <c r="AF35974" s="679"/>
    </row>
    <row r="35975" spans="32:32" x14ac:dyDescent="0.2">
      <c r="AF35975" s="679"/>
    </row>
    <row r="35976" spans="32:32" x14ac:dyDescent="0.2">
      <c r="AF35976" s="679"/>
    </row>
    <row r="35977" spans="32:32" x14ac:dyDescent="0.2">
      <c r="AF35977" s="679"/>
    </row>
    <row r="35978" spans="32:32" x14ac:dyDescent="0.2">
      <c r="AF35978" s="679"/>
    </row>
    <row r="35979" spans="32:32" x14ac:dyDescent="0.2">
      <c r="AF35979" s="679"/>
    </row>
    <row r="35980" spans="32:32" x14ac:dyDescent="0.2">
      <c r="AF35980" s="679"/>
    </row>
    <row r="35981" spans="32:32" x14ac:dyDescent="0.2">
      <c r="AF35981" s="679"/>
    </row>
    <row r="35982" spans="32:32" x14ac:dyDescent="0.2">
      <c r="AF35982" s="679"/>
    </row>
    <row r="35983" spans="32:32" x14ac:dyDescent="0.2">
      <c r="AF35983" s="679"/>
    </row>
    <row r="35984" spans="32:32" x14ac:dyDescent="0.2">
      <c r="AF35984" s="679"/>
    </row>
    <row r="35985" spans="32:32" x14ac:dyDescent="0.2">
      <c r="AF35985" s="679"/>
    </row>
    <row r="35986" spans="32:32" x14ac:dyDescent="0.2">
      <c r="AF35986" s="679"/>
    </row>
    <row r="35987" spans="32:32" x14ac:dyDescent="0.2">
      <c r="AF35987" s="679"/>
    </row>
    <row r="35988" spans="32:32" x14ac:dyDescent="0.2">
      <c r="AF35988" s="679"/>
    </row>
    <row r="35989" spans="32:32" x14ac:dyDescent="0.2">
      <c r="AF35989" s="679"/>
    </row>
    <row r="35990" spans="32:32" x14ac:dyDescent="0.2">
      <c r="AF35990" s="679"/>
    </row>
    <row r="35991" spans="32:32" x14ac:dyDescent="0.2">
      <c r="AF35991" s="679"/>
    </row>
    <row r="35992" spans="32:32" x14ac:dyDescent="0.2">
      <c r="AF35992" s="679"/>
    </row>
    <row r="35993" spans="32:32" x14ac:dyDescent="0.2">
      <c r="AF35993" s="679"/>
    </row>
    <row r="35994" spans="32:32" x14ac:dyDescent="0.2">
      <c r="AF35994" s="679"/>
    </row>
    <row r="35995" spans="32:32" x14ac:dyDescent="0.2">
      <c r="AF35995" s="679"/>
    </row>
    <row r="35996" spans="32:32" x14ac:dyDescent="0.2">
      <c r="AF35996" s="679"/>
    </row>
    <row r="35997" spans="32:32" x14ac:dyDescent="0.2">
      <c r="AF35997" s="679"/>
    </row>
    <row r="35998" spans="32:32" x14ac:dyDescent="0.2">
      <c r="AF35998" s="679"/>
    </row>
    <row r="35999" spans="32:32" x14ac:dyDescent="0.2">
      <c r="AF35999" s="679"/>
    </row>
    <row r="36000" spans="32:32" x14ac:dyDescent="0.2">
      <c r="AF36000" s="679"/>
    </row>
    <row r="36001" spans="32:32" x14ac:dyDescent="0.2">
      <c r="AF36001" s="679"/>
    </row>
    <row r="36002" spans="32:32" x14ac:dyDescent="0.2">
      <c r="AF36002" s="679"/>
    </row>
    <row r="36003" spans="32:32" x14ac:dyDescent="0.2">
      <c r="AF36003" s="679"/>
    </row>
    <row r="36004" spans="32:32" x14ac:dyDescent="0.2">
      <c r="AF36004" s="679"/>
    </row>
    <row r="36005" spans="32:32" x14ac:dyDescent="0.2">
      <c r="AF36005" s="679"/>
    </row>
    <row r="36006" spans="32:32" x14ac:dyDescent="0.2">
      <c r="AF36006" s="679"/>
    </row>
    <row r="36007" spans="32:32" x14ac:dyDescent="0.2">
      <c r="AF36007" s="679"/>
    </row>
    <row r="36008" spans="32:32" x14ac:dyDescent="0.2">
      <c r="AF36008" s="679"/>
    </row>
    <row r="36009" spans="32:32" x14ac:dyDescent="0.2">
      <c r="AF36009" s="679"/>
    </row>
    <row r="36010" spans="32:32" x14ac:dyDescent="0.2">
      <c r="AF36010" s="679"/>
    </row>
    <row r="36011" spans="32:32" x14ac:dyDescent="0.2">
      <c r="AF36011" s="679"/>
    </row>
    <row r="36012" spans="32:32" x14ac:dyDescent="0.2">
      <c r="AF36012" s="679"/>
    </row>
    <row r="36013" spans="32:32" x14ac:dyDescent="0.2">
      <c r="AF36013" s="679"/>
    </row>
    <row r="36014" spans="32:32" x14ac:dyDescent="0.2">
      <c r="AF36014" s="679"/>
    </row>
    <row r="36015" spans="32:32" x14ac:dyDescent="0.2">
      <c r="AF36015" s="679"/>
    </row>
    <row r="36016" spans="32:32" x14ac:dyDescent="0.2">
      <c r="AF36016" s="679"/>
    </row>
    <row r="36017" spans="32:32" x14ac:dyDescent="0.2">
      <c r="AF36017" s="679"/>
    </row>
    <row r="36018" spans="32:32" x14ac:dyDescent="0.2">
      <c r="AF36018" s="679"/>
    </row>
    <row r="36019" spans="32:32" x14ac:dyDescent="0.2">
      <c r="AF36019" s="679"/>
    </row>
    <row r="36020" spans="32:32" x14ac:dyDescent="0.2">
      <c r="AF36020" s="679"/>
    </row>
    <row r="36021" spans="32:32" x14ac:dyDescent="0.2">
      <c r="AF36021" s="679"/>
    </row>
    <row r="36022" spans="32:32" x14ac:dyDescent="0.2">
      <c r="AF36022" s="679"/>
    </row>
    <row r="36023" spans="32:32" x14ac:dyDescent="0.2">
      <c r="AF36023" s="679"/>
    </row>
    <row r="36024" spans="32:32" x14ac:dyDescent="0.2">
      <c r="AF36024" s="679"/>
    </row>
    <row r="36025" spans="32:32" x14ac:dyDescent="0.2">
      <c r="AF36025" s="679"/>
    </row>
    <row r="36026" spans="32:32" x14ac:dyDescent="0.2">
      <c r="AF36026" s="679"/>
    </row>
    <row r="36027" spans="32:32" x14ac:dyDescent="0.2">
      <c r="AF36027" s="679"/>
    </row>
    <row r="36028" spans="32:32" x14ac:dyDescent="0.2">
      <c r="AF36028" s="679"/>
    </row>
    <row r="36029" spans="32:32" x14ac:dyDescent="0.2">
      <c r="AF36029" s="679"/>
    </row>
    <row r="36030" spans="32:32" x14ac:dyDescent="0.2">
      <c r="AF36030" s="679"/>
    </row>
    <row r="36031" spans="32:32" x14ac:dyDescent="0.2">
      <c r="AF36031" s="679"/>
    </row>
    <row r="36032" spans="32:32" x14ac:dyDescent="0.2">
      <c r="AF36032" s="679"/>
    </row>
    <row r="36033" spans="32:32" x14ac:dyDescent="0.2">
      <c r="AF36033" s="679"/>
    </row>
    <row r="36034" spans="32:32" x14ac:dyDescent="0.2">
      <c r="AF36034" s="679"/>
    </row>
    <row r="36035" spans="32:32" x14ac:dyDescent="0.2">
      <c r="AF36035" s="679"/>
    </row>
    <row r="36036" spans="32:32" x14ac:dyDescent="0.2">
      <c r="AF36036" s="679"/>
    </row>
    <row r="36037" spans="32:32" x14ac:dyDescent="0.2">
      <c r="AF36037" s="679"/>
    </row>
    <row r="36038" spans="32:32" x14ac:dyDescent="0.2">
      <c r="AF36038" s="679"/>
    </row>
    <row r="36039" spans="32:32" x14ac:dyDescent="0.2">
      <c r="AF36039" s="679"/>
    </row>
    <row r="36040" spans="32:32" x14ac:dyDescent="0.2">
      <c r="AF36040" s="679"/>
    </row>
    <row r="36041" spans="32:32" x14ac:dyDescent="0.2">
      <c r="AF36041" s="679"/>
    </row>
    <row r="36042" spans="32:32" x14ac:dyDescent="0.2">
      <c r="AF36042" s="679"/>
    </row>
    <row r="36043" spans="32:32" x14ac:dyDescent="0.2">
      <c r="AF36043" s="679"/>
    </row>
    <row r="36044" spans="32:32" x14ac:dyDescent="0.2">
      <c r="AF36044" s="679"/>
    </row>
    <row r="36045" spans="32:32" x14ac:dyDescent="0.2">
      <c r="AF36045" s="679"/>
    </row>
    <row r="36046" spans="32:32" x14ac:dyDescent="0.2">
      <c r="AF36046" s="679"/>
    </row>
    <row r="36047" spans="32:32" x14ac:dyDescent="0.2">
      <c r="AF36047" s="679"/>
    </row>
    <row r="36048" spans="32:32" x14ac:dyDescent="0.2">
      <c r="AF36048" s="679"/>
    </row>
    <row r="36049" spans="32:32" x14ac:dyDescent="0.2">
      <c r="AF36049" s="679"/>
    </row>
    <row r="36050" spans="32:32" x14ac:dyDescent="0.2">
      <c r="AF36050" s="679"/>
    </row>
    <row r="36051" spans="32:32" x14ac:dyDescent="0.2">
      <c r="AF36051" s="679"/>
    </row>
    <row r="36052" spans="32:32" x14ac:dyDescent="0.2">
      <c r="AF36052" s="679"/>
    </row>
    <row r="36053" spans="32:32" x14ac:dyDescent="0.2">
      <c r="AF36053" s="679"/>
    </row>
    <row r="36054" spans="32:32" x14ac:dyDescent="0.2">
      <c r="AF36054" s="679"/>
    </row>
    <row r="36055" spans="32:32" x14ac:dyDescent="0.2">
      <c r="AF36055" s="679"/>
    </row>
    <row r="36056" spans="32:32" x14ac:dyDescent="0.2">
      <c r="AF36056" s="679"/>
    </row>
    <row r="36057" spans="32:32" x14ac:dyDescent="0.2">
      <c r="AF36057" s="679"/>
    </row>
    <row r="36058" spans="32:32" x14ac:dyDescent="0.2">
      <c r="AF36058" s="679"/>
    </row>
    <row r="36059" spans="32:32" x14ac:dyDescent="0.2">
      <c r="AF36059" s="679"/>
    </row>
    <row r="36060" spans="32:32" x14ac:dyDescent="0.2">
      <c r="AF36060" s="679"/>
    </row>
    <row r="36061" spans="32:32" x14ac:dyDescent="0.2">
      <c r="AF36061" s="679"/>
    </row>
    <row r="36062" spans="32:32" x14ac:dyDescent="0.2">
      <c r="AF36062" s="679"/>
    </row>
    <row r="36063" spans="32:32" x14ac:dyDescent="0.2">
      <c r="AF36063" s="679"/>
    </row>
    <row r="36064" spans="32:32" x14ac:dyDescent="0.2">
      <c r="AF36064" s="679"/>
    </row>
    <row r="36065" spans="32:32" x14ac:dyDescent="0.2">
      <c r="AF36065" s="679"/>
    </row>
    <row r="36066" spans="32:32" x14ac:dyDescent="0.2">
      <c r="AF36066" s="679"/>
    </row>
    <row r="36067" spans="32:32" x14ac:dyDescent="0.2">
      <c r="AF36067" s="679"/>
    </row>
    <row r="36068" spans="32:32" x14ac:dyDescent="0.2">
      <c r="AF36068" s="679"/>
    </row>
    <row r="36069" spans="32:32" x14ac:dyDescent="0.2">
      <c r="AF36069" s="679"/>
    </row>
    <row r="36070" spans="32:32" x14ac:dyDescent="0.2">
      <c r="AF36070" s="679"/>
    </row>
    <row r="36071" spans="32:32" x14ac:dyDescent="0.2">
      <c r="AF36071" s="679"/>
    </row>
    <row r="36072" spans="32:32" x14ac:dyDescent="0.2">
      <c r="AF36072" s="679"/>
    </row>
    <row r="36073" spans="32:32" x14ac:dyDescent="0.2">
      <c r="AF36073" s="679"/>
    </row>
    <row r="36074" spans="32:32" x14ac:dyDescent="0.2">
      <c r="AF36074" s="679"/>
    </row>
    <row r="36075" spans="32:32" x14ac:dyDescent="0.2">
      <c r="AF36075" s="679"/>
    </row>
    <row r="36076" spans="32:32" x14ac:dyDescent="0.2">
      <c r="AF36076" s="679"/>
    </row>
    <row r="36077" spans="32:32" x14ac:dyDescent="0.2">
      <c r="AF36077" s="679"/>
    </row>
    <row r="36078" spans="32:32" x14ac:dyDescent="0.2">
      <c r="AF36078" s="679"/>
    </row>
    <row r="36079" spans="32:32" x14ac:dyDescent="0.2">
      <c r="AF36079" s="679"/>
    </row>
    <row r="36080" spans="32:32" x14ac:dyDescent="0.2">
      <c r="AF36080" s="679"/>
    </row>
    <row r="36081" spans="32:32" x14ac:dyDescent="0.2">
      <c r="AF36081" s="679"/>
    </row>
    <row r="36082" spans="32:32" x14ac:dyDescent="0.2">
      <c r="AF36082" s="679"/>
    </row>
    <row r="36083" spans="32:32" x14ac:dyDescent="0.2">
      <c r="AF36083" s="679"/>
    </row>
    <row r="36084" spans="32:32" x14ac:dyDescent="0.2">
      <c r="AF36084" s="679"/>
    </row>
    <row r="36085" spans="32:32" x14ac:dyDescent="0.2">
      <c r="AF36085" s="679"/>
    </row>
    <row r="36086" spans="32:32" x14ac:dyDescent="0.2">
      <c r="AF36086" s="679"/>
    </row>
    <row r="36087" spans="32:32" x14ac:dyDescent="0.2">
      <c r="AF36087" s="679"/>
    </row>
    <row r="36088" spans="32:32" x14ac:dyDescent="0.2">
      <c r="AF36088" s="679"/>
    </row>
    <row r="36089" spans="32:32" x14ac:dyDescent="0.2">
      <c r="AF36089" s="679"/>
    </row>
    <row r="36090" spans="32:32" x14ac:dyDescent="0.2">
      <c r="AF36090" s="679"/>
    </row>
    <row r="36091" spans="32:32" x14ac:dyDescent="0.2">
      <c r="AF36091" s="679"/>
    </row>
    <row r="36092" spans="32:32" x14ac:dyDescent="0.2">
      <c r="AF36092" s="679"/>
    </row>
    <row r="36093" spans="32:32" x14ac:dyDescent="0.2">
      <c r="AF36093" s="679"/>
    </row>
    <row r="36094" spans="32:32" x14ac:dyDescent="0.2">
      <c r="AF36094" s="679"/>
    </row>
    <row r="36095" spans="32:32" x14ac:dyDescent="0.2">
      <c r="AF36095" s="679"/>
    </row>
    <row r="36096" spans="32:32" x14ac:dyDescent="0.2">
      <c r="AF36096" s="679"/>
    </row>
    <row r="36097" spans="32:32" x14ac:dyDescent="0.2">
      <c r="AF36097" s="679"/>
    </row>
    <row r="36098" spans="32:32" x14ac:dyDescent="0.2">
      <c r="AF36098" s="679"/>
    </row>
    <row r="36099" spans="32:32" x14ac:dyDescent="0.2">
      <c r="AF36099" s="679"/>
    </row>
    <row r="36100" spans="32:32" x14ac:dyDescent="0.2">
      <c r="AF36100" s="679"/>
    </row>
    <row r="36101" spans="32:32" x14ac:dyDescent="0.2">
      <c r="AF36101" s="679"/>
    </row>
    <row r="36102" spans="32:32" x14ac:dyDescent="0.2">
      <c r="AF36102" s="679"/>
    </row>
    <row r="36103" spans="32:32" x14ac:dyDescent="0.2">
      <c r="AF36103" s="679"/>
    </row>
    <row r="36104" spans="32:32" x14ac:dyDescent="0.2">
      <c r="AF36104" s="679"/>
    </row>
    <row r="36105" spans="32:32" x14ac:dyDescent="0.2">
      <c r="AF36105" s="679"/>
    </row>
    <row r="36106" spans="32:32" x14ac:dyDescent="0.2">
      <c r="AF36106" s="679"/>
    </row>
    <row r="36107" spans="32:32" x14ac:dyDescent="0.2">
      <c r="AF36107" s="679"/>
    </row>
    <row r="36108" spans="32:32" x14ac:dyDescent="0.2">
      <c r="AF36108" s="679"/>
    </row>
    <row r="36109" spans="32:32" x14ac:dyDescent="0.2">
      <c r="AF36109" s="679"/>
    </row>
    <row r="36110" spans="32:32" x14ac:dyDescent="0.2">
      <c r="AF36110" s="679"/>
    </row>
    <row r="36111" spans="32:32" x14ac:dyDescent="0.2">
      <c r="AF36111" s="679"/>
    </row>
    <row r="36112" spans="32:32" x14ac:dyDescent="0.2">
      <c r="AF36112" s="679"/>
    </row>
    <row r="36113" spans="32:32" x14ac:dyDescent="0.2">
      <c r="AF36113" s="679"/>
    </row>
    <row r="36114" spans="32:32" x14ac:dyDescent="0.2">
      <c r="AF36114" s="679"/>
    </row>
    <row r="36115" spans="32:32" x14ac:dyDescent="0.2">
      <c r="AF36115" s="679"/>
    </row>
    <row r="36116" spans="32:32" x14ac:dyDescent="0.2">
      <c r="AF36116" s="679"/>
    </row>
    <row r="36117" spans="32:32" x14ac:dyDescent="0.2">
      <c r="AF36117" s="679"/>
    </row>
    <row r="36118" spans="32:32" x14ac:dyDescent="0.2">
      <c r="AF36118" s="679"/>
    </row>
    <row r="36119" spans="32:32" x14ac:dyDescent="0.2">
      <c r="AF36119" s="679"/>
    </row>
    <row r="36120" spans="32:32" x14ac:dyDescent="0.2">
      <c r="AF36120" s="679"/>
    </row>
    <row r="36121" spans="32:32" x14ac:dyDescent="0.2">
      <c r="AF36121" s="679"/>
    </row>
    <row r="36122" spans="32:32" x14ac:dyDescent="0.2">
      <c r="AF36122" s="679"/>
    </row>
    <row r="36123" spans="32:32" x14ac:dyDescent="0.2">
      <c r="AF36123" s="679"/>
    </row>
    <row r="36124" spans="32:32" x14ac:dyDescent="0.2">
      <c r="AF36124" s="679"/>
    </row>
    <row r="36125" spans="32:32" x14ac:dyDescent="0.2">
      <c r="AF36125" s="679"/>
    </row>
    <row r="36126" spans="32:32" x14ac:dyDescent="0.2">
      <c r="AF36126" s="679"/>
    </row>
    <row r="36127" spans="32:32" x14ac:dyDescent="0.2">
      <c r="AF36127" s="679"/>
    </row>
    <row r="36128" spans="32:32" x14ac:dyDescent="0.2">
      <c r="AF36128" s="679"/>
    </row>
    <row r="36129" spans="32:32" x14ac:dyDescent="0.2">
      <c r="AF36129" s="679"/>
    </row>
    <row r="36130" spans="32:32" x14ac:dyDescent="0.2">
      <c r="AF36130" s="679"/>
    </row>
    <row r="36131" spans="32:32" x14ac:dyDescent="0.2">
      <c r="AF36131" s="679"/>
    </row>
    <row r="36132" spans="32:32" x14ac:dyDescent="0.2">
      <c r="AF36132" s="679"/>
    </row>
    <row r="36133" spans="32:32" x14ac:dyDescent="0.2">
      <c r="AF36133" s="679"/>
    </row>
    <row r="36134" spans="32:32" x14ac:dyDescent="0.2">
      <c r="AF36134" s="679"/>
    </row>
    <row r="36135" spans="32:32" x14ac:dyDescent="0.2">
      <c r="AF36135" s="679"/>
    </row>
    <row r="36136" spans="32:32" x14ac:dyDescent="0.2">
      <c r="AF36136" s="679"/>
    </row>
    <row r="36137" spans="32:32" x14ac:dyDescent="0.2">
      <c r="AF36137" s="679"/>
    </row>
    <row r="36138" spans="32:32" x14ac:dyDescent="0.2">
      <c r="AF36138" s="679"/>
    </row>
    <row r="36139" spans="32:32" x14ac:dyDescent="0.2">
      <c r="AF36139" s="679"/>
    </row>
    <row r="36140" spans="32:32" x14ac:dyDescent="0.2">
      <c r="AF36140" s="679"/>
    </row>
    <row r="36141" spans="32:32" x14ac:dyDescent="0.2">
      <c r="AF36141" s="679"/>
    </row>
    <row r="36142" spans="32:32" x14ac:dyDescent="0.2">
      <c r="AF36142" s="679"/>
    </row>
    <row r="36143" spans="32:32" x14ac:dyDescent="0.2">
      <c r="AF36143" s="679"/>
    </row>
    <row r="36144" spans="32:32" x14ac:dyDescent="0.2">
      <c r="AF36144" s="679"/>
    </row>
    <row r="36145" spans="32:32" x14ac:dyDescent="0.2">
      <c r="AF36145" s="679"/>
    </row>
    <row r="36146" spans="32:32" x14ac:dyDescent="0.2">
      <c r="AF36146" s="679"/>
    </row>
    <row r="36147" spans="32:32" x14ac:dyDescent="0.2">
      <c r="AF36147" s="679"/>
    </row>
    <row r="36148" spans="32:32" x14ac:dyDescent="0.2">
      <c r="AF36148" s="679"/>
    </row>
    <row r="36149" spans="32:32" x14ac:dyDescent="0.2">
      <c r="AF36149" s="679"/>
    </row>
    <row r="36150" spans="32:32" x14ac:dyDescent="0.2">
      <c r="AF36150" s="679"/>
    </row>
    <row r="36151" spans="32:32" x14ac:dyDescent="0.2">
      <c r="AF36151" s="679"/>
    </row>
    <row r="36152" spans="32:32" x14ac:dyDescent="0.2">
      <c r="AF36152" s="679"/>
    </row>
    <row r="36153" spans="32:32" x14ac:dyDescent="0.2">
      <c r="AF36153" s="679"/>
    </row>
    <row r="36154" spans="32:32" x14ac:dyDescent="0.2">
      <c r="AF36154" s="679"/>
    </row>
    <row r="36155" spans="32:32" x14ac:dyDescent="0.2">
      <c r="AF36155" s="679"/>
    </row>
    <row r="36156" spans="32:32" x14ac:dyDescent="0.2">
      <c r="AF36156" s="679"/>
    </row>
    <row r="36157" spans="32:32" x14ac:dyDescent="0.2">
      <c r="AF36157" s="679"/>
    </row>
    <row r="36158" spans="32:32" x14ac:dyDescent="0.2">
      <c r="AF36158" s="679"/>
    </row>
    <row r="36159" spans="32:32" x14ac:dyDescent="0.2">
      <c r="AF36159" s="679"/>
    </row>
    <row r="36160" spans="32:32" x14ac:dyDescent="0.2">
      <c r="AF36160" s="679"/>
    </row>
    <row r="36161" spans="32:32" x14ac:dyDescent="0.2">
      <c r="AF36161" s="679"/>
    </row>
    <row r="36162" spans="32:32" x14ac:dyDescent="0.2">
      <c r="AF36162" s="679"/>
    </row>
    <row r="36163" spans="32:32" x14ac:dyDescent="0.2">
      <c r="AF36163" s="679"/>
    </row>
    <row r="36164" spans="32:32" x14ac:dyDescent="0.2">
      <c r="AF36164" s="679"/>
    </row>
    <row r="36165" spans="32:32" x14ac:dyDescent="0.2">
      <c r="AF36165" s="679"/>
    </row>
    <row r="36166" spans="32:32" x14ac:dyDescent="0.2">
      <c r="AF36166" s="679"/>
    </row>
    <row r="36167" spans="32:32" x14ac:dyDescent="0.2">
      <c r="AF36167" s="679"/>
    </row>
    <row r="36168" spans="32:32" x14ac:dyDescent="0.2">
      <c r="AF36168" s="679"/>
    </row>
    <row r="36169" spans="32:32" x14ac:dyDescent="0.2">
      <c r="AF36169" s="679"/>
    </row>
    <row r="36170" spans="32:32" x14ac:dyDescent="0.2">
      <c r="AF36170" s="679"/>
    </row>
    <row r="36171" spans="32:32" x14ac:dyDescent="0.2">
      <c r="AF36171" s="679"/>
    </row>
    <row r="36172" spans="32:32" x14ac:dyDescent="0.2">
      <c r="AF36172" s="679"/>
    </row>
    <row r="36173" spans="32:32" x14ac:dyDescent="0.2">
      <c r="AF36173" s="679"/>
    </row>
    <row r="36174" spans="32:32" x14ac:dyDescent="0.2">
      <c r="AF36174" s="679"/>
    </row>
    <row r="36175" spans="32:32" x14ac:dyDescent="0.2">
      <c r="AF36175" s="679"/>
    </row>
    <row r="36176" spans="32:32" x14ac:dyDescent="0.2">
      <c r="AF36176" s="679"/>
    </row>
    <row r="36177" spans="32:32" x14ac:dyDescent="0.2">
      <c r="AF36177" s="679"/>
    </row>
    <row r="36178" spans="32:32" x14ac:dyDescent="0.2">
      <c r="AF36178" s="679"/>
    </row>
    <row r="36179" spans="32:32" x14ac:dyDescent="0.2">
      <c r="AF36179" s="679"/>
    </row>
    <row r="36180" spans="32:32" x14ac:dyDescent="0.2">
      <c r="AF36180" s="679"/>
    </row>
    <row r="36181" spans="32:32" x14ac:dyDescent="0.2">
      <c r="AF36181" s="679"/>
    </row>
    <row r="36182" spans="32:32" x14ac:dyDescent="0.2">
      <c r="AF36182" s="679"/>
    </row>
    <row r="36183" spans="32:32" x14ac:dyDescent="0.2">
      <c r="AF36183" s="679"/>
    </row>
    <row r="36184" spans="32:32" x14ac:dyDescent="0.2">
      <c r="AF36184" s="679"/>
    </row>
    <row r="36185" spans="32:32" x14ac:dyDescent="0.2">
      <c r="AF36185" s="679"/>
    </row>
    <row r="36186" spans="32:32" x14ac:dyDescent="0.2">
      <c r="AF36186" s="679"/>
    </row>
    <row r="36187" spans="32:32" x14ac:dyDescent="0.2">
      <c r="AF36187" s="679"/>
    </row>
    <row r="36188" spans="32:32" x14ac:dyDescent="0.2">
      <c r="AF36188" s="679"/>
    </row>
    <row r="36189" spans="32:32" x14ac:dyDescent="0.2">
      <c r="AF36189" s="679"/>
    </row>
    <row r="36190" spans="32:32" x14ac:dyDescent="0.2">
      <c r="AF36190" s="679"/>
    </row>
    <row r="36191" spans="32:32" x14ac:dyDescent="0.2">
      <c r="AF36191" s="679"/>
    </row>
    <row r="36192" spans="32:32" x14ac:dyDescent="0.2">
      <c r="AF36192" s="679"/>
    </row>
    <row r="36193" spans="32:32" x14ac:dyDescent="0.2">
      <c r="AF36193" s="679"/>
    </row>
    <row r="36194" spans="32:32" x14ac:dyDescent="0.2">
      <c r="AF36194" s="679"/>
    </row>
    <row r="36195" spans="32:32" x14ac:dyDescent="0.2">
      <c r="AF36195" s="679"/>
    </row>
    <row r="36196" spans="32:32" x14ac:dyDescent="0.2">
      <c r="AF36196" s="679"/>
    </row>
    <row r="36197" spans="32:32" x14ac:dyDescent="0.2">
      <c r="AF36197" s="679"/>
    </row>
    <row r="36198" spans="32:32" x14ac:dyDescent="0.2">
      <c r="AF36198" s="679"/>
    </row>
    <row r="36199" spans="32:32" x14ac:dyDescent="0.2">
      <c r="AF36199" s="679"/>
    </row>
    <row r="36200" spans="32:32" x14ac:dyDescent="0.2">
      <c r="AF36200" s="679"/>
    </row>
    <row r="36201" spans="32:32" x14ac:dyDescent="0.2">
      <c r="AF36201" s="679"/>
    </row>
    <row r="36202" spans="32:32" x14ac:dyDescent="0.2">
      <c r="AF36202" s="679"/>
    </row>
    <row r="36203" spans="32:32" x14ac:dyDescent="0.2">
      <c r="AF36203" s="679"/>
    </row>
    <row r="36204" spans="32:32" x14ac:dyDescent="0.2">
      <c r="AF36204" s="679"/>
    </row>
    <row r="36205" spans="32:32" x14ac:dyDescent="0.2">
      <c r="AF36205" s="679"/>
    </row>
    <row r="36206" spans="32:32" x14ac:dyDescent="0.2">
      <c r="AF36206" s="679"/>
    </row>
    <row r="36207" spans="32:32" x14ac:dyDescent="0.2">
      <c r="AF36207" s="679"/>
    </row>
    <row r="36208" spans="32:32" x14ac:dyDescent="0.2">
      <c r="AF36208" s="679"/>
    </row>
    <row r="36209" spans="32:32" x14ac:dyDescent="0.2">
      <c r="AF36209" s="679"/>
    </row>
    <row r="36210" spans="32:32" x14ac:dyDescent="0.2">
      <c r="AF36210" s="679"/>
    </row>
    <row r="36211" spans="32:32" x14ac:dyDescent="0.2">
      <c r="AF36211" s="679"/>
    </row>
    <row r="36212" spans="32:32" x14ac:dyDescent="0.2">
      <c r="AF36212" s="679"/>
    </row>
    <row r="36213" spans="32:32" x14ac:dyDescent="0.2">
      <c r="AF36213" s="679"/>
    </row>
    <row r="36214" spans="32:32" x14ac:dyDescent="0.2">
      <c r="AF36214" s="679"/>
    </row>
    <row r="36215" spans="32:32" x14ac:dyDescent="0.2">
      <c r="AF36215" s="679"/>
    </row>
    <row r="36216" spans="32:32" x14ac:dyDescent="0.2">
      <c r="AF36216" s="679"/>
    </row>
    <row r="36217" spans="32:32" x14ac:dyDescent="0.2">
      <c r="AF36217" s="679"/>
    </row>
    <row r="36218" spans="32:32" x14ac:dyDescent="0.2">
      <c r="AF36218" s="679"/>
    </row>
    <row r="36219" spans="32:32" x14ac:dyDescent="0.2">
      <c r="AF36219" s="679"/>
    </row>
    <row r="36220" spans="32:32" x14ac:dyDescent="0.2">
      <c r="AF36220" s="679"/>
    </row>
    <row r="36221" spans="32:32" x14ac:dyDescent="0.2">
      <c r="AF36221" s="679"/>
    </row>
    <row r="36222" spans="32:32" x14ac:dyDescent="0.2">
      <c r="AF36222" s="679"/>
    </row>
    <row r="36223" spans="32:32" x14ac:dyDescent="0.2">
      <c r="AF36223" s="679"/>
    </row>
    <row r="36224" spans="32:32" x14ac:dyDescent="0.2">
      <c r="AF36224" s="679"/>
    </row>
    <row r="36225" spans="32:32" x14ac:dyDescent="0.2">
      <c r="AF36225" s="679"/>
    </row>
    <row r="36226" spans="32:32" x14ac:dyDescent="0.2">
      <c r="AF36226" s="679"/>
    </row>
    <row r="36227" spans="32:32" x14ac:dyDescent="0.2">
      <c r="AF36227" s="679"/>
    </row>
    <row r="36228" spans="32:32" x14ac:dyDescent="0.2">
      <c r="AF36228" s="679"/>
    </row>
    <row r="36229" spans="32:32" x14ac:dyDescent="0.2">
      <c r="AF36229" s="679"/>
    </row>
    <row r="36230" spans="32:32" x14ac:dyDescent="0.2">
      <c r="AF36230" s="679"/>
    </row>
    <row r="36231" spans="32:32" x14ac:dyDescent="0.2">
      <c r="AF36231" s="679"/>
    </row>
    <row r="36232" spans="32:32" x14ac:dyDescent="0.2">
      <c r="AF36232" s="679"/>
    </row>
    <row r="36233" spans="32:32" x14ac:dyDescent="0.2">
      <c r="AF36233" s="679"/>
    </row>
    <row r="36234" spans="32:32" x14ac:dyDescent="0.2">
      <c r="AF36234" s="679"/>
    </row>
    <row r="36235" spans="32:32" x14ac:dyDescent="0.2">
      <c r="AF36235" s="679"/>
    </row>
    <row r="36236" spans="32:32" x14ac:dyDescent="0.2">
      <c r="AF36236" s="679"/>
    </row>
    <row r="36237" spans="32:32" x14ac:dyDescent="0.2">
      <c r="AF36237" s="679"/>
    </row>
    <row r="36238" spans="32:32" x14ac:dyDescent="0.2">
      <c r="AF36238" s="679"/>
    </row>
    <row r="36239" spans="32:32" x14ac:dyDescent="0.2">
      <c r="AF36239" s="679"/>
    </row>
    <row r="36240" spans="32:32" x14ac:dyDescent="0.2">
      <c r="AF36240" s="679"/>
    </row>
    <row r="36241" spans="32:32" x14ac:dyDescent="0.2">
      <c r="AF36241" s="679"/>
    </row>
    <row r="36242" spans="32:32" x14ac:dyDescent="0.2">
      <c r="AF36242" s="679"/>
    </row>
    <row r="36243" spans="32:32" x14ac:dyDescent="0.2">
      <c r="AF36243" s="679"/>
    </row>
    <row r="36244" spans="32:32" x14ac:dyDescent="0.2">
      <c r="AF36244" s="679"/>
    </row>
    <row r="36245" spans="32:32" x14ac:dyDescent="0.2">
      <c r="AF36245" s="679"/>
    </row>
    <row r="36246" spans="32:32" x14ac:dyDescent="0.2">
      <c r="AF36246" s="679"/>
    </row>
    <row r="36247" spans="32:32" x14ac:dyDescent="0.2">
      <c r="AF36247" s="679"/>
    </row>
    <row r="36248" spans="32:32" x14ac:dyDescent="0.2">
      <c r="AF36248" s="679"/>
    </row>
    <row r="36249" spans="32:32" x14ac:dyDescent="0.2">
      <c r="AF36249" s="679"/>
    </row>
    <row r="36250" spans="32:32" x14ac:dyDescent="0.2">
      <c r="AF36250" s="679"/>
    </row>
    <row r="36251" spans="32:32" x14ac:dyDescent="0.2">
      <c r="AF36251" s="679"/>
    </row>
    <row r="36252" spans="32:32" x14ac:dyDescent="0.2">
      <c r="AF36252" s="679"/>
    </row>
    <row r="36253" spans="32:32" x14ac:dyDescent="0.2">
      <c r="AF36253" s="679"/>
    </row>
    <row r="36254" spans="32:32" x14ac:dyDescent="0.2">
      <c r="AF36254" s="679"/>
    </row>
    <row r="36255" spans="32:32" x14ac:dyDescent="0.2">
      <c r="AF36255" s="679"/>
    </row>
    <row r="36256" spans="32:32" x14ac:dyDescent="0.2">
      <c r="AF36256" s="679"/>
    </row>
    <row r="36257" spans="32:32" x14ac:dyDescent="0.2">
      <c r="AF36257" s="679"/>
    </row>
    <row r="36258" spans="32:32" x14ac:dyDescent="0.2">
      <c r="AF36258" s="679"/>
    </row>
    <row r="36259" spans="32:32" x14ac:dyDescent="0.2">
      <c r="AF36259" s="679"/>
    </row>
    <row r="36260" spans="32:32" x14ac:dyDescent="0.2">
      <c r="AF36260" s="679"/>
    </row>
    <row r="36261" spans="32:32" x14ac:dyDescent="0.2">
      <c r="AF36261" s="679"/>
    </row>
    <row r="36262" spans="32:32" x14ac:dyDescent="0.2">
      <c r="AF36262" s="679"/>
    </row>
    <row r="36263" spans="32:32" x14ac:dyDescent="0.2">
      <c r="AF36263" s="679"/>
    </row>
    <row r="36264" spans="32:32" x14ac:dyDescent="0.2">
      <c r="AF36264" s="679"/>
    </row>
    <row r="36265" spans="32:32" x14ac:dyDescent="0.2">
      <c r="AF36265" s="679"/>
    </row>
    <row r="36266" spans="32:32" x14ac:dyDescent="0.2">
      <c r="AF36266" s="679"/>
    </row>
    <row r="36267" spans="32:32" x14ac:dyDescent="0.2">
      <c r="AF36267" s="679"/>
    </row>
    <row r="36268" spans="32:32" x14ac:dyDescent="0.2">
      <c r="AF36268" s="679"/>
    </row>
    <row r="36269" spans="32:32" x14ac:dyDescent="0.2">
      <c r="AF36269" s="679"/>
    </row>
    <row r="36270" spans="32:32" x14ac:dyDescent="0.2">
      <c r="AF36270" s="679"/>
    </row>
    <row r="36271" spans="32:32" x14ac:dyDescent="0.2">
      <c r="AF36271" s="679"/>
    </row>
    <row r="36272" spans="32:32" x14ac:dyDescent="0.2">
      <c r="AF36272" s="679"/>
    </row>
    <row r="36273" spans="32:32" x14ac:dyDescent="0.2">
      <c r="AF36273" s="679"/>
    </row>
    <row r="36274" spans="32:32" x14ac:dyDescent="0.2">
      <c r="AF36274" s="679"/>
    </row>
    <row r="36275" spans="32:32" x14ac:dyDescent="0.2">
      <c r="AF36275" s="679"/>
    </row>
    <row r="36276" spans="32:32" x14ac:dyDescent="0.2">
      <c r="AF36276" s="679"/>
    </row>
    <row r="36277" spans="32:32" x14ac:dyDescent="0.2">
      <c r="AF36277" s="679"/>
    </row>
    <row r="36278" spans="32:32" x14ac:dyDescent="0.2">
      <c r="AF36278" s="679"/>
    </row>
    <row r="36279" spans="32:32" x14ac:dyDescent="0.2">
      <c r="AF36279" s="679"/>
    </row>
    <row r="36280" spans="32:32" x14ac:dyDescent="0.2">
      <c r="AF36280" s="679"/>
    </row>
    <row r="36281" spans="32:32" x14ac:dyDescent="0.2">
      <c r="AF36281" s="679"/>
    </row>
    <row r="36282" spans="32:32" x14ac:dyDescent="0.2">
      <c r="AF36282" s="679"/>
    </row>
    <row r="36283" spans="32:32" x14ac:dyDescent="0.2">
      <c r="AF36283" s="679"/>
    </row>
    <row r="36284" spans="32:32" x14ac:dyDescent="0.2">
      <c r="AF36284" s="679"/>
    </row>
    <row r="36285" spans="32:32" x14ac:dyDescent="0.2">
      <c r="AF36285" s="679"/>
    </row>
    <row r="36286" spans="32:32" x14ac:dyDescent="0.2">
      <c r="AF36286" s="679"/>
    </row>
    <row r="36287" spans="32:32" x14ac:dyDescent="0.2">
      <c r="AF36287" s="679"/>
    </row>
    <row r="36288" spans="32:32" x14ac:dyDescent="0.2">
      <c r="AF36288" s="679"/>
    </row>
    <row r="36289" spans="32:32" x14ac:dyDescent="0.2">
      <c r="AF36289" s="679"/>
    </row>
    <row r="36290" spans="32:32" x14ac:dyDescent="0.2">
      <c r="AF36290" s="679"/>
    </row>
    <row r="36291" spans="32:32" x14ac:dyDescent="0.2">
      <c r="AF36291" s="679"/>
    </row>
    <row r="36292" spans="32:32" x14ac:dyDescent="0.2">
      <c r="AF36292" s="679"/>
    </row>
    <row r="36293" spans="32:32" x14ac:dyDescent="0.2">
      <c r="AF36293" s="679"/>
    </row>
    <row r="36294" spans="32:32" x14ac:dyDescent="0.2">
      <c r="AF36294" s="679"/>
    </row>
    <row r="36295" spans="32:32" x14ac:dyDescent="0.2">
      <c r="AF36295" s="679"/>
    </row>
    <row r="36296" spans="32:32" x14ac:dyDescent="0.2">
      <c r="AF36296" s="679"/>
    </row>
    <row r="36297" spans="32:32" x14ac:dyDescent="0.2">
      <c r="AF36297" s="679"/>
    </row>
    <row r="36298" spans="32:32" x14ac:dyDescent="0.2">
      <c r="AF36298" s="679"/>
    </row>
    <row r="36299" spans="32:32" x14ac:dyDescent="0.2">
      <c r="AF36299" s="679"/>
    </row>
    <row r="36300" spans="32:32" x14ac:dyDescent="0.2">
      <c r="AF36300" s="679"/>
    </row>
    <row r="36301" spans="32:32" x14ac:dyDescent="0.2">
      <c r="AF36301" s="679"/>
    </row>
    <row r="36302" spans="32:32" x14ac:dyDescent="0.2">
      <c r="AF36302" s="679"/>
    </row>
    <row r="36303" spans="32:32" x14ac:dyDescent="0.2">
      <c r="AF36303" s="679"/>
    </row>
    <row r="36304" spans="32:32" x14ac:dyDescent="0.2">
      <c r="AF36304" s="679"/>
    </row>
    <row r="36305" spans="32:32" x14ac:dyDescent="0.2">
      <c r="AF36305" s="679"/>
    </row>
    <row r="36306" spans="32:32" x14ac:dyDescent="0.2">
      <c r="AF36306" s="679"/>
    </row>
    <row r="36307" spans="32:32" x14ac:dyDescent="0.2">
      <c r="AF36307" s="679"/>
    </row>
    <row r="36308" spans="32:32" x14ac:dyDescent="0.2">
      <c r="AF36308" s="679"/>
    </row>
    <row r="36309" spans="32:32" x14ac:dyDescent="0.2">
      <c r="AF36309" s="679"/>
    </row>
    <row r="36310" spans="32:32" x14ac:dyDescent="0.2">
      <c r="AF36310" s="679"/>
    </row>
    <row r="36311" spans="32:32" x14ac:dyDescent="0.2">
      <c r="AF36311" s="679"/>
    </row>
    <row r="36312" spans="32:32" x14ac:dyDescent="0.2">
      <c r="AF36312" s="679"/>
    </row>
    <row r="36313" spans="32:32" x14ac:dyDescent="0.2">
      <c r="AF36313" s="679"/>
    </row>
    <row r="36314" spans="32:32" x14ac:dyDescent="0.2">
      <c r="AF36314" s="679"/>
    </row>
    <row r="36315" spans="32:32" x14ac:dyDescent="0.2">
      <c r="AF36315" s="679"/>
    </row>
    <row r="36316" spans="32:32" x14ac:dyDescent="0.2">
      <c r="AF36316" s="679"/>
    </row>
    <row r="36317" spans="32:32" x14ac:dyDescent="0.2">
      <c r="AF36317" s="679"/>
    </row>
    <row r="36318" spans="32:32" x14ac:dyDescent="0.2">
      <c r="AF36318" s="679"/>
    </row>
    <row r="36319" spans="32:32" x14ac:dyDescent="0.2">
      <c r="AF36319" s="679"/>
    </row>
    <row r="36320" spans="32:32" x14ac:dyDescent="0.2">
      <c r="AF36320" s="679"/>
    </row>
    <row r="36321" spans="32:32" x14ac:dyDescent="0.2">
      <c r="AF36321" s="679"/>
    </row>
    <row r="36322" spans="32:32" x14ac:dyDescent="0.2">
      <c r="AF36322" s="679"/>
    </row>
    <row r="36323" spans="32:32" x14ac:dyDescent="0.2">
      <c r="AF36323" s="679"/>
    </row>
    <row r="36324" spans="32:32" x14ac:dyDescent="0.2">
      <c r="AF36324" s="679"/>
    </row>
    <row r="36325" spans="32:32" x14ac:dyDescent="0.2">
      <c r="AF36325" s="679"/>
    </row>
    <row r="36326" spans="32:32" x14ac:dyDescent="0.2">
      <c r="AF36326" s="679"/>
    </row>
    <row r="36327" spans="32:32" x14ac:dyDescent="0.2">
      <c r="AF36327" s="679"/>
    </row>
    <row r="36328" spans="32:32" x14ac:dyDescent="0.2">
      <c r="AF36328" s="679"/>
    </row>
    <row r="36329" spans="32:32" x14ac:dyDescent="0.2">
      <c r="AF36329" s="679"/>
    </row>
    <row r="36330" spans="32:32" x14ac:dyDescent="0.2">
      <c r="AF36330" s="679"/>
    </row>
    <row r="36331" spans="32:32" x14ac:dyDescent="0.2">
      <c r="AF36331" s="679"/>
    </row>
    <row r="36332" spans="32:32" x14ac:dyDescent="0.2">
      <c r="AF36332" s="679"/>
    </row>
    <row r="36333" spans="32:32" x14ac:dyDescent="0.2">
      <c r="AF36333" s="679"/>
    </row>
    <row r="36334" spans="32:32" x14ac:dyDescent="0.2">
      <c r="AF36334" s="679"/>
    </row>
    <row r="36335" spans="32:32" x14ac:dyDescent="0.2">
      <c r="AF36335" s="679"/>
    </row>
    <row r="36336" spans="32:32" x14ac:dyDescent="0.2">
      <c r="AF36336" s="679"/>
    </row>
    <row r="36337" spans="32:32" x14ac:dyDescent="0.2">
      <c r="AF36337" s="679"/>
    </row>
    <row r="36338" spans="32:32" x14ac:dyDescent="0.2">
      <c r="AF36338" s="679"/>
    </row>
    <row r="36339" spans="32:32" x14ac:dyDescent="0.2">
      <c r="AF36339" s="679"/>
    </row>
    <row r="36340" spans="32:32" x14ac:dyDescent="0.2">
      <c r="AF36340" s="679"/>
    </row>
    <row r="36341" spans="32:32" x14ac:dyDescent="0.2">
      <c r="AF36341" s="679"/>
    </row>
    <row r="36342" spans="32:32" x14ac:dyDescent="0.2">
      <c r="AF36342" s="679"/>
    </row>
    <row r="36343" spans="32:32" x14ac:dyDescent="0.2">
      <c r="AF36343" s="679"/>
    </row>
    <row r="36344" spans="32:32" x14ac:dyDescent="0.2">
      <c r="AF36344" s="679"/>
    </row>
    <row r="36345" spans="32:32" x14ac:dyDescent="0.2">
      <c r="AF36345" s="679"/>
    </row>
    <row r="36346" spans="32:32" x14ac:dyDescent="0.2">
      <c r="AF36346" s="679"/>
    </row>
    <row r="36347" spans="32:32" x14ac:dyDescent="0.2">
      <c r="AF36347" s="679"/>
    </row>
    <row r="36348" spans="32:32" x14ac:dyDescent="0.2">
      <c r="AF36348" s="679"/>
    </row>
    <row r="36349" spans="32:32" x14ac:dyDescent="0.2">
      <c r="AF36349" s="679"/>
    </row>
    <row r="36350" spans="32:32" x14ac:dyDescent="0.2">
      <c r="AF36350" s="679"/>
    </row>
    <row r="36351" spans="32:32" x14ac:dyDescent="0.2">
      <c r="AF36351" s="679"/>
    </row>
    <row r="36352" spans="32:32" x14ac:dyDescent="0.2">
      <c r="AF36352" s="679"/>
    </row>
    <row r="36353" spans="32:32" x14ac:dyDescent="0.2">
      <c r="AF36353" s="679"/>
    </row>
    <row r="36354" spans="32:32" x14ac:dyDescent="0.2">
      <c r="AF36354" s="679"/>
    </row>
    <row r="36355" spans="32:32" x14ac:dyDescent="0.2">
      <c r="AF36355" s="679"/>
    </row>
    <row r="36356" spans="32:32" x14ac:dyDescent="0.2">
      <c r="AF36356" s="679"/>
    </row>
    <row r="36357" spans="32:32" x14ac:dyDescent="0.2">
      <c r="AF36357" s="679"/>
    </row>
    <row r="36358" spans="32:32" x14ac:dyDescent="0.2">
      <c r="AF36358" s="679"/>
    </row>
    <row r="36359" spans="32:32" x14ac:dyDescent="0.2">
      <c r="AF36359" s="679"/>
    </row>
    <row r="36360" spans="32:32" x14ac:dyDescent="0.2">
      <c r="AF36360" s="679"/>
    </row>
    <row r="36361" spans="32:32" x14ac:dyDescent="0.2">
      <c r="AF36361" s="679"/>
    </row>
    <row r="36362" spans="32:32" x14ac:dyDescent="0.2">
      <c r="AF36362" s="679"/>
    </row>
    <row r="36363" spans="32:32" x14ac:dyDescent="0.2">
      <c r="AF36363" s="679"/>
    </row>
    <row r="36364" spans="32:32" x14ac:dyDescent="0.2">
      <c r="AF36364" s="679"/>
    </row>
    <row r="36365" spans="32:32" x14ac:dyDescent="0.2">
      <c r="AF36365" s="679"/>
    </row>
    <row r="36366" spans="32:32" x14ac:dyDescent="0.2">
      <c r="AF36366" s="679"/>
    </row>
    <row r="36367" spans="32:32" x14ac:dyDescent="0.2">
      <c r="AF36367" s="679"/>
    </row>
    <row r="36368" spans="32:32" x14ac:dyDescent="0.2">
      <c r="AF36368" s="679"/>
    </row>
    <row r="36369" spans="32:32" x14ac:dyDescent="0.2">
      <c r="AF36369" s="679"/>
    </row>
    <row r="36370" spans="32:32" x14ac:dyDescent="0.2">
      <c r="AF36370" s="679"/>
    </row>
    <row r="36371" spans="32:32" x14ac:dyDescent="0.2">
      <c r="AF36371" s="679"/>
    </row>
    <row r="36372" spans="32:32" x14ac:dyDescent="0.2">
      <c r="AF36372" s="679"/>
    </row>
    <row r="36373" spans="32:32" x14ac:dyDescent="0.2">
      <c r="AF36373" s="679"/>
    </row>
    <row r="36374" spans="32:32" x14ac:dyDescent="0.2">
      <c r="AF36374" s="679"/>
    </row>
    <row r="36375" spans="32:32" x14ac:dyDescent="0.2">
      <c r="AF36375" s="679"/>
    </row>
    <row r="36376" spans="32:32" x14ac:dyDescent="0.2">
      <c r="AF36376" s="679"/>
    </row>
    <row r="36377" spans="32:32" x14ac:dyDescent="0.2">
      <c r="AF36377" s="679"/>
    </row>
    <row r="36378" spans="32:32" x14ac:dyDescent="0.2">
      <c r="AF36378" s="679"/>
    </row>
    <row r="36379" spans="32:32" x14ac:dyDescent="0.2">
      <c r="AF36379" s="679"/>
    </row>
    <row r="36380" spans="32:32" x14ac:dyDescent="0.2">
      <c r="AF36380" s="679"/>
    </row>
    <row r="36381" spans="32:32" x14ac:dyDescent="0.2">
      <c r="AF36381" s="679"/>
    </row>
    <row r="36382" spans="32:32" x14ac:dyDescent="0.2">
      <c r="AF36382" s="679"/>
    </row>
    <row r="36383" spans="32:32" x14ac:dyDescent="0.2">
      <c r="AF36383" s="679"/>
    </row>
    <row r="36384" spans="32:32" x14ac:dyDescent="0.2">
      <c r="AF36384" s="679"/>
    </row>
    <row r="36385" spans="32:32" x14ac:dyDescent="0.2">
      <c r="AF36385" s="679"/>
    </row>
    <row r="36386" spans="32:32" x14ac:dyDescent="0.2">
      <c r="AF36386" s="679"/>
    </row>
    <row r="36387" spans="32:32" x14ac:dyDescent="0.2">
      <c r="AF36387" s="679"/>
    </row>
    <row r="36388" spans="32:32" x14ac:dyDescent="0.2">
      <c r="AF36388" s="679"/>
    </row>
    <row r="36389" spans="32:32" x14ac:dyDescent="0.2">
      <c r="AF36389" s="679"/>
    </row>
    <row r="36390" spans="32:32" x14ac:dyDescent="0.2">
      <c r="AF36390" s="679"/>
    </row>
    <row r="36391" spans="32:32" x14ac:dyDescent="0.2">
      <c r="AF36391" s="679"/>
    </row>
    <row r="36392" spans="32:32" x14ac:dyDescent="0.2">
      <c r="AF36392" s="679"/>
    </row>
    <row r="36393" spans="32:32" x14ac:dyDescent="0.2">
      <c r="AF36393" s="679"/>
    </row>
    <row r="36394" spans="32:32" x14ac:dyDescent="0.2">
      <c r="AF36394" s="679"/>
    </row>
    <row r="36395" spans="32:32" x14ac:dyDescent="0.2">
      <c r="AF36395" s="679"/>
    </row>
    <row r="36396" spans="32:32" x14ac:dyDescent="0.2">
      <c r="AF36396" s="679"/>
    </row>
    <row r="36397" spans="32:32" x14ac:dyDescent="0.2">
      <c r="AF36397" s="679"/>
    </row>
    <row r="36398" spans="32:32" x14ac:dyDescent="0.2">
      <c r="AF36398" s="679"/>
    </row>
    <row r="36399" spans="32:32" x14ac:dyDescent="0.2">
      <c r="AF36399" s="679"/>
    </row>
    <row r="36400" spans="32:32" x14ac:dyDescent="0.2">
      <c r="AF36400" s="679"/>
    </row>
    <row r="36401" spans="32:32" x14ac:dyDescent="0.2">
      <c r="AF36401" s="679"/>
    </row>
    <row r="36402" spans="32:32" x14ac:dyDescent="0.2">
      <c r="AF36402" s="679"/>
    </row>
    <row r="36403" spans="32:32" x14ac:dyDescent="0.2">
      <c r="AF36403" s="679"/>
    </row>
    <row r="36404" spans="32:32" x14ac:dyDescent="0.2">
      <c r="AF36404" s="679"/>
    </row>
    <row r="36405" spans="32:32" x14ac:dyDescent="0.2">
      <c r="AF36405" s="679"/>
    </row>
    <row r="36406" spans="32:32" x14ac:dyDescent="0.2">
      <c r="AF36406" s="679"/>
    </row>
    <row r="36407" spans="32:32" x14ac:dyDescent="0.2">
      <c r="AF36407" s="679"/>
    </row>
    <row r="36408" spans="32:32" x14ac:dyDescent="0.2">
      <c r="AF36408" s="679"/>
    </row>
    <row r="36409" spans="32:32" x14ac:dyDescent="0.2">
      <c r="AF36409" s="679"/>
    </row>
    <row r="36410" spans="32:32" x14ac:dyDescent="0.2">
      <c r="AF36410" s="679"/>
    </row>
    <row r="36411" spans="32:32" x14ac:dyDescent="0.2">
      <c r="AF36411" s="679"/>
    </row>
    <row r="36412" spans="32:32" x14ac:dyDescent="0.2">
      <c r="AF36412" s="679"/>
    </row>
    <row r="36413" spans="32:32" x14ac:dyDescent="0.2">
      <c r="AF36413" s="679"/>
    </row>
    <row r="36414" spans="32:32" x14ac:dyDescent="0.2">
      <c r="AF36414" s="679"/>
    </row>
    <row r="36415" spans="32:32" x14ac:dyDescent="0.2">
      <c r="AF36415" s="679"/>
    </row>
    <row r="36416" spans="32:32" x14ac:dyDescent="0.2">
      <c r="AF36416" s="679"/>
    </row>
    <row r="36417" spans="32:32" x14ac:dyDescent="0.2">
      <c r="AF36417" s="679"/>
    </row>
    <row r="36418" spans="32:32" x14ac:dyDescent="0.2">
      <c r="AF36418" s="679"/>
    </row>
    <row r="36419" spans="32:32" x14ac:dyDescent="0.2">
      <c r="AF36419" s="679"/>
    </row>
    <row r="36420" spans="32:32" x14ac:dyDescent="0.2">
      <c r="AF36420" s="679"/>
    </row>
    <row r="36421" spans="32:32" x14ac:dyDescent="0.2">
      <c r="AF36421" s="679"/>
    </row>
    <row r="36422" spans="32:32" x14ac:dyDescent="0.2">
      <c r="AF36422" s="679"/>
    </row>
    <row r="36423" spans="32:32" x14ac:dyDescent="0.2">
      <c r="AF36423" s="679"/>
    </row>
    <row r="36424" spans="32:32" x14ac:dyDescent="0.2">
      <c r="AF36424" s="679"/>
    </row>
    <row r="36425" spans="32:32" x14ac:dyDescent="0.2">
      <c r="AF36425" s="679"/>
    </row>
    <row r="36426" spans="32:32" x14ac:dyDescent="0.2">
      <c r="AF36426" s="679"/>
    </row>
    <row r="36427" spans="32:32" x14ac:dyDescent="0.2">
      <c r="AF36427" s="679"/>
    </row>
    <row r="36428" spans="32:32" x14ac:dyDescent="0.2">
      <c r="AF36428" s="679"/>
    </row>
    <row r="36429" spans="32:32" x14ac:dyDescent="0.2">
      <c r="AF36429" s="679"/>
    </row>
    <row r="36430" spans="32:32" x14ac:dyDescent="0.2">
      <c r="AF36430" s="679"/>
    </row>
    <row r="36431" spans="32:32" x14ac:dyDescent="0.2">
      <c r="AF36431" s="679"/>
    </row>
    <row r="36432" spans="32:32" x14ac:dyDescent="0.2">
      <c r="AF36432" s="679"/>
    </row>
    <row r="36433" spans="32:32" x14ac:dyDescent="0.2">
      <c r="AF36433" s="679"/>
    </row>
    <row r="36434" spans="32:32" x14ac:dyDescent="0.2">
      <c r="AF36434" s="679"/>
    </row>
    <row r="36435" spans="32:32" x14ac:dyDescent="0.2">
      <c r="AF36435" s="679"/>
    </row>
    <row r="36436" spans="32:32" x14ac:dyDescent="0.2">
      <c r="AF36436" s="679"/>
    </row>
    <row r="36437" spans="32:32" x14ac:dyDescent="0.2">
      <c r="AF36437" s="679"/>
    </row>
    <row r="36438" spans="32:32" x14ac:dyDescent="0.2">
      <c r="AF36438" s="679"/>
    </row>
    <row r="36439" spans="32:32" x14ac:dyDescent="0.2">
      <c r="AF36439" s="679"/>
    </row>
    <row r="36440" spans="32:32" x14ac:dyDescent="0.2">
      <c r="AF36440" s="679"/>
    </row>
    <row r="36441" spans="32:32" x14ac:dyDescent="0.2">
      <c r="AF36441" s="679"/>
    </row>
    <row r="36442" spans="32:32" x14ac:dyDescent="0.2">
      <c r="AF36442" s="679"/>
    </row>
    <row r="36443" spans="32:32" x14ac:dyDescent="0.2">
      <c r="AF36443" s="679"/>
    </row>
    <row r="36444" spans="32:32" x14ac:dyDescent="0.2">
      <c r="AF36444" s="679"/>
    </row>
    <row r="36445" spans="32:32" x14ac:dyDescent="0.2">
      <c r="AF36445" s="679"/>
    </row>
    <row r="36446" spans="32:32" x14ac:dyDescent="0.2">
      <c r="AF36446" s="679"/>
    </row>
    <row r="36447" spans="32:32" x14ac:dyDescent="0.2">
      <c r="AF36447" s="679"/>
    </row>
    <row r="36448" spans="32:32" x14ac:dyDescent="0.2">
      <c r="AF36448" s="679"/>
    </row>
    <row r="36449" spans="32:32" x14ac:dyDescent="0.2">
      <c r="AF36449" s="679"/>
    </row>
    <row r="36450" spans="32:32" x14ac:dyDescent="0.2">
      <c r="AF36450" s="679"/>
    </row>
    <row r="36451" spans="32:32" x14ac:dyDescent="0.2">
      <c r="AF36451" s="679"/>
    </row>
    <row r="36452" spans="32:32" x14ac:dyDescent="0.2">
      <c r="AF36452" s="679"/>
    </row>
    <row r="36453" spans="32:32" x14ac:dyDescent="0.2">
      <c r="AF36453" s="679"/>
    </row>
    <row r="36454" spans="32:32" x14ac:dyDescent="0.2">
      <c r="AF36454" s="679"/>
    </row>
    <row r="36455" spans="32:32" x14ac:dyDescent="0.2">
      <c r="AF36455" s="679"/>
    </row>
    <row r="36456" spans="32:32" x14ac:dyDescent="0.2">
      <c r="AF36456" s="679"/>
    </row>
    <row r="36457" spans="32:32" x14ac:dyDescent="0.2">
      <c r="AF36457" s="679"/>
    </row>
    <row r="36458" spans="32:32" x14ac:dyDescent="0.2">
      <c r="AF36458" s="679"/>
    </row>
    <row r="36459" spans="32:32" x14ac:dyDescent="0.2">
      <c r="AF36459" s="679"/>
    </row>
    <row r="36460" spans="32:32" x14ac:dyDescent="0.2">
      <c r="AF36460" s="679"/>
    </row>
    <row r="36461" spans="32:32" x14ac:dyDescent="0.2">
      <c r="AF36461" s="679"/>
    </row>
    <row r="36462" spans="32:32" x14ac:dyDescent="0.2">
      <c r="AF36462" s="679"/>
    </row>
    <row r="36463" spans="32:32" x14ac:dyDescent="0.2">
      <c r="AF36463" s="679"/>
    </row>
    <row r="36464" spans="32:32" x14ac:dyDescent="0.2">
      <c r="AF36464" s="679"/>
    </row>
    <row r="36465" spans="32:32" x14ac:dyDescent="0.2">
      <c r="AF36465" s="679"/>
    </row>
    <row r="36466" spans="32:32" x14ac:dyDescent="0.2">
      <c r="AF36466" s="679"/>
    </row>
    <row r="36467" spans="32:32" x14ac:dyDescent="0.2">
      <c r="AF36467" s="679"/>
    </row>
    <row r="36468" spans="32:32" x14ac:dyDescent="0.2">
      <c r="AF36468" s="679"/>
    </row>
    <row r="36469" spans="32:32" x14ac:dyDescent="0.2">
      <c r="AF36469" s="679"/>
    </row>
    <row r="36470" spans="32:32" x14ac:dyDescent="0.2">
      <c r="AF36470" s="679"/>
    </row>
    <row r="36471" spans="32:32" x14ac:dyDescent="0.2">
      <c r="AF36471" s="679"/>
    </row>
    <row r="36472" spans="32:32" x14ac:dyDescent="0.2">
      <c r="AF36472" s="679"/>
    </row>
    <row r="36473" spans="32:32" x14ac:dyDescent="0.2">
      <c r="AF36473" s="679"/>
    </row>
    <row r="36474" spans="32:32" x14ac:dyDescent="0.2">
      <c r="AF36474" s="679"/>
    </row>
    <row r="36475" spans="32:32" x14ac:dyDescent="0.2">
      <c r="AF36475" s="679"/>
    </row>
    <row r="36476" spans="32:32" x14ac:dyDescent="0.2">
      <c r="AF36476" s="679"/>
    </row>
    <row r="36477" spans="32:32" x14ac:dyDescent="0.2">
      <c r="AF36477" s="679"/>
    </row>
    <row r="36478" spans="32:32" x14ac:dyDescent="0.2">
      <c r="AF36478" s="679"/>
    </row>
    <row r="36479" spans="32:32" x14ac:dyDescent="0.2">
      <c r="AF36479" s="679"/>
    </row>
    <row r="36480" spans="32:32" x14ac:dyDescent="0.2">
      <c r="AF36480" s="679"/>
    </row>
    <row r="36481" spans="32:32" x14ac:dyDescent="0.2">
      <c r="AF36481" s="679"/>
    </row>
    <row r="36482" spans="32:32" x14ac:dyDescent="0.2">
      <c r="AF36482" s="679"/>
    </row>
    <row r="36483" spans="32:32" x14ac:dyDescent="0.2">
      <c r="AF36483" s="679"/>
    </row>
    <row r="36484" spans="32:32" x14ac:dyDescent="0.2">
      <c r="AF36484" s="679"/>
    </row>
    <row r="36485" spans="32:32" x14ac:dyDescent="0.2">
      <c r="AF36485" s="679"/>
    </row>
    <row r="36486" spans="32:32" x14ac:dyDescent="0.2">
      <c r="AF36486" s="679"/>
    </row>
    <row r="36487" spans="32:32" x14ac:dyDescent="0.2">
      <c r="AF36487" s="679"/>
    </row>
    <row r="36488" spans="32:32" x14ac:dyDescent="0.2">
      <c r="AF36488" s="679"/>
    </row>
    <row r="36489" spans="32:32" x14ac:dyDescent="0.2">
      <c r="AF36489" s="679"/>
    </row>
    <row r="36490" spans="32:32" x14ac:dyDescent="0.2">
      <c r="AF36490" s="679"/>
    </row>
    <row r="36491" spans="32:32" x14ac:dyDescent="0.2">
      <c r="AF36491" s="679"/>
    </row>
    <row r="36492" spans="32:32" x14ac:dyDescent="0.2">
      <c r="AF36492" s="679"/>
    </row>
    <row r="36493" spans="32:32" x14ac:dyDescent="0.2">
      <c r="AF36493" s="679"/>
    </row>
    <row r="36494" spans="32:32" x14ac:dyDescent="0.2">
      <c r="AF36494" s="679"/>
    </row>
    <row r="36495" spans="32:32" x14ac:dyDescent="0.2">
      <c r="AF36495" s="679"/>
    </row>
    <row r="36496" spans="32:32" x14ac:dyDescent="0.2">
      <c r="AF36496" s="679"/>
    </row>
    <row r="36497" spans="32:32" x14ac:dyDescent="0.2">
      <c r="AF36497" s="679"/>
    </row>
    <row r="36498" spans="32:32" x14ac:dyDescent="0.2">
      <c r="AF36498" s="679"/>
    </row>
    <row r="36499" spans="32:32" x14ac:dyDescent="0.2">
      <c r="AF36499" s="679"/>
    </row>
    <row r="36500" spans="32:32" x14ac:dyDescent="0.2">
      <c r="AF36500" s="679"/>
    </row>
    <row r="36501" spans="32:32" x14ac:dyDescent="0.2">
      <c r="AF36501" s="679"/>
    </row>
    <row r="36502" spans="32:32" x14ac:dyDescent="0.2">
      <c r="AF36502" s="679"/>
    </row>
    <row r="36503" spans="32:32" x14ac:dyDescent="0.2">
      <c r="AF36503" s="679"/>
    </row>
    <row r="36504" spans="32:32" x14ac:dyDescent="0.2">
      <c r="AF36504" s="679"/>
    </row>
    <row r="36505" spans="32:32" x14ac:dyDescent="0.2">
      <c r="AF36505" s="679"/>
    </row>
    <row r="36506" spans="32:32" x14ac:dyDescent="0.2">
      <c r="AF36506" s="679"/>
    </row>
    <row r="36507" spans="32:32" x14ac:dyDescent="0.2">
      <c r="AF36507" s="679"/>
    </row>
    <row r="36508" spans="32:32" x14ac:dyDescent="0.2">
      <c r="AF36508" s="679"/>
    </row>
    <row r="36509" spans="32:32" x14ac:dyDescent="0.2">
      <c r="AF36509" s="679"/>
    </row>
    <row r="36510" spans="32:32" x14ac:dyDescent="0.2">
      <c r="AF36510" s="679"/>
    </row>
    <row r="36511" spans="32:32" x14ac:dyDescent="0.2">
      <c r="AF36511" s="679"/>
    </row>
    <row r="36512" spans="32:32" x14ac:dyDescent="0.2">
      <c r="AF36512" s="679"/>
    </row>
    <row r="36513" spans="32:32" x14ac:dyDescent="0.2">
      <c r="AF36513" s="679"/>
    </row>
    <row r="36514" spans="32:32" x14ac:dyDescent="0.2">
      <c r="AF36514" s="679"/>
    </row>
    <row r="36515" spans="32:32" x14ac:dyDescent="0.2">
      <c r="AF36515" s="679"/>
    </row>
    <row r="36516" spans="32:32" x14ac:dyDescent="0.2">
      <c r="AF36516" s="679"/>
    </row>
    <row r="36517" spans="32:32" x14ac:dyDescent="0.2">
      <c r="AF36517" s="679"/>
    </row>
    <row r="36518" spans="32:32" x14ac:dyDescent="0.2">
      <c r="AF36518" s="679"/>
    </row>
    <row r="36519" spans="32:32" x14ac:dyDescent="0.2">
      <c r="AF36519" s="679"/>
    </row>
    <row r="36520" spans="32:32" x14ac:dyDescent="0.2">
      <c r="AF36520" s="679"/>
    </row>
    <row r="36521" spans="32:32" x14ac:dyDescent="0.2">
      <c r="AF36521" s="679"/>
    </row>
    <row r="36522" spans="32:32" x14ac:dyDescent="0.2">
      <c r="AF36522" s="679"/>
    </row>
    <row r="36523" spans="32:32" x14ac:dyDescent="0.2">
      <c r="AF36523" s="679"/>
    </row>
    <row r="36524" spans="32:32" x14ac:dyDescent="0.2">
      <c r="AF36524" s="679"/>
    </row>
    <row r="36525" spans="32:32" x14ac:dyDescent="0.2">
      <c r="AF36525" s="679"/>
    </row>
    <row r="36526" spans="32:32" x14ac:dyDescent="0.2">
      <c r="AF36526" s="679"/>
    </row>
    <row r="36527" spans="32:32" x14ac:dyDescent="0.2">
      <c r="AF36527" s="679"/>
    </row>
    <row r="36528" spans="32:32" x14ac:dyDescent="0.2">
      <c r="AF36528" s="679"/>
    </row>
    <row r="36529" spans="32:32" x14ac:dyDescent="0.2">
      <c r="AF36529" s="679"/>
    </row>
    <row r="36530" spans="32:32" x14ac:dyDescent="0.2">
      <c r="AF36530" s="679"/>
    </row>
    <row r="36531" spans="32:32" x14ac:dyDescent="0.2">
      <c r="AF36531" s="679"/>
    </row>
    <row r="36532" spans="32:32" x14ac:dyDescent="0.2">
      <c r="AF36532" s="679"/>
    </row>
    <row r="36533" spans="32:32" x14ac:dyDescent="0.2">
      <c r="AF36533" s="679"/>
    </row>
    <row r="36534" spans="32:32" x14ac:dyDescent="0.2">
      <c r="AF36534" s="679"/>
    </row>
    <row r="36535" spans="32:32" x14ac:dyDescent="0.2">
      <c r="AF36535" s="679"/>
    </row>
    <row r="36536" spans="32:32" x14ac:dyDescent="0.2">
      <c r="AF36536" s="679"/>
    </row>
    <row r="36537" spans="32:32" x14ac:dyDescent="0.2">
      <c r="AF36537" s="679"/>
    </row>
    <row r="36538" spans="32:32" x14ac:dyDescent="0.2">
      <c r="AF36538" s="679"/>
    </row>
    <row r="36539" spans="32:32" x14ac:dyDescent="0.2">
      <c r="AF36539" s="679"/>
    </row>
    <row r="36540" spans="32:32" x14ac:dyDescent="0.2">
      <c r="AF36540" s="679"/>
    </row>
    <row r="36541" spans="32:32" x14ac:dyDescent="0.2">
      <c r="AF36541" s="679"/>
    </row>
    <row r="36542" spans="32:32" x14ac:dyDescent="0.2">
      <c r="AF36542" s="679"/>
    </row>
    <row r="36543" spans="32:32" x14ac:dyDescent="0.2">
      <c r="AF36543" s="679"/>
    </row>
    <row r="36544" spans="32:32" x14ac:dyDescent="0.2">
      <c r="AF36544" s="679"/>
    </row>
    <row r="36545" spans="32:32" x14ac:dyDescent="0.2">
      <c r="AF36545" s="679"/>
    </row>
    <row r="36546" spans="32:32" x14ac:dyDescent="0.2">
      <c r="AF36546" s="679"/>
    </row>
    <row r="36547" spans="32:32" x14ac:dyDescent="0.2">
      <c r="AF36547" s="679"/>
    </row>
    <row r="36548" spans="32:32" x14ac:dyDescent="0.2">
      <c r="AF36548" s="679"/>
    </row>
    <row r="36549" spans="32:32" x14ac:dyDescent="0.2">
      <c r="AF36549" s="679"/>
    </row>
    <row r="36550" spans="32:32" x14ac:dyDescent="0.2">
      <c r="AF36550" s="679"/>
    </row>
    <row r="36551" spans="32:32" x14ac:dyDescent="0.2">
      <c r="AF36551" s="679"/>
    </row>
    <row r="36552" spans="32:32" x14ac:dyDescent="0.2">
      <c r="AF36552" s="679"/>
    </row>
    <row r="36553" spans="32:32" x14ac:dyDescent="0.2">
      <c r="AF36553" s="679"/>
    </row>
    <row r="36554" spans="32:32" x14ac:dyDescent="0.2">
      <c r="AF36554" s="679"/>
    </row>
    <row r="36555" spans="32:32" x14ac:dyDescent="0.2">
      <c r="AF36555" s="679"/>
    </row>
    <row r="36556" spans="32:32" x14ac:dyDescent="0.2">
      <c r="AF36556" s="679"/>
    </row>
    <row r="36557" spans="32:32" x14ac:dyDescent="0.2">
      <c r="AF36557" s="679"/>
    </row>
    <row r="36558" spans="32:32" x14ac:dyDescent="0.2">
      <c r="AF36558" s="679"/>
    </row>
    <row r="36559" spans="32:32" x14ac:dyDescent="0.2">
      <c r="AF36559" s="679"/>
    </row>
    <row r="36560" spans="32:32" x14ac:dyDescent="0.2">
      <c r="AF36560" s="679"/>
    </row>
    <row r="36561" spans="32:32" x14ac:dyDescent="0.2">
      <c r="AF36561" s="679"/>
    </row>
    <row r="36562" spans="32:32" x14ac:dyDescent="0.2">
      <c r="AF36562" s="679"/>
    </row>
    <row r="36563" spans="32:32" x14ac:dyDescent="0.2">
      <c r="AF36563" s="679"/>
    </row>
    <row r="36564" spans="32:32" x14ac:dyDescent="0.2">
      <c r="AF36564" s="679"/>
    </row>
    <row r="36565" spans="32:32" x14ac:dyDescent="0.2">
      <c r="AF36565" s="679"/>
    </row>
    <row r="36566" spans="32:32" x14ac:dyDescent="0.2">
      <c r="AF36566" s="679"/>
    </row>
    <row r="36567" spans="32:32" x14ac:dyDescent="0.2">
      <c r="AF36567" s="679"/>
    </row>
    <row r="36568" spans="32:32" x14ac:dyDescent="0.2">
      <c r="AF36568" s="679"/>
    </row>
    <row r="36569" spans="32:32" x14ac:dyDescent="0.2">
      <c r="AF36569" s="679"/>
    </row>
    <row r="36570" spans="32:32" x14ac:dyDescent="0.2">
      <c r="AF36570" s="679"/>
    </row>
    <row r="36571" spans="32:32" x14ac:dyDescent="0.2">
      <c r="AF36571" s="679"/>
    </row>
    <row r="36572" spans="32:32" x14ac:dyDescent="0.2">
      <c r="AF36572" s="679"/>
    </row>
    <row r="36573" spans="32:32" x14ac:dyDescent="0.2">
      <c r="AF36573" s="679"/>
    </row>
    <row r="36574" spans="32:32" x14ac:dyDescent="0.2">
      <c r="AF36574" s="679"/>
    </row>
    <row r="36575" spans="32:32" x14ac:dyDescent="0.2">
      <c r="AF36575" s="679"/>
    </row>
    <row r="36576" spans="32:32" x14ac:dyDescent="0.2">
      <c r="AF36576" s="679"/>
    </row>
    <row r="36577" spans="32:32" x14ac:dyDescent="0.2">
      <c r="AF36577" s="679"/>
    </row>
    <row r="36578" spans="32:32" x14ac:dyDescent="0.2">
      <c r="AF36578" s="679"/>
    </row>
    <row r="36579" spans="32:32" x14ac:dyDescent="0.2">
      <c r="AF36579" s="679"/>
    </row>
    <row r="36580" spans="32:32" x14ac:dyDescent="0.2">
      <c r="AF36580" s="679"/>
    </row>
    <row r="36581" spans="32:32" x14ac:dyDescent="0.2">
      <c r="AF36581" s="679"/>
    </row>
    <row r="36582" spans="32:32" x14ac:dyDescent="0.2">
      <c r="AF36582" s="679"/>
    </row>
    <row r="36583" spans="32:32" x14ac:dyDescent="0.2">
      <c r="AF36583" s="679"/>
    </row>
    <row r="36584" spans="32:32" x14ac:dyDescent="0.2">
      <c r="AF36584" s="679"/>
    </row>
    <row r="36585" spans="32:32" x14ac:dyDescent="0.2">
      <c r="AF36585" s="679"/>
    </row>
    <row r="36586" spans="32:32" x14ac:dyDescent="0.2">
      <c r="AF36586" s="679"/>
    </row>
    <row r="36587" spans="32:32" x14ac:dyDescent="0.2">
      <c r="AF36587" s="679"/>
    </row>
    <row r="36588" spans="32:32" x14ac:dyDescent="0.2">
      <c r="AF36588" s="679"/>
    </row>
    <row r="36589" spans="32:32" x14ac:dyDescent="0.2">
      <c r="AF36589" s="679"/>
    </row>
    <row r="36590" spans="32:32" x14ac:dyDescent="0.2">
      <c r="AF36590" s="679"/>
    </row>
    <row r="36591" spans="32:32" x14ac:dyDescent="0.2">
      <c r="AF36591" s="679"/>
    </row>
    <row r="36592" spans="32:32" x14ac:dyDescent="0.2">
      <c r="AF36592" s="679"/>
    </row>
    <row r="36593" spans="32:32" x14ac:dyDescent="0.2">
      <c r="AF36593" s="679"/>
    </row>
    <row r="36594" spans="32:32" x14ac:dyDescent="0.2">
      <c r="AF36594" s="679"/>
    </row>
    <row r="36595" spans="32:32" x14ac:dyDescent="0.2">
      <c r="AF36595" s="679"/>
    </row>
    <row r="36596" spans="32:32" x14ac:dyDescent="0.2">
      <c r="AF36596" s="679"/>
    </row>
    <row r="36597" spans="32:32" x14ac:dyDescent="0.2">
      <c r="AF36597" s="679"/>
    </row>
    <row r="36598" spans="32:32" x14ac:dyDescent="0.2">
      <c r="AF36598" s="679"/>
    </row>
    <row r="36599" spans="32:32" x14ac:dyDescent="0.2">
      <c r="AF36599" s="679"/>
    </row>
    <row r="36600" spans="32:32" x14ac:dyDescent="0.2">
      <c r="AF36600" s="679"/>
    </row>
    <row r="36601" spans="32:32" x14ac:dyDescent="0.2">
      <c r="AF36601" s="679"/>
    </row>
    <row r="36602" spans="32:32" x14ac:dyDescent="0.2">
      <c r="AF36602" s="679"/>
    </row>
    <row r="36603" spans="32:32" x14ac:dyDescent="0.2">
      <c r="AF36603" s="679"/>
    </row>
    <row r="36604" spans="32:32" x14ac:dyDescent="0.2">
      <c r="AF36604" s="679"/>
    </row>
    <row r="36605" spans="32:32" x14ac:dyDescent="0.2">
      <c r="AF36605" s="679"/>
    </row>
    <row r="36606" spans="32:32" x14ac:dyDescent="0.2">
      <c r="AF36606" s="679"/>
    </row>
    <row r="36607" spans="32:32" x14ac:dyDescent="0.2">
      <c r="AF36607" s="679"/>
    </row>
    <row r="36608" spans="32:32" x14ac:dyDescent="0.2">
      <c r="AF36608" s="679"/>
    </row>
    <row r="36609" spans="32:32" x14ac:dyDescent="0.2">
      <c r="AF36609" s="679"/>
    </row>
    <row r="36610" spans="32:32" x14ac:dyDescent="0.2">
      <c r="AF36610" s="679"/>
    </row>
    <row r="36611" spans="32:32" x14ac:dyDescent="0.2">
      <c r="AF36611" s="679"/>
    </row>
    <row r="36612" spans="32:32" x14ac:dyDescent="0.2">
      <c r="AF36612" s="679"/>
    </row>
    <row r="36613" spans="32:32" x14ac:dyDescent="0.2">
      <c r="AF36613" s="679"/>
    </row>
    <row r="36614" spans="32:32" x14ac:dyDescent="0.2">
      <c r="AF36614" s="679"/>
    </row>
    <row r="36615" spans="32:32" x14ac:dyDescent="0.2">
      <c r="AF36615" s="679"/>
    </row>
    <row r="36616" spans="32:32" x14ac:dyDescent="0.2">
      <c r="AF36616" s="679"/>
    </row>
    <row r="36617" spans="32:32" x14ac:dyDescent="0.2">
      <c r="AF36617" s="679"/>
    </row>
    <row r="36618" spans="32:32" x14ac:dyDescent="0.2">
      <c r="AF36618" s="679"/>
    </row>
    <row r="36619" spans="32:32" x14ac:dyDescent="0.2">
      <c r="AF36619" s="679"/>
    </row>
    <row r="36620" spans="32:32" x14ac:dyDescent="0.2">
      <c r="AF36620" s="679"/>
    </row>
    <row r="36621" spans="32:32" x14ac:dyDescent="0.2">
      <c r="AF36621" s="679"/>
    </row>
    <row r="36622" spans="32:32" x14ac:dyDescent="0.2">
      <c r="AF36622" s="679"/>
    </row>
    <row r="36623" spans="32:32" x14ac:dyDescent="0.2">
      <c r="AF36623" s="679"/>
    </row>
    <row r="36624" spans="32:32" x14ac:dyDescent="0.2">
      <c r="AF36624" s="679"/>
    </row>
    <row r="36625" spans="32:32" x14ac:dyDescent="0.2">
      <c r="AF36625" s="679"/>
    </row>
    <row r="36626" spans="32:32" x14ac:dyDescent="0.2">
      <c r="AF36626" s="679"/>
    </row>
    <row r="36627" spans="32:32" x14ac:dyDescent="0.2">
      <c r="AF36627" s="679"/>
    </row>
    <row r="36628" spans="32:32" x14ac:dyDescent="0.2">
      <c r="AF36628" s="679"/>
    </row>
    <row r="36629" spans="32:32" x14ac:dyDescent="0.2">
      <c r="AF36629" s="679"/>
    </row>
    <row r="36630" spans="32:32" x14ac:dyDescent="0.2">
      <c r="AF36630" s="679"/>
    </row>
    <row r="36631" spans="32:32" x14ac:dyDescent="0.2">
      <c r="AF36631" s="679"/>
    </row>
    <row r="36632" spans="32:32" x14ac:dyDescent="0.2">
      <c r="AF36632" s="679"/>
    </row>
    <row r="36633" spans="32:32" x14ac:dyDescent="0.2">
      <c r="AF36633" s="679"/>
    </row>
    <row r="36634" spans="32:32" x14ac:dyDescent="0.2">
      <c r="AF36634" s="679"/>
    </row>
    <row r="36635" spans="32:32" x14ac:dyDescent="0.2">
      <c r="AF36635" s="679"/>
    </row>
    <row r="36636" spans="32:32" x14ac:dyDescent="0.2">
      <c r="AF36636" s="679"/>
    </row>
    <row r="36637" spans="32:32" x14ac:dyDescent="0.2">
      <c r="AF36637" s="679"/>
    </row>
    <row r="36638" spans="32:32" x14ac:dyDescent="0.2">
      <c r="AF36638" s="679"/>
    </row>
    <row r="36639" spans="32:32" x14ac:dyDescent="0.2">
      <c r="AF36639" s="679"/>
    </row>
    <row r="36640" spans="32:32" x14ac:dyDescent="0.2">
      <c r="AF36640" s="679"/>
    </row>
    <row r="36641" spans="32:32" x14ac:dyDescent="0.2">
      <c r="AF36641" s="679"/>
    </row>
    <row r="36642" spans="32:32" x14ac:dyDescent="0.2">
      <c r="AF36642" s="679"/>
    </row>
    <row r="36643" spans="32:32" x14ac:dyDescent="0.2">
      <c r="AF36643" s="679"/>
    </row>
    <row r="36644" spans="32:32" x14ac:dyDescent="0.2">
      <c r="AF36644" s="679"/>
    </row>
    <row r="36645" spans="32:32" x14ac:dyDescent="0.2">
      <c r="AF36645" s="679"/>
    </row>
    <row r="36646" spans="32:32" x14ac:dyDescent="0.2">
      <c r="AF36646" s="679"/>
    </row>
    <row r="36647" spans="32:32" x14ac:dyDescent="0.2">
      <c r="AF36647" s="679"/>
    </row>
    <row r="36648" spans="32:32" x14ac:dyDescent="0.2">
      <c r="AF36648" s="679"/>
    </row>
    <row r="36649" spans="32:32" x14ac:dyDescent="0.2">
      <c r="AF36649" s="679"/>
    </row>
    <row r="36650" spans="32:32" x14ac:dyDescent="0.2">
      <c r="AF36650" s="679"/>
    </row>
    <row r="36651" spans="32:32" x14ac:dyDescent="0.2">
      <c r="AF36651" s="679"/>
    </row>
    <row r="36652" spans="32:32" x14ac:dyDescent="0.2">
      <c r="AF36652" s="679"/>
    </row>
    <row r="36653" spans="32:32" x14ac:dyDescent="0.2">
      <c r="AF36653" s="679"/>
    </row>
    <row r="36654" spans="32:32" x14ac:dyDescent="0.2">
      <c r="AF36654" s="679"/>
    </row>
    <row r="36655" spans="32:32" x14ac:dyDescent="0.2">
      <c r="AF36655" s="679"/>
    </row>
    <row r="36656" spans="32:32" x14ac:dyDescent="0.2">
      <c r="AF36656" s="679"/>
    </row>
    <row r="36657" spans="32:32" x14ac:dyDescent="0.2">
      <c r="AF36657" s="679"/>
    </row>
    <row r="36658" spans="32:32" x14ac:dyDescent="0.2">
      <c r="AF36658" s="679"/>
    </row>
    <row r="36659" spans="32:32" x14ac:dyDescent="0.2">
      <c r="AF36659" s="679"/>
    </row>
    <row r="36660" spans="32:32" x14ac:dyDescent="0.2">
      <c r="AF36660" s="679"/>
    </row>
    <row r="36661" spans="32:32" x14ac:dyDescent="0.2">
      <c r="AF36661" s="679"/>
    </row>
    <row r="36662" spans="32:32" x14ac:dyDescent="0.2">
      <c r="AF36662" s="679"/>
    </row>
    <row r="36663" spans="32:32" x14ac:dyDescent="0.2">
      <c r="AF36663" s="679"/>
    </row>
    <row r="36664" spans="32:32" x14ac:dyDescent="0.2">
      <c r="AF36664" s="679"/>
    </row>
    <row r="36665" spans="32:32" x14ac:dyDescent="0.2">
      <c r="AF36665" s="679"/>
    </row>
    <row r="36666" spans="32:32" x14ac:dyDescent="0.2">
      <c r="AF36666" s="679"/>
    </row>
    <row r="36667" spans="32:32" x14ac:dyDescent="0.2">
      <c r="AF36667" s="679"/>
    </row>
    <row r="36668" spans="32:32" x14ac:dyDescent="0.2">
      <c r="AF36668" s="679"/>
    </row>
    <row r="36669" spans="32:32" x14ac:dyDescent="0.2">
      <c r="AF36669" s="679"/>
    </row>
    <row r="36670" spans="32:32" x14ac:dyDescent="0.2">
      <c r="AF36670" s="679"/>
    </row>
    <row r="36671" spans="32:32" x14ac:dyDescent="0.2">
      <c r="AF36671" s="679"/>
    </row>
    <row r="36672" spans="32:32" x14ac:dyDescent="0.2">
      <c r="AF36672" s="679"/>
    </row>
    <row r="36673" spans="32:32" x14ac:dyDescent="0.2">
      <c r="AF36673" s="679"/>
    </row>
    <row r="36674" spans="32:32" x14ac:dyDescent="0.2">
      <c r="AF36674" s="679"/>
    </row>
    <row r="36675" spans="32:32" x14ac:dyDescent="0.2">
      <c r="AF36675" s="679"/>
    </row>
    <row r="36676" spans="32:32" x14ac:dyDescent="0.2">
      <c r="AF36676" s="679"/>
    </row>
    <row r="36677" spans="32:32" x14ac:dyDescent="0.2">
      <c r="AF36677" s="679"/>
    </row>
    <row r="36678" spans="32:32" x14ac:dyDescent="0.2">
      <c r="AF36678" s="679"/>
    </row>
    <row r="36679" spans="32:32" x14ac:dyDescent="0.2">
      <c r="AF36679" s="679"/>
    </row>
    <row r="36680" spans="32:32" x14ac:dyDescent="0.2">
      <c r="AF36680" s="679"/>
    </row>
    <row r="36681" spans="32:32" x14ac:dyDescent="0.2">
      <c r="AF36681" s="679"/>
    </row>
    <row r="36682" spans="32:32" x14ac:dyDescent="0.2">
      <c r="AF36682" s="679"/>
    </row>
    <row r="36683" spans="32:32" x14ac:dyDescent="0.2">
      <c r="AF36683" s="679"/>
    </row>
    <row r="36684" spans="32:32" x14ac:dyDescent="0.2">
      <c r="AF36684" s="679"/>
    </row>
    <row r="36685" spans="32:32" x14ac:dyDescent="0.2">
      <c r="AF36685" s="679"/>
    </row>
    <row r="36686" spans="32:32" x14ac:dyDescent="0.2">
      <c r="AF36686" s="679"/>
    </row>
    <row r="36687" spans="32:32" x14ac:dyDescent="0.2">
      <c r="AF36687" s="679"/>
    </row>
    <row r="36688" spans="32:32" x14ac:dyDescent="0.2">
      <c r="AF36688" s="679"/>
    </row>
    <row r="36689" spans="32:32" x14ac:dyDescent="0.2">
      <c r="AF36689" s="679"/>
    </row>
    <row r="36690" spans="32:32" x14ac:dyDescent="0.2">
      <c r="AF36690" s="679"/>
    </row>
    <row r="36691" spans="32:32" x14ac:dyDescent="0.2">
      <c r="AF36691" s="679"/>
    </row>
    <row r="36692" spans="32:32" x14ac:dyDescent="0.2">
      <c r="AF36692" s="679"/>
    </row>
    <row r="36693" spans="32:32" x14ac:dyDescent="0.2">
      <c r="AF36693" s="679"/>
    </row>
    <row r="36694" spans="32:32" x14ac:dyDescent="0.2">
      <c r="AF36694" s="679"/>
    </row>
    <row r="36695" spans="32:32" x14ac:dyDescent="0.2">
      <c r="AF36695" s="679"/>
    </row>
    <row r="36696" spans="32:32" x14ac:dyDescent="0.2">
      <c r="AF36696" s="679"/>
    </row>
    <row r="36697" spans="32:32" x14ac:dyDescent="0.2">
      <c r="AF36697" s="679"/>
    </row>
    <row r="36698" spans="32:32" x14ac:dyDescent="0.2">
      <c r="AF36698" s="679"/>
    </row>
    <row r="36699" spans="32:32" x14ac:dyDescent="0.2">
      <c r="AF36699" s="679"/>
    </row>
    <row r="36700" spans="32:32" x14ac:dyDescent="0.2">
      <c r="AF36700" s="679"/>
    </row>
    <row r="36701" spans="32:32" x14ac:dyDescent="0.2">
      <c r="AF36701" s="679"/>
    </row>
    <row r="36702" spans="32:32" x14ac:dyDescent="0.2">
      <c r="AF36702" s="679"/>
    </row>
    <row r="36703" spans="32:32" x14ac:dyDescent="0.2">
      <c r="AF36703" s="679"/>
    </row>
    <row r="36704" spans="32:32" x14ac:dyDescent="0.2">
      <c r="AF36704" s="679"/>
    </row>
    <row r="36705" spans="32:32" x14ac:dyDescent="0.2">
      <c r="AF36705" s="679"/>
    </row>
    <row r="36706" spans="32:32" x14ac:dyDescent="0.2">
      <c r="AF36706" s="679"/>
    </row>
    <row r="36707" spans="32:32" x14ac:dyDescent="0.2">
      <c r="AF36707" s="679"/>
    </row>
    <row r="36708" spans="32:32" x14ac:dyDescent="0.2">
      <c r="AF36708" s="679"/>
    </row>
    <row r="36709" spans="32:32" x14ac:dyDescent="0.2">
      <c r="AF36709" s="679"/>
    </row>
    <row r="36710" spans="32:32" x14ac:dyDescent="0.2">
      <c r="AF36710" s="679"/>
    </row>
    <row r="36711" spans="32:32" x14ac:dyDescent="0.2">
      <c r="AF36711" s="679"/>
    </row>
    <row r="36712" spans="32:32" x14ac:dyDescent="0.2">
      <c r="AF36712" s="679"/>
    </row>
    <row r="36713" spans="32:32" x14ac:dyDescent="0.2">
      <c r="AF36713" s="679"/>
    </row>
    <row r="36714" spans="32:32" x14ac:dyDescent="0.2">
      <c r="AF36714" s="679"/>
    </row>
    <row r="36715" spans="32:32" x14ac:dyDescent="0.2">
      <c r="AF36715" s="679"/>
    </row>
    <row r="36716" spans="32:32" x14ac:dyDescent="0.2">
      <c r="AF36716" s="679"/>
    </row>
    <row r="36717" spans="32:32" x14ac:dyDescent="0.2">
      <c r="AF36717" s="679"/>
    </row>
    <row r="36718" spans="32:32" x14ac:dyDescent="0.2">
      <c r="AF36718" s="679"/>
    </row>
    <row r="36719" spans="32:32" x14ac:dyDescent="0.2">
      <c r="AF36719" s="679"/>
    </row>
    <row r="36720" spans="32:32" x14ac:dyDescent="0.2">
      <c r="AF36720" s="679"/>
    </row>
    <row r="36721" spans="32:32" x14ac:dyDescent="0.2">
      <c r="AF36721" s="679"/>
    </row>
    <row r="36722" spans="32:32" x14ac:dyDescent="0.2">
      <c r="AF36722" s="679"/>
    </row>
    <row r="36723" spans="32:32" x14ac:dyDescent="0.2">
      <c r="AF36723" s="679"/>
    </row>
    <row r="36724" spans="32:32" x14ac:dyDescent="0.2">
      <c r="AF36724" s="679"/>
    </row>
    <row r="36725" spans="32:32" x14ac:dyDescent="0.2">
      <c r="AF36725" s="679"/>
    </row>
    <row r="36726" spans="32:32" x14ac:dyDescent="0.2">
      <c r="AF36726" s="679"/>
    </row>
    <row r="36727" spans="32:32" x14ac:dyDescent="0.2">
      <c r="AF36727" s="679"/>
    </row>
    <row r="36728" spans="32:32" x14ac:dyDescent="0.2">
      <c r="AF36728" s="679"/>
    </row>
    <row r="36729" spans="32:32" x14ac:dyDescent="0.2">
      <c r="AF36729" s="679"/>
    </row>
    <row r="36730" spans="32:32" x14ac:dyDescent="0.2">
      <c r="AF36730" s="679"/>
    </row>
    <row r="36731" spans="32:32" x14ac:dyDescent="0.2">
      <c r="AF36731" s="679"/>
    </row>
    <row r="36732" spans="32:32" x14ac:dyDescent="0.2">
      <c r="AF36732" s="679"/>
    </row>
    <row r="36733" spans="32:32" x14ac:dyDescent="0.2">
      <c r="AF36733" s="679"/>
    </row>
    <row r="36734" spans="32:32" x14ac:dyDescent="0.2">
      <c r="AF36734" s="679"/>
    </row>
    <row r="36735" spans="32:32" x14ac:dyDescent="0.2">
      <c r="AF36735" s="679"/>
    </row>
    <row r="36736" spans="32:32" x14ac:dyDescent="0.2">
      <c r="AF36736" s="679"/>
    </row>
    <row r="36737" spans="32:32" x14ac:dyDescent="0.2">
      <c r="AF36737" s="679"/>
    </row>
    <row r="36738" spans="32:32" x14ac:dyDescent="0.2">
      <c r="AF36738" s="679"/>
    </row>
    <row r="36739" spans="32:32" x14ac:dyDescent="0.2">
      <c r="AF36739" s="679"/>
    </row>
    <row r="36740" spans="32:32" x14ac:dyDescent="0.2">
      <c r="AF36740" s="679"/>
    </row>
    <row r="36741" spans="32:32" x14ac:dyDescent="0.2">
      <c r="AF36741" s="679"/>
    </row>
    <row r="36742" spans="32:32" x14ac:dyDescent="0.2">
      <c r="AF36742" s="679"/>
    </row>
    <row r="36743" spans="32:32" x14ac:dyDescent="0.2">
      <c r="AF36743" s="679"/>
    </row>
    <row r="36744" spans="32:32" x14ac:dyDescent="0.2">
      <c r="AF36744" s="679"/>
    </row>
    <row r="36745" spans="32:32" x14ac:dyDescent="0.2">
      <c r="AF36745" s="679"/>
    </row>
    <row r="36746" spans="32:32" x14ac:dyDescent="0.2">
      <c r="AF36746" s="679"/>
    </row>
    <row r="36747" spans="32:32" x14ac:dyDescent="0.2">
      <c r="AF36747" s="679"/>
    </row>
    <row r="36748" spans="32:32" x14ac:dyDescent="0.2">
      <c r="AF36748" s="679"/>
    </row>
    <row r="36749" spans="32:32" x14ac:dyDescent="0.2">
      <c r="AF36749" s="679"/>
    </row>
    <row r="36750" spans="32:32" x14ac:dyDescent="0.2">
      <c r="AF36750" s="679"/>
    </row>
    <row r="36751" spans="32:32" x14ac:dyDescent="0.2">
      <c r="AF36751" s="679"/>
    </row>
    <row r="36752" spans="32:32" x14ac:dyDescent="0.2">
      <c r="AF36752" s="679"/>
    </row>
    <row r="36753" spans="32:32" x14ac:dyDescent="0.2">
      <c r="AF36753" s="679"/>
    </row>
    <row r="36754" spans="32:32" x14ac:dyDescent="0.2">
      <c r="AF36754" s="679"/>
    </row>
    <row r="36755" spans="32:32" x14ac:dyDescent="0.2">
      <c r="AF36755" s="679"/>
    </row>
    <row r="36756" spans="32:32" x14ac:dyDescent="0.2">
      <c r="AF36756" s="679"/>
    </row>
    <row r="36757" spans="32:32" x14ac:dyDescent="0.2">
      <c r="AF36757" s="679"/>
    </row>
    <row r="36758" spans="32:32" x14ac:dyDescent="0.2">
      <c r="AF36758" s="679"/>
    </row>
    <row r="36759" spans="32:32" x14ac:dyDescent="0.2">
      <c r="AF36759" s="679"/>
    </row>
    <row r="36760" spans="32:32" x14ac:dyDescent="0.2">
      <c r="AF36760" s="679"/>
    </row>
    <row r="36761" spans="32:32" x14ac:dyDescent="0.2">
      <c r="AF36761" s="679"/>
    </row>
    <row r="36762" spans="32:32" x14ac:dyDescent="0.2">
      <c r="AF36762" s="679"/>
    </row>
    <row r="36763" spans="32:32" x14ac:dyDescent="0.2">
      <c r="AF36763" s="679"/>
    </row>
    <row r="36764" spans="32:32" x14ac:dyDescent="0.2">
      <c r="AF36764" s="679"/>
    </row>
    <row r="36765" spans="32:32" x14ac:dyDescent="0.2">
      <c r="AF36765" s="679"/>
    </row>
    <row r="36766" spans="32:32" x14ac:dyDescent="0.2">
      <c r="AF36766" s="679"/>
    </row>
    <row r="36767" spans="32:32" x14ac:dyDescent="0.2">
      <c r="AF36767" s="679"/>
    </row>
    <row r="36768" spans="32:32" x14ac:dyDescent="0.2">
      <c r="AF36768" s="679"/>
    </row>
    <row r="36769" spans="32:32" x14ac:dyDescent="0.2">
      <c r="AF36769" s="679"/>
    </row>
    <row r="36770" spans="32:32" x14ac:dyDescent="0.2">
      <c r="AF36770" s="679"/>
    </row>
    <row r="36771" spans="32:32" x14ac:dyDescent="0.2">
      <c r="AF36771" s="679"/>
    </row>
    <row r="36772" spans="32:32" x14ac:dyDescent="0.2">
      <c r="AF36772" s="679"/>
    </row>
    <row r="36773" spans="32:32" x14ac:dyDescent="0.2">
      <c r="AF36773" s="679"/>
    </row>
    <row r="36774" spans="32:32" x14ac:dyDescent="0.2">
      <c r="AF36774" s="679"/>
    </row>
    <row r="36775" spans="32:32" x14ac:dyDescent="0.2">
      <c r="AF36775" s="679"/>
    </row>
    <row r="36776" spans="32:32" x14ac:dyDescent="0.2">
      <c r="AF36776" s="679"/>
    </row>
    <row r="36777" spans="32:32" x14ac:dyDescent="0.2">
      <c r="AF36777" s="679"/>
    </row>
    <row r="36778" spans="32:32" x14ac:dyDescent="0.2">
      <c r="AF36778" s="679"/>
    </row>
    <row r="36779" spans="32:32" x14ac:dyDescent="0.2">
      <c r="AF36779" s="679"/>
    </row>
    <row r="36780" spans="32:32" x14ac:dyDescent="0.2">
      <c r="AF36780" s="679"/>
    </row>
    <row r="36781" spans="32:32" x14ac:dyDescent="0.2">
      <c r="AF36781" s="679"/>
    </row>
    <row r="36782" spans="32:32" x14ac:dyDescent="0.2">
      <c r="AF36782" s="679"/>
    </row>
    <row r="36783" spans="32:32" x14ac:dyDescent="0.2">
      <c r="AF36783" s="679"/>
    </row>
    <row r="36784" spans="32:32" x14ac:dyDescent="0.2">
      <c r="AF36784" s="679"/>
    </row>
    <row r="36785" spans="32:32" x14ac:dyDescent="0.2">
      <c r="AF36785" s="679"/>
    </row>
    <row r="36786" spans="32:32" x14ac:dyDescent="0.2">
      <c r="AF36786" s="679"/>
    </row>
    <row r="36787" spans="32:32" x14ac:dyDescent="0.2">
      <c r="AF36787" s="679"/>
    </row>
    <row r="36788" spans="32:32" x14ac:dyDescent="0.2">
      <c r="AF36788" s="679"/>
    </row>
    <row r="36789" spans="32:32" x14ac:dyDescent="0.2">
      <c r="AF36789" s="679"/>
    </row>
    <row r="36790" spans="32:32" x14ac:dyDescent="0.2">
      <c r="AF36790" s="679"/>
    </row>
    <row r="36791" spans="32:32" x14ac:dyDescent="0.2">
      <c r="AF36791" s="679"/>
    </row>
    <row r="36792" spans="32:32" x14ac:dyDescent="0.2">
      <c r="AF36792" s="679"/>
    </row>
    <row r="36793" spans="32:32" x14ac:dyDescent="0.2">
      <c r="AF36793" s="679"/>
    </row>
    <row r="36794" spans="32:32" x14ac:dyDescent="0.2">
      <c r="AF36794" s="679"/>
    </row>
    <row r="36795" spans="32:32" x14ac:dyDescent="0.2">
      <c r="AF36795" s="679"/>
    </row>
    <row r="36796" spans="32:32" x14ac:dyDescent="0.2">
      <c r="AF36796" s="679"/>
    </row>
    <row r="36797" spans="32:32" x14ac:dyDescent="0.2">
      <c r="AF36797" s="679"/>
    </row>
    <row r="36798" spans="32:32" x14ac:dyDescent="0.2">
      <c r="AF36798" s="679"/>
    </row>
    <row r="36799" spans="32:32" x14ac:dyDescent="0.2">
      <c r="AF36799" s="679"/>
    </row>
    <row r="36800" spans="32:32" x14ac:dyDescent="0.2">
      <c r="AF36800" s="679"/>
    </row>
    <row r="36801" spans="32:32" x14ac:dyDescent="0.2">
      <c r="AF36801" s="679"/>
    </row>
    <row r="36802" spans="32:32" x14ac:dyDescent="0.2">
      <c r="AF36802" s="679"/>
    </row>
    <row r="36803" spans="32:32" x14ac:dyDescent="0.2">
      <c r="AF36803" s="679"/>
    </row>
    <row r="36804" spans="32:32" x14ac:dyDescent="0.2">
      <c r="AF36804" s="679"/>
    </row>
    <row r="36805" spans="32:32" x14ac:dyDescent="0.2">
      <c r="AF36805" s="679"/>
    </row>
    <row r="36806" spans="32:32" x14ac:dyDescent="0.2">
      <c r="AF36806" s="679"/>
    </row>
    <row r="36807" spans="32:32" x14ac:dyDescent="0.2">
      <c r="AF36807" s="679"/>
    </row>
    <row r="36808" spans="32:32" x14ac:dyDescent="0.2">
      <c r="AF36808" s="679"/>
    </row>
    <row r="36809" spans="32:32" x14ac:dyDescent="0.2">
      <c r="AF36809" s="679"/>
    </row>
    <row r="36810" spans="32:32" x14ac:dyDescent="0.2">
      <c r="AF36810" s="679"/>
    </row>
    <row r="36811" spans="32:32" x14ac:dyDescent="0.2">
      <c r="AF36811" s="679"/>
    </row>
    <row r="36812" spans="32:32" x14ac:dyDescent="0.2">
      <c r="AF36812" s="679"/>
    </row>
    <row r="36813" spans="32:32" x14ac:dyDescent="0.2">
      <c r="AF36813" s="679"/>
    </row>
    <row r="36814" spans="32:32" x14ac:dyDescent="0.2">
      <c r="AF36814" s="679"/>
    </row>
    <row r="36815" spans="32:32" x14ac:dyDescent="0.2">
      <c r="AF36815" s="679"/>
    </row>
    <row r="36816" spans="32:32" x14ac:dyDescent="0.2">
      <c r="AF36816" s="679"/>
    </row>
    <row r="36817" spans="32:32" x14ac:dyDescent="0.2">
      <c r="AF36817" s="679"/>
    </row>
    <row r="36818" spans="32:32" x14ac:dyDescent="0.2">
      <c r="AF36818" s="679"/>
    </row>
    <row r="36819" spans="32:32" x14ac:dyDescent="0.2">
      <c r="AF36819" s="679"/>
    </row>
    <row r="36820" spans="32:32" x14ac:dyDescent="0.2">
      <c r="AF36820" s="679"/>
    </row>
    <row r="36821" spans="32:32" x14ac:dyDescent="0.2">
      <c r="AF36821" s="679"/>
    </row>
    <row r="36822" spans="32:32" x14ac:dyDescent="0.2">
      <c r="AF36822" s="679"/>
    </row>
    <row r="36823" spans="32:32" x14ac:dyDescent="0.2">
      <c r="AF36823" s="679"/>
    </row>
    <row r="36824" spans="32:32" x14ac:dyDescent="0.2">
      <c r="AF36824" s="679"/>
    </row>
    <row r="36825" spans="32:32" x14ac:dyDescent="0.2">
      <c r="AF36825" s="679"/>
    </row>
    <row r="36826" spans="32:32" x14ac:dyDescent="0.2">
      <c r="AF36826" s="679"/>
    </row>
    <row r="36827" spans="32:32" x14ac:dyDescent="0.2">
      <c r="AF36827" s="679"/>
    </row>
    <row r="36828" spans="32:32" x14ac:dyDescent="0.2">
      <c r="AF36828" s="679"/>
    </row>
    <row r="36829" spans="32:32" x14ac:dyDescent="0.2">
      <c r="AF36829" s="679"/>
    </row>
    <row r="36830" spans="32:32" x14ac:dyDescent="0.2">
      <c r="AF36830" s="679"/>
    </row>
    <row r="36831" spans="32:32" x14ac:dyDescent="0.2">
      <c r="AF36831" s="679"/>
    </row>
    <row r="36832" spans="32:32" x14ac:dyDescent="0.2">
      <c r="AF36832" s="679"/>
    </row>
    <row r="36833" spans="32:32" x14ac:dyDescent="0.2">
      <c r="AF36833" s="679"/>
    </row>
    <row r="36834" spans="32:32" x14ac:dyDescent="0.2">
      <c r="AF36834" s="679"/>
    </row>
    <row r="36835" spans="32:32" x14ac:dyDescent="0.2">
      <c r="AF36835" s="679"/>
    </row>
    <row r="36836" spans="32:32" x14ac:dyDescent="0.2">
      <c r="AF36836" s="679"/>
    </row>
    <row r="36837" spans="32:32" x14ac:dyDescent="0.2">
      <c r="AF36837" s="679"/>
    </row>
    <row r="36838" spans="32:32" x14ac:dyDescent="0.2">
      <c r="AF36838" s="679"/>
    </row>
    <row r="36839" spans="32:32" x14ac:dyDescent="0.2">
      <c r="AF36839" s="679"/>
    </row>
    <row r="36840" spans="32:32" x14ac:dyDescent="0.2">
      <c r="AF36840" s="679"/>
    </row>
    <row r="36841" spans="32:32" x14ac:dyDescent="0.2">
      <c r="AF36841" s="679"/>
    </row>
    <row r="36842" spans="32:32" x14ac:dyDescent="0.2">
      <c r="AF36842" s="679"/>
    </row>
    <row r="36843" spans="32:32" x14ac:dyDescent="0.2">
      <c r="AF36843" s="679"/>
    </row>
    <row r="36844" spans="32:32" x14ac:dyDescent="0.2">
      <c r="AF36844" s="679"/>
    </row>
    <row r="36845" spans="32:32" x14ac:dyDescent="0.2">
      <c r="AF36845" s="679"/>
    </row>
    <row r="36846" spans="32:32" x14ac:dyDescent="0.2">
      <c r="AF36846" s="679"/>
    </row>
    <row r="36847" spans="32:32" x14ac:dyDescent="0.2">
      <c r="AF36847" s="679"/>
    </row>
    <row r="36848" spans="32:32" x14ac:dyDescent="0.2">
      <c r="AF36848" s="679"/>
    </row>
    <row r="36849" spans="32:32" x14ac:dyDescent="0.2">
      <c r="AF36849" s="679"/>
    </row>
    <row r="36850" spans="32:32" x14ac:dyDescent="0.2">
      <c r="AF36850" s="679"/>
    </row>
    <row r="36851" spans="32:32" x14ac:dyDescent="0.2">
      <c r="AF36851" s="679"/>
    </row>
    <row r="36852" spans="32:32" x14ac:dyDescent="0.2">
      <c r="AF36852" s="679"/>
    </row>
    <row r="36853" spans="32:32" x14ac:dyDescent="0.2">
      <c r="AF36853" s="679"/>
    </row>
    <row r="36854" spans="32:32" x14ac:dyDescent="0.2">
      <c r="AF36854" s="679"/>
    </row>
    <row r="36855" spans="32:32" x14ac:dyDescent="0.2">
      <c r="AF36855" s="679"/>
    </row>
    <row r="36856" spans="32:32" x14ac:dyDescent="0.2">
      <c r="AF36856" s="679"/>
    </row>
    <row r="36857" spans="32:32" x14ac:dyDescent="0.2">
      <c r="AF36857" s="679"/>
    </row>
    <row r="36858" spans="32:32" x14ac:dyDescent="0.2">
      <c r="AF36858" s="679"/>
    </row>
    <row r="36859" spans="32:32" x14ac:dyDescent="0.2">
      <c r="AF36859" s="679"/>
    </row>
    <row r="36860" spans="32:32" x14ac:dyDescent="0.2">
      <c r="AF36860" s="679"/>
    </row>
    <row r="36861" spans="32:32" x14ac:dyDescent="0.2">
      <c r="AF36861" s="679"/>
    </row>
    <row r="36862" spans="32:32" x14ac:dyDescent="0.2">
      <c r="AF36862" s="679"/>
    </row>
    <row r="36863" spans="32:32" x14ac:dyDescent="0.2">
      <c r="AF36863" s="679"/>
    </row>
    <row r="36864" spans="32:32" x14ac:dyDescent="0.2">
      <c r="AF36864" s="679"/>
    </row>
    <row r="36865" spans="32:32" x14ac:dyDescent="0.2">
      <c r="AF36865" s="679"/>
    </row>
    <row r="36866" spans="32:32" x14ac:dyDescent="0.2">
      <c r="AF36866" s="679"/>
    </row>
    <row r="36867" spans="32:32" x14ac:dyDescent="0.2">
      <c r="AF36867" s="679"/>
    </row>
    <row r="36868" spans="32:32" x14ac:dyDescent="0.2">
      <c r="AF36868" s="679"/>
    </row>
    <row r="36869" spans="32:32" x14ac:dyDescent="0.2">
      <c r="AF36869" s="679"/>
    </row>
    <row r="36870" spans="32:32" x14ac:dyDescent="0.2">
      <c r="AF36870" s="679"/>
    </row>
    <row r="36871" spans="32:32" x14ac:dyDescent="0.2">
      <c r="AF36871" s="679"/>
    </row>
    <row r="36872" spans="32:32" x14ac:dyDescent="0.2">
      <c r="AF36872" s="679"/>
    </row>
    <row r="36873" spans="32:32" x14ac:dyDescent="0.2">
      <c r="AF36873" s="679"/>
    </row>
    <row r="36874" spans="32:32" x14ac:dyDescent="0.2">
      <c r="AF36874" s="679"/>
    </row>
    <row r="36875" spans="32:32" x14ac:dyDescent="0.2">
      <c r="AF36875" s="679"/>
    </row>
    <row r="36876" spans="32:32" x14ac:dyDescent="0.2">
      <c r="AF36876" s="679"/>
    </row>
    <row r="36877" spans="32:32" x14ac:dyDescent="0.2">
      <c r="AF36877" s="679"/>
    </row>
    <row r="36878" spans="32:32" x14ac:dyDescent="0.2">
      <c r="AF36878" s="679"/>
    </row>
    <row r="36879" spans="32:32" x14ac:dyDescent="0.2">
      <c r="AF36879" s="679"/>
    </row>
    <row r="36880" spans="32:32" x14ac:dyDescent="0.2">
      <c r="AF36880" s="679"/>
    </row>
    <row r="36881" spans="32:32" x14ac:dyDescent="0.2">
      <c r="AF36881" s="679"/>
    </row>
    <row r="36882" spans="32:32" x14ac:dyDescent="0.2">
      <c r="AF36882" s="679"/>
    </row>
    <row r="36883" spans="32:32" x14ac:dyDescent="0.2">
      <c r="AF36883" s="679"/>
    </row>
    <row r="36884" spans="32:32" x14ac:dyDescent="0.2">
      <c r="AF36884" s="679"/>
    </row>
    <row r="36885" spans="32:32" x14ac:dyDescent="0.2">
      <c r="AF36885" s="679"/>
    </row>
    <row r="36886" spans="32:32" x14ac:dyDescent="0.2">
      <c r="AF36886" s="679"/>
    </row>
    <row r="36887" spans="32:32" x14ac:dyDescent="0.2">
      <c r="AF36887" s="679"/>
    </row>
    <row r="36888" spans="32:32" x14ac:dyDescent="0.2">
      <c r="AF36888" s="679"/>
    </row>
    <row r="36889" spans="32:32" x14ac:dyDescent="0.2">
      <c r="AF36889" s="679"/>
    </row>
    <row r="36890" spans="32:32" x14ac:dyDescent="0.2">
      <c r="AF36890" s="679"/>
    </row>
    <row r="36891" spans="32:32" x14ac:dyDescent="0.2">
      <c r="AF36891" s="679"/>
    </row>
    <row r="36892" spans="32:32" x14ac:dyDescent="0.2">
      <c r="AF36892" s="679"/>
    </row>
    <row r="36893" spans="32:32" x14ac:dyDescent="0.2">
      <c r="AF36893" s="679"/>
    </row>
    <row r="36894" spans="32:32" x14ac:dyDescent="0.2">
      <c r="AF36894" s="679"/>
    </row>
    <row r="36895" spans="32:32" x14ac:dyDescent="0.2">
      <c r="AF36895" s="679"/>
    </row>
    <row r="36896" spans="32:32" x14ac:dyDescent="0.2">
      <c r="AF36896" s="679"/>
    </row>
    <row r="36897" spans="32:32" x14ac:dyDescent="0.2">
      <c r="AF36897" s="679"/>
    </row>
    <row r="36898" spans="32:32" x14ac:dyDescent="0.2">
      <c r="AF36898" s="679"/>
    </row>
    <row r="36899" spans="32:32" x14ac:dyDescent="0.2">
      <c r="AF36899" s="679"/>
    </row>
    <row r="36900" spans="32:32" x14ac:dyDescent="0.2">
      <c r="AF36900" s="679"/>
    </row>
    <row r="36901" spans="32:32" x14ac:dyDescent="0.2">
      <c r="AF36901" s="679"/>
    </row>
    <row r="36902" spans="32:32" x14ac:dyDescent="0.2">
      <c r="AF36902" s="679"/>
    </row>
    <row r="36903" spans="32:32" x14ac:dyDescent="0.2">
      <c r="AF36903" s="679"/>
    </row>
    <row r="36904" spans="32:32" x14ac:dyDescent="0.2">
      <c r="AF36904" s="679"/>
    </row>
    <row r="36905" spans="32:32" x14ac:dyDescent="0.2">
      <c r="AF36905" s="679"/>
    </row>
    <row r="36906" spans="32:32" x14ac:dyDescent="0.2">
      <c r="AF36906" s="679"/>
    </row>
    <row r="36907" spans="32:32" x14ac:dyDescent="0.2">
      <c r="AF36907" s="679"/>
    </row>
    <row r="36908" spans="32:32" x14ac:dyDescent="0.2">
      <c r="AF36908" s="679"/>
    </row>
    <row r="36909" spans="32:32" x14ac:dyDescent="0.2">
      <c r="AF36909" s="679"/>
    </row>
    <row r="36910" spans="32:32" x14ac:dyDescent="0.2">
      <c r="AF36910" s="679"/>
    </row>
    <row r="36911" spans="32:32" x14ac:dyDescent="0.2">
      <c r="AF36911" s="679"/>
    </row>
    <row r="36912" spans="32:32" x14ac:dyDescent="0.2">
      <c r="AF36912" s="679"/>
    </row>
    <row r="36913" spans="32:32" x14ac:dyDescent="0.2">
      <c r="AF36913" s="679"/>
    </row>
    <row r="36914" spans="32:32" x14ac:dyDescent="0.2">
      <c r="AF36914" s="679"/>
    </row>
    <row r="36915" spans="32:32" x14ac:dyDescent="0.2">
      <c r="AF36915" s="679"/>
    </row>
    <row r="36916" spans="32:32" x14ac:dyDescent="0.2">
      <c r="AF36916" s="679"/>
    </row>
    <row r="36917" spans="32:32" x14ac:dyDescent="0.2">
      <c r="AF36917" s="679"/>
    </row>
    <row r="36918" spans="32:32" x14ac:dyDescent="0.2">
      <c r="AF36918" s="679"/>
    </row>
    <row r="36919" spans="32:32" x14ac:dyDescent="0.2">
      <c r="AF36919" s="679"/>
    </row>
    <row r="36920" spans="32:32" x14ac:dyDescent="0.2">
      <c r="AF36920" s="679"/>
    </row>
    <row r="36921" spans="32:32" x14ac:dyDescent="0.2">
      <c r="AF36921" s="679"/>
    </row>
    <row r="36922" spans="32:32" x14ac:dyDescent="0.2">
      <c r="AF36922" s="679"/>
    </row>
    <row r="36923" spans="32:32" x14ac:dyDescent="0.2">
      <c r="AF36923" s="679"/>
    </row>
    <row r="36924" spans="32:32" x14ac:dyDescent="0.2">
      <c r="AF36924" s="679"/>
    </row>
    <row r="36925" spans="32:32" x14ac:dyDescent="0.2">
      <c r="AF36925" s="679"/>
    </row>
    <row r="36926" spans="32:32" x14ac:dyDescent="0.2">
      <c r="AF36926" s="679"/>
    </row>
    <row r="36927" spans="32:32" x14ac:dyDescent="0.2">
      <c r="AF36927" s="679"/>
    </row>
    <row r="36928" spans="32:32" x14ac:dyDescent="0.2">
      <c r="AF36928" s="679"/>
    </row>
    <row r="36929" spans="32:32" x14ac:dyDescent="0.2">
      <c r="AF36929" s="679"/>
    </row>
    <row r="36930" spans="32:32" x14ac:dyDescent="0.2">
      <c r="AF36930" s="679"/>
    </row>
    <row r="36931" spans="32:32" x14ac:dyDescent="0.2">
      <c r="AF36931" s="679"/>
    </row>
    <row r="36932" spans="32:32" x14ac:dyDescent="0.2">
      <c r="AF36932" s="679"/>
    </row>
    <row r="36933" spans="32:32" x14ac:dyDescent="0.2">
      <c r="AF36933" s="679"/>
    </row>
    <row r="36934" spans="32:32" x14ac:dyDescent="0.2">
      <c r="AF36934" s="679"/>
    </row>
    <row r="36935" spans="32:32" x14ac:dyDescent="0.2">
      <c r="AF36935" s="679"/>
    </row>
    <row r="36936" spans="32:32" x14ac:dyDescent="0.2">
      <c r="AF36936" s="679"/>
    </row>
    <row r="36937" spans="32:32" x14ac:dyDescent="0.2">
      <c r="AF36937" s="679"/>
    </row>
    <row r="36938" spans="32:32" x14ac:dyDescent="0.2">
      <c r="AF36938" s="679"/>
    </row>
    <row r="36939" spans="32:32" x14ac:dyDescent="0.2">
      <c r="AF36939" s="679"/>
    </row>
    <row r="36940" spans="32:32" x14ac:dyDescent="0.2">
      <c r="AF36940" s="679"/>
    </row>
    <row r="36941" spans="32:32" x14ac:dyDescent="0.2">
      <c r="AF36941" s="679"/>
    </row>
    <row r="36942" spans="32:32" x14ac:dyDescent="0.2">
      <c r="AF36942" s="679"/>
    </row>
    <row r="36943" spans="32:32" x14ac:dyDescent="0.2">
      <c r="AF36943" s="679"/>
    </row>
    <row r="36944" spans="32:32" x14ac:dyDescent="0.2">
      <c r="AF36944" s="679"/>
    </row>
    <row r="36945" spans="32:32" x14ac:dyDescent="0.2">
      <c r="AF36945" s="679"/>
    </row>
    <row r="36946" spans="32:32" x14ac:dyDescent="0.2">
      <c r="AF36946" s="679"/>
    </row>
    <row r="36947" spans="32:32" x14ac:dyDescent="0.2">
      <c r="AF36947" s="679"/>
    </row>
    <row r="36948" spans="32:32" x14ac:dyDescent="0.2">
      <c r="AF36948" s="679"/>
    </row>
    <row r="36949" spans="32:32" x14ac:dyDescent="0.2">
      <c r="AF36949" s="679"/>
    </row>
    <row r="36950" spans="32:32" x14ac:dyDescent="0.2">
      <c r="AF36950" s="679"/>
    </row>
    <row r="36951" spans="32:32" x14ac:dyDescent="0.2">
      <c r="AF36951" s="679"/>
    </row>
    <row r="36952" spans="32:32" x14ac:dyDescent="0.2">
      <c r="AF36952" s="679"/>
    </row>
    <row r="36953" spans="32:32" x14ac:dyDescent="0.2">
      <c r="AF36953" s="679"/>
    </row>
    <row r="36954" spans="32:32" x14ac:dyDescent="0.2">
      <c r="AF36954" s="679"/>
    </row>
    <row r="36955" spans="32:32" x14ac:dyDescent="0.2">
      <c r="AF36955" s="679"/>
    </row>
    <row r="36956" spans="32:32" x14ac:dyDescent="0.2">
      <c r="AF36956" s="679"/>
    </row>
    <row r="36957" spans="32:32" x14ac:dyDescent="0.2">
      <c r="AF36957" s="679"/>
    </row>
    <row r="36958" spans="32:32" x14ac:dyDescent="0.2">
      <c r="AF36958" s="679"/>
    </row>
    <row r="36959" spans="32:32" x14ac:dyDescent="0.2">
      <c r="AF36959" s="679"/>
    </row>
    <row r="36960" spans="32:32" x14ac:dyDescent="0.2">
      <c r="AF36960" s="679"/>
    </row>
    <row r="36961" spans="32:32" x14ac:dyDescent="0.2">
      <c r="AF36961" s="679"/>
    </row>
    <row r="36962" spans="32:32" x14ac:dyDescent="0.2">
      <c r="AF36962" s="679"/>
    </row>
    <row r="36963" spans="32:32" x14ac:dyDescent="0.2">
      <c r="AF36963" s="679"/>
    </row>
    <row r="36964" spans="32:32" x14ac:dyDescent="0.2">
      <c r="AF36964" s="679"/>
    </row>
    <row r="36965" spans="32:32" x14ac:dyDescent="0.2">
      <c r="AF36965" s="679"/>
    </row>
    <row r="36966" spans="32:32" x14ac:dyDescent="0.2">
      <c r="AF36966" s="679"/>
    </row>
    <row r="36967" spans="32:32" x14ac:dyDescent="0.2">
      <c r="AF36967" s="679"/>
    </row>
    <row r="36968" spans="32:32" x14ac:dyDescent="0.2">
      <c r="AF36968" s="679"/>
    </row>
    <row r="36969" spans="32:32" x14ac:dyDescent="0.2">
      <c r="AF36969" s="679"/>
    </row>
    <row r="36970" spans="32:32" x14ac:dyDescent="0.2">
      <c r="AF36970" s="679"/>
    </row>
    <row r="36971" spans="32:32" x14ac:dyDescent="0.2">
      <c r="AF36971" s="679"/>
    </row>
    <row r="36972" spans="32:32" x14ac:dyDescent="0.2">
      <c r="AF36972" s="679"/>
    </row>
    <row r="36973" spans="32:32" x14ac:dyDescent="0.2">
      <c r="AF36973" s="679"/>
    </row>
    <row r="36974" spans="32:32" x14ac:dyDescent="0.2">
      <c r="AF36974" s="679"/>
    </row>
    <row r="36975" spans="32:32" x14ac:dyDescent="0.2">
      <c r="AF36975" s="679"/>
    </row>
    <row r="36976" spans="32:32" x14ac:dyDescent="0.2">
      <c r="AF36976" s="679"/>
    </row>
    <row r="36977" spans="32:32" x14ac:dyDescent="0.2">
      <c r="AF36977" s="679"/>
    </row>
    <row r="36978" spans="32:32" x14ac:dyDescent="0.2">
      <c r="AF36978" s="679"/>
    </row>
    <row r="36979" spans="32:32" x14ac:dyDescent="0.2">
      <c r="AF36979" s="679"/>
    </row>
    <row r="36980" spans="32:32" x14ac:dyDescent="0.2">
      <c r="AF36980" s="679"/>
    </row>
    <row r="36981" spans="32:32" x14ac:dyDescent="0.2">
      <c r="AF36981" s="679"/>
    </row>
    <row r="36982" spans="32:32" x14ac:dyDescent="0.2">
      <c r="AF36982" s="679"/>
    </row>
    <row r="36983" spans="32:32" x14ac:dyDescent="0.2">
      <c r="AF36983" s="679"/>
    </row>
    <row r="36984" spans="32:32" x14ac:dyDescent="0.2">
      <c r="AF36984" s="679"/>
    </row>
    <row r="36985" spans="32:32" x14ac:dyDescent="0.2">
      <c r="AF36985" s="679"/>
    </row>
    <row r="36986" spans="32:32" x14ac:dyDescent="0.2">
      <c r="AF36986" s="679"/>
    </row>
    <row r="36987" spans="32:32" x14ac:dyDescent="0.2">
      <c r="AF36987" s="679"/>
    </row>
    <row r="36988" spans="32:32" x14ac:dyDescent="0.2">
      <c r="AF36988" s="679"/>
    </row>
    <row r="36989" spans="32:32" x14ac:dyDescent="0.2">
      <c r="AF36989" s="679"/>
    </row>
    <row r="36990" spans="32:32" x14ac:dyDescent="0.2">
      <c r="AF36990" s="679"/>
    </row>
    <row r="36991" spans="32:32" x14ac:dyDescent="0.2">
      <c r="AF36991" s="679"/>
    </row>
    <row r="36992" spans="32:32" x14ac:dyDescent="0.2">
      <c r="AF36992" s="679"/>
    </row>
    <row r="36993" spans="32:32" x14ac:dyDescent="0.2">
      <c r="AF36993" s="679"/>
    </row>
    <row r="36994" spans="32:32" x14ac:dyDescent="0.2">
      <c r="AF36994" s="679"/>
    </row>
    <row r="36995" spans="32:32" x14ac:dyDescent="0.2">
      <c r="AF36995" s="679"/>
    </row>
    <row r="36996" spans="32:32" x14ac:dyDescent="0.2">
      <c r="AF36996" s="679"/>
    </row>
    <row r="36997" spans="32:32" x14ac:dyDescent="0.2">
      <c r="AF36997" s="679"/>
    </row>
    <row r="36998" spans="32:32" x14ac:dyDescent="0.2">
      <c r="AF36998" s="679"/>
    </row>
    <row r="36999" spans="32:32" x14ac:dyDescent="0.2">
      <c r="AF36999" s="679"/>
    </row>
    <row r="37000" spans="32:32" x14ac:dyDescent="0.2">
      <c r="AF37000" s="679"/>
    </row>
    <row r="37001" spans="32:32" x14ac:dyDescent="0.2">
      <c r="AF37001" s="679"/>
    </row>
    <row r="37002" spans="32:32" x14ac:dyDescent="0.2">
      <c r="AF37002" s="679"/>
    </row>
    <row r="37003" spans="32:32" x14ac:dyDescent="0.2">
      <c r="AF37003" s="679"/>
    </row>
    <row r="37004" spans="32:32" x14ac:dyDescent="0.2">
      <c r="AF37004" s="679"/>
    </row>
    <row r="37005" spans="32:32" x14ac:dyDescent="0.2">
      <c r="AF37005" s="679"/>
    </row>
    <row r="37006" spans="32:32" x14ac:dyDescent="0.2">
      <c r="AF37006" s="679"/>
    </row>
    <row r="37007" spans="32:32" x14ac:dyDescent="0.2">
      <c r="AF37007" s="679"/>
    </row>
    <row r="37008" spans="32:32" x14ac:dyDescent="0.2">
      <c r="AF37008" s="679"/>
    </row>
    <row r="37009" spans="32:32" x14ac:dyDescent="0.2">
      <c r="AF37009" s="679"/>
    </row>
    <row r="37010" spans="32:32" x14ac:dyDescent="0.2">
      <c r="AF37010" s="679"/>
    </row>
    <row r="37011" spans="32:32" x14ac:dyDescent="0.2">
      <c r="AF37011" s="679"/>
    </row>
    <row r="37012" spans="32:32" x14ac:dyDescent="0.2">
      <c r="AF37012" s="679"/>
    </row>
    <row r="37013" spans="32:32" x14ac:dyDescent="0.2">
      <c r="AF37013" s="679"/>
    </row>
    <row r="37014" spans="32:32" x14ac:dyDescent="0.2">
      <c r="AF37014" s="679"/>
    </row>
    <row r="37015" spans="32:32" x14ac:dyDescent="0.2">
      <c r="AF37015" s="679"/>
    </row>
    <row r="37016" spans="32:32" x14ac:dyDescent="0.2">
      <c r="AF37016" s="679"/>
    </row>
    <row r="37017" spans="32:32" x14ac:dyDescent="0.2">
      <c r="AF37017" s="679"/>
    </row>
    <row r="37018" spans="32:32" x14ac:dyDescent="0.2">
      <c r="AF37018" s="679"/>
    </row>
    <row r="37019" spans="32:32" x14ac:dyDescent="0.2">
      <c r="AF37019" s="679"/>
    </row>
    <row r="37020" spans="32:32" x14ac:dyDescent="0.2">
      <c r="AF37020" s="679"/>
    </row>
    <row r="37021" spans="32:32" x14ac:dyDescent="0.2">
      <c r="AF37021" s="679"/>
    </row>
    <row r="37022" spans="32:32" x14ac:dyDescent="0.2">
      <c r="AF37022" s="679"/>
    </row>
    <row r="37023" spans="32:32" x14ac:dyDescent="0.2">
      <c r="AF37023" s="679"/>
    </row>
    <row r="37024" spans="32:32" x14ac:dyDescent="0.2">
      <c r="AF37024" s="679"/>
    </row>
    <row r="37025" spans="32:32" x14ac:dyDescent="0.2">
      <c r="AF37025" s="679"/>
    </row>
    <row r="37026" spans="32:32" x14ac:dyDescent="0.2">
      <c r="AF37026" s="679"/>
    </row>
    <row r="37027" spans="32:32" x14ac:dyDescent="0.2">
      <c r="AF37027" s="679"/>
    </row>
    <row r="37028" spans="32:32" x14ac:dyDescent="0.2">
      <c r="AF37028" s="679"/>
    </row>
    <row r="37029" spans="32:32" x14ac:dyDescent="0.2">
      <c r="AF37029" s="679"/>
    </row>
    <row r="37030" spans="32:32" x14ac:dyDescent="0.2">
      <c r="AF37030" s="679"/>
    </row>
    <row r="37031" spans="32:32" x14ac:dyDescent="0.2">
      <c r="AF37031" s="679"/>
    </row>
    <row r="37032" spans="32:32" x14ac:dyDescent="0.2">
      <c r="AF37032" s="679"/>
    </row>
    <row r="37033" spans="32:32" x14ac:dyDescent="0.2">
      <c r="AF37033" s="679"/>
    </row>
    <row r="37034" spans="32:32" x14ac:dyDescent="0.2">
      <c r="AF37034" s="679"/>
    </row>
    <row r="37035" spans="32:32" x14ac:dyDescent="0.2">
      <c r="AF37035" s="679"/>
    </row>
    <row r="37036" spans="32:32" x14ac:dyDescent="0.2">
      <c r="AF37036" s="679"/>
    </row>
    <row r="37037" spans="32:32" x14ac:dyDescent="0.2">
      <c r="AF37037" s="679"/>
    </row>
    <row r="37038" spans="32:32" x14ac:dyDescent="0.2">
      <c r="AF37038" s="679"/>
    </row>
    <row r="37039" spans="32:32" x14ac:dyDescent="0.2">
      <c r="AF37039" s="679"/>
    </row>
    <row r="37040" spans="32:32" x14ac:dyDescent="0.2">
      <c r="AF37040" s="679"/>
    </row>
    <row r="37041" spans="32:32" x14ac:dyDescent="0.2">
      <c r="AF37041" s="679"/>
    </row>
    <row r="37042" spans="32:32" x14ac:dyDescent="0.2">
      <c r="AF37042" s="679"/>
    </row>
    <row r="37043" spans="32:32" x14ac:dyDescent="0.2">
      <c r="AF37043" s="679"/>
    </row>
    <row r="37044" spans="32:32" x14ac:dyDescent="0.2">
      <c r="AF37044" s="679"/>
    </row>
    <row r="37045" spans="32:32" x14ac:dyDescent="0.2">
      <c r="AF37045" s="679"/>
    </row>
    <row r="37046" spans="32:32" x14ac:dyDescent="0.2">
      <c r="AF37046" s="679"/>
    </row>
    <row r="37047" spans="32:32" x14ac:dyDescent="0.2">
      <c r="AF37047" s="679"/>
    </row>
    <row r="37048" spans="32:32" x14ac:dyDescent="0.2">
      <c r="AF37048" s="679"/>
    </row>
    <row r="37049" spans="32:32" x14ac:dyDescent="0.2">
      <c r="AF37049" s="679"/>
    </row>
    <row r="37050" spans="32:32" x14ac:dyDescent="0.2">
      <c r="AF37050" s="679"/>
    </row>
    <row r="37051" spans="32:32" x14ac:dyDescent="0.2">
      <c r="AF37051" s="679"/>
    </row>
    <row r="37052" spans="32:32" x14ac:dyDescent="0.2">
      <c r="AF37052" s="679"/>
    </row>
    <row r="37053" spans="32:32" x14ac:dyDescent="0.2">
      <c r="AF37053" s="679"/>
    </row>
    <row r="37054" spans="32:32" x14ac:dyDescent="0.2">
      <c r="AF37054" s="679"/>
    </row>
    <row r="37055" spans="32:32" x14ac:dyDescent="0.2">
      <c r="AF37055" s="679"/>
    </row>
    <row r="37056" spans="32:32" x14ac:dyDescent="0.2">
      <c r="AF37056" s="679"/>
    </row>
    <row r="37057" spans="32:32" x14ac:dyDescent="0.2">
      <c r="AF37057" s="679"/>
    </row>
    <row r="37058" spans="32:32" x14ac:dyDescent="0.2">
      <c r="AF37058" s="679"/>
    </row>
    <row r="37059" spans="32:32" x14ac:dyDescent="0.2">
      <c r="AF37059" s="679"/>
    </row>
    <row r="37060" spans="32:32" x14ac:dyDescent="0.2">
      <c r="AF37060" s="679"/>
    </row>
    <row r="37061" spans="32:32" x14ac:dyDescent="0.2">
      <c r="AF37061" s="679"/>
    </row>
    <row r="37062" spans="32:32" x14ac:dyDescent="0.2">
      <c r="AF37062" s="679"/>
    </row>
    <row r="37063" spans="32:32" x14ac:dyDescent="0.2">
      <c r="AF37063" s="679"/>
    </row>
    <row r="37064" spans="32:32" x14ac:dyDescent="0.2">
      <c r="AF37064" s="679"/>
    </row>
    <row r="37065" spans="32:32" x14ac:dyDescent="0.2">
      <c r="AF37065" s="679"/>
    </row>
    <row r="37066" spans="32:32" x14ac:dyDescent="0.2">
      <c r="AF37066" s="679"/>
    </row>
    <row r="37067" spans="32:32" x14ac:dyDescent="0.2">
      <c r="AF37067" s="679"/>
    </row>
    <row r="37068" spans="32:32" x14ac:dyDescent="0.2">
      <c r="AF37068" s="679"/>
    </row>
    <row r="37069" spans="32:32" x14ac:dyDescent="0.2">
      <c r="AF37069" s="679"/>
    </row>
    <row r="37070" spans="32:32" x14ac:dyDescent="0.2">
      <c r="AF37070" s="679"/>
    </row>
    <row r="37071" spans="32:32" x14ac:dyDescent="0.2">
      <c r="AF37071" s="679"/>
    </row>
    <row r="37072" spans="32:32" x14ac:dyDescent="0.2">
      <c r="AF37072" s="679"/>
    </row>
    <row r="37073" spans="32:32" x14ac:dyDescent="0.2">
      <c r="AF37073" s="679"/>
    </row>
    <row r="37074" spans="32:32" x14ac:dyDescent="0.2">
      <c r="AF37074" s="679"/>
    </row>
    <row r="37075" spans="32:32" x14ac:dyDescent="0.2">
      <c r="AF37075" s="679"/>
    </row>
    <row r="37076" spans="32:32" x14ac:dyDescent="0.2">
      <c r="AF37076" s="679"/>
    </row>
    <row r="37077" spans="32:32" x14ac:dyDescent="0.2">
      <c r="AF37077" s="679"/>
    </row>
    <row r="37078" spans="32:32" x14ac:dyDescent="0.2">
      <c r="AF37078" s="679"/>
    </row>
    <row r="37079" spans="32:32" x14ac:dyDescent="0.2">
      <c r="AF37079" s="679"/>
    </row>
    <row r="37080" spans="32:32" x14ac:dyDescent="0.2">
      <c r="AF37080" s="679"/>
    </row>
    <row r="37081" spans="32:32" x14ac:dyDescent="0.2">
      <c r="AF37081" s="679"/>
    </row>
    <row r="37082" spans="32:32" x14ac:dyDescent="0.2">
      <c r="AF37082" s="679"/>
    </row>
    <row r="37083" spans="32:32" x14ac:dyDescent="0.2">
      <c r="AF37083" s="679"/>
    </row>
    <row r="37084" spans="32:32" x14ac:dyDescent="0.2">
      <c r="AF37084" s="679"/>
    </row>
    <row r="37085" spans="32:32" x14ac:dyDescent="0.2">
      <c r="AF37085" s="679"/>
    </row>
    <row r="37086" spans="32:32" x14ac:dyDescent="0.2">
      <c r="AF37086" s="679"/>
    </row>
    <row r="37087" spans="32:32" x14ac:dyDescent="0.2">
      <c r="AF37087" s="679"/>
    </row>
    <row r="37088" spans="32:32" x14ac:dyDescent="0.2">
      <c r="AF37088" s="679"/>
    </row>
    <row r="37089" spans="32:32" x14ac:dyDescent="0.2">
      <c r="AF37089" s="679"/>
    </row>
    <row r="37090" spans="32:32" x14ac:dyDescent="0.2">
      <c r="AF37090" s="679"/>
    </row>
    <row r="37091" spans="32:32" x14ac:dyDescent="0.2">
      <c r="AF37091" s="679"/>
    </row>
    <row r="37092" spans="32:32" x14ac:dyDescent="0.2">
      <c r="AF37092" s="679"/>
    </row>
    <row r="37093" spans="32:32" x14ac:dyDescent="0.2">
      <c r="AF37093" s="679"/>
    </row>
    <row r="37094" spans="32:32" x14ac:dyDescent="0.2">
      <c r="AF37094" s="679"/>
    </row>
    <row r="37095" spans="32:32" x14ac:dyDescent="0.2">
      <c r="AF37095" s="679"/>
    </row>
    <row r="37096" spans="32:32" x14ac:dyDescent="0.2">
      <c r="AF37096" s="679"/>
    </row>
    <row r="37097" spans="32:32" x14ac:dyDescent="0.2">
      <c r="AF37097" s="679"/>
    </row>
    <row r="37098" spans="32:32" x14ac:dyDescent="0.2">
      <c r="AF37098" s="679"/>
    </row>
    <row r="37099" spans="32:32" x14ac:dyDescent="0.2">
      <c r="AF37099" s="679"/>
    </row>
    <row r="37100" spans="32:32" x14ac:dyDescent="0.2">
      <c r="AF37100" s="679"/>
    </row>
    <row r="37101" spans="32:32" x14ac:dyDescent="0.2">
      <c r="AF37101" s="679"/>
    </row>
    <row r="37102" spans="32:32" x14ac:dyDescent="0.2">
      <c r="AF37102" s="679"/>
    </row>
    <row r="37103" spans="32:32" x14ac:dyDescent="0.2">
      <c r="AF37103" s="679"/>
    </row>
    <row r="37104" spans="32:32" x14ac:dyDescent="0.2">
      <c r="AF37104" s="679"/>
    </row>
    <row r="37105" spans="32:32" x14ac:dyDescent="0.2">
      <c r="AF37105" s="679"/>
    </row>
    <row r="37106" spans="32:32" x14ac:dyDescent="0.2">
      <c r="AF37106" s="679"/>
    </row>
    <row r="37107" spans="32:32" x14ac:dyDescent="0.2">
      <c r="AF37107" s="679"/>
    </row>
    <row r="37108" spans="32:32" x14ac:dyDescent="0.2">
      <c r="AF37108" s="679"/>
    </row>
    <row r="37109" spans="32:32" x14ac:dyDescent="0.2">
      <c r="AF37109" s="679"/>
    </row>
    <row r="37110" spans="32:32" x14ac:dyDescent="0.2">
      <c r="AF37110" s="679"/>
    </row>
    <row r="37111" spans="32:32" x14ac:dyDescent="0.2">
      <c r="AF37111" s="679"/>
    </row>
    <row r="37112" spans="32:32" x14ac:dyDescent="0.2">
      <c r="AF37112" s="679"/>
    </row>
    <row r="37113" spans="32:32" x14ac:dyDescent="0.2">
      <c r="AF37113" s="679"/>
    </row>
    <row r="37114" spans="32:32" x14ac:dyDescent="0.2">
      <c r="AF37114" s="679"/>
    </row>
    <row r="37115" spans="32:32" x14ac:dyDescent="0.2">
      <c r="AF37115" s="679"/>
    </row>
    <row r="37116" spans="32:32" x14ac:dyDescent="0.2">
      <c r="AF37116" s="679"/>
    </row>
    <row r="37117" spans="32:32" x14ac:dyDescent="0.2">
      <c r="AF37117" s="679"/>
    </row>
    <row r="37118" spans="32:32" x14ac:dyDescent="0.2">
      <c r="AF37118" s="679"/>
    </row>
    <row r="37119" spans="32:32" x14ac:dyDescent="0.2">
      <c r="AF37119" s="679"/>
    </row>
    <row r="37120" spans="32:32" x14ac:dyDescent="0.2">
      <c r="AF37120" s="679"/>
    </row>
    <row r="37121" spans="32:32" x14ac:dyDescent="0.2">
      <c r="AF37121" s="679"/>
    </row>
    <row r="37122" spans="32:32" x14ac:dyDescent="0.2">
      <c r="AF37122" s="679"/>
    </row>
    <row r="37123" spans="32:32" x14ac:dyDescent="0.2">
      <c r="AF37123" s="679"/>
    </row>
    <row r="37124" spans="32:32" x14ac:dyDescent="0.2">
      <c r="AF37124" s="679"/>
    </row>
    <row r="37125" spans="32:32" x14ac:dyDescent="0.2">
      <c r="AF37125" s="679"/>
    </row>
    <row r="37126" spans="32:32" x14ac:dyDescent="0.2">
      <c r="AF37126" s="679"/>
    </row>
    <row r="37127" spans="32:32" x14ac:dyDescent="0.2">
      <c r="AF37127" s="679"/>
    </row>
    <row r="37128" spans="32:32" x14ac:dyDescent="0.2">
      <c r="AF37128" s="679"/>
    </row>
    <row r="37129" spans="32:32" x14ac:dyDescent="0.2">
      <c r="AF37129" s="679"/>
    </row>
    <row r="37130" spans="32:32" x14ac:dyDescent="0.2">
      <c r="AF37130" s="679"/>
    </row>
    <row r="37131" spans="32:32" x14ac:dyDescent="0.2">
      <c r="AF37131" s="679"/>
    </row>
    <row r="37132" spans="32:32" x14ac:dyDescent="0.2">
      <c r="AF37132" s="679"/>
    </row>
    <row r="37133" spans="32:32" x14ac:dyDescent="0.2">
      <c r="AF37133" s="679"/>
    </row>
    <row r="37134" spans="32:32" x14ac:dyDescent="0.2">
      <c r="AF37134" s="679"/>
    </row>
    <row r="37135" spans="32:32" x14ac:dyDescent="0.2">
      <c r="AF37135" s="679"/>
    </row>
    <row r="37136" spans="32:32" x14ac:dyDescent="0.2">
      <c r="AF37136" s="679"/>
    </row>
    <row r="37137" spans="32:32" x14ac:dyDescent="0.2">
      <c r="AF37137" s="679"/>
    </row>
    <row r="37138" spans="32:32" x14ac:dyDescent="0.2">
      <c r="AF37138" s="679"/>
    </row>
    <row r="37139" spans="32:32" x14ac:dyDescent="0.2">
      <c r="AF37139" s="679"/>
    </row>
    <row r="37140" spans="32:32" x14ac:dyDescent="0.2">
      <c r="AF37140" s="679"/>
    </row>
    <row r="37141" spans="32:32" x14ac:dyDescent="0.2">
      <c r="AF37141" s="679"/>
    </row>
    <row r="37142" spans="32:32" x14ac:dyDescent="0.2">
      <c r="AF37142" s="679"/>
    </row>
    <row r="37143" spans="32:32" x14ac:dyDescent="0.2">
      <c r="AF37143" s="679"/>
    </row>
    <row r="37144" spans="32:32" x14ac:dyDescent="0.2">
      <c r="AF37144" s="679"/>
    </row>
    <row r="37145" spans="32:32" x14ac:dyDescent="0.2">
      <c r="AF37145" s="679"/>
    </row>
    <row r="37146" spans="32:32" x14ac:dyDescent="0.2">
      <c r="AF37146" s="679"/>
    </row>
    <row r="37147" spans="32:32" x14ac:dyDescent="0.2">
      <c r="AF37147" s="679"/>
    </row>
    <row r="37148" spans="32:32" x14ac:dyDescent="0.2">
      <c r="AF37148" s="679"/>
    </row>
    <row r="37149" spans="32:32" x14ac:dyDescent="0.2">
      <c r="AF37149" s="679"/>
    </row>
    <row r="37150" spans="32:32" x14ac:dyDescent="0.2">
      <c r="AF37150" s="679"/>
    </row>
    <row r="37151" spans="32:32" x14ac:dyDescent="0.2">
      <c r="AF37151" s="679"/>
    </row>
    <row r="37152" spans="32:32" x14ac:dyDescent="0.2">
      <c r="AF37152" s="679"/>
    </row>
    <row r="37153" spans="32:32" x14ac:dyDescent="0.2">
      <c r="AF37153" s="679"/>
    </row>
    <row r="37154" spans="32:32" x14ac:dyDescent="0.2">
      <c r="AF37154" s="679"/>
    </row>
    <row r="37155" spans="32:32" x14ac:dyDescent="0.2">
      <c r="AF37155" s="679"/>
    </row>
    <row r="37156" spans="32:32" x14ac:dyDescent="0.2">
      <c r="AF37156" s="679"/>
    </row>
    <row r="37157" spans="32:32" x14ac:dyDescent="0.2">
      <c r="AF37157" s="679"/>
    </row>
    <row r="37158" spans="32:32" x14ac:dyDescent="0.2">
      <c r="AF37158" s="679"/>
    </row>
    <row r="37159" spans="32:32" x14ac:dyDescent="0.2">
      <c r="AF37159" s="679"/>
    </row>
    <row r="37160" spans="32:32" x14ac:dyDescent="0.2">
      <c r="AF37160" s="679"/>
    </row>
    <row r="37161" spans="32:32" x14ac:dyDescent="0.2">
      <c r="AF37161" s="679"/>
    </row>
    <row r="37162" spans="32:32" x14ac:dyDescent="0.2">
      <c r="AF37162" s="679"/>
    </row>
    <row r="37163" spans="32:32" x14ac:dyDescent="0.2">
      <c r="AF37163" s="679"/>
    </row>
    <row r="37164" spans="32:32" x14ac:dyDescent="0.2">
      <c r="AF37164" s="679"/>
    </row>
    <row r="37165" spans="32:32" x14ac:dyDescent="0.2">
      <c r="AF37165" s="679"/>
    </row>
    <row r="37166" spans="32:32" x14ac:dyDescent="0.2">
      <c r="AF37166" s="679"/>
    </row>
    <row r="37167" spans="32:32" x14ac:dyDescent="0.2">
      <c r="AF37167" s="679"/>
    </row>
    <row r="37168" spans="32:32" x14ac:dyDescent="0.2">
      <c r="AF37168" s="679"/>
    </row>
    <row r="37169" spans="32:32" x14ac:dyDescent="0.2">
      <c r="AF37169" s="679"/>
    </row>
    <row r="37170" spans="32:32" x14ac:dyDescent="0.2">
      <c r="AF37170" s="679"/>
    </row>
    <row r="37171" spans="32:32" x14ac:dyDescent="0.2">
      <c r="AF37171" s="679"/>
    </row>
    <row r="37172" spans="32:32" x14ac:dyDescent="0.2">
      <c r="AF37172" s="679"/>
    </row>
    <row r="37173" spans="32:32" x14ac:dyDescent="0.2">
      <c r="AF37173" s="679"/>
    </row>
    <row r="37174" spans="32:32" x14ac:dyDescent="0.2">
      <c r="AF37174" s="679"/>
    </row>
    <row r="37175" spans="32:32" x14ac:dyDescent="0.2">
      <c r="AF37175" s="679"/>
    </row>
    <row r="37176" spans="32:32" x14ac:dyDescent="0.2">
      <c r="AF37176" s="679"/>
    </row>
    <row r="37177" spans="32:32" x14ac:dyDescent="0.2">
      <c r="AF37177" s="679"/>
    </row>
    <row r="37178" spans="32:32" x14ac:dyDescent="0.2">
      <c r="AF37178" s="679"/>
    </row>
    <row r="37179" spans="32:32" x14ac:dyDescent="0.2">
      <c r="AF37179" s="679"/>
    </row>
    <row r="37180" spans="32:32" x14ac:dyDescent="0.2">
      <c r="AF37180" s="679"/>
    </row>
    <row r="37181" spans="32:32" x14ac:dyDescent="0.2">
      <c r="AF37181" s="679"/>
    </row>
    <row r="37182" spans="32:32" x14ac:dyDescent="0.2">
      <c r="AF37182" s="679"/>
    </row>
    <row r="37183" spans="32:32" x14ac:dyDescent="0.2">
      <c r="AF37183" s="679"/>
    </row>
    <row r="37184" spans="32:32" x14ac:dyDescent="0.2">
      <c r="AF37184" s="679"/>
    </row>
    <row r="37185" spans="32:32" x14ac:dyDescent="0.2">
      <c r="AF37185" s="679"/>
    </row>
    <row r="37186" spans="32:32" x14ac:dyDescent="0.2">
      <c r="AF37186" s="679"/>
    </row>
    <row r="37187" spans="32:32" x14ac:dyDescent="0.2">
      <c r="AF37187" s="679"/>
    </row>
    <row r="37188" spans="32:32" x14ac:dyDescent="0.2">
      <c r="AF37188" s="679"/>
    </row>
    <row r="37189" spans="32:32" x14ac:dyDescent="0.2">
      <c r="AF37189" s="679"/>
    </row>
    <row r="37190" spans="32:32" x14ac:dyDescent="0.2">
      <c r="AF37190" s="679"/>
    </row>
    <row r="37191" spans="32:32" x14ac:dyDescent="0.2">
      <c r="AF37191" s="679"/>
    </row>
    <row r="37192" spans="32:32" x14ac:dyDescent="0.2">
      <c r="AF37192" s="679"/>
    </row>
    <row r="37193" spans="32:32" x14ac:dyDescent="0.2">
      <c r="AF37193" s="679"/>
    </row>
    <row r="37194" spans="32:32" x14ac:dyDescent="0.2">
      <c r="AF37194" s="679"/>
    </row>
    <row r="37195" spans="32:32" x14ac:dyDescent="0.2">
      <c r="AF37195" s="679"/>
    </row>
    <row r="37196" spans="32:32" x14ac:dyDescent="0.2">
      <c r="AF37196" s="679"/>
    </row>
    <row r="37197" spans="32:32" x14ac:dyDescent="0.2">
      <c r="AF37197" s="679"/>
    </row>
    <row r="37198" spans="32:32" x14ac:dyDescent="0.2">
      <c r="AF37198" s="679"/>
    </row>
    <row r="37199" spans="32:32" x14ac:dyDescent="0.2">
      <c r="AF37199" s="679"/>
    </row>
    <row r="37200" spans="32:32" x14ac:dyDescent="0.2">
      <c r="AF37200" s="679"/>
    </row>
    <row r="37201" spans="32:32" x14ac:dyDescent="0.2">
      <c r="AF37201" s="679"/>
    </row>
    <row r="37202" spans="32:32" x14ac:dyDescent="0.2">
      <c r="AF37202" s="679"/>
    </row>
    <row r="37203" spans="32:32" x14ac:dyDescent="0.2">
      <c r="AF37203" s="679"/>
    </row>
    <row r="37204" spans="32:32" x14ac:dyDescent="0.2">
      <c r="AF37204" s="679"/>
    </row>
    <row r="37205" spans="32:32" x14ac:dyDescent="0.2">
      <c r="AF37205" s="679"/>
    </row>
    <row r="37206" spans="32:32" x14ac:dyDescent="0.2">
      <c r="AF37206" s="679"/>
    </row>
    <row r="37207" spans="32:32" x14ac:dyDescent="0.2">
      <c r="AF37207" s="679"/>
    </row>
    <row r="37208" spans="32:32" x14ac:dyDescent="0.2">
      <c r="AF37208" s="679"/>
    </row>
    <row r="37209" spans="32:32" x14ac:dyDescent="0.2">
      <c r="AF37209" s="679"/>
    </row>
    <row r="37210" spans="32:32" x14ac:dyDescent="0.2">
      <c r="AF37210" s="679"/>
    </row>
    <row r="37211" spans="32:32" x14ac:dyDescent="0.2">
      <c r="AF37211" s="679"/>
    </row>
    <row r="37212" spans="32:32" x14ac:dyDescent="0.2">
      <c r="AF37212" s="679"/>
    </row>
    <row r="37213" spans="32:32" x14ac:dyDescent="0.2">
      <c r="AF37213" s="679"/>
    </row>
    <row r="37214" spans="32:32" x14ac:dyDescent="0.2">
      <c r="AF37214" s="679"/>
    </row>
    <row r="37215" spans="32:32" x14ac:dyDescent="0.2">
      <c r="AF37215" s="679"/>
    </row>
    <row r="37216" spans="32:32" x14ac:dyDescent="0.2">
      <c r="AF37216" s="679"/>
    </row>
    <row r="37217" spans="32:32" x14ac:dyDescent="0.2">
      <c r="AF37217" s="679"/>
    </row>
    <row r="37218" spans="32:32" x14ac:dyDescent="0.2">
      <c r="AF37218" s="679"/>
    </row>
    <row r="37219" spans="32:32" x14ac:dyDescent="0.2">
      <c r="AF37219" s="679"/>
    </row>
    <row r="37220" spans="32:32" x14ac:dyDescent="0.2">
      <c r="AF37220" s="679"/>
    </row>
    <row r="37221" spans="32:32" x14ac:dyDescent="0.2">
      <c r="AF37221" s="679"/>
    </row>
    <row r="37222" spans="32:32" x14ac:dyDescent="0.2">
      <c r="AF37222" s="679"/>
    </row>
    <row r="37223" spans="32:32" x14ac:dyDescent="0.2">
      <c r="AF37223" s="679"/>
    </row>
    <row r="37224" spans="32:32" x14ac:dyDescent="0.2">
      <c r="AF37224" s="679"/>
    </row>
    <row r="37225" spans="32:32" x14ac:dyDescent="0.2">
      <c r="AF37225" s="679"/>
    </row>
    <row r="37226" spans="32:32" x14ac:dyDescent="0.2">
      <c r="AF37226" s="679"/>
    </row>
    <row r="37227" spans="32:32" x14ac:dyDescent="0.2">
      <c r="AF37227" s="679"/>
    </row>
    <row r="37228" spans="32:32" x14ac:dyDescent="0.2">
      <c r="AF37228" s="679"/>
    </row>
    <row r="37229" spans="32:32" x14ac:dyDescent="0.2">
      <c r="AF37229" s="679"/>
    </row>
    <row r="37230" spans="32:32" x14ac:dyDescent="0.2">
      <c r="AF37230" s="679"/>
    </row>
    <row r="37231" spans="32:32" x14ac:dyDescent="0.2">
      <c r="AF37231" s="679"/>
    </row>
    <row r="37232" spans="32:32" x14ac:dyDescent="0.2">
      <c r="AF37232" s="679"/>
    </row>
    <row r="37233" spans="32:32" x14ac:dyDescent="0.2">
      <c r="AF37233" s="679"/>
    </row>
    <row r="37234" spans="32:32" x14ac:dyDescent="0.2">
      <c r="AF37234" s="679"/>
    </row>
    <row r="37235" spans="32:32" x14ac:dyDescent="0.2">
      <c r="AF37235" s="679"/>
    </row>
    <row r="37236" spans="32:32" x14ac:dyDescent="0.2">
      <c r="AF37236" s="679"/>
    </row>
    <row r="37237" spans="32:32" x14ac:dyDescent="0.2">
      <c r="AF37237" s="679"/>
    </row>
    <row r="37238" spans="32:32" x14ac:dyDescent="0.2">
      <c r="AF37238" s="679"/>
    </row>
    <row r="37239" spans="32:32" x14ac:dyDescent="0.2">
      <c r="AF37239" s="679"/>
    </row>
    <row r="37240" spans="32:32" x14ac:dyDescent="0.2">
      <c r="AF37240" s="679"/>
    </row>
    <row r="37241" spans="32:32" x14ac:dyDescent="0.2">
      <c r="AF37241" s="679"/>
    </row>
    <row r="37242" spans="32:32" x14ac:dyDescent="0.2">
      <c r="AF37242" s="679"/>
    </row>
    <row r="37243" spans="32:32" x14ac:dyDescent="0.2">
      <c r="AF37243" s="679"/>
    </row>
    <row r="37244" spans="32:32" x14ac:dyDescent="0.2">
      <c r="AF37244" s="679"/>
    </row>
    <row r="37245" spans="32:32" x14ac:dyDescent="0.2">
      <c r="AF37245" s="679"/>
    </row>
    <row r="37246" spans="32:32" x14ac:dyDescent="0.2">
      <c r="AF37246" s="679"/>
    </row>
    <row r="37247" spans="32:32" x14ac:dyDescent="0.2">
      <c r="AF37247" s="679"/>
    </row>
    <row r="37248" spans="32:32" x14ac:dyDescent="0.2">
      <c r="AF37248" s="679"/>
    </row>
    <row r="37249" spans="32:32" x14ac:dyDescent="0.2">
      <c r="AF37249" s="679"/>
    </row>
    <row r="37250" spans="32:32" x14ac:dyDescent="0.2">
      <c r="AF37250" s="679"/>
    </row>
    <row r="37251" spans="32:32" x14ac:dyDescent="0.2">
      <c r="AF37251" s="679"/>
    </row>
    <row r="37252" spans="32:32" x14ac:dyDescent="0.2">
      <c r="AF37252" s="679"/>
    </row>
    <row r="37253" spans="32:32" x14ac:dyDescent="0.2">
      <c r="AF37253" s="679"/>
    </row>
    <row r="37254" spans="32:32" x14ac:dyDescent="0.2">
      <c r="AF37254" s="679"/>
    </row>
    <row r="37255" spans="32:32" x14ac:dyDescent="0.2">
      <c r="AF37255" s="679"/>
    </row>
    <row r="37256" spans="32:32" x14ac:dyDescent="0.2">
      <c r="AF37256" s="679"/>
    </row>
    <row r="37257" spans="32:32" x14ac:dyDescent="0.2">
      <c r="AF37257" s="679"/>
    </row>
    <row r="37258" spans="32:32" x14ac:dyDescent="0.2">
      <c r="AF37258" s="679"/>
    </row>
    <row r="37259" spans="32:32" x14ac:dyDescent="0.2">
      <c r="AF37259" s="679"/>
    </row>
    <row r="37260" spans="32:32" x14ac:dyDescent="0.2">
      <c r="AF37260" s="679"/>
    </row>
    <row r="37261" spans="32:32" x14ac:dyDescent="0.2">
      <c r="AF37261" s="679"/>
    </row>
    <row r="37262" spans="32:32" x14ac:dyDescent="0.2">
      <c r="AF37262" s="679"/>
    </row>
    <row r="37263" spans="32:32" x14ac:dyDescent="0.2">
      <c r="AF37263" s="679"/>
    </row>
    <row r="37264" spans="32:32" x14ac:dyDescent="0.2">
      <c r="AF37264" s="679"/>
    </row>
    <row r="37265" spans="32:32" x14ac:dyDescent="0.2">
      <c r="AF37265" s="679"/>
    </row>
    <row r="37266" spans="32:32" x14ac:dyDescent="0.2">
      <c r="AF37266" s="679"/>
    </row>
    <row r="37267" spans="32:32" x14ac:dyDescent="0.2">
      <c r="AF37267" s="679"/>
    </row>
    <row r="37268" spans="32:32" x14ac:dyDescent="0.2">
      <c r="AF37268" s="679"/>
    </row>
    <row r="37269" spans="32:32" x14ac:dyDescent="0.2">
      <c r="AF37269" s="679"/>
    </row>
    <row r="37270" spans="32:32" x14ac:dyDescent="0.2">
      <c r="AF37270" s="679"/>
    </row>
    <row r="37271" spans="32:32" x14ac:dyDescent="0.2">
      <c r="AF37271" s="679"/>
    </row>
    <row r="37272" spans="32:32" x14ac:dyDescent="0.2">
      <c r="AF37272" s="679"/>
    </row>
    <row r="37273" spans="32:32" x14ac:dyDescent="0.2">
      <c r="AF37273" s="679"/>
    </row>
    <row r="37274" spans="32:32" x14ac:dyDescent="0.2">
      <c r="AF37274" s="679"/>
    </row>
    <row r="37275" spans="32:32" x14ac:dyDescent="0.2">
      <c r="AF37275" s="679"/>
    </row>
    <row r="37276" spans="32:32" x14ac:dyDescent="0.2">
      <c r="AF37276" s="679"/>
    </row>
    <row r="37277" spans="32:32" x14ac:dyDescent="0.2">
      <c r="AF37277" s="679"/>
    </row>
    <row r="37278" spans="32:32" x14ac:dyDescent="0.2">
      <c r="AF37278" s="679"/>
    </row>
    <row r="37279" spans="32:32" x14ac:dyDescent="0.2">
      <c r="AF37279" s="679"/>
    </row>
    <row r="37280" spans="32:32" x14ac:dyDescent="0.2">
      <c r="AF37280" s="679"/>
    </row>
    <row r="37281" spans="32:32" x14ac:dyDescent="0.2">
      <c r="AF37281" s="679"/>
    </row>
    <row r="37282" spans="32:32" x14ac:dyDescent="0.2">
      <c r="AF37282" s="679"/>
    </row>
    <row r="37283" spans="32:32" x14ac:dyDescent="0.2">
      <c r="AF37283" s="679"/>
    </row>
    <row r="37284" spans="32:32" x14ac:dyDescent="0.2">
      <c r="AF37284" s="679"/>
    </row>
    <row r="37285" spans="32:32" x14ac:dyDescent="0.2">
      <c r="AF37285" s="679"/>
    </row>
    <row r="37286" spans="32:32" x14ac:dyDescent="0.2">
      <c r="AF37286" s="679"/>
    </row>
    <row r="37287" spans="32:32" x14ac:dyDescent="0.2">
      <c r="AF37287" s="679"/>
    </row>
    <row r="37288" spans="32:32" x14ac:dyDescent="0.2">
      <c r="AF37288" s="679"/>
    </row>
    <row r="37289" spans="32:32" x14ac:dyDescent="0.2">
      <c r="AF37289" s="679"/>
    </row>
    <row r="37290" spans="32:32" x14ac:dyDescent="0.2">
      <c r="AF37290" s="679"/>
    </row>
    <row r="37291" spans="32:32" x14ac:dyDescent="0.2">
      <c r="AF37291" s="679"/>
    </row>
    <row r="37292" spans="32:32" x14ac:dyDescent="0.2">
      <c r="AF37292" s="679"/>
    </row>
    <row r="37293" spans="32:32" x14ac:dyDescent="0.2">
      <c r="AF37293" s="679"/>
    </row>
    <row r="37294" spans="32:32" x14ac:dyDescent="0.2">
      <c r="AF37294" s="679"/>
    </row>
    <row r="37295" spans="32:32" x14ac:dyDescent="0.2">
      <c r="AF37295" s="679"/>
    </row>
    <row r="37296" spans="32:32" x14ac:dyDescent="0.2">
      <c r="AF37296" s="679"/>
    </row>
    <row r="37297" spans="32:32" x14ac:dyDescent="0.2">
      <c r="AF37297" s="679"/>
    </row>
    <row r="37298" spans="32:32" x14ac:dyDescent="0.2">
      <c r="AF37298" s="679"/>
    </row>
    <row r="37299" spans="32:32" x14ac:dyDescent="0.2">
      <c r="AF37299" s="679"/>
    </row>
    <row r="37300" spans="32:32" x14ac:dyDescent="0.2">
      <c r="AF37300" s="679"/>
    </row>
    <row r="37301" spans="32:32" x14ac:dyDescent="0.2">
      <c r="AF37301" s="679"/>
    </row>
    <row r="37302" spans="32:32" x14ac:dyDescent="0.2">
      <c r="AF37302" s="679"/>
    </row>
    <row r="37303" spans="32:32" x14ac:dyDescent="0.2">
      <c r="AF37303" s="679"/>
    </row>
    <row r="37304" spans="32:32" x14ac:dyDescent="0.2">
      <c r="AF37304" s="679"/>
    </row>
    <row r="37305" spans="32:32" x14ac:dyDescent="0.2">
      <c r="AF37305" s="679"/>
    </row>
    <row r="37306" spans="32:32" x14ac:dyDescent="0.2">
      <c r="AF37306" s="679"/>
    </row>
    <row r="37307" spans="32:32" x14ac:dyDescent="0.2">
      <c r="AF37307" s="679"/>
    </row>
    <row r="37308" spans="32:32" x14ac:dyDescent="0.2">
      <c r="AF37308" s="679"/>
    </row>
    <row r="37309" spans="32:32" x14ac:dyDescent="0.2">
      <c r="AF37309" s="679"/>
    </row>
    <row r="37310" spans="32:32" x14ac:dyDescent="0.2">
      <c r="AF37310" s="679"/>
    </row>
    <row r="37311" spans="32:32" x14ac:dyDescent="0.2">
      <c r="AF37311" s="679"/>
    </row>
    <row r="37312" spans="32:32" x14ac:dyDescent="0.2">
      <c r="AF37312" s="679"/>
    </row>
    <row r="37313" spans="32:32" x14ac:dyDescent="0.2">
      <c r="AF37313" s="679"/>
    </row>
    <row r="37314" spans="32:32" x14ac:dyDescent="0.2">
      <c r="AF37314" s="679"/>
    </row>
    <row r="37315" spans="32:32" x14ac:dyDescent="0.2">
      <c r="AF37315" s="679"/>
    </row>
    <row r="37316" spans="32:32" x14ac:dyDescent="0.2">
      <c r="AF37316" s="679"/>
    </row>
    <row r="37317" spans="32:32" x14ac:dyDescent="0.2">
      <c r="AF37317" s="679"/>
    </row>
    <row r="37318" spans="32:32" x14ac:dyDescent="0.2">
      <c r="AF37318" s="679"/>
    </row>
    <row r="37319" spans="32:32" x14ac:dyDescent="0.2">
      <c r="AF37319" s="679"/>
    </row>
    <row r="37320" spans="32:32" x14ac:dyDescent="0.2">
      <c r="AF37320" s="679"/>
    </row>
    <row r="37321" spans="32:32" x14ac:dyDescent="0.2">
      <c r="AF37321" s="679"/>
    </row>
    <row r="37322" spans="32:32" x14ac:dyDescent="0.2">
      <c r="AF37322" s="679"/>
    </row>
    <row r="37323" spans="32:32" x14ac:dyDescent="0.2">
      <c r="AF37323" s="679"/>
    </row>
    <row r="37324" spans="32:32" x14ac:dyDescent="0.2">
      <c r="AF37324" s="679"/>
    </row>
    <row r="37325" spans="32:32" x14ac:dyDescent="0.2">
      <c r="AF37325" s="679"/>
    </row>
    <row r="37326" spans="32:32" x14ac:dyDescent="0.2">
      <c r="AF37326" s="679"/>
    </row>
    <row r="37327" spans="32:32" x14ac:dyDescent="0.2">
      <c r="AF37327" s="679"/>
    </row>
    <row r="37328" spans="32:32" x14ac:dyDescent="0.2">
      <c r="AF37328" s="679"/>
    </row>
    <row r="37329" spans="32:32" x14ac:dyDescent="0.2">
      <c r="AF37329" s="679"/>
    </row>
    <row r="37330" spans="32:32" x14ac:dyDescent="0.2">
      <c r="AF37330" s="679"/>
    </row>
    <row r="37331" spans="32:32" x14ac:dyDescent="0.2">
      <c r="AF37331" s="679"/>
    </row>
    <row r="37332" spans="32:32" x14ac:dyDescent="0.2">
      <c r="AF37332" s="679"/>
    </row>
    <row r="37333" spans="32:32" x14ac:dyDescent="0.2">
      <c r="AF37333" s="679"/>
    </row>
    <row r="37334" spans="32:32" x14ac:dyDescent="0.2">
      <c r="AF37334" s="679"/>
    </row>
    <row r="37335" spans="32:32" x14ac:dyDescent="0.2">
      <c r="AF37335" s="679"/>
    </row>
    <row r="37336" spans="32:32" x14ac:dyDescent="0.2">
      <c r="AF37336" s="679"/>
    </row>
    <row r="37337" spans="32:32" x14ac:dyDescent="0.2">
      <c r="AF37337" s="679"/>
    </row>
    <row r="37338" spans="32:32" x14ac:dyDescent="0.2">
      <c r="AF37338" s="679"/>
    </row>
    <row r="37339" spans="32:32" x14ac:dyDescent="0.2">
      <c r="AF37339" s="679"/>
    </row>
    <row r="37340" spans="32:32" x14ac:dyDescent="0.2">
      <c r="AF37340" s="679"/>
    </row>
    <row r="37341" spans="32:32" x14ac:dyDescent="0.2">
      <c r="AF37341" s="679"/>
    </row>
    <row r="37342" spans="32:32" x14ac:dyDescent="0.2">
      <c r="AF37342" s="679"/>
    </row>
    <row r="37343" spans="32:32" x14ac:dyDescent="0.2">
      <c r="AF37343" s="679"/>
    </row>
    <row r="37344" spans="32:32" x14ac:dyDescent="0.2">
      <c r="AF37344" s="679"/>
    </row>
    <row r="37345" spans="32:32" x14ac:dyDescent="0.2">
      <c r="AF37345" s="679"/>
    </row>
    <row r="37346" spans="32:32" x14ac:dyDescent="0.2">
      <c r="AF37346" s="679"/>
    </row>
    <row r="37347" spans="32:32" x14ac:dyDescent="0.2">
      <c r="AF37347" s="679"/>
    </row>
    <row r="37348" spans="32:32" x14ac:dyDescent="0.2">
      <c r="AF37348" s="679"/>
    </row>
    <row r="37349" spans="32:32" x14ac:dyDescent="0.2">
      <c r="AF37349" s="679"/>
    </row>
    <row r="37350" spans="32:32" x14ac:dyDescent="0.2">
      <c r="AF37350" s="679"/>
    </row>
    <row r="37351" spans="32:32" x14ac:dyDescent="0.2">
      <c r="AF37351" s="679"/>
    </row>
    <row r="37352" spans="32:32" x14ac:dyDescent="0.2">
      <c r="AF37352" s="679"/>
    </row>
    <row r="37353" spans="32:32" x14ac:dyDescent="0.2">
      <c r="AF37353" s="679"/>
    </row>
    <row r="37354" spans="32:32" x14ac:dyDescent="0.2">
      <c r="AF37354" s="679"/>
    </row>
    <row r="37355" spans="32:32" x14ac:dyDescent="0.2">
      <c r="AF37355" s="679"/>
    </row>
    <row r="37356" spans="32:32" x14ac:dyDescent="0.2">
      <c r="AF37356" s="679"/>
    </row>
    <row r="37357" spans="32:32" x14ac:dyDescent="0.2">
      <c r="AF37357" s="679"/>
    </row>
    <row r="37358" spans="32:32" x14ac:dyDescent="0.2">
      <c r="AF37358" s="679"/>
    </row>
    <row r="37359" spans="32:32" x14ac:dyDescent="0.2">
      <c r="AF37359" s="679"/>
    </row>
    <row r="37360" spans="32:32" x14ac:dyDescent="0.2">
      <c r="AF37360" s="679"/>
    </row>
    <row r="37361" spans="32:32" x14ac:dyDescent="0.2">
      <c r="AF37361" s="679"/>
    </row>
    <row r="37362" spans="32:32" x14ac:dyDescent="0.2">
      <c r="AF37362" s="679"/>
    </row>
    <row r="37363" spans="32:32" x14ac:dyDescent="0.2">
      <c r="AF37363" s="679"/>
    </row>
    <row r="37364" spans="32:32" x14ac:dyDescent="0.2">
      <c r="AF37364" s="679"/>
    </row>
    <row r="37365" spans="32:32" x14ac:dyDescent="0.2">
      <c r="AF37365" s="679"/>
    </row>
    <row r="37366" spans="32:32" x14ac:dyDescent="0.2">
      <c r="AF37366" s="679"/>
    </row>
    <row r="37367" spans="32:32" x14ac:dyDescent="0.2">
      <c r="AF37367" s="679"/>
    </row>
    <row r="37368" spans="32:32" x14ac:dyDescent="0.2">
      <c r="AF37368" s="679"/>
    </row>
    <row r="37369" spans="32:32" x14ac:dyDescent="0.2">
      <c r="AF37369" s="679"/>
    </row>
    <row r="37370" spans="32:32" x14ac:dyDescent="0.2">
      <c r="AF37370" s="679"/>
    </row>
    <row r="37371" spans="32:32" x14ac:dyDescent="0.2">
      <c r="AF37371" s="679"/>
    </row>
    <row r="37372" spans="32:32" x14ac:dyDescent="0.2">
      <c r="AF37372" s="679"/>
    </row>
    <row r="37373" spans="32:32" x14ac:dyDescent="0.2">
      <c r="AF37373" s="679"/>
    </row>
    <row r="37374" spans="32:32" x14ac:dyDescent="0.2">
      <c r="AF37374" s="679"/>
    </row>
    <row r="37375" spans="32:32" x14ac:dyDescent="0.2">
      <c r="AF37375" s="679"/>
    </row>
    <row r="37376" spans="32:32" x14ac:dyDescent="0.2">
      <c r="AF37376" s="679"/>
    </row>
    <row r="37377" spans="32:32" x14ac:dyDescent="0.2">
      <c r="AF37377" s="679"/>
    </row>
    <row r="37378" spans="32:32" x14ac:dyDescent="0.2">
      <c r="AF37378" s="679"/>
    </row>
    <row r="37379" spans="32:32" x14ac:dyDescent="0.2">
      <c r="AF37379" s="679"/>
    </row>
    <row r="37380" spans="32:32" x14ac:dyDescent="0.2">
      <c r="AF37380" s="679"/>
    </row>
    <row r="37381" spans="32:32" x14ac:dyDescent="0.2">
      <c r="AF37381" s="679"/>
    </row>
    <row r="37382" spans="32:32" x14ac:dyDescent="0.2">
      <c r="AF37382" s="679"/>
    </row>
    <row r="37383" spans="32:32" x14ac:dyDescent="0.2">
      <c r="AF37383" s="679"/>
    </row>
    <row r="37384" spans="32:32" x14ac:dyDescent="0.2">
      <c r="AF37384" s="679"/>
    </row>
    <row r="37385" spans="32:32" x14ac:dyDescent="0.2">
      <c r="AF37385" s="679"/>
    </row>
    <row r="37386" spans="32:32" x14ac:dyDescent="0.2">
      <c r="AF37386" s="679"/>
    </row>
    <row r="37387" spans="32:32" x14ac:dyDescent="0.2">
      <c r="AF37387" s="679"/>
    </row>
    <row r="37388" spans="32:32" x14ac:dyDescent="0.2">
      <c r="AF37388" s="679"/>
    </row>
    <row r="37389" spans="32:32" x14ac:dyDescent="0.2">
      <c r="AF37389" s="679"/>
    </row>
    <row r="37390" spans="32:32" x14ac:dyDescent="0.2">
      <c r="AF37390" s="679"/>
    </row>
    <row r="37391" spans="32:32" x14ac:dyDescent="0.2">
      <c r="AF37391" s="679"/>
    </row>
    <row r="37392" spans="32:32" x14ac:dyDescent="0.2">
      <c r="AF37392" s="679"/>
    </row>
    <row r="37393" spans="32:32" x14ac:dyDescent="0.2">
      <c r="AF37393" s="679"/>
    </row>
    <row r="37394" spans="32:32" x14ac:dyDescent="0.2">
      <c r="AF37394" s="679"/>
    </row>
    <row r="37395" spans="32:32" x14ac:dyDescent="0.2">
      <c r="AF37395" s="679"/>
    </row>
    <row r="37396" spans="32:32" x14ac:dyDescent="0.2">
      <c r="AF37396" s="679"/>
    </row>
    <row r="37397" spans="32:32" x14ac:dyDescent="0.2">
      <c r="AF37397" s="679"/>
    </row>
    <row r="37398" spans="32:32" x14ac:dyDescent="0.2">
      <c r="AF37398" s="679"/>
    </row>
    <row r="37399" spans="32:32" x14ac:dyDescent="0.2">
      <c r="AF37399" s="679"/>
    </row>
    <row r="37400" spans="32:32" x14ac:dyDescent="0.2">
      <c r="AF37400" s="679"/>
    </row>
    <row r="37401" spans="32:32" x14ac:dyDescent="0.2">
      <c r="AF37401" s="679"/>
    </row>
    <row r="37402" spans="32:32" x14ac:dyDescent="0.2">
      <c r="AF37402" s="679"/>
    </row>
    <row r="37403" spans="32:32" x14ac:dyDescent="0.2">
      <c r="AF37403" s="679"/>
    </row>
    <row r="37404" spans="32:32" x14ac:dyDescent="0.2">
      <c r="AF37404" s="679"/>
    </row>
    <row r="37405" spans="32:32" x14ac:dyDescent="0.2">
      <c r="AF37405" s="679"/>
    </row>
    <row r="37406" spans="32:32" x14ac:dyDescent="0.2">
      <c r="AF37406" s="679"/>
    </row>
    <row r="37407" spans="32:32" x14ac:dyDescent="0.2">
      <c r="AF37407" s="679"/>
    </row>
    <row r="37408" spans="32:32" x14ac:dyDescent="0.2">
      <c r="AF37408" s="679"/>
    </row>
    <row r="37409" spans="32:32" x14ac:dyDescent="0.2">
      <c r="AF37409" s="679"/>
    </row>
    <row r="37410" spans="32:32" x14ac:dyDescent="0.2">
      <c r="AF37410" s="679"/>
    </row>
    <row r="37411" spans="32:32" x14ac:dyDescent="0.2">
      <c r="AF37411" s="679"/>
    </row>
    <row r="37412" spans="32:32" x14ac:dyDescent="0.2">
      <c r="AF37412" s="679"/>
    </row>
    <row r="37413" spans="32:32" x14ac:dyDescent="0.2">
      <c r="AF37413" s="679"/>
    </row>
    <row r="37414" spans="32:32" x14ac:dyDescent="0.2">
      <c r="AF37414" s="679"/>
    </row>
    <row r="37415" spans="32:32" x14ac:dyDescent="0.2">
      <c r="AF37415" s="679"/>
    </row>
    <row r="37416" spans="32:32" x14ac:dyDescent="0.2">
      <c r="AF37416" s="679"/>
    </row>
    <row r="37417" spans="32:32" x14ac:dyDescent="0.2">
      <c r="AF37417" s="679"/>
    </row>
    <row r="37418" spans="32:32" x14ac:dyDescent="0.2">
      <c r="AF37418" s="679"/>
    </row>
    <row r="37419" spans="32:32" x14ac:dyDescent="0.2">
      <c r="AF37419" s="679"/>
    </row>
    <row r="37420" spans="32:32" x14ac:dyDescent="0.2">
      <c r="AF37420" s="679"/>
    </row>
    <row r="37421" spans="32:32" x14ac:dyDescent="0.2">
      <c r="AF37421" s="679"/>
    </row>
    <row r="37422" spans="32:32" x14ac:dyDescent="0.2">
      <c r="AF37422" s="679"/>
    </row>
    <row r="37423" spans="32:32" x14ac:dyDescent="0.2">
      <c r="AF37423" s="679"/>
    </row>
    <row r="37424" spans="32:32" x14ac:dyDescent="0.2">
      <c r="AF37424" s="679"/>
    </row>
    <row r="37425" spans="32:32" x14ac:dyDescent="0.2">
      <c r="AF37425" s="679"/>
    </row>
    <row r="37426" spans="32:32" x14ac:dyDescent="0.2">
      <c r="AF37426" s="679"/>
    </row>
    <row r="37427" spans="32:32" x14ac:dyDescent="0.2">
      <c r="AF37427" s="679"/>
    </row>
    <row r="37428" spans="32:32" x14ac:dyDescent="0.2">
      <c r="AF37428" s="679"/>
    </row>
    <row r="37429" spans="32:32" x14ac:dyDescent="0.2">
      <c r="AF37429" s="679"/>
    </row>
    <row r="37430" spans="32:32" x14ac:dyDescent="0.2">
      <c r="AF37430" s="679"/>
    </row>
    <row r="37431" spans="32:32" x14ac:dyDescent="0.2">
      <c r="AF37431" s="679"/>
    </row>
    <row r="37432" spans="32:32" x14ac:dyDescent="0.2">
      <c r="AF37432" s="679"/>
    </row>
    <row r="37433" spans="32:32" x14ac:dyDescent="0.2">
      <c r="AF37433" s="679"/>
    </row>
    <row r="37434" spans="32:32" x14ac:dyDescent="0.2">
      <c r="AF37434" s="679"/>
    </row>
    <row r="37435" spans="32:32" x14ac:dyDescent="0.2">
      <c r="AF37435" s="679"/>
    </row>
    <row r="37436" spans="32:32" x14ac:dyDescent="0.2">
      <c r="AF37436" s="679"/>
    </row>
    <row r="37437" spans="32:32" x14ac:dyDescent="0.2">
      <c r="AF37437" s="679"/>
    </row>
    <row r="37438" spans="32:32" x14ac:dyDescent="0.2">
      <c r="AF37438" s="679"/>
    </row>
    <row r="37439" spans="32:32" x14ac:dyDescent="0.2">
      <c r="AF37439" s="679"/>
    </row>
    <row r="37440" spans="32:32" x14ac:dyDescent="0.2">
      <c r="AF37440" s="679"/>
    </row>
    <row r="37441" spans="32:32" x14ac:dyDescent="0.2">
      <c r="AF37441" s="679"/>
    </row>
    <row r="37442" spans="32:32" x14ac:dyDescent="0.2">
      <c r="AF37442" s="679"/>
    </row>
    <row r="37443" spans="32:32" x14ac:dyDescent="0.2">
      <c r="AF37443" s="679"/>
    </row>
    <row r="37444" spans="32:32" x14ac:dyDescent="0.2">
      <c r="AF37444" s="679"/>
    </row>
    <row r="37445" spans="32:32" x14ac:dyDescent="0.2">
      <c r="AF37445" s="679"/>
    </row>
    <row r="37446" spans="32:32" x14ac:dyDescent="0.2">
      <c r="AF37446" s="679"/>
    </row>
    <row r="37447" spans="32:32" x14ac:dyDescent="0.2">
      <c r="AF37447" s="679"/>
    </row>
    <row r="37448" spans="32:32" x14ac:dyDescent="0.2">
      <c r="AF37448" s="679"/>
    </row>
    <row r="37449" spans="32:32" x14ac:dyDescent="0.2">
      <c r="AF37449" s="679"/>
    </row>
    <row r="37450" spans="32:32" x14ac:dyDescent="0.2">
      <c r="AF37450" s="679"/>
    </row>
    <row r="37451" spans="32:32" x14ac:dyDescent="0.2">
      <c r="AF37451" s="679"/>
    </row>
    <row r="37452" spans="32:32" x14ac:dyDescent="0.2">
      <c r="AF37452" s="679"/>
    </row>
    <row r="37453" spans="32:32" x14ac:dyDescent="0.2">
      <c r="AF37453" s="679"/>
    </row>
    <row r="37454" spans="32:32" x14ac:dyDescent="0.2">
      <c r="AF37454" s="679"/>
    </row>
    <row r="37455" spans="32:32" x14ac:dyDescent="0.2">
      <c r="AF37455" s="679"/>
    </row>
    <row r="37456" spans="32:32" x14ac:dyDescent="0.2">
      <c r="AF37456" s="679"/>
    </row>
    <row r="37457" spans="32:32" x14ac:dyDescent="0.2">
      <c r="AF37457" s="679"/>
    </row>
    <row r="37458" spans="32:32" x14ac:dyDescent="0.2">
      <c r="AF37458" s="679"/>
    </row>
    <row r="37459" spans="32:32" x14ac:dyDescent="0.2">
      <c r="AF37459" s="679"/>
    </row>
    <row r="37460" spans="32:32" x14ac:dyDescent="0.2">
      <c r="AF37460" s="679"/>
    </row>
    <row r="37461" spans="32:32" x14ac:dyDescent="0.2">
      <c r="AF37461" s="679"/>
    </row>
    <row r="37462" spans="32:32" x14ac:dyDescent="0.2">
      <c r="AF37462" s="679"/>
    </row>
    <row r="37463" spans="32:32" x14ac:dyDescent="0.2">
      <c r="AF37463" s="679"/>
    </row>
    <row r="37464" spans="32:32" x14ac:dyDescent="0.2">
      <c r="AF37464" s="679"/>
    </row>
    <row r="37465" spans="32:32" x14ac:dyDescent="0.2">
      <c r="AF37465" s="679"/>
    </row>
    <row r="37466" spans="32:32" x14ac:dyDescent="0.2">
      <c r="AF37466" s="679"/>
    </row>
    <row r="37467" spans="32:32" x14ac:dyDescent="0.2">
      <c r="AF37467" s="679"/>
    </row>
    <row r="37468" spans="32:32" x14ac:dyDescent="0.2">
      <c r="AF37468" s="679"/>
    </row>
    <row r="37469" spans="32:32" x14ac:dyDescent="0.2">
      <c r="AF37469" s="679"/>
    </row>
    <row r="37470" spans="32:32" x14ac:dyDescent="0.2">
      <c r="AF37470" s="679"/>
    </row>
    <row r="37471" spans="32:32" x14ac:dyDescent="0.2">
      <c r="AF37471" s="679"/>
    </row>
    <row r="37472" spans="32:32" x14ac:dyDescent="0.2">
      <c r="AF37472" s="679"/>
    </row>
    <row r="37473" spans="32:32" x14ac:dyDescent="0.2">
      <c r="AF37473" s="679"/>
    </row>
    <row r="37474" spans="32:32" x14ac:dyDescent="0.2">
      <c r="AF37474" s="679"/>
    </row>
    <row r="37475" spans="32:32" x14ac:dyDescent="0.2">
      <c r="AF37475" s="679"/>
    </row>
    <row r="37476" spans="32:32" x14ac:dyDescent="0.2">
      <c r="AF37476" s="679"/>
    </row>
    <row r="37477" spans="32:32" x14ac:dyDescent="0.2">
      <c r="AF37477" s="679"/>
    </row>
    <row r="37478" spans="32:32" x14ac:dyDescent="0.2">
      <c r="AF37478" s="679"/>
    </row>
    <row r="37479" spans="32:32" x14ac:dyDescent="0.2">
      <c r="AF37479" s="679"/>
    </row>
    <row r="37480" spans="32:32" x14ac:dyDescent="0.2">
      <c r="AF37480" s="679"/>
    </row>
    <row r="37481" spans="32:32" x14ac:dyDescent="0.2">
      <c r="AF37481" s="679"/>
    </row>
    <row r="37482" spans="32:32" x14ac:dyDescent="0.2">
      <c r="AF37482" s="679"/>
    </row>
    <row r="37483" spans="32:32" x14ac:dyDescent="0.2">
      <c r="AF37483" s="679"/>
    </row>
    <row r="37484" spans="32:32" x14ac:dyDescent="0.2">
      <c r="AF37484" s="679"/>
    </row>
    <row r="37485" spans="32:32" x14ac:dyDescent="0.2">
      <c r="AF37485" s="679"/>
    </row>
    <row r="37486" spans="32:32" x14ac:dyDescent="0.2">
      <c r="AF37486" s="679"/>
    </row>
    <row r="37487" spans="32:32" x14ac:dyDescent="0.2">
      <c r="AF37487" s="679"/>
    </row>
    <row r="37488" spans="32:32" x14ac:dyDescent="0.2">
      <c r="AF37488" s="679"/>
    </row>
    <row r="37489" spans="32:32" x14ac:dyDescent="0.2">
      <c r="AF37489" s="679"/>
    </row>
    <row r="37490" spans="32:32" x14ac:dyDescent="0.2">
      <c r="AF37490" s="679"/>
    </row>
    <row r="37491" spans="32:32" x14ac:dyDescent="0.2">
      <c r="AF37491" s="679"/>
    </row>
    <row r="37492" spans="32:32" x14ac:dyDescent="0.2">
      <c r="AF37492" s="679"/>
    </row>
    <row r="37493" spans="32:32" x14ac:dyDescent="0.2">
      <c r="AF37493" s="679"/>
    </row>
    <row r="37494" spans="32:32" x14ac:dyDescent="0.2">
      <c r="AF37494" s="679"/>
    </row>
    <row r="37495" spans="32:32" x14ac:dyDescent="0.2">
      <c r="AF37495" s="679"/>
    </row>
    <row r="37496" spans="32:32" x14ac:dyDescent="0.2">
      <c r="AF37496" s="679"/>
    </row>
    <row r="37497" spans="32:32" x14ac:dyDescent="0.2">
      <c r="AF37497" s="679"/>
    </row>
    <row r="37498" spans="32:32" x14ac:dyDescent="0.2">
      <c r="AF37498" s="679"/>
    </row>
    <row r="37499" spans="32:32" x14ac:dyDescent="0.2">
      <c r="AF37499" s="679"/>
    </row>
    <row r="37500" spans="32:32" x14ac:dyDescent="0.2">
      <c r="AF37500" s="679"/>
    </row>
    <row r="37501" spans="32:32" x14ac:dyDescent="0.2">
      <c r="AF37501" s="679"/>
    </row>
    <row r="37502" spans="32:32" x14ac:dyDescent="0.2">
      <c r="AF37502" s="679"/>
    </row>
    <row r="37503" spans="32:32" x14ac:dyDescent="0.2">
      <c r="AF37503" s="679"/>
    </row>
    <row r="37504" spans="32:32" x14ac:dyDescent="0.2">
      <c r="AF37504" s="679"/>
    </row>
    <row r="37505" spans="32:32" x14ac:dyDescent="0.2">
      <c r="AF37505" s="679"/>
    </row>
    <row r="37506" spans="32:32" x14ac:dyDescent="0.2">
      <c r="AF37506" s="679"/>
    </row>
    <row r="37507" spans="32:32" x14ac:dyDescent="0.2">
      <c r="AF37507" s="679"/>
    </row>
    <row r="37508" spans="32:32" x14ac:dyDescent="0.2">
      <c r="AF37508" s="679"/>
    </row>
    <row r="37509" spans="32:32" x14ac:dyDescent="0.2">
      <c r="AF37509" s="679"/>
    </row>
    <row r="37510" spans="32:32" x14ac:dyDescent="0.2">
      <c r="AF37510" s="679"/>
    </row>
    <row r="37511" spans="32:32" x14ac:dyDescent="0.2">
      <c r="AF37511" s="679"/>
    </row>
    <row r="37512" spans="32:32" x14ac:dyDescent="0.2">
      <c r="AF37512" s="679"/>
    </row>
    <row r="37513" spans="32:32" x14ac:dyDescent="0.2">
      <c r="AF37513" s="679"/>
    </row>
    <row r="37514" spans="32:32" x14ac:dyDescent="0.2">
      <c r="AF37514" s="679"/>
    </row>
    <row r="37515" spans="32:32" x14ac:dyDescent="0.2">
      <c r="AF37515" s="679"/>
    </row>
    <row r="37516" spans="32:32" x14ac:dyDescent="0.2">
      <c r="AF37516" s="679"/>
    </row>
    <row r="37517" spans="32:32" x14ac:dyDescent="0.2">
      <c r="AF37517" s="679"/>
    </row>
    <row r="37518" spans="32:32" x14ac:dyDescent="0.2">
      <c r="AF37518" s="679"/>
    </row>
    <row r="37519" spans="32:32" x14ac:dyDescent="0.2">
      <c r="AF37519" s="679"/>
    </row>
    <row r="37520" spans="32:32" x14ac:dyDescent="0.2">
      <c r="AF37520" s="679"/>
    </row>
    <row r="37521" spans="32:32" x14ac:dyDescent="0.2">
      <c r="AF37521" s="679"/>
    </row>
    <row r="37522" spans="32:32" x14ac:dyDescent="0.2">
      <c r="AF37522" s="679"/>
    </row>
    <row r="37523" spans="32:32" x14ac:dyDescent="0.2">
      <c r="AF37523" s="679"/>
    </row>
    <row r="37524" spans="32:32" x14ac:dyDescent="0.2">
      <c r="AF37524" s="679"/>
    </row>
    <row r="37525" spans="32:32" x14ac:dyDescent="0.2">
      <c r="AF37525" s="679"/>
    </row>
    <row r="37526" spans="32:32" x14ac:dyDescent="0.2">
      <c r="AF37526" s="679"/>
    </row>
    <row r="37527" spans="32:32" x14ac:dyDescent="0.2">
      <c r="AF37527" s="679"/>
    </row>
    <row r="37528" spans="32:32" x14ac:dyDescent="0.2">
      <c r="AF37528" s="679"/>
    </row>
    <row r="37529" spans="32:32" x14ac:dyDescent="0.2">
      <c r="AF37529" s="679"/>
    </row>
    <row r="37530" spans="32:32" x14ac:dyDescent="0.2">
      <c r="AF37530" s="679"/>
    </row>
    <row r="37531" spans="32:32" x14ac:dyDescent="0.2">
      <c r="AF37531" s="679"/>
    </row>
    <row r="37532" spans="32:32" x14ac:dyDescent="0.2">
      <c r="AF37532" s="679"/>
    </row>
    <row r="37533" spans="32:32" x14ac:dyDescent="0.2">
      <c r="AF37533" s="679"/>
    </row>
    <row r="37534" spans="32:32" x14ac:dyDescent="0.2">
      <c r="AF37534" s="679"/>
    </row>
    <row r="37535" spans="32:32" x14ac:dyDescent="0.2">
      <c r="AF37535" s="679"/>
    </row>
    <row r="37536" spans="32:32" x14ac:dyDescent="0.2">
      <c r="AF37536" s="679"/>
    </row>
    <row r="37537" spans="32:32" x14ac:dyDescent="0.2">
      <c r="AF37537" s="679"/>
    </row>
    <row r="37538" spans="32:32" x14ac:dyDescent="0.2">
      <c r="AF37538" s="679"/>
    </row>
    <row r="37539" spans="32:32" x14ac:dyDescent="0.2">
      <c r="AF37539" s="679"/>
    </row>
    <row r="37540" spans="32:32" x14ac:dyDescent="0.2">
      <c r="AF37540" s="679"/>
    </row>
    <row r="37541" spans="32:32" x14ac:dyDescent="0.2">
      <c r="AF37541" s="679"/>
    </row>
    <row r="37542" spans="32:32" x14ac:dyDescent="0.2">
      <c r="AF37542" s="679"/>
    </row>
    <row r="37543" spans="32:32" x14ac:dyDescent="0.2">
      <c r="AF37543" s="679"/>
    </row>
    <row r="37544" spans="32:32" x14ac:dyDescent="0.2">
      <c r="AF37544" s="679"/>
    </row>
    <row r="37545" spans="32:32" x14ac:dyDescent="0.2">
      <c r="AF37545" s="679"/>
    </row>
    <row r="37546" spans="32:32" x14ac:dyDescent="0.2">
      <c r="AF37546" s="679"/>
    </row>
    <row r="37547" spans="32:32" x14ac:dyDescent="0.2">
      <c r="AF37547" s="679"/>
    </row>
    <row r="37548" spans="32:32" x14ac:dyDescent="0.2">
      <c r="AF37548" s="679"/>
    </row>
    <row r="37549" spans="32:32" x14ac:dyDescent="0.2">
      <c r="AF37549" s="679"/>
    </row>
    <row r="37550" spans="32:32" x14ac:dyDescent="0.2">
      <c r="AF37550" s="679"/>
    </row>
    <row r="37551" spans="32:32" x14ac:dyDescent="0.2">
      <c r="AF37551" s="679"/>
    </row>
    <row r="37552" spans="32:32" x14ac:dyDescent="0.2">
      <c r="AF37552" s="679"/>
    </row>
    <row r="37553" spans="32:32" x14ac:dyDescent="0.2">
      <c r="AF37553" s="679"/>
    </row>
    <row r="37554" spans="32:32" x14ac:dyDescent="0.2">
      <c r="AF37554" s="679"/>
    </row>
    <row r="37555" spans="32:32" x14ac:dyDescent="0.2">
      <c r="AF37555" s="679"/>
    </row>
    <row r="37556" spans="32:32" x14ac:dyDescent="0.2">
      <c r="AF37556" s="679"/>
    </row>
    <row r="37557" spans="32:32" x14ac:dyDescent="0.2">
      <c r="AF37557" s="679"/>
    </row>
    <row r="37558" spans="32:32" x14ac:dyDescent="0.2">
      <c r="AF37558" s="679"/>
    </row>
    <row r="37559" spans="32:32" x14ac:dyDescent="0.2">
      <c r="AF37559" s="679"/>
    </row>
    <row r="37560" spans="32:32" x14ac:dyDescent="0.2">
      <c r="AF37560" s="679"/>
    </row>
    <row r="37561" spans="32:32" x14ac:dyDescent="0.2">
      <c r="AF37561" s="679"/>
    </row>
    <row r="37562" spans="32:32" x14ac:dyDescent="0.2">
      <c r="AF37562" s="679"/>
    </row>
    <row r="37563" spans="32:32" x14ac:dyDescent="0.2">
      <c r="AF37563" s="679"/>
    </row>
    <row r="37564" spans="32:32" x14ac:dyDescent="0.2">
      <c r="AF37564" s="679"/>
    </row>
    <row r="37565" spans="32:32" x14ac:dyDescent="0.2">
      <c r="AF37565" s="679"/>
    </row>
    <row r="37566" spans="32:32" x14ac:dyDescent="0.2">
      <c r="AF37566" s="679"/>
    </row>
    <row r="37567" spans="32:32" x14ac:dyDescent="0.2">
      <c r="AF37567" s="679"/>
    </row>
    <row r="37568" spans="32:32" x14ac:dyDescent="0.2">
      <c r="AF37568" s="679"/>
    </row>
    <row r="37569" spans="32:32" x14ac:dyDescent="0.2">
      <c r="AF37569" s="679"/>
    </row>
    <row r="37570" spans="32:32" x14ac:dyDescent="0.2">
      <c r="AF37570" s="679"/>
    </row>
    <row r="37571" spans="32:32" x14ac:dyDescent="0.2">
      <c r="AF37571" s="679"/>
    </row>
    <row r="37572" spans="32:32" x14ac:dyDescent="0.2">
      <c r="AF37572" s="679"/>
    </row>
    <row r="37573" spans="32:32" x14ac:dyDescent="0.2">
      <c r="AF37573" s="679"/>
    </row>
    <row r="37574" spans="32:32" x14ac:dyDescent="0.2">
      <c r="AF37574" s="679"/>
    </row>
    <row r="37575" spans="32:32" x14ac:dyDescent="0.2">
      <c r="AF37575" s="679"/>
    </row>
    <row r="37576" spans="32:32" x14ac:dyDescent="0.2">
      <c r="AF37576" s="679"/>
    </row>
    <row r="37577" spans="32:32" x14ac:dyDescent="0.2">
      <c r="AF37577" s="679"/>
    </row>
    <row r="37578" spans="32:32" x14ac:dyDescent="0.2">
      <c r="AF37578" s="679"/>
    </row>
    <row r="37579" spans="32:32" x14ac:dyDescent="0.2">
      <c r="AF37579" s="679"/>
    </row>
    <row r="37580" spans="32:32" x14ac:dyDescent="0.2">
      <c r="AF37580" s="679"/>
    </row>
    <row r="37581" spans="32:32" x14ac:dyDescent="0.2">
      <c r="AF37581" s="679"/>
    </row>
    <row r="37582" spans="32:32" x14ac:dyDescent="0.2">
      <c r="AF37582" s="679"/>
    </row>
    <row r="37583" spans="32:32" x14ac:dyDescent="0.2">
      <c r="AF37583" s="679"/>
    </row>
    <row r="37584" spans="32:32" x14ac:dyDescent="0.2">
      <c r="AF37584" s="679"/>
    </row>
    <row r="37585" spans="32:32" x14ac:dyDescent="0.2">
      <c r="AF37585" s="679"/>
    </row>
    <row r="37586" spans="32:32" x14ac:dyDescent="0.2">
      <c r="AF37586" s="679"/>
    </row>
    <row r="37587" spans="32:32" x14ac:dyDescent="0.2">
      <c r="AF37587" s="679"/>
    </row>
    <row r="37588" spans="32:32" x14ac:dyDescent="0.2">
      <c r="AF37588" s="679"/>
    </row>
    <row r="37589" spans="32:32" x14ac:dyDescent="0.2">
      <c r="AF37589" s="679"/>
    </row>
    <row r="37590" spans="32:32" x14ac:dyDescent="0.2">
      <c r="AF37590" s="679"/>
    </row>
    <row r="37591" spans="32:32" x14ac:dyDescent="0.2">
      <c r="AF37591" s="679"/>
    </row>
    <row r="37592" spans="32:32" x14ac:dyDescent="0.2">
      <c r="AF37592" s="679"/>
    </row>
    <row r="37593" spans="32:32" x14ac:dyDescent="0.2">
      <c r="AF37593" s="679"/>
    </row>
    <row r="37594" spans="32:32" x14ac:dyDescent="0.2">
      <c r="AF37594" s="679"/>
    </row>
    <row r="37595" spans="32:32" x14ac:dyDescent="0.2">
      <c r="AF37595" s="679"/>
    </row>
    <row r="37596" spans="32:32" x14ac:dyDescent="0.2">
      <c r="AF37596" s="679"/>
    </row>
    <row r="37597" spans="32:32" x14ac:dyDescent="0.2">
      <c r="AF37597" s="679"/>
    </row>
    <row r="37598" spans="32:32" x14ac:dyDescent="0.2">
      <c r="AF37598" s="679"/>
    </row>
    <row r="37599" spans="32:32" x14ac:dyDescent="0.2">
      <c r="AF37599" s="679"/>
    </row>
    <row r="37600" spans="32:32" x14ac:dyDescent="0.2">
      <c r="AF37600" s="679"/>
    </row>
    <row r="37601" spans="32:32" x14ac:dyDescent="0.2">
      <c r="AF37601" s="679"/>
    </row>
    <row r="37602" spans="32:32" x14ac:dyDescent="0.2">
      <c r="AF37602" s="679"/>
    </row>
    <row r="37603" spans="32:32" x14ac:dyDescent="0.2">
      <c r="AF37603" s="679"/>
    </row>
    <row r="37604" spans="32:32" x14ac:dyDescent="0.2">
      <c r="AF37604" s="679"/>
    </row>
    <row r="37605" spans="32:32" x14ac:dyDescent="0.2">
      <c r="AF37605" s="679"/>
    </row>
    <row r="37606" spans="32:32" x14ac:dyDescent="0.2">
      <c r="AF37606" s="679"/>
    </row>
    <row r="37607" spans="32:32" x14ac:dyDescent="0.2">
      <c r="AF37607" s="679"/>
    </row>
    <row r="37608" spans="32:32" x14ac:dyDescent="0.2">
      <c r="AF37608" s="679"/>
    </row>
    <row r="37609" spans="32:32" x14ac:dyDescent="0.2">
      <c r="AF37609" s="679"/>
    </row>
    <row r="37610" spans="32:32" x14ac:dyDescent="0.2">
      <c r="AF37610" s="679"/>
    </row>
    <row r="37611" spans="32:32" x14ac:dyDescent="0.2">
      <c r="AF37611" s="679"/>
    </row>
    <row r="37612" spans="32:32" x14ac:dyDescent="0.2">
      <c r="AF37612" s="679"/>
    </row>
    <row r="37613" spans="32:32" x14ac:dyDescent="0.2">
      <c r="AF37613" s="679"/>
    </row>
    <row r="37614" spans="32:32" x14ac:dyDescent="0.2">
      <c r="AF37614" s="679"/>
    </row>
    <row r="37615" spans="32:32" x14ac:dyDescent="0.2">
      <c r="AF37615" s="679"/>
    </row>
    <row r="37616" spans="32:32" x14ac:dyDescent="0.2">
      <c r="AF37616" s="679"/>
    </row>
    <row r="37617" spans="32:32" x14ac:dyDescent="0.2">
      <c r="AF37617" s="679"/>
    </row>
    <row r="37618" spans="32:32" x14ac:dyDescent="0.2">
      <c r="AF37618" s="679"/>
    </row>
    <row r="37619" spans="32:32" x14ac:dyDescent="0.2">
      <c r="AF37619" s="679"/>
    </row>
    <row r="37620" spans="32:32" x14ac:dyDescent="0.2">
      <c r="AF37620" s="679"/>
    </row>
    <row r="37621" spans="32:32" x14ac:dyDescent="0.2">
      <c r="AF37621" s="679"/>
    </row>
    <row r="37622" spans="32:32" x14ac:dyDescent="0.2">
      <c r="AF37622" s="679"/>
    </row>
    <row r="37623" spans="32:32" x14ac:dyDescent="0.2">
      <c r="AF37623" s="679"/>
    </row>
    <row r="37624" spans="32:32" x14ac:dyDescent="0.2">
      <c r="AF37624" s="679"/>
    </row>
    <row r="37625" spans="32:32" x14ac:dyDescent="0.2">
      <c r="AF37625" s="679"/>
    </row>
    <row r="37626" spans="32:32" x14ac:dyDescent="0.2">
      <c r="AF37626" s="679"/>
    </row>
    <row r="37627" spans="32:32" x14ac:dyDescent="0.2">
      <c r="AF37627" s="679"/>
    </row>
    <row r="37628" spans="32:32" x14ac:dyDescent="0.2">
      <c r="AF37628" s="679"/>
    </row>
    <row r="37629" spans="32:32" x14ac:dyDescent="0.2">
      <c r="AF37629" s="679"/>
    </row>
    <row r="37630" spans="32:32" x14ac:dyDescent="0.2">
      <c r="AF37630" s="679"/>
    </row>
    <row r="37631" spans="32:32" x14ac:dyDescent="0.2">
      <c r="AF37631" s="679"/>
    </row>
    <row r="37632" spans="32:32" x14ac:dyDescent="0.2">
      <c r="AF37632" s="679"/>
    </row>
    <row r="37633" spans="32:32" x14ac:dyDescent="0.2">
      <c r="AF37633" s="679"/>
    </row>
    <row r="37634" spans="32:32" x14ac:dyDescent="0.2">
      <c r="AF37634" s="679"/>
    </row>
    <row r="37635" spans="32:32" x14ac:dyDescent="0.2">
      <c r="AF37635" s="679"/>
    </row>
    <row r="37636" spans="32:32" x14ac:dyDescent="0.2">
      <c r="AF37636" s="679"/>
    </row>
    <row r="37637" spans="32:32" x14ac:dyDescent="0.2">
      <c r="AF37637" s="679"/>
    </row>
    <row r="37638" spans="32:32" x14ac:dyDescent="0.2">
      <c r="AF37638" s="679"/>
    </row>
    <row r="37639" spans="32:32" x14ac:dyDescent="0.2">
      <c r="AF37639" s="679"/>
    </row>
    <row r="37640" spans="32:32" x14ac:dyDescent="0.2">
      <c r="AF37640" s="679"/>
    </row>
    <row r="37641" spans="32:32" x14ac:dyDescent="0.2">
      <c r="AF37641" s="679"/>
    </row>
    <row r="37642" spans="32:32" x14ac:dyDescent="0.2">
      <c r="AF37642" s="679"/>
    </row>
    <row r="37643" spans="32:32" x14ac:dyDescent="0.2">
      <c r="AF37643" s="679"/>
    </row>
    <row r="37644" spans="32:32" x14ac:dyDescent="0.2">
      <c r="AF37644" s="679"/>
    </row>
    <row r="37645" spans="32:32" x14ac:dyDescent="0.2">
      <c r="AF37645" s="679"/>
    </row>
    <row r="37646" spans="32:32" x14ac:dyDescent="0.2">
      <c r="AF37646" s="679"/>
    </row>
    <row r="37647" spans="32:32" x14ac:dyDescent="0.2">
      <c r="AF37647" s="679"/>
    </row>
    <row r="37648" spans="32:32" x14ac:dyDescent="0.2">
      <c r="AF37648" s="679"/>
    </row>
    <row r="37649" spans="32:32" x14ac:dyDescent="0.2">
      <c r="AF37649" s="679"/>
    </row>
    <row r="37650" spans="32:32" x14ac:dyDescent="0.2">
      <c r="AF37650" s="679"/>
    </row>
    <row r="37651" spans="32:32" x14ac:dyDescent="0.2">
      <c r="AF37651" s="679"/>
    </row>
    <row r="37652" spans="32:32" x14ac:dyDescent="0.2">
      <c r="AF37652" s="679"/>
    </row>
    <row r="37653" spans="32:32" x14ac:dyDescent="0.2">
      <c r="AF37653" s="679"/>
    </row>
    <row r="37654" spans="32:32" x14ac:dyDescent="0.2">
      <c r="AF37654" s="679"/>
    </row>
    <row r="37655" spans="32:32" x14ac:dyDescent="0.2">
      <c r="AF37655" s="679"/>
    </row>
    <row r="37656" spans="32:32" x14ac:dyDescent="0.2">
      <c r="AF37656" s="679"/>
    </row>
    <row r="37657" spans="32:32" x14ac:dyDescent="0.2">
      <c r="AF37657" s="679"/>
    </row>
    <row r="37658" spans="32:32" x14ac:dyDescent="0.2">
      <c r="AF37658" s="679"/>
    </row>
    <row r="37659" spans="32:32" x14ac:dyDescent="0.2">
      <c r="AF37659" s="679"/>
    </row>
    <row r="37660" spans="32:32" x14ac:dyDescent="0.2">
      <c r="AF37660" s="679"/>
    </row>
    <row r="37661" spans="32:32" x14ac:dyDescent="0.2">
      <c r="AF37661" s="679"/>
    </row>
    <row r="37662" spans="32:32" x14ac:dyDescent="0.2">
      <c r="AF37662" s="679"/>
    </row>
    <row r="37663" spans="32:32" x14ac:dyDescent="0.2">
      <c r="AF37663" s="679"/>
    </row>
    <row r="37664" spans="32:32" x14ac:dyDescent="0.2">
      <c r="AF37664" s="679"/>
    </row>
    <row r="37665" spans="32:32" x14ac:dyDescent="0.2">
      <c r="AF37665" s="679"/>
    </row>
    <row r="37666" spans="32:32" x14ac:dyDescent="0.2">
      <c r="AF37666" s="679"/>
    </row>
    <row r="37667" spans="32:32" x14ac:dyDescent="0.2">
      <c r="AF37667" s="679"/>
    </row>
    <row r="37668" spans="32:32" x14ac:dyDescent="0.2">
      <c r="AF37668" s="679"/>
    </row>
    <row r="37669" spans="32:32" x14ac:dyDescent="0.2">
      <c r="AF37669" s="679"/>
    </row>
    <row r="37670" spans="32:32" x14ac:dyDescent="0.2">
      <c r="AF37670" s="679"/>
    </row>
    <row r="37671" spans="32:32" x14ac:dyDescent="0.2">
      <c r="AF37671" s="679"/>
    </row>
    <row r="37672" spans="32:32" x14ac:dyDescent="0.2">
      <c r="AF37672" s="679"/>
    </row>
    <row r="37673" spans="32:32" x14ac:dyDescent="0.2">
      <c r="AF37673" s="679"/>
    </row>
    <row r="37674" spans="32:32" x14ac:dyDescent="0.2">
      <c r="AF37674" s="679"/>
    </row>
    <row r="37675" spans="32:32" x14ac:dyDescent="0.2">
      <c r="AF37675" s="679"/>
    </row>
    <row r="37676" spans="32:32" x14ac:dyDescent="0.2">
      <c r="AF37676" s="679"/>
    </row>
    <row r="37677" spans="32:32" x14ac:dyDescent="0.2">
      <c r="AF37677" s="679"/>
    </row>
    <row r="37678" spans="32:32" x14ac:dyDescent="0.2">
      <c r="AF37678" s="679"/>
    </row>
    <row r="37679" spans="32:32" x14ac:dyDescent="0.2">
      <c r="AF37679" s="679"/>
    </row>
    <row r="37680" spans="32:32" x14ac:dyDescent="0.2">
      <c r="AF37680" s="679"/>
    </row>
    <row r="37681" spans="32:32" x14ac:dyDescent="0.2">
      <c r="AF37681" s="679"/>
    </row>
    <row r="37682" spans="32:32" x14ac:dyDescent="0.2">
      <c r="AF37682" s="679"/>
    </row>
    <row r="37683" spans="32:32" x14ac:dyDescent="0.2">
      <c r="AF37683" s="679"/>
    </row>
    <row r="37684" spans="32:32" x14ac:dyDescent="0.2">
      <c r="AF37684" s="679"/>
    </row>
    <row r="37685" spans="32:32" x14ac:dyDescent="0.2">
      <c r="AF37685" s="679"/>
    </row>
    <row r="37686" spans="32:32" x14ac:dyDescent="0.2">
      <c r="AF37686" s="679"/>
    </row>
    <row r="37687" spans="32:32" x14ac:dyDescent="0.2">
      <c r="AF37687" s="679"/>
    </row>
    <row r="37688" spans="32:32" x14ac:dyDescent="0.2">
      <c r="AF37688" s="679"/>
    </row>
    <row r="37689" spans="32:32" x14ac:dyDescent="0.2">
      <c r="AF37689" s="679"/>
    </row>
    <row r="37690" spans="32:32" x14ac:dyDescent="0.2">
      <c r="AF37690" s="679"/>
    </row>
    <row r="37691" spans="32:32" x14ac:dyDescent="0.2">
      <c r="AF37691" s="679"/>
    </row>
    <row r="37692" spans="32:32" x14ac:dyDescent="0.2">
      <c r="AF37692" s="679"/>
    </row>
    <row r="37693" spans="32:32" x14ac:dyDescent="0.2">
      <c r="AF37693" s="679"/>
    </row>
    <row r="37694" spans="32:32" x14ac:dyDescent="0.2">
      <c r="AF37694" s="679"/>
    </row>
    <row r="37695" spans="32:32" x14ac:dyDescent="0.2">
      <c r="AF37695" s="679"/>
    </row>
    <row r="37696" spans="32:32" x14ac:dyDescent="0.2">
      <c r="AF37696" s="679"/>
    </row>
    <row r="37697" spans="32:32" x14ac:dyDescent="0.2">
      <c r="AF37697" s="679"/>
    </row>
    <row r="37698" spans="32:32" x14ac:dyDescent="0.2">
      <c r="AF37698" s="679"/>
    </row>
    <row r="37699" spans="32:32" x14ac:dyDescent="0.2">
      <c r="AF37699" s="679"/>
    </row>
    <row r="37700" spans="32:32" x14ac:dyDescent="0.2">
      <c r="AF37700" s="679"/>
    </row>
    <row r="37701" spans="32:32" x14ac:dyDescent="0.2">
      <c r="AF37701" s="679"/>
    </row>
    <row r="37702" spans="32:32" x14ac:dyDescent="0.2">
      <c r="AF37702" s="679"/>
    </row>
    <row r="37703" spans="32:32" x14ac:dyDescent="0.2">
      <c r="AF37703" s="679"/>
    </row>
    <row r="37704" spans="32:32" x14ac:dyDescent="0.2">
      <c r="AF37704" s="679"/>
    </row>
    <row r="37705" spans="32:32" x14ac:dyDescent="0.2">
      <c r="AF37705" s="679"/>
    </row>
    <row r="37706" spans="32:32" x14ac:dyDescent="0.2">
      <c r="AF37706" s="679"/>
    </row>
    <row r="37707" spans="32:32" x14ac:dyDescent="0.2">
      <c r="AF37707" s="679"/>
    </row>
    <row r="37708" spans="32:32" x14ac:dyDescent="0.2">
      <c r="AF37708" s="679"/>
    </row>
    <row r="37709" spans="32:32" x14ac:dyDescent="0.2">
      <c r="AF37709" s="679"/>
    </row>
    <row r="37710" spans="32:32" x14ac:dyDescent="0.2">
      <c r="AF37710" s="679"/>
    </row>
    <row r="37711" spans="32:32" x14ac:dyDescent="0.2">
      <c r="AF37711" s="679"/>
    </row>
    <row r="37712" spans="32:32" x14ac:dyDescent="0.2">
      <c r="AF37712" s="679"/>
    </row>
    <row r="37713" spans="32:32" x14ac:dyDescent="0.2">
      <c r="AF37713" s="679"/>
    </row>
    <row r="37714" spans="32:32" x14ac:dyDescent="0.2">
      <c r="AF37714" s="679"/>
    </row>
    <row r="37715" spans="32:32" x14ac:dyDescent="0.2">
      <c r="AF37715" s="679"/>
    </row>
    <row r="37716" spans="32:32" x14ac:dyDescent="0.2">
      <c r="AF37716" s="679"/>
    </row>
    <row r="37717" spans="32:32" x14ac:dyDescent="0.2">
      <c r="AF37717" s="679"/>
    </row>
    <row r="37718" spans="32:32" x14ac:dyDescent="0.2">
      <c r="AF37718" s="679"/>
    </row>
    <row r="37719" spans="32:32" x14ac:dyDescent="0.2">
      <c r="AF37719" s="679"/>
    </row>
    <row r="37720" spans="32:32" x14ac:dyDescent="0.2">
      <c r="AF37720" s="679"/>
    </row>
    <row r="37721" spans="32:32" x14ac:dyDescent="0.2">
      <c r="AF37721" s="679"/>
    </row>
    <row r="37722" spans="32:32" x14ac:dyDescent="0.2">
      <c r="AF37722" s="679"/>
    </row>
    <row r="37723" spans="32:32" x14ac:dyDescent="0.2">
      <c r="AF37723" s="679"/>
    </row>
    <row r="37724" spans="32:32" x14ac:dyDescent="0.2">
      <c r="AF37724" s="679"/>
    </row>
    <row r="37725" spans="32:32" x14ac:dyDescent="0.2">
      <c r="AF37725" s="679"/>
    </row>
    <row r="37726" spans="32:32" x14ac:dyDescent="0.2">
      <c r="AF37726" s="679"/>
    </row>
    <row r="37727" spans="32:32" x14ac:dyDescent="0.2">
      <c r="AF37727" s="679"/>
    </row>
    <row r="37728" spans="32:32" x14ac:dyDescent="0.2">
      <c r="AF37728" s="679"/>
    </row>
    <row r="37729" spans="32:32" x14ac:dyDescent="0.2">
      <c r="AF37729" s="679"/>
    </row>
    <row r="37730" spans="32:32" x14ac:dyDescent="0.2">
      <c r="AF37730" s="679"/>
    </row>
    <row r="37731" spans="32:32" x14ac:dyDescent="0.2">
      <c r="AF37731" s="679"/>
    </row>
    <row r="37732" spans="32:32" x14ac:dyDescent="0.2">
      <c r="AF37732" s="679"/>
    </row>
    <row r="37733" spans="32:32" x14ac:dyDescent="0.2">
      <c r="AF37733" s="679"/>
    </row>
    <row r="37734" spans="32:32" x14ac:dyDescent="0.2">
      <c r="AF37734" s="679"/>
    </row>
    <row r="37735" spans="32:32" x14ac:dyDescent="0.2">
      <c r="AF37735" s="679"/>
    </row>
    <row r="37736" spans="32:32" x14ac:dyDescent="0.2">
      <c r="AF37736" s="679"/>
    </row>
    <row r="37737" spans="32:32" x14ac:dyDescent="0.2">
      <c r="AF37737" s="679"/>
    </row>
    <row r="37738" spans="32:32" x14ac:dyDescent="0.2">
      <c r="AF37738" s="679"/>
    </row>
    <row r="37739" spans="32:32" x14ac:dyDescent="0.2">
      <c r="AF37739" s="679"/>
    </row>
    <row r="37740" spans="32:32" x14ac:dyDescent="0.2">
      <c r="AF37740" s="679"/>
    </row>
    <row r="37741" spans="32:32" x14ac:dyDescent="0.2">
      <c r="AF37741" s="679"/>
    </row>
    <row r="37742" spans="32:32" x14ac:dyDescent="0.2">
      <c r="AF37742" s="679"/>
    </row>
    <row r="37743" spans="32:32" x14ac:dyDescent="0.2">
      <c r="AF37743" s="679"/>
    </row>
    <row r="37744" spans="32:32" x14ac:dyDescent="0.2">
      <c r="AF37744" s="679"/>
    </row>
    <row r="37745" spans="32:32" x14ac:dyDescent="0.2">
      <c r="AF37745" s="679"/>
    </row>
    <row r="37746" spans="32:32" x14ac:dyDescent="0.2">
      <c r="AF37746" s="679"/>
    </row>
    <row r="37747" spans="32:32" x14ac:dyDescent="0.2">
      <c r="AF37747" s="679"/>
    </row>
    <row r="37748" spans="32:32" x14ac:dyDescent="0.2">
      <c r="AF37748" s="679"/>
    </row>
    <row r="37749" spans="32:32" x14ac:dyDescent="0.2">
      <c r="AF37749" s="679"/>
    </row>
    <row r="37750" spans="32:32" x14ac:dyDescent="0.2">
      <c r="AF37750" s="679"/>
    </row>
    <row r="37751" spans="32:32" x14ac:dyDescent="0.2">
      <c r="AF37751" s="679"/>
    </row>
    <row r="37752" spans="32:32" x14ac:dyDescent="0.2">
      <c r="AF37752" s="679"/>
    </row>
    <row r="37753" spans="32:32" x14ac:dyDescent="0.2">
      <c r="AF37753" s="679"/>
    </row>
    <row r="37754" spans="32:32" x14ac:dyDescent="0.2">
      <c r="AF37754" s="679"/>
    </row>
    <row r="37755" spans="32:32" x14ac:dyDescent="0.2">
      <c r="AF37755" s="679"/>
    </row>
    <row r="37756" spans="32:32" x14ac:dyDescent="0.2">
      <c r="AF37756" s="679"/>
    </row>
    <row r="37757" spans="32:32" x14ac:dyDescent="0.2">
      <c r="AF37757" s="679"/>
    </row>
    <row r="37758" spans="32:32" x14ac:dyDescent="0.2">
      <c r="AF37758" s="679"/>
    </row>
    <row r="37759" spans="32:32" x14ac:dyDescent="0.2">
      <c r="AF37759" s="679"/>
    </row>
    <row r="37760" spans="32:32" x14ac:dyDescent="0.2">
      <c r="AF37760" s="679"/>
    </row>
    <row r="37761" spans="32:32" x14ac:dyDescent="0.2">
      <c r="AF37761" s="679"/>
    </row>
    <row r="37762" spans="32:32" x14ac:dyDescent="0.2">
      <c r="AF37762" s="679"/>
    </row>
    <row r="37763" spans="32:32" x14ac:dyDescent="0.2">
      <c r="AF37763" s="679"/>
    </row>
    <row r="37764" spans="32:32" x14ac:dyDescent="0.2">
      <c r="AF37764" s="679"/>
    </row>
    <row r="37765" spans="32:32" x14ac:dyDescent="0.2">
      <c r="AF37765" s="679"/>
    </row>
    <row r="37766" spans="32:32" x14ac:dyDescent="0.2">
      <c r="AF37766" s="679"/>
    </row>
    <row r="37767" spans="32:32" x14ac:dyDescent="0.2">
      <c r="AF37767" s="679"/>
    </row>
    <row r="37768" spans="32:32" x14ac:dyDescent="0.2">
      <c r="AF37768" s="679"/>
    </row>
    <row r="37769" spans="32:32" x14ac:dyDescent="0.2">
      <c r="AF37769" s="679"/>
    </row>
    <row r="37770" spans="32:32" x14ac:dyDescent="0.2">
      <c r="AF37770" s="679"/>
    </row>
    <row r="37771" spans="32:32" x14ac:dyDescent="0.2">
      <c r="AF37771" s="679"/>
    </row>
    <row r="37772" spans="32:32" x14ac:dyDescent="0.2">
      <c r="AF37772" s="679"/>
    </row>
    <row r="37773" spans="32:32" x14ac:dyDescent="0.2">
      <c r="AF37773" s="679"/>
    </row>
    <row r="37774" spans="32:32" x14ac:dyDescent="0.2">
      <c r="AF37774" s="679"/>
    </row>
    <row r="37775" spans="32:32" x14ac:dyDescent="0.2">
      <c r="AF37775" s="679"/>
    </row>
    <row r="37776" spans="32:32" x14ac:dyDescent="0.2">
      <c r="AF37776" s="679"/>
    </row>
    <row r="37777" spans="32:32" x14ac:dyDescent="0.2">
      <c r="AF37777" s="679"/>
    </row>
    <row r="37778" spans="32:32" x14ac:dyDescent="0.2">
      <c r="AF37778" s="679"/>
    </row>
    <row r="37779" spans="32:32" x14ac:dyDescent="0.2">
      <c r="AF37779" s="679"/>
    </row>
    <row r="37780" spans="32:32" x14ac:dyDescent="0.2">
      <c r="AF37780" s="679"/>
    </row>
    <row r="37781" spans="32:32" x14ac:dyDescent="0.2">
      <c r="AF37781" s="679"/>
    </row>
    <row r="37782" spans="32:32" x14ac:dyDescent="0.2">
      <c r="AF37782" s="679"/>
    </row>
    <row r="37783" spans="32:32" x14ac:dyDescent="0.2">
      <c r="AF37783" s="679"/>
    </row>
    <row r="37784" spans="32:32" x14ac:dyDescent="0.2">
      <c r="AF37784" s="679"/>
    </row>
    <row r="37785" spans="32:32" x14ac:dyDescent="0.2">
      <c r="AF37785" s="679"/>
    </row>
    <row r="37786" spans="32:32" x14ac:dyDescent="0.2">
      <c r="AF37786" s="679"/>
    </row>
    <row r="37787" spans="32:32" x14ac:dyDescent="0.2">
      <c r="AF37787" s="679"/>
    </row>
    <row r="37788" spans="32:32" x14ac:dyDescent="0.2">
      <c r="AF37788" s="679"/>
    </row>
    <row r="37789" spans="32:32" x14ac:dyDescent="0.2">
      <c r="AF37789" s="679"/>
    </row>
    <row r="37790" spans="32:32" x14ac:dyDescent="0.2">
      <c r="AF37790" s="679"/>
    </row>
    <row r="37791" spans="32:32" x14ac:dyDescent="0.2">
      <c r="AF37791" s="679"/>
    </row>
    <row r="37792" spans="32:32" x14ac:dyDescent="0.2">
      <c r="AF37792" s="679"/>
    </row>
    <row r="37793" spans="32:32" x14ac:dyDescent="0.2">
      <c r="AF37793" s="679"/>
    </row>
    <row r="37794" spans="32:32" x14ac:dyDescent="0.2">
      <c r="AF37794" s="679"/>
    </row>
    <row r="37795" spans="32:32" x14ac:dyDescent="0.2">
      <c r="AF37795" s="679"/>
    </row>
    <row r="37796" spans="32:32" x14ac:dyDescent="0.2">
      <c r="AF37796" s="679"/>
    </row>
    <row r="37797" spans="32:32" x14ac:dyDescent="0.2">
      <c r="AF37797" s="679"/>
    </row>
    <row r="37798" spans="32:32" x14ac:dyDescent="0.2">
      <c r="AF37798" s="679"/>
    </row>
    <row r="37799" spans="32:32" x14ac:dyDescent="0.2">
      <c r="AF37799" s="679"/>
    </row>
    <row r="37800" spans="32:32" x14ac:dyDescent="0.2">
      <c r="AF37800" s="679"/>
    </row>
    <row r="37801" spans="32:32" x14ac:dyDescent="0.2">
      <c r="AF37801" s="679"/>
    </row>
    <row r="37802" spans="32:32" x14ac:dyDescent="0.2">
      <c r="AF37802" s="679"/>
    </row>
    <row r="37803" spans="32:32" x14ac:dyDescent="0.2">
      <c r="AF37803" s="679"/>
    </row>
    <row r="37804" spans="32:32" x14ac:dyDescent="0.2">
      <c r="AF37804" s="679"/>
    </row>
    <row r="37805" spans="32:32" x14ac:dyDescent="0.2">
      <c r="AF37805" s="679"/>
    </row>
    <row r="37806" spans="32:32" x14ac:dyDescent="0.2">
      <c r="AF37806" s="679"/>
    </row>
    <row r="37807" spans="32:32" x14ac:dyDescent="0.2">
      <c r="AF37807" s="679"/>
    </row>
    <row r="37808" spans="32:32" x14ac:dyDescent="0.2">
      <c r="AF37808" s="679"/>
    </row>
    <row r="37809" spans="32:32" x14ac:dyDescent="0.2">
      <c r="AF37809" s="679"/>
    </row>
    <row r="37810" spans="32:32" x14ac:dyDescent="0.2">
      <c r="AF37810" s="679"/>
    </row>
    <row r="37811" spans="32:32" x14ac:dyDescent="0.2">
      <c r="AF37811" s="679"/>
    </row>
    <row r="37812" spans="32:32" x14ac:dyDescent="0.2">
      <c r="AF37812" s="679"/>
    </row>
    <row r="37813" spans="32:32" x14ac:dyDescent="0.2">
      <c r="AF37813" s="679"/>
    </row>
    <row r="37814" spans="32:32" x14ac:dyDescent="0.2">
      <c r="AF37814" s="679"/>
    </row>
    <row r="37815" spans="32:32" x14ac:dyDescent="0.2">
      <c r="AF37815" s="679"/>
    </row>
    <row r="37816" spans="32:32" x14ac:dyDescent="0.2">
      <c r="AF37816" s="679"/>
    </row>
    <row r="37817" spans="32:32" x14ac:dyDescent="0.2">
      <c r="AF37817" s="679"/>
    </row>
    <row r="37818" spans="32:32" x14ac:dyDescent="0.2">
      <c r="AF37818" s="679"/>
    </row>
    <row r="37819" spans="32:32" x14ac:dyDescent="0.2">
      <c r="AF37819" s="679"/>
    </row>
    <row r="37820" spans="32:32" x14ac:dyDescent="0.2">
      <c r="AF37820" s="679"/>
    </row>
    <row r="37821" spans="32:32" x14ac:dyDescent="0.2">
      <c r="AF37821" s="679"/>
    </row>
    <row r="37822" spans="32:32" x14ac:dyDescent="0.2">
      <c r="AF37822" s="679"/>
    </row>
    <row r="37823" spans="32:32" x14ac:dyDescent="0.2">
      <c r="AF37823" s="679"/>
    </row>
    <row r="37824" spans="32:32" x14ac:dyDescent="0.2">
      <c r="AF37824" s="679"/>
    </row>
    <row r="37825" spans="32:32" x14ac:dyDescent="0.2">
      <c r="AF37825" s="679"/>
    </row>
    <row r="37826" spans="32:32" x14ac:dyDescent="0.2">
      <c r="AF37826" s="679"/>
    </row>
    <row r="37827" spans="32:32" x14ac:dyDescent="0.2">
      <c r="AF37827" s="679"/>
    </row>
    <row r="37828" spans="32:32" x14ac:dyDescent="0.2">
      <c r="AF37828" s="679"/>
    </row>
    <row r="37829" spans="32:32" x14ac:dyDescent="0.2">
      <c r="AF37829" s="679"/>
    </row>
    <row r="37830" spans="32:32" x14ac:dyDescent="0.2">
      <c r="AF37830" s="679"/>
    </row>
    <row r="37831" spans="32:32" x14ac:dyDescent="0.2">
      <c r="AF37831" s="679"/>
    </row>
    <row r="37832" spans="32:32" x14ac:dyDescent="0.2">
      <c r="AF37832" s="679"/>
    </row>
    <row r="37833" spans="32:32" x14ac:dyDescent="0.2">
      <c r="AF37833" s="679"/>
    </row>
    <row r="37834" spans="32:32" x14ac:dyDescent="0.2">
      <c r="AF37834" s="679"/>
    </row>
    <row r="37835" spans="32:32" x14ac:dyDescent="0.2">
      <c r="AF37835" s="679"/>
    </row>
    <row r="37836" spans="32:32" x14ac:dyDescent="0.2">
      <c r="AF37836" s="679"/>
    </row>
    <row r="37837" spans="32:32" x14ac:dyDescent="0.2">
      <c r="AF37837" s="679"/>
    </row>
    <row r="37838" spans="32:32" x14ac:dyDescent="0.2">
      <c r="AF37838" s="679"/>
    </row>
    <row r="37839" spans="32:32" x14ac:dyDescent="0.2">
      <c r="AF37839" s="679"/>
    </row>
    <row r="37840" spans="32:32" x14ac:dyDescent="0.2">
      <c r="AF37840" s="679"/>
    </row>
    <row r="37841" spans="32:32" x14ac:dyDescent="0.2">
      <c r="AF37841" s="679"/>
    </row>
    <row r="37842" spans="32:32" x14ac:dyDescent="0.2">
      <c r="AF37842" s="679"/>
    </row>
    <row r="37843" spans="32:32" x14ac:dyDescent="0.2">
      <c r="AF37843" s="679"/>
    </row>
    <row r="37844" spans="32:32" x14ac:dyDescent="0.2">
      <c r="AF37844" s="679"/>
    </row>
    <row r="37845" spans="32:32" x14ac:dyDescent="0.2">
      <c r="AF37845" s="679"/>
    </row>
    <row r="37846" spans="32:32" x14ac:dyDescent="0.2">
      <c r="AF37846" s="679"/>
    </row>
    <row r="37847" spans="32:32" x14ac:dyDescent="0.2">
      <c r="AF37847" s="679"/>
    </row>
    <row r="37848" spans="32:32" x14ac:dyDescent="0.2">
      <c r="AF37848" s="679"/>
    </row>
    <row r="37849" spans="32:32" x14ac:dyDescent="0.2">
      <c r="AF37849" s="679"/>
    </row>
    <row r="37850" spans="32:32" x14ac:dyDescent="0.2">
      <c r="AF37850" s="679"/>
    </row>
    <row r="37851" spans="32:32" x14ac:dyDescent="0.2">
      <c r="AF37851" s="679"/>
    </row>
    <row r="37852" spans="32:32" x14ac:dyDescent="0.2">
      <c r="AF37852" s="679"/>
    </row>
    <row r="37853" spans="32:32" x14ac:dyDescent="0.2">
      <c r="AF37853" s="679"/>
    </row>
    <row r="37854" spans="32:32" x14ac:dyDescent="0.2">
      <c r="AF37854" s="679"/>
    </row>
    <row r="37855" spans="32:32" x14ac:dyDescent="0.2">
      <c r="AF37855" s="679"/>
    </row>
    <row r="37856" spans="32:32" x14ac:dyDescent="0.2">
      <c r="AF37856" s="679"/>
    </row>
    <row r="37857" spans="32:32" x14ac:dyDescent="0.2">
      <c r="AF37857" s="679"/>
    </row>
    <row r="37858" spans="32:32" x14ac:dyDescent="0.2">
      <c r="AF37858" s="679"/>
    </row>
    <row r="37859" spans="32:32" x14ac:dyDescent="0.2">
      <c r="AF37859" s="679"/>
    </row>
    <row r="37860" spans="32:32" x14ac:dyDescent="0.2">
      <c r="AF37860" s="679"/>
    </row>
    <row r="37861" spans="32:32" x14ac:dyDescent="0.2">
      <c r="AF37861" s="679"/>
    </row>
    <row r="37862" spans="32:32" x14ac:dyDescent="0.2">
      <c r="AF37862" s="679"/>
    </row>
    <row r="37863" spans="32:32" x14ac:dyDescent="0.2">
      <c r="AF37863" s="679"/>
    </row>
    <row r="37864" spans="32:32" x14ac:dyDescent="0.2">
      <c r="AF37864" s="679"/>
    </row>
    <row r="37865" spans="32:32" x14ac:dyDescent="0.2">
      <c r="AF37865" s="679"/>
    </row>
    <row r="37866" spans="32:32" x14ac:dyDescent="0.2">
      <c r="AF37866" s="679"/>
    </row>
    <row r="37867" spans="32:32" x14ac:dyDescent="0.2">
      <c r="AF37867" s="679"/>
    </row>
    <row r="37868" spans="32:32" x14ac:dyDescent="0.2">
      <c r="AF37868" s="679"/>
    </row>
    <row r="37869" spans="32:32" x14ac:dyDescent="0.2">
      <c r="AF37869" s="679"/>
    </row>
    <row r="37870" spans="32:32" x14ac:dyDescent="0.2">
      <c r="AF37870" s="679"/>
    </row>
    <row r="37871" spans="32:32" x14ac:dyDescent="0.2">
      <c r="AF37871" s="679"/>
    </row>
    <row r="37872" spans="32:32" x14ac:dyDescent="0.2">
      <c r="AF37872" s="679"/>
    </row>
    <row r="37873" spans="32:32" x14ac:dyDescent="0.2">
      <c r="AF37873" s="679"/>
    </row>
    <row r="37874" spans="32:32" x14ac:dyDescent="0.2">
      <c r="AF37874" s="679"/>
    </row>
    <row r="37875" spans="32:32" x14ac:dyDescent="0.2">
      <c r="AF37875" s="679"/>
    </row>
    <row r="37876" spans="32:32" x14ac:dyDescent="0.2">
      <c r="AF37876" s="679"/>
    </row>
    <row r="37877" spans="32:32" x14ac:dyDescent="0.2">
      <c r="AF37877" s="679"/>
    </row>
    <row r="37878" spans="32:32" x14ac:dyDescent="0.2">
      <c r="AF37878" s="679"/>
    </row>
    <row r="37879" spans="32:32" x14ac:dyDescent="0.2">
      <c r="AF37879" s="679"/>
    </row>
    <row r="37880" spans="32:32" x14ac:dyDescent="0.2">
      <c r="AF37880" s="679"/>
    </row>
    <row r="37881" spans="32:32" x14ac:dyDescent="0.2">
      <c r="AF37881" s="679"/>
    </row>
    <row r="37882" spans="32:32" x14ac:dyDescent="0.2">
      <c r="AF37882" s="679"/>
    </row>
    <row r="37883" spans="32:32" x14ac:dyDescent="0.2">
      <c r="AF37883" s="679"/>
    </row>
    <row r="37884" spans="32:32" x14ac:dyDescent="0.2">
      <c r="AF37884" s="679"/>
    </row>
    <row r="37885" spans="32:32" x14ac:dyDescent="0.2">
      <c r="AF37885" s="679"/>
    </row>
    <row r="37886" spans="32:32" x14ac:dyDescent="0.2">
      <c r="AF37886" s="679"/>
    </row>
    <row r="37887" spans="32:32" x14ac:dyDescent="0.2">
      <c r="AF37887" s="679"/>
    </row>
    <row r="37888" spans="32:32" x14ac:dyDescent="0.2">
      <c r="AF37888" s="679"/>
    </row>
    <row r="37889" spans="32:32" x14ac:dyDescent="0.2">
      <c r="AF37889" s="679"/>
    </row>
    <row r="37890" spans="32:32" x14ac:dyDescent="0.2">
      <c r="AF37890" s="679"/>
    </row>
    <row r="37891" spans="32:32" x14ac:dyDescent="0.2">
      <c r="AF37891" s="679"/>
    </row>
    <row r="37892" spans="32:32" x14ac:dyDescent="0.2">
      <c r="AF37892" s="679"/>
    </row>
    <row r="37893" spans="32:32" x14ac:dyDescent="0.2">
      <c r="AF37893" s="679"/>
    </row>
    <row r="37894" spans="32:32" x14ac:dyDescent="0.2">
      <c r="AF37894" s="679"/>
    </row>
    <row r="37895" spans="32:32" x14ac:dyDescent="0.2">
      <c r="AF37895" s="679"/>
    </row>
    <row r="37896" spans="32:32" x14ac:dyDescent="0.2">
      <c r="AF37896" s="679"/>
    </row>
    <row r="37897" spans="32:32" x14ac:dyDescent="0.2">
      <c r="AF37897" s="679"/>
    </row>
    <row r="37898" spans="32:32" x14ac:dyDescent="0.2">
      <c r="AF37898" s="679"/>
    </row>
    <row r="37899" spans="32:32" x14ac:dyDescent="0.2">
      <c r="AF37899" s="679"/>
    </row>
    <row r="37900" spans="32:32" x14ac:dyDescent="0.2">
      <c r="AF37900" s="679"/>
    </row>
    <row r="37901" spans="32:32" x14ac:dyDescent="0.2">
      <c r="AF37901" s="679"/>
    </row>
    <row r="37902" spans="32:32" x14ac:dyDescent="0.2">
      <c r="AF37902" s="679"/>
    </row>
    <row r="37903" spans="32:32" x14ac:dyDescent="0.2">
      <c r="AF37903" s="679"/>
    </row>
    <row r="37904" spans="32:32" x14ac:dyDescent="0.2">
      <c r="AF37904" s="679"/>
    </row>
    <row r="37905" spans="32:32" x14ac:dyDescent="0.2">
      <c r="AF37905" s="679"/>
    </row>
    <row r="37906" spans="32:32" x14ac:dyDescent="0.2">
      <c r="AF37906" s="679"/>
    </row>
    <row r="37907" spans="32:32" x14ac:dyDescent="0.2">
      <c r="AF37907" s="679"/>
    </row>
    <row r="37908" spans="32:32" x14ac:dyDescent="0.2">
      <c r="AF37908" s="679"/>
    </row>
    <row r="37909" spans="32:32" x14ac:dyDescent="0.2">
      <c r="AF37909" s="679"/>
    </row>
    <row r="37910" spans="32:32" x14ac:dyDescent="0.2">
      <c r="AF37910" s="679"/>
    </row>
    <row r="37911" spans="32:32" x14ac:dyDescent="0.2">
      <c r="AF37911" s="679"/>
    </row>
    <row r="37912" spans="32:32" x14ac:dyDescent="0.2">
      <c r="AF37912" s="679"/>
    </row>
    <row r="37913" spans="32:32" x14ac:dyDescent="0.2">
      <c r="AF37913" s="679"/>
    </row>
    <row r="37914" spans="32:32" x14ac:dyDescent="0.2">
      <c r="AF37914" s="679"/>
    </row>
    <row r="37915" spans="32:32" x14ac:dyDescent="0.2">
      <c r="AF37915" s="679"/>
    </row>
    <row r="37916" spans="32:32" x14ac:dyDescent="0.2">
      <c r="AF37916" s="679"/>
    </row>
    <row r="37917" spans="32:32" x14ac:dyDescent="0.2">
      <c r="AF37917" s="679"/>
    </row>
    <row r="37918" spans="32:32" x14ac:dyDescent="0.2">
      <c r="AF37918" s="679"/>
    </row>
    <row r="37919" spans="32:32" x14ac:dyDescent="0.2">
      <c r="AF37919" s="679"/>
    </row>
    <row r="37920" spans="32:32" x14ac:dyDescent="0.2">
      <c r="AF37920" s="679"/>
    </row>
    <row r="37921" spans="32:32" x14ac:dyDescent="0.2">
      <c r="AF37921" s="679"/>
    </row>
    <row r="37922" spans="32:32" x14ac:dyDescent="0.2">
      <c r="AF37922" s="679"/>
    </row>
    <row r="37923" spans="32:32" x14ac:dyDescent="0.2">
      <c r="AF37923" s="679"/>
    </row>
    <row r="37924" spans="32:32" x14ac:dyDescent="0.2">
      <c r="AF37924" s="679"/>
    </row>
    <row r="37925" spans="32:32" x14ac:dyDescent="0.2">
      <c r="AF37925" s="679"/>
    </row>
    <row r="37926" spans="32:32" x14ac:dyDescent="0.2">
      <c r="AF37926" s="679"/>
    </row>
    <row r="37927" spans="32:32" x14ac:dyDescent="0.2">
      <c r="AF37927" s="679"/>
    </row>
    <row r="37928" spans="32:32" x14ac:dyDescent="0.2">
      <c r="AF37928" s="679"/>
    </row>
    <row r="37929" spans="32:32" x14ac:dyDescent="0.2">
      <c r="AF37929" s="679"/>
    </row>
    <row r="37930" spans="32:32" x14ac:dyDescent="0.2">
      <c r="AF37930" s="679"/>
    </row>
    <row r="37931" spans="32:32" x14ac:dyDescent="0.2">
      <c r="AF37931" s="679"/>
    </row>
    <row r="37932" spans="32:32" x14ac:dyDescent="0.2">
      <c r="AF37932" s="679"/>
    </row>
    <row r="37933" spans="32:32" x14ac:dyDescent="0.2">
      <c r="AF37933" s="679"/>
    </row>
    <row r="37934" spans="32:32" x14ac:dyDescent="0.2">
      <c r="AF37934" s="679"/>
    </row>
    <row r="37935" spans="32:32" x14ac:dyDescent="0.2">
      <c r="AF37935" s="679"/>
    </row>
    <row r="37936" spans="32:32" x14ac:dyDescent="0.2">
      <c r="AF37936" s="679"/>
    </row>
    <row r="37937" spans="32:32" x14ac:dyDescent="0.2">
      <c r="AF37937" s="679"/>
    </row>
    <row r="37938" spans="32:32" x14ac:dyDescent="0.2">
      <c r="AF37938" s="679"/>
    </row>
    <row r="37939" spans="32:32" x14ac:dyDescent="0.2">
      <c r="AF37939" s="679"/>
    </row>
    <row r="37940" spans="32:32" x14ac:dyDescent="0.2">
      <c r="AF37940" s="679"/>
    </row>
    <row r="37941" spans="32:32" x14ac:dyDescent="0.2">
      <c r="AF37941" s="679"/>
    </row>
    <row r="37942" spans="32:32" x14ac:dyDescent="0.2">
      <c r="AF37942" s="679"/>
    </row>
    <row r="37943" spans="32:32" x14ac:dyDescent="0.2">
      <c r="AF37943" s="679"/>
    </row>
    <row r="37944" spans="32:32" x14ac:dyDescent="0.2">
      <c r="AF37944" s="679"/>
    </row>
    <row r="37945" spans="32:32" x14ac:dyDescent="0.2">
      <c r="AF37945" s="679"/>
    </row>
    <row r="37946" spans="32:32" x14ac:dyDescent="0.2">
      <c r="AF37946" s="679"/>
    </row>
    <row r="37947" spans="32:32" x14ac:dyDescent="0.2">
      <c r="AF37947" s="679"/>
    </row>
    <row r="37948" spans="32:32" x14ac:dyDescent="0.2">
      <c r="AF37948" s="679"/>
    </row>
    <row r="37949" spans="32:32" x14ac:dyDescent="0.2">
      <c r="AF37949" s="679"/>
    </row>
    <row r="37950" spans="32:32" x14ac:dyDescent="0.2">
      <c r="AF37950" s="679"/>
    </row>
    <row r="37951" spans="32:32" x14ac:dyDescent="0.2">
      <c r="AF37951" s="679"/>
    </row>
    <row r="37952" spans="32:32" x14ac:dyDescent="0.2">
      <c r="AF37952" s="679"/>
    </row>
    <row r="37953" spans="32:32" x14ac:dyDescent="0.2">
      <c r="AF37953" s="679"/>
    </row>
    <row r="37954" spans="32:32" x14ac:dyDescent="0.2">
      <c r="AF37954" s="679"/>
    </row>
    <row r="37955" spans="32:32" x14ac:dyDescent="0.2">
      <c r="AF37955" s="679"/>
    </row>
    <row r="37956" spans="32:32" x14ac:dyDescent="0.2">
      <c r="AF37956" s="679"/>
    </row>
    <row r="37957" spans="32:32" x14ac:dyDescent="0.2">
      <c r="AF37957" s="679"/>
    </row>
    <row r="37958" spans="32:32" x14ac:dyDescent="0.2">
      <c r="AF37958" s="679"/>
    </row>
    <row r="37959" spans="32:32" x14ac:dyDescent="0.2">
      <c r="AF37959" s="679"/>
    </row>
    <row r="37960" spans="32:32" x14ac:dyDescent="0.2">
      <c r="AF37960" s="679"/>
    </row>
    <row r="37961" spans="32:32" x14ac:dyDescent="0.2">
      <c r="AF37961" s="679"/>
    </row>
    <row r="37962" spans="32:32" x14ac:dyDescent="0.2">
      <c r="AF37962" s="679"/>
    </row>
    <row r="37963" spans="32:32" x14ac:dyDescent="0.2">
      <c r="AF37963" s="679"/>
    </row>
    <row r="37964" spans="32:32" x14ac:dyDescent="0.2">
      <c r="AF37964" s="679"/>
    </row>
    <row r="37965" spans="32:32" x14ac:dyDescent="0.2">
      <c r="AF37965" s="679"/>
    </row>
    <row r="37966" spans="32:32" x14ac:dyDescent="0.2">
      <c r="AF37966" s="679"/>
    </row>
    <row r="37967" spans="32:32" x14ac:dyDescent="0.2">
      <c r="AF37967" s="679"/>
    </row>
    <row r="37968" spans="32:32" x14ac:dyDescent="0.2">
      <c r="AF37968" s="679"/>
    </row>
    <row r="37969" spans="32:32" x14ac:dyDescent="0.2">
      <c r="AF37969" s="679"/>
    </row>
    <row r="37970" spans="32:32" x14ac:dyDescent="0.2">
      <c r="AF37970" s="679"/>
    </row>
    <row r="37971" spans="32:32" x14ac:dyDescent="0.2">
      <c r="AF37971" s="679"/>
    </row>
    <row r="37972" spans="32:32" x14ac:dyDescent="0.2">
      <c r="AF37972" s="679"/>
    </row>
    <row r="37973" spans="32:32" x14ac:dyDescent="0.2">
      <c r="AF37973" s="679"/>
    </row>
    <row r="37974" spans="32:32" x14ac:dyDescent="0.2">
      <c r="AF37974" s="679"/>
    </row>
    <row r="37975" spans="32:32" x14ac:dyDescent="0.2">
      <c r="AF37975" s="679"/>
    </row>
    <row r="37976" spans="32:32" x14ac:dyDescent="0.2">
      <c r="AF37976" s="679"/>
    </row>
    <row r="37977" spans="32:32" x14ac:dyDescent="0.2">
      <c r="AF37977" s="679"/>
    </row>
    <row r="37978" spans="32:32" x14ac:dyDescent="0.2">
      <c r="AF37978" s="679"/>
    </row>
    <row r="37979" spans="32:32" x14ac:dyDescent="0.2">
      <c r="AF37979" s="679"/>
    </row>
    <row r="37980" spans="32:32" x14ac:dyDescent="0.2">
      <c r="AF37980" s="679"/>
    </row>
    <row r="37981" spans="32:32" x14ac:dyDescent="0.2">
      <c r="AF37981" s="679"/>
    </row>
    <row r="37982" spans="32:32" x14ac:dyDescent="0.2">
      <c r="AF37982" s="679"/>
    </row>
    <row r="37983" spans="32:32" x14ac:dyDescent="0.2">
      <c r="AF37983" s="679"/>
    </row>
    <row r="37984" spans="32:32" x14ac:dyDescent="0.2">
      <c r="AF37984" s="679"/>
    </row>
    <row r="37985" spans="32:32" x14ac:dyDescent="0.2">
      <c r="AF37985" s="679"/>
    </row>
    <row r="37986" spans="32:32" x14ac:dyDescent="0.2">
      <c r="AF37986" s="679"/>
    </row>
    <row r="37987" spans="32:32" x14ac:dyDescent="0.2">
      <c r="AF37987" s="679"/>
    </row>
    <row r="37988" spans="32:32" x14ac:dyDescent="0.2">
      <c r="AF37988" s="679"/>
    </row>
    <row r="37989" spans="32:32" x14ac:dyDescent="0.2">
      <c r="AF37989" s="679"/>
    </row>
    <row r="37990" spans="32:32" x14ac:dyDescent="0.2">
      <c r="AF37990" s="679"/>
    </row>
    <row r="37991" spans="32:32" x14ac:dyDescent="0.2">
      <c r="AF37991" s="679"/>
    </row>
    <row r="37992" spans="32:32" x14ac:dyDescent="0.2">
      <c r="AF37992" s="679"/>
    </row>
    <row r="37993" spans="32:32" x14ac:dyDescent="0.2">
      <c r="AF37993" s="679"/>
    </row>
    <row r="37994" spans="32:32" x14ac:dyDescent="0.2">
      <c r="AF37994" s="679"/>
    </row>
    <row r="37995" spans="32:32" x14ac:dyDescent="0.2">
      <c r="AF37995" s="679"/>
    </row>
    <row r="37996" spans="32:32" x14ac:dyDescent="0.2">
      <c r="AF37996" s="679"/>
    </row>
    <row r="37997" spans="32:32" x14ac:dyDescent="0.2">
      <c r="AF37997" s="679"/>
    </row>
    <row r="37998" spans="32:32" x14ac:dyDescent="0.2">
      <c r="AF37998" s="679"/>
    </row>
    <row r="37999" spans="32:32" x14ac:dyDescent="0.2">
      <c r="AF37999" s="679"/>
    </row>
    <row r="38000" spans="32:32" x14ac:dyDescent="0.2">
      <c r="AF38000" s="679"/>
    </row>
    <row r="38001" spans="32:32" x14ac:dyDescent="0.2">
      <c r="AF38001" s="679"/>
    </row>
    <row r="38002" spans="32:32" x14ac:dyDescent="0.2">
      <c r="AF38002" s="679"/>
    </row>
    <row r="38003" spans="32:32" x14ac:dyDescent="0.2">
      <c r="AF38003" s="679"/>
    </row>
    <row r="38004" spans="32:32" x14ac:dyDescent="0.2">
      <c r="AF38004" s="679"/>
    </row>
    <row r="38005" spans="32:32" x14ac:dyDescent="0.2">
      <c r="AF38005" s="679"/>
    </row>
    <row r="38006" spans="32:32" x14ac:dyDescent="0.2">
      <c r="AF38006" s="679"/>
    </row>
    <row r="38007" spans="32:32" x14ac:dyDescent="0.2">
      <c r="AF38007" s="679"/>
    </row>
    <row r="38008" spans="32:32" x14ac:dyDescent="0.2">
      <c r="AF38008" s="679"/>
    </row>
    <row r="38009" spans="32:32" x14ac:dyDescent="0.2">
      <c r="AF38009" s="679"/>
    </row>
    <row r="38010" spans="32:32" x14ac:dyDescent="0.2">
      <c r="AF38010" s="679"/>
    </row>
    <row r="38011" spans="32:32" x14ac:dyDescent="0.2">
      <c r="AF38011" s="679"/>
    </row>
    <row r="38012" spans="32:32" x14ac:dyDescent="0.2">
      <c r="AF38012" s="679"/>
    </row>
    <row r="38013" spans="32:32" x14ac:dyDescent="0.2">
      <c r="AF38013" s="679"/>
    </row>
    <row r="38014" spans="32:32" x14ac:dyDescent="0.2">
      <c r="AF38014" s="679"/>
    </row>
    <row r="38015" spans="32:32" x14ac:dyDescent="0.2">
      <c r="AF38015" s="679"/>
    </row>
    <row r="38016" spans="32:32" x14ac:dyDescent="0.2">
      <c r="AF38016" s="679"/>
    </row>
    <row r="38017" spans="32:32" x14ac:dyDescent="0.2">
      <c r="AF38017" s="679"/>
    </row>
    <row r="38018" spans="32:32" x14ac:dyDescent="0.2">
      <c r="AF38018" s="679"/>
    </row>
    <row r="38019" spans="32:32" x14ac:dyDescent="0.2">
      <c r="AF38019" s="679"/>
    </row>
    <row r="38020" spans="32:32" x14ac:dyDescent="0.2">
      <c r="AF38020" s="679"/>
    </row>
    <row r="38021" spans="32:32" x14ac:dyDescent="0.2">
      <c r="AF38021" s="679"/>
    </row>
    <row r="38022" spans="32:32" x14ac:dyDescent="0.2">
      <c r="AF38022" s="679"/>
    </row>
    <row r="38023" spans="32:32" x14ac:dyDescent="0.2">
      <c r="AF38023" s="679"/>
    </row>
    <row r="38024" spans="32:32" x14ac:dyDescent="0.2">
      <c r="AF38024" s="679"/>
    </row>
    <row r="38025" spans="32:32" x14ac:dyDescent="0.2">
      <c r="AF38025" s="679"/>
    </row>
    <row r="38026" spans="32:32" x14ac:dyDescent="0.2">
      <c r="AF38026" s="679"/>
    </row>
    <row r="38027" spans="32:32" x14ac:dyDescent="0.2">
      <c r="AF38027" s="679"/>
    </row>
    <row r="38028" spans="32:32" x14ac:dyDescent="0.2">
      <c r="AF38028" s="679"/>
    </row>
    <row r="38029" spans="32:32" x14ac:dyDescent="0.2">
      <c r="AF38029" s="679"/>
    </row>
    <row r="38030" spans="32:32" x14ac:dyDescent="0.2">
      <c r="AF38030" s="679"/>
    </row>
    <row r="38031" spans="32:32" x14ac:dyDescent="0.2">
      <c r="AF38031" s="679"/>
    </row>
    <row r="38032" spans="32:32" x14ac:dyDescent="0.2">
      <c r="AF38032" s="679"/>
    </row>
    <row r="38033" spans="32:32" x14ac:dyDescent="0.2">
      <c r="AF38033" s="679"/>
    </row>
    <row r="38034" spans="32:32" x14ac:dyDescent="0.2">
      <c r="AF38034" s="679"/>
    </row>
    <row r="38035" spans="32:32" x14ac:dyDescent="0.2">
      <c r="AF38035" s="679"/>
    </row>
    <row r="38036" spans="32:32" x14ac:dyDescent="0.2">
      <c r="AF38036" s="679"/>
    </row>
    <row r="38037" spans="32:32" x14ac:dyDescent="0.2">
      <c r="AF38037" s="679"/>
    </row>
    <row r="38038" spans="32:32" x14ac:dyDescent="0.2">
      <c r="AF38038" s="679"/>
    </row>
    <row r="38039" spans="32:32" x14ac:dyDescent="0.2">
      <c r="AF38039" s="679"/>
    </row>
    <row r="38040" spans="32:32" x14ac:dyDescent="0.2">
      <c r="AF38040" s="679"/>
    </row>
    <row r="38041" spans="32:32" x14ac:dyDescent="0.2">
      <c r="AF38041" s="679"/>
    </row>
    <row r="38042" spans="32:32" x14ac:dyDescent="0.2">
      <c r="AF38042" s="679"/>
    </row>
    <row r="38043" spans="32:32" x14ac:dyDescent="0.2">
      <c r="AF38043" s="679"/>
    </row>
    <row r="38044" spans="32:32" x14ac:dyDescent="0.2">
      <c r="AF38044" s="679"/>
    </row>
    <row r="38045" spans="32:32" x14ac:dyDescent="0.2">
      <c r="AF38045" s="679"/>
    </row>
    <row r="38046" spans="32:32" x14ac:dyDescent="0.2">
      <c r="AF38046" s="679"/>
    </row>
    <row r="38047" spans="32:32" x14ac:dyDescent="0.2">
      <c r="AF38047" s="679"/>
    </row>
    <row r="38048" spans="32:32" x14ac:dyDescent="0.2">
      <c r="AF38048" s="679"/>
    </row>
    <row r="38049" spans="32:32" x14ac:dyDescent="0.2">
      <c r="AF38049" s="679"/>
    </row>
    <row r="38050" spans="32:32" x14ac:dyDescent="0.2">
      <c r="AF38050" s="679"/>
    </row>
    <row r="38051" spans="32:32" x14ac:dyDescent="0.2">
      <c r="AF38051" s="679"/>
    </row>
    <row r="38052" spans="32:32" x14ac:dyDescent="0.2">
      <c r="AF38052" s="679"/>
    </row>
    <row r="38053" spans="32:32" x14ac:dyDescent="0.2">
      <c r="AF38053" s="679"/>
    </row>
    <row r="38054" spans="32:32" x14ac:dyDescent="0.2">
      <c r="AF38054" s="679"/>
    </row>
    <row r="38055" spans="32:32" x14ac:dyDescent="0.2">
      <c r="AF38055" s="679"/>
    </row>
    <row r="38056" spans="32:32" x14ac:dyDescent="0.2">
      <c r="AF38056" s="679"/>
    </row>
    <row r="38057" spans="32:32" x14ac:dyDescent="0.2">
      <c r="AF38057" s="679"/>
    </row>
    <row r="38058" spans="32:32" x14ac:dyDescent="0.2">
      <c r="AF38058" s="679"/>
    </row>
    <row r="38059" spans="32:32" x14ac:dyDescent="0.2">
      <c r="AF38059" s="679"/>
    </row>
    <row r="38060" spans="32:32" x14ac:dyDescent="0.2">
      <c r="AF38060" s="679"/>
    </row>
    <row r="38061" spans="32:32" x14ac:dyDescent="0.2">
      <c r="AF38061" s="679"/>
    </row>
    <row r="38062" spans="32:32" x14ac:dyDescent="0.2">
      <c r="AF38062" s="679"/>
    </row>
    <row r="38063" spans="32:32" x14ac:dyDescent="0.2">
      <c r="AF38063" s="679"/>
    </row>
    <row r="38064" spans="32:32" x14ac:dyDescent="0.2">
      <c r="AF38064" s="679"/>
    </row>
    <row r="38065" spans="32:32" x14ac:dyDescent="0.2">
      <c r="AF38065" s="679"/>
    </row>
    <row r="38066" spans="32:32" x14ac:dyDescent="0.2">
      <c r="AF38066" s="679"/>
    </row>
    <row r="38067" spans="32:32" x14ac:dyDescent="0.2">
      <c r="AF38067" s="679"/>
    </row>
    <row r="38068" spans="32:32" x14ac:dyDescent="0.2">
      <c r="AF38068" s="679"/>
    </row>
    <row r="38069" spans="32:32" x14ac:dyDescent="0.2">
      <c r="AF38069" s="679"/>
    </row>
    <row r="38070" spans="32:32" x14ac:dyDescent="0.2">
      <c r="AF38070" s="679"/>
    </row>
    <row r="38071" spans="32:32" x14ac:dyDescent="0.2">
      <c r="AF38071" s="679"/>
    </row>
    <row r="38072" spans="32:32" x14ac:dyDescent="0.2">
      <c r="AF38072" s="679"/>
    </row>
    <row r="38073" spans="32:32" x14ac:dyDescent="0.2">
      <c r="AF38073" s="679"/>
    </row>
    <row r="38074" spans="32:32" x14ac:dyDescent="0.2">
      <c r="AF38074" s="679"/>
    </row>
    <row r="38075" spans="32:32" x14ac:dyDescent="0.2">
      <c r="AF38075" s="679"/>
    </row>
    <row r="38076" spans="32:32" x14ac:dyDescent="0.2">
      <c r="AF38076" s="679"/>
    </row>
    <row r="38077" spans="32:32" x14ac:dyDescent="0.2">
      <c r="AF38077" s="679"/>
    </row>
    <row r="38078" spans="32:32" x14ac:dyDescent="0.2">
      <c r="AF38078" s="679"/>
    </row>
    <row r="38079" spans="32:32" x14ac:dyDescent="0.2">
      <c r="AF38079" s="679"/>
    </row>
    <row r="38080" spans="32:32" x14ac:dyDescent="0.2">
      <c r="AF38080" s="679"/>
    </row>
    <row r="38081" spans="32:32" x14ac:dyDescent="0.2">
      <c r="AF38081" s="679"/>
    </row>
    <row r="38082" spans="32:32" x14ac:dyDescent="0.2">
      <c r="AF38082" s="679"/>
    </row>
    <row r="38083" spans="32:32" x14ac:dyDescent="0.2">
      <c r="AF38083" s="679"/>
    </row>
    <row r="38084" spans="32:32" x14ac:dyDescent="0.2">
      <c r="AF38084" s="679"/>
    </row>
    <row r="38085" spans="32:32" x14ac:dyDescent="0.2">
      <c r="AF38085" s="679"/>
    </row>
    <row r="38086" spans="32:32" x14ac:dyDescent="0.2">
      <c r="AF38086" s="679"/>
    </row>
    <row r="38087" spans="32:32" x14ac:dyDescent="0.2">
      <c r="AF38087" s="679"/>
    </row>
    <row r="38088" spans="32:32" x14ac:dyDescent="0.2">
      <c r="AF38088" s="679"/>
    </row>
    <row r="38089" spans="32:32" x14ac:dyDescent="0.2">
      <c r="AF38089" s="679"/>
    </row>
    <row r="38090" spans="32:32" x14ac:dyDescent="0.2">
      <c r="AF38090" s="679"/>
    </row>
    <row r="38091" spans="32:32" x14ac:dyDescent="0.2">
      <c r="AF38091" s="679"/>
    </row>
    <row r="38092" spans="32:32" x14ac:dyDescent="0.2">
      <c r="AF38092" s="679"/>
    </row>
    <row r="38093" spans="32:32" x14ac:dyDescent="0.2">
      <c r="AF38093" s="679"/>
    </row>
    <row r="38094" spans="32:32" x14ac:dyDescent="0.2">
      <c r="AF38094" s="679"/>
    </row>
    <row r="38095" spans="32:32" x14ac:dyDescent="0.2">
      <c r="AF38095" s="679"/>
    </row>
    <row r="38096" spans="32:32" x14ac:dyDescent="0.2">
      <c r="AF38096" s="679"/>
    </row>
    <row r="38097" spans="32:32" x14ac:dyDescent="0.2">
      <c r="AF38097" s="679"/>
    </row>
    <row r="38098" spans="32:32" x14ac:dyDescent="0.2">
      <c r="AF38098" s="679"/>
    </row>
    <row r="38099" spans="32:32" x14ac:dyDescent="0.2">
      <c r="AF38099" s="679"/>
    </row>
    <row r="38100" spans="32:32" x14ac:dyDescent="0.2">
      <c r="AF38100" s="679"/>
    </row>
    <row r="38101" spans="32:32" x14ac:dyDescent="0.2">
      <c r="AF38101" s="679"/>
    </row>
    <row r="38102" spans="32:32" x14ac:dyDescent="0.2">
      <c r="AF38102" s="679"/>
    </row>
    <row r="38103" spans="32:32" x14ac:dyDescent="0.2">
      <c r="AF38103" s="679"/>
    </row>
    <row r="38104" spans="32:32" x14ac:dyDescent="0.2">
      <c r="AF38104" s="679"/>
    </row>
    <row r="38105" spans="32:32" x14ac:dyDescent="0.2">
      <c r="AF38105" s="679"/>
    </row>
    <row r="38106" spans="32:32" x14ac:dyDescent="0.2">
      <c r="AF38106" s="679"/>
    </row>
    <row r="38107" spans="32:32" x14ac:dyDescent="0.2">
      <c r="AF38107" s="679"/>
    </row>
    <row r="38108" spans="32:32" x14ac:dyDescent="0.2">
      <c r="AF38108" s="679"/>
    </row>
    <row r="38109" spans="32:32" x14ac:dyDescent="0.2">
      <c r="AF38109" s="679"/>
    </row>
    <row r="38110" spans="32:32" x14ac:dyDescent="0.2">
      <c r="AF38110" s="679"/>
    </row>
    <row r="38111" spans="32:32" x14ac:dyDescent="0.2">
      <c r="AF38111" s="679"/>
    </row>
    <row r="38112" spans="32:32" x14ac:dyDescent="0.2">
      <c r="AF38112" s="679"/>
    </row>
    <row r="38113" spans="32:32" x14ac:dyDescent="0.2">
      <c r="AF38113" s="679"/>
    </row>
    <row r="38114" spans="32:32" x14ac:dyDescent="0.2">
      <c r="AF38114" s="679"/>
    </row>
    <row r="38115" spans="32:32" x14ac:dyDescent="0.2">
      <c r="AF38115" s="679"/>
    </row>
    <row r="38116" spans="32:32" x14ac:dyDescent="0.2">
      <c r="AF38116" s="679"/>
    </row>
    <row r="38117" spans="32:32" x14ac:dyDescent="0.2">
      <c r="AF38117" s="679"/>
    </row>
    <row r="38118" spans="32:32" x14ac:dyDescent="0.2">
      <c r="AF38118" s="679"/>
    </row>
    <row r="38119" spans="32:32" x14ac:dyDescent="0.2">
      <c r="AF38119" s="679"/>
    </row>
    <row r="38120" spans="32:32" x14ac:dyDescent="0.2">
      <c r="AF38120" s="679"/>
    </row>
    <row r="38121" spans="32:32" x14ac:dyDescent="0.2">
      <c r="AF38121" s="679"/>
    </row>
    <row r="38122" spans="32:32" x14ac:dyDescent="0.2">
      <c r="AF38122" s="679"/>
    </row>
    <row r="38123" spans="32:32" x14ac:dyDescent="0.2">
      <c r="AF38123" s="679"/>
    </row>
    <row r="38124" spans="32:32" x14ac:dyDescent="0.2">
      <c r="AF38124" s="679"/>
    </row>
    <row r="38125" spans="32:32" x14ac:dyDescent="0.2">
      <c r="AF38125" s="679"/>
    </row>
    <row r="38126" spans="32:32" x14ac:dyDescent="0.2">
      <c r="AF38126" s="679"/>
    </row>
    <row r="38127" spans="32:32" x14ac:dyDescent="0.2">
      <c r="AF38127" s="679"/>
    </row>
    <row r="38128" spans="32:32" x14ac:dyDescent="0.2">
      <c r="AF38128" s="679"/>
    </row>
    <row r="38129" spans="32:32" x14ac:dyDescent="0.2">
      <c r="AF38129" s="679"/>
    </row>
    <row r="38130" spans="32:32" x14ac:dyDescent="0.2">
      <c r="AF38130" s="679"/>
    </row>
    <row r="38131" spans="32:32" x14ac:dyDescent="0.2">
      <c r="AF38131" s="679"/>
    </row>
    <row r="38132" spans="32:32" x14ac:dyDescent="0.2">
      <c r="AF38132" s="679"/>
    </row>
    <row r="38133" spans="32:32" x14ac:dyDescent="0.2">
      <c r="AF38133" s="679"/>
    </row>
    <row r="38134" spans="32:32" x14ac:dyDescent="0.2">
      <c r="AF38134" s="679"/>
    </row>
    <row r="38135" spans="32:32" x14ac:dyDescent="0.2">
      <c r="AF38135" s="679"/>
    </row>
    <row r="38136" spans="32:32" x14ac:dyDescent="0.2">
      <c r="AF38136" s="679"/>
    </row>
    <row r="38137" spans="32:32" x14ac:dyDescent="0.2">
      <c r="AF38137" s="679"/>
    </row>
    <row r="38138" spans="32:32" x14ac:dyDescent="0.2">
      <c r="AF38138" s="679"/>
    </row>
    <row r="38139" spans="32:32" x14ac:dyDescent="0.2">
      <c r="AF38139" s="679"/>
    </row>
    <row r="38140" spans="32:32" x14ac:dyDescent="0.2">
      <c r="AF38140" s="679"/>
    </row>
    <row r="38141" spans="32:32" x14ac:dyDescent="0.2">
      <c r="AF38141" s="679"/>
    </row>
    <row r="38142" spans="32:32" x14ac:dyDescent="0.2">
      <c r="AF38142" s="679"/>
    </row>
    <row r="38143" spans="32:32" x14ac:dyDescent="0.2">
      <c r="AF38143" s="679"/>
    </row>
    <row r="38144" spans="32:32" x14ac:dyDescent="0.2">
      <c r="AF38144" s="679"/>
    </row>
    <row r="38145" spans="32:32" x14ac:dyDescent="0.2">
      <c r="AF38145" s="679"/>
    </row>
    <row r="38146" spans="32:32" x14ac:dyDescent="0.2">
      <c r="AF38146" s="679"/>
    </row>
    <row r="38147" spans="32:32" x14ac:dyDescent="0.2">
      <c r="AF38147" s="679"/>
    </row>
    <row r="38148" spans="32:32" x14ac:dyDescent="0.2">
      <c r="AF38148" s="679"/>
    </row>
    <row r="38149" spans="32:32" x14ac:dyDescent="0.2">
      <c r="AF38149" s="679"/>
    </row>
    <row r="38150" spans="32:32" x14ac:dyDescent="0.2">
      <c r="AF38150" s="679"/>
    </row>
    <row r="38151" spans="32:32" x14ac:dyDescent="0.2">
      <c r="AF38151" s="679"/>
    </row>
    <row r="38152" spans="32:32" x14ac:dyDescent="0.2">
      <c r="AF38152" s="679"/>
    </row>
    <row r="38153" spans="32:32" x14ac:dyDescent="0.2">
      <c r="AF38153" s="679"/>
    </row>
    <row r="38154" spans="32:32" x14ac:dyDescent="0.2">
      <c r="AF38154" s="679"/>
    </row>
    <row r="38155" spans="32:32" x14ac:dyDescent="0.2">
      <c r="AF38155" s="679"/>
    </row>
    <row r="38156" spans="32:32" x14ac:dyDescent="0.2">
      <c r="AF38156" s="679"/>
    </row>
    <row r="38157" spans="32:32" x14ac:dyDescent="0.2">
      <c r="AF38157" s="679"/>
    </row>
    <row r="38158" spans="32:32" x14ac:dyDescent="0.2">
      <c r="AF38158" s="679"/>
    </row>
    <row r="38159" spans="32:32" x14ac:dyDescent="0.2">
      <c r="AF38159" s="679"/>
    </row>
    <row r="38160" spans="32:32" x14ac:dyDescent="0.2">
      <c r="AF38160" s="679"/>
    </row>
    <row r="38161" spans="32:32" x14ac:dyDescent="0.2">
      <c r="AF38161" s="679"/>
    </row>
    <row r="38162" spans="32:32" x14ac:dyDescent="0.2">
      <c r="AF38162" s="679"/>
    </row>
    <row r="38163" spans="32:32" x14ac:dyDescent="0.2">
      <c r="AF38163" s="679"/>
    </row>
    <row r="38164" spans="32:32" x14ac:dyDescent="0.2">
      <c r="AF38164" s="679"/>
    </row>
    <row r="38165" spans="32:32" x14ac:dyDescent="0.2">
      <c r="AF38165" s="679"/>
    </row>
    <row r="38166" spans="32:32" x14ac:dyDescent="0.2">
      <c r="AF38166" s="679"/>
    </row>
    <row r="38167" spans="32:32" x14ac:dyDescent="0.2">
      <c r="AF38167" s="679"/>
    </row>
    <row r="38168" spans="32:32" x14ac:dyDescent="0.2">
      <c r="AF38168" s="679"/>
    </row>
    <row r="38169" spans="32:32" x14ac:dyDescent="0.2">
      <c r="AF38169" s="679"/>
    </row>
    <row r="38170" spans="32:32" x14ac:dyDescent="0.2">
      <c r="AF38170" s="679"/>
    </row>
    <row r="38171" spans="32:32" x14ac:dyDescent="0.2">
      <c r="AF38171" s="679"/>
    </row>
    <row r="38172" spans="32:32" x14ac:dyDescent="0.2">
      <c r="AF38172" s="679"/>
    </row>
    <row r="38173" spans="32:32" x14ac:dyDescent="0.2">
      <c r="AF38173" s="679"/>
    </row>
    <row r="38174" spans="32:32" x14ac:dyDescent="0.2">
      <c r="AF38174" s="679"/>
    </row>
    <row r="38175" spans="32:32" x14ac:dyDescent="0.2">
      <c r="AF38175" s="679"/>
    </row>
    <row r="38176" spans="32:32" x14ac:dyDescent="0.2">
      <c r="AF38176" s="679"/>
    </row>
    <row r="38177" spans="32:32" x14ac:dyDescent="0.2">
      <c r="AF38177" s="679"/>
    </row>
    <row r="38178" spans="32:32" x14ac:dyDescent="0.2">
      <c r="AF38178" s="679"/>
    </row>
    <row r="38179" spans="32:32" x14ac:dyDescent="0.2">
      <c r="AF38179" s="679"/>
    </row>
    <row r="38180" spans="32:32" x14ac:dyDescent="0.2">
      <c r="AF38180" s="679"/>
    </row>
    <row r="38181" spans="32:32" x14ac:dyDescent="0.2">
      <c r="AF38181" s="679"/>
    </row>
    <row r="38182" spans="32:32" x14ac:dyDescent="0.2">
      <c r="AF38182" s="679"/>
    </row>
    <row r="38183" spans="32:32" x14ac:dyDescent="0.2">
      <c r="AF38183" s="679"/>
    </row>
    <row r="38184" spans="32:32" x14ac:dyDescent="0.2">
      <c r="AF38184" s="679"/>
    </row>
    <row r="38185" spans="32:32" x14ac:dyDescent="0.2">
      <c r="AF38185" s="679"/>
    </row>
    <row r="38186" spans="32:32" x14ac:dyDescent="0.2">
      <c r="AF38186" s="679"/>
    </row>
    <row r="38187" spans="32:32" x14ac:dyDescent="0.2">
      <c r="AF38187" s="679"/>
    </row>
    <row r="38188" spans="32:32" x14ac:dyDescent="0.2">
      <c r="AF38188" s="679"/>
    </row>
    <row r="38189" spans="32:32" x14ac:dyDescent="0.2">
      <c r="AF38189" s="679"/>
    </row>
    <row r="38190" spans="32:32" x14ac:dyDescent="0.2">
      <c r="AF38190" s="679"/>
    </row>
    <row r="38191" spans="32:32" x14ac:dyDescent="0.2">
      <c r="AF38191" s="679"/>
    </row>
    <row r="38192" spans="32:32" x14ac:dyDescent="0.2">
      <c r="AF38192" s="679"/>
    </row>
    <row r="38193" spans="32:32" x14ac:dyDescent="0.2">
      <c r="AF38193" s="679"/>
    </row>
    <row r="38194" spans="32:32" x14ac:dyDescent="0.2">
      <c r="AF38194" s="679"/>
    </row>
    <row r="38195" spans="32:32" x14ac:dyDescent="0.2">
      <c r="AF38195" s="679"/>
    </row>
    <row r="38196" spans="32:32" x14ac:dyDescent="0.2">
      <c r="AF38196" s="679"/>
    </row>
    <row r="38197" spans="32:32" x14ac:dyDescent="0.2">
      <c r="AF38197" s="679"/>
    </row>
    <row r="38198" spans="32:32" x14ac:dyDescent="0.2">
      <c r="AF38198" s="679"/>
    </row>
    <row r="38199" spans="32:32" x14ac:dyDescent="0.2">
      <c r="AF38199" s="679"/>
    </row>
    <row r="38200" spans="32:32" x14ac:dyDescent="0.2">
      <c r="AF38200" s="679"/>
    </row>
    <row r="38201" spans="32:32" x14ac:dyDescent="0.2">
      <c r="AF38201" s="679"/>
    </row>
    <row r="38202" spans="32:32" x14ac:dyDescent="0.2">
      <c r="AF38202" s="679"/>
    </row>
    <row r="38203" spans="32:32" x14ac:dyDescent="0.2">
      <c r="AF38203" s="679"/>
    </row>
    <row r="38204" spans="32:32" x14ac:dyDescent="0.2">
      <c r="AF38204" s="679"/>
    </row>
    <row r="38205" spans="32:32" x14ac:dyDescent="0.2">
      <c r="AF38205" s="679"/>
    </row>
    <row r="38206" spans="32:32" x14ac:dyDescent="0.2">
      <c r="AF38206" s="679"/>
    </row>
    <row r="38207" spans="32:32" x14ac:dyDescent="0.2">
      <c r="AF38207" s="679"/>
    </row>
    <row r="38208" spans="32:32" x14ac:dyDescent="0.2">
      <c r="AF38208" s="679"/>
    </row>
    <row r="38209" spans="32:32" x14ac:dyDescent="0.2">
      <c r="AF38209" s="679"/>
    </row>
    <row r="38210" spans="32:32" x14ac:dyDescent="0.2">
      <c r="AF38210" s="679"/>
    </row>
    <row r="38211" spans="32:32" x14ac:dyDescent="0.2">
      <c r="AF38211" s="679"/>
    </row>
    <row r="38212" spans="32:32" x14ac:dyDescent="0.2">
      <c r="AF38212" s="679"/>
    </row>
    <row r="38213" spans="32:32" x14ac:dyDescent="0.2">
      <c r="AF38213" s="679"/>
    </row>
    <row r="38214" spans="32:32" x14ac:dyDescent="0.2">
      <c r="AF38214" s="679"/>
    </row>
    <row r="38215" spans="32:32" x14ac:dyDescent="0.2">
      <c r="AF38215" s="679"/>
    </row>
    <row r="38216" spans="32:32" x14ac:dyDescent="0.2">
      <c r="AF38216" s="679"/>
    </row>
    <row r="38217" spans="32:32" x14ac:dyDescent="0.2">
      <c r="AF38217" s="679"/>
    </row>
    <row r="38218" spans="32:32" x14ac:dyDescent="0.2">
      <c r="AF38218" s="679"/>
    </row>
    <row r="38219" spans="32:32" x14ac:dyDescent="0.2">
      <c r="AF38219" s="679"/>
    </row>
    <row r="38220" spans="32:32" x14ac:dyDescent="0.2">
      <c r="AF38220" s="679"/>
    </row>
    <row r="38221" spans="32:32" x14ac:dyDescent="0.2">
      <c r="AF38221" s="679"/>
    </row>
    <row r="38222" spans="32:32" x14ac:dyDescent="0.2">
      <c r="AF38222" s="679"/>
    </row>
    <row r="38223" spans="32:32" x14ac:dyDescent="0.2">
      <c r="AF38223" s="679"/>
    </row>
    <row r="38224" spans="32:32" x14ac:dyDescent="0.2">
      <c r="AF38224" s="679"/>
    </row>
    <row r="38225" spans="32:32" x14ac:dyDescent="0.2">
      <c r="AF38225" s="679"/>
    </row>
    <row r="38226" spans="32:32" x14ac:dyDescent="0.2">
      <c r="AF38226" s="679"/>
    </row>
    <row r="38227" spans="32:32" x14ac:dyDescent="0.2">
      <c r="AF38227" s="679"/>
    </row>
    <row r="38228" spans="32:32" x14ac:dyDescent="0.2">
      <c r="AF38228" s="679"/>
    </row>
    <row r="38229" spans="32:32" x14ac:dyDescent="0.2">
      <c r="AF38229" s="679"/>
    </row>
    <row r="38230" spans="32:32" x14ac:dyDescent="0.2">
      <c r="AF38230" s="679"/>
    </row>
    <row r="38231" spans="32:32" x14ac:dyDescent="0.2">
      <c r="AF38231" s="679"/>
    </row>
    <row r="38232" spans="32:32" x14ac:dyDescent="0.2">
      <c r="AF38232" s="679"/>
    </row>
    <row r="38233" spans="32:32" x14ac:dyDescent="0.2">
      <c r="AF38233" s="679"/>
    </row>
    <row r="38234" spans="32:32" x14ac:dyDescent="0.2">
      <c r="AF38234" s="679"/>
    </row>
    <row r="38235" spans="32:32" x14ac:dyDescent="0.2">
      <c r="AF38235" s="679"/>
    </row>
    <row r="38236" spans="32:32" x14ac:dyDescent="0.2">
      <c r="AF38236" s="679"/>
    </row>
    <row r="38237" spans="32:32" x14ac:dyDescent="0.2">
      <c r="AF38237" s="679"/>
    </row>
    <row r="38238" spans="32:32" x14ac:dyDescent="0.2">
      <c r="AF38238" s="679"/>
    </row>
    <row r="38239" spans="32:32" x14ac:dyDescent="0.2">
      <c r="AF38239" s="679"/>
    </row>
    <row r="38240" spans="32:32" x14ac:dyDescent="0.2">
      <c r="AF38240" s="679"/>
    </row>
    <row r="38241" spans="32:32" x14ac:dyDescent="0.2">
      <c r="AF38241" s="679"/>
    </row>
    <row r="38242" spans="32:32" x14ac:dyDescent="0.2">
      <c r="AF38242" s="679"/>
    </row>
    <row r="38243" spans="32:32" x14ac:dyDescent="0.2">
      <c r="AF38243" s="679"/>
    </row>
    <row r="38244" spans="32:32" x14ac:dyDescent="0.2">
      <c r="AF38244" s="679"/>
    </row>
    <row r="38245" spans="32:32" x14ac:dyDescent="0.2">
      <c r="AF38245" s="679"/>
    </row>
    <row r="38246" spans="32:32" x14ac:dyDescent="0.2">
      <c r="AF38246" s="679"/>
    </row>
    <row r="38247" spans="32:32" x14ac:dyDescent="0.2">
      <c r="AF38247" s="679"/>
    </row>
    <row r="38248" spans="32:32" x14ac:dyDescent="0.2">
      <c r="AF38248" s="679"/>
    </row>
    <row r="38249" spans="32:32" x14ac:dyDescent="0.2">
      <c r="AF38249" s="679"/>
    </row>
    <row r="38250" spans="32:32" x14ac:dyDescent="0.2">
      <c r="AF38250" s="679"/>
    </row>
    <row r="38251" spans="32:32" x14ac:dyDescent="0.2">
      <c r="AF38251" s="679"/>
    </row>
    <row r="38252" spans="32:32" x14ac:dyDescent="0.2">
      <c r="AF38252" s="679"/>
    </row>
    <row r="38253" spans="32:32" x14ac:dyDescent="0.2">
      <c r="AF38253" s="679"/>
    </row>
    <row r="38254" spans="32:32" x14ac:dyDescent="0.2">
      <c r="AF38254" s="679"/>
    </row>
    <row r="38255" spans="32:32" x14ac:dyDescent="0.2">
      <c r="AF38255" s="679"/>
    </row>
    <row r="38256" spans="32:32" x14ac:dyDescent="0.2">
      <c r="AF38256" s="679"/>
    </row>
    <row r="38257" spans="32:32" x14ac:dyDescent="0.2">
      <c r="AF38257" s="679"/>
    </row>
    <row r="38258" spans="32:32" x14ac:dyDescent="0.2">
      <c r="AF38258" s="679"/>
    </row>
    <row r="38259" spans="32:32" x14ac:dyDescent="0.2">
      <c r="AF38259" s="679"/>
    </row>
    <row r="38260" spans="32:32" x14ac:dyDescent="0.2">
      <c r="AF38260" s="679"/>
    </row>
    <row r="38261" spans="32:32" x14ac:dyDescent="0.2">
      <c r="AF38261" s="679"/>
    </row>
    <row r="38262" spans="32:32" x14ac:dyDescent="0.2">
      <c r="AF38262" s="679"/>
    </row>
    <row r="38263" spans="32:32" x14ac:dyDescent="0.2">
      <c r="AF38263" s="679"/>
    </row>
    <row r="38264" spans="32:32" x14ac:dyDescent="0.2">
      <c r="AF38264" s="679"/>
    </row>
    <row r="38265" spans="32:32" x14ac:dyDescent="0.2">
      <c r="AF38265" s="679"/>
    </row>
    <row r="38266" spans="32:32" x14ac:dyDescent="0.2">
      <c r="AF38266" s="679"/>
    </row>
    <row r="38267" spans="32:32" x14ac:dyDescent="0.2">
      <c r="AF38267" s="679"/>
    </row>
    <row r="38268" spans="32:32" x14ac:dyDescent="0.2">
      <c r="AF38268" s="679"/>
    </row>
    <row r="38269" spans="32:32" x14ac:dyDescent="0.2">
      <c r="AF38269" s="679"/>
    </row>
    <row r="38270" spans="32:32" x14ac:dyDescent="0.2">
      <c r="AF38270" s="679"/>
    </row>
    <row r="38271" spans="32:32" x14ac:dyDescent="0.2">
      <c r="AF38271" s="679"/>
    </row>
    <row r="38272" spans="32:32" x14ac:dyDescent="0.2">
      <c r="AF38272" s="679"/>
    </row>
    <row r="38273" spans="32:32" x14ac:dyDescent="0.2">
      <c r="AF38273" s="679"/>
    </row>
    <row r="38274" spans="32:32" x14ac:dyDescent="0.2">
      <c r="AF38274" s="679"/>
    </row>
    <row r="38275" spans="32:32" x14ac:dyDescent="0.2">
      <c r="AF38275" s="679"/>
    </row>
    <row r="38276" spans="32:32" x14ac:dyDescent="0.2">
      <c r="AF38276" s="679"/>
    </row>
    <row r="38277" spans="32:32" x14ac:dyDescent="0.2">
      <c r="AF38277" s="679"/>
    </row>
    <row r="38278" spans="32:32" x14ac:dyDescent="0.2">
      <c r="AF38278" s="679"/>
    </row>
    <row r="38279" spans="32:32" x14ac:dyDescent="0.2">
      <c r="AF38279" s="679"/>
    </row>
    <row r="38280" spans="32:32" x14ac:dyDescent="0.2">
      <c r="AF38280" s="679"/>
    </row>
    <row r="38281" spans="32:32" x14ac:dyDescent="0.2">
      <c r="AF38281" s="679"/>
    </row>
    <row r="38282" spans="32:32" x14ac:dyDescent="0.2">
      <c r="AF38282" s="679"/>
    </row>
    <row r="38283" spans="32:32" x14ac:dyDescent="0.2">
      <c r="AF38283" s="679"/>
    </row>
    <row r="38284" spans="32:32" x14ac:dyDescent="0.2">
      <c r="AF38284" s="679"/>
    </row>
    <row r="38285" spans="32:32" x14ac:dyDescent="0.2">
      <c r="AF38285" s="679"/>
    </row>
    <row r="38286" spans="32:32" x14ac:dyDescent="0.2">
      <c r="AF38286" s="679"/>
    </row>
    <row r="38287" spans="32:32" x14ac:dyDescent="0.2">
      <c r="AF38287" s="679"/>
    </row>
    <row r="38288" spans="32:32" x14ac:dyDescent="0.2">
      <c r="AF38288" s="679"/>
    </row>
    <row r="38289" spans="32:32" x14ac:dyDescent="0.2">
      <c r="AF38289" s="679"/>
    </row>
    <row r="38290" spans="32:32" x14ac:dyDescent="0.2">
      <c r="AF38290" s="679"/>
    </row>
    <row r="38291" spans="32:32" x14ac:dyDescent="0.2">
      <c r="AF38291" s="679"/>
    </row>
    <row r="38292" spans="32:32" x14ac:dyDescent="0.2">
      <c r="AF38292" s="679"/>
    </row>
    <row r="38293" spans="32:32" x14ac:dyDescent="0.2">
      <c r="AF38293" s="679"/>
    </row>
    <row r="38294" spans="32:32" x14ac:dyDescent="0.2">
      <c r="AF38294" s="679"/>
    </row>
    <row r="38295" spans="32:32" x14ac:dyDescent="0.2">
      <c r="AF38295" s="679"/>
    </row>
    <row r="38296" spans="32:32" x14ac:dyDescent="0.2">
      <c r="AF38296" s="679"/>
    </row>
    <row r="38297" spans="32:32" x14ac:dyDescent="0.2">
      <c r="AF38297" s="679"/>
    </row>
    <row r="38298" spans="32:32" x14ac:dyDescent="0.2">
      <c r="AF38298" s="679"/>
    </row>
    <row r="38299" spans="32:32" x14ac:dyDescent="0.2">
      <c r="AF38299" s="679"/>
    </row>
    <row r="38300" spans="32:32" x14ac:dyDescent="0.2">
      <c r="AF38300" s="679"/>
    </row>
    <row r="38301" spans="32:32" x14ac:dyDescent="0.2">
      <c r="AF38301" s="679"/>
    </row>
    <row r="38302" spans="32:32" x14ac:dyDescent="0.2">
      <c r="AF38302" s="679"/>
    </row>
    <row r="38303" spans="32:32" x14ac:dyDescent="0.2">
      <c r="AF38303" s="679"/>
    </row>
    <row r="38304" spans="32:32" x14ac:dyDescent="0.2">
      <c r="AF38304" s="679"/>
    </row>
    <row r="38305" spans="32:32" x14ac:dyDescent="0.2">
      <c r="AF38305" s="679"/>
    </row>
    <row r="38306" spans="32:32" x14ac:dyDescent="0.2">
      <c r="AF38306" s="679"/>
    </row>
    <row r="38307" spans="32:32" x14ac:dyDescent="0.2">
      <c r="AF38307" s="679"/>
    </row>
    <row r="38308" spans="32:32" x14ac:dyDescent="0.2">
      <c r="AF38308" s="679"/>
    </row>
    <row r="38309" spans="32:32" x14ac:dyDescent="0.2">
      <c r="AF38309" s="679"/>
    </row>
    <row r="38310" spans="32:32" x14ac:dyDescent="0.2">
      <c r="AF38310" s="679"/>
    </row>
    <row r="38311" spans="32:32" x14ac:dyDescent="0.2">
      <c r="AF38311" s="679"/>
    </row>
    <row r="38312" spans="32:32" x14ac:dyDescent="0.2">
      <c r="AF38312" s="679"/>
    </row>
    <row r="38313" spans="32:32" x14ac:dyDescent="0.2">
      <c r="AF38313" s="679"/>
    </row>
    <row r="38314" spans="32:32" x14ac:dyDescent="0.2">
      <c r="AF38314" s="679"/>
    </row>
    <row r="38315" spans="32:32" x14ac:dyDescent="0.2">
      <c r="AF38315" s="679"/>
    </row>
    <row r="38316" spans="32:32" x14ac:dyDescent="0.2">
      <c r="AF38316" s="679"/>
    </row>
    <row r="38317" spans="32:32" x14ac:dyDescent="0.2">
      <c r="AF38317" s="679"/>
    </row>
    <row r="38318" spans="32:32" x14ac:dyDescent="0.2">
      <c r="AF38318" s="679"/>
    </row>
    <row r="38319" spans="32:32" x14ac:dyDescent="0.2">
      <c r="AF38319" s="679"/>
    </row>
    <row r="38320" spans="32:32" x14ac:dyDescent="0.2">
      <c r="AF38320" s="679"/>
    </row>
    <row r="38321" spans="32:32" x14ac:dyDescent="0.2">
      <c r="AF38321" s="679"/>
    </row>
    <row r="38322" spans="32:32" x14ac:dyDescent="0.2">
      <c r="AF38322" s="679"/>
    </row>
    <row r="38323" spans="32:32" x14ac:dyDescent="0.2">
      <c r="AF38323" s="679"/>
    </row>
    <row r="38324" spans="32:32" x14ac:dyDescent="0.2">
      <c r="AF38324" s="679"/>
    </row>
    <row r="38325" spans="32:32" x14ac:dyDescent="0.2">
      <c r="AF38325" s="679"/>
    </row>
    <row r="38326" spans="32:32" x14ac:dyDescent="0.2">
      <c r="AF38326" s="679"/>
    </row>
    <row r="38327" spans="32:32" x14ac:dyDescent="0.2">
      <c r="AF38327" s="679"/>
    </row>
    <row r="38328" spans="32:32" x14ac:dyDescent="0.2">
      <c r="AF38328" s="679"/>
    </row>
    <row r="38329" spans="32:32" x14ac:dyDescent="0.2">
      <c r="AF38329" s="679"/>
    </row>
    <row r="38330" spans="32:32" x14ac:dyDescent="0.2">
      <c r="AF38330" s="679"/>
    </row>
    <row r="38331" spans="32:32" x14ac:dyDescent="0.2">
      <c r="AF38331" s="679"/>
    </row>
    <row r="38332" spans="32:32" x14ac:dyDescent="0.2">
      <c r="AF38332" s="679"/>
    </row>
    <row r="38333" spans="32:32" x14ac:dyDescent="0.2">
      <c r="AF38333" s="679"/>
    </row>
    <row r="38334" spans="32:32" x14ac:dyDescent="0.2">
      <c r="AF38334" s="679"/>
    </row>
    <row r="38335" spans="32:32" x14ac:dyDescent="0.2">
      <c r="AF38335" s="679"/>
    </row>
    <row r="38336" spans="32:32" x14ac:dyDescent="0.2">
      <c r="AF38336" s="679"/>
    </row>
    <row r="38337" spans="32:32" x14ac:dyDescent="0.2">
      <c r="AF38337" s="679"/>
    </row>
    <row r="38338" spans="32:32" x14ac:dyDescent="0.2">
      <c r="AF38338" s="679"/>
    </row>
    <row r="38339" spans="32:32" x14ac:dyDescent="0.2">
      <c r="AF38339" s="679"/>
    </row>
    <row r="38340" spans="32:32" x14ac:dyDescent="0.2">
      <c r="AF38340" s="679"/>
    </row>
    <row r="38341" spans="32:32" x14ac:dyDescent="0.2">
      <c r="AF38341" s="679"/>
    </row>
    <row r="38342" spans="32:32" x14ac:dyDescent="0.2">
      <c r="AF38342" s="679"/>
    </row>
    <row r="38343" spans="32:32" x14ac:dyDescent="0.2">
      <c r="AF38343" s="679"/>
    </row>
    <row r="38344" spans="32:32" x14ac:dyDescent="0.2">
      <c r="AF38344" s="679"/>
    </row>
    <row r="38345" spans="32:32" x14ac:dyDescent="0.2">
      <c r="AF38345" s="679"/>
    </row>
    <row r="38346" spans="32:32" x14ac:dyDescent="0.2">
      <c r="AF38346" s="679"/>
    </row>
    <row r="38347" spans="32:32" x14ac:dyDescent="0.2">
      <c r="AF38347" s="679"/>
    </row>
    <row r="38348" spans="32:32" x14ac:dyDescent="0.2">
      <c r="AF38348" s="679"/>
    </row>
    <row r="38349" spans="32:32" x14ac:dyDescent="0.2">
      <c r="AF38349" s="679"/>
    </row>
    <row r="38350" spans="32:32" x14ac:dyDescent="0.2">
      <c r="AF38350" s="679"/>
    </row>
    <row r="38351" spans="32:32" x14ac:dyDescent="0.2">
      <c r="AF38351" s="679"/>
    </row>
    <row r="38352" spans="32:32" x14ac:dyDescent="0.2">
      <c r="AF38352" s="679"/>
    </row>
    <row r="38353" spans="32:32" x14ac:dyDescent="0.2">
      <c r="AF38353" s="679"/>
    </row>
    <row r="38354" spans="32:32" x14ac:dyDescent="0.2">
      <c r="AF38354" s="679"/>
    </row>
    <row r="38355" spans="32:32" x14ac:dyDescent="0.2">
      <c r="AF38355" s="679"/>
    </row>
    <row r="38356" spans="32:32" x14ac:dyDescent="0.2">
      <c r="AF38356" s="679"/>
    </row>
    <row r="38357" spans="32:32" x14ac:dyDescent="0.2">
      <c r="AF38357" s="679"/>
    </row>
    <row r="38358" spans="32:32" x14ac:dyDescent="0.2">
      <c r="AF38358" s="679"/>
    </row>
    <row r="38359" spans="32:32" x14ac:dyDescent="0.2">
      <c r="AF38359" s="679"/>
    </row>
    <row r="38360" spans="32:32" x14ac:dyDescent="0.2">
      <c r="AF38360" s="679"/>
    </row>
    <row r="38361" spans="32:32" x14ac:dyDescent="0.2">
      <c r="AF38361" s="679"/>
    </row>
    <row r="38362" spans="32:32" x14ac:dyDescent="0.2">
      <c r="AF38362" s="679"/>
    </row>
    <row r="38363" spans="32:32" x14ac:dyDescent="0.2">
      <c r="AF38363" s="679"/>
    </row>
    <row r="38364" spans="32:32" x14ac:dyDescent="0.2">
      <c r="AF38364" s="679"/>
    </row>
    <row r="38365" spans="32:32" x14ac:dyDescent="0.2">
      <c r="AF38365" s="679"/>
    </row>
    <row r="38366" spans="32:32" x14ac:dyDescent="0.2">
      <c r="AF38366" s="679"/>
    </row>
    <row r="38367" spans="32:32" x14ac:dyDescent="0.2">
      <c r="AF38367" s="679"/>
    </row>
    <row r="38368" spans="32:32" x14ac:dyDescent="0.2">
      <c r="AF38368" s="679"/>
    </row>
    <row r="38369" spans="32:32" x14ac:dyDescent="0.2">
      <c r="AF38369" s="679"/>
    </row>
    <row r="38370" spans="32:32" x14ac:dyDescent="0.2">
      <c r="AF38370" s="679"/>
    </row>
    <row r="38371" spans="32:32" x14ac:dyDescent="0.2">
      <c r="AF38371" s="679"/>
    </row>
    <row r="38372" spans="32:32" x14ac:dyDescent="0.2">
      <c r="AF38372" s="679"/>
    </row>
    <row r="38373" spans="32:32" x14ac:dyDescent="0.2">
      <c r="AF38373" s="679"/>
    </row>
    <row r="38374" spans="32:32" x14ac:dyDescent="0.2">
      <c r="AF38374" s="679"/>
    </row>
    <row r="38375" spans="32:32" x14ac:dyDescent="0.2">
      <c r="AF38375" s="679"/>
    </row>
    <row r="38376" spans="32:32" x14ac:dyDescent="0.2">
      <c r="AF38376" s="679"/>
    </row>
    <row r="38377" spans="32:32" x14ac:dyDescent="0.2">
      <c r="AF38377" s="679"/>
    </row>
    <row r="38378" spans="32:32" x14ac:dyDescent="0.2">
      <c r="AF38378" s="679"/>
    </row>
    <row r="38379" spans="32:32" x14ac:dyDescent="0.2">
      <c r="AF38379" s="679"/>
    </row>
    <row r="38380" spans="32:32" x14ac:dyDescent="0.2">
      <c r="AF38380" s="679"/>
    </row>
    <row r="38381" spans="32:32" x14ac:dyDescent="0.2">
      <c r="AF38381" s="679"/>
    </row>
    <row r="38382" spans="32:32" x14ac:dyDescent="0.2">
      <c r="AF38382" s="679"/>
    </row>
    <row r="38383" spans="32:32" x14ac:dyDescent="0.2">
      <c r="AF38383" s="679"/>
    </row>
    <row r="38384" spans="32:32" x14ac:dyDescent="0.2">
      <c r="AF38384" s="679"/>
    </row>
    <row r="38385" spans="32:32" x14ac:dyDescent="0.2">
      <c r="AF38385" s="679"/>
    </row>
    <row r="38386" spans="32:32" x14ac:dyDescent="0.2">
      <c r="AF38386" s="679"/>
    </row>
    <row r="38387" spans="32:32" x14ac:dyDescent="0.2">
      <c r="AF38387" s="679"/>
    </row>
    <row r="38388" spans="32:32" x14ac:dyDescent="0.2">
      <c r="AF38388" s="679"/>
    </row>
    <row r="38389" spans="32:32" x14ac:dyDescent="0.2">
      <c r="AF38389" s="679"/>
    </row>
    <row r="38390" spans="32:32" x14ac:dyDescent="0.2">
      <c r="AF38390" s="679"/>
    </row>
    <row r="38391" spans="32:32" x14ac:dyDescent="0.2">
      <c r="AF38391" s="679"/>
    </row>
    <row r="38392" spans="32:32" x14ac:dyDescent="0.2">
      <c r="AF38392" s="679"/>
    </row>
    <row r="38393" spans="32:32" x14ac:dyDescent="0.2">
      <c r="AF38393" s="679"/>
    </row>
    <row r="38394" spans="32:32" x14ac:dyDescent="0.2">
      <c r="AF38394" s="679"/>
    </row>
    <row r="38395" spans="32:32" x14ac:dyDescent="0.2">
      <c r="AF38395" s="679"/>
    </row>
    <row r="38396" spans="32:32" x14ac:dyDescent="0.2">
      <c r="AF38396" s="679"/>
    </row>
    <row r="38397" spans="32:32" x14ac:dyDescent="0.2">
      <c r="AF38397" s="679"/>
    </row>
    <row r="38398" spans="32:32" x14ac:dyDescent="0.2">
      <c r="AF38398" s="679"/>
    </row>
    <row r="38399" spans="32:32" x14ac:dyDescent="0.2">
      <c r="AF38399" s="679"/>
    </row>
    <row r="38400" spans="32:32" x14ac:dyDescent="0.2">
      <c r="AF38400" s="679"/>
    </row>
    <row r="38401" spans="32:32" x14ac:dyDescent="0.2">
      <c r="AF38401" s="679"/>
    </row>
    <row r="38402" spans="32:32" x14ac:dyDescent="0.2">
      <c r="AF38402" s="679"/>
    </row>
    <row r="38403" spans="32:32" x14ac:dyDescent="0.2">
      <c r="AF38403" s="679"/>
    </row>
    <row r="38404" spans="32:32" x14ac:dyDescent="0.2">
      <c r="AF38404" s="679"/>
    </row>
    <row r="38405" spans="32:32" x14ac:dyDescent="0.2">
      <c r="AF38405" s="679"/>
    </row>
    <row r="38406" spans="32:32" x14ac:dyDescent="0.2">
      <c r="AF38406" s="679"/>
    </row>
    <row r="38407" spans="32:32" x14ac:dyDescent="0.2">
      <c r="AF38407" s="679"/>
    </row>
    <row r="38408" spans="32:32" x14ac:dyDescent="0.2">
      <c r="AF38408" s="679"/>
    </row>
    <row r="38409" spans="32:32" x14ac:dyDescent="0.2">
      <c r="AF38409" s="679"/>
    </row>
    <row r="38410" spans="32:32" x14ac:dyDescent="0.2">
      <c r="AF38410" s="679"/>
    </row>
    <row r="38411" spans="32:32" x14ac:dyDescent="0.2">
      <c r="AF38411" s="679"/>
    </row>
    <row r="38412" spans="32:32" x14ac:dyDescent="0.2">
      <c r="AF38412" s="679"/>
    </row>
    <row r="38413" spans="32:32" x14ac:dyDescent="0.2">
      <c r="AF38413" s="679"/>
    </row>
    <row r="38414" spans="32:32" x14ac:dyDescent="0.2">
      <c r="AF38414" s="679"/>
    </row>
    <row r="38415" spans="32:32" x14ac:dyDescent="0.2">
      <c r="AF38415" s="679"/>
    </row>
    <row r="38416" spans="32:32" x14ac:dyDescent="0.2">
      <c r="AF38416" s="679"/>
    </row>
    <row r="38417" spans="32:32" x14ac:dyDescent="0.2">
      <c r="AF38417" s="679"/>
    </row>
    <row r="38418" spans="32:32" x14ac:dyDescent="0.2">
      <c r="AF38418" s="679"/>
    </row>
    <row r="38419" spans="32:32" x14ac:dyDescent="0.2">
      <c r="AF38419" s="679"/>
    </row>
    <row r="38420" spans="32:32" x14ac:dyDescent="0.2">
      <c r="AF38420" s="679"/>
    </row>
    <row r="38421" spans="32:32" x14ac:dyDescent="0.2">
      <c r="AF38421" s="679"/>
    </row>
    <row r="38422" spans="32:32" x14ac:dyDescent="0.2">
      <c r="AF38422" s="679"/>
    </row>
    <row r="38423" spans="32:32" x14ac:dyDescent="0.2">
      <c r="AF38423" s="679"/>
    </row>
    <row r="38424" spans="32:32" x14ac:dyDescent="0.2">
      <c r="AF38424" s="679"/>
    </row>
    <row r="38425" spans="32:32" x14ac:dyDescent="0.2">
      <c r="AF38425" s="679"/>
    </row>
    <row r="38426" spans="32:32" x14ac:dyDescent="0.2">
      <c r="AF38426" s="679"/>
    </row>
    <row r="38427" spans="32:32" x14ac:dyDescent="0.2">
      <c r="AF38427" s="679"/>
    </row>
    <row r="38428" spans="32:32" x14ac:dyDescent="0.2">
      <c r="AF38428" s="679"/>
    </row>
    <row r="38429" spans="32:32" x14ac:dyDescent="0.2">
      <c r="AF38429" s="679"/>
    </row>
    <row r="38430" spans="32:32" x14ac:dyDescent="0.2">
      <c r="AF38430" s="679"/>
    </row>
    <row r="38431" spans="32:32" x14ac:dyDescent="0.2">
      <c r="AF38431" s="679"/>
    </row>
    <row r="38432" spans="32:32" x14ac:dyDescent="0.2">
      <c r="AF38432" s="679"/>
    </row>
    <row r="38433" spans="32:32" x14ac:dyDescent="0.2">
      <c r="AF38433" s="679"/>
    </row>
    <row r="38434" spans="32:32" x14ac:dyDescent="0.2">
      <c r="AF38434" s="679"/>
    </row>
    <row r="38435" spans="32:32" x14ac:dyDescent="0.2">
      <c r="AF38435" s="679"/>
    </row>
    <row r="38436" spans="32:32" x14ac:dyDescent="0.2">
      <c r="AF38436" s="679"/>
    </row>
    <row r="38437" spans="32:32" x14ac:dyDescent="0.2">
      <c r="AF38437" s="679"/>
    </row>
    <row r="38438" spans="32:32" x14ac:dyDescent="0.2">
      <c r="AF38438" s="679"/>
    </row>
    <row r="38439" spans="32:32" x14ac:dyDescent="0.2">
      <c r="AF38439" s="679"/>
    </row>
    <row r="38440" spans="32:32" x14ac:dyDescent="0.2">
      <c r="AF38440" s="679"/>
    </row>
    <row r="38441" spans="32:32" x14ac:dyDescent="0.2">
      <c r="AF38441" s="679"/>
    </row>
    <row r="38442" spans="32:32" x14ac:dyDescent="0.2">
      <c r="AF38442" s="679"/>
    </row>
    <row r="38443" spans="32:32" x14ac:dyDescent="0.2">
      <c r="AF38443" s="679"/>
    </row>
    <row r="38444" spans="32:32" x14ac:dyDescent="0.2">
      <c r="AF38444" s="679"/>
    </row>
    <row r="38445" spans="32:32" x14ac:dyDescent="0.2">
      <c r="AF38445" s="679"/>
    </row>
    <row r="38446" spans="32:32" x14ac:dyDescent="0.2">
      <c r="AF38446" s="679"/>
    </row>
    <row r="38447" spans="32:32" x14ac:dyDescent="0.2">
      <c r="AF38447" s="679"/>
    </row>
    <row r="38448" spans="32:32" x14ac:dyDescent="0.2">
      <c r="AF38448" s="679"/>
    </row>
    <row r="38449" spans="32:32" x14ac:dyDescent="0.2">
      <c r="AF38449" s="679"/>
    </row>
    <row r="38450" spans="32:32" x14ac:dyDescent="0.2">
      <c r="AF38450" s="679"/>
    </row>
    <row r="38451" spans="32:32" x14ac:dyDescent="0.2">
      <c r="AF38451" s="679"/>
    </row>
    <row r="38452" spans="32:32" x14ac:dyDescent="0.2">
      <c r="AF38452" s="679"/>
    </row>
    <row r="38453" spans="32:32" x14ac:dyDescent="0.2">
      <c r="AF38453" s="679"/>
    </row>
    <row r="38454" spans="32:32" x14ac:dyDescent="0.2">
      <c r="AF38454" s="679"/>
    </row>
    <row r="38455" spans="32:32" x14ac:dyDescent="0.2">
      <c r="AF38455" s="679"/>
    </row>
    <row r="38456" spans="32:32" x14ac:dyDescent="0.2">
      <c r="AF38456" s="679"/>
    </row>
    <row r="38457" spans="32:32" x14ac:dyDescent="0.2">
      <c r="AF38457" s="679"/>
    </row>
    <row r="38458" spans="32:32" x14ac:dyDescent="0.2">
      <c r="AF38458" s="679"/>
    </row>
    <row r="38459" spans="32:32" x14ac:dyDescent="0.2">
      <c r="AF38459" s="679"/>
    </row>
    <row r="38460" spans="32:32" x14ac:dyDescent="0.2">
      <c r="AF38460" s="679"/>
    </row>
    <row r="38461" spans="32:32" x14ac:dyDescent="0.2">
      <c r="AF38461" s="679"/>
    </row>
    <row r="38462" spans="32:32" x14ac:dyDescent="0.2">
      <c r="AF38462" s="679"/>
    </row>
    <row r="38463" spans="32:32" x14ac:dyDescent="0.2">
      <c r="AF38463" s="679"/>
    </row>
    <row r="38464" spans="32:32" x14ac:dyDescent="0.2">
      <c r="AF38464" s="679"/>
    </row>
    <row r="38465" spans="32:32" x14ac:dyDescent="0.2">
      <c r="AF38465" s="679"/>
    </row>
    <row r="38466" spans="32:32" x14ac:dyDescent="0.2">
      <c r="AF38466" s="679"/>
    </row>
    <row r="38467" spans="32:32" x14ac:dyDescent="0.2">
      <c r="AF38467" s="679"/>
    </row>
    <row r="38468" spans="32:32" x14ac:dyDescent="0.2">
      <c r="AF38468" s="679"/>
    </row>
    <row r="38469" spans="32:32" x14ac:dyDescent="0.2">
      <c r="AF38469" s="679"/>
    </row>
    <row r="38470" spans="32:32" x14ac:dyDescent="0.2">
      <c r="AF38470" s="679"/>
    </row>
    <row r="38471" spans="32:32" x14ac:dyDescent="0.2">
      <c r="AF38471" s="679"/>
    </row>
    <row r="38472" spans="32:32" x14ac:dyDescent="0.2">
      <c r="AF38472" s="679"/>
    </row>
    <row r="38473" spans="32:32" x14ac:dyDescent="0.2">
      <c r="AF38473" s="679"/>
    </row>
    <row r="38474" spans="32:32" x14ac:dyDescent="0.2">
      <c r="AF38474" s="679"/>
    </row>
    <row r="38475" spans="32:32" x14ac:dyDescent="0.2">
      <c r="AF38475" s="679"/>
    </row>
    <row r="38476" spans="32:32" x14ac:dyDescent="0.2">
      <c r="AF38476" s="679"/>
    </row>
    <row r="38477" spans="32:32" x14ac:dyDescent="0.2">
      <c r="AF38477" s="679"/>
    </row>
    <row r="38478" spans="32:32" x14ac:dyDescent="0.2">
      <c r="AF38478" s="679"/>
    </row>
    <row r="38479" spans="32:32" x14ac:dyDescent="0.2">
      <c r="AF38479" s="679"/>
    </row>
    <row r="38480" spans="32:32" x14ac:dyDescent="0.2">
      <c r="AF38480" s="679"/>
    </row>
    <row r="38481" spans="32:32" x14ac:dyDescent="0.2">
      <c r="AF38481" s="679"/>
    </row>
    <row r="38482" spans="32:32" x14ac:dyDescent="0.2">
      <c r="AF38482" s="679"/>
    </row>
    <row r="38483" spans="32:32" x14ac:dyDescent="0.2">
      <c r="AF38483" s="679"/>
    </row>
    <row r="38484" spans="32:32" x14ac:dyDescent="0.2">
      <c r="AF38484" s="679"/>
    </row>
    <row r="38485" spans="32:32" x14ac:dyDescent="0.2">
      <c r="AF38485" s="679"/>
    </row>
    <row r="38486" spans="32:32" x14ac:dyDescent="0.2">
      <c r="AF38486" s="679"/>
    </row>
    <row r="38487" spans="32:32" x14ac:dyDescent="0.2">
      <c r="AF38487" s="679"/>
    </row>
    <row r="38488" spans="32:32" x14ac:dyDescent="0.2">
      <c r="AF38488" s="679"/>
    </row>
    <row r="38489" spans="32:32" x14ac:dyDescent="0.2">
      <c r="AF38489" s="679"/>
    </row>
    <row r="38490" spans="32:32" x14ac:dyDescent="0.2">
      <c r="AF38490" s="679"/>
    </row>
    <row r="38491" spans="32:32" x14ac:dyDescent="0.2">
      <c r="AF38491" s="679"/>
    </row>
    <row r="38492" spans="32:32" x14ac:dyDescent="0.2">
      <c r="AF38492" s="679"/>
    </row>
    <row r="38493" spans="32:32" x14ac:dyDescent="0.2">
      <c r="AF38493" s="679"/>
    </row>
    <row r="38494" spans="32:32" x14ac:dyDescent="0.2">
      <c r="AF38494" s="679"/>
    </row>
    <row r="38495" spans="32:32" x14ac:dyDescent="0.2">
      <c r="AF38495" s="679"/>
    </row>
    <row r="38496" spans="32:32" x14ac:dyDescent="0.2">
      <c r="AF38496" s="679"/>
    </row>
    <row r="38497" spans="32:32" x14ac:dyDescent="0.2">
      <c r="AF38497" s="679"/>
    </row>
    <row r="38498" spans="32:32" x14ac:dyDescent="0.2">
      <c r="AF38498" s="679"/>
    </row>
    <row r="38499" spans="32:32" x14ac:dyDescent="0.2">
      <c r="AF38499" s="679"/>
    </row>
    <row r="38500" spans="32:32" x14ac:dyDescent="0.2">
      <c r="AF38500" s="679"/>
    </row>
    <row r="38501" spans="32:32" x14ac:dyDescent="0.2">
      <c r="AF38501" s="679"/>
    </row>
    <row r="38502" spans="32:32" x14ac:dyDescent="0.2">
      <c r="AF38502" s="679"/>
    </row>
    <row r="38503" spans="32:32" x14ac:dyDescent="0.2">
      <c r="AF38503" s="679"/>
    </row>
    <row r="38504" spans="32:32" x14ac:dyDescent="0.2">
      <c r="AF38504" s="679"/>
    </row>
    <row r="38505" spans="32:32" x14ac:dyDescent="0.2">
      <c r="AF38505" s="679"/>
    </row>
    <row r="38506" spans="32:32" x14ac:dyDescent="0.2">
      <c r="AF38506" s="679"/>
    </row>
    <row r="38507" spans="32:32" x14ac:dyDescent="0.2">
      <c r="AF38507" s="679"/>
    </row>
    <row r="38508" spans="32:32" x14ac:dyDescent="0.2">
      <c r="AF38508" s="679"/>
    </row>
    <row r="38509" spans="32:32" x14ac:dyDescent="0.2">
      <c r="AF38509" s="679"/>
    </row>
    <row r="38510" spans="32:32" x14ac:dyDescent="0.2">
      <c r="AF38510" s="679"/>
    </row>
    <row r="38511" spans="32:32" x14ac:dyDescent="0.2">
      <c r="AF38511" s="679"/>
    </row>
    <row r="38512" spans="32:32" x14ac:dyDescent="0.2">
      <c r="AF38512" s="679"/>
    </row>
    <row r="38513" spans="32:32" x14ac:dyDescent="0.2">
      <c r="AF38513" s="679"/>
    </row>
    <row r="38514" spans="32:32" x14ac:dyDescent="0.2">
      <c r="AF38514" s="679"/>
    </row>
    <row r="38515" spans="32:32" x14ac:dyDescent="0.2">
      <c r="AF38515" s="679"/>
    </row>
    <row r="38516" spans="32:32" x14ac:dyDescent="0.2">
      <c r="AF38516" s="679"/>
    </row>
    <row r="38517" spans="32:32" x14ac:dyDescent="0.2">
      <c r="AF38517" s="679"/>
    </row>
    <row r="38518" spans="32:32" x14ac:dyDescent="0.2">
      <c r="AF38518" s="679"/>
    </row>
    <row r="38519" spans="32:32" x14ac:dyDescent="0.2">
      <c r="AF38519" s="679"/>
    </row>
    <row r="38520" spans="32:32" x14ac:dyDescent="0.2">
      <c r="AF38520" s="679"/>
    </row>
    <row r="38521" spans="32:32" x14ac:dyDescent="0.2">
      <c r="AF38521" s="679"/>
    </row>
    <row r="38522" spans="32:32" x14ac:dyDescent="0.2">
      <c r="AF38522" s="679"/>
    </row>
    <row r="38523" spans="32:32" x14ac:dyDescent="0.2">
      <c r="AF38523" s="679"/>
    </row>
    <row r="38524" spans="32:32" x14ac:dyDescent="0.2">
      <c r="AF38524" s="679"/>
    </row>
    <row r="38525" spans="32:32" x14ac:dyDescent="0.2">
      <c r="AF38525" s="679"/>
    </row>
    <row r="38526" spans="32:32" x14ac:dyDescent="0.2">
      <c r="AF38526" s="679"/>
    </row>
    <row r="38527" spans="32:32" x14ac:dyDescent="0.2">
      <c r="AF38527" s="679"/>
    </row>
    <row r="38528" spans="32:32" x14ac:dyDescent="0.2">
      <c r="AF38528" s="679"/>
    </row>
    <row r="38529" spans="32:32" x14ac:dyDescent="0.2">
      <c r="AF38529" s="679"/>
    </row>
    <row r="38530" spans="32:32" x14ac:dyDescent="0.2">
      <c r="AF38530" s="679"/>
    </row>
    <row r="38531" spans="32:32" x14ac:dyDescent="0.2">
      <c r="AF38531" s="679"/>
    </row>
    <row r="38532" spans="32:32" x14ac:dyDescent="0.2">
      <c r="AF38532" s="679"/>
    </row>
    <row r="38533" spans="32:32" x14ac:dyDescent="0.2">
      <c r="AF38533" s="679"/>
    </row>
    <row r="38534" spans="32:32" x14ac:dyDescent="0.2">
      <c r="AF38534" s="679"/>
    </row>
    <row r="38535" spans="32:32" x14ac:dyDescent="0.2">
      <c r="AF38535" s="679"/>
    </row>
    <row r="38536" spans="32:32" x14ac:dyDescent="0.2">
      <c r="AF38536" s="679"/>
    </row>
    <row r="38537" spans="32:32" x14ac:dyDescent="0.2">
      <c r="AF38537" s="679"/>
    </row>
    <row r="38538" spans="32:32" x14ac:dyDescent="0.2">
      <c r="AF38538" s="679"/>
    </row>
    <row r="38539" spans="32:32" x14ac:dyDescent="0.2">
      <c r="AF38539" s="679"/>
    </row>
    <row r="38540" spans="32:32" x14ac:dyDescent="0.2">
      <c r="AF38540" s="679"/>
    </row>
    <row r="38541" spans="32:32" x14ac:dyDescent="0.2">
      <c r="AF38541" s="679"/>
    </row>
    <row r="38542" spans="32:32" x14ac:dyDescent="0.2">
      <c r="AF38542" s="679"/>
    </row>
    <row r="38543" spans="32:32" x14ac:dyDescent="0.2">
      <c r="AF38543" s="679"/>
    </row>
    <row r="38544" spans="32:32" x14ac:dyDescent="0.2">
      <c r="AF38544" s="679"/>
    </row>
    <row r="38545" spans="32:32" x14ac:dyDescent="0.2">
      <c r="AF38545" s="679"/>
    </row>
    <row r="38546" spans="32:32" x14ac:dyDescent="0.2">
      <c r="AF38546" s="679"/>
    </row>
    <row r="38547" spans="32:32" x14ac:dyDescent="0.2">
      <c r="AF38547" s="679"/>
    </row>
    <row r="38548" spans="32:32" x14ac:dyDescent="0.2">
      <c r="AF38548" s="679"/>
    </row>
    <row r="38549" spans="32:32" x14ac:dyDescent="0.2">
      <c r="AF38549" s="679"/>
    </row>
    <row r="38550" spans="32:32" x14ac:dyDescent="0.2">
      <c r="AF38550" s="679"/>
    </row>
    <row r="38551" spans="32:32" x14ac:dyDescent="0.2">
      <c r="AF38551" s="679"/>
    </row>
    <row r="38552" spans="32:32" x14ac:dyDescent="0.2">
      <c r="AF38552" s="679"/>
    </row>
    <row r="38553" spans="32:32" x14ac:dyDescent="0.2">
      <c r="AF38553" s="679"/>
    </row>
    <row r="38554" spans="32:32" x14ac:dyDescent="0.2">
      <c r="AF38554" s="679"/>
    </row>
    <row r="38555" spans="32:32" x14ac:dyDescent="0.2">
      <c r="AF38555" s="679"/>
    </row>
    <row r="38556" spans="32:32" x14ac:dyDescent="0.2">
      <c r="AF38556" s="679"/>
    </row>
    <row r="38557" spans="32:32" x14ac:dyDescent="0.2">
      <c r="AF38557" s="679"/>
    </row>
    <row r="38558" spans="32:32" x14ac:dyDescent="0.2">
      <c r="AF38558" s="679"/>
    </row>
    <row r="38559" spans="32:32" x14ac:dyDescent="0.2">
      <c r="AF38559" s="679"/>
    </row>
    <row r="38560" spans="32:32" x14ac:dyDescent="0.2">
      <c r="AF38560" s="679"/>
    </row>
    <row r="38561" spans="32:32" x14ac:dyDescent="0.2">
      <c r="AF38561" s="679"/>
    </row>
    <row r="38562" spans="32:32" x14ac:dyDescent="0.2">
      <c r="AF38562" s="679"/>
    </row>
    <row r="38563" spans="32:32" x14ac:dyDescent="0.2">
      <c r="AF38563" s="679"/>
    </row>
    <row r="38564" spans="32:32" x14ac:dyDescent="0.2">
      <c r="AF38564" s="679"/>
    </row>
    <row r="38565" spans="32:32" x14ac:dyDescent="0.2">
      <c r="AF38565" s="679"/>
    </row>
    <row r="38566" spans="32:32" x14ac:dyDescent="0.2">
      <c r="AF38566" s="679"/>
    </row>
    <row r="38567" spans="32:32" x14ac:dyDescent="0.2">
      <c r="AF38567" s="679"/>
    </row>
    <row r="38568" spans="32:32" x14ac:dyDescent="0.2">
      <c r="AF38568" s="679"/>
    </row>
    <row r="38569" spans="32:32" x14ac:dyDescent="0.2">
      <c r="AF38569" s="679"/>
    </row>
    <row r="38570" spans="32:32" x14ac:dyDescent="0.2">
      <c r="AF38570" s="679"/>
    </row>
    <row r="38571" spans="32:32" x14ac:dyDescent="0.2">
      <c r="AF38571" s="679"/>
    </row>
    <row r="38572" spans="32:32" x14ac:dyDescent="0.2">
      <c r="AF38572" s="679"/>
    </row>
    <row r="38573" spans="32:32" x14ac:dyDescent="0.2">
      <c r="AF38573" s="679"/>
    </row>
    <row r="38574" spans="32:32" x14ac:dyDescent="0.2">
      <c r="AF38574" s="679"/>
    </row>
    <row r="38575" spans="32:32" x14ac:dyDescent="0.2">
      <c r="AF38575" s="679"/>
    </row>
    <row r="38576" spans="32:32" x14ac:dyDescent="0.2">
      <c r="AF38576" s="679"/>
    </row>
    <row r="38577" spans="32:32" x14ac:dyDescent="0.2">
      <c r="AF38577" s="679"/>
    </row>
    <row r="38578" spans="32:32" x14ac:dyDescent="0.2">
      <c r="AF38578" s="679"/>
    </row>
    <row r="38579" spans="32:32" x14ac:dyDescent="0.2">
      <c r="AF38579" s="679"/>
    </row>
    <row r="38580" spans="32:32" x14ac:dyDescent="0.2">
      <c r="AF38580" s="679"/>
    </row>
    <row r="38581" spans="32:32" x14ac:dyDescent="0.2">
      <c r="AF38581" s="679"/>
    </row>
    <row r="38582" spans="32:32" x14ac:dyDescent="0.2">
      <c r="AF38582" s="679"/>
    </row>
    <row r="38583" spans="32:32" x14ac:dyDescent="0.2">
      <c r="AF38583" s="679"/>
    </row>
    <row r="38584" spans="32:32" x14ac:dyDescent="0.2">
      <c r="AF38584" s="679"/>
    </row>
    <row r="38585" spans="32:32" x14ac:dyDescent="0.2">
      <c r="AF38585" s="679"/>
    </row>
    <row r="38586" spans="32:32" x14ac:dyDescent="0.2">
      <c r="AF38586" s="679"/>
    </row>
    <row r="38587" spans="32:32" x14ac:dyDescent="0.2">
      <c r="AF38587" s="679"/>
    </row>
    <row r="38588" spans="32:32" x14ac:dyDescent="0.2">
      <c r="AF38588" s="679"/>
    </row>
    <row r="38589" spans="32:32" x14ac:dyDescent="0.2">
      <c r="AF38589" s="679"/>
    </row>
    <row r="38590" spans="32:32" x14ac:dyDescent="0.2">
      <c r="AF38590" s="679"/>
    </row>
    <row r="38591" spans="32:32" x14ac:dyDescent="0.2">
      <c r="AF38591" s="679"/>
    </row>
    <row r="38592" spans="32:32" x14ac:dyDescent="0.2">
      <c r="AF38592" s="679"/>
    </row>
    <row r="38593" spans="32:32" x14ac:dyDescent="0.2">
      <c r="AF38593" s="679"/>
    </row>
    <row r="38594" spans="32:32" x14ac:dyDescent="0.2">
      <c r="AF38594" s="679"/>
    </row>
    <row r="38595" spans="32:32" x14ac:dyDescent="0.2">
      <c r="AF38595" s="679"/>
    </row>
    <row r="38596" spans="32:32" x14ac:dyDescent="0.2">
      <c r="AF38596" s="679"/>
    </row>
    <row r="38597" spans="32:32" x14ac:dyDescent="0.2">
      <c r="AF38597" s="679"/>
    </row>
    <row r="38598" spans="32:32" x14ac:dyDescent="0.2">
      <c r="AF38598" s="679"/>
    </row>
    <row r="38599" spans="32:32" x14ac:dyDescent="0.2">
      <c r="AF38599" s="679"/>
    </row>
    <row r="38600" spans="32:32" x14ac:dyDescent="0.2">
      <c r="AF38600" s="679"/>
    </row>
    <row r="38601" spans="32:32" x14ac:dyDescent="0.2">
      <c r="AF38601" s="679"/>
    </row>
    <row r="38602" spans="32:32" x14ac:dyDescent="0.2">
      <c r="AF38602" s="679"/>
    </row>
    <row r="38603" spans="32:32" x14ac:dyDescent="0.2">
      <c r="AF38603" s="679"/>
    </row>
    <row r="38604" spans="32:32" x14ac:dyDescent="0.2">
      <c r="AF38604" s="679"/>
    </row>
    <row r="38605" spans="32:32" x14ac:dyDescent="0.2">
      <c r="AF38605" s="679"/>
    </row>
    <row r="38606" spans="32:32" x14ac:dyDescent="0.2">
      <c r="AF38606" s="679"/>
    </row>
    <row r="38607" spans="32:32" x14ac:dyDescent="0.2">
      <c r="AF38607" s="679"/>
    </row>
    <row r="38608" spans="32:32" x14ac:dyDescent="0.2">
      <c r="AF38608" s="679"/>
    </row>
    <row r="38609" spans="32:32" x14ac:dyDescent="0.2">
      <c r="AF38609" s="679"/>
    </row>
    <row r="38610" spans="32:32" x14ac:dyDescent="0.2">
      <c r="AF38610" s="679"/>
    </row>
    <row r="38611" spans="32:32" x14ac:dyDescent="0.2">
      <c r="AF38611" s="679"/>
    </row>
    <row r="38612" spans="32:32" x14ac:dyDescent="0.2">
      <c r="AF38612" s="679"/>
    </row>
    <row r="38613" spans="32:32" x14ac:dyDescent="0.2">
      <c r="AF38613" s="679"/>
    </row>
    <row r="38614" spans="32:32" x14ac:dyDescent="0.2">
      <c r="AF38614" s="679"/>
    </row>
    <row r="38615" spans="32:32" x14ac:dyDescent="0.2">
      <c r="AF38615" s="679"/>
    </row>
    <row r="38616" spans="32:32" x14ac:dyDescent="0.2">
      <c r="AF38616" s="679"/>
    </row>
    <row r="38617" spans="32:32" x14ac:dyDescent="0.2">
      <c r="AF38617" s="679"/>
    </row>
    <row r="38618" spans="32:32" x14ac:dyDescent="0.2">
      <c r="AF38618" s="679"/>
    </row>
    <row r="38619" spans="32:32" x14ac:dyDescent="0.2">
      <c r="AF38619" s="679"/>
    </row>
    <row r="38620" spans="32:32" x14ac:dyDescent="0.2">
      <c r="AF38620" s="679"/>
    </row>
    <row r="38621" spans="32:32" x14ac:dyDescent="0.2">
      <c r="AF38621" s="679"/>
    </row>
    <row r="38622" spans="32:32" x14ac:dyDescent="0.2">
      <c r="AF38622" s="679"/>
    </row>
    <row r="38623" spans="32:32" x14ac:dyDescent="0.2">
      <c r="AF38623" s="679"/>
    </row>
    <row r="38624" spans="32:32" x14ac:dyDescent="0.2">
      <c r="AF38624" s="679"/>
    </row>
    <row r="38625" spans="32:32" x14ac:dyDescent="0.2">
      <c r="AF38625" s="679"/>
    </row>
    <row r="38626" spans="32:32" x14ac:dyDescent="0.2">
      <c r="AF38626" s="679"/>
    </row>
    <row r="38627" spans="32:32" x14ac:dyDescent="0.2">
      <c r="AF38627" s="679"/>
    </row>
    <row r="38628" spans="32:32" x14ac:dyDescent="0.2">
      <c r="AF38628" s="679"/>
    </row>
    <row r="38629" spans="32:32" x14ac:dyDescent="0.2">
      <c r="AF38629" s="679"/>
    </row>
    <row r="38630" spans="32:32" x14ac:dyDescent="0.2">
      <c r="AF38630" s="679"/>
    </row>
    <row r="38631" spans="32:32" x14ac:dyDescent="0.2">
      <c r="AF38631" s="679"/>
    </row>
    <row r="38632" spans="32:32" x14ac:dyDescent="0.2">
      <c r="AF38632" s="679"/>
    </row>
    <row r="38633" spans="32:32" x14ac:dyDescent="0.2">
      <c r="AF38633" s="679"/>
    </row>
    <row r="38634" spans="32:32" x14ac:dyDescent="0.2">
      <c r="AF38634" s="679"/>
    </row>
    <row r="38635" spans="32:32" x14ac:dyDescent="0.2">
      <c r="AF38635" s="679"/>
    </row>
    <row r="38636" spans="32:32" x14ac:dyDescent="0.2">
      <c r="AF38636" s="679"/>
    </row>
    <row r="38637" spans="32:32" x14ac:dyDescent="0.2">
      <c r="AF38637" s="679"/>
    </row>
    <row r="38638" spans="32:32" x14ac:dyDescent="0.2">
      <c r="AF38638" s="679"/>
    </row>
    <row r="38639" spans="32:32" x14ac:dyDescent="0.2">
      <c r="AF38639" s="679"/>
    </row>
    <row r="38640" spans="32:32" x14ac:dyDescent="0.2">
      <c r="AF38640" s="679"/>
    </row>
    <row r="38641" spans="32:32" x14ac:dyDescent="0.2">
      <c r="AF38641" s="679"/>
    </row>
    <row r="38642" spans="32:32" x14ac:dyDescent="0.2">
      <c r="AF38642" s="679"/>
    </row>
    <row r="38643" spans="32:32" x14ac:dyDescent="0.2">
      <c r="AF38643" s="679"/>
    </row>
    <row r="38644" spans="32:32" x14ac:dyDescent="0.2">
      <c r="AF38644" s="679"/>
    </row>
    <row r="38645" spans="32:32" x14ac:dyDescent="0.2">
      <c r="AF38645" s="679"/>
    </row>
    <row r="38646" spans="32:32" x14ac:dyDescent="0.2">
      <c r="AF38646" s="679"/>
    </row>
    <row r="38647" spans="32:32" x14ac:dyDescent="0.2">
      <c r="AF38647" s="679"/>
    </row>
    <row r="38648" spans="32:32" x14ac:dyDescent="0.2">
      <c r="AF38648" s="679"/>
    </row>
    <row r="38649" spans="32:32" x14ac:dyDescent="0.2">
      <c r="AF38649" s="679"/>
    </row>
    <row r="38650" spans="32:32" x14ac:dyDescent="0.2">
      <c r="AF38650" s="679"/>
    </row>
    <row r="38651" spans="32:32" x14ac:dyDescent="0.2">
      <c r="AF38651" s="679"/>
    </row>
    <row r="38652" spans="32:32" x14ac:dyDescent="0.2">
      <c r="AF38652" s="679"/>
    </row>
    <row r="38653" spans="32:32" x14ac:dyDescent="0.2">
      <c r="AF38653" s="679"/>
    </row>
    <row r="38654" spans="32:32" x14ac:dyDescent="0.2">
      <c r="AF38654" s="679"/>
    </row>
    <row r="38655" spans="32:32" x14ac:dyDescent="0.2">
      <c r="AF38655" s="679"/>
    </row>
    <row r="38656" spans="32:32" x14ac:dyDescent="0.2">
      <c r="AF38656" s="679"/>
    </row>
    <row r="38657" spans="32:32" x14ac:dyDescent="0.2">
      <c r="AF38657" s="679"/>
    </row>
    <row r="38658" spans="32:32" x14ac:dyDescent="0.2">
      <c r="AF38658" s="679"/>
    </row>
    <row r="38659" spans="32:32" x14ac:dyDescent="0.2">
      <c r="AF38659" s="679"/>
    </row>
    <row r="38660" spans="32:32" x14ac:dyDescent="0.2">
      <c r="AF38660" s="679"/>
    </row>
    <row r="38661" spans="32:32" x14ac:dyDescent="0.2">
      <c r="AF38661" s="679"/>
    </row>
    <row r="38662" spans="32:32" x14ac:dyDescent="0.2">
      <c r="AF38662" s="679"/>
    </row>
    <row r="38663" spans="32:32" x14ac:dyDescent="0.2">
      <c r="AF38663" s="679"/>
    </row>
    <row r="38664" spans="32:32" x14ac:dyDescent="0.2">
      <c r="AF38664" s="679"/>
    </row>
    <row r="38665" spans="32:32" x14ac:dyDescent="0.2">
      <c r="AF38665" s="679"/>
    </row>
    <row r="38666" spans="32:32" x14ac:dyDescent="0.2">
      <c r="AF38666" s="679"/>
    </row>
    <row r="38667" spans="32:32" x14ac:dyDescent="0.2">
      <c r="AF38667" s="679"/>
    </row>
    <row r="38668" spans="32:32" x14ac:dyDescent="0.2">
      <c r="AF38668" s="679"/>
    </row>
    <row r="38669" spans="32:32" x14ac:dyDescent="0.2">
      <c r="AF38669" s="679"/>
    </row>
    <row r="38670" spans="32:32" x14ac:dyDescent="0.2">
      <c r="AF38670" s="679"/>
    </row>
    <row r="38671" spans="32:32" x14ac:dyDescent="0.2">
      <c r="AF38671" s="679"/>
    </row>
    <row r="38672" spans="32:32" x14ac:dyDescent="0.2">
      <c r="AF38672" s="679"/>
    </row>
    <row r="38673" spans="32:32" x14ac:dyDescent="0.2">
      <c r="AF38673" s="679"/>
    </row>
    <row r="38674" spans="32:32" x14ac:dyDescent="0.2">
      <c r="AF38674" s="679"/>
    </row>
    <row r="38675" spans="32:32" x14ac:dyDescent="0.2">
      <c r="AF38675" s="679"/>
    </row>
    <row r="38676" spans="32:32" x14ac:dyDescent="0.2">
      <c r="AF38676" s="679"/>
    </row>
    <row r="38677" spans="32:32" x14ac:dyDescent="0.2">
      <c r="AF38677" s="679"/>
    </row>
    <row r="38678" spans="32:32" x14ac:dyDescent="0.2">
      <c r="AF38678" s="679"/>
    </row>
    <row r="38679" spans="32:32" x14ac:dyDescent="0.2">
      <c r="AF38679" s="679"/>
    </row>
    <row r="38680" spans="32:32" x14ac:dyDescent="0.2">
      <c r="AF38680" s="679"/>
    </row>
    <row r="38681" spans="32:32" x14ac:dyDescent="0.2">
      <c r="AF38681" s="679"/>
    </row>
    <row r="38682" spans="32:32" x14ac:dyDescent="0.2">
      <c r="AF38682" s="679"/>
    </row>
    <row r="38683" spans="32:32" x14ac:dyDescent="0.2">
      <c r="AF38683" s="679"/>
    </row>
    <row r="38684" spans="32:32" x14ac:dyDescent="0.2">
      <c r="AF38684" s="679"/>
    </row>
    <row r="38685" spans="32:32" x14ac:dyDescent="0.2">
      <c r="AF38685" s="679"/>
    </row>
    <row r="38686" spans="32:32" x14ac:dyDescent="0.2">
      <c r="AF38686" s="679"/>
    </row>
    <row r="38687" spans="32:32" x14ac:dyDescent="0.2">
      <c r="AF38687" s="679"/>
    </row>
    <row r="38688" spans="32:32" x14ac:dyDescent="0.2">
      <c r="AF38688" s="679"/>
    </row>
    <row r="38689" spans="32:32" x14ac:dyDescent="0.2">
      <c r="AF38689" s="679"/>
    </row>
    <row r="38690" spans="32:32" x14ac:dyDescent="0.2">
      <c r="AF38690" s="679"/>
    </row>
    <row r="38691" spans="32:32" x14ac:dyDescent="0.2">
      <c r="AF38691" s="679"/>
    </row>
    <row r="38692" spans="32:32" x14ac:dyDescent="0.2">
      <c r="AF38692" s="679"/>
    </row>
    <row r="38693" spans="32:32" x14ac:dyDescent="0.2">
      <c r="AF38693" s="679"/>
    </row>
    <row r="38694" spans="32:32" x14ac:dyDescent="0.2">
      <c r="AF38694" s="679"/>
    </row>
    <row r="38695" spans="32:32" x14ac:dyDescent="0.2">
      <c r="AF38695" s="679"/>
    </row>
    <row r="38696" spans="32:32" x14ac:dyDescent="0.2">
      <c r="AF38696" s="679"/>
    </row>
    <row r="38697" spans="32:32" x14ac:dyDescent="0.2">
      <c r="AF38697" s="679"/>
    </row>
    <row r="38698" spans="32:32" x14ac:dyDescent="0.2">
      <c r="AF38698" s="679"/>
    </row>
    <row r="38699" spans="32:32" x14ac:dyDescent="0.2">
      <c r="AF38699" s="679"/>
    </row>
    <row r="38700" spans="32:32" x14ac:dyDescent="0.2">
      <c r="AF38700" s="679"/>
    </row>
    <row r="38701" spans="32:32" x14ac:dyDescent="0.2">
      <c r="AF38701" s="679"/>
    </row>
    <row r="38702" spans="32:32" x14ac:dyDescent="0.2">
      <c r="AF38702" s="679"/>
    </row>
    <row r="38703" spans="32:32" x14ac:dyDescent="0.2">
      <c r="AF38703" s="679"/>
    </row>
    <row r="38704" spans="32:32" x14ac:dyDescent="0.2">
      <c r="AF38704" s="679"/>
    </row>
    <row r="38705" spans="32:32" x14ac:dyDescent="0.2">
      <c r="AF38705" s="679"/>
    </row>
    <row r="38706" spans="32:32" x14ac:dyDescent="0.2">
      <c r="AF38706" s="679"/>
    </row>
    <row r="38707" spans="32:32" x14ac:dyDescent="0.2">
      <c r="AF38707" s="679"/>
    </row>
    <row r="38708" spans="32:32" x14ac:dyDescent="0.2">
      <c r="AF38708" s="679"/>
    </row>
    <row r="38709" spans="32:32" x14ac:dyDescent="0.2">
      <c r="AF38709" s="679"/>
    </row>
    <row r="38710" spans="32:32" x14ac:dyDescent="0.2">
      <c r="AF38710" s="679"/>
    </row>
    <row r="38711" spans="32:32" x14ac:dyDescent="0.2">
      <c r="AF38711" s="679"/>
    </row>
    <row r="38712" spans="32:32" x14ac:dyDescent="0.2">
      <c r="AF38712" s="679"/>
    </row>
    <row r="38713" spans="32:32" x14ac:dyDescent="0.2">
      <c r="AF38713" s="679"/>
    </row>
    <row r="38714" spans="32:32" x14ac:dyDescent="0.2">
      <c r="AF38714" s="679"/>
    </row>
    <row r="38715" spans="32:32" x14ac:dyDescent="0.2">
      <c r="AF38715" s="679"/>
    </row>
    <row r="38716" spans="32:32" x14ac:dyDescent="0.2">
      <c r="AF38716" s="679"/>
    </row>
    <row r="38717" spans="32:32" x14ac:dyDescent="0.2">
      <c r="AF38717" s="679"/>
    </row>
    <row r="38718" spans="32:32" x14ac:dyDescent="0.2">
      <c r="AF38718" s="679"/>
    </row>
    <row r="38719" spans="32:32" x14ac:dyDescent="0.2">
      <c r="AF38719" s="679"/>
    </row>
    <row r="38720" spans="32:32" x14ac:dyDescent="0.2">
      <c r="AF38720" s="679"/>
    </row>
    <row r="38721" spans="32:32" x14ac:dyDescent="0.2">
      <c r="AF38721" s="679"/>
    </row>
    <row r="38722" spans="32:32" x14ac:dyDescent="0.2">
      <c r="AF38722" s="679"/>
    </row>
    <row r="38723" spans="32:32" x14ac:dyDescent="0.2">
      <c r="AF38723" s="679"/>
    </row>
    <row r="38724" spans="32:32" x14ac:dyDescent="0.2">
      <c r="AF38724" s="679"/>
    </row>
    <row r="38725" spans="32:32" x14ac:dyDescent="0.2">
      <c r="AF38725" s="679"/>
    </row>
    <row r="38726" spans="32:32" x14ac:dyDescent="0.2">
      <c r="AF38726" s="679"/>
    </row>
    <row r="38727" spans="32:32" x14ac:dyDescent="0.2">
      <c r="AF38727" s="679"/>
    </row>
    <row r="38728" spans="32:32" x14ac:dyDescent="0.2">
      <c r="AF38728" s="679"/>
    </row>
    <row r="38729" spans="32:32" x14ac:dyDescent="0.2">
      <c r="AF38729" s="679"/>
    </row>
    <row r="38730" spans="32:32" x14ac:dyDescent="0.2">
      <c r="AF38730" s="679"/>
    </row>
    <row r="38731" spans="32:32" x14ac:dyDescent="0.2">
      <c r="AF38731" s="679"/>
    </row>
    <row r="38732" spans="32:32" x14ac:dyDescent="0.2">
      <c r="AF38732" s="679"/>
    </row>
    <row r="38733" spans="32:32" x14ac:dyDescent="0.2">
      <c r="AF38733" s="679"/>
    </row>
    <row r="38734" spans="32:32" x14ac:dyDescent="0.2">
      <c r="AF38734" s="679"/>
    </row>
    <row r="38735" spans="32:32" x14ac:dyDescent="0.2">
      <c r="AF38735" s="679"/>
    </row>
    <row r="38736" spans="32:32" x14ac:dyDescent="0.2">
      <c r="AF38736" s="679"/>
    </row>
    <row r="38737" spans="32:32" x14ac:dyDescent="0.2">
      <c r="AF38737" s="679"/>
    </row>
    <row r="38738" spans="32:32" x14ac:dyDescent="0.2">
      <c r="AF38738" s="679"/>
    </row>
    <row r="38739" spans="32:32" x14ac:dyDescent="0.2">
      <c r="AF38739" s="679"/>
    </row>
    <row r="38740" spans="32:32" x14ac:dyDescent="0.2">
      <c r="AF38740" s="679"/>
    </row>
    <row r="38741" spans="32:32" x14ac:dyDescent="0.2">
      <c r="AF38741" s="679"/>
    </row>
    <row r="38742" spans="32:32" x14ac:dyDescent="0.2">
      <c r="AF38742" s="679"/>
    </row>
    <row r="38743" spans="32:32" x14ac:dyDescent="0.2">
      <c r="AF38743" s="679"/>
    </row>
    <row r="38744" spans="32:32" x14ac:dyDescent="0.2">
      <c r="AF38744" s="679"/>
    </row>
    <row r="38745" spans="32:32" x14ac:dyDescent="0.2">
      <c r="AF38745" s="679"/>
    </row>
    <row r="38746" spans="32:32" x14ac:dyDescent="0.2">
      <c r="AF38746" s="679"/>
    </row>
    <row r="38747" spans="32:32" x14ac:dyDescent="0.2">
      <c r="AF38747" s="679"/>
    </row>
    <row r="38748" spans="32:32" x14ac:dyDescent="0.2">
      <c r="AF38748" s="679"/>
    </row>
    <row r="38749" spans="32:32" x14ac:dyDescent="0.2">
      <c r="AF38749" s="679"/>
    </row>
    <row r="38750" spans="32:32" x14ac:dyDescent="0.2">
      <c r="AF38750" s="679"/>
    </row>
    <row r="38751" spans="32:32" x14ac:dyDescent="0.2">
      <c r="AF38751" s="679"/>
    </row>
    <row r="38752" spans="32:32" x14ac:dyDescent="0.2">
      <c r="AF38752" s="679"/>
    </row>
    <row r="38753" spans="32:32" x14ac:dyDescent="0.2">
      <c r="AF38753" s="679"/>
    </row>
    <row r="38754" spans="32:32" x14ac:dyDescent="0.2">
      <c r="AF38754" s="679"/>
    </row>
    <row r="38755" spans="32:32" x14ac:dyDescent="0.2">
      <c r="AF38755" s="679"/>
    </row>
    <row r="38756" spans="32:32" x14ac:dyDescent="0.2">
      <c r="AF38756" s="679"/>
    </row>
    <row r="38757" spans="32:32" x14ac:dyDescent="0.2">
      <c r="AF38757" s="679"/>
    </row>
    <row r="38758" spans="32:32" x14ac:dyDescent="0.2">
      <c r="AF38758" s="679"/>
    </row>
    <row r="38759" spans="32:32" x14ac:dyDescent="0.2">
      <c r="AF38759" s="679"/>
    </row>
    <row r="38760" spans="32:32" x14ac:dyDescent="0.2">
      <c r="AF38760" s="679"/>
    </row>
    <row r="38761" spans="32:32" x14ac:dyDescent="0.2">
      <c r="AF38761" s="679"/>
    </row>
    <row r="38762" spans="32:32" x14ac:dyDescent="0.2">
      <c r="AF38762" s="679"/>
    </row>
    <row r="38763" spans="32:32" x14ac:dyDescent="0.2">
      <c r="AF38763" s="679"/>
    </row>
    <row r="38764" spans="32:32" x14ac:dyDescent="0.2">
      <c r="AF38764" s="679"/>
    </row>
    <row r="38765" spans="32:32" x14ac:dyDescent="0.2">
      <c r="AF38765" s="679"/>
    </row>
    <row r="38766" spans="32:32" x14ac:dyDescent="0.2">
      <c r="AF38766" s="679"/>
    </row>
    <row r="38767" spans="32:32" x14ac:dyDescent="0.2">
      <c r="AF38767" s="679"/>
    </row>
    <row r="38768" spans="32:32" x14ac:dyDescent="0.2">
      <c r="AF38768" s="679"/>
    </row>
    <row r="38769" spans="32:32" x14ac:dyDescent="0.2">
      <c r="AF38769" s="679"/>
    </row>
    <row r="38770" spans="32:32" x14ac:dyDescent="0.2">
      <c r="AF38770" s="679"/>
    </row>
    <row r="38771" spans="32:32" x14ac:dyDescent="0.2">
      <c r="AF38771" s="679"/>
    </row>
    <row r="38772" spans="32:32" x14ac:dyDescent="0.2">
      <c r="AF38772" s="679"/>
    </row>
    <row r="38773" spans="32:32" x14ac:dyDescent="0.2">
      <c r="AF38773" s="679"/>
    </row>
    <row r="38774" spans="32:32" x14ac:dyDescent="0.2">
      <c r="AF38774" s="679"/>
    </row>
    <row r="38775" spans="32:32" x14ac:dyDescent="0.2">
      <c r="AF38775" s="679"/>
    </row>
    <row r="38776" spans="32:32" x14ac:dyDescent="0.2">
      <c r="AF38776" s="679"/>
    </row>
    <row r="38777" spans="32:32" x14ac:dyDescent="0.2">
      <c r="AF38777" s="679"/>
    </row>
    <row r="38778" spans="32:32" x14ac:dyDescent="0.2">
      <c r="AF38778" s="679"/>
    </row>
    <row r="38779" spans="32:32" x14ac:dyDescent="0.2">
      <c r="AF38779" s="679"/>
    </row>
    <row r="38780" spans="32:32" x14ac:dyDescent="0.2">
      <c r="AF38780" s="679"/>
    </row>
    <row r="38781" spans="32:32" x14ac:dyDescent="0.2">
      <c r="AF38781" s="679"/>
    </row>
    <row r="38782" spans="32:32" x14ac:dyDescent="0.2">
      <c r="AF38782" s="679"/>
    </row>
    <row r="38783" spans="32:32" x14ac:dyDescent="0.2">
      <c r="AF38783" s="679"/>
    </row>
    <row r="38784" spans="32:32" x14ac:dyDescent="0.2">
      <c r="AF38784" s="679"/>
    </row>
    <row r="38785" spans="32:32" x14ac:dyDescent="0.2">
      <c r="AF38785" s="679"/>
    </row>
    <row r="38786" spans="32:32" x14ac:dyDescent="0.2">
      <c r="AF38786" s="679"/>
    </row>
    <row r="38787" spans="32:32" x14ac:dyDescent="0.2">
      <c r="AF38787" s="679"/>
    </row>
    <row r="38788" spans="32:32" x14ac:dyDescent="0.2">
      <c r="AF38788" s="679"/>
    </row>
    <row r="38789" spans="32:32" x14ac:dyDescent="0.2">
      <c r="AF38789" s="679"/>
    </row>
    <row r="38790" spans="32:32" x14ac:dyDescent="0.2">
      <c r="AF38790" s="679"/>
    </row>
    <row r="38791" spans="32:32" x14ac:dyDescent="0.2">
      <c r="AF38791" s="679"/>
    </row>
    <row r="38792" spans="32:32" x14ac:dyDescent="0.2">
      <c r="AF38792" s="679"/>
    </row>
    <row r="38793" spans="32:32" x14ac:dyDescent="0.2">
      <c r="AF38793" s="679"/>
    </row>
    <row r="38794" spans="32:32" x14ac:dyDescent="0.2">
      <c r="AF38794" s="679"/>
    </row>
    <row r="38795" spans="32:32" x14ac:dyDescent="0.2">
      <c r="AF38795" s="679"/>
    </row>
    <row r="38796" spans="32:32" x14ac:dyDescent="0.2">
      <c r="AF38796" s="679"/>
    </row>
    <row r="38797" spans="32:32" x14ac:dyDescent="0.2">
      <c r="AF38797" s="679"/>
    </row>
    <row r="38798" spans="32:32" x14ac:dyDescent="0.2">
      <c r="AF38798" s="679"/>
    </row>
    <row r="38799" spans="32:32" x14ac:dyDescent="0.2">
      <c r="AF38799" s="679"/>
    </row>
    <row r="38800" spans="32:32" x14ac:dyDescent="0.2">
      <c r="AF38800" s="679"/>
    </row>
    <row r="38801" spans="32:32" x14ac:dyDescent="0.2">
      <c r="AF38801" s="679"/>
    </row>
    <row r="38802" spans="32:32" x14ac:dyDescent="0.2">
      <c r="AF38802" s="679"/>
    </row>
    <row r="38803" spans="32:32" x14ac:dyDescent="0.2">
      <c r="AF38803" s="679"/>
    </row>
    <row r="38804" spans="32:32" x14ac:dyDescent="0.2">
      <c r="AF38804" s="679"/>
    </row>
    <row r="38805" spans="32:32" x14ac:dyDescent="0.2">
      <c r="AF38805" s="679"/>
    </row>
    <row r="38806" spans="32:32" x14ac:dyDescent="0.2">
      <c r="AF38806" s="679"/>
    </row>
    <row r="38807" spans="32:32" x14ac:dyDescent="0.2">
      <c r="AF38807" s="679"/>
    </row>
    <row r="38808" spans="32:32" x14ac:dyDescent="0.2">
      <c r="AF38808" s="679"/>
    </row>
    <row r="38809" spans="32:32" x14ac:dyDescent="0.2">
      <c r="AF38809" s="679"/>
    </row>
    <row r="38810" spans="32:32" x14ac:dyDescent="0.2">
      <c r="AF38810" s="679"/>
    </row>
    <row r="38811" spans="32:32" x14ac:dyDescent="0.2">
      <c r="AF38811" s="679"/>
    </row>
    <row r="38812" spans="32:32" x14ac:dyDescent="0.2">
      <c r="AF38812" s="679"/>
    </row>
    <row r="38813" spans="32:32" x14ac:dyDescent="0.2">
      <c r="AF38813" s="679"/>
    </row>
    <row r="38814" spans="32:32" x14ac:dyDescent="0.2">
      <c r="AF38814" s="679"/>
    </row>
    <row r="38815" spans="32:32" x14ac:dyDescent="0.2">
      <c r="AF38815" s="679"/>
    </row>
    <row r="38816" spans="32:32" x14ac:dyDescent="0.2">
      <c r="AF38816" s="679"/>
    </row>
    <row r="38817" spans="32:32" x14ac:dyDescent="0.2">
      <c r="AF38817" s="679"/>
    </row>
    <row r="38818" spans="32:32" x14ac:dyDescent="0.2">
      <c r="AF38818" s="679"/>
    </row>
    <row r="38819" spans="32:32" x14ac:dyDescent="0.2">
      <c r="AF38819" s="679"/>
    </row>
    <row r="38820" spans="32:32" x14ac:dyDescent="0.2">
      <c r="AF38820" s="679"/>
    </row>
    <row r="38821" spans="32:32" x14ac:dyDescent="0.2">
      <c r="AF38821" s="679"/>
    </row>
    <row r="38822" spans="32:32" x14ac:dyDescent="0.2">
      <c r="AF38822" s="679"/>
    </row>
    <row r="38823" spans="32:32" x14ac:dyDescent="0.2">
      <c r="AF38823" s="679"/>
    </row>
    <row r="38824" spans="32:32" x14ac:dyDescent="0.2">
      <c r="AF38824" s="679"/>
    </row>
    <row r="38825" spans="32:32" x14ac:dyDescent="0.2">
      <c r="AF38825" s="679"/>
    </row>
    <row r="38826" spans="32:32" x14ac:dyDescent="0.2">
      <c r="AF38826" s="679"/>
    </row>
    <row r="38827" spans="32:32" x14ac:dyDescent="0.2">
      <c r="AF38827" s="679"/>
    </row>
    <row r="38828" spans="32:32" x14ac:dyDescent="0.2">
      <c r="AF38828" s="679"/>
    </row>
    <row r="38829" spans="32:32" x14ac:dyDescent="0.2">
      <c r="AF38829" s="679"/>
    </row>
    <row r="38830" spans="32:32" x14ac:dyDescent="0.2">
      <c r="AF38830" s="679"/>
    </row>
    <row r="38831" spans="32:32" x14ac:dyDescent="0.2">
      <c r="AF38831" s="679"/>
    </row>
    <row r="38832" spans="32:32" x14ac:dyDescent="0.2">
      <c r="AF38832" s="679"/>
    </row>
    <row r="38833" spans="32:32" x14ac:dyDescent="0.2">
      <c r="AF38833" s="679"/>
    </row>
    <row r="38834" spans="32:32" x14ac:dyDescent="0.2">
      <c r="AF38834" s="679"/>
    </row>
    <row r="38835" spans="32:32" x14ac:dyDescent="0.2">
      <c r="AF38835" s="679"/>
    </row>
    <row r="38836" spans="32:32" x14ac:dyDescent="0.2">
      <c r="AF38836" s="679"/>
    </row>
    <row r="38837" spans="32:32" x14ac:dyDescent="0.2">
      <c r="AF38837" s="679"/>
    </row>
    <row r="38838" spans="32:32" x14ac:dyDescent="0.2">
      <c r="AF38838" s="679"/>
    </row>
    <row r="38839" spans="32:32" x14ac:dyDescent="0.2">
      <c r="AF38839" s="679"/>
    </row>
    <row r="38840" spans="32:32" x14ac:dyDescent="0.2">
      <c r="AF38840" s="679"/>
    </row>
    <row r="38841" spans="32:32" x14ac:dyDescent="0.2">
      <c r="AF38841" s="679"/>
    </row>
    <row r="38842" spans="32:32" x14ac:dyDescent="0.2">
      <c r="AF38842" s="679"/>
    </row>
    <row r="38843" spans="32:32" x14ac:dyDescent="0.2">
      <c r="AF38843" s="679"/>
    </row>
    <row r="38844" spans="32:32" x14ac:dyDescent="0.2">
      <c r="AF38844" s="679"/>
    </row>
    <row r="38845" spans="32:32" x14ac:dyDescent="0.2">
      <c r="AF38845" s="679"/>
    </row>
    <row r="38846" spans="32:32" x14ac:dyDescent="0.2">
      <c r="AF38846" s="679"/>
    </row>
    <row r="38847" spans="32:32" x14ac:dyDescent="0.2">
      <c r="AF38847" s="679"/>
    </row>
    <row r="38848" spans="32:32" x14ac:dyDescent="0.2">
      <c r="AF38848" s="679"/>
    </row>
    <row r="38849" spans="32:32" x14ac:dyDescent="0.2">
      <c r="AF38849" s="679"/>
    </row>
    <row r="38850" spans="32:32" x14ac:dyDescent="0.2">
      <c r="AF38850" s="679"/>
    </row>
    <row r="38851" spans="32:32" x14ac:dyDescent="0.2">
      <c r="AF38851" s="679"/>
    </row>
    <row r="38852" spans="32:32" x14ac:dyDescent="0.2">
      <c r="AF38852" s="679"/>
    </row>
    <row r="38853" spans="32:32" x14ac:dyDescent="0.2">
      <c r="AF38853" s="679"/>
    </row>
    <row r="38854" spans="32:32" x14ac:dyDescent="0.2">
      <c r="AF38854" s="679"/>
    </row>
    <row r="38855" spans="32:32" x14ac:dyDescent="0.2">
      <c r="AF38855" s="679"/>
    </row>
    <row r="38856" spans="32:32" x14ac:dyDescent="0.2">
      <c r="AF38856" s="679"/>
    </row>
    <row r="38857" spans="32:32" x14ac:dyDescent="0.2">
      <c r="AF38857" s="679"/>
    </row>
    <row r="38858" spans="32:32" x14ac:dyDescent="0.2">
      <c r="AF38858" s="679"/>
    </row>
    <row r="38859" spans="32:32" x14ac:dyDescent="0.2">
      <c r="AF38859" s="679"/>
    </row>
    <row r="38860" spans="32:32" x14ac:dyDescent="0.2">
      <c r="AF38860" s="679"/>
    </row>
    <row r="38861" spans="32:32" x14ac:dyDescent="0.2">
      <c r="AF38861" s="679"/>
    </row>
    <row r="38862" spans="32:32" x14ac:dyDescent="0.2">
      <c r="AF38862" s="679"/>
    </row>
    <row r="38863" spans="32:32" x14ac:dyDescent="0.2">
      <c r="AF38863" s="679"/>
    </row>
    <row r="38864" spans="32:32" x14ac:dyDescent="0.2">
      <c r="AF38864" s="679"/>
    </row>
    <row r="38865" spans="32:32" x14ac:dyDescent="0.2">
      <c r="AF38865" s="679"/>
    </row>
    <row r="38866" spans="32:32" x14ac:dyDescent="0.2">
      <c r="AF38866" s="679"/>
    </row>
    <row r="38867" spans="32:32" x14ac:dyDescent="0.2">
      <c r="AF38867" s="679"/>
    </row>
    <row r="38868" spans="32:32" x14ac:dyDescent="0.2">
      <c r="AF38868" s="679"/>
    </row>
    <row r="38869" spans="32:32" x14ac:dyDescent="0.2">
      <c r="AF38869" s="679"/>
    </row>
    <row r="38870" spans="32:32" x14ac:dyDescent="0.2">
      <c r="AF38870" s="679"/>
    </row>
    <row r="38871" spans="32:32" x14ac:dyDescent="0.2">
      <c r="AF38871" s="679"/>
    </row>
    <row r="38872" spans="32:32" x14ac:dyDescent="0.2">
      <c r="AF38872" s="679"/>
    </row>
    <row r="38873" spans="32:32" x14ac:dyDescent="0.2">
      <c r="AF38873" s="679"/>
    </row>
    <row r="38874" spans="32:32" x14ac:dyDescent="0.2">
      <c r="AF38874" s="679"/>
    </row>
    <row r="38875" spans="32:32" x14ac:dyDescent="0.2">
      <c r="AF38875" s="679"/>
    </row>
    <row r="38876" spans="32:32" x14ac:dyDescent="0.2">
      <c r="AF38876" s="679"/>
    </row>
    <row r="38877" spans="32:32" x14ac:dyDescent="0.2">
      <c r="AF38877" s="679"/>
    </row>
    <row r="38878" spans="32:32" x14ac:dyDescent="0.2">
      <c r="AF38878" s="679"/>
    </row>
    <row r="38879" spans="32:32" x14ac:dyDescent="0.2">
      <c r="AF38879" s="679"/>
    </row>
    <row r="38880" spans="32:32" x14ac:dyDescent="0.2">
      <c r="AF38880" s="679"/>
    </row>
    <row r="38881" spans="32:32" x14ac:dyDescent="0.2">
      <c r="AF38881" s="679"/>
    </row>
    <row r="38882" spans="32:32" x14ac:dyDescent="0.2">
      <c r="AF38882" s="679"/>
    </row>
    <row r="38883" spans="32:32" x14ac:dyDescent="0.2">
      <c r="AF38883" s="679"/>
    </row>
    <row r="38884" spans="32:32" x14ac:dyDescent="0.2">
      <c r="AF38884" s="679"/>
    </row>
    <row r="38885" spans="32:32" x14ac:dyDescent="0.2">
      <c r="AF38885" s="679"/>
    </row>
    <row r="38886" spans="32:32" x14ac:dyDescent="0.2">
      <c r="AF38886" s="679"/>
    </row>
    <row r="38887" spans="32:32" x14ac:dyDescent="0.2">
      <c r="AF38887" s="679"/>
    </row>
    <row r="38888" spans="32:32" x14ac:dyDescent="0.2">
      <c r="AF38888" s="679"/>
    </row>
    <row r="38889" spans="32:32" x14ac:dyDescent="0.2">
      <c r="AF38889" s="679"/>
    </row>
    <row r="38890" spans="32:32" x14ac:dyDescent="0.2">
      <c r="AF38890" s="679"/>
    </row>
    <row r="38891" spans="32:32" x14ac:dyDescent="0.2">
      <c r="AF38891" s="679"/>
    </row>
    <row r="38892" spans="32:32" x14ac:dyDescent="0.2">
      <c r="AF38892" s="679"/>
    </row>
    <row r="38893" spans="32:32" x14ac:dyDescent="0.2">
      <c r="AF38893" s="679"/>
    </row>
    <row r="38894" spans="32:32" x14ac:dyDescent="0.2">
      <c r="AF38894" s="679"/>
    </row>
    <row r="38895" spans="32:32" x14ac:dyDescent="0.2">
      <c r="AF38895" s="679"/>
    </row>
    <row r="38896" spans="32:32" x14ac:dyDescent="0.2">
      <c r="AF38896" s="679"/>
    </row>
    <row r="38897" spans="32:32" x14ac:dyDescent="0.2">
      <c r="AF38897" s="679"/>
    </row>
    <row r="38898" spans="32:32" x14ac:dyDescent="0.2">
      <c r="AF38898" s="679"/>
    </row>
    <row r="38899" spans="32:32" x14ac:dyDescent="0.2">
      <c r="AF38899" s="679"/>
    </row>
    <row r="38900" spans="32:32" x14ac:dyDescent="0.2">
      <c r="AF38900" s="679"/>
    </row>
    <row r="38901" spans="32:32" x14ac:dyDescent="0.2">
      <c r="AF38901" s="679"/>
    </row>
    <row r="38902" spans="32:32" x14ac:dyDescent="0.2">
      <c r="AF38902" s="679"/>
    </row>
    <row r="38903" spans="32:32" x14ac:dyDescent="0.2">
      <c r="AF38903" s="679"/>
    </row>
    <row r="38904" spans="32:32" x14ac:dyDescent="0.2">
      <c r="AF38904" s="679"/>
    </row>
    <row r="38905" spans="32:32" x14ac:dyDescent="0.2">
      <c r="AF38905" s="679"/>
    </row>
    <row r="38906" spans="32:32" x14ac:dyDescent="0.2">
      <c r="AF38906" s="679"/>
    </row>
    <row r="38907" spans="32:32" x14ac:dyDescent="0.2">
      <c r="AF38907" s="679"/>
    </row>
    <row r="38908" spans="32:32" x14ac:dyDescent="0.2">
      <c r="AF38908" s="679"/>
    </row>
    <row r="38909" spans="32:32" x14ac:dyDescent="0.2">
      <c r="AF38909" s="679"/>
    </row>
    <row r="38910" spans="32:32" x14ac:dyDescent="0.2">
      <c r="AF38910" s="679"/>
    </row>
    <row r="38911" spans="32:32" x14ac:dyDescent="0.2">
      <c r="AF38911" s="679"/>
    </row>
    <row r="38912" spans="32:32" x14ac:dyDescent="0.2">
      <c r="AF38912" s="679"/>
    </row>
    <row r="38913" spans="32:32" x14ac:dyDescent="0.2">
      <c r="AF38913" s="679"/>
    </row>
    <row r="38914" spans="32:32" x14ac:dyDescent="0.2">
      <c r="AF38914" s="679"/>
    </row>
    <row r="38915" spans="32:32" x14ac:dyDescent="0.2">
      <c r="AF38915" s="679"/>
    </row>
    <row r="38916" spans="32:32" x14ac:dyDescent="0.2">
      <c r="AF38916" s="679"/>
    </row>
    <row r="38917" spans="32:32" x14ac:dyDescent="0.2">
      <c r="AF38917" s="679"/>
    </row>
    <row r="38918" spans="32:32" x14ac:dyDescent="0.2">
      <c r="AF38918" s="679"/>
    </row>
    <row r="38919" spans="32:32" x14ac:dyDescent="0.2">
      <c r="AF38919" s="679"/>
    </row>
    <row r="38920" spans="32:32" x14ac:dyDescent="0.2">
      <c r="AF38920" s="679"/>
    </row>
    <row r="38921" spans="32:32" x14ac:dyDescent="0.2">
      <c r="AF38921" s="679"/>
    </row>
    <row r="38922" spans="32:32" x14ac:dyDescent="0.2">
      <c r="AF38922" s="679"/>
    </row>
    <row r="38923" spans="32:32" x14ac:dyDescent="0.2">
      <c r="AF38923" s="679"/>
    </row>
    <row r="38924" spans="32:32" x14ac:dyDescent="0.2">
      <c r="AF38924" s="679"/>
    </row>
    <row r="38925" spans="32:32" x14ac:dyDescent="0.2">
      <c r="AF38925" s="679"/>
    </row>
    <row r="38926" spans="32:32" x14ac:dyDescent="0.2">
      <c r="AF38926" s="679"/>
    </row>
    <row r="38927" spans="32:32" x14ac:dyDescent="0.2">
      <c r="AF38927" s="679"/>
    </row>
    <row r="38928" spans="32:32" x14ac:dyDescent="0.2">
      <c r="AF38928" s="679"/>
    </row>
    <row r="38929" spans="32:32" x14ac:dyDescent="0.2">
      <c r="AF38929" s="679"/>
    </row>
    <row r="38930" spans="32:32" x14ac:dyDescent="0.2">
      <c r="AF38930" s="679"/>
    </row>
    <row r="38931" spans="32:32" x14ac:dyDescent="0.2">
      <c r="AF38931" s="679"/>
    </row>
    <row r="38932" spans="32:32" x14ac:dyDescent="0.2">
      <c r="AF38932" s="679"/>
    </row>
    <row r="38933" spans="32:32" x14ac:dyDescent="0.2">
      <c r="AF38933" s="679"/>
    </row>
    <row r="38934" spans="32:32" x14ac:dyDescent="0.2">
      <c r="AF38934" s="679"/>
    </row>
    <row r="38935" spans="32:32" x14ac:dyDescent="0.2">
      <c r="AF38935" s="679"/>
    </row>
    <row r="38936" spans="32:32" x14ac:dyDescent="0.2">
      <c r="AF38936" s="679"/>
    </row>
    <row r="38937" spans="32:32" x14ac:dyDescent="0.2">
      <c r="AF38937" s="679"/>
    </row>
    <row r="38938" spans="32:32" x14ac:dyDescent="0.2">
      <c r="AF38938" s="679"/>
    </row>
    <row r="38939" spans="32:32" x14ac:dyDescent="0.2">
      <c r="AF38939" s="679"/>
    </row>
    <row r="38940" spans="32:32" x14ac:dyDescent="0.2">
      <c r="AF38940" s="679"/>
    </row>
    <row r="38941" spans="32:32" x14ac:dyDescent="0.2">
      <c r="AF38941" s="679"/>
    </row>
    <row r="38942" spans="32:32" x14ac:dyDescent="0.2">
      <c r="AF38942" s="679"/>
    </row>
    <row r="38943" spans="32:32" x14ac:dyDescent="0.2">
      <c r="AF38943" s="679"/>
    </row>
    <row r="38944" spans="32:32" x14ac:dyDescent="0.2">
      <c r="AF38944" s="679"/>
    </row>
    <row r="38945" spans="32:32" x14ac:dyDescent="0.2">
      <c r="AF38945" s="679"/>
    </row>
    <row r="38946" spans="32:32" x14ac:dyDescent="0.2">
      <c r="AF38946" s="679"/>
    </row>
    <row r="38947" spans="32:32" x14ac:dyDescent="0.2">
      <c r="AF38947" s="679"/>
    </row>
    <row r="38948" spans="32:32" x14ac:dyDescent="0.2">
      <c r="AF38948" s="679"/>
    </row>
    <row r="38949" spans="32:32" x14ac:dyDescent="0.2">
      <c r="AF38949" s="679"/>
    </row>
    <row r="38950" spans="32:32" x14ac:dyDescent="0.2">
      <c r="AF38950" s="679"/>
    </row>
    <row r="38951" spans="32:32" x14ac:dyDescent="0.2">
      <c r="AF38951" s="679"/>
    </row>
    <row r="38952" spans="32:32" x14ac:dyDescent="0.2">
      <c r="AF38952" s="679"/>
    </row>
    <row r="38953" spans="32:32" x14ac:dyDescent="0.2">
      <c r="AF38953" s="679"/>
    </row>
    <row r="38954" spans="32:32" x14ac:dyDescent="0.2">
      <c r="AF38954" s="679"/>
    </row>
    <row r="38955" spans="32:32" x14ac:dyDescent="0.2">
      <c r="AF38955" s="679"/>
    </row>
    <row r="38956" spans="32:32" x14ac:dyDescent="0.2">
      <c r="AF38956" s="679"/>
    </row>
    <row r="38957" spans="32:32" x14ac:dyDescent="0.2">
      <c r="AF38957" s="679"/>
    </row>
    <row r="38958" spans="32:32" x14ac:dyDescent="0.2">
      <c r="AF38958" s="679"/>
    </row>
    <row r="38959" spans="32:32" x14ac:dyDescent="0.2">
      <c r="AF38959" s="679"/>
    </row>
    <row r="38960" spans="32:32" x14ac:dyDescent="0.2">
      <c r="AF38960" s="679"/>
    </row>
    <row r="38961" spans="32:32" x14ac:dyDescent="0.2">
      <c r="AF38961" s="679"/>
    </row>
    <row r="38962" spans="32:32" x14ac:dyDescent="0.2">
      <c r="AF38962" s="679"/>
    </row>
    <row r="38963" spans="32:32" x14ac:dyDescent="0.2">
      <c r="AF38963" s="679"/>
    </row>
    <row r="38964" spans="32:32" x14ac:dyDescent="0.2">
      <c r="AF38964" s="679"/>
    </row>
    <row r="38965" spans="32:32" x14ac:dyDescent="0.2">
      <c r="AF38965" s="679"/>
    </row>
    <row r="38966" spans="32:32" x14ac:dyDescent="0.2">
      <c r="AF38966" s="679"/>
    </row>
    <row r="38967" spans="32:32" x14ac:dyDescent="0.2">
      <c r="AF38967" s="679"/>
    </row>
    <row r="38968" spans="32:32" x14ac:dyDescent="0.2">
      <c r="AF38968" s="679"/>
    </row>
    <row r="38969" spans="32:32" x14ac:dyDescent="0.2">
      <c r="AF38969" s="679"/>
    </row>
    <row r="38970" spans="32:32" x14ac:dyDescent="0.2">
      <c r="AF38970" s="679"/>
    </row>
    <row r="38971" spans="32:32" x14ac:dyDescent="0.2">
      <c r="AF38971" s="679"/>
    </row>
    <row r="38972" spans="32:32" x14ac:dyDescent="0.2">
      <c r="AF38972" s="679"/>
    </row>
    <row r="38973" spans="32:32" x14ac:dyDescent="0.2">
      <c r="AF38973" s="679"/>
    </row>
    <row r="38974" spans="32:32" x14ac:dyDescent="0.2">
      <c r="AF38974" s="679"/>
    </row>
    <row r="38975" spans="32:32" x14ac:dyDescent="0.2">
      <c r="AF38975" s="679"/>
    </row>
    <row r="38976" spans="32:32" x14ac:dyDescent="0.2">
      <c r="AF38976" s="679"/>
    </row>
    <row r="38977" spans="32:32" x14ac:dyDescent="0.2">
      <c r="AF38977" s="679"/>
    </row>
    <row r="38978" spans="32:32" x14ac:dyDescent="0.2">
      <c r="AF38978" s="679"/>
    </row>
    <row r="38979" spans="32:32" x14ac:dyDescent="0.2">
      <c r="AF38979" s="679"/>
    </row>
    <row r="38980" spans="32:32" x14ac:dyDescent="0.2">
      <c r="AF38980" s="679"/>
    </row>
    <row r="38981" spans="32:32" x14ac:dyDescent="0.2">
      <c r="AF38981" s="679"/>
    </row>
    <row r="38982" spans="32:32" x14ac:dyDescent="0.2">
      <c r="AF38982" s="679"/>
    </row>
    <row r="38983" spans="32:32" x14ac:dyDescent="0.2">
      <c r="AF38983" s="679"/>
    </row>
    <row r="38984" spans="32:32" x14ac:dyDescent="0.2">
      <c r="AF38984" s="679"/>
    </row>
    <row r="38985" spans="32:32" x14ac:dyDescent="0.2">
      <c r="AF38985" s="679"/>
    </row>
    <row r="38986" spans="32:32" x14ac:dyDescent="0.2">
      <c r="AF38986" s="679"/>
    </row>
    <row r="38987" spans="32:32" x14ac:dyDescent="0.2">
      <c r="AF38987" s="679"/>
    </row>
    <row r="38988" spans="32:32" x14ac:dyDescent="0.2">
      <c r="AF38988" s="679"/>
    </row>
    <row r="38989" spans="32:32" x14ac:dyDescent="0.2">
      <c r="AF38989" s="679"/>
    </row>
    <row r="38990" spans="32:32" x14ac:dyDescent="0.2">
      <c r="AF38990" s="679"/>
    </row>
    <row r="38991" spans="32:32" x14ac:dyDescent="0.2">
      <c r="AF38991" s="679"/>
    </row>
    <row r="38992" spans="32:32" x14ac:dyDescent="0.2">
      <c r="AF38992" s="679"/>
    </row>
    <row r="38993" spans="32:32" x14ac:dyDescent="0.2">
      <c r="AF38993" s="679"/>
    </row>
    <row r="38994" spans="32:32" x14ac:dyDescent="0.2">
      <c r="AF38994" s="679"/>
    </row>
    <row r="38995" spans="32:32" x14ac:dyDescent="0.2">
      <c r="AF38995" s="679"/>
    </row>
    <row r="38996" spans="32:32" x14ac:dyDescent="0.2">
      <c r="AF38996" s="679"/>
    </row>
    <row r="38997" spans="32:32" x14ac:dyDescent="0.2">
      <c r="AF38997" s="679"/>
    </row>
    <row r="38998" spans="32:32" x14ac:dyDescent="0.2">
      <c r="AF38998" s="679"/>
    </row>
    <row r="38999" spans="32:32" x14ac:dyDescent="0.2">
      <c r="AF38999" s="679"/>
    </row>
    <row r="39000" spans="32:32" x14ac:dyDescent="0.2">
      <c r="AF39000" s="679"/>
    </row>
    <row r="39001" spans="32:32" x14ac:dyDescent="0.2">
      <c r="AF39001" s="679"/>
    </row>
    <row r="39002" spans="32:32" x14ac:dyDescent="0.2">
      <c r="AF39002" s="679"/>
    </row>
    <row r="39003" spans="32:32" x14ac:dyDescent="0.2">
      <c r="AF39003" s="679"/>
    </row>
    <row r="39004" spans="32:32" x14ac:dyDescent="0.2">
      <c r="AF39004" s="679"/>
    </row>
    <row r="39005" spans="32:32" x14ac:dyDescent="0.2">
      <c r="AF39005" s="679"/>
    </row>
    <row r="39006" spans="32:32" x14ac:dyDescent="0.2">
      <c r="AF39006" s="679"/>
    </row>
    <row r="39007" spans="32:32" x14ac:dyDescent="0.2">
      <c r="AF39007" s="679"/>
    </row>
    <row r="39008" spans="32:32" x14ac:dyDescent="0.2">
      <c r="AF39008" s="679"/>
    </row>
    <row r="39009" spans="32:32" x14ac:dyDescent="0.2">
      <c r="AF39009" s="679"/>
    </row>
    <row r="39010" spans="32:32" x14ac:dyDescent="0.2">
      <c r="AF39010" s="679"/>
    </row>
    <row r="39011" spans="32:32" x14ac:dyDescent="0.2">
      <c r="AF39011" s="679"/>
    </row>
    <row r="39012" spans="32:32" x14ac:dyDescent="0.2">
      <c r="AF39012" s="679"/>
    </row>
    <row r="39013" spans="32:32" x14ac:dyDescent="0.2">
      <c r="AF39013" s="679"/>
    </row>
    <row r="39014" spans="32:32" x14ac:dyDescent="0.2">
      <c r="AF39014" s="679"/>
    </row>
    <row r="39015" spans="32:32" x14ac:dyDescent="0.2">
      <c r="AF39015" s="679"/>
    </row>
    <row r="39016" spans="32:32" x14ac:dyDescent="0.2">
      <c r="AF39016" s="679"/>
    </row>
    <row r="39017" spans="32:32" x14ac:dyDescent="0.2">
      <c r="AF39017" s="679"/>
    </row>
    <row r="39018" spans="32:32" x14ac:dyDescent="0.2">
      <c r="AF39018" s="679"/>
    </row>
    <row r="39019" spans="32:32" x14ac:dyDescent="0.2">
      <c r="AF39019" s="679"/>
    </row>
    <row r="39020" spans="32:32" x14ac:dyDescent="0.2">
      <c r="AF39020" s="679"/>
    </row>
    <row r="39021" spans="32:32" x14ac:dyDescent="0.2">
      <c r="AF39021" s="679"/>
    </row>
    <row r="39022" spans="32:32" x14ac:dyDescent="0.2">
      <c r="AF39022" s="679"/>
    </row>
    <row r="39023" spans="32:32" x14ac:dyDescent="0.2">
      <c r="AF39023" s="679"/>
    </row>
    <row r="39024" spans="32:32" x14ac:dyDescent="0.2">
      <c r="AF39024" s="679"/>
    </row>
    <row r="39025" spans="32:32" x14ac:dyDescent="0.2">
      <c r="AF39025" s="679"/>
    </row>
    <row r="39026" spans="32:32" x14ac:dyDescent="0.2">
      <c r="AF39026" s="679"/>
    </row>
    <row r="39027" spans="32:32" x14ac:dyDescent="0.2">
      <c r="AF39027" s="679"/>
    </row>
    <row r="39028" spans="32:32" x14ac:dyDescent="0.2">
      <c r="AF39028" s="679"/>
    </row>
    <row r="39029" spans="32:32" x14ac:dyDescent="0.2">
      <c r="AF39029" s="679"/>
    </row>
    <row r="39030" spans="32:32" x14ac:dyDescent="0.2">
      <c r="AF39030" s="679"/>
    </row>
    <row r="39031" spans="32:32" x14ac:dyDescent="0.2">
      <c r="AF39031" s="679"/>
    </row>
    <row r="39032" spans="32:32" x14ac:dyDescent="0.2">
      <c r="AF39032" s="679"/>
    </row>
    <row r="39033" spans="32:32" x14ac:dyDescent="0.2">
      <c r="AF39033" s="679"/>
    </row>
    <row r="39034" spans="32:32" x14ac:dyDescent="0.2">
      <c r="AF39034" s="679"/>
    </row>
    <row r="39035" spans="32:32" x14ac:dyDescent="0.2">
      <c r="AF39035" s="679"/>
    </row>
    <row r="39036" spans="32:32" x14ac:dyDescent="0.2">
      <c r="AF39036" s="679"/>
    </row>
    <row r="39037" spans="32:32" x14ac:dyDescent="0.2">
      <c r="AF39037" s="679"/>
    </row>
    <row r="39038" spans="32:32" x14ac:dyDescent="0.2">
      <c r="AF39038" s="679"/>
    </row>
    <row r="39039" spans="32:32" x14ac:dyDescent="0.2">
      <c r="AF39039" s="679"/>
    </row>
    <row r="39040" spans="32:32" x14ac:dyDescent="0.2">
      <c r="AF39040" s="679"/>
    </row>
    <row r="39041" spans="32:32" x14ac:dyDescent="0.2">
      <c r="AF39041" s="679"/>
    </row>
    <row r="39042" spans="32:32" x14ac:dyDescent="0.2">
      <c r="AF39042" s="679"/>
    </row>
    <row r="39043" spans="32:32" x14ac:dyDescent="0.2">
      <c r="AF39043" s="679"/>
    </row>
    <row r="39044" spans="32:32" x14ac:dyDescent="0.2">
      <c r="AF39044" s="679"/>
    </row>
    <row r="39045" spans="32:32" x14ac:dyDescent="0.2">
      <c r="AF39045" s="679"/>
    </row>
    <row r="39046" spans="32:32" x14ac:dyDescent="0.2">
      <c r="AF39046" s="679"/>
    </row>
    <row r="39047" spans="32:32" x14ac:dyDescent="0.2">
      <c r="AF39047" s="679"/>
    </row>
    <row r="39048" spans="32:32" x14ac:dyDescent="0.2">
      <c r="AF39048" s="679"/>
    </row>
    <row r="39049" spans="32:32" x14ac:dyDescent="0.2">
      <c r="AF39049" s="679"/>
    </row>
    <row r="39050" spans="32:32" x14ac:dyDescent="0.2">
      <c r="AF39050" s="679"/>
    </row>
    <row r="39051" spans="32:32" x14ac:dyDescent="0.2">
      <c r="AF39051" s="679"/>
    </row>
    <row r="39052" spans="32:32" x14ac:dyDescent="0.2">
      <c r="AF39052" s="679"/>
    </row>
    <row r="39053" spans="32:32" x14ac:dyDescent="0.2">
      <c r="AF39053" s="679"/>
    </row>
    <row r="39054" spans="32:32" x14ac:dyDescent="0.2">
      <c r="AF39054" s="679"/>
    </row>
    <row r="39055" spans="32:32" x14ac:dyDescent="0.2">
      <c r="AF39055" s="679"/>
    </row>
    <row r="39056" spans="32:32" x14ac:dyDescent="0.2">
      <c r="AF39056" s="679"/>
    </row>
    <row r="39057" spans="32:32" x14ac:dyDescent="0.2">
      <c r="AF39057" s="679"/>
    </row>
    <row r="39058" spans="32:32" x14ac:dyDescent="0.2">
      <c r="AF39058" s="679"/>
    </row>
    <row r="39059" spans="32:32" x14ac:dyDescent="0.2">
      <c r="AF39059" s="679"/>
    </row>
    <row r="39060" spans="32:32" x14ac:dyDescent="0.2">
      <c r="AF39060" s="679"/>
    </row>
    <row r="39061" spans="32:32" x14ac:dyDescent="0.2">
      <c r="AF39061" s="679"/>
    </row>
    <row r="39062" spans="32:32" x14ac:dyDescent="0.2">
      <c r="AF39062" s="679"/>
    </row>
    <row r="39063" spans="32:32" x14ac:dyDescent="0.2">
      <c r="AF39063" s="679"/>
    </row>
    <row r="39064" spans="32:32" x14ac:dyDescent="0.2">
      <c r="AF39064" s="679"/>
    </row>
    <row r="39065" spans="32:32" x14ac:dyDescent="0.2">
      <c r="AF39065" s="679"/>
    </row>
    <row r="39066" spans="32:32" x14ac:dyDescent="0.2">
      <c r="AF39066" s="679"/>
    </row>
    <row r="39067" spans="32:32" x14ac:dyDescent="0.2">
      <c r="AF39067" s="679"/>
    </row>
    <row r="39068" spans="32:32" x14ac:dyDescent="0.2">
      <c r="AF39068" s="679"/>
    </row>
    <row r="39069" spans="32:32" x14ac:dyDescent="0.2">
      <c r="AF39069" s="679"/>
    </row>
    <row r="39070" spans="32:32" x14ac:dyDescent="0.2">
      <c r="AF39070" s="679"/>
    </row>
    <row r="39071" spans="32:32" x14ac:dyDescent="0.2">
      <c r="AF39071" s="679"/>
    </row>
    <row r="39072" spans="32:32" x14ac:dyDescent="0.2">
      <c r="AF39072" s="679"/>
    </row>
    <row r="39073" spans="32:32" x14ac:dyDescent="0.2">
      <c r="AF39073" s="679"/>
    </row>
    <row r="39074" spans="32:32" x14ac:dyDescent="0.2">
      <c r="AF39074" s="679"/>
    </row>
    <row r="39075" spans="32:32" x14ac:dyDescent="0.2">
      <c r="AF39075" s="679"/>
    </row>
    <row r="39076" spans="32:32" x14ac:dyDescent="0.2">
      <c r="AF39076" s="679"/>
    </row>
    <row r="39077" spans="32:32" x14ac:dyDescent="0.2">
      <c r="AF39077" s="679"/>
    </row>
    <row r="39078" spans="32:32" x14ac:dyDescent="0.2">
      <c r="AF39078" s="679"/>
    </row>
    <row r="39079" spans="32:32" x14ac:dyDescent="0.2">
      <c r="AF39079" s="679"/>
    </row>
    <row r="39080" spans="32:32" x14ac:dyDescent="0.2">
      <c r="AF39080" s="679"/>
    </row>
    <row r="39081" spans="32:32" x14ac:dyDescent="0.2">
      <c r="AF39081" s="679"/>
    </row>
    <row r="39082" spans="32:32" x14ac:dyDescent="0.2">
      <c r="AF39082" s="679"/>
    </row>
    <row r="39083" spans="32:32" x14ac:dyDescent="0.2">
      <c r="AF39083" s="679"/>
    </row>
    <row r="39084" spans="32:32" x14ac:dyDescent="0.2">
      <c r="AF39084" s="679"/>
    </row>
    <row r="39085" spans="32:32" x14ac:dyDescent="0.2">
      <c r="AF39085" s="679"/>
    </row>
    <row r="39086" spans="32:32" x14ac:dyDescent="0.2">
      <c r="AF39086" s="679"/>
    </row>
    <row r="39087" spans="32:32" x14ac:dyDescent="0.2">
      <c r="AF39087" s="679"/>
    </row>
    <row r="39088" spans="32:32" x14ac:dyDescent="0.2">
      <c r="AF39088" s="679"/>
    </row>
    <row r="39089" spans="32:32" x14ac:dyDescent="0.2">
      <c r="AF39089" s="679"/>
    </row>
    <row r="39090" spans="32:32" x14ac:dyDescent="0.2">
      <c r="AF39090" s="679"/>
    </row>
    <row r="39091" spans="32:32" x14ac:dyDescent="0.2">
      <c r="AF39091" s="679"/>
    </row>
    <row r="39092" spans="32:32" x14ac:dyDescent="0.2">
      <c r="AF39092" s="679"/>
    </row>
    <row r="39093" spans="32:32" x14ac:dyDescent="0.2">
      <c r="AF39093" s="679"/>
    </row>
    <row r="39094" spans="32:32" x14ac:dyDescent="0.2">
      <c r="AF39094" s="679"/>
    </row>
    <row r="39095" spans="32:32" x14ac:dyDescent="0.2">
      <c r="AF39095" s="679"/>
    </row>
    <row r="39096" spans="32:32" x14ac:dyDescent="0.2">
      <c r="AF39096" s="679"/>
    </row>
    <row r="39097" spans="32:32" x14ac:dyDescent="0.2">
      <c r="AF39097" s="679"/>
    </row>
    <row r="39098" spans="32:32" x14ac:dyDescent="0.2">
      <c r="AF39098" s="679"/>
    </row>
    <row r="39099" spans="32:32" x14ac:dyDescent="0.2">
      <c r="AF39099" s="679"/>
    </row>
    <row r="39100" spans="32:32" x14ac:dyDescent="0.2">
      <c r="AF39100" s="679"/>
    </row>
    <row r="39101" spans="32:32" x14ac:dyDescent="0.2">
      <c r="AF39101" s="679"/>
    </row>
    <row r="39102" spans="32:32" x14ac:dyDescent="0.2">
      <c r="AF39102" s="679"/>
    </row>
    <row r="39103" spans="32:32" x14ac:dyDescent="0.2">
      <c r="AF39103" s="679"/>
    </row>
    <row r="39104" spans="32:32" x14ac:dyDescent="0.2">
      <c r="AF39104" s="679"/>
    </row>
    <row r="39105" spans="32:32" x14ac:dyDescent="0.2">
      <c r="AF39105" s="679"/>
    </row>
    <row r="39106" spans="32:32" x14ac:dyDescent="0.2">
      <c r="AF39106" s="679"/>
    </row>
    <row r="39107" spans="32:32" x14ac:dyDescent="0.2">
      <c r="AF39107" s="679"/>
    </row>
    <row r="39108" spans="32:32" x14ac:dyDescent="0.2">
      <c r="AF39108" s="679"/>
    </row>
    <row r="39109" spans="32:32" x14ac:dyDescent="0.2">
      <c r="AF39109" s="679"/>
    </row>
    <row r="39110" spans="32:32" x14ac:dyDescent="0.2">
      <c r="AF39110" s="679"/>
    </row>
    <row r="39111" spans="32:32" x14ac:dyDescent="0.2">
      <c r="AF39111" s="679"/>
    </row>
    <row r="39112" spans="32:32" x14ac:dyDescent="0.2">
      <c r="AF39112" s="679"/>
    </row>
    <row r="39113" spans="32:32" x14ac:dyDescent="0.2">
      <c r="AF39113" s="679"/>
    </row>
    <row r="39114" spans="32:32" x14ac:dyDescent="0.2">
      <c r="AF39114" s="679"/>
    </row>
    <row r="39115" spans="32:32" x14ac:dyDescent="0.2">
      <c r="AF39115" s="679"/>
    </row>
    <row r="39116" spans="32:32" x14ac:dyDescent="0.2">
      <c r="AF39116" s="679"/>
    </row>
    <row r="39117" spans="32:32" x14ac:dyDescent="0.2">
      <c r="AF39117" s="679"/>
    </row>
    <row r="39118" spans="32:32" x14ac:dyDescent="0.2">
      <c r="AF39118" s="679"/>
    </row>
    <row r="39119" spans="32:32" x14ac:dyDescent="0.2">
      <c r="AF39119" s="679"/>
    </row>
    <row r="39120" spans="32:32" x14ac:dyDescent="0.2">
      <c r="AF39120" s="679"/>
    </row>
    <row r="39121" spans="32:32" x14ac:dyDescent="0.2">
      <c r="AF39121" s="679"/>
    </row>
    <row r="39122" spans="32:32" x14ac:dyDescent="0.2">
      <c r="AF39122" s="679"/>
    </row>
    <row r="39123" spans="32:32" x14ac:dyDescent="0.2">
      <c r="AF39123" s="679"/>
    </row>
    <row r="39124" spans="32:32" x14ac:dyDescent="0.2">
      <c r="AF39124" s="679"/>
    </row>
    <row r="39125" spans="32:32" x14ac:dyDescent="0.2">
      <c r="AF39125" s="679"/>
    </row>
    <row r="39126" spans="32:32" x14ac:dyDescent="0.2">
      <c r="AF39126" s="679"/>
    </row>
    <row r="39127" spans="32:32" x14ac:dyDescent="0.2">
      <c r="AF39127" s="679"/>
    </row>
    <row r="39128" spans="32:32" x14ac:dyDescent="0.2">
      <c r="AF39128" s="679"/>
    </row>
    <row r="39129" spans="32:32" x14ac:dyDescent="0.2">
      <c r="AF39129" s="679"/>
    </row>
    <row r="39130" spans="32:32" x14ac:dyDescent="0.2">
      <c r="AF39130" s="679"/>
    </row>
    <row r="39131" spans="32:32" x14ac:dyDescent="0.2">
      <c r="AF39131" s="679"/>
    </row>
    <row r="39132" spans="32:32" x14ac:dyDescent="0.2">
      <c r="AF39132" s="679"/>
    </row>
    <row r="39133" spans="32:32" x14ac:dyDescent="0.2">
      <c r="AF39133" s="679"/>
    </row>
    <row r="39134" spans="32:32" x14ac:dyDescent="0.2">
      <c r="AF39134" s="679"/>
    </row>
    <row r="39135" spans="32:32" x14ac:dyDescent="0.2">
      <c r="AF39135" s="679"/>
    </row>
    <row r="39136" spans="32:32" x14ac:dyDescent="0.2">
      <c r="AF39136" s="679"/>
    </row>
    <row r="39137" spans="32:32" x14ac:dyDescent="0.2">
      <c r="AF39137" s="679"/>
    </row>
    <row r="39138" spans="32:32" x14ac:dyDescent="0.2">
      <c r="AF39138" s="679"/>
    </row>
    <row r="39139" spans="32:32" x14ac:dyDescent="0.2">
      <c r="AF39139" s="679"/>
    </row>
    <row r="39140" spans="32:32" x14ac:dyDescent="0.2">
      <c r="AF39140" s="679"/>
    </row>
    <row r="39141" spans="32:32" x14ac:dyDescent="0.2">
      <c r="AF39141" s="679"/>
    </row>
    <row r="39142" spans="32:32" x14ac:dyDescent="0.2">
      <c r="AF39142" s="679"/>
    </row>
    <row r="39143" spans="32:32" x14ac:dyDescent="0.2">
      <c r="AF39143" s="679"/>
    </row>
    <row r="39144" spans="32:32" x14ac:dyDescent="0.2">
      <c r="AF39144" s="679"/>
    </row>
    <row r="39145" spans="32:32" x14ac:dyDescent="0.2">
      <c r="AF39145" s="679"/>
    </row>
    <row r="39146" spans="32:32" x14ac:dyDescent="0.2">
      <c r="AF39146" s="679"/>
    </row>
    <row r="39147" spans="32:32" x14ac:dyDescent="0.2">
      <c r="AF39147" s="679"/>
    </row>
    <row r="39148" spans="32:32" x14ac:dyDescent="0.2">
      <c r="AF39148" s="679"/>
    </row>
    <row r="39149" spans="32:32" x14ac:dyDescent="0.2">
      <c r="AF39149" s="679"/>
    </row>
    <row r="39150" spans="32:32" x14ac:dyDescent="0.2">
      <c r="AF39150" s="679"/>
    </row>
    <row r="39151" spans="32:32" x14ac:dyDescent="0.2">
      <c r="AF39151" s="679"/>
    </row>
    <row r="39152" spans="32:32" x14ac:dyDescent="0.2">
      <c r="AF39152" s="679"/>
    </row>
    <row r="39153" spans="32:32" x14ac:dyDescent="0.2">
      <c r="AF39153" s="679"/>
    </row>
    <row r="39154" spans="32:32" x14ac:dyDescent="0.2">
      <c r="AF39154" s="679"/>
    </row>
    <row r="39155" spans="32:32" x14ac:dyDescent="0.2">
      <c r="AF39155" s="679"/>
    </row>
    <row r="39156" spans="32:32" x14ac:dyDescent="0.2">
      <c r="AF39156" s="679"/>
    </row>
    <row r="39157" spans="32:32" x14ac:dyDescent="0.2">
      <c r="AF39157" s="679"/>
    </row>
    <row r="39158" spans="32:32" x14ac:dyDescent="0.2">
      <c r="AF39158" s="679"/>
    </row>
    <row r="39159" spans="32:32" x14ac:dyDescent="0.2">
      <c r="AF39159" s="679"/>
    </row>
    <row r="39160" spans="32:32" x14ac:dyDescent="0.2">
      <c r="AF39160" s="679"/>
    </row>
    <row r="39161" spans="32:32" x14ac:dyDescent="0.2">
      <c r="AF39161" s="679"/>
    </row>
    <row r="39162" spans="32:32" x14ac:dyDescent="0.2">
      <c r="AF39162" s="679"/>
    </row>
    <row r="39163" spans="32:32" x14ac:dyDescent="0.2">
      <c r="AF39163" s="679"/>
    </row>
    <row r="39164" spans="32:32" x14ac:dyDescent="0.2">
      <c r="AF39164" s="679"/>
    </row>
    <row r="39165" spans="32:32" x14ac:dyDescent="0.2">
      <c r="AF39165" s="679"/>
    </row>
    <row r="39166" spans="32:32" x14ac:dyDescent="0.2">
      <c r="AF39166" s="679"/>
    </row>
    <row r="39167" spans="32:32" x14ac:dyDescent="0.2">
      <c r="AF39167" s="679"/>
    </row>
    <row r="39168" spans="32:32" x14ac:dyDescent="0.2">
      <c r="AF39168" s="679"/>
    </row>
    <row r="39169" spans="32:32" x14ac:dyDescent="0.2">
      <c r="AF39169" s="679"/>
    </row>
    <row r="39170" spans="32:32" x14ac:dyDescent="0.2">
      <c r="AF39170" s="679"/>
    </row>
    <row r="39171" spans="32:32" x14ac:dyDescent="0.2">
      <c r="AF39171" s="679"/>
    </row>
    <row r="39172" spans="32:32" x14ac:dyDescent="0.2">
      <c r="AF39172" s="679"/>
    </row>
    <row r="39173" spans="32:32" x14ac:dyDescent="0.2">
      <c r="AF39173" s="679"/>
    </row>
    <row r="39174" spans="32:32" x14ac:dyDescent="0.2">
      <c r="AF39174" s="679"/>
    </row>
    <row r="39175" spans="32:32" x14ac:dyDescent="0.2">
      <c r="AF39175" s="679"/>
    </row>
    <row r="39176" spans="32:32" x14ac:dyDescent="0.2">
      <c r="AF39176" s="679"/>
    </row>
    <row r="39177" spans="32:32" x14ac:dyDescent="0.2">
      <c r="AF39177" s="679"/>
    </row>
    <row r="39178" spans="32:32" x14ac:dyDescent="0.2">
      <c r="AF39178" s="679"/>
    </row>
    <row r="39179" spans="32:32" x14ac:dyDescent="0.2">
      <c r="AF39179" s="679"/>
    </row>
    <row r="39180" spans="32:32" x14ac:dyDescent="0.2">
      <c r="AF39180" s="679"/>
    </row>
    <row r="39181" spans="32:32" x14ac:dyDescent="0.2">
      <c r="AF39181" s="679"/>
    </row>
    <row r="39182" spans="32:32" x14ac:dyDescent="0.2">
      <c r="AF39182" s="679"/>
    </row>
    <row r="39183" spans="32:32" x14ac:dyDescent="0.2">
      <c r="AF39183" s="679"/>
    </row>
    <row r="39184" spans="32:32" x14ac:dyDescent="0.2">
      <c r="AF39184" s="679"/>
    </row>
    <row r="39185" spans="32:32" x14ac:dyDescent="0.2">
      <c r="AF39185" s="679"/>
    </row>
    <row r="39186" spans="32:32" x14ac:dyDescent="0.2">
      <c r="AF39186" s="679"/>
    </row>
    <row r="39187" spans="32:32" x14ac:dyDescent="0.2">
      <c r="AF39187" s="679"/>
    </row>
    <row r="39188" spans="32:32" x14ac:dyDescent="0.2">
      <c r="AF39188" s="679"/>
    </row>
    <row r="39189" spans="32:32" x14ac:dyDescent="0.2">
      <c r="AF39189" s="679"/>
    </row>
    <row r="39190" spans="32:32" x14ac:dyDescent="0.2">
      <c r="AF39190" s="679"/>
    </row>
    <row r="39191" spans="32:32" x14ac:dyDescent="0.2">
      <c r="AF39191" s="679"/>
    </row>
    <row r="39192" spans="32:32" x14ac:dyDescent="0.2">
      <c r="AF39192" s="679"/>
    </row>
    <row r="39193" spans="32:32" x14ac:dyDescent="0.2">
      <c r="AF39193" s="679"/>
    </row>
    <row r="39194" spans="32:32" x14ac:dyDescent="0.2">
      <c r="AF39194" s="679"/>
    </row>
    <row r="39195" spans="32:32" x14ac:dyDescent="0.2">
      <c r="AF39195" s="679"/>
    </row>
    <row r="39196" spans="32:32" x14ac:dyDescent="0.2">
      <c r="AF39196" s="679"/>
    </row>
    <row r="39197" spans="32:32" x14ac:dyDescent="0.2">
      <c r="AF39197" s="679"/>
    </row>
    <row r="39198" spans="32:32" x14ac:dyDescent="0.2">
      <c r="AF39198" s="679"/>
    </row>
    <row r="39199" spans="32:32" x14ac:dyDescent="0.2">
      <c r="AF39199" s="679"/>
    </row>
    <row r="39200" spans="32:32" x14ac:dyDescent="0.2">
      <c r="AF39200" s="679"/>
    </row>
    <row r="39201" spans="32:32" x14ac:dyDescent="0.2">
      <c r="AF39201" s="679"/>
    </row>
    <row r="39202" spans="32:32" x14ac:dyDescent="0.2">
      <c r="AF39202" s="679"/>
    </row>
    <row r="39203" spans="32:32" x14ac:dyDescent="0.2">
      <c r="AF39203" s="679"/>
    </row>
    <row r="39204" spans="32:32" x14ac:dyDescent="0.2">
      <c r="AF39204" s="679"/>
    </row>
    <row r="39205" spans="32:32" x14ac:dyDescent="0.2">
      <c r="AF39205" s="679"/>
    </row>
    <row r="39206" spans="32:32" x14ac:dyDescent="0.2">
      <c r="AF39206" s="679"/>
    </row>
    <row r="39207" spans="32:32" x14ac:dyDescent="0.2">
      <c r="AF39207" s="679"/>
    </row>
    <row r="39208" spans="32:32" x14ac:dyDescent="0.2">
      <c r="AF39208" s="679"/>
    </row>
    <row r="39209" spans="32:32" x14ac:dyDescent="0.2">
      <c r="AF39209" s="679"/>
    </row>
    <row r="39210" spans="32:32" x14ac:dyDescent="0.2">
      <c r="AF39210" s="679"/>
    </row>
    <row r="39211" spans="32:32" x14ac:dyDescent="0.2">
      <c r="AF39211" s="679"/>
    </row>
    <row r="39212" spans="32:32" x14ac:dyDescent="0.2">
      <c r="AF39212" s="679"/>
    </row>
    <row r="39213" spans="32:32" x14ac:dyDescent="0.2">
      <c r="AF39213" s="679"/>
    </row>
    <row r="39214" spans="32:32" x14ac:dyDescent="0.2">
      <c r="AF39214" s="679"/>
    </row>
    <row r="39215" spans="32:32" x14ac:dyDescent="0.2">
      <c r="AF39215" s="679"/>
    </row>
    <row r="39216" spans="32:32" x14ac:dyDescent="0.2">
      <c r="AF39216" s="679"/>
    </row>
    <row r="39217" spans="32:32" x14ac:dyDescent="0.2">
      <c r="AF39217" s="679"/>
    </row>
    <row r="39218" spans="32:32" x14ac:dyDescent="0.2">
      <c r="AF39218" s="679"/>
    </row>
    <row r="39219" spans="32:32" x14ac:dyDescent="0.2">
      <c r="AF39219" s="679"/>
    </row>
    <row r="39220" spans="32:32" x14ac:dyDescent="0.2">
      <c r="AF39220" s="679"/>
    </row>
    <row r="39221" spans="32:32" x14ac:dyDescent="0.2">
      <c r="AF39221" s="679"/>
    </row>
    <row r="39222" spans="32:32" x14ac:dyDescent="0.2">
      <c r="AF39222" s="679"/>
    </row>
    <row r="39223" spans="32:32" x14ac:dyDescent="0.2">
      <c r="AF39223" s="679"/>
    </row>
    <row r="39224" spans="32:32" x14ac:dyDescent="0.2">
      <c r="AF39224" s="679"/>
    </row>
    <row r="39225" spans="32:32" x14ac:dyDescent="0.2">
      <c r="AF39225" s="679"/>
    </row>
    <row r="39226" spans="32:32" x14ac:dyDescent="0.2">
      <c r="AF39226" s="679"/>
    </row>
    <row r="39227" spans="32:32" x14ac:dyDescent="0.2">
      <c r="AF39227" s="679"/>
    </row>
    <row r="39228" spans="32:32" x14ac:dyDescent="0.2">
      <c r="AF39228" s="679"/>
    </row>
    <row r="39229" spans="32:32" x14ac:dyDescent="0.2">
      <c r="AF39229" s="679"/>
    </row>
    <row r="39230" spans="32:32" x14ac:dyDescent="0.2">
      <c r="AF39230" s="679"/>
    </row>
    <row r="39231" spans="32:32" x14ac:dyDescent="0.2">
      <c r="AF39231" s="679"/>
    </row>
    <row r="39232" spans="32:32" x14ac:dyDescent="0.2">
      <c r="AF39232" s="679"/>
    </row>
    <row r="39233" spans="32:32" x14ac:dyDescent="0.2">
      <c r="AF39233" s="679"/>
    </row>
    <row r="39234" spans="32:32" x14ac:dyDescent="0.2">
      <c r="AF39234" s="679"/>
    </row>
    <row r="39235" spans="32:32" x14ac:dyDescent="0.2">
      <c r="AF39235" s="679"/>
    </row>
    <row r="39236" spans="32:32" x14ac:dyDescent="0.2">
      <c r="AF39236" s="679"/>
    </row>
    <row r="39237" spans="32:32" x14ac:dyDescent="0.2">
      <c r="AF39237" s="679"/>
    </row>
    <row r="39238" spans="32:32" x14ac:dyDescent="0.2">
      <c r="AF39238" s="679"/>
    </row>
    <row r="39239" spans="32:32" x14ac:dyDescent="0.2">
      <c r="AF39239" s="679"/>
    </row>
    <row r="39240" spans="32:32" x14ac:dyDescent="0.2">
      <c r="AF39240" s="679"/>
    </row>
    <row r="39241" spans="32:32" x14ac:dyDescent="0.2">
      <c r="AF39241" s="679"/>
    </row>
    <row r="39242" spans="32:32" x14ac:dyDescent="0.2">
      <c r="AF39242" s="679"/>
    </row>
    <row r="39243" spans="32:32" x14ac:dyDescent="0.2">
      <c r="AF39243" s="679"/>
    </row>
    <row r="39244" spans="32:32" x14ac:dyDescent="0.2">
      <c r="AF39244" s="679"/>
    </row>
    <row r="39245" spans="32:32" x14ac:dyDescent="0.2">
      <c r="AF39245" s="679"/>
    </row>
    <row r="39246" spans="32:32" x14ac:dyDescent="0.2">
      <c r="AF39246" s="679"/>
    </row>
    <row r="39247" spans="32:32" x14ac:dyDescent="0.2">
      <c r="AF39247" s="679"/>
    </row>
    <row r="39248" spans="32:32" x14ac:dyDescent="0.2">
      <c r="AF39248" s="679"/>
    </row>
    <row r="39249" spans="32:32" x14ac:dyDescent="0.2">
      <c r="AF39249" s="679"/>
    </row>
    <row r="39250" spans="32:32" x14ac:dyDescent="0.2">
      <c r="AF39250" s="679"/>
    </row>
    <row r="39251" spans="32:32" x14ac:dyDescent="0.2">
      <c r="AF39251" s="679"/>
    </row>
    <row r="39252" spans="32:32" x14ac:dyDescent="0.2">
      <c r="AF39252" s="679"/>
    </row>
    <row r="39253" spans="32:32" x14ac:dyDescent="0.2">
      <c r="AF39253" s="679"/>
    </row>
    <row r="39254" spans="32:32" x14ac:dyDescent="0.2">
      <c r="AF39254" s="679"/>
    </row>
    <row r="39255" spans="32:32" x14ac:dyDescent="0.2">
      <c r="AF39255" s="679"/>
    </row>
    <row r="39256" spans="32:32" x14ac:dyDescent="0.2">
      <c r="AF39256" s="679"/>
    </row>
    <row r="39257" spans="32:32" x14ac:dyDescent="0.2">
      <c r="AF39257" s="679"/>
    </row>
    <row r="39258" spans="32:32" x14ac:dyDescent="0.2">
      <c r="AF39258" s="679"/>
    </row>
    <row r="39259" spans="32:32" x14ac:dyDescent="0.2">
      <c r="AF39259" s="679"/>
    </row>
    <row r="39260" spans="32:32" x14ac:dyDescent="0.2">
      <c r="AF39260" s="679"/>
    </row>
    <row r="39261" spans="32:32" x14ac:dyDescent="0.2">
      <c r="AF39261" s="679"/>
    </row>
    <row r="39262" spans="32:32" x14ac:dyDescent="0.2">
      <c r="AF39262" s="679"/>
    </row>
    <row r="39263" spans="32:32" x14ac:dyDescent="0.2">
      <c r="AF39263" s="679"/>
    </row>
    <row r="39264" spans="32:32" x14ac:dyDescent="0.2">
      <c r="AF39264" s="679"/>
    </row>
    <row r="39265" spans="32:32" x14ac:dyDescent="0.2">
      <c r="AF39265" s="679"/>
    </row>
    <row r="39266" spans="32:32" x14ac:dyDescent="0.2">
      <c r="AF39266" s="679"/>
    </row>
    <row r="39267" spans="32:32" x14ac:dyDescent="0.2">
      <c r="AF39267" s="679"/>
    </row>
    <row r="39268" spans="32:32" x14ac:dyDescent="0.2">
      <c r="AF39268" s="679"/>
    </row>
    <row r="39269" spans="32:32" x14ac:dyDescent="0.2">
      <c r="AF39269" s="679"/>
    </row>
    <row r="39270" spans="32:32" x14ac:dyDescent="0.2">
      <c r="AF39270" s="679"/>
    </row>
    <row r="39271" spans="32:32" x14ac:dyDescent="0.2">
      <c r="AF39271" s="679"/>
    </row>
    <row r="39272" spans="32:32" x14ac:dyDescent="0.2">
      <c r="AF39272" s="679"/>
    </row>
    <row r="39273" spans="32:32" x14ac:dyDescent="0.2">
      <c r="AF39273" s="679"/>
    </row>
    <row r="39274" spans="32:32" x14ac:dyDescent="0.2">
      <c r="AF39274" s="679"/>
    </row>
    <row r="39275" spans="32:32" x14ac:dyDescent="0.2">
      <c r="AF39275" s="679"/>
    </row>
    <row r="39276" spans="32:32" x14ac:dyDescent="0.2">
      <c r="AF39276" s="679"/>
    </row>
    <row r="39277" spans="32:32" x14ac:dyDescent="0.2">
      <c r="AF39277" s="679"/>
    </row>
    <row r="39278" spans="32:32" x14ac:dyDescent="0.2">
      <c r="AF39278" s="679"/>
    </row>
    <row r="39279" spans="32:32" x14ac:dyDescent="0.2">
      <c r="AF39279" s="679"/>
    </row>
    <row r="39280" spans="32:32" x14ac:dyDescent="0.2">
      <c r="AF39280" s="679"/>
    </row>
    <row r="39281" spans="32:32" x14ac:dyDescent="0.2">
      <c r="AF39281" s="679"/>
    </row>
    <row r="39282" spans="32:32" x14ac:dyDescent="0.2">
      <c r="AF39282" s="679"/>
    </row>
    <row r="39283" spans="32:32" x14ac:dyDescent="0.2">
      <c r="AF39283" s="679"/>
    </row>
    <row r="39284" spans="32:32" x14ac:dyDescent="0.2">
      <c r="AF39284" s="679"/>
    </row>
    <row r="39285" spans="32:32" x14ac:dyDescent="0.2">
      <c r="AF39285" s="679"/>
    </row>
    <row r="39286" spans="32:32" x14ac:dyDescent="0.2">
      <c r="AF39286" s="679"/>
    </row>
    <row r="39287" spans="32:32" x14ac:dyDescent="0.2">
      <c r="AF39287" s="679"/>
    </row>
    <row r="39288" spans="32:32" x14ac:dyDescent="0.2">
      <c r="AF39288" s="679"/>
    </row>
    <row r="39289" spans="32:32" x14ac:dyDescent="0.2">
      <c r="AF39289" s="679"/>
    </row>
    <row r="39290" spans="32:32" x14ac:dyDescent="0.2">
      <c r="AF39290" s="679"/>
    </row>
    <row r="39291" spans="32:32" x14ac:dyDescent="0.2">
      <c r="AF39291" s="679"/>
    </row>
    <row r="39292" spans="32:32" x14ac:dyDescent="0.2">
      <c r="AF39292" s="679"/>
    </row>
    <row r="39293" spans="32:32" x14ac:dyDescent="0.2">
      <c r="AF39293" s="679"/>
    </row>
    <row r="39294" spans="32:32" x14ac:dyDescent="0.2">
      <c r="AF39294" s="679"/>
    </row>
    <row r="39295" spans="32:32" x14ac:dyDescent="0.2">
      <c r="AF39295" s="679"/>
    </row>
    <row r="39296" spans="32:32" x14ac:dyDescent="0.2">
      <c r="AF39296" s="679"/>
    </row>
    <row r="39297" spans="32:32" x14ac:dyDescent="0.2">
      <c r="AF39297" s="679"/>
    </row>
    <row r="39298" spans="32:32" x14ac:dyDescent="0.2">
      <c r="AF39298" s="679"/>
    </row>
    <row r="39299" spans="32:32" x14ac:dyDescent="0.2">
      <c r="AF39299" s="679"/>
    </row>
    <row r="39300" spans="32:32" x14ac:dyDescent="0.2">
      <c r="AF39300" s="679"/>
    </row>
    <row r="39301" spans="32:32" x14ac:dyDescent="0.2">
      <c r="AF39301" s="679"/>
    </row>
    <row r="39302" spans="32:32" x14ac:dyDescent="0.2">
      <c r="AF39302" s="679"/>
    </row>
    <row r="39303" spans="32:32" x14ac:dyDescent="0.2">
      <c r="AF39303" s="679"/>
    </row>
    <row r="39304" spans="32:32" x14ac:dyDescent="0.2">
      <c r="AF39304" s="679"/>
    </row>
    <row r="39305" spans="32:32" x14ac:dyDescent="0.2">
      <c r="AF39305" s="679"/>
    </row>
    <row r="39306" spans="32:32" x14ac:dyDescent="0.2">
      <c r="AF39306" s="679"/>
    </row>
    <row r="39307" spans="32:32" x14ac:dyDescent="0.2">
      <c r="AF39307" s="679"/>
    </row>
    <row r="39308" spans="32:32" x14ac:dyDescent="0.2">
      <c r="AF39308" s="679"/>
    </row>
    <row r="39309" spans="32:32" x14ac:dyDescent="0.2">
      <c r="AF39309" s="679"/>
    </row>
    <row r="39310" spans="32:32" x14ac:dyDescent="0.2">
      <c r="AF39310" s="679"/>
    </row>
    <row r="39311" spans="32:32" x14ac:dyDescent="0.2">
      <c r="AF39311" s="679"/>
    </row>
    <row r="39312" spans="32:32" x14ac:dyDescent="0.2">
      <c r="AF39312" s="679"/>
    </row>
    <row r="39313" spans="32:32" x14ac:dyDescent="0.2">
      <c r="AF39313" s="679"/>
    </row>
    <row r="39314" spans="32:32" x14ac:dyDescent="0.2">
      <c r="AF39314" s="679"/>
    </row>
    <row r="39315" spans="32:32" x14ac:dyDescent="0.2">
      <c r="AF39315" s="679"/>
    </row>
    <row r="39316" spans="32:32" x14ac:dyDescent="0.2">
      <c r="AF39316" s="679"/>
    </row>
    <row r="39317" spans="32:32" x14ac:dyDescent="0.2">
      <c r="AF39317" s="679"/>
    </row>
    <row r="39318" spans="32:32" x14ac:dyDescent="0.2">
      <c r="AF39318" s="679"/>
    </row>
    <row r="39319" spans="32:32" x14ac:dyDescent="0.2">
      <c r="AF39319" s="679"/>
    </row>
    <row r="39320" spans="32:32" x14ac:dyDescent="0.2">
      <c r="AF39320" s="679"/>
    </row>
    <row r="39321" spans="32:32" x14ac:dyDescent="0.2">
      <c r="AF39321" s="679"/>
    </row>
    <row r="39322" spans="32:32" x14ac:dyDescent="0.2">
      <c r="AF39322" s="679"/>
    </row>
    <row r="39323" spans="32:32" x14ac:dyDescent="0.2">
      <c r="AF39323" s="679"/>
    </row>
    <row r="39324" spans="32:32" x14ac:dyDescent="0.2">
      <c r="AF39324" s="679"/>
    </row>
    <row r="39325" spans="32:32" x14ac:dyDescent="0.2">
      <c r="AF39325" s="679"/>
    </row>
    <row r="39326" spans="32:32" x14ac:dyDescent="0.2">
      <c r="AF39326" s="679"/>
    </row>
    <row r="39327" spans="32:32" x14ac:dyDescent="0.2">
      <c r="AF39327" s="679"/>
    </row>
    <row r="39328" spans="32:32" x14ac:dyDescent="0.2">
      <c r="AF39328" s="679"/>
    </row>
    <row r="39329" spans="32:32" x14ac:dyDescent="0.2">
      <c r="AF39329" s="679"/>
    </row>
    <row r="39330" spans="32:32" x14ac:dyDescent="0.2">
      <c r="AF39330" s="679"/>
    </row>
    <row r="39331" spans="32:32" x14ac:dyDescent="0.2">
      <c r="AF39331" s="679"/>
    </row>
    <row r="39332" spans="32:32" x14ac:dyDescent="0.2">
      <c r="AF39332" s="679"/>
    </row>
    <row r="39333" spans="32:32" x14ac:dyDescent="0.2">
      <c r="AF39333" s="679"/>
    </row>
    <row r="39334" spans="32:32" x14ac:dyDescent="0.2">
      <c r="AF39334" s="679"/>
    </row>
    <row r="39335" spans="32:32" x14ac:dyDescent="0.2">
      <c r="AF39335" s="679"/>
    </row>
    <row r="39336" spans="32:32" x14ac:dyDescent="0.2">
      <c r="AF39336" s="679"/>
    </row>
    <row r="39337" spans="32:32" x14ac:dyDescent="0.2">
      <c r="AF39337" s="679"/>
    </row>
    <row r="39338" spans="32:32" x14ac:dyDescent="0.2">
      <c r="AF39338" s="679"/>
    </row>
    <row r="39339" spans="32:32" x14ac:dyDescent="0.2">
      <c r="AF39339" s="679"/>
    </row>
    <row r="39340" spans="32:32" x14ac:dyDescent="0.2">
      <c r="AF39340" s="679"/>
    </row>
    <row r="39341" spans="32:32" x14ac:dyDescent="0.2">
      <c r="AF39341" s="679"/>
    </row>
    <row r="39342" spans="32:32" x14ac:dyDescent="0.2">
      <c r="AF39342" s="679"/>
    </row>
    <row r="39343" spans="32:32" x14ac:dyDescent="0.2">
      <c r="AF39343" s="679"/>
    </row>
    <row r="39344" spans="32:32" x14ac:dyDescent="0.2">
      <c r="AF39344" s="679"/>
    </row>
    <row r="39345" spans="32:32" x14ac:dyDescent="0.2">
      <c r="AF39345" s="679"/>
    </row>
    <row r="39346" spans="32:32" x14ac:dyDescent="0.2">
      <c r="AF39346" s="679"/>
    </row>
    <row r="39347" spans="32:32" x14ac:dyDescent="0.2">
      <c r="AF39347" s="679"/>
    </row>
    <row r="39348" spans="32:32" x14ac:dyDescent="0.2">
      <c r="AF39348" s="679"/>
    </row>
    <row r="39349" spans="32:32" x14ac:dyDescent="0.2">
      <c r="AF39349" s="679"/>
    </row>
    <row r="39350" spans="32:32" x14ac:dyDescent="0.2">
      <c r="AF39350" s="679"/>
    </row>
    <row r="39351" spans="32:32" x14ac:dyDescent="0.2">
      <c r="AF39351" s="679"/>
    </row>
    <row r="39352" spans="32:32" x14ac:dyDescent="0.2">
      <c r="AF39352" s="679"/>
    </row>
    <row r="39353" spans="32:32" x14ac:dyDescent="0.2">
      <c r="AF39353" s="679"/>
    </row>
    <row r="39354" spans="32:32" x14ac:dyDescent="0.2">
      <c r="AF39354" s="679"/>
    </row>
    <row r="39355" spans="32:32" x14ac:dyDescent="0.2">
      <c r="AF39355" s="679"/>
    </row>
    <row r="39356" spans="32:32" x14ac:dyDescent="0.2">
      <c r="AF39356" s="679"/>
    </row>
    <row r="39357" spans="32:32" x14ac:dyDescent="0.2">
      <c r="AF39357" s="679"/>
    </row>
    <row r="39358" spans="32:32" x14ac:dyDescent="0.2">
      <c r="AF39358" s="679"/>
    </row>
    <row r="39359" spans="32:32" x14ac:dyDescent="0.2">
      <c r="AF39359" s="679"/>
    </row>
    <row r="39360" spans="32:32" x14ac:dyDescent="0.2">
      <c r="AF39360" s="679"/>
    </row>
    <row r="39361" spans="32:32" x14ac:dyDescent="0.2">
      <c r="AF39361" s="679"/>
    </row>
    <row r="39362" spans="32:32" x14ac:dyDescent="0.2">
      <c r="AF39362" s="679"/>
    </row>
    <row r="39363" spans="32:32" x14ac:dyDescent="0.2">
      <c r="AF39363" s="679"/>
    </row>
    <row r="39364" spans="32:32" x14ac:dyDescent="0.2">
      <c r="AF39364" s="679"/>
    </row>
    <row r="39365" spans="32:32" x14ac:dyDescent="0.2">
      <c r="AF39365" s="679"/>
    </row>
    <row r="39366" spans="32:32" x14ac:dyDescent="0.2">
      <c r="AF39366" s="679"/>
    </row>
    <row r="39367" spans="32:32" x14ac:dyDescent="0.2">
      <c r="AF39367" s="679"/>
    </row>
    <row r="39368" spans="32:32" x14ac:dyDescent="0.2">
      <c r="AF39368" s="679"/>
    </row>
    <row r="39369" spans="32:32" x14ac:dyDescent="0.2">
      <c r="AF39369" s="679"/>
    </row>
    <row r="39370" spans="32:32" x14ac:dyDescent="0.2">
      <c r="AF39370" s="679"/>
    </row>
    <row r="39371" spans="32:32" x14ac:dyDescent="0.2">
      <c r="AF39371" s="679"/>
    </row>
    <row r="39372" spans="32:32" x14ac:dyDescent="0.2">
      <c r="AF39372" s="679"/>
    </row>
    <row r="39373" spans="32:32" x14ac:dyDescent="0.2">
      <c r="AF39373" s="679"/>
    </row>
    <row r="39374" spans="32:32" x14ac:dyDescent="0.2">
      <c r="AF39374" s="679"/>
    </row>
    <row r="39375" spans="32:32" x14ac:dyDescent="0.2">
      <c r="AF39375" s="679"/>
    </row>
    <row r="39376" spans="32:32" x14ac:dyDescent="0.2">
      <c r="AF39376" s="679"/>
    </row>
    <row r="39377" spans="32:32" x14ac:dyDescent="0.2">
      <c r="AF39377" s="679"/>
    </row>
    <row r="39378" spans="32:32" x14ac:dyDescent="0.2">
      <c r="AF39378" s="679"/>
    </row>
    <row r="39379" spans="32:32" x14ac:dyDescent="0.2">
      <c r="AF39379" s="679"/>
    </row>
    <row r="39380" spans="32:32" x14ac:dyDescent="0.2">
      <c r="AF39380" s="679"/>
    </row>
    <row r="39381" spans="32:32" x14ac:dyDescent="0.2">
      <c r="AF39381" s="679"/>
    </row>
    <row r="39382" spans="32:32" x14ac:dyDescent="0.2">
      <c r="AF39382" s="679"/>
    </row>
    <row r="39383" spans="32:32" x14ac:dyDescent="0.2">
      <c r="AF39383" s="679"/>
    </row>
    <row r="39384" spans="32:32" x14ac:dyDescent="0.2">
      <c r="AF39384" s="679"/>
    </row>
    <row r="39385" spans="32:32" x14ac:dyDescent="0.2">
      <c r="AF39385" s="679"/>
    </row>
    <row r="39386" spans="32:32" x14ac:dyDescent="0.2">
      <c r="AF39386" s="679"/>
    </row>
    <row r="39387" spans="32:32" x14ac:dyDescent="0.2">
      <c r="AF39387" s="679"/>
    </row>
    <row r="39388" spans="32:32" x14ac:dyDescent="0.2">
      <c r="AF39388" s="679"/>
    </row>
    <row r="39389" spans="32:32" x14ac:dyDescent="0.2">
      <c r="AF39389" s="679"/>
    </row>
    <row r="39390" spans="32:32" x14ac:dyDescent="0.2">
      <c r="AF39390" s="679"/>
    </row>
    <row r="39391" spans="32:32" x14ac:dyDescent="0.2">
      <c r="AF39391" s="679"/>
    </row>
    <row r="39392" spans="32:32" x14ac:dyDescent="0.2">
      <c r="AF39392" s="679"/>
    </row>
    <row r="39393" spans="32:32" x14ac:dyDescent="0.2">
      <c r="AF39393" s="679"/>
    </row>
    <row r="39394" spans="32:32" x14ac:dyDescent="0.2">
      <c r="AF39394" s="679"/>
    </row>
    <row r="39395" spans="32:32" x14ac:dyDescent="0.2">
      <c r="AF39395" s="679"/>
    </row>
    <row r="39396" spans="32:32" x14ac:dyDescent="0.2">
      <c r="AF39396" s="679"/>
    </row>
    <row r="39397" spans="32:32" x14ac:dyDescent="0.2">
      <c r="AF39397" s="679"/>
    </row>
    <row r="39398" spans="32:32" x14ac:dyDescent="0.2">
      <c r="AF39398" s="679"/>
    </row>
    <row r="39399" spans="32:32" x14ac:dyDescent="0.2">
      <c r="AF39399" s="679"/>
    </row>
    <row r="39400" spans="32:32" x14ac:dyDescent="0.2">
      <c r="AF39400" s="679"/>
    </row>
    <row r="39401" spans="32:32" x14ac:dyDescent="0.2">
      <c r="AF39401" s="679"/>
    </row>
    <row r="39402" spans="32:32" x14ac:dyDescent="0.2">
      <c r="AF39402" s="679"/>
    </row>
    <row r="39403" spans="32:32" x14ac:dyDescent="0.2">
      <c r="AF39403" s="679"/>
    </row>
    <row r="39404" spans="32:32" x14ac:dyDescent="0.2">
      <c r="AF39404" s="679"/>
    </row>
    <row r="39405" spans="32:32" x14ac:dyDescent="0.2">
      <c r="AF39405" s="679"/>
    </row>
    <row r="39406" spans="32:32" x14ac:dyDescent="0.2">
      <c r="AF39406" s="679"/>
    </row>
    <row r="39407" spans="32:32" x14ac:dyDescent="0.2">
      <c r="AF39407" s="679"/>
    </row>
    <row r="39408" spans="32:32" x14ac:dyDescent="0.2">
      <c r="AF39408" s="679"/>
    </row>
    <row r="39409" spans="32:32" x14ac:dyDescent="0.2">
      <c r="AF39409" s="679"/>
    </row>
    <row r="39410" spans="32:32" x14ac:dyDescent="0.2">
      <c r="AF39410" s="679"/>
    </row>
    <row r="39411" spans="32:32" x14ac:dyDescent="0.2">
      <c r="AF39411" s="679"/>
    </row>
    <row r="39412" spans="32:32" x14ac:dyDescent="0.2">
      <c r="AF39412" s="679"/>
    </row>
    <row r="39413" spans="32:32" x14ac:dyDescent="0.2">
      <c r="AF39413" s="679"/>
    </row>
    <row r="39414" spans="32:32" x14ac:dyDescent="0.2">
      <c r="AF39414" s="679"/>
    </row>
    <row r="39415" spans="32:32" x14ac:dyDescent="0.2">
      <c r="AF39415" s="679"/>
    </row>
    <row r="39416" spans="32:32" x14ac:dyDescent="0.2">
      <c r="AF39416" s="679"/>
    </row>
    <row r="39417" spans="32:32" x14ac:dyDescent="0.2">
      <c r="AF39417" s="679"/>
    </row>
    <row r="39418" spans="32:32" x14ac:dyDescent="0.2">
      <c r="AF39418" s="679"/>
    </row>
    <row r="39419" spans="32:32" x14ac:dyDescent="0.2">
      <c r="AF39419" s="679"/>
    </row>
    <row r="39420" spans="32:32" x14ac:dyDescent="0.2">
      <c r="AF39420" s="679"/>
    </row>
    <row r="39421" spans="32:32" x14ac:dyDescent="0.2">
      <c r="AF39421" s="679"/>
    </row>
    <row r="39422" spans="32:32" x14ac:dyDescent="0.2">
      <c r="AF39422" s="679"/>
    </row>
    <row r="39423" spans="32:32" x14ac:dyDescent="0.2">
      <c r="AF39423" s="679"/>
    </row>
    <row r="39424" spans="32:32" x14ac:dyDescent="0.2">
      <c r="AF39424" s="679"/>
    </row>
    <row r="39425" spans="32:32" x14ac:dyDescent="0.2">
      <c r="AF39425" s="679"/>
    </row>
    <row r="39426" spans="32:32" x14ac:dyDescent="0.2">
      <c r="AF39426" s="679"/>
    </row>
    <row r="39427" spans="32:32" x14ac:dyDescent="0.2">
      <c r="AF39427" s="679"/>
    </row>
    <row r="39428" spans="32:32" x14ac:dyDescent="0.2">
      <c r="AF39428" s="679"/>
    </row>
    <row r="39429" spans="32:32" x14ac:dyDescent="0.2">
      <c r="AF39429" s="679"/>
    </row>
    <row r="39430" spans="32:32" x14ac:dyDescent="0.2">
      <c r="AF39430" s="679"/>
    </row>
    <row r="39431" spans="32:32" x14ac:dyDescent="0.2">
      <c r="AF39431" s="679"/>
    </row>
    <row r="39432" spans="32:32" x14ac:dyDescent="0.2">
      <c r="AF39432" s="679"/>
    </row>
    <row r="39433" spans="32:32" x14ac:dyDescent="0.2">
      <c r="AF39433" s="679"/>
    </row>
    <row r="39434" spans="32:32" x14ac:dyDescent="0.2">
      <c r="AF39434" s="679"/>
    </row>
    <row r="39435" spans="32:32" x14ac:dyDescent="0.2">
      <c r="AF39435" s="679"/>
    </row>
    <row r="39436" spans="32:32" x14ac:dyDescent="0.2">
      <c r="AF39436" s="679"/>
    </row>
    <row r="39437" spans="32:32" x14ac:dyDescent="0.2">
      <c r="AF39437" s="679"/>
    </row>
    <row r="39438" spans="32:32" x14ac:dyDescent="0.2">
      <c r="AF39438" s="679"/>
    </row>
    <row r="39439" spans="32:32" x14ac:dyDescent="0.2">
      <c r="AF39439" s="679"/>
    </row>
    <row r="39440" spans="32:32" x14ac:dyDescent="0.2">
      <c r="AF39440" s="679"/>
    </row>
    <row r="39441" spans="32:32" x14ac:dyDescent="0.2">
      <c r="AF39441" s="679"/>
    </row>
    <row r="39442" spans="32:32" x14ac:dyDescent="0.2">
      <c r="AF39442" s="679"/>
    </row>
    <row r="39443" spans="32:32" x14ac:dyDescent="0.2">
      <c r="AF39443" s="679"/>
    </row>
    <row r="39444" spans="32:32" x14ac:dyDescent="0.2">
      <c r="AF39444" s="679"/>
    </row>
    <row r="39445" spans="32:32" x14ac:dyDescent="0.2">
      <c r="AF39445" s="679"/>
    </row>
    <row r="39446" spans="32:32" x14ac:dyDescent="0.2">
      <c r="AF39446" s="679"/>
    </row>
    <row r="39447" spans="32:32" x14ac:dyDescent="0.2">
      <c r="AF39447" s="679"/>
    </row>
    <row r="39448" spans="32:32" x14ac:dyDescent="0.2">
      <c r="AF39448" s="679"/>
    </row>
    <row r="39449" spans="32:32" x14ac:dyDescent="0.2">
      <c r="AF39449" s="679"/>
    </row>
    <row r="39450" spans="32:32" x14ac:dyDescent="0.2">
      <c r="AF39450" s="679"/>
    </row>
    <row r="39451" spans="32:32" x14ac:dyDescent="0.2">
      <c r="AF39451" s="679"/>
    </row>
    <row r="39452" spans="32:32" x14ac:dyDescent="0.2">
      <c r="AF39452" s="679"/>
    </row>
    <row r="39453" spans="32:32" x14ac:dyDescent="0.2">
      <c r="AF39453" s="679"/>
    </row>
    <row r="39454" spans="32:32" x14ac:dyDescent="0.2">
      <c r="AF39454" s="679"/>
    </row>
    <row r="39455" spans="32:32" x14ac:dyDescent="0.2">
      <c r="AF39455" s="679"/>
    </row>
    <row r="39456" spans="32:32" x14ac:dyDescent="0.2">
      <c r="AF39456" s="679"/>
    </row>
    <row r="39457" spans="32:32" x14ac:dyDescent="0.2">
      <c r="AF39457" s="679"/>
    </row>
    <row r="39458" spans="32:32" x14ac:dyDescent="0.2">
      <c r="AF39458" s="679"/>
    </row>
    <row r="39459" spans="32:32" x14ac:dyDescent="0.2">
      <c r="AF39459" s="679"/>
    </row>
    <row r="39460" spans="32:32" x14ac:dyDescent="0.2">
      <c r="AF39460" s="679"/>
    </row>
    <row r="39461" spans="32:32" x14ac:dyDescent="0.2">
      <c r="AF39461" s="679"/>
    </row>
    <row r="39462" spans="32:32" x14ac:dyDescent="0.2">
      <c r="AF39462" s="679"/>
    </row>
    <row r="39463" spans="32:32" x14ac:dyDescent="0.2">
      <c r="AF39463" s="679"/>
    </row>
    <row r="39464" spans="32:32" x14ac:dyDescent="0.2">
      <c r="AF39464" s="679"/>
    </row>
    <row r="39465" spans="32:32" x14ac:dyDescent="0.2">
      <c r="AF39465" s="679"/>
    </row>
    <row r="39466" spans="32:32" x14ac:dyDescent="0.2">
      <c r="AF39466" s="679"/>
    </row>
    <row r="39467" spans="32:32" x14ac:dyDescent="0.2">
      <c r="AF39467" s="679"/>
    </row>
    <row r="39468" spans="32:32" x14ac:dyDescent="0.2">
      <c r="AF39468" s="679"/>
    </row>
    <row r="39469" spans="32:32" x14ac:dyDescent="0.2">
      <c r="AF39469" s="679"/>
    </row>
    <row r="39470" spans="32:32" x14ac:dyDescent="0.2">
      <c r="AF39470" s="679"/>
    </row>
    <row r="39471" spans="32:32" x14ac:dyDescent="0.2">
      <c r="AF39471" s="679"/>
    </row>
    <row r="39472" spans="32:32" x14ac:dyDescent="0.2">
      <c r="AF39472" s="679"/>
    </row>
    <row r="39473" spans="32:32" x14ac:dyDescent="0.2">
      <c r="AF39473" s="679"/>
    </row>
    <row r="39474" spans="32:32" x14ac:dyDescent="0.2">
      <c r="AF39474" s="679"/>
    </row>
    <row r="39475" spans="32:32" x14ac:dyDescent="0.2">
      <c r="AF39475" s="679"/>
    </row>
    <row r="39476" spans="32:32" x14ac:dyDescent="0.2">
      <c r="AF39476" s="679"/>
    </row>
    <row r="39477" spans="32:32" x14ac:dyDescent="0.2">
      <c r="AF39477" s="679"/>
    </row>
    <row r="39478" spans="32:32" x14ac:dyDescent="0.2">
      <c r="AF39478" s="679"/>
    </row>
    <row r="39479" spans="32:32" x14ac:dyDescent="0.2">
      <c r="AF39479" s="679"/>
    </row>
    <row r="39480" spans="32:32" x14ac:dyDescent="0.2">
      <c r="AF39480" s="679"/>
    </row>
    <row r="39481" spans="32:32" x14ac:dyDescent="0.2">
      <c r="AF39481" s="679"/>
    </row>
    <row r="39482" spans="32:32" x14ac:dyDescent="0.2">
      <c r="AF39482" s="679"/>
    </row>
    <row r="39483" spans="32:32" x14ac:dyDescent="0.2">
      <c r="AF39483" s="679"/>
    </row>
    <row r="39484" spans="32:32" x14ac:dyDescent="0.2">
      <c r="AF39484" s="679"/>
    </row>
    <row r="39485" spans="32:32" x14ac:dyDescent="0.2">
      <c r="AF39485" s="679"/>
    </row>
    <row r="39486" spans="32:32" x14ac:dyDescent="0.2">
      <c r="AF39486" s="679"/>
    </row>
    <row r="39487" spans="32:32" x14ac:dyDescent="0.2">
      <c r="AF39487" s="679"/>
    </row>
    <row r="39488" spans="32:32" x14ac:dyDescent="0.2">
      <c r="AF39488" s="679"/>
    </row>
    <row r="39489" spans="32:32" x14ac:dyDescent="0.2">
      <c r="AF39489" s="679"/>
    </row>
    <row r="39490" spans="32:32" x14ac:dyDescent="0.2">
      <c r="AF39490" s="679"/>
    </row>
    <row r="39491" spans="32:32" x14ac:dyDescent="0.2">
      <c r="AF39491" s="679"/>
    </row>
    <row r="39492" spans="32:32" x14ac:dyDescent="0.2">
      <c r="AF39492" s="679"/>
    </row>
    <row r="39493" spans="32:32" x14ac:dyDescent="0.2">
      <c r="AF39493" s="679"/>
    </row>
    <row r="39494" spans="32:32" x14ac:dyDescent="0.2">
      <c r="AF39494" s="679"/>
    </row>
    <row r="39495" spans="32:32" x14ac:dyDescent="0.2">
      <c r="AF39495" s="679"/>
    </row>
    <row r="39496" spans="32:32" x14ac:dyDescent="0.2">
      <c r="AF39496" s="679"/>
    </row>
    <row r="39497" spans="32:32" x14ac:dyDescent="0.2">
      <c r="AF39497" s="679"/>
    </row>
    <row r="39498" spans="32:32" x14ac:dyDescent="0.2">
      <c r="AF39498" s="679"/>
    </row>
    <row r="39499" spans="32:32" x14ac:dyDescent="0.2">
      <c r="AF39499" s="679"/>
    </row>
    <row r="39500" spans="32:32" x14ac:dyDescent="0.2">
      <c r="AF39500" s="679"/>
    </row>
    <row r="39501" spans="32:32" x14ac:dyDescent="0.2">
      <c r="AF39501" s="679"/>
    </row>
    <row r="39502" spans="32:32" x14ac:dyDescent="0.2">
      <c r="AF39502" s="679"/>
    </row>
    <row r="39503" spans="32:32" x14ac:dyDescent="0.2">
      <c r="AF39503" s="679"/>
    </row>
    <row r="39504" spans="32:32" x14ac:dyDescent="0.2">
      <c r="AF39504" s="679"/>
    </row>
    <row r="39505" spans="32:32" x14ac:dyDescent="0.2">
      <c r="AF39505" s="679"/>
    </row>
    <row r="39506" spans="32:32" x14ac:dyDescent="0.2">
      <c r="AF39506" s="679"/>
    </row>
    <row r="39507" spans="32:32" x14ac:dyDescent="0.2">
      <c r="AF39507" s="679"/>
    </row>
    <row r="39508" spans="32:32" x14ac:dyDescent="0.2">
      <c r="AF39508" s="679"/>
    </row>
    <row r="39509" spans="32:32" x14ac:dyDescent="0.2">
      <c r="AF39509" s="679"/>
    </row>
    <row r="39510" spans="32:32" x14ac:dyDescent="0.2">
      <c r="AF39510" s="679"/>
    </row>
    <row r="39511" spans="32:32" x14ac:dyDescent="0.2">
      <c r="AF39511" s="679"/>
    </row>
    <row r="39512" spans="32:32" x14ac:dyDescent="0.2">
      <c r="AF39512" s="679"/>
    </row>
    <row r="39513" spans="32:32" x14ac:dyDescent="0.2">
      <c r="AF39513" s="679"/>
    </row>
    <row r="39514" spans="32:32" x14ac:dyDescent="0.2">
      <c r="AF39514" s="679"/>
    </row>
    <row r="39515" spans="32:32" x14ac:dyDescent="0.2">
      <c r="AF39515" s="679"/>
    </row>
    <row r="39516" spans="32:32" x14ac:dyDescent="0.2">
      <c r="AF39516" s="679"/>
    </row>
    <row r="39517" spans="32:32" x14ac:dyDescent="0.2">
      <c r="AF39517" s="679"/>
    </row>
    <row r="39518" spans="32:32" x14ac:dyDescent="0.2">
      <c r="AF39518" s="679"/>
    </row>
    <row r="39519" spans="32:32" x14ac:dyDescent="0.2">
      <c r="AF39519" s="679"/>
    </row>
    <row r="39520" spans="32:32" x14ac:dyDescent="0.2">
      <c r="AF39520" s="679"/>
    </row>
    <row r="39521" spans="32:32" x14ac:dyDescent="0.2">
      <c r="AF39521" s="679"/>
    </row>
    <row r="39522" spans="32:32" x14ac:dyDescent="0.2">
      <c r="AF39522" s="679"/>
    </row>
    <row r="39523" spans="32:32" x14ac:dyDescent="0.2">
      <c r="AF39523" s="679"/>
    </row>
    <row r="39524" spans="32:32" x14ac:dyDescent="0.2">
      <c r="AF39524" s="679"/>
    </row>
    <row r="39525" spans="32:32" x14ac:dyDescent="0.2">
      <c r="AF39525" s="679"/>
    </row>
    <row r="39526" spans="32:32" x14ac:dyDescent="0.2">
      <c r="AF39526" s="679"/>
    </row>
    <row r="39527" spans="32:32" x14ac:dyDescent="0.2">
      <c r="AF39527" s="679"/>
    </row>
    <row r="39528" spans="32:32" x14ac:dyDescent="0.2">
      <c r="AF39528" s="679"/>
    </row>
    <row r="39529" spans="32:32" x14ac:dyDescent="0.2">
      <c r="AF39529" s="679"/>
    </row>
    <row r="39530" spans="32:32" x14ac:dyDescent="0.2">
      <c r="AF39530" s="679"/>
    </row>
    <row r="39531" spans="32:32" x14ac:dyDescent="0.2">
      <c r="AF39531" s="679"/>
    </row>
    <row r="39532" spans="32:32" x14ac:dyDescent="0.2">
      <c r="AF39532" s="679"/>
    </row>
    <row r="39533" spans="32:32" x14ac:dyDescent="0.2">
      <c r="AF39533" s="679"/>
    </row>
    <row r="39534" spans="32:32" x14ac:dyDescent="0.2">
      <c r="AF39534" s="679"/>
    </row>
    <row r="39535" spans="32:32" x14ac:dyDescent="0.2">
      <c r="AF39535" s="679"/>
    </row>
    <row r="39536" spans="32:32" x14ac:dyDescent="0.2">
      <c r="AF39536" s="679"/>
    </row>
    <row r="39537" spans="32:32" x14ac:dyDescent="0.2">
      <c r="AF39537" s="679"/>
    </row>
    <row r="39538" spans="32:32" x14ac:dyDescent="0.2">
      <c r="AF39538" s="679"/>
    </row>
    <row r="39539" spans="32:32" x14ac:dyDescent="0.2">
      <c r="AF39539" s="679"/>
    </row>
    <row r="39540" spans="32:32" x14ac:dyDescent="0.2">
      <c r="AF39540" s="679"/>
    </row>
    <row r="39541" spans="32:32" x14ac:dyDescent="0.2">
      <c r="AF39541" s="679"/>
    </row>
    <row r="39542" spans="32:32" x14ac:dyDescent="0.2">
      <c r="AF39542" s="679"/>
    </row>
    <row r="39543" spans="32:32" x14ac:dyDescent="0.2">
      <c r="AF39543" s="679"/>
    </row>
    <row r="39544" spans="32:32" x14ac:dyDescent="0.2">
      <c r="AF39544" s="679"/>
    </row>
    <row r="39545" spans="32:32" x14ac:dyDescent="0.2">
      <c r="AF39545" s="679"/>
    </row>
    <row r="39546" spans="32:32" x14ac:dyDescent="0.2">
      <c r="AF39546" s="679"/>
    </row>
    <row r="39547" spans="32:32" x14ac:dyDescent="0.2">
      <c r="AF39547" s="679"/>
    </row>
    <row r="39548" spans="32:32" x14ac:dyDescent="0.2">
      <c r="AF39548" s="679"/>
    </row>
    <row r="39549" spans="32:32" x14ac:dyDescent="0.2">
      <c r="AF39549" s="679"/>
    </row>
    <row r="39550" spans="32:32" x14ac:dyDescent="0.2">
      <c r="AF39550" s="679"/>
    </row>
    <row r="39551" spans="32:32" x14ac:dyDescent="0.2">
      <c r="AF39551" s="679"/>
    </row>
    <row r="39552" spans="32:32" x14ac:dyDescent="0.2">
      <c r="AF39552" s="679"/>
    </row>
    <row r="39553" spans="32:32" x14ac:dyDescent="0.2">
      <c r="AF39553" s="679"/>
    </row>
    <row r="39554" spans="32:32" x14ac:dyDescent="0.2">
      <c r="AF39554" s="679"/>
    </row>
    <row r="39555" spans="32:32" x14ac:dyDescent="0.2">
      <c r="AF39555" s="679"/>
    </row>
    <row r="39556" spans="32:32" x14ac:dyDescent="0.2">
      <c r="AF39556" s="679"/>
    </row>
    <row r="39557" spans="32:32" x14ac:dyDescent="0.2">
      <c r="AF39557" s="679"/>
    </row>
    <row r="39558" spans="32:32" x14ac:dyDescent="0.2">
      <c r="AF39558" s="679"/>
    </row>
    <row r="39559" spans="32:32" x14ac:dyDescent="0.2">
      <c r="AF39559" s="679"/>
    </row>
    <row r="39560" spans="32:32" x14ac:dyDescent="0.2">
      <c r="AF39560" s="679"/>
    </row>
    <row r="39561" spans="32:32" x14ac:dyDescent="0.2">
      <c r="AF39561" s="679"/>
    </row>
    <row r="39562" spans="32:32" x14ac:dyDescent="0.2">
      <c r="AF39562" s="679"/>
    </row>
    <row r="39563" spans="32:32" x14ac:dyDescent="0.2">
      <c r="AF39563" s="679"/>
    </row>
    <row r="39564" spans="32:32" x14ac:dyDescent="0.2">
      <c r="AF39564" s="679"/>
    </row>
    <row r="39565" spans="32:32" x14ac:dyDescent="0.2">
      <c r="AF39565" s="679"/>
    </row>
    <row r="39566" spans="32:32" x14ac:dyDescent="0.2">
      <c r="AF39566" s="679"/>
    </row>
    <row r="39567" spans="32:32" x14ac:dyDescent="0.2">
      <c r="AF39567" s="679"/>
    </row>
    <row r="39568" spans="32:32" x14ac:dyDescent="0.2">
      <c r="AF39568" s="679"/>
    </row>
    <row r="39569" spans="32:32" x14ac:dyDescent="0.2">
      <c r="AF39569" s="679"/>
    </row>
    <row r="39570" spans="32:32" x14ac:dyDescent="0.2">
      <c r="AF39570" s="679"/>
    </row>
    <row r="39571" spans="32:32" x14ac:dyDescent="0.2">
      <c r="AF39571" s="679"/>
    </row>
    <row r="39572" spans="32:32" x14ac:dyDescent="0.2">
      <c r="AF39572" s="679"/>
    </row>
    <row r="39573" spans="32:32" x14ac:dyDescent="0.2">
      <c r="AF39573" s="679"/>
    </row>
    <row r="39574" spans="32:32" x14ac:dyDescent="0.2">
      <c r="AF39574" s="679"/>
    </row>
    <row r="39575" spans="32:32" x14ac:dyDescent="0.2">
      <c r="AF39575" s="679"/>
    </row>
    <row r="39576" spans="32:32" x14ac:dyDescent="0.2">
      <c r="AF39576" s="679"/>
    </row>
    <row r="39577" spans="32:32" x14ac:dyDescent="0.2">
      <c r="AF39577" s="679"/>
    </row>
    <row r="39578" spans="32:32" x14ac:dyDescent="0.2">
      <c r="AF39578" s="679"/>
    </row>
    <row r="39579" spans="32:32" x14ac:dyDescent="0.2">
      <c r="AF39579" s="679"/>
    </row>
    <row r="39580" spans="32:32" x14ac:dyDescent="0.2">
      <c r="AF39580" s="679"/>
    </row>
    <row r="39581" spans="32:32" x14ac:dyDescent="0.2">
      <c r="AF39581" s="679"/>
    </row>
    <row r="39582" spans="32:32" x14ac:dyDescent="0.2">
      <c r="AF39582" s="679"/>
    </row>
    <row r="39583" spans="32:32" x14ac:dyDescent="0.2">
      <c r="AF39583" s="679"/>
    </row>
    <row r="39584" spans="32:32" x14ac:dyDescent="0.2">
      <c r="AF39584" s="679"/>
    </row>
    <row r="39585" spans="32:32" x14ac:dyDescent="0.2">
      <c r="AF39585" s="679"/>
    </row>
    <row r="39586" spans="32:32" x14ac:dyDescent="0.2">
      <c r="AF39586" s="679"/>
    </row>
    <row r="39587" spans="32:32" x14ac:dyDescent="0.2">
      <c r="AF39587" s="679"/>
    </row>
    <row r="39588" spans="32:32" x14ac:dyDescent="0.2">
      <c r="AF39588" s="679"/>
    </row>
    <row r="39589" spans="32:32" x14ac:dyDescent="0.2">
      <c r="AF39589" s="679"/>
    </row>
    <row r="39590" spans="32:32" x14ac:dyDescent="0.2">
      <c r="AF39590" s="679"/>
    </row>
    <row r="39591" spans="32:32" x14ac:dyDescent="0.2">
      <c r="AF39591" s="679"/>
    </row>
    <row r="39592" spans="32:32" x14ac:dyDescent="0.2">
      <c r="AF39592" s="679"/>
    </row>
    <row r="39593" spans="32:32" x14ac:dyDescent="0.2">
      <c r="AF39593" s="679"/>
    </row>
    <row r="39594" spans="32:32" x14ac:dyDescent="0.2">
      <c r="AF39594" s="679"/>
    </row>
    <row r="39595" spans="32:32" x14ac:dyDescent="0.2">
      <c r="AF39595" s="679"/>
    </row>
    <row r="39596" spans="32:32" x14ac:dyDescent="0.2">
      <c r="AF39596" s="679"/>
    </row>
    <row r="39597" spans="32:32" x14ac:dyDescent="0.2">
      <c r="AF39597" s="679"/>
    </row>
    <row r="39598" spans="32:32" x14ac:dyDescent="0.2">
      <c r="AF39598" s="679"/>
    </row>
    <row r="39599" spans="32:32" x14ac:dyDescent="0.2">
      <c r="AF39599" s="679"/>
    </row>
    <row r="39600" spans="32:32" x14ac:dyDescent="0.2">
      <c r="AF39600" s="679"/>
    </row>
    <row r="39601" spans="32:32" x14ac:dyDescent="0.2">
      <c r="AF39601" s="679"/>
    </row>
    <row r="39602" spans="32:32" x14ac:dyDescent="0.2">
      <c r="AF39602" s="679"/>
    </row>
    <row r="39603" spans="32:32" x14ac:dyDescent="0.2">
      <c r="AF39603" s="679"/>
    </row>
    <row r="39604" spans="32:32" x14ac:dyDescent="0.2">
      <c r="AF39604" s="679"/>
    </row>
    <row r="39605" spans="32:32" x14ac:dyDescent="0.2">
      <c r="AF39605" s="679"/>
    </row>
    <row r="39606" spans="32:32" x14ac:dyDescent="0.2">
      <c r="AF39606" s="679"/>
    </row>
    <row r="39607" spans="32:32" x14ac:dyDescent="0.2">
      <c r="AF39607" s="679"/>
    </row>
    <row r="39608" spans="32:32" x14ac:dyDescent="0.2">
      <c r="AF39608" s="679"/>
    </row>
    <row r="39609" spans="32:32" x14ac:dyDescent="0.2">
      <c r="AF39609" s="679"/>
    </row>
    <row r="39610" spans="32:32" x14ac:dyDescent="0.2">
      <c r="AF39610" s="679"/>
    </row>
    <row r="39611" spans="32:32" x14ac:dyDescent="0.2">
      <c r="AF39611" s="679"/>
    </row>
    <row r="39612" spans="32:32" x14ac:dyDescent="0.2">
      <c r="AF39612" s="679"/>
    </row>
    <row r="39613" spans="32:32" x14ac:dyDescent="0.2">
      <c r="AF39613" s="679"/>
    </row>
    <row r="39614" spans="32:32" x14ac:dyDescent="0.2">
      <c r="AF39614" s="679"/>
    </row>
    <row r="39615" spans="32:32" x14ac:dyDescent="0.2">
      <c r="AF39615" s="679"/>
    </row>
    <row r="39616" spans="32:32" x14ac:dyDescent="0.2">
      <c r="AF39616" s="679"/>
    </row>
    <row r="39617" spans="32:32" x14ac:dyDescent="0.2">
      <c r="AF39617" s="679"/>
    </row>
    <row r="39618" spans="32:32" x14ac:dyDescent="0.2">
      <c r="AF39618" s="679"/>
    </row>
    <row r="39619" spans="32:32" x14ac:dyDescent="0.2">
      <c r="AF39619" s="679"/>
    </row>
    <row r="39620" spans="32:32" x14ac:dyDescent="0.2">
      <c r="AF39620" s="679"/>
    </row>
    <row r="39621" spans="32:32" x14ac:dyDescent="0.2">
      <c r="AF39621" s="679"/>
    </row>
    <row r="39622" spans="32:32" x14ac:dyDescent="0.2">
      <c r="AF39622" s="679"/>
    </row>
    <row r="39623" spans="32:32" x14ac:dyDescent="0.2">
      <c r="AF39623" s="679"/>
    </row>
    <row r="39624" spans="32:32" x14ac:dyDescent="0.2">
      <c r="AF39624" s="679"/>
    </row>
    <row r="39625" spans="32:32" x14ac:dyDescent="0.2">
      <c r="AF39625" s="679"/>
    </row>
    <row r="39626" spans="32:32" x14ac:dyDescent="0.2">
      <c r="AF39626" s="679"/>
    </row>
    <row r="39627" spans="32:32" x14ac:dyDescent="0.2">
      <c r="AF39627" s="679"/>
    </row>
    <row r="39628" spans="32:32" x14ac:dyDescent="0.2">
      <c r="AF39628" s="679"/>
    </row>
    <row r="39629" spans="32:32" x14ac:dyDescent="0.2">
      <c r="AF39629" s="679"/>
    </row>
    <row r="39630" spans="32:32" x14ac:dyDescent="0.2">
      <c r="AF39630" s="679"/>
    </row>
    <row r="39631" spans="32:32" x14ac:dyDescent="0.2">
      <c r="AF39631" s="679"/>
    </row>
    <row r="39632" spans="32:32" x14ac:dyDescent="0.2">
      <c r="AF39632" s="679"/>
    </row>
    <row r="39633" spans="32:32" x14ac:dyDescent="0.2">
      <c r="AF39633" s="679"/>
    </row>
    <row r="39634" spans="32:32" x14ac:dyDescent="0.2">
      <c r="AF39634" s="679"/>
    </row>
    <row r="39635" spans="32:32" x14ac:dyDescent="0.2">
      <c r="AF39635" s="679"/>
    </row>
    <row r="39636" spans="32:32" x14ac:dyDescent="0.2">
      <c r="AF39636" s="679"/>
    </row>
    <row r="39637" spans="32:32" x14ac:dyDescent="0.2">
      <c r="AF39637" s="679"/>
    </row>
    <row r="39638" spans="32:32" x14ac:dyDescent="0.2">
      <c r="AF39638" s="679"/>
    </row>
    <row r="39639" spans="32:32" x14ac:dyDescent="0.2">
      <c r="AF39639" s="679"/>
    </row>
    <row r="39640" spans="32:32" x14ac:dyDescent="0.2">
      <c r="AF39640" s="679"/>
    </row>
    <row r="39641" spans="32:32" x14ac:dyDescent="0.2">
      <c r="AF39641" s="679"/>
    </row>
    <row r="39642" spans="32:32" x14ac:dyDescent="0.2">
      <c r="AF39642" s="679"/>
    </row>
    <row r="39643" spans="32:32" x14ac:dyDescent="0.2">
      <c r="AF39643" s="679"/>
    </row>
    <row r="39644" spans="32:32" x14ac:dyDescent="0.2">
      <c r="AF39644" s="679"/>
    </row>
    <row r="39645" spans="32:32" x14ac:dyDescent="0.2">
      <c r="AF39645" s="679"/>
    </row>
    <row r="39646" spans="32:32" x14ac:dyDescent="0.2">
      <c r="AF39646" s="679"/>
    </row>
    <row r="39647" spans="32:32" x14ac:dyDescent="0.2">
      <c r="AF39647" s="679"/>
    </row>
    <row r="39648" spans="32:32" x14ac:dyDescent="0.2">
      <c r="AF39648" s="679"/>
    </row>
    <row r="39649" spans="32:32" x14ac:dyDescent="0.2">
      <c r="AF39649" s="679"/>
    </row>
    <row r="39650" spans="32:32" x14ac:dyDescent="0.2">
      <c r="AF39650" s="679"/>
    </row>
    <row r="39651" spans="32:32" x14ac:dyDescent="0.2">
      <c r="AF39651" s="679"/>
    </row>
    <row r="39652" spans="32:32" x14ac:dyDescent="0.2">
      <c r="AF39652" s="679"/>
    </row>
    <row r="39653" spans="32:32" x14ac:dyDescent="0.2">
      <c r="AF39653" s="679"/>
    </row>
    <row r="39654" spans="32:32" x14ac:dyDescent="0.2">
      <c r="AF39654" s="679"/>
    </row>
    <row r="39655" spans="32:32" x14ac:dyDescent="0.2">
      <c r="AF39655" s="679"/>
    </row>
    <row r="39656" spans="32:32" x14ac:dyDescent="0.2">
      <c r="AF39656" s="679"/>
    </row>
    <row r="39657" spans="32:32" x14ac:dyDescent="0.2">
      <c r="AF39657" s="679"/>
    </row>
    <row r="39658" spans="32:32" x14ac:dyDescent="0.2">
      <c r="AF39658" s="679"/>
    </row>
    <row r="39659" spans="32:32" x14ac:dyDescent="0.2">
      <c r="AF39659" s="679"/>
    </row>
    <row r="39660" spans="32:32" x14ac:dyDescent="0.2">
      <c r="AF39660" s="679"/>
    </row>
    <row r="39661" spans="32:32" x14ac:dyDescent="0.2">
      <c r="AF39661" s="679"/>
    </row>
    <row r="39662" spans="32:32" x14ac:dyDescent="0.2">
      <c r="AF39662" s="679"/>
    </row>
    <row r="39663" spans="32:32" x14ac:dyDescent="0.2">
      <c r="AF39663" s="679"/>
    </row>
    <row r="39664" spans="32:32" x14ac:dyDescent="0.2">
      <c r="AF39664" s="679"/>
    </row>
    <row r="39665" spans="32:32" x14ac:dyDescent="0.2">
      <c r="AF39665" s="679"/>
    </row>
    <row r="39666" spans="32:32" x14ac:dyDescent="0.2">
      <c r="AF39666" s="679"/>
    </row>
    <row r="39667" spans="32:32" x14ac:dyDescent="0.2">
      <c r="AF39667" s="679"/>
    </row>
    <row r="39668" spans="32:32" x14ac:dyDescent="0.2">
      <c r="AF39668" s="679"/>
    </row>
    <row r="39669" spans="32:32" x14ac:dyDescent="0.2">
      <c r="AF39669" s="679"/>
    </row>
    <row r="39670" spans="32:32" x14ac:dyDescent="0.2">
      <c r="AF39670" s="679"/>
    </row>
    <row r="39671" spans="32:32" x14ac:dyDescent="0.2">
      <c r="AF39671" s="679"/>
    </row>
    <row r="39672" spans="32:32" x14ac:dyDescent="0.2">
      <c r="AF39672" s="679"/>
    </row>
    <row r="39673" spans="32:32" x14ac:dyDescent="0.2">
      <c r="AF39673" s="679"/>
    </row>
    <row r="39674" spans="32:32" x14ac:dyDescent="0.2">
      <c r="AF39674" s="679"/>
    </row>
    <row r="39675" spans="32:32" x14ac:dyDescent="0.2">
      <c r="AF39675" s="679"/>
    </row>
    <row r="39676" spans="32:32" x14ac:dyDescent="0.2">
      <c r="AF39676" s="679"/>
    </row>
    <row r="39677" spans="32:32" x14ac:dyDescent="0.2">
      <c r="AF39677" s="679"/>
    </row>
    <row r="39678" spans="32:32" x14ac:dyDescent="0.2">
      <c r="AF39678" s="679"/>
    </row>
    <row r="39679" spans="32:32" x14ac:dyDescent="0.2">
      <c r="AF39679" s="679"/>
    </row>
    <row r="39680" spans="32:32" x14ac:dyDescent="0.2">
      <c r="AF39680" s="679"/>
    </row>
    <row r="39681" spans="32:32" x14ac:dyDescent="0.2">
      <c r="AF39681" s="679"/>
    </row>
    <row r="39682" spans="32:32" x14ac:dyDescent="0.2">
      <c r="AF39682" s="679"/>
    </row>
    <row r="39683" spans="32:32" x14ac:dyDescent="0.2">
      <c r="AF39683" s="679"/>
    </row>
    <row r="39684" spans="32:32" x14ac:dyDescent="0.2">
      <c r="AF39684" s="679"/>
    </row>
    <row r="39685" spans="32:32" x14ac:dyDescent="0.2">
      <c r="AF39685" s="679"/>
    </row>
    <row r="39686" spans="32:32" x14ac:dyDescent="0.2">
      <c r="AF39686" s="679"/>
    </row>
    <row r="39687" spans="32:32" x14ac:dyDescent="0.2">
      <c r="AF39687" s="679"/>
    </row>
    <row r="39688" spans="32:32" x14ac:dyDescent="0.2">
      <c r="AF39688" s="679"/>
    </row>
    <row r="39689" spans="32:32" x14ac:dyDescent="0.2">
      <c r="AF39689" s="679"/>
    </row>
    <row r="39690" spans="32:32" x14ac:dyDescent="0.2">
      <c r="AF39690" s="679"/>
    </row>
    <row r="39691" spans="32:32" x14ac:dyDescent="0.2">
      <c r="AF39691" s="679"/>
    </row>
    <row r="39692" spans="32:32" x14ac:dyDescent="0.2">
      <c r="AF39692" s="679"/>
    </row>
    <row r="39693" spans="32:32" x14ac:dyDescent="0.2">
      <c r="AF39693" s="679"/>
    </row>
    <row r="39694" spans="32:32" x14ac:dyDescent="0.2">
      <c r="AF39694" s="679"/>
    </row>
    <row r="39695" spans="32:32" x14ac:dyDescent="0.2">
      <c r="AF39695" s="679"/>
    </row>
    <row r="39696" spans="32:32" x14ac:dyDescent="0.2">
      <c r="AF39696" s="679"/>
    </row>
    <row r="39697" spans="32:32" x14ac:dyDescent="0.2">
      <c r="AF39697" s="679"/>
    </row>
    <row r="39698" spans="32:32" x14ac:dyDescent="0.2">
      <c r="AF39698" s="679"/>
    </row>
    <row r="39699" spans="32:32" x14ac:dyDescent="0.2">
      <c r="AF39699" s="679"/>
    </row>
    <row r="39700" spans="32:32" x14ac:dyDescent="0.2">
      <c r="AF39700" s="679"/>
    </row>
    <row r="39701" spans="32:32" x14ac:dyDescent="0.2">
      <c r="AF39701" s="679"/>
    </row>
    <row r="39702" spans="32:32" x14ac:dyDescent="0.2">
      <c r="AF39702" s="679"/>
    </row>
    <row r="39703" spans="32:32" x14ac:dyDescent="0.2">
      <c r="AF39703" s="679"/>
    </row>
    <row r="39704" spans="32:32" x14ac:dyDescent="0.2">
      <c r="AF39704" s="679"/>
    </row>
    <row r="39705" spans="32:32" x14ac:dyDescent="0.2">
      <c r="AF39705" s="679"/>
    </row>
    <row r="39706" spans="32:32" x14ac:dyDescent="0.2">
      <c r="AF39706" s="679"/>
    </row>
    <row r="39707" spans="32:32" x14ac:dyDescent="0.2">
      <c r="AF39707" s="679"/>
    </row>
    <row r="39708" spans="32:32" x14ac:dyDescent="0.2">
      <c r="AF39708" s="679"/>
    </row>
    <row r="39709" spans="32:32" x14ac:dyDescent="0.2">
      <c r="AF39709" s="679"/>
    </row>
    <row r="39710" spans="32:32" x14ac:dyDescent="0.2">
      <c r="AF39710" s="679"/>
    </row>
    <row r="39711" spans="32:32" x14ac:dyDescent="0.2">
      <c r="AF39711" s="679"/>
    </row>
    <row r="39712" spans="32:32" x14ac:dyDescent="0.2">
      <c r="AF39712" s="679"/>
    </row>
    <row r="39713" spans="32:32" x14ac:dyDescent="0.2">
      <c r="AF39713" s="679"/>
    </row>
    <row r="39714" spans="32:32" x14ac:dyDescent="0.2">
      <c r="AF39714" s="679"/>
    </row>
    <row r="39715" spans="32:32" x14ac:dyDescent="0.2">
      <c r="AF39715" s="679"/>
    </row>
    <row r="39716" spans="32:32" x14ac:dyDescent="0.2">
      <c r="AF39716" s="679"/>
    </row>
    <row r="39717" spans="32:32" x14ac:dyDescent="0.2">
      <c r="AF39717" s="679"/>
    </row>
    <row r="39718" spans="32:32" x14ac:dyDescent="0.2">
      <c r="AF39718" s="679"/>
    </row>
    <row r="39719" spans="32:32" x14ac:dyDescent="0.2">
      <c r="AF39719" s="679"/>
    </row>
    <row r="39720" spans="32:32" x14ac:dyDescent="0.2">
      <c r="AF39720" s="679"/>
    </row>
    <row r="39721" spans="32:32" x14ac:dyDescent="0.2">
      <c r="AF39721" s="679"/>
    </row>
    <row r="39722" spans="32:32" x14ac:dyDescent="0.2">
      <c r="AF39722" s="679"/>
    </row>
    <row r="39723" spans="32:32" x14ac:dyDescent="0.2">
      <c r="AF39723" s="679"/>
    </row>
    <row r="39724" spans="32:32" x14ac:dyDescent="0.2">
      <c r="AF39724" s="679"/>
    </row>
    <row r="39725" spans="32:32" x14ac:dyDescent="0.2">
      <c r="AF39725" s="679"/>
    </row>
    <row r="39726" spans="32:32" x14ac:dyDescent="0.2">
      <c r="AF39726" s="679"/>
    </row>
    <row r="39727" spans="32:32" x14ac:dyDescent="0.2">
      <c r="AF39727" s="679"/>
    </row>
    <row r="39728" spans="32:32" x14ac:dyDescent="0.2">
      <c r="AF39728" s="679"/>
    </row>
    <row r="39729" spans="32:32" x14ac:dyDescent="0.2">
      <c r="AF39729" s="679"/>
    </row>
    <row r="39730" spans="32:32" x14ac:dyDescent="0.2">
      <c r="AF39730" s="679"/>
    </row>
    <row r="39731" spans="32:32" x14ac:dyDescent="0.2">
      <c r="AF39731" s="679"/>
    </row>
    <row r="39732" spans="32:32" x14ac:dyDescent="0.2">
      <c r="AF39732" s="679"/>
    </row>
    <row r="39733" spans="32:32" x14ac:dyDescent="0.2">
      <c r="AF39733" s="679"/>
    </row>
    <row r="39734" spans="32:32" x14ac:dyDescent="0.2">
      <c r="AF39734" s="679"/>
    </row>
    <row r="39735" spans="32:32" x14ac:dyDescent="0.2">
      <c r="AF39735" s="679"/>
    </row>
    <row r="39736" spans="32:32" x14ac:dyDescent="0.2">
      <c r="AF39736" s="679"/>
    </row>
    <row r="39737" spans="32:32" x14ac:dyDescent="0.2">
      <c r="AF39737" s="679"/>
    </row>
    <row r="39738" spans="32:32" x14ac:dyDescent="0.2">
      <c r="AF39738" s="679"/>
    </row>
    <row r="39739" spans="32:32" x14ac:dyDescent="0.2">
      <c r="AF39739" s="679"/>
    </row>
    <row r="39740" spans="32:32" x14ac:dyDescent="0.2">
      <c r="AF39740" s="679"/>
    </row>
    <row r="39741" spans="32:32" x14ac:dyDescent="0.2">
      <c r="AF39741" s="679"/>
    </row>
    <row r="39742" spans="32:32" x14ac:dyDescent="0.2">
      <c r="AF39742" s="679"/>
    </row>
    <row r="39743" spans="32:32" x14ac:dyDescent="0.2">
      <c r="AF39743" s="679"/>
    </row>
    <row r="39744" spans="32:32" x14ac:dyDescent="0.2">
      <c r="AF39744" s="679"/>
    </row>
    <row r="39745" spans="32:32" x14ac:dyDescent="0.2">
      <c r="AF39745" s="679"/>
    </row>
    <row r="39746" spans="32:32" x14ac:dyDescent="0.2">
      <c r="AF39746" s="679"/>
    </row>
    <row r="39747" spans="32:32" x14ac:dyDescent="0.2">
      <c r="AF39747" s="679"/>
    </row>
    <row r="39748" spans="32:32" x14ac:dyDescent="0.2">
      <c r="AF39748" s="679"/>
    </row>
    <row r="39749" spans="32:32" x14ac:dyDescent="0.2">
      <c r="AF39749" s="679"/>
    </row>
    <row r="39750" spans="32:32" x14ac:dyDescent="0.2">
      <c r="AF39750" s="679"/>
    </row>
    <row r="39751" spans="32:32" x14ac:dyDescent="0.2">
      <c r="AF39751" s="679"/>
    </row>
    <row r="39752" spans="32:32" x14ac:dyDescent="0.2">
      <c r="AF39752" s="679"/>
    </row>
    <row r="39753" spans="32:32" x14ac:dyDescent="0.2">
      <c r="AF39753" s="679"/>
    </row>
    <row r="39754" spans="32:32" x14ac:dyDescent="0.2">
      <c r="AF39754" s="679"/>
    </row>
    <row r="39755" spans="32:32" x14ac:dyDescent="0.2">
      <c r="AF39755" s="679"/>
    </row>
    <row r="39756" spans="32:32" x14ac:dyDescent="0.2">
      <c r="AF39756" s="679"/>
    </row>
    <row r="39757" spans="32:32" x14ac:dyDescent="0.2">
      <c r="AF39757" s="679"/>
    </row>
    <row r="39758" spans="32:32" x14ac:dyDescent="0.2">
      <c r="AF39758" s="679"/>
    </row>
    <row r="39759" spans="32:32" x14ac:dyDescent="0.2">
      <c r="AF39759" s="679"/>
    </row>
    <row r="39760" spans="32:32" x14ac:dyDescent="0.2">
      <c r="AF39760" s="679"/>
    </row>
    <row r="39761" spans="32:32" x14ac:dyDescent="0.2">
      <c r="AF39761" s="679"/>
    </row>
    <row r="39762" spans="32:32" x14ac:dyDescent="0.2">
      <c r="AF39762" s="679"/>
    </row>
    <row r="39763" spans="32:32" x14ac:dyDescent="0.2">
      <c r="AF39763" s="679"/>
    </row>
    <row r="39764" spans="32:32" x14ac:dyDescent="0.2">
      <c r="AF39764" s="679"/>
    </row>
    <row r="39765" spans="32:32" x14ac:dyDescent="0.2">
      <c r="AF39765" s="679"/>
    </row>
    <row r="39766" spans="32:32" x14ac:dyDescent="0.2">
      <c r="AF39766" s="679"/>
    </row>
    <row r="39767" spans="32:32" x14ac:dyDescent="0.2">
      <c r="AF39767" s="679"/>
    </row>
    <row r="39768" spans="32:32" x14ac:dyDescent="0.2">
      <c r="AF39768" s="679"/>
    </row>
    <row r="39769" spans="32:32" x14ac:dyDescent="0.2">
      <c r="AF39769" s="679"/>
    </row>
    <row r="39770" spans="32:32" x14ac:dyDescent="0.2">
      <c r="AF39770" s="679"/>
    </row>
    <row r="39771" spans="32:32" x14ac:dyDescent="0.2">
      <c r="AF39771" s="679"/>
    </row>
    <row r="39772" spans="32:32" x14ac:dyDescent="0.2">
      <c r="AF39772" s="679"/>
    </row>
    <row r="39773" spans="32:32" x14ac:dyDescent="0.2">
      <c r="AF39773" s="679"/>
    </row>
    <row r="39774" spans="32:32" x14ac:dyDescent="0.2">
      <c r="AF39774" s="679"/>
    </row>
    <row r="39775" spans="32:32" x14ac:dyDescent="0.2">
      <c r="AF39775" s="679"/>
    </row>
    <row r="39776" spans="32:32" x14ac:dyDescent="0.2">
      <c r="AF39776" s="679"/>
    </row>
    <row r="39777" spans="32:32" x14ac:dyDescent="0.2">
      <c r="AF39777" s="679"/>
    </row>
    <row r="39778" spans="32:32" x14ac:dyDescent="0.2">
      <c r="AF39778" s="679"/>
    </row>
    <row r="39779" spans="32:32" x14ac:dyDescent="0.2">
      <c r="AF39779" s="679"/>
    </row>
    <row r="39780" spans="32:32" x14ac:dyDescent="0.2">
      <c r="AF39780" s="679"/>
    </row>
    <row r="39781" spans="32:32" x14ac:dyDescent="0.2">
      <c r="AF39781" s="679"/>
    </row>
    <row r="39782" spans="32:32" x14ac:dyDescent="0.2">
      <c r="AF39782" s="679"/>
    </row>
    <row r="39783" spans="32:32" x14ac:dyDescent="0.2">
      <c r="AF39783" s="679"/>
    </row>
    <row r="39784" spans="32:32" x14ac:dyDescent="0.2">
      <c r="AF39784" s="679"/>
    </row>
    <row r="39785" spans="32:32" x14ac:dyDescent="0.2">
      <c r="AF39785" s="679"/>
    </row>
    <row r="39786" spans="32:32" x14ac:dyDescent="0.2">
      <c r="AF39786" s="679"/>
    </row>
    <row r="39787" spans="32:32" x14ac:dyDescent="0.2">
      <c r="AF39787" s="679"/>
    </row>
    <row r="39788" spans="32:32" x14ac:dyDescent="0.2">
      <c r="AF39788" s="679"/>
    </row>
    <row r="39789" spans="32:32" x14ac:dyDescent="0.2">
      <c r="AF39789" s="679"/>
    </row>
    <row r="39790" spans="32:32" x14ac:dyDescent="0.2">
      <c r="AF39790" s="679"/>
    </row>
    <row r="39791" spans="32:32" x14ac:dyDescent="0.2">
      <c r="AF39791" s="679"/>
    </row>
    <row r="39792" spans="32:32" x14ac:dyDescent="0.2">
      <c r="AF39792" s="679"/>
    </row>
    <row r="39793" spans="32:32" x14ac:dyDescent="0.2">
      <c r="AF39793" s="679"/>
    </row>
    <row r="39794" spans="32:32" x14ac:dyDescent="0.2">
      <c r="AF39794" s="679"/>
    </row>
    <row r="39795" spans="32:32" x14ac:dyDescent="0.2">
      <c r="AF39795" s="679"/>
    </row>
    <row r="39796" spans="32:32" x14ac:dyDescent="0.2">
      <c r="AF39796" s="679"/>
    </row>
    <row r="39797" spans="32:32" x14ac:dyDescent="0.2">
      <c r="AF39797" s="679"/>
    </row>
    <row r="39798" spans="32:32" x14ac:dyDescent="0.2">
      <c r="AF39798" s="679"/>
    </row>
    <row r="39799" spans="32:32" x14ac:dyDescent="0.2">
      <c r="AF39799" s="679"/>
    </row>
    <row r="39800" spans="32:32" x14ac:dyDescent="0.2">
      <c r="AF39800" s="679"/>
    </row>
    <row r="39801" spans="32:32" x14ac:dyDescent="0.2">
      <c r="AF39801" s="679"/>
    </row>
    <row r="39802" spans="32:32" x14ac:dyDescent="0.2">
      <c r="AF39802" s="679"/>
    </row>
    <row r="39803" spans="32:32" x14ac:dyDescent="0.2">
      <c r="AF39803" s="679"/>
    </row>
    <row r="39804" spans="32:32" x14ac:dyDescent="0.2">
      <c r="AF39804" s="679"/>
    </row>
    <row r="39805" spans="32:32" x14ac:dyDescent="0.2">
      <c r="AF39805" s="679"/>
    </row>
    <row r="39806" spans="32:32" x14ac:dyDescent="0.2">
      <c r="AF39806" s="679"/>
    </row>
    <row r="39807" spans="32:32" x14ac:dyDescent="0.2">
      <c r="AF39807" s="679"/>
    </row>
    <row r="39808" spans="32:32" x14ac:dyDescent="0.2">
      <c r="AF39808" s="679"/>
    </row>
    <row r="39809" spans="32:32" x14ac:dyDescent="0.2">
      <c r="AF39809" s="679"/>
    </row>
    <row r="39810" spans="32:32" x14ac:dyDescent="0.2">
      <c r="AF39810" s="679"/>
    </row>
    <row r="39811" spans="32:32" x14ac:dyDescent="0.2">
      <c r="AF39811" s="679"/>
    </row>
    <row r="39812" spans="32:32" x14ac:dyDescent="0.2">
      <c r="AF39812" s="679"/>
    </row>
    <row r="39813" spans="32:32" x14ac:dyDescent="0.2">
      <c r="AF39813" s="679"/>
    </row>
    <row r="39814" spans="32:32" x14ac:dyDescent="0.2">
      <c r="AF39814" s="679"/>
    </row>
    <row r="39815" spans="32:32" x14ac:dyDescent="0.2">
      <c r="AF39815" s="679"/>
    </row>
    <row r="39816" spans="32:32" x14ac:dyDescent="0.2">
      <c r="AF39816" s="679"/>
    </row>
    <row r="39817" spans="32:32" x14ac:dyDescent="0.2">
      <c r="AF39817" s="679"/>
    </row>
    <row r="39818" spans="32:32" x14ac:dyDescent="0.2">
      <c r="AF39818" s="679"/>
    </row>
    <row r="39819" spans="32:32" x14ac:dyDescent="0.2">
      <c r="AF39819" s="679"/>
    </row>
    <row r="39820" spans="32:32" x14ac:dyDescent="0.2">
      <c r="AF39820" s="679"/>
    </row>
    <row r="39821" spans="32:32" x14ac:dyDescent="0.2">
      <c r="AF39821" s="679"/>
    </row>
    <row r="39822" spans="32:32" x14ac:dyDescent="0.2">
      <c r="AF39822" s="679"/>
    </row>
    <row r="39823" spans="32:32" x14ac:dyDescent="0.2">
      <c r="AF39823" s="679"/>
    </row>
    <row r="39824" spans="32:32" x14ac:dyDescent="0.2">
      <c r="AF39824" s="679"/>
    </row>
    <row r="39825" spans="32:32" x14ac:dyDescent="0.2">
      <c r="AF39825" s="679"/>
    </row>
    <row r="39826" spans="32:32" x14ac:dyDescent="0.2">
      <c r="AF39826" s="679"/>
    </row>
    <row r="39827" spans="32:32" x14ac:dyDescent="0.2">
      <c r="AF39827" s="679"/>
    </row>
    <row r="39828" spans="32:32" x14ac:dyDescent="0.2">
      <c r="AF39828" s="679"/>
    </row>
    <row r="39829" spans="32:32" x14ac:dyDescent="0.2">
      <c r="AF39829" s="679"/>
    </row>
    <row r="39830" spans="32:32" x14ac:dyDescent="0.2">
      <c r="AF39830" s="679"/>
    </row>
    <row r="39831" spans="32:32" x14ac:dyDescent="0.2">
      <c r="AF39831" s="679"/>
    </row>
    <row r="39832" spans="32:32" x14ac:dyDescent="0.2">
      <c r="AF39832" s="679"/>
    </row>
    <row r="39833" spans="32:32" x14ac:dyDescent="0.2">
      <c r="AF39833" s="679"/>
    </row>
    <row r="39834" spans="32:32" x14ac:dyDescent="0.2">
      <c r="AF39834" s="679"/>
    </row>
    <row r="39835" spans="32:32" x14ac:dyDescent="0.2">
      <c r="AF39835" s="679"/>
    </row>
    <row r="39836" spans="32:32" x14ac:dyDescent="0.2">
      <c r="AF39836" s="679"/>
    </row>
    <row r="39837" spans="32:32" x14ac:dyDescent="0.2">
      <c r="AF39837" s="679"/>
    </row>
    <row r="39838" spans="32:32" x14ac:dyDescent="0.2">
      <c r="AF39838" s="679"/>
    </row>
    <row r="39839" spans="32:32" x14ac:dyDescent="0.2">
      <c r="AF39839" s="679"/>
    </row>
    <row r="39840" spans="32:32" x14ac:dyDescent="0.2">
      <c r="AF39840" s="679"/>
    </row>
    <row r="39841" spans="32:32" x14ac:dyDescent="0.2">
      <c r="AF39841" s="679"/>
    </row>
    <row r="39842" spans="32:32" x14ac:dyDescent="0.2">
      <c r="AF39842" s="679"/>
    </row>
    <row r="39843" spans="32:32" x14ac:dyDescent="0.2">
      <c r="AF39843" s="679"/>
    </row>
    <row r="39844" spans="32:32" x14ac:dyDescent="0.2">
      <c r="AF39844" s="679"/>
    </row>
    <row r="39845" spans="32:32" x14ac:dyDescent="0.2">
      <c r="AF39845" s="679"/>
    </row>
    <row r="39846" spans="32:32" x14ac:dyDescent="0.2">
      <c r="AF39846" s="679"/>
    </row>
    <row r="39847" spans="32:32" x14ac:dyDescent="0.2">
      <c r="AF39847" s="679"/>
    </row>
    <row r="39848" spans="32:32" x14ac:dyDescent="0.2">
      <c r="AF39848" s="679"/>
    </row>
    <row r="39849" spans="32:32" x14ac:dyDescent="0.2">
      <c r="AF39849" s="679"/>
    </row>
    <row r="39850" spans="32:32" x14ac:dyDescent="0.2">
      <c r="AF39850" s="679"/>
    </row>
    <row r="39851" spans="32:32" x14ac:dyDescent="0.2">
      <c r="AF39851" s="679"/>
    </row>
    <row r="39852" spans="32:32" x14ac:dyDescent="0.2">
      <c r="AF39852" s="679"/>
    </row>
    <row r="39853" spans="32:32" x14ac:dyDescent="0.2">
      <c r="AF39853" s="679"/>
    </row>
    <row r="39854" spans="32:32" x14ac:dyDescent="0.2">
      <c r="AF39854" s="679"/>
    </row>
    <row r="39855" spans="32:32" x14ac:dyDescent="0.2">
      <c r="AF39855" s="679"/>
    </row>
    <row r="39856" spans="32:32" x14ac:dyDescent="0.2">
      <c r="AF39856" s="679"/>
    </row>
    <row r="39857" spans="32:32" x14ac:dyDescent="0.2">
      <c r="AF39857" s="679"/>
    </row>
    <row r="39858" spans="32:32" x14ac:dyDescent="0.2">
      <c r="AF39858" s="679"/>
    </row>
    <row r="39859" spans="32:32" x14ac:dyDescent="0.2">
      <c r="AF39859" s="679"/>
    </row>
    <row r="39860" spans="32:32" x14ac:dyDescent="0.2">
      <c r="AF39860" s="679"/>
    </row>
    <row r="39861" spans="32:32" x14ac:dyDescent="0.2">
      <c r="AF39861" s="679"/>
    </row>
    <row r="39862" spans="32:32" x14ac:dyDescent="0.2">
      <c r="AF39862" s="679"/>
    </row>
    <row r="39863" spans="32:32" x14ac:dyDescent="0.2">
      <c r="AF39863" s="679"/>
    </row>
    <row r="39864" spans="32:32" x14ac:dyDescent="0.2">
      <c r="AF39864" s="679"/>
    </row>
    <row r="39865" spans="32:32" x14ac:dyDescent="0.2">
      <c r="AF39865" s="679"/>
    </row>
    <row r="39866" spans="32:32" x14ac:dyDescent="0.2">
      <c r="AF39866" s="679"/>
    </row>
    <row r="39867" spans="32:32" x14ac:dyDescent="0.2">
      <c r="AF39867" s="679"/>
    </row>
    <row r="39868" spans="32:32" x14ac:dyDescent="0.2">
      <c r="AF39868" s="679"/>
    </row>
    <row r="39869" spans="32:32" x14ac:dyDescent="0.2">
      <c r="AF39869" s="679"/>
    </row>
    <row r="39870" spans="32:32" x14ac:dyDescent="0.2">
      <c r="AF39870" s="679"/>
    </row>
    <row r="39871" spans="32:32" x14ac:dyDescent="0.2">
      <c r="AF39871" s="679"/>
    </row>
    <row r="39872" spans="32:32" x14ac:dyDescent="0.2">
      <c r="AF39872" s="679"/>
    </row>
    <row r="39873" spans="32:32" x14ac:dyDescent="0.2">
      <c r="AF39873" s="679"/>
    </row>
    <row r="39874" spans="32:32" x14ac:dyDescent="0.2">
      <c r="AF39874" s="679"/>
    </row>
    <row r="39875" spans="32:32" x14ac:dyDescent="0.2">
      <c r="AF39875" s="679"/>
    </row>
    <row r="39876" spans="32:32" x14ac:dyDescent="0.2">
      <c r="AF39876" s="679"/>
    </row>
    <row r="39877" spans="32:32" x14ac:dyDescent="0.2">
      <c r="AF39877" s="679"/>
    </row>
    <row r="39878" spans="32:32" x14ac:dyDescent="0.2">
      <c r="AF39878" s="679"/>
    </row>
    <row r="39879" spans="32:32" x14ac:dyDescent="0.2">
      <c r="AF39879" s="679"/>
    </row>
    <row r="39880" spans="32:32" x14ac:dyDescent="0.2">
      <c r="AF39880" s="679"/>
    </row>
    <row r="39881" spans="32:32" x14ac:dyDescent="0.2">
      <c r="AF39881" s="679"/>
    </row>
    <row r="39882" spans="32:32" x14ac:dyDescent="0.2">
      <c r="AF39882" s="679"/>
    </row>
    <row r="39883" spans="32:32" x14ac:dyDescent="0.2">
      <c r="AF39883" s="679"/>
    </row>
    <row r="39884" spans="32:32" x14ac:dyDescent="0.2">
      <c r="AF39884" s="679"/>
    </row>
    <row r="39885" spans="32:32" x14ac:dyDescent="0.2">
      <c r="AF39885" s="679"/>
    </row>
    <row r="39886" spans="32:32" x14ac:dyDescent="0.2">
      <c r="AF39886" s="679"/>
    </row>
    <row r="39887" spans="32:32" x14ac:dyDescent="0.2">
      <c r="AF39887" s="679"/>
    </row>
    <row r="39888" spans="32:32" x14ac:dyDescent="0.2">
      <c r="AF39888" s="679"/>
    </row>
    <row r="39889" spans="32:32" x14ac:dyDescent="0.2">
      <c r="AF39889" s="679"/>
    </row>
    <row r="39890" spans="32:32" x14ac:dyDescent="0.2">
      <c r="AF39890" s="679"/>
    </row>
    <row r="39891" spans="32:32" x14ac:dyDescent="0.2">
      <c r="AF39891" s="679"/>
    </row>
    <row r="39892" spans="32:32" x14ac:dyDescent="0.2">
      <c r="AF39892" s="679"/>
    </row>
    <row r="39893" spans="32:32" x14ac:dyDescent="0.2">
      <c r="AF39893" s="679"/>
    </row>
    <row r="39894" spans="32:32" x14ac:dyDescent="0.2">
      <c r="AF39894" s="679"/>
    </row>
    <row r="39895" spans="32:32" x14ac:dyDescent="0.2">
      <c r="AF39895" s="679"/>
    </row>
    <row r="39896" spans="32:32" x14ac:dyDescent="0.2">
      <c r="AF39896" s="679"/>
    </row>
    <row r="39897" spans="32:32" x14ac:dyDescent="0.2">
      <c r="AF39897" s="679"/>
    </row>
    <row r="39898" spans="32:32" x14ac:dyDescent="0.2">
      <c r="AF39898" s="679"/>
    </row>
    <row r="39899" spans="32:32" x14ac:dyDescent="0.2">
      <c r="AF39899" s="679"/>
    </row>
    <row r="39900" spans="32:32" x14ac:dyDescent="0.2">
      <c r="AF39900" s="679"/>
    </row>
    <row r="39901" spans="32:32" x14ac:dyDescent="0.2">
      <c r="AF39901" s="679"/>
    </row>
    <row r="39902" spans="32:32" x14ac:dyDescent="0.2">
      <c r="AF39902" s="679"/>
    </row>
    <row r="39903" spans="32:32" x14ac:dyDescent="0.2">
      <c r="AF39903" s="679"/>
    </row>
    <row r="39904" spans="32:32" x14ac:dyDescent="0.2">
      <c r="AF39904" s="679"/>
    </row>
    <row r="39905" spans="32:32" x14ac:dyDescent="0.2">
      <c r="AF39905" s="679"/>
    </row>
    <row r="39906" spans="32:32" x14ac:dyDescent="0.2">
      <c r="AF39906" s="679"/>
    </row>
    <row r="39907" spans="32:32" x14ac:dyDescent="0.2">
      <c r="AF39907" s="679"/>
    </row>
    <row r="39908" spans="32:32" x14ac:dyDescent="0.2">
      <c r="AF39908" s="679"/>
    </row>
    <row r="39909" spans="32:32" x14ac:dyDescent="0.2">
      <c r="AF39909" s="679"/>
    </row>
    <row r="39910" spans="32:32" x14ac:dyDescent="0.2">
      <c r="AF39910" s="679"/>
    </row>
    <row r="39911" spans="32:32" x14ac:dyDescent="0.2">
      <c r="AF39911" s="679"/>
    </row>
    <row r="39912" spans="32:32" x14ac:dyDescent="0.2">
      <c r="AF39912" s="679"/>
    </row>
    <row r="39913" spans="32:32" x14ac:dyDescent="0.2">
      <c r="AF39913" s="679"/>
    </row>
    <row r="39914" spans="32:32" x14ac:dyDescent="0.2">
      <c r="AF39914" s="679"/>
    </row>
    <row r="39915" spans="32:32" x14ac:dyDescent="0.2">
      <c r="AF39915" s="679"/>
    </row>
    <row r="39916" spans="32:32" x14ac:dyDescent="0.2">
      <c r="AF39916" s="679"/>
    </row>
    <row r="39917" spans="32:32" x14ac:dyDescent="0.2">
      <c r="AF39917" s="679"/>
    </row>
    <row r="39918" spans="32:32" x14ac:dyDescent="0.2">
      <c r="AF39918" s="679"/>
    </row>
    <row r="39919" spans="32:32" x14ac:dyDescent="0.2">
      <c r="AF39919" s="679"/>
    </row>
    <row r="39920" spans="32:32" x14ac:dyDescent="0.2">
      <c r="AF39920" s="679"/>
    </row>
    <row r="39921" spans="32:32" x14ac:dyDescent="0.2">
      <c r="AF39921" s="679"/>
    </row>
    <row r="39922" spans="32:32" x14ac:dyDescent="0.2">
      <c r="AF39922" s="679"/>
    </row>
    <row r="39923" spans="32:32" x14ac:dyDescent="0.2">
      <c r="AF39923" s="679"/>
    </row>
    <row r="39924" spans="32:32" x14ac:dyDescent="0.2">
      <c r="AF39924" s="679"/>
    </row>
    <row r="39925" spans="32:32" x14ac:dyDescent="0.2">
      <c r="AF39925" s="679"/>
    </row>
    <row r="39926" spans="32:32" x14ac:dyDescent="0.2">
      <c r="AF39926" s="679"/>
    </row>
    <row r="39927" spans="32:32" x14ac:dyDescent="0.2">
      <c r="AF39927" s="679"/>
    </row>
    <row r="39928" spans="32:32" x14ac:dyDescent="0.2">
      <c r="AF39928" s="679"/>
    </row>
    <row r="39929" spans="32:32" x14ac:dyDescent="0.2">
      <c r="AF39929" s="679"/>
    </row>
    <row r="39930" spans="32:32" x14ac:dyDescent="0.2">
      <c r="AF39930" s="679"/>
    </row>
    <row r="39931" spans="32:32" x14ac:dyDescent="0.2">
      <c r="AF39931" s="679"/>
    </row>
    <row r="39932" spans="32:32" x14ac:dyDescent="0.2">
      <c r="AF39932" s="679"/>
    </row>
    <row r="39933" spans="32:32" x14ac:dyDescent="0.2">
      <c r="AF39933" s="679"/>
    </row>
    <row r="39934" spans="32:32" x14ac:dyDescent="0.2">
      <c r="AF39934" s="679"/>
    </row>
    <row r="39935" spans="32:32" x14ac:dyDescent="0.2">
      <c r="AF39935" s="679"/>
    </row>
    <row r="39936" spans="32:32" x14ac:dyDescent="0.2">
      <c r="AF39936" s="679"/>
    </row>
    <row r="39937" spans="32:32" x14ac:dyDescent="0.2">
      <c r="AF39937" s="679"/>
    </row>
    <row r="39938" spans="32:32" x14ac:dyDescent="0.2">
      <c r="AF39938" s="679"/>
    </row>
    <row r="39939" spans="32:32" x14ac:dyDescent="0.2">
      <c r="AF39939" s="679"/>
    </row>
    <row r="39940" spans="32:32" x14ac:dyDescent="0.2">
      <c r="AF39940" s="679"/>
    </row>
    <row r="39941" spans="32:32" x14ac:dyDescent="0.2">
      <c r="AF39941" s="679"/>
    </row>
    <row r="39942" spans="32:32" x14ac:dyDescent="0.2">
      <c r="AF39942" s="679"/>
    </row>
    <row r="39943" spans="32:32" x14ac:dyDescent="0.2">
      <c r="AF39943" s="679"/>
    </row>
    <row r="39944" spans="32:32" x14ac:dyDescent="0.2">
      <c r="AF39944" s="679"/>
    </row>
    <row r="39945" spans="32:32" x14ac:dyDescent="0.2">
      <c r="AF39945" s="679"/>
    </row>
    <row r="39946" spans="32:32" x14ac:dyDescent="0.2">
      <c r="AF39946" s="679"/>
    </row>
    <row r="39947" spans="32:32" x14ac:dyDescent="0.2">
      <c r="AF39947" s="679"/>
    </row>
    <row r="39948" spans="32:32" x14ac:dyDescent="0.2">
      <c r="AF39948" s="679"/>
    </row>
    <row r="39949" spans="32:32" x14ac:dyDescent="0.2">
      <c r="AF39949" s="679"/>
    </row>
    <row r="39950" spans="32:32" x14ac:dyDescent="0.2">
      <c r="AF39950" s="679"/>
    </row>
    <row r="39951" spans="32:32" x14ac:dyDescent="0.2">
      <c r="AF39951" s="679"/>
    </row>
    <row r="39952" spans="32:32" x14ac:dyDescent="0.2">
      <c r="AF39952" s="679"/>
    </row>
    <row r="39953" spans="32:32" x14ac:dyDescent="0.2">
      <c r="AF39953" s="679"/>
    </row>
    <row r="39954" spans="32:32" x14ac:dyDescent="0.2">
      <c r="AF39954" s="679"/>
    </row>
    <row r="39955" spans="32:32" x14ac:dyDescent="0.2">
      <c r="AF39955" s="679"/>
    </row>
    <row r="39956" spans="32:32" x14ac:dyDescent="0.2">
      <c r="AF39956" s="679"/>
    </row>
    <row r="39957" spans="32:32" x14ac:dyDescent="0.2">
      <c r="AF39957" s="679"/>
    </row>
    <row r="39958" spans="32:32" x14ac:dyDescent="0.2">
      <c r="AF39958" s="679"/>
    </row>
    <row r="39959" spans="32:32" x14ac:dyDescent="0.2">
      <c r="AF39959" s="679"/>
    </row>
    <row r="39960" spans="32:32" x14ac:dyDescent="0.2">
      <c r="AF39960" s="679"/>
    </row>
    <row r="39961" spans="32:32" x14ac:dyDescent="0.2">
      <c r="AF39961" s="679"/>
    </row>
    <row r="39962" spans="32:32" x14ac:dyDescent="0.2">
      <c r="AF39962" s="679"/>
    </row>
    <row r="39963" spans="32:32" x14ac:dyDescent="0.2">
      <c r="AF39963" s="679"/>
    </row>
    <row r="39964" spans="32:32" x14ac:dyDescent="0.2">
      <c r="AF39964" s="679"/>
    </row>
    <row r="39965" spans="32:32" x14ac:dyDescent="0.2">
      <c r="AF39965" s="679"/>
    </row>
    <row r="39966" spans="32:32" x14ac:dyDescent="0.2">
      <c r="AF39966" s="679"/>
    </row>
    <row r="39967" spans="32:32" x14ac:dyDescent="0.2">
      <c r="AF39967" s="679"/>
    </row>
    <row r="39968" spans="32:32" x14ac:dyDescent="0.2">
      <c r="AF39968" s="679"/>
    </row>
    <row r="39969" spans="32:32" x14ac:dyDescent="0.2">
      <c r="AF39969" s="679"/>
    </row>
    <row r="39970" spans="32:32" x14ac:dyDescent="0.2">
      <c r="AF39970" s="679"/>
    </row>
    <row r="39971" spans="32:32" x14ac:dyDescent="0.2">
      <c r="AF39971" s="679"/>
    </row>
    <row r="39972" spans="32:32" x14ac:dyDescent="0.2">
      <c r="AF39972" s="679"/>
    </row>
    <row r="39973" spans="32:32" x14ac:dyDescent="0.2">
      <c r="AF39973" s="679"/>
    </row>
    <row r="39974" spans="32:32" x14ac:dyDescent="0.2">
      <c r="AF39974" s="679"/>
    </row>
    <row r="39975" spans="32:32" x14ac:dyDescent="0.2">
      <c r="AF39975" s="679"/>
    </row>
    <row r="39976" spans="32:32" x14ac:dyDescent="0.2">
      <c r="AF39976" s="679"/>
    </row>
    <row r="39977" spans="32:32" x14ac:dyDescent="0.2">
      <c r="AF39977" s="679"/>
    </row>
    <row r="39978" spans="32:32" x14ac:dyDescent="0.2">
      <c r="AF39978" s="679"/>
    </row>
    <row r="39979" spans="32:32" x14ac:dyDescent="0.2">
      <c r="AF39979" s="679"/>
    </row>
    <row r="39980" spans="32:32" x14ac:dyDescent="0.2">
      <c r="AF39980" s="679"/>
    </row>
    <row r="39981" spans="32:32" x14ac:dyDescent="0.2">
      <c r="AF39981" s="679"/>
    </row>
    <row r="39982" spans="32:32" x14ac:dyDescent="0.2">
      <c r="AF39982" s="679"/>
    </row>
    <row r="39983" spans="32:32" x14ac:dyDescent="0.2">
      <c r="AF39983" s="679"/>
    </row>
    <row r="39984" spans="32:32" x14ac:dyDescent="0.2">
      <c r="AF39984" s="679"/>
    </row>
    <row r="39985" spans="32:32" x14ac:dyDescent="0.2">
      <c r="AF39985" s="679"/>
    </row>
    <row r="39986" spans="32:32" x14ac:dyDescent="0.2">
      <c r="AF39986" s="679"/>
    </row>
    <row r="39987" spans="32:32" x14ac:dyDescent="0.2">
      <c r="AF39987" s="679"/>
    </row>
    <row r="39988" spans="32:32" x14ac:dyDescent="0.2">
      <c r="AF39988" s="679"/>
    </row>
    <row r="39989" spans="32:32" x14ac:dyDescent="0.2">
      <c r="AF39989" s="679"/>
    </row>
    <row r="39990" spans="32:32" x14ac:dyDescent="0.2">
      <c r="AF39990" s="679"/>
    </row>
    <row r="39991" spans="32:32" x14ac:dyDescent="0.2">
      <c r="AF39991" s="679"/>
    </row>
    <row r="39992" spans="32:32" x14ac:dyDescent="0.2">
      <c r="AF39992" s="679"/>
    </row>
    <row r="39993" spans="32:32" x14ac:dyDescent="0.2">
      <c r="AF39993" s="679"/>
    </row>
    <row r="39994" spans="32:32" x14ac:dyDescent="0.2">
      <c r="AF39994" s="679"/>
    </row>
    <row r="39995" spans="32:32" x14ac:dyDescent="0.2">
      <c r="AF39995" s="679"/>
    </row>
    <row r="39996" spans="32:32" x14ac:dyDescent="0.2">
      <c r="AF39996" s="679"/>
    </row>
    <row r="39997" spans="32:32" x14ac:dyDescent="0.2">
      <c r="AF39997" s="679"/>
    </row>
    <row r="39998" spans="32:32" x14ac:dyDescent="0.2">
      <c r="AF39998" s="679"/>
    </row>
    <row r="39999" spans="32:32" x14ac:dyDescent="0.2">
      <c r="AF39999" s="679"/>
    </row>
    <row r="40000" spans="32:32" x14ac:dyDescent="0.2">
      <c r="AF40000" s="679"/>
    </row>
    <row r="40001" spans="32:32" x14ac:dyDescent="0.2">
      <c r="AF40001" s="679"/>
    </row>
    <row r="40002" spans="32:32" x14ac:dyDescent="0.2">
      <c r="AF40002" s="679"/>
    </row>
    <row r="40003" spans="32:32" x14ac:dyDescent="0.2">
      <c r="AF40003" s="679"/>
    </row>
    <row r="40004" spans="32:32" x14ac:dyDescent="0.2">
      <c r="AF40004" s="679"/>
    </row>
    <row r="40005" spans="32:32" x14ac:dyDescent="0.2">
      <c r="AF40005" s="679"/>
    </row>
    <row r="40006" spans="32:32" x14ac:dyDescent="0.2">
      <c r="AF40006" s="679"/>
    </row>
    <row r="40007" spans="32:32" x14ac:dyDescent="0.2">
      <c r="AF40007" s="679"/>
    </row>
    <row r="40008" spans="32:32" x14ac:dyDescent="0.2">
      <c r="AF40008" s="679"/>
    </row>
    <row r="40009" spans="32:32" x14ac:dyDescent="0.2">
      <c r="AF40009" s="679"/>
    </row>
    <row r="40010" spans="32:32" x14ac:dyDescent="0.2">
      <c r="AF40010" s="679"/>
    </row>
    <row r="40011" spans="32:32" x14ac:dyDescent="0.2">
      <c r="AF40011" s="679"/>
    </row>
    <row r="40012" spans="32:32" x14ac:dyDescent="0.2">
      <c r="AF40012" s="679"/>
    </row>
    <row r="40013" spans="32:32" x14ac:dyDescent="0.2">
      <c r="AF40013" s="679"/>
    </row>
    <row r="40014" spans="32:32" x14ac:dyDescent="0.2">
      <c r="AF40014" s="679"/>
    </row>
    <row r="40015" spans="32:32" x14ac:dyDescent="0.2">
      <c r="AF40015" s="679"/>
    </row>
    <row r="40016" spans="32:32" x14ac:dyDescent="0.2">
      <c r="AF40016" s="679"/>
    </row>
    <row r="40017" spans="32:32" x14ac:dyDescent="0.2">
      <c r="AF40017" s="679"/>
    </row>
    <row r="40018" spans="32:32" x14ac:dyDescent="0.2">
      <c r="AF40018" s="679"/>
    </row>
    <row r="40019" spans="32:32" x14ac:dyDescent="0.2">
      <c r="AF40019" s="679"/>
    </row>
    <row r="40020" spans="32:32" x14ac:dyDescent="0.2">
      <c r="AF40020" s="679"/>
    </row>
    <row r="40021" spans="32:32" x14ac:dyDescent="0.2">
      <c r="AF40021" s="679"/>
    </row>
    <row r="40022" spans="32:32" x14ac:dyDescent="0.2">
      <c r="AF40022" s="679"/>
    </row>
    <row r="40023" spans="32:32" x14ac:dyDescent="0.2">
      <c r="AF40023" s="679"/>
    </row>
    <row r="40024" spans="32:32" x14ac:dyDescent="0.2">
      <c r="AF40024" s="679"/>
    </row>
    <row r="40025" spans="32:32" x14ac:dyDescent="0.2">
      <c r="AF40025" s="679"/>
    </row>
    <row r="40026" spans="32:32" x14ac:dyDescent="0.2">
      <c r="AF40026" s="679"/>
    </row>
    <row r="40027" spans="32:32" x14ac:dyDescent="0.2">
      <c r="AF40027" s="679"/>
    </row>
    <row r="40028" spans="32:32" x14ac:dyDescent="0.2">
      <c r="AF40028" s="679"/>
    </row>
    <row r="40029" spans="32:32" x14ac:dyDescent="0.2">
      <c r="AF40029" s="679"/>
    </row>
    <row r="40030" spans="32:32" x14ac:dyDescent="0.2">
      <c r="AF40030" s="679"/>
    </row>
    <row r="40031" spans="32:32" x14ac:dyDescent="0.2">
      <c r="AF40031" s="679"/>
    </row>
    <row r="40032" spans="32:32" x14ac:dyDescent="0.2">
      <c r="AF40032" s="679"/>
    </row>
    <row r="40033" spans="32:32" x14ac:dyDescent="0.2">
      <c r="AF40033" s="679"/>
    </row>
    <row r="40034" spans="32:32" x14ac:dyDescent="0.2">
      <c r="AF40034" s="679"/>
    </row>
    <row r="40035" spans="32:32" x14ac:dyDescent="0.2">
      <c r="AF40035" s="679"/>
    </row>
    <row r="40036" spans="32:32" x14ac:dyDescent="0.2">
      <c r="AF40036" s="679"/>
    </row>
    <row r="40037" spans="32:32" x14ac:dyDescent="0.2">
      <c r="AF40037" s="679"/>
    </row>
    <row r="40038" spans="32:32" x14ac:dyDescent="0.2">
      <c r="AF40038" s="679"/>
    </row>
    <row r="40039" spans="32:32" x14ac:dyDescent="0.2">
      <c r="AF40039" s="679"/>
    </row>
    <row r="40040" spans="32:32" x14ac:dyDescent="0.2">
      <c r="AF40040" s="679"/>
    </row>
    <row r="40041" spans="32:32" x14ac:dyDescent="0.2">
      <c r="AF40041" s="679"/>
    </row>
    <row r="40042" spans="32:32" x14ac:dyDescent="0.2">
      <c r="AF40042" s="679"/>
    </row>
    <row r="40043" spans="32:32" x14ac:dyDescent="0.2">
      <c r="AF40043" s="679"/>
    </row>
    <row r="40044" spans="32:32" x14ac:dyDescent="0.2">
      <c r="AF40044" s="679"/>
    </row>
    <row r="40045" spans="32:32" x14ac:dyDescent="0.2">
      <c r="AF40045" s="679"/>
    </row>
    <row r="40046" spans="32:32" x14ac:dyDescent="0.2">
      <c r="AF40046" s="679"/>
    </row>
    <row r="40047" spans="32:32" x14ac:dyDescent="0.2">
      <c r="AF40047" s="679"/>
    </row>
    <row r="40048" spans="32:32" x14ac:dyDescent="0.2">
      <c r="AF40048" s="679"/>
    </row>
    <row r="40049" spans="32:32" x14ac:dyDescent="0.2">
      <c r="AF40049" s="679"/>
    </row>
    <row r="40050" spans="32:32" x14ac:dyDescent="0.2">
      <c r="AF40050" s="679"/>
    </row>
    <row r="40051" spans="32:32" x14ac:dyDescent="0.2">
      <c r="AF40051" s="679"/>
    </row>
    <row r="40052" spans="32:32" x14ac:dyDescent="0.2">
      <c r="AF40052" s="679"/>
    </row>
    <row r="40053" spans="32:32" x14ac:dyDescent="0.2">
      <c r="AF40053" s="679"/>
    </row>
    <row r="40054" spans="32:32" x14ac:dyDescent="0.2">
      <c r="AF40054" s="679"/>
    </row>
    <row r="40055" spans="32:32" x14ac:dyDescent="0.2">
      <c r="AF40055" s="679"/>
    </row>
    <row r="40056" spans="32:32" x14ac:dyDescent="0.2">
      <c r="AF40056" s="679"/>
    </row>
    <row r="40057" spans="32:32" x14ac:dyDescent="0.2">
      <c r="AF40057" s="679"/>
    </row>
    <row r="40058" spans="32:32" x14ac:dyDescent="0.2">
      <c r="AF40058" s="679"/>
    </row>
    <row r="40059" spans="32:32" x14ac:dyDescent="0.2">
      <c r="AF40059" s="679"/>
    </row>
    <row r="40060" spans="32:32" x14ac:dyDescent="0.2">
      <c r="AF40060" s="679"/>
    </row>
    <row r="40061" spans="32:32" x14ac:dyDescent="0.2">
      <c r="AF40061" s="679"/>
    </row>
    <row r="40062" spans="32:32" x14ac:dyDescent="0.2">
      <c r="AF40062" s="679"/>
    </row>
    <row r="40063" spans="32:32" x14ac:dyDescent="0.2">
      <c r="AF40063" s="679"/>
    </row>
    <row r="40064" spans="32:32" x14ac:dyDescent="0.2">
      <c r="AF40064" s="679"/>
    </row>
    <row r="40065" spans="32:32" x14ac:dyDescent="0.2">
      <c r="AF40065" s="679"/>
    </row>
    <row r="40066" spans="32:32" x14ac:dyDescent="0.2">
      <c r="AF40066" s="679"/>
    </row>
    <row r="40067" spans="32:32" x14ac:dyDescent="0.2">
      <c r="AF40067" s="679"/>
    </row>
    <row r="40068" spans="32:32" x14ac:dyDescent="0.2">
      <c r="AF40068" s="679"/>
    </row>
    <row r="40069" spans="32:32" x14ac:dyDescent="0.2">
      <c r="AF40069" s="679"/>
    </row>
    <row r="40070" spans="32:32" x14ac:dyDescent="0.2">
      <c r="AF40070" s="679"/>
    </row>
    <row r="40071" spans="32:32" x14ac:dyDescent="0.2">
      <c r="AF40071" s="679"/>
    </row>
    <row r="40072" spans="32:32" x14ac:dyDescent="0.2">
      <c r="AF40072" s="679"/>
    </row>
    <row r="40073" spans="32:32" x14ac:dyDescent="0.2">
      <c r="AF40073" s="679"/>
    </row>
    <row r="40074" spans="32:32" x14ac:dyDescent="0.2">
      <c r="AF40074" s="679"/>
    </row>
    <row r="40075" spans="32:32" x14ac:dyDescent="0.2">
      <c r="AF40075" s="679"/>
    </row>
    <row r="40076" spans="32:32" x14ac:dyDescent="0.2">
      <c r="AF40076" s="679"/>
    </row>
    <row r="40077" spans="32:32" x14ac:dyDescent="0.2">
      <c r="AF40077" s="679"/>
    </row>
    <row r="40078" spans="32:32" x14ac:dyDescent="0.2">
      <c r="AF40078" s="679"/>
    </row>
    <row r="40079" spans="32:32" x14ac:dyDescent="0.2">
      <c r="AF40079" s="679"/>
    </row>
    <row r="40080" spans="32:32" x14ac:dyDescent="0.2">
      <c r="AF40080" s="679"/>
    </row>
    <row r="40081" spans="32:32" x14ac:dyDescent="0.2">
      <c r="AF40081" s="679"/>
    </row>
    <row r="40082" spans="32:32" x14ac:dyDescent="0.2">
      <c r="AF40082" s="679"/>
    </row>
    <row r="40083" spans="32:32" x14ac:dyDescent="0.2">
      <c r="AF40083" s="679"/>
    </row>
    <row r="40084" spans="32:32" x14ac:dyDescent="0.2">
      <c r="AF40084" s="679"/>
    </row>
    <row r="40085" spans="32:32" x14ac:dyDescent="0.2">
      <c r="AF40085" s="679"/>
    </row>
    <row r="40086" spans="32:32" x14ac:dyDescent="0.2">
      <c r="AF40086" s="679"/>
    </row>
    <row r="40087" spans="32:32" x14ac:dyDescent="0.2">
      <c r="AF40087" s="679"/>
    </row>
    <row r="40088" spans="32:32" x14ac:dyDescent="0.2">
      <c r="AF40088" s="679"/>
    </row>
    <row r="40089" spans="32:32" x14ac:dyDescent="0.2">
      <c r="AF40089" s="679"/>
    </row>
    <row r="40090" spans="32:32" x14ac:dyDescent="0.2">
      <c r="AF40090" s="679"/>
    </row>
    <row r="40091" spans="32:32" x14ac:dyDescent="0.2">
      <c r="AF40091" s="679"/>
    </row>
    <row r="40092" spans="32:32" x14ac:dyDescent="0.2">
      <c r="AF40092" s="679"/>
    </row>
    <row r="40093" spans="32:32" x14ac:dyDescent="0.2">
      <c r="AF40093" s="679"/>
    </row>
    <row r="40094" spans="32:32" x14ac:dyDescent="0.2">
      <c r="AF40094" s="679"/>
    </row>
    <row r="40095" spans="32:32" x14ac:dyDescent="0.2">
      <c r="AF40095" s="679"/>
    </row>
    <row r="40096" spans="32:32" x14ac:dyDescent="0.2">
      <c r="AF40096" s="679"/>
    </row>
    <row r="40097" spans="32:32" x14ac:dyDescent="0.2">
      <c r="AF40097" s="679"/>
    </row>
    <row r="40098" spans="32:32" x14ac:dyDescent="0.2">
      <c r="AF40098" s="679"/>
    </row>
    <row r="40099" spans="32:32" x14ac:dyDescent="0.2">
      <c r="AF40099" s="679"/>
    </row>
    <row r="40100" spans="32:32" x14ac:dyDescent="0.2">
      <c r="AF40100" s="679"/>
    </row>
    <row r="40101" spans="32:32" x14ac:dyDescent="0.2">
      <c r="AF40101" s="679"/>
    </row>
    <row r="40102" spans="32:32" x14ac:dyDescent="0.2">
      <c r="AF40102" s="679"/>
    </row>
    <row r="40103" spans="32:32" x14ac:dyDescent="0.2">
      <c r="AF40103" s="679"/>
    </row>
    <row r="40104" spans="32:32" x14ac:dyDescent="0.2">
      <c r="AF40104" s="679"/>
    </row>
    <row r="40105" spans="32:32" x14ac:dyDescent="0.2">
      <c r="AF40105" s="679"/>
    </row>
    <row r="40106" spans="32:32" x14ac:dyDescent="0.2">
      <c r="AF40106" s="679"/>
    </row>
    <row r="40107" spans="32:32" x14ac:dyDescent="0.2">
      <c r="AF40107" s="679"/>
    </row>
    <row r="40108" spans="32:32" x14ac:dyDescent="0.2">
      <c r="AF40108" s="679"/>
    </row>
    <row r="40109" spans="32:32" x14ac:dyDescent="0.2">
      <c r="AF40109" s="679"/>
    </row>
    <row r="40110" spans="32:32" x14ac:dyDescent="0.2">
      <c r="AF40110" s="679"/>
    </row>
    <row r="40111" spans="32:32" x14ac:dyDescent="0.2">
      <c r="AF40111" s="679"/>
    </row>
    <row r="40112" spans="32:32" x14ac:dyDescent="0.2">
      <c r="AF40112" s="679"/>
    </row>
    <row r="40113" spans="32:32" x14ac:dyDescent="0.2">
      <c r="AF40113" s="679"/>
    </row>
    <row r="40114" spans="32:32" x14ac:dyDescent="0.2">
      <c r="AF40114" s="679"/>
    </row>
    <row r="40115" spans="32:32" x14ac:dyDescent="0.2">
      <c r="AF40115" s="679"/>
    </row>
    <row r="40116" spans="32:32" x14ac:dyDescent="0.2">
      <c r="AF40116" s="679"/>
    </row>
    <row r="40117" spans="32:32" x14ac:dyDescent="0.2">
      <c r="AF40117" s="679"/>
    </row>
    <row r="40118" spans="32:32" x14ac:dyDescent="0.2">
      <c r="AF40118" s="679"/>
    </row>
    <row r="40119" spans="32:32" x14ac:dyDescent="0.2">
      <c r="AF40119" s="679"/>
    </row>
    <row r="40120" spans="32:32" x14ac:dyDescent="0.2">
      <c r="AF40120" s="679"/>
    </row>
    <row r="40121" spans="32:32" x14ac:dyDescent="0.2">
      <c r="AF40121" s="679"/>
    </row>
    <row r="40122" spans="32:32" x14ac:dyDescent="0.2">
      <c r="AF40122" s="679"/>
    </row>
    <row r="40123" spans="32:32" x14ac:dyDescent="0.2">
      <c r="AF40123" s="679"/>
    </row>
    <row r="40124" spans="32:32" x14ac:dyDescent="0.2">
      <c r="AF40124" s="679"/>
    </row>
    <row r="40125" spans="32:32" x14ac:dyDescent="0.2">
      <c r="AF40125" s="679"/>
    </row>
    <row r="40126" spans="32:32" x14ac:dyDescent="0.2">
      <c r="AF40126" s="679"/>
    </row>
    <row r="40127" spans="32:32" x14ac:dyDescent="0.2">
      <c r="AF40127" s="679"/>
    </row>
    <row r="40128" spans="32:32" x14ac:dyDescent="0.2">
      <c r="AF40128" s="679"/>
    </row>
    <row r="40129" spans="32:32" x14ac:dyDescent="0.2">
      <c r="AF40129" s="679"/>
    </row>
    <row r="40130" spans="32:32" x14ac:dyDescent="0.2">
      <c r="AF40130" s="679"/>
    </row>
    <row r="40131" spans="32:32" x14ac:dyDescent="0.2">
      <c r="AF40131" s="679"/>
    </row>
    <row r="40132" spans="32:32" x14ac:dyDescent="0.2">
      <c r="AF40132" s="679"/>
    </row>
    <row r="40133" spans="32:32" x14ac:dyDescent="0.2">
      <c r="AF40133" s="679"/>
    </row>
    <row r="40134" spans="32:32" x14ac:dyDescent="0.2">
      <c r="AF40134" s="679"/>
    </row>
    <row r="40135" spans="32:32" x14ac:dyDescent="0.2">
      <c r="AF40135" s="679"/>
    </row>
    <row r="40136" spans="32:32" x14ac:dyDescent="0.2">
      <c r="AF40136" s="679"/>
    </row>
    <row r="40137" spans="32:32" x14ac:dyDescent="0.2">
      <c r="AF40137" s="679"/>
    </row>
    <row r="40138" spans="32:32" x14ac:dyDescent="0.2">
      <c r="AF40138" s="679"/>
    </row>
    <row r="40139" spans="32:32" x14ac:dyDescent="0.2">
      <c r="AF40139" s="679"/>
    </row>
    <row r="40140" spans="32:32" x14ac:dyDescent="0.2">
      <c r="AF40140" s="679"/>
    </row>
    <row r="40141" spans="32:32" x14ac:dyDescent="0.2">
      <c r="AF40141" s="679"/>
    </row>
    <row r="40142" spans="32:32" x14ac:dyDescent="0.2">
      <c r="AF40142" s="679"/>
    </row>
    <row r="40143" spans="32:32" x14ac:dyDescent="0.2">
      <c r="AF40143" s="679"/>
    </row>
    <row r="40144" spans="32:32" x14ac:dyDescent="0.2">
      <c r="AF40144" s="679"/>
    </row>
    <row r="40145" spans="32:32" x14ac:dyDescent="0.2">
      <c r="AF40145" s="679"/>
    </row>
    <row r="40146" spans="32:32" x14ac:dyDescent="0.2">
      <c r="AF40146" s="679"/>
    </row>
    <row r="40147" spans="32:32" x14ac:dyDescent="0.2">
      <c r="AF40147" s="679"/>
    </row>
    <row r="40148" spans="32:32" x14ac:dyDescent="0.2">
      <c r="AF40148" s="679"/>
    </row>
    <row r="40149" spans="32:32" x14ac:dyDescent="0.2">
      <c r="AF40149" s="679"/>
    </row>
    <row r="40150" spans="32:32" x14ac:dyDescent="0.2">
      <c r="AF40150" s="679"/>
    </row>
    <row r="40151" spans="32:32" x14ac:dyDescent="0.2">
      <c r="AF40151" s="679"/>
    </row>
    <row r="40152" spans="32:32" x14ac:dyDescent="0.2">
      <c r="AF40152" s="679"/>
    </row>
    <row r="40153" spans="32:32" x14ac:dyDescent="0.2">
      <c r="AF40153" s="679"/>
    </row>
    <row r="40154" spans="32:32" x14ac:dyDescent="0.2">
      <c r="AF40154" s="679"/>
    </row>
    <row r="40155" spans="32:32" x14ac:dyDescent="0.2">
      <c r="AF40155" s="679"/>
    </row>
    <row r="40156" spans="32:32" x14ac:dyDescent="0.2">
      <c r="AF40156" s="679"/>
    </row>
    <row r="40157" spans="32:32" x14ac:dyDescent="0.2">
      <c r="AF40157" s="679"/>
    </row>
    <row r="40158" spans="32:32" x14ac:dyDescent="0.2">
      <c r="AF40158" s="679"/>
    </row>
    <row r="40159" spans="32:32" x14ac:dyDescent="0.2">
      <c r="AF40159" s="679"/>
    </row>
    <row r="40160" spans="32:32" x14ac:dyDescent="0.2">
      <c r="AF40160" s="679"/>
    </row>
    <row r="40161" spans="32:32" x14ac:dyDescent="0.2">
      <c r="AF40161" s="679"/>
    </row>
    <row r="40162" spans="32:32" x14ac:dyDescent="0.2">
      <c r="AF40162" s="679"/>
    </row>
    <row r="40163" spans="32:32" x14ac:dyDescent="0.2">
      <c r="AF40163" s="679"/>
    </row>
    <row r="40164" spans="32:32" x14ac:dyDescent="0.2">
      <c r="AF40164" s="679"/>
    </row>
    <row r="40165" spans="32:32" x14ac:dyDescent="0.2">
      <c r="AF40165" s="679"/>
    </row>
    <row r="40166" spans="32:32" x14ac:dyDescent="0.2">
      <c r="AF40166" s="679"/>
    </row>
    <row r="40167" spans="32:32" x14ac:dyDescent="0.2">
      <c r="AF40167" s="679"/>
    </row>
    <row r="40168" spans="32:32" x14ac:dyDescent="0.2">
      <c r="AF40168" s="679"/>
    </row>
    <row r="40169" spans="32:32" x14ac:dyDescent="0.2">
      <c r="AF40169" s="679"/>
    </row>
    <row r="40170" spans="32:32" x14ac:dyDescent="0.2">
      <c r="AF40170" s="679"/>
    </row>
    <row r="40171" spans="32:32" x14ac:dyDescent="0.2">
      <c r="AF40171" s="679"/>
    </row>
    <row r="40172" spans="32:32" x14ac:dyDescent="0.2">
      <c r="AF40172" s="679"/>
    </row>
    <row r="40173" spans="32:32" x14ac:dyDescent="0.2">
      <c r="AF40173" s="679"/>
    </row>
    <row r="40174" spans="32:32" x14ac:dyDescent="0.2">
      <c r="AF40174" s="679"/>
    </row>
    <row r="40175" spans="32:32" x14ac:dyDescent="0.2">
      <c r="AF40175" s="679"/>
    </row>
    <row r="40176" spans="32:32" x14ac:dyDescent="0.2">
      <c r="AF40176" s="679"/>
    </row>
    <row r="40177" spans="32:32" x14ac:dyDescent="0.2">
      <c r="AF40177" s="679"/>
    </row>
    <row r="40178" spans="32:32" x14ac:dyDescent="0.2">
      <c r="AF40178" s="679"/>
    </row>
    <row r="40179" spans="32:32" x14ac:dyDescent="0.2">
      <c r="AF40179" s="679"/>
    </row>
    <row r="40180" spans="32:32" x14ac:dyDescent="0.2">
      <c r="AF40180" s="679"/>
    </row>
    <row r="40181" spans="32:32" x14ac:dyDescent="0.2">
      <c r="AF40181" s="679"/>
    </row>
    <row r="40182" spans="32:32" x14ac:dyDescent="0.2">
      <c r="AF40182" s="679"/>
    </row>
    <row r="40183" spans="32:32" x14ac:dyDescent="0.2">
      <c r="AF40183" s="679"/>
    </row>
    <row r="40184" spans="32:32" x14ac:dyDescent="0.2">
      <c r="AF40184" s="679"/>
    </row>
    <row r="40185" spans="32:32" x14ac:dyDescent="0.2">
      <c r="AF40185" s="679"/>
    </row>
    <row r="40186" spans="32:32" x14ac:dyDescent="0.2">
      <c r="AF40186" s="679"/>
    </row>
    <row r="40187" spans="32:32" x14ac:dyDescent="0.2">
      <c r="AF40187" s="679"/>
    </row>
    <row r="40188" spans="32:32" x14ac:dyDescent="0.2">
      <c r="AF40188" s="679"/>
    </row>
    <row r="40189" spans="32:32" x14ac:dyDescent="0.2">
      <c r="AF40189" s="679"/>
    </row>
    <row r="40190" spans="32:32" x14ac:dyDescent="0.2">
      <c r="AF40190" s="679"/>
    </row>
    <row r="40191" spans="32:32" x14ac:dyDescent="0.2">
      <c r="AF40191" s="679"/>
    </row>
    <row r="40192" spans="32:32" x14ac:dyDescent="0.2">
      <c r="AF40192" s="679"/>
    </row>
    <row r="40193" spans="32:32" x14ac:dyDescent="0.2">
      <c r="AF40193" s="679"/>
    </row>
    <row r="40194" spans="32:32" x14ac:dyDescent="0.2">
      <c r="AF40194" s="679"/>
    </row>
    <row r="40195" spans="32:32" x14ac:dyDescent="0.2">
      <c r="AF40195" s="679"/>
    </row>
    <row r="40196" spans="32:32" x14ac:dyDescent="0.2">
      <c r="AF40196" s="679"/>
    </row>
    <row r="40197" spans="32:32" x14ac:dyDescent="0.2">
      <c r="AF40197" s="679"/>
    </row>
    <row r="40198" spans="32:32" x14ac:dyDescent="0.2">
      <c r="AF40198" s="679"/>
    </row>
    <row r="40199" spans="32:32" x14ac:dyDescent="0.2">
      <c r="AF40199" s="679"/>
    </row>
    <row r="40200" spans="32:32" x14ac:dyDescent="0.2">
      <c r="AF40200" s="679"/>
    </row>
    <row r="40201" spans="32:32" x14ac:dyDescent="0.2">
      <c r="AF40201" s="679"/>
    </row>
    <row r="40202" spans="32:32" x14ac:dyDescent="0.2">
      <c r="AF40202" s="679"/>
    </row>
    <row r="40203" spans="32:32" x14ac:dyDescent="0.2">
      <c r="AF40203" s="679"/>
    </row>
    <row r="40204" spans="32:32" x14ac:dyDescent="0.2">
      <c r="AF40204" s="679"/>
    </row>
    <row r="40205" spans="32:32" x14ac:dyDescent="0.2">
      <c r="AF40205" s="679"/>
    </row>
    <row r="40206" spans="32:32" x14ac:dyDescent="0.2">
      <c r="AF40206" s="679"/>
    </row>
    <row r="40207" spans="32:32" x14ac:dyDescent="0.2">
      <c r="AF40207" s="679"/>
    </row>
    <row r="40208" spans="32:32" x14ac:dyDescent="0.2">
      <c r="AF40208" s="679"/>
    </row>
    <row r="40209" spans="32:32" x14ac:dyDescent="0.2">
      <c r="AF40209" s="679"/>
    </row>
    <row r="40210" spans="32:32" x14ac:dyDescent="0.2">
      <c r="AF40210" s="679"/>
    </row>
    <row r="40211" spans="32:32" x14ac:dyDescent="0.2">
      <c r="AF40211" s="679"/>
    </row>
    <row r="40212" spans="32:32" x14ac:dyDescent="0.2">
      <c r="AF40212" s="679"/>
    </row>
    <row r="40213" spans="32:32" x14ac:dyDescent="0.2">
      <c r="AF40213" s="679"/>
    </row>
    <row r="40214" spans="32:32" x14ac:dyDescent="0.2">
      <c r="AF40214" s="679"/>
    </row>
    <row r="40215" spans="32:32" x14ac:dyDescent="0.2">
      <c r="AF40215" s="679"/>
    </row>
    <row r="40216" spans="32:32" x14ac:dyDescent="0.2">
      <c r="AF40216" s="679"/>
    </row>
    <row r="40217" spans="32:32" x14ac:dyDescent="0.2">
      <c r="AF40217" s="679"/>
    </row>
    <row r="40218" spans="32:32" x14ac:dyDescent="0.2">
      <c r="AF40218" s="679"/>
    </row>
    <row r="40219" spans="32:32" x14ac:dyDescent="0.2">
      <c r="AF40219" s="679"/>
    </row>
    <row r="40220" spans="32:32" x14ac:dyDescent="0.2">
      <c r="AF40220" s="679"/>
    </row>
    <row r="40221" spans="32:32" x14ac:dyDescent="0.2">
      <c r="AF40221" s="679"/>
    </row>
    <row r="40222" spans="32:32" x14ac:dyDescent="0.2">
      <c r="AF40222" s="679"/>
    </row>
    <row r="40223" spans="32:32" x14ac:dyDescent="0.2">
      <c r="AF40223" s="679"/>
    </row>
    <row r="40224" spans="32:32" x14ac:dyDescent="0.2">
      <c r="AF40224" s="679"/>
    </row>
    <row r="40225" spans="32:32" x14ac:dyDescent="0.2">
      <c r="AF40225" s="679"/>
    </row>
    <row r="40226" spans="32:32" x14ac:dyDescent="0.2">
      <c r="AF40226" s="679"/>
    </row>
    <row r="40227" spans="32:32" x14ac:dyDescent="0.2">
      <c r="AF40227" s="679"/>
    </row>
    <row r="40228" spans="32:32" x14ac:dyDescent="0.2">
      <c r="AF40228" s="679"/>
    </row>
    <row r="40229" spans="32:32" x14ac:dyDescent="0.2">
      <c r="AF40229" s="679"/>
    </row>
    <row r="40230" spans="32:32" x14ac:dyDescent="0.2">
      <c r="AF40230" s="679"/>
    </row>
    <row r="40231" spans="32:32" x14ac:dyDescent="0.2">
      <c r="AF40231" s="679"/>
    </row>
    <row r="40232" spans="32:32" x14ac:dyDescent="0.2">
      <c r="AF40232" s="679"/>
    </row>
    <row r="40233" spans="32:32" x14ac:dyDescent="0.2">
      <c r="AF40233" s="679"/>
    </row>
    <row r="40234" spans="32:32" x14ac:dyDescent="0.2">
      <c r="AF40234" s="679"/>
    </row>
    <row r="40235" spans="32:32" x14ac:dyDescent="0.2">
      <c r="AF40235" s="679"/>
    </row>
    <row r="40236" spans="32:32" x14ac:dyDescent="0.2">
      <c r="AF40236" s="679"/>
    </row>
    <row r="40237" spans="32:32" x14ac:dyDescent="0.2">
      <c r="AF40237" s="679"/>
    </row>
    <row r="40238" spans="32:32" x14ac:dyDescent="0.2">
      <c r="AF40238" s="679"/>
    </row>
    <row r="40239" spans="32:32" x14ac:dyDescent="0.2">
      <c r="AF40239" s="679"/>
    </row>
    <row r="40240" spans="32:32" x14ac:dyDescent="0.2">
      <c r="AF40240" s="679"/>
    </row>
    <row r="40241" spans="32:32" x14ac:dyDescent="0.2">
      <c r="AF40241" s="679"/>
    </row>
    <row r="40242" spans="32:32" x14ac:dyDescent="0.2">
      <c r="AF40242" s="679"/>
    </row>
    <row r="40243" spans="32:32" x14ac:dyDescent="0.2">
      <c r="AF40243" s="679"/>
    </row>
    <row r="40244" spans="32:32" x14ac:dyDescent="0.2">
      <c r="AF40244" s="679"/>
    </row>
    <row r="40245" spans="32:32" x14ac:dyDescent="0.2">
      <c r="AF40245" s="679"/>
    </row>
    <row r="40246" spans="32:32" x14ac:dyDescent="0.2">
      <c r="AF40246" s="679"/>
    </row>
    <row r="40247" spans="32:32" x14ac:dyDescent="0.2">
      <c r="AF40247" s="679"/>
    </row>
    <row r="40248" spans="32:32" x14ac:dyDescent="0.2">
      <c r="AF40248" s="679"/>
    </row>
    <row r="40249" spans="32:32" x14ac:dyDescent="0.2">
      <c r="AF40249" s="679"/>
    </row>
    <row r="40250" spans="32:32" x14ac:dyDescent="0.2">
      <c r="AF40250" s="679"/>
    </row>
    <row r="40251" spans="32:32" x14ac:dyDescent="0.2">
      <c r="AF40251" s="679"/>
    </row>
    <row r="40252" spans="32:32" x14ac:dyDescent="0.2">
      <c r="AF40252" s="679"/>
    </row>
    <row r="40253" spans="32:32" x14ac:dyDescent="0.2">
      <c r="AF40253" s="679"/>
    </row>
    <row r="40254" spans="32:32" x14ac:dyDescent="0.2">
      <c r="AF40254" s="679"/>
    </row>
    <row r="40255" spans="32:32" x14ac:dyDescent="0.2">
      <c r="AF40255" s="679"/>
    </row>
    <row r="40256" spans="32:32" x14ac:dyDescent="0.2">
      <c r="AF40256" s="679"/>
    </row>
    <row r="40257" spans="32:32" x14ac:dyDescent="0.2">
      <c r="AF40257" s="679"/>
    </row>
    <row r="40258" spans="32:32" x14ac:dyDescent="0.2">
      <c r="AF40258" s="679"/>
    </row>
    <row r="40259" spans="32:32" x14ac:dyDescent="0.2">
      <c r="AF40259" s="679"/>
    </row>
    <row r="40260" spans="32:32" x14ac:dyDescent="0.2">
      <c r="AF40260" s="679"/>
    </row>
    <row r="40261" spans="32:32" x14ac:dyDescent="0.2">
      <c r="AF40261" s="679"/>
    </row>
    <row r="40262" spans="32:32" x14ac:dyDescent="0.2">
      <c r="AF40262" s="679"/>
    </row>
    <row r="40263" spans="32:32" x14ac:dyDescent="0.2">
      <c r="AF40263" s="679"/>
    </row>
    <row r="40264" spans="32:32" x14ac:dyDescent="0.2">
      <c r="AF40264" s="679"/>
    </row>
    <row r="40265" spans="32:32" x14ac:dyDescent="0.2">
      <c r="AF40265" s="679"/>
    </row>
    <row r="40266" spans="32:32" x14ac:dyDescent="0.2">
      <c r="AF40266" s="679"/>
    </row>
    <row r="40267" spans="32:32" x14ac:dyDescent="0.2">
      <c r="AF40267" s="679"/>
    </row>
    <row r="40268" spans="32:32" x14ac:dyDescent="0.2">
      <c r="AF40268" s="679"/>
    </row>
    <row r="40269" spans="32:32" x14ac:dyDescent="0.2">
      <c r="AF40269" s="679"/>
    </row>
    <row r="40270" spans="32:32" x14ac:dyDescent="0.2">
      <c r="AF40270" s="679"/>
    </row>
    <row r="40271" spans="32:32" x14ac:dyDescent="0.2">
      <c r="AF40271" s="679"/>
    </row>
    <row r="40272" spans="32:32" x14ac:dyDescent="0.2">
      <c r="AF40272" s="679"/>
    </row>
    <row r="40273" spans="32:32" x14ac:dyDescent="0.2">
      <c r="AF40273" s="679"/>
    </row>
    <row r="40274" spans="32:32" x14ac:dyDescent="0.2">
      <c r="AF40274" s="679"/>
    </row>
    <row r="40275" spans="32:32" x14ac:dyDescent="0.2">
      <c r="AF40275" s="679"/>
    </row>
    <row r="40276" spans="32:32" x14ac:dyDescent="0.2">
      <c r="AF40276" s="679"/>
    </row>
    <row r="40277" spans="32:32" x14ac:dyDescent="0.2">
      <c r="AF40277" s="679"/>
    </row>
    <row r="40278" spans="32:32" x14ac:dyDescent="0.2">
      <c r="AF40278" s="679"/>
    </row>
    <row r="40279" spans="32:32" x14ac:dyDescent="0.2">
      <c r="AF40279" s="679"/>
    </row>
    <row r="40280" spans="32:32" x14ac:dyDescent="0.2">
      <c r="AF40280" s="679"/>
    </row>
    <row r="40281" spans="32:32" x14ac:dyDescent="0.2">
      <c r="AF40281" s="679"/>
    </row>
    <row r="40282" spans="32:32" x14ac:dyDescent="0.2">
      <c r="AF40282" s="679"/>
    </row>
    <row r="40283" spans="32:32" x14ac:dyDescent="0.2">
      <c r="AF40283" s="679"/>
    </row>
    <row r="40284" spans="32:32" x14ac:dyDescent="0.2">
      <c r="AF40284" s="679"/>
    </row>
    <row r="40285" spans="32:32" x14ac:dyDescent="0.2">
      <c r="AF40285" s="679"/>
    </row>
    <row r="40286" spans="32:32" x14ac:dyDescent="0.2">
      <c r="AF40286" s="679"/>
    </row>
    <row r="40287" spans="32:32" x14ac:dyDescent="0.2">
      <c r="AF40287" s="679"/>
    </row>
    <row r="40288" spans="32:32" x14ac:dyDescent="0.2">
      <c r="AF40288" s="679"/>
    </row>
    <row r="40289" spans="32:32" x14ac:dyDescent="0.2">
      <c r="AF40289" s="679"/>
    </row>
    <row r="40290" spans="32:32" x14ac:dyDescent="0.2">
      <c r="AF40290" s="679"/>
    </row>
    <row r="40291" spans="32:32" x14ac:dyDescent="0.2">
      <c r="AF40291" s="679"/>
    </row>
    <row r="40292" spans="32:32" x14ac:dyDescent="0.2">
      <c r="AF40292" s="679"/>
    </row>
    <row r="40293" spans="32:32" x14ac:dyDescent="0.2">
      <c r="AF40293" s="679"/>
    </row>
    <row r="40294" spans="32:32" x14ac:dyDescent="0.2">
      <c r="AF40294" s="679"/>
    </row>
    <row r="40295" spans="32:32" x14ac:dyDescent="0.2">
      <c r="AF40295" s="679"/>
    </row>
    <row r="40296" spans="32:32" x14ac:dyDescent="0.2">
      <c r="AF40296" s="679"/>
    </row>
    <row r="40297" spans="32:32" x14ac:dyDescent="0.2">
      <c r="AF40297" s="679"/>
    </row>
    <row r="40298" spans="32:32" x14ac:dyDescent="0.2">
      <c r="AF40298" s="679"/>
    </row>
    <row r="40299" spans="32:32" x14ac:dyDescent="0.2">
      <c r="AF40299" s="679"/>
    </row>
    <row r="40300" spans="32:32" x14ac:dyDescent="0.2">
      <c r="AF40300" s="679"/>
    </row>
    <row r="40301" spans="32:32" x14ac:dyDescent="0.2">
      <c r="AF40301" s="679"/>
    </row>
    <row r="40302" spans="32:32" x14ac:dyDescent="0.2">
      <c r="AF40302" s="679"/>
    </row>
    <row r="40303" spans="32:32" x14ac:dyDescent="0.2">
      <c r="AF40303" s="679"/>
    </row>
    <row r="40304" spans="32:32" x14ac:dyDescent="0.2">
      <c r="AF40304" s="679"/>
    </row>
    <row r="40305" spans="32:32" x14ac:dyDescent="0.2">
      <c r="AF40305" s="679"/>
    </row>
    <row r="40306" spans="32:32" x14ac:dyDescent="0.2">
      <c r="AF40306" s="679"/>
    </row>
    <row r="40307" spans="32:32" x14ac:dyDescent="0.2">
      <c r="AF40307" s="679"/>
    </row>
    <row r="40308" spans="32:32" x14ac:dyDescent="0.2">
      <c r="AF40308" s="679"/>
    </row>
    <row r="40309" spans="32:32" x14ac:dyDescent="0.2">
      <c r="AF40309" s="679"/>
    </row>
    <row r="40310" spans="32:32" x14ac:dyDescent="0.2">
      <c r="AF40310" s="679"/>
    </row>
    <row r="40311" spans="32:32" x14ac:dyDescent="0.2">
      <c r="AF40311" s="679"/>
    </row>
    <row r="40312" spans="32:32" x14ac:dyDescent="0.2">
      <c r="AF40312" s="679"/>
    </row>
    <row r="40313" spans="32:32" x14ac:dyDescent="0.2">
      <c r="AF40313" s="679"/>
    </row>
    <row r="40314" spans="32:32" x14ac:dyDescent="0.2">
      <c r="AF40314" s="679"/>
    </row>
    <row r="40315" spans="32:32" x14ac:dyDescent="0.2">
      <c r="AF40315" s="679"/>
    </row>
    <row r="40316" spans="32:32" x14ac:dyDescent="0.2">
      <c r="AF40316" s="679"/>
    </row>
    <row r="40317" spans="32:32" x14ac:dyDescent="0.2">
      <c r="AF40317" s="679"/>
    </row>
    <row r="40318" spans="32:32" x14ac:dyDescent="0.2">
      <c r="AF40318" s="679"/>
    </row>
    <row r="40319" spans="32:32" x14ac:dyDescent="0.2">
      <c r="AF40319" s="679"/>
    </row>
    <row r="40320" spans="32:32" x14ac:dyDescent="0.2">
      <c r="AF40320" s="679"/>
    </row>
    <row r="40321" spans="32:32" x14ac:dyDescent="0.2">
      <c r="AF40321" s="679"/>
    </row>
    <row r="40322" spans="32:32" x14ac:dyDescent="0.2">
      <c r="AF40322" s="679"/>
    </row>
    <row r="40323" spans="32:32" x14ac:dyDescent="0.2">
      <c r="AF40323" s="679"/>
    </row>
    <row r="40324" spans="32:32" x14ac:dyDescent="0.2">
      <c r="AF40324" s="679"/>
    </row>
    <row r="40325" spans="32:32" x14ac:dyDescent="0.2">
      <c r="AF40325" s="679"/>
    </row>
    <row r="40326" spans="32:32" x14ac:dyDescent="0.2">
      <c r="AF40326" s="679"/>
    </row>
    <row r="40327" spans="32:32" x14ac:dyDescent="0.2">
      <c r="AF40327" s="679"/>
    </row>
    <row r="40328" spans="32:32" x14ac:dyDescent="0.2">
      <c r="AF40328" s="679"/>
    </row>
    <row r="40329" spans="32:32" x14ac:dyDescent="0.2">
      <c r="AF40329" s="679"/>
    </row>
    <row r="40330" spans="32:32" x14ac:dyDescent="0.2">
      <c r="AF40330" s="679"/>
    </row>
    <row r="40331" spans="32:32" x14ac:dyDescent="0.2">
      <c r="AF40331" s="679"/>
    </row>
    <row r="40332" spans="32:32" x14ac:dyDescent="0.2">
      <c r="AF40332" s="679"/>
    </row>
    <row r="40333" spans="32:32" x14ac:dyDescent="0.2">
      <c r="AF40333" s="679"/>
    </row>
    <row r="40334" spans="32:32" x14ac:dyDescent="0.2">
      <c r="AF40334" s="679"/>
    </row>
    <row r="40335" spans="32:32" x14ac:dyDescent="0.2">
      <c r="AF40335" s="679"/>
    </row>
    <row r="40336" spans="32:32" x14ac:dyDescent="0.2">
      <c r="AF40336" s="679"/>
    </row>
    <row r="40337" spans="32:32" x14ac:dyDescent="0.2">
      <c r="AF40337" s="679"/>
    </row>
    <row r="40338" spans="32:32" x14ac:dyDescent="0.2">
      <c r="AF40338" s="679"/>
    </row>
    <row r="40339" spans="32:32" x14ac:dyDescent="0.2">
      <c r="AF40339" s="679"/>
    </row>
    <row r="40340" spans="32:32" x14ac:dyDescent="0.2">
      <c r="AF40340" s="679"/>
    </row>
    <row r="40341" spans="32:32" x14ac:dyDescent="0.2">
      <c r="AF40341" s="679"/>
    </row>
    <row r="40342" spans="32:32" x14ac:dyDescent="0.2">
      <c r="AF40342" s="679"/>
    </row>
    <row r="40343" spans="32:32" x14ac:dyDescent="0.2">
      <c r="AF40343" s="679"/>
    </row>
    <row r="40344" spans="32:32" x14ac:dyDescent="0.2">
      <c r="AF40344" s="679"/>
    </row>
    <row r="40345" spans="32:32" x14ac:dyDescent="0.2">
      <c r="AF40345" s="679"/>
    </row>
    <row r="40346" spans="32:32" x14ac:dyDescent="0.2">
      <c r="AF40346" s="679"/>
    </row>
    <row r="40347" spans="32:32" x14ac:dyDescent="0.2">
      <c r="AF40347" s="679"/>
    </row>
    <row r="40348" spans="32:32" x14ac:dyDescent="0.2">
      <c r="AF40348" s="679"/>
    </row>
    <row r="40349" spans="32:32" x14ac:dyDescent="0.2">
      <c r="AF40349" s="679"/>
    </row>
    <row r="40350" spans="32:32" x14ac:dyDescent="0.2">
      <c r="AF40350" s="679"/>
    </row>
    <row r="40351" spans="32:32" x14ac:dyDescent="0.2">
      <c r="AF40351" s="679"/>
    </row>
    <row r="40352" spans="32:32" x14ac:dyDescent="0.2">
      <c r="AF40352" s="679"/>
    </row>
    <row r="40353" spans="32:32" x14ac:dyDescent="0.2">
      <c r="AF40353" s="679"/>
    </row>
    <row r="40354" spans="32:32" x14ac:dyDescent="0.2">
      <c r="AF40354" s="679"/>
    </row>
    <row r="40355" spans="32:32" x14ac:dyDescent="0.2">
      <c r="AF40355" s="679"/>
    </row>
    <row r="40356" spans="32:32" x14ac:dyDescent="0.2">
      <c r="AF40356" s="679"/>
    </row>
    <row r="40357" spans="32:32" x14ac:dyDescent="0.2">
      <c r="AF40357" s="679"/>
    </row>
    <row r="40358" spans="32:32" x14ac:dyDescent="0.2">
      <c r="AF40358" s="679"/>
    </row>
    <row r="40359" spans="32:32" x14ac:dyDescent="0.2">
      <c r="AF40359" s="679"/>
    </row>
    <row r="40360" spans="32:32" x14ac:dyDescent="0.2">
      <c r="AF40360" s="679"/>
    </row>
    <row r="40361" spans="32:32" x14ac:dyDescent="0.2">
      <c r="AF40361" s="679"/>
    </row>
    <row r="40362" spans="32:32" x14ac:dyDescent="0.2">
      <c r="AF40362" s="679"/>
    </row>
    <row r="40363" spans="32:32" x14ac:dyDescent="0.2">
      <c r="AF40363" s="679"/>
    </row>
    <row r="40364" spans="32:32" x14ac:dyDescent="0.2">
      <c r="AF40364" s="679"/>
    </row>
    <row r="40365" spans="32:32" x14ac:dyDescent="0.2">
      <c r="AF40365" s="679"/>
    </row>
    <row r="40366" spans="32:32" x14ac:dyDescent="0.2">
      <c r="AF40366" s="679"/>
    </row>
    <row r="40367" spans="32:32" x14ac:dyDescent="0.2">
      <c r="AF40367" s="679"/>
    </row>
    <row r="40368" spans="32:32" x14ac:dyDescent="0.2">
      <c r="AF40368" s="679"/>
    </row>
    <row r="40369" spans="32:32" x14ac:dyDescent="0.2">
      <c r="AF40369" s="679"/>
    </row>
    <row r="40370" spans="32:32" x14ac:dyDescent="0.2">
      <c r="AF40370" s="679"/>
    </row>
    <row r="40371" spans="32:32" x14ac:dyDescent="0.2">
      <c r="AF40371" s="679"/>
    </row>
    <row r="40372" spans="32:32" x14ac:dyDescent="0.2">
      <c r="AF40372" s="679"/>
    </row>
    <row r="40373" spans="32:32" x14ac:dyDescent="0.2">
      <c r="AF40373" s="679"/>
    </row>
    <row r="40374" spans="32:32" x14ac:dyDescent="0.2">
      <c r="AF40374" s="679"/>
    </row>
    <row r="40375" spans="32:32" x14ac:dyDescent="0.2">
      <c r="AF40375" s="679"/>
    </row>
    <row r="40376" spans="32:32" x14ac:dyDescent="0.2">
      <c r="AF40376" s="679"/>
    </row>
    <row r="40377" spans="32:32" x14ac:dyDescent="0.2">
      <c r="AF40377" s="679"/>
    </row>
    <row r="40378" spans="32:32" x14ac:dyDescent="0.2">
      <c r="AF40378" s="679"/>
    </row>
    <row r="40379" spans="32:32" x14ac:dyDescent="0.2">
      <c r="AF40379" s="679"/>
    </row>
    <row r="40380" spans="32:32" x14ac:dyDescent="0.2">
      <c r="AF40380" s="679"/>
    </row>
    <row r="40381" spans="32:32" x14ac:dyDescent="0.2">
      <c r="AF40381" s="679"/>
    </row>
    <row r="40382" spans="32:32" x14ac:dyDescent="0.2">
      <c r="AF40382" s="679"/>
    </row>
    <row r="40383" spans="32:32" x14ac:dyDescent="0.2">
      <c r="AF40383" s="679"/>
    </row>
    <row r="40384" spans="32:32" x14ac:dyDescent="0.2">
      <c r="AF40384" s="679"/>
    </row>
    <row r="40385" spans="32:32" x14ac:dyDescent="0.2">
      <c r="AF40385" s="679"/>
    </row>
    <row r="40386" spans="32:32" x14ac:dyDescent="0.2">
      <c r="AF40386" s="679"/>
    </row>
    <row r="40387" spans="32:32" x14ac:dyDescent="0.2">
      <c r="AF40387" s="679"/>
    </row>
    <row r="40388" spans="32:32" x14ac:dyDescent="0.2">
      <c r="AF40388" s="679"/>
    </row>
    <row r="40389" spans="32:32" x14ac:dyDescent="0.2">
      <c r="AF40389" s="679"/>
    </row>
    <row r="40390" spans="32:32" x14ac:dyDescent="0.2">
      <c r="AF40390" s="679"/>
    </row>
    <row r="40391" spans="32:32" x14ac:dyDescent="0.2">
      <c r="AF40391" s="679"/>
    </row>
    <row r="40392" spans="32:32" x14ac:dyDescent="0.2">
      <c r="AF40392" s="679"/>
    </row>
    <row r="40393" spans="32:32" x14ac:dyDescent="0.2">
      <c r="AF40393" s="679"/>
    </row>
    <row r="40394" spans="32:32" x14ac:dyDescent="0.2">
      <c r="AF40394" s="679"/>
    </row>
    <row r="40395" spans="32:32" x14ac:dyDescent="0.2">
      <c r="AF40395" s="679"/>
    </row>
    <row r="40396" spans="32:32" x14ac:dyDescent="0.2">
      <c r="AF40396" s="679"/>
    </row>
    <row r="40397" spans="32:32" x14ac:dyDescent="0.2">
      <c r="AF40397" s="679"/>
    </row>
    <row r="40398" spans="32:32" x14ac:dyDescent="0.2">
      <c r="AF40398" s="679"/>
    </row>
    <row r="40399" spans="32:32" x14ac:dyDescent="0.2">
      <c r="AF40399" s="679"/>
    </row>
    <row r="40400" spans="32:32" x14ac:dyDescent="0.2">
      <c r="AF40400" s="679"/>
    </row>
    <row r="40401" spans="32:32" x14ac:dyDescent="0.2">
      <c r="AF40401" s="679"/>
    </row>
    <row r="40402" spans="32:32" x14ac:dyDescent="0.2">
      <c r="AF40402" s="679"/>
    </row>
    <row r="40403" spans="32:32" x14ac:dyDescent="0.2">
      <c r="AF40403" s="679"/>
    </row>
    <row r="40404" spans="32:32" x14ac:dyDescent="0.2">
      <c r="AF40404" s="679"/>
    </row>
    <row r="40405" spans="32:32" x14ac:dyDescent="0.2">
      <c r="AF40405" s="679"/>
    </row>
    <row r="40406" spans="32:32" x14ac:dyDescent="0.2">
      <c r="AF40406" s="679"/>
    </row>
    <row r="40407" spans="32:32" x14ac:dyDescent="0.2">
      <c r="AF40407" s="679"/>
    </row>
    <row r="40408" spans="32:32" x14ac:dyDescent="0.2">
      <c r="AF40408" s="679"/>
    </row>
    <row r="40409" spans="32:32" x14ac:dyDescent="0.2">
      <c r="AF40409" s="679"/>
    </row>
    <row r="40410" spans="32:32" x14ac:dyDescent="0.2">
      <c r="AF40410" s="679"/>
    </row>
    <row r="40411" spans="32:32" x14ac:dyDescent="0.2">
      <c r="AF40411" s="679"/>
    </row>
    <row r="40412" spans="32:32" x14ac:dyDescent="0.2">
      <c r="AF40412" s="679"/>
    </row>
    <row r="40413" spans="32:32" x14ac:dyDescent="0.2">
      <c r="AF40413" s="679"/>
    </row>
    <row r="40414" spans="32:32" x14ac:dyDescent="0.2">
      <c r="AF40414" s="679"/>
    </row>
    <row r="40415" spans="32:32" x14ac:dyDescent="0.2">
      <c r="AF40415" s="679"/>
    </row>
    <row r="40416" spans="32:32" x14ac:dyDescent="0.2">
      <c r="AF40416" s="679"/>
    </row>
    <row r="40417" spans="32:32" x14ac:dyDescent="0.2">
      <c r="AF40417" s="679"/>
    </row>
    <row r="40418" spans="32:32" x14ac:dyDescent="0.2">
      <c r="AF40418" s="679"/>
    </row>
    <row r="40419" spans="32:32" x14ac:dyDescent="0.2">
      <c r="AF40419" s="679"/>
    </row>
    <row r="40420" spans="32:32" x14ac:dyDescent="0.2">
      <c r="AF40420" s="679"/>
    </row>
    <row r="40421" spans="32:32" x14ac:dyDescent="0.2">
      <c r="AF40421" s="679"/>
    </row>
    <row r="40422" spans="32:32" x14ac:dyDescent="0.2">
      <c r="AF40422" s="679"/>
    </row>
    <row r="40423" spans="32:32" x14ac:dyDescent="0.2">
      <c r="AF40423" s="679"/>
    </row>
    <row r="40424" spans="32:32" x14ac:dyDescent="0.2">
      <c r="AF40424" s="679"/>
    </row>
    <row r="40425" spans="32:32" x14ac:dyDescent="0.2">
      <c r="AF40425" s="679"/>
    </row>
    <row r="40426" spans="32:32" x14ac:dyDescent="0.2">
      <c r="AF40426" s="679"/>
    </row>
    <row r="40427" spans="32:32" x14ac:dyDescent="0.2">
      <c r="AF40427" s="679"/>
    </row>
    <row r="40428" spans="32:32" x14ac:dyDescent="0.2">
      <c r="AF40428" s="679"/>
    </row>
    <row r="40429" spans="32:32" x14ac:dyDescent="0.2">
      <c r="AF40429" s="679"/>
    </row>
    <row r="40430" spans="32:32" x14ac:dyDescent="0.2">
      <c r="AF40430" s="679"/>
    </row>
    <row r="40431" spans="32:32" x14ac:dyDescent="0.2">
      <c r="AF40431" s="679"/>
    </row>
    <row r="40432" spans="32:32" x14ac:dyDescent="0.2">
      <c r="AF40432" s="679"/>
    </row>
    <row r="40433" spans="32:32" x14ac:dyDescent="0.2">
      <c r="AF40433" s="679"/>
    </row>
    <row r="40434" spans="32:32" x14ac:dyDescent="0.2">
      <c r="AF40434" s="679"/>
    </row>
    <row r="40435" spans="32:32" x14ac:dyDescent="0.2">
      <c r="AF40435" s="679"/>
    </row>
    <row r="40436" spans="32:32" x14ac:dyDescent="0.2">
      <c r="AF40436" s="679"/>
    </row>
    <row r="40437" spans="32:32" x14ac:dyDescent="0.2">
      <c r="AF40437" s="679"/>
    </row>
    <row r="40438" spans="32:32" x14ac:dyDescent="0.2">
      <c r="AF40438" s="679"/>
    </row>
    <row r="40439" spans="32:32" x14ac:dyDescent="0.2">
      <c r="AF40439" s="679"/>
    </row>
    <row r="40440" spans="32:32" x14ac:dyDescent="0.2">
      <c r="AF40440" s="679"/>
    </row>
    <row r="40441" spans="32:32" x14ac:dyDescent="0.2">
      <c r="AF40441" s="679"/>
    </row>
    <row r="40442" spans="32:32" x14ac:dyDescent="0.2">
      <c r="AF40442" s="679"/>
    </row>
    <row r="40443" spans="32:32" x14ac:dyDescent="0.2">
      <c r="AF40443" s="679"/>
    </row>
    <row r="40444" spans="32:32" x14ac:dyDescent="0.2">
      <c r="AF40444" s="679"/>
    </row>
    <row r="40445" spans="32:32" x14ac:dyDescent="0.2">
      <c r="AF40445" s="679"/>
    </row>
    <row r="40446" spans="32:32" x14ac:dyDescent="0.2">
      <c r="AF40446" s="679"/>
    </row>
    <row r="40447" spans="32:32" x14ac:dyDescent="0.2">
      <c r="AF40447" s="679"/>
    </row>
    <row r="40448" spans="32:32" x14ac:dyDescent="0.2">
      <c r="AF40448" s="679"/>
    </row>
    <row r="40449" spans="32:32" x14ac:dyDescent="0.2">
      <c r="AF40449" s="679"/>
    </row>
    <row r="40450" spans="32:32" x14ac:dyDescent="0.2">
      <c r="AF40450" s="679"/>
    </row>
    <row r="40451" spans="32:32" x14ac:dyDescent="0.2">
      <c r="AF40451" s="679"/>
    </row>
    <row r="40452" spans="32:32" x14ac:dyDescent="0.2">
      <c r="AF40452" s="679"/>
    </row>
    <row r="40453" spans="32:32" x14ac:dyDescent="0.2">
      <c r="AF40453" s="679"/>
    </row>
    <row r="40454" spans="32:32" x14ac:dyDescent="0.2">
      <c r="AF40454" s="679"/>
    </row>
    <row r="40455" spans="32:32" x14ac:dyDescent="0.2">
      <c r="AF40455" s="679"/>
    </row>
    <row r="40456" spans="32:32" x14ac:dyDescent="0.2">
      <c r="AF40456" s="679"/>
    </row>
    <row r="40457" spans="32:32" x14ac:dyDescent="0.2">
      <c r="AF40457" s="679"/>
    </row>
    <row r="40458" spans="32:32" x14ac:dyDescent="0.2">
      <c r="AF40458" s="679"/>
    </row>
    <row r="40459" spans="32:32" x14ac:dyDescent="0.2">
      <c r="AF40459" s="679"/>
    </row>
    <row r="40460" spans="32:32" x14ac:dyDescent="0.2">
      <c r="AF40460" s="679"/>
    </row>
    <row r="40461" spans="32:32" x14ac:dyDescent="0.2">
      <c r="AF40461" s="679"/>
    </row>
    <row r="40462" spans="32:32" x14ac:dyDescent="0.2">
      <c r="AF40462" s="679"/>
    </row>
    <row r="40463" spans="32:32" x14ac:dyDescent="0.2">
      <c r="AF40463" s="679"/>
    </row>
    <row r="40464" spans="32:32" x14ac:dyDescent="0.2">
      <c r="AF40464" s="679"/>
    </row>
    <row r="40465" spans="32:32" x14ac:dyDescent="0.2">
      <c r="AF40465" s="679"/>
    </row>
    <row r="40466" spans="32:32" x14ac:dyDescent="0.2">
      <c r="AF40466" s="679"/>
    </row>
    <row r="40467" spans="32:32" x14ac:dyDescent="0.2">
      <c r="AF40467" s="679"/>
    </row>
    <row r="40468" spans="32:32" x14ac:dyDescent="0.2">
      <c r="AF40468" s="679"/>
    </row>
    <row r="40469" spans="32:32" x14ac:dyDescent="0.2">
      <c r="AF40469" s="679"/>
    </row>
    <row r="40470" spans="32:32" x14ac:dyDescent="0.2">
      <c r="AF40470" s="679"/>
    </row>
    <row r="40471" spans="32:32" x14ac:dyDescent="0.2">
      <c r="AF40471" s="679"/>
    </row>
    <row r="40472" spans="32:32" x14ac:dyDescent="0.2">
      <c r="AF40472" s="679"/>
    </row>
    <row r="40473" spans="32:32" x14ac:dyDescent="0.2">
      <c r="AF40473" s="679"/>
    </row>
    <row r="40474" spans="32:32" x14ac:dyDescent="0.2">
      <c r="AF40474" s="679"/>
    </row>
    <row r="40475" spans="32:32" x14ac:dyDescent="0.2">
      <c r="AF40475" s="679"/>
    </row>
    <row r="40476" spans="32:32" x14ac:dyDescent="0.2">
      <c r="AF40476" s="679"/>
    </row>
    <row r="40477" spans="32:32" x14ac:dyDescent="0.2">
      <c r="AF40477" s="679"/>
    </row>
    <row r="40478" spans="32:32" x14ac:dyDescent="0.2">
      <c r="AF40478" s="679"/>
    </row>
    <row r="40479" spans="32:32" x14ac:dyDescent="0.2">
      <c r="AF40479" s="679"/>
    </row>
    <row r="40480" spans="32:32" x14ac:dyDescent="0.2">
      <c r="AF40480" s="679"/>
    </row>
    <row r="40481" spans="32:32" x14ac:dyDescent="0.2">
      <c r="AF40481" s="679"/>
    </row>
    <row r="40482" spans="32:32" x14ac:dyDescent="0.2">
      <c r="AF40482" s="679"/>
    </row>
    <row r="40483" spans="32:32" x14ac:dyDescent="0.2">
      <c r="AF40483" s="679"/>
    </row>
    <row r="40484" spans="32:32" x14ac:dyDescent="0.2">
      <c r="AF40484" s="679"/>
    </row>
    <row r="40485" spans="32:32" x14ac:dyDescent="0.2">
      <c r="AF40485" s="679"/>
    </row>
    <row r="40486" spans="32:32" x14ac:dyDescent="0.2">
      <c r="AF40486" s="679"/>
    </row>
    <row r="40487" spans="32:32" x14ac:dyDescent="0.2">
      <c r="AF40487" s="679"/>
    </row>
    <row r="40488" spans="32:32" x14ac:dyDescent="0.2">
      <c r="AF40488" s="679"/>
    </row>
    <row r="40489" spans="32:32" x14ac:dyDescent="0.2">
      <c r="AF40489" s="679"/>
    </row>
    <row r="40490" spans="32:32" x14ac:dyDescent="0.2">
      <c r="AF40490" s="679"/>
    </row>
    <row r="40491" spans="32:32" x14ac:dyDescent="0.2">
      <c r="AF40491" s="679"/>
    </row>
    <row r="40492" spans="32:32" x14ac:dyDescent="0.2">
      <c r="AF40492" s="679"/>
    </row>
    <row r="40493" spans="32:32" x14ac:dyDescent="0.2">
      <c r="AF40493" s="679"/>
    </row>
    <row r="40494" spans="32:32" x14ac:dyDescent="0.2">
      <c r="AF40494" s="679"/>
    </row>
    <row r="40495" spans="32:32" x14ac:dyDescent="0.2">
      <c r="AF40495" s="679"/>
    </row>
    <row r="40496" spans="32:32" x14ac:dyDescent="0.2">
      <c r="AF40496" s="679"/>
    </row>
    <row r="40497" spans="32:32" x14ac:dyDescent="0.2">
      <c r="AF40497" s="679"/>
    </row>
    <row r="40498" spans="32:32" x14ac:dyDescent="0.2">
      <c r="AF40498" s="679"/>
    </row>
    <row r="40499" spans="32:32" x14ac:dyDescent="0.2">
      <c r="AF40499" s="679"/>
    </row>
    <row r="40500" spans="32:32" x14ac:dyDescent="0.2">
      <c r="AF40500" s="679"/>
    </row>
    <row r="40501" spans="32:32" x14ac:dyDescent="0.2">
      <c r="AF40501" s="679"/>
    </row>
    <row r="40502" spans="32:32" x14ac:dyDescent="0.2">
      <c r="AF40502" s="679"/>
    </row>
    <row r="40503" spans="32:32" x14ac:dyDescent="0.2">
      <c r="AF40503" s="679"/>
    </row>
    <row r="40504" spans="32:32" x14ac:dyDescent="0.2">
      <c r="AF40504" s="679"/>
    </row>
    <row r="40505" spans="32:32" x14ac:dyDescent="0.2">
      <c r="AF40505" s="679"/>
    </row>
    <row r="40506" spans="32:32" x14ac:dyDescent="0.2">
      <c r="AF40506" s="679"/>
    </row>
    <row r="40507" spans="32:32" x14ac:dyDescent="0.2">
      <c r="AF40507" s="679"/>
    </row>
    <row r="40508" spans="32:32" x14ac:dyDescent="0.2">
      <c r="AF40508" s="679"/>
    </row>
    <row r="40509" spans="32:32" x14ac:dyDescent="0.2">
      <c r="AF40509" s="679"/>
    </row>
    <row r="40510" spans="32:32" x14ac:dyDescent="0.2">
      <c r="AF40510" s="679"/>
    </row>
    <row r="40511" spans="32:32" x14ac:dyDescent="0.2">
      <c r="AF40511" s="679"/>
    </row>
    <row r="40512" spans="32:32" x14ac:dyDescent="0.2">
      <c r="AF40512" s="679"/>
    </row>
    <row r="40513" spans="32:32" x14ac:dyDescent="0.2">
      <c r="AF40513" s="679"/>
    </row>
    <row r="40514" spans="32:32" x14ac:dyDescent="0.2">
      <c r="AF40514" s="679"/>
    </row>
    <row r="40515" spans="32:32" x14ac:dyDescent="0.2">
      <c r="AF40515" s="679"/>
    </row>
    <row r="40516" spans="32:32" x14ac:dyDescent="0.2">
      <c r="AF40516" s="679"/>
    </row>
    <row r="40517" spans="32:32" x14ac:dyDescent="0.2">
      <c r="AF40517" s="679"/>
    </row>
    <row r="40518" spans="32:32" x14ac:dyDescent="0.2">
      <c r="AF40518" s="679"/>
    </row>
    <row r="40519" spans="32:32" x14ac:dyDescent="0.2">
      <c r="AF40519" s="679"/>
    </row>
    <row r="40520" spans="32:32" x14ac:dyDescent="0.2">
      <c r="AF40520" s="679"/>
    </row>
    <row r="40521" spans="32:32" x14ac:dyDescent="0.2">
      <c r="AF40521" s="679"/>
    </row>
    <row r="40522" spans="32:32" x14ac:dyDescent="0.2">
      <c r="AF40522" s="679"/>
    </row>
    <row r="40523" spans="32:32" x14ac:dyDescent="0.2">
      <c r="AF40523" s="679"/>
    </row>
    <row r="40524" spans="32:32" x14ac:dyDescent="0.2">
      <c r="AF40524" s="679"/>
    </row>
    <row r="40525" spans="32:32" x14ac:dyDescent="0.2">
      <c r="AF40525" s="679"/>
    </row>
    <row r="40526" spans="32:32" x14ac:dyDescent="0.2">
      <c r="AF40526" s="679"/>
    </row>
    <row r="40527" spans="32:32" x14ac:dyDescent="0.2">
      <c r="AF40527" s="679"/>
    </row>
    <row r="40528" spans="32:32" x14ac:dyDescent="0.2">
      <c r="AF40528" s="679"/>
    </row>
    <row r="40529" spans="32:32" x14ac:dyDescent="0.2">
      <c r="AF40529" s="679"/>
    </row>
    <row r="40530" spans="32:32" x14ac:dyDescent="0.2">
      <c r="AF40530" s="679"/>
    </row>
    <row r="40531" spans="32:32" x14ac:dyDescent="0.2">
      <c r="AF40531" s="679"/>
    </row>
    <row r="40532" spans="32:32" x14ac:dyDescent="0.2">
      <c r="AF40532" s="679"/>
    </row>
    <row r="40533" spans="32:32" x14ac:dyDescent="0.2">
      <c r="AF40533" s="679"/>
    </row>
    <row r="40534" spans="32:32" x14ac:dyDescent="0.2">
      <c r="AF40534" s="679"/>
    </row>
    <row r="40535" spans="32:32" x14ac:dyDescent="0.2">
      <c r="AF40535" s="679"/>
    </row>
    <row r="40536" spans="32:32" x14ac:dyDescent="0.2">
      <c r="AF40536" s="679"/>
    </row>
    <row r="40537" spans="32:32" x14ac:dyDescent="0.2">
      <c r="AF40537" s="679"/>
    </row>
    <row r="40538" spans="32:32" x14ac:dyDescent="0.2">
      <c r="AF40538" s="679"/>
    </row>
    <row r="40539" spans="32:32" x14ac:dyDescent="0.2">
      <c r="AF40539" s="679"/>
    </row>
    <row r="40540" spans="32:32" x14ac:dyDescent="0.2">
      <c r="AF40540" s="679"/>
    </row>
    <row r="40541" spans="32:32" x14ac:dyDescent="0.2">
      <c r="AF40541" s="679"/>
    </row>
    <row r="40542" spans="32:32" x14ac:dyDescent="0.2">
      <c r="AF40542" s="679"/>
    </row>
    <row r="40543" spans="32:32" x14ac:dyDescent="0.2">
      <c r="AF40543" s="679"/>
    </row>
    <row r="40544" spans="32:32" x14ac:dyDescent="0.2">
      <c r="AF40544" s="679"/>
    </row>
    <row r="40545" spans="32:32" x14ac:dyDescent="0.2">
      <c r="AF40545" s="679"/>
    </row>
    <row r="40546" spans="32:32" x14ac:dyDescent="0.2">
      <c r="AF40546" s="679"/>
    </row>
    <row r="40547" spans="32:32" x14ac:dyDescent="0.2">
      <c r="AF40547" s="679"/>
    </row>
    <row r="40548" spans="32:32" x14ac:dyDescent="0.2">
      <c r="AF40548" s="679"/>
    </row>
    <row r="40549" spans="32:32" x14ac:dyDescent="0.2">
      <c r="AF40549" s="679"/>
    </row>
    <row r="40550" spans="32:32" x14ac:dyDescent="0.2">
      <c r="AF40550" s="679"/>
    </row>
    <row r="40551" spans="32:32" x14ac:dyDescent="0.2">
      <c r="AF40551" s="679"/>
    </row>
    <row r="40552" spans="32:32" x14ac:dyDescent="0.2">
      <c r="AF40552" s="679"/>
    </row>
    <row r="40553" spans="32:32" x14ac:dyDescent="0.2">
      <c r="AF40553" s="679"/>
    </row>
    <row r="40554" spans="32:32" x14ac:dyDescent="0.2">
      <c r="AF40554" s="679"/>
    </row>
    <row r="40555" spans="32:32" x14ac:dyDescent="0.2">
      <c r="AF40555" s="679"/>
    </row>
    <row r="40556" spans="32:32" x14ac:dyDescent="0.2">
      <c r="AF40556" s="679"/>
    </row>
    <row r="40557" spans="32:32" x14ac:dyDescent="0.2">
      <c r="AF40557" s="679"/>
    </row>
    <row r="40558" spans="32:32" x14ac:dyDescent="0.2">
      <c r="AF40558" s="679"/>
    </row>
    <row r="40559" spans="32:32" x14ac:dyDescent="0.2">
      <c r="AF40559" s="679"/>
    </row>
    <row r="40560" spans="32:32" x14ac:dyDescent="0.2">
      <c r="AF40560" s="679"/>
    </row>
    <row r="40561" spans="32:32" x14ac:dyDescent="0.2">
      <c r="AF40561" s="679"/>
    </row>
    <row r="40562" spans="32:32" x14ac:dyDescent="0.2">
      <c r="AF40562" s="679"/>
    </row>
    <row r="40563" spans="32:32" x14ac:dyDescent="0.2">
      <c r="AF40563" s="679"/>
    </row>
    <row r="40564" spans="32:32" x14ac:dyDescent="0.2">
      <c r="AF40564" s="679"/>
    </row>
    <row r="40565" spans="32:32" x14ac:dyDescent="0.2">
      <c r="AF40565" s="679"/>
    </row>
    <row r="40566" spans="32:32" x14ac:dyDescent="0.2">
      <c r="AF40566" s="679"/>
    </row>
    <row r="40567" spans="32:32" x14ac:dyDescent="0.2">
      <c r="AF40567" s="679"/>
    </row>
    <row r="40568" spans="32:32" x14ac:dyDescent="0.2">
      <c r="AF40568" s="679"/>
    </row>
    <row r="40569" spans="32:32" x14ac:dyDescent="0.2">
      <c r="AF40569" s="679"/>
    </row>
    <row r="40570" spans="32:32" x14ac:dyDescent="0.2">
      <c r="AF40570" s="679"/>
    </row>
    <row r="40571" spans="32:32" x14ac:dyDescent="0.2">
      <c r="AF40571" s="679"/>
    </row>
    <row r="40572" spans="32:32" x14ac:dyDescent="0.2">
      <c r="AF40572" s="679"/>
    </row>
    <row r="40573" spans="32:32" x14ac:dyDescent="0.2">
      <c r="AF40573" s="679"/>
    </row>
    <row r="40574" spans="32:32" x14ac:dyDescent="0.2">
      <c r="AF40574" s="679"/>
    </row>
    <row r="40575" spans="32:32" x14ac:dyDescent="0.2">
      <c r="AF40575" s="679"/>
    </row>
    <row r="40576" spans="32:32" x14ac:dyDescent="0.2">
      <c r="AF40576" s="679"/>
    </row>
    <row r="40577" spans="32:32" x14ac:dyDescent="0.2">
      <c r="AF40577" s="679"/>
    </row>
    <row r="40578" spans="32:32" x14ac:dyDescent="0.2">
      <c r="AF40578" s="679"/>
    </row>
    <row r="40579" spans="32:32" x14ac:dyDescent="0.2">
      <c r="AF40579" s="679"/>
    </row>
    <row r="40580" spans="32:32" x14ac:dyDescent="0.2">
      <c r="AF40580" s="679"/>
    </row>
    <row r="40581" spans="32:32" x14ac:dyDescent="0.2">
      <c r="AF40581" s="679"/>
    </row>
    <row r="40582" spans="32:32" x14ac:dyDescent="0.2">
      <c r="AF40582" s="679"/>
    </row>
    <row r="40583" spans="32:32" x14ac:dyDescent="0.2">
      <c r="AF40583" s="679"/>
    </row>
    <row r="40584" spans="32:32" x14ac:dyDescent="0.2">
      <c r="AF40584" s="679"/>
    </row>
    <row r="40585" spans="32:32" x14ac:dyDescent="0.2">
      <c r="AF40585" s="679"/>
    </row>
    <row r="40586" spans="32:32" x14ac:dyDescent="0.2">
      <c r="AF40586" s="679"/>
    </row>
    <row r="40587" spans="32:32" x14ac:dyDescent="0.2">
      <c r="AF40587" s="679"/>
    </row>
    <row r="40588" spans="32:32" x14ac:dyDescent="0.2">
      <c r="AF40588" s="679"/>
    </row>
    <row r="40589" spans="32:32" x14ac:dyDescent="0.2">
      <c r="AF40589" s="679"/>
    </row>
    <row r="40590" spans="32:32" x14ac:dyDescent="0.2">
      <c r="AF40590" s="679"/>
    </row>
    <row r="40591" spans="32:32" x14ac:dyDescent="0.2">
      <c r="AF40591" s="679"/>
    </row>
    <row r="40592" spans="32:32" x14ac:dyDescent="0.2">
      <c r="AF40592" s="679"/>
    </row>
    <row r="40593" spans="32:32" x14ac:dyDescent="0.2">
      <c r="AF40593" s="679"/>
    </row>
    <row r="40594" spans="32:32" x14ac:dyDescent="0.2">
      <c r="AF40594" s="679"/>
    </row>
    <row r="40595" spans="32:32" x14ac:dyDescent="0.2">
      <c r="AF40595" s="679"/>
    </row>
    <row r="40596" spans="32:32" x14ac:dyDescent="0.2">
      <c r="AF40596" s="679"/>
    </row>
    <row r="40597" spans="32:32" x14ac:dyDescent="0.2">
      <c r="AF40597" s="679"/>
    </row>
    <row r="40598" spans="32:32" x14ac:dyDescent="0.2">
      <c r="AF40598" s="679"/>
    </row>
    <row r="40599" spans="32:32" x14ac:dyDescent="0.2">
      <c r="AF40599" s="679"/>
    </row>
    <row r="40600" spans="32:32" x14ac:dyDescent="0.2">
      <c r="AF40600" s="679"/>
    </row>
    <row r="40601" spans="32:32" x14ac:dyDescent="0.2">
      <c r="AF40601" s="679"/>
    </row>
    <row r="40602" spans="32:32" x14ac:dyDescent="0.2">
      <c r="AF40602" s="679"/>
    </row>
    <row r="40603" spans="32:32" x14ac:dyDescent="0.2">
      <c r="AF40603" s="679"/>
    </row>
    <row r="40604" spans="32:32" x14ac:dyDescent="0.2">
      <c r="AF40604" s="679"/>
    </row>
    <row r="40605" spans="32:32" x14ac:dyDescent="0.2">
      <c r="AF40605" s="679"/>
    </row>
    <row r="40606" spans="32:32" x14ac:dyDescent="0.2">
      <c r="AF40606" s="679"/>
    </row>
    <row r="40607" spans="32:32" x14ac:dyDescent="0.2">
      <c r="AF40607" s="679"/>
    </row>
    <row r="40608" spans="32:32" x14ac:dyDescent="0.2">
      <c r="AF40608" s="679"/>
    </row>
    <row r="40609" spans="32:32" x14ac:dyDescent="0.2">
      <c r="AF40609" s="679"/>
    </row>
    <row r="40610" spans="32:32" x14ac:dyDescent="0.2">
      <c r="AF40610" s="679"/>
    </row>
    <row r="40611" spans="32:32" x14ac:dyDescent="0.2">
      <c r="AF40611" s="679"/>
    </row>
    <row r="40612" spans="32:32" x14ac:dyDescent="0.2">
      <c r="AF40612" s="679"/>
    </row>
    <row r="40613" spans="32:32" x14ac:dyDescent="0.2">
      <c r="AF40613" s="679"/>
    </row>
    <row r="40614" spans="32:32" x14ac:dyDescent="0.2">
      <c r="AF40614" s="679"/>
    </row>
    <row r="40615" spans="32:32" x14ac:dyDescent="0.2">
      <c r="AF40615" s="679"/>
    </row>
    <row r="40616" spans="32:32" x14ac:dyDescent="0.2">
      <c r="AF40616" s="679"/>
    </row>
    <row r="40617" spans="32:32" x14ac:dyDescent="0.2">
      <c r="AF40617" s="679"/>
    </row>
    <row r="40618" spans="32:32" x14ac:dyDescent="0.2">
      <c r="AF40618" s="679"/>
    </row>
    <row r="40619" spans="32:32" x14ac:dyDescent="0.2">
      <c r="AF40619" s="679"/>
    </row>
    <row r="40620" spans="32:32" x14ac:dyDescent="0.2">
      <c r="AF40620" s="679"/>
    </row>
    <row r="40621" spans="32:32" x14ac:dyDescent="0.2">
      <c r="AF40621" s="679"/>
    </row>
    <row r="40622" spans="32:32" x14ac:dyDescent="0.2">
      <c r="AF40622" s="679"/>
    </row>
    <row r="40623" spans="32:32" x14ac:dyDescent="0.2">
      <c r="AF40623" s="679"/>
    </row>
    <row r="40624" spans="32:32" x14ac:dyDescent="0.2">
      <c r="AF40624" s="679"/>
    </row>
    <row r="40625" spans="32:32" x14ac:dyDescent="0.2">
      <c r="AF40625" s="679"/>
    </row>
    <row r="40626" spans="32:32" x14ac:dyDescent="0.2">
      <c r="AF40626" s="679"/>
    </row>
    <row r="40627" spans="32:32" x14ac:dyDescent="0.2">
      <c r="AF40627" s="679"/>
    </row>
    <row r="40628" spans="32:32" x14ac:dyDescent="0.2">
      <c r="AF40628" s="679"/>
    </row>
    <row r="40629" spans="32:32" x14ac:dyDescent="0.2">
      <c r="AF40629" s="679"/>
    </row>
    <row r="40630" spans="32:32" x14ac:dyDescent="0.2">
      <c r="AF40630" s="679"/>
    </row>
    <row r="40631" spans="32:32" x14ac:dyDescent="0.2">
      <c r="AF40631" s="679"/>
    </row>
    <row r="40632" spans="32:32" x14ac:dyDescent="0.2">
      <c r="AF40632" s="679"/>
    </row>
    <row r="40633" spans="32:32" x14ac:dyDescent="0.2">
      <c r="AF40633" s="679"/>
    </row>
    <row r="40634" spans="32:32" x14ac:dyDescent="0.2">
      <c r="AF40634" s="679"/>
    </row>
    <row r="40635" spans="32:32" x14ac:dyDescent="0.2">
      <c r="AF40635" s="679"/>
    </row>
    <row r="40636" spans="32:32" x14ac:dyDescent="0.2">
      <c r="AF40636" s="679"/>
    </row>
    <row r="40637" spans="32:32" x14ac:dyDescent="0.2">
      <c r="AF40637" s="679"/>
    </row>
    <row r="40638" spans="32:32" x14ac:dyDescent="0.2">
      <c r="AF40638" s="679"/>
    </row>
    <row r="40639" spans="32:32" x14ac:dyDescent="0.2">
      <c r="AF40639" s="679"/>
    </row>
    <row r="40640" spans="32:32" x14ac:dyDescent="0.2">
      <c r="AF40640" s="679"/>
    </row>
    <row r="40641" spans="32:32" x14ac:dyDescent="0.2">
      <c r="AF40641" s="679"/>
    </row>
    <row r="40642" spans="32:32" x14ac:dyDescent="0.2">
      <c r="AF40642" s="679"/>
    </row>
    <row r="40643" spans="32:32" x14ac:dyDescent="0.2">
      <c r="AF40643" s="679"/>
    </row>
    <row r="40644" spans="32:32" x14ac:dyDescent="0.2">
      <c r="AF40644" s="679"/>
    </row>
    <row r="40645" spans="32:32" x14ac:dyDescent="0.2">
      <c r="AF40645" s="679"/>
    </row>
    <row r="40646" spans="32:32" x14ac:dyDescent="0.2">
      <c r="AF40646" s="679"/>
    </row>
    <row r="40647" spans="32:32" x14ac:dyDescent="0.2">
      <c r="AF40647" s="679"/>
    </row>
    <row r="40648" spans="32:32" x14ac:dyDescent="0.2">
      <c r="AF40648" s="679"/>
    </row>
    <row r="40649" spans="32:32" x14ac:dyDescent="0.2">
      <c r="AF40649" s="679"/>
    </row>
    <row r="40650" spans="32:32" x14ac:dyDescent="0.2">
      <c r="AF40650" s="679"/>
    </row>
    <row r="40651" spans="32:32" x14ac:dyDescent="0.2">
      <c r="AF40651" s="679"/>
    </row>
    <row r="40652" spans="32:32" x14ac:dyDescent="0.2">
      <c r="AF40652" s="679"/>
    </row>
    <row r="40653" spans="32:32" x14ac:dyDescent="0.2">
      <c r="AF40653" s="679"/>
    </row>
    <row r="40654" spans="32:32" x14ac:dyDescent="0.2">
      <c r="AF40654" s="679"/>
    </row>
    <row r="40655" spans="32:32" x14ac:dyDescent="0.2">
      <c r="AF40655" s="679"/>
    </row>
    <row r="40656" spans="32:32" x14ac:dyDescent="0.2">
      <c r="AF40656" s="679"/>
    </row>
    <row r="40657" spans="32:32" x14ac:dyDescent="0.2">
      <c r="AF40657" s="679"/>
    </row>
    <row r="40658" spans="32:32" x14ac:dyDescent="0.2">
      <c r="AF40658" s="679"/>
    </row>
    <row r="40659" spans="32:32" x14ac:dyDescent="0.2">
      <c r="AF40659" s="679"/>
    </row>
    <row r="40660" spans="32:32" x14ac:dyDescent="0.2">
      <c r="AF40660" s="679"/>
    </row>
    <row r="40661" spans="32:32" x14ac:dyDescent="0.2">
      <c r="AF40661" s="679"/>
    </row>
    <row r="40662" spans="32:32" x14ac:dyDescent="0.2">
      <c r="AF40662" s="679"/>
    </row>
    <row r="40663" spans="32:32" x14ac:dyDescent="0.2">
      <c r="AF40663" s="679"/>
    </row>
    <row r="40664" spans="32:32" x14ac:dyDescent="0.2">
      <c r="AF40664" s="679"/>
    </row>
    <row r="40665" spans="32:32" x14ac:dyDescent="0.2">
      <c r="AF40665" s="679"/>
    </row>
    <row r="40666" spans="32:32" x14ac:dyDescent="0.2">
      <c r="AF40666" s="679"/>
    </row>
    <row r="40667" spans="32:32" x14ac:dyDescent="0.2">
      <c r="AF40667" s="679"/>
    </row>
    <row r="40668" spans="32:32" x14ac:dyDescent="0.2">
      <c r="AF40668" s="679"/>
    </row>
    <row r="40669" spans="32:32" x14ac:dyDescent="0.2">
      <c r="AF40669" s="679"/>
    </row>
    <row r="40670" spans="32:32" x14ac:dyDescent="0.2">
      <c r="AF40670" s="679"/>
    </row>
    <row r="40671" spans="32:32" x14ac:dyDescent="0.2">
      <c r="AF40671" s="679"/>
    </row>
    <row r="40672" spans="32:32" x14ac:dyDescent="0.2">
      <c r="AF40672" s="679"/>
    </row>
    <row r="40673" spans="32:32" x14ac:dyDescent="0.2">
      <c r="AF40673" s="679"/>
    </row>
    <row r="40674" spans="32:32" x14ac:dyDescent="0.2">
      <c r="AF40674" s="679"/>
    </row>
    <row r="40675" spans="32:32" x14ac:dyDescent="0.2">
      <c r="AF40675" s="679"/>
    </row>
    <row r="40676" spans="32:32" x14ac:dyDescent="0.2">
      <c r="AF40676" s="679"/>
    </row>
    <row r="40677" spans="32:32" x14ac:dyDescent="0.2">
      <c r="AF40677" s="679"/>
    </row>
    <row r="40678" spans="32:32" x14ac:dyDescent="0.2">
      <c r="AF40678" s="679"/>
    </row>
    <row r="40679" spans="32:32" x14ac:dyDescent="0.2">
      <c r="AF40679" s="679"/>
    </row>
    <row r="40680" spans="32:32" x14ac:dyDescent="0.2">
      <c r="AF40680" s="679"/>
    </row>
    <row r="40681" spans="32:32" x14ac:dyDescent="0.2">
      <c r="AF40681" s="679"/>
    </row>
    <row r="40682" spans="32:32" x14ac:dyDescent="0.2">
      <c r="AF40682" s="679"/>
    </row>
    <row r="40683" spans="32:32" x14ac:dyDescent="0.2">
      <c r="AF40683" s="679"/>
    </row>
    <row r="40684" spans="32:32" x14ac:dyDescent="0.2">
      <c r="AF40684" s="679"/>
    </row>
    <row r="40685" spans="32:32" x14ac:dyDescent="0.2">
      <c r="AF40685" s="679"/>
    </row>
    <row r="40686" spans="32:32" x14ac:dyDescent="0.2">
      <c r="AF40686" s="679"/>
    </row>
    <row r="40687" spans="32:32" x14ac:dyDescent="0.2">
      <c r="AF40687" s="679"/>
    </row>
    <row r="40688" spans="32:32" x14ac:dyDescent="0.2">
      <c r="AF40688" s="679"/>
    </row>
    <row r="40689" spans="32:32" x14ac:dyDescent="0.2">
      <c r="AF40689" s="679"/>
    </row>
    <row r="40690" spans="32:32" x14ac:dyDescent="0.2">
      <c r="AF40690" s="679"/>
    </row>
    <row r="40691" spans="32:32" x14ac:dyDescent="0.2">
      <c r="AF40691" s="679"/>
    </row>
    <row r="40692" spans="32:32" x14ac:dyDescent="0.2">
      <c r="AF40692" s="679"/>
    </row>
    <row r="40693" spans="32:32" x14ac:dyDescent="0.2">
      <c r="AF40693" s="679"/>
    </row>
    <row r="40694" spans="32:32" x14ac:dyDescent="0.2">
      <c r="AF40694" s="679"/>
    </row>
    <row r="40695" spans="32:32" x14ac:dyDescent="0.2">
      <c r="AF40695" s="679"/>
    </row>
    <row r="40696" spans="32:32" x14ac:dyDescent="0.2">
      <c r="AF40696" s="679"/>
    </row>
    <row r="40697" spans="32:32" x14ac:dyDescent="0.2">
      <c r="AF40697" s="679"/>
    </row>
    <row r="40698" spans="32:32" x14ac:dyDescent="0.2">
      <c r="AF40698" s="679"/>
    </row>
    <row r="40699" spans="32:32" x14ac:dyDescent="0.2">
      <c r="AF40699" s="679"/>
    </row>
    <row r="40700" spans="32:32" x14ac:dyDescent="0.2">
      <c r="AF40700" s="679"/>
    </row>
    <row r="40701" spans="32:32" x14ac:dyDescent="0.2">
      <c r="AF40701" s="679"/>
    </row>
    <row r="40702" spans="32:32" x14ac:dyDescent="0.2">
      <c r="AF40702" s="679"/>
    </row>
    <row r="40703" spans="32:32" x14ac:dyDescent="0.2">
      <c r="AF40703" s="679"/>
    </row>
    <row r="40704" spans="32:32" x14ac:dyDescent="0.2">
      <c r="AF40704" s="679"/>
    </row>
    <row r="40705" spans="32:32" x14ac:dyDescent="0.2">
      <c r="AF40705" s="679"/>
    </row>
    <row r="40706" spans="32:32" x14ac:dyDescent="0.2">
      <c r="AF40706" s="679"/>
    </row>
    <row r="40707" spans="32:32" x14ac:dyDescent="0.2">
      <c r="AF40707" s="679"/>
    </row>
    <row r="40708" spans="32:32" x14ac:dyDescent="0.2">
      <c r="AF40708" s="679"/>
    </row>
    <row r="40709" spans="32:32" x14ac:dyDescent="0.2">
      <c r="AF40709" s="679"/>
    </row>
    <row r="40710" spans="32:32" x14ac:dyDescent="0.2">
      <c r="AF40710" s="679"/>
    </row>
    <row r="40711" spans="32:32" x14ac:dyDescent="0.2">
      <c r="AF40711" s="679"/>
    </row>
    <row r="40712" spans="32:32" x14ac:dyDescent="0.2">
      <c r="AF40712" s="679"/>
    </row>
    <row r="40713" spans="32:32" x14ac:dyDescent="0.2">
      <c r="AF40713" s="679"/>
    </row>
    <row r="40714" spans="32:32" x14ac:dyDescent="0.2">
      <c r="AF40714" s="679"/>
    </row>
    <row r="40715" spans="32:32" x14ac:dyDescent="0.2">
      <c r="AF40715" s="679"/>
    </row>
    <row r="40716" spans="32:32" x14ac:dyDescent="0.2">
      <c r="AF40716" s="679"/>
    </row>
    <row r="40717" spans="32:32" x14ac:dyDescent="0.2">
      <c r="AF40717" s="679"/>
    </row>
    <row r="40718" spans="32:32" x14ac:dyDescent="0.2">
      <c r="AF40718" s="679"/>
    </row>
    <row r="40719" spans="32:32" x14ac:dyDescent="0.2">
      <c r="AF40719" s="679"/>
    </row>
    <row r="40720" spans="32:32" x14ac:dyDescent="0.2">
      <c r="AF40720" s="679"/>
    </row>
    <row r="40721" spans="32:32" x14ac:dyDescent="0.2">
      <c r="AF40721" s="679"/>
    </row>
    <row r="40722" spans="32:32" x14ac:dyDescent="0.2">
      <c r="AF40722" s="679"/>
    </row>
    <row r="40723" spans="32:32" x14ac:dyDescent="0.2">
      <c r="AF40723" s="679"/>
    </row>
    <row r="40724" spans="32:32" x14ac:dyDescent="0.2">
      <c r="AF40724" s="679"/>
    </row>
    <row r="40725" spans="32:32" x14ac:dyDescent="0.2">
      <c r="AF40725" s="679"/>
    </row>
    <row r="40726" spans="32:32" x14ac:dyDescent="0.2">
      <c r="AF40726" s="679"/>
    </row>
    <row r="40727" spans="32:32" x14ac:dyDescent="0.2">
      <c r="AF40727" s="679"/>
    </row>
    <row r="40728" spans="32:32" x14ac:dyDescent="0.2">
      <c r="AF40728" s="679"/>
    </row>
    <row r="40729" spans="32:32" x14ac:dyDescent="0.2">
      <c r="AF40729" s="679"/>
    </row>
    <row r="40730" spans="32:32" x14ac:dyDescent="0.2">
      <c r="AF40730" s="679"/>
    </row>
    <row r="40731" spans="32:32" x14ac:dyDescent="0.2">
      <c r="AF40731" s="679"/>
    </row>
    <row r="40732" spans="32:32" x14ac:dyDescent="0.2">
      <c r="AF40732" s="679"/>
    </row>
    <row r="40733" spans="32:32" x14ac:dyDescent="0.2">
      <c r="AF40733" s="679"/>
    </row>
    <row r="40734" spans="32:32" x14ac:dyDescent="0.2">
      <c r="AF40734" s="679"/>
    </row>
    <row r="40735" spans="32:32" x14ac:dyDescent="0.2">
      <c r="AF40735" s="679"/>
    </row>
    <row r="40736" spans="32:32" x14ac:dyDescent="0.2">
      <c r="AF40736" s="679"/>
    </row>
    <row r="40737" spans="32:32" x14ac:dyDescent="0.2">
      <c r="AF40737" s="679"/>
    </row>
    <row r="40738" spans="32:32" x14ac:dyDescent="0.2">
      <c r="AF40738" s="679"/>
    </row>
    <row r="40739" spans="32:32" x14ac:dyDescent="0.2">
      <c r="AF40739" s="679"/>
    </row>
    <row r="40740" spans="32:32" x14ac:dyDescent="0.2">
      <c r="AF40740" s="679"/>
    </row>
    <row r="40741" spans="32:32" x14ac:dyDescent="0.2">
      <c r="AF40741" s="679"/>
    </row>
    <row r="40742" spans="32:32" x14ac:dyDescent="0.2">
      <c r="AF40742" s="679"/>
    </row>
    <row r="40743" spans="32:32" x14ac:dyDescent="0.2">
      <c r="AF40743" s="679"/>
    </row>
    <row r="40744" spans="32:32" x14ac:dyDescent="0.2">
      <c r="AF40744" s="679"/>
    </row>
    <row r="40745" spans="32:32" x14ac:dyDescent="0.2">
      <c r="AF40745" s="679"/>
    </row>
    <row r="40746" spans="32:32" x14ac:dyDescent="0.2">
      <c r="AF40746" s="679"/>
    </row>
    <row r="40747" spans="32:32" x14ac:dyDescent="0.2">
      <c r="AF40747" s="679"/>
    </row>
    <row r="40748" spans="32:32" x14ac:dyDescent="0.2">
      <c r="AF40748" s="679"/>
    </row>
    <row r="40749" spans="32:32" x14ac:dyDescent="0.2">
      <c r="AF40749" s="679"/>
    </row>
    <row r="40750" spans="32:32" x14ac:dyDescent="0.2">
      <c r="AF40750" s="679"/>
    </row>
    <row r="40751" spans="32:32" x14ac:dyDescent="0.2">
      <c r="AF40751" s="679"/>
    </row>
    <row r="40752" spans="32:32" x14ac:dyDescent="0.2">
      <c r="AF40752" s="679"/>
    </row>
    <row r="40753" spans="32:32" x14ac:dyDescent="0.2">
      <c r="AF40753" s="679"/>
    </row>
    <row r="40754" spans="32:32" x14ac:dyDescent="0.2">
      <c r="AF40754" s="679"/>
    </row>
    <row r="40755" spans="32:32" x14ac:dyDescent="0.2">
      <c r="AF40755" s="679"/>
    </row>
    <row r="40756" spans="32:32" x14ac:dyDescent="0.2">
      <c r="AF40756" s="679"/>
    </row>
    <row r="40757" spans="32:32" x14ac:dyDescent="0.2">
      <c r="AF40757" s="679"/>
    </row>
    <row r="40758" spans="32:32" x14ac:dyDescent="0.2">
      <c r="AF40758" s="679"/>
    </row>
    <row r="40759" spans="32:32" x14ac:dyDescent="0.2">
      <c r="AF40759" s="679"/>
    </row>
    <row r="40760" spans="32:32" x14ac:dyDescent="0.2">
      <c r="AF40760" s="679"/>
    </row>
    <row r="40761" spans="32:32" x14ac:dyDescent="0.2">
      <c r="AF40761" s="679"/>
    </row>
    <row r="40762" spans="32:32" x14ac:dyDescent="0.2">
      <c r="AF40762" s="679"/>
    </row>
    <row r="40763" spans="32:32" x14ac:dyDescent="0.2">
      <c r="AF40763" s="679"/>
    </row>
    <row r="40764" spans="32:32" x14ac:dyDescent="0.2">
      <c r="AF40764" s="679"/>
    </row>
    <row r="40765" spans="32:32" x14ac:dyDescent="0.2">
      <c r="AF40765" s="679"/>
    </row>
    <row r="40766" spans="32:32" x14ac:dyDescent="0.2">
      <c r="AF40766" s="679"/>
    </row>
    <row r="40767" spans="32:32" x14ac:dyDescent="0.2">
      <c r="AF40767" s="679"/>
    </row>
    <row r="40768" spans="32:32" x14ac:dyDescent="0.2">
      <c r="AF40768" s="679"/>
    </row>
    <row r="40769" spans="32:32" x14ac:dyDescent="0.2">
      <c r="AF40769" s="679"/>
    </row>
    <row r="40770" spans="32:32" x14ac:dyDescent="0.2">
      <c r="AF40770" s="679"/>
    </row>
    <row r="40771" spans="32:32" x14ac:dyDescent="0.2">
      <c r="AF40771" s="679"/>
    </row>
    <row r="40772" spans="32:32" x14ac:dyDescent="0.2">
      <c r="AF40772" s="679"/>
    </row>
    <row r="40773" spans="32:32" x14ac:dyDescent="0.2">
      <c r="AF40773" s="679"/>
    </row>
    <row r="40774" spans="32:32" x14ac:dyDescent="0.2">
      <c r="AF40774" s="679"/>
    </row>
    <row r="40775" spans="32:32" x14ac:dyDescent="0.2">
      <c r="AF40775" s="679"/>
    </row>
    <row r="40776" spans="32:32" x14ac:dyDescent="0.2">
      <c r="AF40776" s="679"/>
    </row>
    <row r="40777" spans="32:32" x14ac:dyDescent="0.2">
      <c r="AF40777" s="679"/>
    </row>
    <row r="40778" spans="32:32" x14ac:dyDescent="0.2">
      <c r="AF40778" s="679"/>
    </row>
    <row r="40779" spans="32:32" x14ac:dyDescent="0.2">
      <c r="AF40779" s="679"/>
    </row>
    <row r="40780" spans="32:32" x14ac:dyDescent="0.2">
      <c r="AF40780" s="679"/>
    </row>
    <row r="40781" spans="32:32" x14ac:dyDescent="0.2">
      <c r="AF40781" s="679"/>
    </row>
    <row r="40782" spans="32:32" x14ac:dyDescent="0.2">
      <c r="AF40782" s="679"/>
    </row>
    <row r="40783" spans="32:32" x14ac:dyDescent="0.2">
      <c r="AF40783" s="679"/>
    </row>
    <row r="40784" spans="32:32" x14ac:dyDescent="0.2">
      <c r="AF40784" s="679"/>
    </row>
    <row r="40785" spans="32:32" x14ac:dyDescent="0.2">
      <c r="AF40785" s="679"/>
    </row>
    <row r="40786" spans="32:32" x14ac:dyDescent="0.2">
      <c r="AF40786" s="679"/>
    </row>
    <row r="40787" spans="32:32" x14ac:dyDescent="0.2">
      <c r="AF40787" s="679"/>
    </row>
    <row r="40788" spans="32:32" x14ac:dyDescent="0.2">
      <c r="AF40788" s="679"/>
    </row>
    <row r="40789" spans="32:32" x14ac:dyDescent="0.2">
      <c r="AF40789" s="679"/>
    </row>
    <row r="40790" spans="32:32" x14ac:dyDescent="0.2">
      <c r="AF40790" s="679"/>
    </row>
    <row r="40791" spans="32:32" x14ac:dyDescent="0.2">
      <c r="AF40791" s="679"/>
    </row>
    <row r="40792" spans="32:32" x14ac:dyDescent="0.2">
      <c r="AF40792" s="679"/>
    </row>
    <row r="40793" spans="32:32" x14ac:dyDescent="0.2">
      <c r="AF40793" s="679"/>
    </row>
    <row r="40794" spans="32:32" x14ac:dyDescent="0.2">
      <c r="AF40794" s="679"/>
    </row>
    <row r="40795" spans="32:32" x14ac:dyDescent="0.2">
      <c r="AF40795" s="679"/>
    </row>
    <row r="40796" spans="32:32" x14ac:dyDescent="0.2">
      <c r="AF40796" s="679"/>
    </row>
    <row r="40797" spans="32:32" x14ac:dyDescent="0.2">
      <c r="AF40797" s="679"/>
    </row>
    <row r="40798" spans="32:32" x14ac:dyDescent="0.2">
      <c r="AF40798" s="679"/>
    </row>
    <row r="40799" spans="32:32" x14ac:dyDescent="0.2">
      <c r="AF40799" s="679"/>
    </row>
    <row r="40800" spans="32:32" x14ac:dyDescent="0.2">
      <c r="AF40800" s="679"/>
    </row>
    <row r="40801" spans="32:32" x14ac:dyDescent="0.2">
      <c r="AF40801" s="679"/>
    </row>
    <row r="40802" spans="32:32" x14ac:dyDescent="0.2">
      <c r="AF40802" s="679"/>
    </row>
    <row r="40803" spans="32:32" x14ac:dyDescent="0.2">
      <c r="AF40803" s="679"/>
    </row>
    <row r="40804" spans="32:32" x14ac:dyDescent="0.2">
      <c r="AF40804" s="679"/>
    </row>
    <row r="40805" spans="32:32" x14ac:dyDescent="0.2">
      <c r="AF40805" s="679"/>
    </row>
    <row r="40806" spans="32:32" x14ac:dyDescent="0.2">
      <c r="AF40806" s="679"/>
    </row>
    <row r="40807" spans="32:32" x14ac:dyDescent="0.2">
      <c r="AF40807" s="679"/>
    </row>
    <row r="40808" spans="32:32" x14ac:dyDescent="0.2">
      <c r="AF40808" s="679"/>
    </row>
    <row r="40809" spans="32:32" x14ac:dyDescent="0.2">
      <c r="AF40809" s="679"/>
    </row>
    <row r="40810" spans="32:32" x14ac:dyDescent="0.2">
      <c r="AF40810" s="679"/>
    </row>
    <row r="40811" spans="32:32" x14ac:dyDescent="0.2">
      <c r="AF40811" s="679"/>
    </row>
    <row r="40812" spans="32:32" x14ac:dyDescent="0.2">
      <c r="AF40812" s="679"/>
    </row>
    <row r="40813" spans="32:32" x14ac:dyDescent="0.2">
      <c r="AF40813" s="679"/>
    </row>
    <row r="40814" spans="32:32" x14ac:dyDescent="0.2">
      <c r="AF40814" s="679"/>
    </row>
    <row r="40815" spans="32:32" x14ac:dyDescent="0.2">
      <c r="AF40815" s="679"/>
    </row>
    <row r="40816" spans="32:32" x14ac:dyDescent="0.2">
      <c r="AF40816" s="679"/>
    </row>
    <row r="40817" spans="32:32" x14ac:dyDescent="0.2">
      <c r="AF40817" s="679"/>
    </row>
    <row r="40818" spans="32:32" x14ac:dyDescent="0.2">
      <c r="AF40818" s="679"/>
    </row>
    <row r="40819" spans="32:32" x14ac:dyDescent="0.2">
      <c r="AF40819" s="679"/>
    </row>
    <row r="40820" spans="32:32" x14ac:dyDescent="0.2">
      <c r="AF40820" s="679"/>
    </row>
    <row r="40821" spans="32:32" x14ac:dyDescent="0.2">
      <c r="AF40821" s="679"/>
    </row>
    <row r="40822" spans="32:32" x14ac:dyDescent="0.2">
      <c r="AF40822" s="679"/>
    </row>
    <row r="40823" spans="32:32" x14ac:dyDescent="0.2">
      <c r="AF40823" s="679"/>
    </row>
    <row r="40824" spans="32:32" x14ac:dyDescent="0.2">
      <c r="AF40824" s="679"/>
    </row>
    <row r="40825" spans="32:32" x14ac:dyDescent="0.2">
      <c r="AF40825" s="679"/>
    </row>
    <row r="40826" spans="32:32" x14ac:dyDescent="0.2">
      <c r="AF40826" s="679"/>
    </row>
    <row r="40827" spans="32:32" x14ac:dyDescent="0.2">
      <c r="AF40827" s="679"/>
    </row>
    <row r="40828" spans="32:32" x14ac:dyDescent="0.2">
      <c r="AF40828" s="679"/>
    </row>
    <row r="40829" spans="32:32" x14ac:dyDescent="0.2">
      <c r="AF40829" s="679"/>
    </row>
    <row r="40830" spans="32:32" x14ac:dyDescent="0.2">
      <c r="AF40830" s="679"/>
    </row>
    <row r="40831" spans="32:32" x14ac:dyDescent="0.2">
      <c r="AF40831" s="679"/>
    </row>
    <row r="40832" spans="32:32" x14ac:dyDescent="0.2">
      <c r="AF40832" s="679"/>
    </row>
    <row r="40833" spans="32:32" x14ac:dyDescent="0.2">
      <c r="AF40833" s="679"/>
    </row>
    <row r="40834" spans="32:32" x14ac:dyDescent="0.2">
      <c r="AF40834" s="679"/>
    </row>
    <row r="40835" spans="32:32" x14ac:dyDescent="0.2">
      <c r="AF40835" s="679"/>
    </row>
    <row r="40836" spans="32:32" x14ac:dyDescent="0.2">
      <c r="AF40836" s="679"/>
    </row>
    <row r="40837" spans="32:32" x14ac:dyDescent="0.2">
      <c r="AF40837" s="679"/>
    </row>
    <row r="40838" spans="32:32" x14ac:dyDescent="0.2">
      <c r="AF40838" s="679"/>
    </row>
    <row r="40839" spans="32:32" x14ac:dyDescent="0.2">
      <c r="AF40839" s="679"/>
    </row>
    <row r="40840" spans="32:32" x14ac:dyDescent="0.2">
      <c r="AF40840" s="679"/>
    </row>
    <row r="40841" spans="32:32" x14ac:dyDescent="0.2">
      <c r="AF40841" s="679"/>
    </row>
    <row r="40842" spans="32:32" x14ac:dyDescent="0.2">
      <c r="AF40842" s="679"/>
    </row>
    <row r="40843" spans="32:32" x14ac:dyDescent="0.2">
      <c r="AF40843" s="679"/>
    </row>
    <row r="40844" spans="32:32" x14ac:dyDescent="0.2">
      <c r="AF40844" s="679"/>
    </row>
    <row r="40845" spans="32:32" x14ac:dyDescent="0.2">
      <c r="AF40845" s="679"/>
    </row>
    <row r="40846" spans="32:32" x14ac:dyDescent="0.2">
      <c r="AF40846" s="679"/>
    </row>
    <row r="40847" spans="32:32" x14ac:dyDescent="0.2">
      <c r="AF40847" s="679"/>
    </row>
    <row r="40848" spans="32:32" x14ac:dyDescent="0.2">
      <c r="AF40848" s="679"/>
    </row>
    <row r="40849" spans="32:32" x14ac:dyDescent="0.2">
      <c r="AF40849" s="679"/>
    </row>
    <row r="40850" spans="32:32" x14ac:dyDescent="0.2">
      <c r="AF40850" s="679"/>
    </row>
    <row r="40851" spans="32:32" x14ac:dyDescent="0.2">
      <c r="AF40851" s="679"/>
    </row>
    <row r="40852" spans="32:32" x14ac:dyDescent="0.2">
      <c r="AF40852" s="679"/>
    </row>
    <row r="40853" spans="32:32" x14ac:dyDescent="0.2">
      <c r="AF40853" s="679"/>
    </row>
    <row r="40854" spans="32:32" x14ac:dyDescent="0.2">
      <c r="AF40854" s="679"/>
    </row>
    <row r="40855" spans="32:32" x14ac:dyDescent="0.2">
      <c r="AF40855" s="679"/>
    </row>
    <row r="40856" spans="32:32" x14ac:dyDescent="0.2">
      <c r="AF40856" s="679"/>
    </row>
    <row r="40857" spans="32:32" x14ac:dyDescent="0.2">
      <c r="AF40857" s="679"/>
    </row>
    <row r="40858" spans="32:32" x14ac:dyDescent="0.2">
      <c r="AF40858" s="679"/>
    </row>
    <row r="40859" spans="32:32" x14ac:dyDescent="0.2">
      <c r="AF40859" s="679"/>
    </row>
    <row r="40860" spans="32:32" x14ac:dyDescent="0.2">
      <c r="AF40860" s="679"/>
    </row>
    <row r="40861" spans="32:32" x14ac:dyDescent="0.2">
      <c r="AF40861" s="679"/>
    </row>
    <row r="40862" spans="32:32" x14ac:dyDescent="0.2">
      <c r="AF40862" s="679"/>
    </row>
    <row r="40863" spans="32:32" x14ac:dyDescent="0.2">
      <c r="AF40863" s="679"/>
    </row>
    <row r="40864" spans="32:32" x14ac:dyDescent="0.2">
      <c r="AF40864" s="679"/>
    </row>
    <row r="40865" spans="32:32" x14ac:dyDescent="0.2">
      <c r="AF40865" s="679"/>
    </row>
    <row r="40866" spans="32:32" x14ac:dyDescent="0.2">
      <c r="AF40866" s="679"/>
    </row>
    <row r="40867" spans="32:32" x14ac:dyDescent="0.2">
      <c r="AF40867" s="679"/>
    </row>
    <row r="40868" spans="32:32" x14ac:dyDescent="0.2">
      <c r="AF40868" s="679"/>
    </row>
    <row r="40869" spans="32:32" x14ac:dyDescent="0.2">
      <c r="AF40869" s="679"/>
    </row>
    <row r="40870" spans="32:32" x14ac:dyDescent="0.2">
      <c r="AF40870" s="679"/>
    </row>
    <row r="40871" spans="32:32" x14ac:dyDescent="0.2">
      <c r="AF40871" s="679"/>
    </row>
    <row r="40872" spans="32:32" x14ac:dyDescent="0.2">
      <c r="AF40872" s="679"/>
    </row>
    <row r="40873" spans="32:32" x14ac:dyDescent="0.2">
      <c r="AF40873" s="679"/>
    </row>
    <row r="40874" spans="32:32" x14ac:dyDescent="0.2">
      <c r="AF40874" s="679"/>
    </row>
    <row r="40875" spans="32:32" x14ac:dyDescent="0.2">
      <c r="AF40875" s="679"/>
    </row>
    <row r="40876" spans="32:32" x14ac:dyDescent="0.2">
      <c r="AF40876" s="679"/>
    </row>
    <row r="40877" spans="32:32" x14ac:dyDescent="0.2">
      <c r="AF40877" s="679"/>
    </row>
    <row r="40878" spans="32:32" x14ac:dyDescent="0.2">
      <c r="AF40878" s="679"/>
    </row>
    <row r="40879" spans="32:32" x14ac:dyDescent="0.2">
      <c r="AF40879" s="679"/>
    </row>
    <row r="40880" spans="32:32" x14ac:dyDescent="0.2">
      <c r="AF40880" s="679"/>
    </row>
    <row r="40881" spans="32:32" x14ac:dyDescent="0.2">
      <c r="AF40881" s="679"/>
    </row>
    <row r="40882" spans="32:32" x14ac:dyDescent="0.2">
      <c r="AF40882" s="679"/>
    </row>
    <row r="40883" spans="32:32" x14ac:dyDescent="0.2">
      <c r="AF40883" s="679"/>
    </row>
    <row r="40884" spans="32:32" x14ac:dyDescent="0.2">
      <c r="AF40884" s="679"/>
    </row>
    <row r="40885" spans="32:32" x14ac:dyDescent="0.2">
      <c r="AF40885" s="679"/>
    </row>
    <row r="40886" spans="32:32" x14ac:dyDescent="0.2">
      <c r="AF40886" s="679"/>
    </row>
    <row r="40887" spans="32:32" x14ac:dyDescent="0.2">
      <c r="AF40887" s="679"/>
    </row>
    <row r="40888" spans="32:32" x14ac:dyDescent="0.2">
      <c r="AF40888" s="679"/>
    </row>
    <row r="40889" spans="32:32" x14ac:dyDescent="0.2">
      <c r="AF40889" s="679"/>
    </row>
    <row r="40890" spans="32:32" x14ac:dyDescent="0.2">
      <c r="AF40890" s="679"/>
    </row>
    <row r="40891" spans="32:32" x14ac:dyDescent="0.2">
      <c r="AF40891" s="679"/>
    </row>
    <row r="40892" spans="32:32" x14ac:dyDescent="0.2">
      <c r="AF40892" s="679"/>
    </row>
    <row r="40893" spans="32:32" x14ac:dyDescent="0.2">
      <c r="AF40893" s="679"/>
    </row>
    <row r="40894" spans="32:32" x14ac:dyDescent="0.2">
      <c r="AF40894" s="679"/>
    </row>
    <row r="40895" spans="32:32" x14ac:dyDescent="0.2">
      <c r="AF40895" s="679"/>
    </row>
    <row r="40896" spans="32:32" x14ac:dyDescent="0.2">
      <c r="AF40896" s="679"/>
    </row>
    <row r="40897" spans="32:32" x14ac:dyDescent="0.2">
      <c r="AF40897" s="679"/>
    </row>
    <row r="40898" spans="32:32" x14ac:dyDescent="0.2">
      <c r="AF40898" s="679"/>
    </row>
    <row r="40899" spans="32:32" x14ac:dyDescent="0.2">
      <c r="AF40899" s="679"/>
    </row>
    <row r="40900" spans="32:32" x14ac:dyDescent="0.2">
      <c r="AF40900" s="679"/>
    </row>
    <row r="40901" spans="32:32" x14ac:dyDescent="0.2">
      <c r="AF40901" s="679"/>
    </row>
    <row r="40902" spans="32:32" x14ac:dyDescent="0.2">
      <c r="AF40902" s="679"/>
    </row>
    <row r="40903" spans="32:32" x14ac:dyDescent="0.2">
      <c r="AF40903" s="679"/>
    </row>
    <row r="40904" spans="32:32" x14ac:dyDescent="0.2">
      <c r="AF40904" s="679"/>
    </row>
    <row r="40905" spans="32:32" x14ac:dyDescent="0.2">
      <c r="AF40905" s="679"/>
    </row>
    <row r="40906" spans="32:32" x14ac:dyDescent="0.2">
      <c r="AF40906" s="679"/>
    </row>
    <row r="40907" spans="32:32" x14ac:dyDescent="0.2">
      <c r="AF40907" s="679"/>
    </row>
    <row r="40908" spans="32:32" x14ac:dyDescent="0.2">
      <c r="AF40908" s="679"/>
    </row>
    <row r="40909" spans="32:32" x14ac:dyDescent="0.2">
      <c r="AF40909" s="679"/>
    </row>
    <row r="40910" spans="32:32" x14ac:dyDescent="0.2">
      <c r="AF40910" s="679"/>
    </row>
    <row r="40911" spans="32:32" x14ac:dyDescent="0.2">
      <c r="AF40911" s="679"/>
    </row>
    <row r="40912" spans="32:32" x14ac:dyDescent="0.2">
      <c r="AF40912" s="679"/>
    </row>
    <row r="40913" spans="32:32" x14ac:dyDescent="0.2">
      <c r="AF40913" s="679"/>
    </row>
    <row r="40914" spans="32:32" x14ac:dyDescent="0.2">
      <c r="AF40914" s="679"/>
    </row>
    <row r="40915" spans="32:32" x14ac:dyDescent="0.2">
      <c r="AF40915" s="679"/>
    </row>
    <row r="40916" spans="32:32" x14ac:dyDescent="0.2">
      <c r="AF40916" s="679"/>
    </row>
    <row r="40917" spans="32:32" x14ac:dyDescent="0.2">
      <c r="AF40917" s="679"/>
    </row>
    <row r="40918" spans="32:32" x14ac:dyDescent="0.2">
      <c r="AF40918" s="679"/>
    </row>
    <row r="40919" spans="32:32" x14ac:dyDescent="0.2">
      <c r="AF40919" s="679"/>
    </row>
    <row r="40920" spans="32:32" x14ac:dyDescent="0.2">
      <c r="AF40920" s="679"/>
    </row>
    <row r="40921" spans="32:32" x14ac:dyDescent="0.2">
      <c r="AF40921" s="679"/>
    </row>
    <row r="40922" spans="32:32" x14ac:dyDescent="0.2">
      <c r="AF40922" s="679"/>
    </row>
    <row r="40923" spans="32:32" x14ac:dyDescent="0.2">
      <c r="AF40923" s="679"/>
    </row>
    <row r="40924" spans="32:32" x14ac:dyDescent="0.2">
      <c r="AF40924" s="679"/>
    </row>
    <row r="40925" spans="32:32" x14ac:dyDescent="0.2">
      <c r="AF40925" s="679"/>
    </row>
    <row r="40926" spans="32:32" x14ac:dyDescent="0.2">
      <c r="AF40926" s="679"/>
    </row>
    <row r="40927" spans="32:32" x14ac:dyDescent="0.2">
      <c r="AF40927" s="679"/>
    </row>
    <row r="40928" spans="32:32" x14ac:dyDescent="0.2">
      <c r="AF40928" s="679"/>
    </row>
    <row r="40929" spans="32:32" x14ac:dyDescent="0.2">
      <c r="AF40929" s="679"/>
    </row>
    <row r="40930" spans="32:32" x14ac:dyDescent="0.2">
      <c r="AF40930" s="679"/>
    </row>
    <row r="40931" spans="32:32" x14ac:dyDescent="0.2">
      <c r="AF40931" s="679"/>
    </row>
    <row r="40932" spans="32:32" x14ac:dyDescent="0.2">
      <c r="AF40932" s="679"/>
    </row>
    <row r="40933" spans="32:32" x14ac:dyDescent="0.2">
      <c r="AF40933" s="679"/>
    </row>
    <row r="40934" spans="32:32" x14ac:dyDescent="0.2">
      <c r="AF40934" s="679"/>
    </row>
    <row r="40935" spans="32:32" x14ac:dyDescent="0.2">
      <c r="AF40935" s="679"/>
    </row>
    <row r="40936" spans="32:32" x14ac:dyDescent="0.2">
      <c r="AF40936" s="679"/>
    </row>
    <row r="40937" spans="32:32" x14ac:dyDescent="0.2">
      <c r="AF40937" s="679"/>
    </row>
    <row r="40938" spans="32:32" x14ac:dyDescent="0.2">
      <c r="AF40938" s="679"/>
    </row>
    <row r="40939" spans="32:32" x14ac:dyDescent="0.2">
      <c r="AF40939" s="679"/>
    </row>
    <row r="40940" spans="32:32" x14ac:dyDescent="0.2">
      <c r="AF40940" s="679"/>
    </row>
    <row r="40941" spans="32:32" x14ac:dyDescent="0.2">
      <c r="AF40941" s="679"/>
    </row>
    <row r="40942" spans="32:32" x14ac:dyDescent="0.2">
      <c r="AF40942" s="679"/>
    </row>
    <row r="40943" spans="32:32" x14ac:dyDescent="0.2">
      <c r="AF40943" s="679"/>
    </row>
    <row r="40944" spans="32:32" x14ac:dyDescent="0.2">
      <c r="AF40944" s="679"/>
    </row>
    <row r="40945" spans="32:32" x14ac:dyDescent="0.2">
      <c r="AF40945" s="679"/>
    </row>
    <row r="40946" spans="32:32" x14ac:dyDescent="0.2">
      <c r="AF40946" s="679"/>
    </row>
    <row r="40947" spans="32:32" x14ac:dyDescent="0.2">
      <c r="AF40947" s="679"/>
    </row>
    <row r="40948" spans="32:32" x14ac:dyDescent="0.2">
      <c r="AF40948" s="679"/>
    </row>
    <row r="40949" spans="32:32" x14ac:dyDescent="0.2">
      <c r="AF40949" s="679"/>
    </row>
    <row r="40950" spans="32:32" x14ac:dyDescent="0.2">
      <c r="AF40950" s="679"/>
    </row>
    <row r="40951" spans="32:32" x14ac:dyDescent="0.2">
      <c r="AF40951" s="679"/>
    </row>
    <row r="40952" spans="32:32" x14ac:dyDescent="0.2">
      <c r="AF40952" s="679"/>
    </row>
    <row r="40953" spans="32:32" x14ac:dyDescent="0.2">
      <c r="AF40953" s="679"/>
    </row>
    <row r="40954" spans="32:32" x14ac:dyDescent="0.2">
      <c r="AF40954" s="679"/>
    </row>
    <row r="40955" spans="32:32" x14ac:dyDescent="0.2">
      <c r="AF40955" s="679"/>
    </row>
    <row r="40956" spans="32:32" x14ac:dyDescent="0.2">
      <c r="AF40956" s="679"/>
    </row>
    <row r="40957" spans="32:32" x14ac:dyDescent="0.2">
      <c r="AF40957" s="679"/>
    </row>
    <row r="40958" spans="32:32" x14ac:dyDescent="0.2">
      <c r="AF40958" s="679"/>
    </row>
    <row r="40959" spans="32:32" x14ac:dyDescent="0.2">
      <c r="AF40959" s="679"/>
    </row>
    <row r="40960" spans="32:32" x14ac:dyDescent="0.2">
      <c r="AF40960" s="679"/>
    </row>
    <row r="40961" spans="32:32" x14ac:dyDescent="0.2">
      <c r="AF40961" s="679"/>
    </row>
    <row r="40962" spans="32:32" x14ac:dyDescent="0.2">
      <c r="AF40962" s="679"/>
    </row>
    <row r="40963" spans="32:32" x14ac:dyDescent="0.2">
      <c r="AF40963" s="679"/>
    </row>
    <row r="40964" spans="32:32" x14ac:dyDescent="0.2">
      <c r="AF40964" s="679"/>
    </row>
    <row r="40965" spans="32:32" x14ac:dyDescent="0.2">
      <c r="AF40965" s="679"/>
    </row>
    <row r="40966" spans="32:32" x14ac:dyDescent="0.2">
      <c r="AF40966" s="679"/>
    </row>
    <row r="40967" spans="32:32" x14ac:dyDescent="0.2">
      <c r="AF40967" s="679"/>
    </row>
    <row r="40968" spans="32:32" x14ac:dyDescent="0.2">
      <c r="AF40968" s="679"/>
    </row>
    <row r="40969" spans="32:32" x14ac:dyDescent="0.2">
      <c r="AF40969" s="679"/>
    </row>
    <row r="40970" spans="32:32" x14ac:dyDescent="0.2">
      <c r="AF40970" s="679"/>
    </row>
    <row r="40971" spans="32:32" x14ac:dyDescent="0.2">
      <c r="AF40971" s="679"/>
    </row>
    <row r="40972" spans="32:32" x14ac:dyDescent="0.2">
      <c r="AF40972" s="679"/>
    </row>
    <row r="40973" spans="32:32" x14ac:dyDescent="0.2">
      <c r="AF40973" s="679"/>
    </row>
    <row r="40974" spans="32:32" x14ac:dyDescent="0.2">
      <c r="AF40974" s="679"/>
    </row>
    <row r="40975" spans="32:32" x14ac:dyDescent="0.2">
      <c r="AF40975" s="679"/>
    </row>
    <row r="40976" spans="32:32" x14ac:dyDescent="0.2">
      <c r="AF40976" s="679"/>
    </row>
    <row r="40977" spans="32:32" x14ac:dyDescent="0.2">
      <c r="AF40977" s="679"/>
    </row>
    <row r="40978" spans="32:32" x14ac:dyDescent="0.2">
      <c r="AF40978" s="679"/>
    </row>
    <row r="40979" spans="32:32" x14ac:dyDescent="0.2">
      <c r="AF40979" s="679"/>
    </row>
    <row r="40980" spans="32:32" x14ac:dyDescent="0.2">
      <c r="AF40980" s="679"/>
    </row>
    <row r="40981" spans="32:32" x14ac:dyDescent="0.2">
      <c r="AF40981" s="679"/>
    </row>
    <row r="40982" spans="32:32" x14ac:dyDescent="0.2">
      <c r="AF40982" s="679"/>
    </row>
    <row r="40983" spans="32:32" x14ac:dyDescent="0.2">
      <c r="AF40983" s="679"/>
    </row>
    <row r="40984" spans="32:32" x14ac:dyDescent="0.2">
      <c r="AF40984" s="679"/>
    </row>
    <row r="40985" spans="32:32" x14ac:dyDescent="0.2">
      <c r="AF40985" s="679"/>
    </row>
    <row r="40986" spans="32:32" x14ac:dyDescent="0.2">
      <c r="AF40986" s="679"/>
    </row>
    <row r="40987" spans="32:32" x14ac:dyDescent="0.2">
      <c r="AF40987" s="679"/>
    </row>
    <row r="40988" spans="32:32" x14ac:dyDescent="0.2">
      <c r="AF40988" s="679"/>
    </row>
    <row r="40989" spans="32:32" x14ac:dyDescent="0.2">
      <c r="AF40989" s="679"/>
    </row>
    <row r="40990" spans="32:32" x14ac:dyDescent="0.2">
      <c r="AF40990" s="679"/>
    </row>
    <row r="40991" spans="32:32" x14ac:dyDescent="0.2">
      <c r="AF40991" s="679"/>
    </row>
    <row r="40992" spans="32:32" x14ac:dyDescent="0.2">
      <c r="AF40992" s="679"/>
    </row>
    <row r="40993" spans="32:32" x14ac:dyDescent="0.2">
      <c r="AF40993" s="679"/>
    </row>
    <row r="40994" spans="32:32" x14ac:dyDescent="0.2">
      <c r="AF40994" s="679"/>
    </row>
    <row r="40995" spans="32:32" x14ac:dyDescent="0.2">
      <c r="AF40995" s="679"/>
    </row>
    <row r="40996" spans="32:32" x14ac:dyDescent="0.2">
      <c r="AF40996" s="679"/>
    </row>
    <row r="40997" spans="32:32" x14ac:dyDescent="0.2">
      <c r="AF40997" s="679"/>
    </row>
    <row r="40998" spans="32:32" x14ac:dyDescent="0.2">
      <c r="AF40998" s="679"/>
    </row>
    <row r="40999" spans="32:32" x14ac:dyDescent="0.2">
      <c r="AF40999" s="679"/>
    </row>
    <row r="41000" spans="32:32" x14ac:dyDescent="0.2">
      <c r="AF41000" s="679"/>
    </row>
    <row r="41001" spans="32:32" x14ac:dyDescent="0.2">
      <c r="AF41001" s="679"/>
    </row>
    <row r="41002" spans="32:32" x14ac:dyDescent="0.2">
      <c r="AF41002" s="679"/>
    </row>
    <row r="41003" spans="32:32" x14ac:dyDescent="0.2">
      <c r="AF41003" s="679"/>
    </row>
    <row r="41004" spans="32:32" x14ac:dyDescent="0.2">
      <c r="AF41004" s="679"/>
    </row>
    <row r="41005" spans="32:32" x14ac:dyDescent="0.2">
      <c r="AF41005" s="679"/>
    </row>
    <row r="41006" spans="32:32" x14ac:dyDescent="0.2">
      <c r="AF41006" s="679"/>
    </row>
    <row r="41007" spans="32:32" x14ac:dyDescent="0.2">
      <c r="AF41007" s="679"/>
    </row>
    <row r="41008" spans="32:32" x14ac:dyDescent="0.2">
      <c r="AF41008" s="679"/>
    </row>
    <row r="41009" spans="32:32" x14ac:dyDescent="0.2">
      <c r="AF41009" s="679"/>
    </row>
    <row r="41010" spans="32:32" x14ac:dyDescent="0.2">
      <c r="AF41010" s="679"/>
    </row>
    <row r="41011" spans="32:32" x14ac:dyDescent="0.2">
      <c r="AF41011" s="679"/>
    </row>
    <row r="41012" spans="32:32" x14ac:dyDescent="0.2">
      <c r="AF41012" s="679"/>
    </row>
    <row r="41013" spans="32:32" x14ac:dyDescent="0.2">
      <c r="AF41013" s="679"/>
    </row>
    <row r="41014" spans="32:32" x14ac:dyDescent="0.2">
      <c r="AF41014" s="679"/>
    </row>
    <row r="41015" spans="32:32" x14ac:dyDescent="0.2">
      <c r="AF41015" s="679"/>
    </row>
    <row r="41016" spans="32:32" x14ac:dyDescent="0.2">
      <c r="AF41016" s="679"/>
    </row>
    <row r="41017" spans="32:32" x14ac:dyDescent="0.2">
      <c r="AF41017" s="679"/>
    </row>
    <row r="41018" spans="32:32" x14ac:dyDescent="0.2">
      <c r="AF41018" s="679"/>
    </row>
    <row r="41019" spans="32:32" x14ac:dyDescent="0.2">
      <c r="AF41019" s="679"/>
    </row>
    <row r="41020" spans="32:32" x14ac:dyDescent="0.2">
      <c r="AF41020" s="679"/>
    </row>
    <row r="41021" spans="32:32" x14ac:dyDescent="0.2">
      <c r="AF41021" s="679"/>
    </row>
    <row r="41022" spans="32:32" x14ac:dyDescent="0.2">
      <c r="AF41022" s="679"/>
    </row>
    <row r="41023" spans="32:32" x14ac:dyDescent="0.2">
      <c r="AF41023" s="679"/>
    </row>
    <row r="41024" spans="32:32" x14ac:dyDescent="0.2">
      <c r="AF41024" s="679"/>
    </row>
    <row r="41025" spans="32:32" x14ac:dyDescent="0.2">
      <c r="AF41025" s="679"/>
    </row>
    <row r="41026" spans="32:32" x14ac:dyDescent="0.2">
      <c r="AF41026" s="679"/>
    </row>
    <row r="41027" spans="32:32" x14ac:dyDescent="0.2">
      <c r="AF41027" s="679"/>
    </row>
    <row r="41028" spans="32:32" x14ac:dyDescent="0.2">
      <c r="AF41028" s="679"/>
    </row>
    <row r="41029" spans="32:32" x14ac:dyDescent="0.2">
      <c r="AF41029" s="679"/>
    </row>
    <row r="41030" spans="32:32" x14ac:dyDescent="0.2">
      <c r="AF41030" s="679"/>
    </row>
    <row r="41031" spans="32:32" x14ac:dyDescent="0.2">
      <c r="AF41031" s="679"/>
    </row>
    <row r="41032" spans="32:32" x14ac:dyDescent="0.2">
      <c r="AF41032" s="679"/>
    </row>
    <row r="41033" spans="32:32" x14ac:dyDescent="0.2">
      <c r="AF41033" s="679"/>
    </row>
    <row r="41034" spans="32:32" x14ac:dyDescent="0.2">
      <c r="AF41034" s="679"/>
    </row>
    <row r="41035" spans="32:32" x14ac:dyDescent="0.2">
      <c r="AF41035" s="679"/>
    </row>
    <row r="41036" spans="32:32" x14ac:dyDescent="0.2">
      <c r="AF41036" s="679"/>
    </row>
    <row r="41037" spans="32:32" x14ac:dyDescent="0.2">
      <c r="AF41037" s="679"/>
    </row>
    <row r="41038" spans="32:32" x14ac:dyDescent="0.2">
      <c r="AF41038" s="679"/>
    </row>
    <row r="41039" spans="32:32" x14ac:dyDescent="0.2">
      <c r="AF41039" s="679"/>
    </row>
    <row r="41040" spans="32:32" x14ac:dyDescent="0.2">
      <c r="AF41040" s="679"/>
    </row>
    <row r="41041" spans="32:32" x14ac:dyDescent="0.2">
      <c r="AF41041" s="679"/>
    </row>
    <row r="41042" spans="32:32" x14ac:dyDescent="0.2">
      <c r="AF41042" s="679"/>
    </row>
    <row r="41043" spans="32:32" x14ac:dyDescent="0.2">
      <c r="AF41043" s="679"/>
    </row>
    <row r="41044" spans="32:32" x14ac:dyDescent="0.2">
      <c r="AF41044" s="679"/>
    </row>
    <row r="41045" spans="32:32" x14ac:dyDescent="0.2">
      <c r="AF41045" s="679"/>
    </row>
    <row r="41046" spans="32:32" x14ac:dyDescent="0.2">
      <c r="AF41046" s="679"/>
    </row>
    <row r="41047" spans="32:32" x14ac:dyDescent="0.2">
      <c r="AF41047" s="679"/>
    </row>
    <row r="41048" spans="32:32" x14ac:dyDescent="0.2">
      <c r="AF41048" s="679"/>
    </row>
    <row r="41049" spans="32:32" x14ac:dyDescent="0.2">
      <c r="AF41049" s="679"/>
    </row>
    <row r="41050" spans="32:32" x14ac:dyDescent="0.2">
      <c r="AF41050" s="679"/>
    </row>
    <row r="41051" spans="32:32" x14ac:dyDescent="0.2">
      <c r="AF41051" s="679"/>
    </row>
    <row r="41052" spans="32:32" x14ac:dyDescent="0.2">
      <c r="AF41052" s="679"/>
    </row>
    <row r="41053" spans="32:32" x14ac:dyDescent="0.2">
      <c r="AF41053" s="679"/>
    </row>
    <row r="41054" spans="32:32" x14ac:dyDescent="0.2">
      <c r="AF41054" s="679"/>
    </row>
    <row r="41055" spans="32:32" x14ac:dyDescent="0.2">
      <c r="AF41055" s="679"/>
    </row>
    <row r="41056" spans="32:32" x14ac:dyDescent="0.2">
      <c r="AF41056" s="679"/>
    </row>
    <row r="41057" spans="32:32" x14ac:dyDescent="0.2">
      <c r="AF41057" s="679"/>
    </row>
    <row r="41058" spans="32:32" x14ac:dyDescent="0.2">
      <c r="AF41058" s="679"/>
    </row>
    <row r="41059" spans="32:32" x14ac:dyDescent="0.2">
      <c r="AF41059" s="679"/>
    </row>
    <row r="41060" spans="32:32" x14ac:dyDescent="0.2">
      <c r="AF41060" s="679"/>
    </row>
    <row r="41061" spans="32:32" x14ac:dyDescent="0.2">
      <c r="AF41061" s="679"/>
    </row>
    <row r="41062" spans="32:32" x14ac:dyDescent="0.2">
      <c r="AF41062" s="679"/>
    </row>
    <row r="41063" spans="32:32" x14ac:dyDescent="0.2">
      <c r="AF41063" s="679"/>
    </row>
    <row r="41064" spans="32:32" x14ac:dyDescent="0.2">
      <c r="AF41064" s="679"/>
    </row>
    <row r="41065" spans="32:32" x14ac:dyDescent="0.2">
      <c r="AF41065" s="679"/>
    </row>
    <row r="41066" spans="32:32" x14ac:dyDescent="0.2">
      <c r="AF41066" s="679"/>
    </row>
    <row r="41067" spans="32:32" x14ac:dyDescent="0.2">
      <c r="AF41067" s="679"/>
    </row>
    <row r="41068" spans="32:32" x14ac:dyDescent="0.2">
      <c r="AF41068" s="679"/>
    </row>
    <row r="41069" spans="32:32" x14ac:dyDescent="0.2">
      <c r="AF41069" s="679"/>
    </row>
    <row r="41070" spans="32:32" x14ac:dyDescent="0.2">
      <c r="AF41070" s="679"/>
    </row>
    <row r="41071" spans="32:32" x14ac:dyDescent="0.2">
      <c r="AF41071" s="679"/>
    </row>
    <row r="41072" spans="32:32" x14ac:dyDescent="0.2">
      <c r="AF41072" s="679"/>
    </row>
    <row r="41073" spans="32:32" x14ac:dyDescent="0.2">
      <c r="AF41073" s="679"/>
    </row>
    <row r="41074" spans="32:32" x14ac:dyDescent="0.2">
      <c r="AF41074" s="679"/>
    </row>
    <row r="41075" spans="32:32" x14ac:dyDescent="0.2">
      <c r="AF41075" s="679"/>
    </row>
    <row r="41076" spans="32:32" x14ac:dyDescent="0.2">
      <c r="AF41076" s="679"/>
    </row>
    <row r="41077" spans="32:32" x14ac:dyDescent="0.2">
      <c r="AF41077" s="679"/>
    </row>
    <row r="41078" spans="32:32" x14ac:dyDescent="0.2">
      <c r="AF41078" s="679"/>
    </row>
    <row r="41079" spans="32:32" x14ac:dyDescent="0.2">
      <c r="AF41079" s="679"/>
    </row>
    <row r="41080" spans="32:32" x14ac:dyDescent="0.2">
      <c r="AF41080" s="679"/>
    </row>
    <row r="41081" spans="32:32" x14ac:dyDescent="0.2">
      <c r="AF41081" s="679"/>
    </row>
    <row r="41082" spans="32:32" x14ac:dyDescent="0.2">
      <c r="AF41082" s="679"/>
    </row>
    <row r="41083" spans="32:32" x14ac:dyDescent="0.2">
      <c r="AF41083" s="679"/>
    </row>
    <row r="41084" spans="32:32" x14ac:dyDescent="0.2">
      <c r="AF41084" s="679"/>
    </row>
    <row r="41085" spans="32:32" x14ac:dyDescent="0.2">
      <c r="AF41085" s="679"/>
    </row>
    <row r="41086" spans="32:32" x14ac:dyDescent="0.2">
      <c r="AF41086" s="679"/>
    </row>
    <row r="41087" spans="32:32" x14ac:dyDescent="0.2">
      <c r="AF41087" s="679"/>
    </row>
    <row r="41088" spans="32:32" x14ac:dyDescent="0.2">
      <c r="AF41088" s="679"/>
    </row>
    <row r="41089" spans="32:32" x14ac:dyDescent="0.2">
      <c r="AF41089" s="679"/>
    </row>
    <row r="41090" spans="32:32" x14ac:dyDescent="0.2">
      <c r="AF41090" s="679"/>
    </row>
    <row r="41091" spans="32:32" x14ac:dyDescent="0.2">
      <c r="AF41091" s="679"/>
    </row>
    <row r="41092" spans="32:32" x14ac:dyDescent="0.2">
      <c r="AF41092" s="679"/>
    </row>
    <row r="41093" spans="32:32" x14ac:dyDescent="0.2">
      <c r="AF41093" s="679"/>
    </row>
    <row r="41094" spans="32:32" x14ac:dyDescent="0.2">
      <c r="AF41094" s="679"/>
    </row>
    <row r="41095" spans="32:32" x14ac:dyDescent="0.2">
      <c r="AF41095" s="679"/>
    </row>
    <row r="41096" spans="32:32" x14ac:dyDescent="0.2">
      <c r="AF41096" s="679"/>
    </row>
    <row r="41097" spans="32:32" x14ac:dyDescent="0.2">
      <c r="AF41097" s="679"/>
    </row>
    <row r="41098" spans="32:32" x14ac:dyDescent="0.2">
      <c r="AF41098" s="679"/>
    </row>
    <row r="41099" spans="32:32" x14ac:dyDescent="0.2">
      <c r="AF41099" s="679"/>
    </row>
    <row r="41100" spans="32:32" x14ac:dyDescent="0.2">
      <c r="AF41100" s="679"/>
    </row>
    <row r="41101" spans="32:32" x14ac:dyDescent="0.2">
      <c r="AF41101" s="679"/>
    </row>
    <row r="41102" spans="32:32" x14ac:dyDescent="0.2">
      <c r="AF41102" s="679"/>
    </row>
    <row r="41103" spans="32:32" x14ac:dyDescent="0.2">
      <c r="AF41103" s="679"/>
    </row>
    <row r="41104" spans="32:32" x14ac:dyDescent="0.2">
      <c r="AF41104" s="679"/>
    </row>
    <row r="41105" spans="32:32" x14ac:dyDescent="0.2">
      <c r="AF41105" s="679"/>
    </row>
    <row r="41106" spans="32:32" x14ac:dyDescent="0.2">
      <c r="AF41106" s="679"/>
    </row>
    <row r="41107" spans="32:32" x14ac:dyDescent="0.2">
      <c r="AF41107" s="679"/>
    </row>
    <row r="41108" spans="32:32" x14ac:dyDescent="0.2">
      <c r="AF41108" s="679"/>
    </row>
    <row r="41109" spans="32:32" x14ac:dyDescent="0.2">
      <c r="AF41109" s="679"/>
    </row>
    <row r="41110" spans="32:32" x14ac:dyDescent="0.2">
      <c r="AF41110" s="679"/>
    </row>
    <row r="41111" spans="32:32" x14ac:dyDescent="0.2">
      <c r="AF41111" s="679"/>
    </row>
    <row r="41112" spans="32:32" x14ac:dyDescent="0.2">
      <c r="AF41112" s="679"/>
    </row>
    <row r="41113" spans="32:32" x14ac:dyDescent="0.2">
      <c r="AF41113" s="679"/>
    </row>
    <row r="41114" spans="32:32" x14ac:dyDescent="0.2">
      <c r="AF41114" s="679"/>
    </row>
    <row r="41115" spans="32:32" x14ac:dyDescent="0.2">
      <c r="AF41115" s="679"/>
    </row>
    <row r="41116" spans="32:32" x14ac:dyDescent="0.2">
      <c r="AF41116" s="679"/>
    </row>
    <row r="41117" spans="32:32" x14ac:dyDescent="0.2">
      <c r="AF41117" s="679"/>
    </row>
    <row r="41118" spans="32:32" x14ac:dyDescent="0.2">
      <c r="AF41118" s="679"/>
    </row>
    <row r="41119" spans="32:32" x14ac:dyDescent="0.2">
      <c r="AF41119" s="679"/>
    </row>
    <row r="41120" spans="32:32" x14ac:dyDescent="0.2">
      <c r="AF41120" s="679"/>
    </row>
    <row r="41121" spans="32:32" x14ac:dyDescent="0.2">
      <c r="AF41121" s="679"/>
    </row>
    <row r="41122" spans="32:32" x14ac:dyDescent="0.2">
      <c r="AF41122" s="679"/>
    </row>
    <row r="41123" spans="32:32" x14ac:dyDescent="0.2">
      <c r="AF41123" s="679"/>
    </row>
    <row r="41124" spans="32:32" x14ac:dyDescent="0.2">
      <c r="AF41124" s="679"/>
    </row>
    <row r="41125" spans="32:32" x14ac:dyDescent="0.2">
      <c r="AF41125" s="679"/>
    </row>
    <row r="41126" spans="32:32" x14ac:dyDescent="0.2">
      <c r="AF41126" s="679"/>
    </row>
    <row r="41127" spans="32:32" x14ac:dyDescent="0.2">
      <c r="AF41127" s="679"/>
    </row>
    <row r="41128" spans="32:32" x14ac:dyDescent="0.2">
      <c r="AF41128" s="679"/>
    </row>
    <row r="41129" spans="32:32" x14ac:dyDescent="0.2">
      <c r="AF41129" s="679"/>
    </row>
    <row r="41130" spans="32:32" x14ac:dyDescent="0.2">
      <c r="AF41130" s="679"/>
    </row>
    <row r="41131" spans="32:32" x14ac:dyDescent="0.2">
      <c r="AF41131" s="679"/>
    </row>
    <row r="41132" spans="32:32" x14ac:dyDescent="0.2">
      <c r="AF41132" s="679"/>
    </row>
    <row r="41133" spans="32:32" x14ac:dyDescent="0.2">
      <c r="AF41133" s="679"/>
    </row>
    <row r="41134" spans="32:32" x14ac:dyDescent="0.2">
      <c r="AF41134" s="679"/>
    </row>
    <row r="41135" spans="32:32" x14ac:dyDescent="0.2">
      <c r="AF41135" s="679"/>
    </row>
    <row r="41136" spans="32:32" x14ac:dyDescent="0.2">
      <c r="AF41136" s="679"/>
    </row>
    <row r="41137" spans="32:32" x14ac:dyDescent="0.2">
      <c r="AF41137" s="679"/>
    </row>
    <row r="41138" spans="32:32" x14ac:dyDescent="0.2">
      <c r="AF41138" s="679"/>
    </row>
    <row r="41139" spans="32:32" x14ac:dyDescent="0.2">
      <c r="AF41139" s="679"/>
    </row>
    <row r="41140" spans="32:32" x14ac:dyDescent="0.2">
      <c r="AF41140" s="679"/>
    </row>
    <row r="41141" spans="32:32" x14ac:dyDescent="0.2">
      <c r="AF41141" s="679"/>
    </row>
    <row r="41142" spans="32:32" x14ac:dyDescent="0.2">
      <c r="AF41142" s="679"/>
    </row>
    <row r="41143" spans="32:32" x14ac:dyDescent="0.2">
      <c r="AF41143" s="679"/>
    </row>
    <row r="41144" spans="32:32" x14ac:dyDescent="0.2">
      <c r="AF41144" s="679"/>
    </row>
    <row r="41145" spans="32:32" x14ac:dyDescent="0.2">
      <c r="AF41145" s="679"/>
    </row>
    <row r="41146" spans="32:32" x14ac:dyDescent="0.2">
      <c r="AF41146" s="679"/>
    </row>
    <row r="41147" spans="32:32" x14ac:dyDescent="0.2">
      <c r="AF41147" s="679"/>
    </row>
    <row r="41148" spans="32:32" x14ac:dyDescent="0.2">
      <c r="AF41148" s="679"/>
    </row>
    <row r="41149" spans="32:32" x14ac:dyDescent="0.2">
      <c r="AF41149" s="679"/>
    </row>
    <row r="41150" spans="32:32" x14ac:dyDescent="0.2">
      <c r="AF41150" s="679"/>
    </row>
    <row r="41151" spans="32:32" x14ac:dyDescent="0.2">
      <c r="AF41151" s="679"/>
    </row>
    <row r="41152" spans="32:32" x14ac:dyDescent="0.2">
      <c r="AF41152" s="679"/>
    </row>
    <row r="41153" spans="32:32" x14ac:dyDescent="0.2">
      <c r="AF41153" s="679"/>
    </row>
    <row r="41154" spans="32:32" x14ac:dyDescent="0.2">
      <c r="AF41154" s="679"/>
    </row>
    <row r="41155" spans="32:32" x14ac:dyDescent="0.2">
      <c r="AF41155" s="679"/>
    </row>
    <row r="41156" spans="32:32" x14ac:dyDescent="0.2">
      <c r="AF41156" s="679"/>
    </row>
    <row r="41157" spans="32:32" x14ac:dyDescent="0.2">
      <c r="AF41157" s="679"/>
    </row>
    <row r="41158" spans="32:32" x14ac:dyDescent="0.2">
      <c r="AF41158" s="679"/>
    </row>
    <row r="41159" spans="32:32" x14ac:dyDescent="0.2">
      <c r="AF41159" s="679"/>
    </row>
    <row r="41160" spans="32:32" x14ac:dyDescent="0.2">
      <c r="AF41160" s="679"/>
    </row>
    <row r="41161" spans="32:32" x14ac:dyDescent="0.2">
      <c r="AF41161" s="679"/>
    </row>
    <row r="41162" spans="32:32" x14ac:dyDescent="0.2">
      <c r="AF41162" s="679"/>
    </row>
    <row r="41163" spans="32:32" x14ac:dyDescent="0.2">
      <c r="AF41163" s="679"/>
    </row>
    <row r="41164" spans="32:32" x14ac:dyDescent="0.2">
      <c r="AF41164" s="679"/>
    </row>
    <row r="41165" spans="32:32" x14ac:dyDescent="0.2">
      <c r="AF41165" s="679"/>
    </row>
    <row r="41166" spans="32:32" x14ac:dyDescent="0.2">
      <c r="AF41166" s="679"/>
    </row>
    <row r="41167" spans="32:32" x14ac:dyDescent="0.2">
      <c r="AF41167" s="679"/>
    </row>
    <row r="41168" spans="32:32" x14ac:dyDescent="0.2">
      <c r="AF41168" s="679"/>
    </row>
    <row r="41169" spans="32:32" x14ac:dyDescent="0.2">
      <c r="AF41169" s="679"/>
    </row>
    <row r="41170" spans="32:32" x14ac:dyDescent="0.2">
      <c r="AF41170" s="679"/>
    </row>
    <row r="41171" spans="32:32" x14ac:dyDescent="0.2">
      <c r="AF41171" s="679"/>
    </row>
    <row r="41172" spans="32:32" x14ac:dyDescent="0.2">
      <c r="AF41172" s="679"/>
    </row>
    <row r="41173" spans="32:32" x14ac:dyDescent="0.2">
      <c r="AF41173" s="679"/>
    </row>
    <row r="41174" spans="32:32" x14ac:dyDescent="0.2">
      <c r="AF41174" s="679"/>
    </row>
    <row r="41175" spans="32:32" x14ac:dyDescent="0.2">
      <c r="AF41175" s="679"/>
    </row>
    <row r="41176" spans="32:32" x14ac:dyDescent="0.2">
      <c r="AF41176" s="679"/>
    </row>
    <row r="41177" spans="32:32" x14ac:dyDescent="0.2">
      <c r="AF41177" s="679"/>
    </row>
    <row r="41178" spans="32:32" x14ac:dyDescent="0.2">
      <c r="AF41178" s="679"/>
    </row>
    <row r="41179" spans="32:32" x14ac:dyDescent="0.2">
      <c r="AF41179" s="679"/>
    </row>
    <row r="41180" spans="32:32" x14ac:dyDescent="0.2">
      <c r="AF41180" s="679"/>
    </row>
    <row r="41181" spans="32:32" x14ac:dyDescent="0.2">
      <c r="AF41181" s="679"/>
    </row>
    <row r="41182" spans="32:32" x14ac:dyDescent="0.2">
      <c r="AF41182" s="679"/>
    </row>
    <row r="41183" spans="32:32" x14ac:dyDescent="0.2">
      <c r="AF41183" s="679"/>
    </row>
    <row r="41184" spans="32:32" x14ac:dyDescent="0.2">
      <c r="AF41184" s="679"/>
    </row>
    <row r="41185" spans="32:32" x14ac:dyDescent="0.2">
      <c r="AF41185" s="679"/>
    </row>
    <row r="41186" spans="32:32" x14ac:dyDescent="0.2">
      <c r="AF41186" s="679"/>
    </row>
    <row r="41187" spans="32:32" x14ac:dyDescent="0.2">
      <c r="AF41187" s="679"/>
    </row>
    <row r="41188" spans="32:32" x14ac:dyDescent="0.2">
      <c r="AF41188" s="679"/>
    </row>
    <row r="41189" spans="32:32" x14ac:dyDescent="0.2">
      <c r="AF41189" s="679"/>
    </row>
    <row r="41190" spans="32:32" x14ac:dyDescent="0.2">
      <c r="AF41190" s="679"/>
    </row>
    <row r="41191" spans="32:32" x14ac:dyDescent="0.2">
      <c r="AF41191" s="679"/>
    </row>
    <row r="41192" spans="32:32" x14ac:dyDescent="0.2">
      <c r="AF41192" s="679"/>
    </row>
    <row r="41193" spans="32:32" x14ac:dyDescent="0.2">
      <c r="AF41193" s="679"/>
    </row>
    <row r="41194" spans="32:32" x14ac:dyDescent="0.2">
      <c r="AF41194" s="679"/>
    </row>
    <row r="41195" spans="32:32" x14ac:dyDescent="0.2">
      <c r="AF41195" s="679"/>
    </row>
    <row r="41196" spans="32:32" x14ac:dyDescent="0.2">
      <c r="AF41196" s="679"/>
    </row>
    <row r="41197" spans="32:32" x14ac:dyDescent="0.2">
      <c r="AF41197" s="679"/>
    </row>
    <row r="41198" spans="32:32" x14ac:dyDescent="0.2">
      <c r="AF41198" s="679"/>
    </row>
    <row r="41199" spans="32:32" x14ac:dyDescent="0.2">
      <c r="AF41199" s="679"/>
    </row>
    <row r="41200" spans="32:32" x14ac:dyDescent="0.2">
      <c r="AF41200" s="679"/>
    </row>
    <row r="41201" spans="32:32" x14ac:dyDescent="0.2">
      <c r="AF41201" s="679"/>
    </row>
    <row r="41202" spans="32:32" x14ac:dyDescent="0.2">
      <c r="AF41202" s="679"/>
    </row>
    <row r="41203" spans="32:32" x14ac:dyDescent="0.2">
      <c r="AF41203" s="679"/>
    </row>
    <row r="41204" spans="32:32" x14ac:dyDescent="0.2">
      <c r="AF41204" s="679"/>
    </row>
    <row r="41205" spans="32:32" x14ac:dyDescent="0.2">
      <c r="AF41205" s="679"/>
    </row>
    <row r="41206" spans="32:32" x14ac:dyDescent="0.2">
      <c r="AF41206" s="679"/>
    </row>
    <row r="41207" spans="32:32" x14ac:dyDescent="0.2">
      <c r="AF41207" s="679"/>
    </row>
    <row r="41208" spans="32:32" x14ac:dyDescent="0.2">
      <c r="AF41208" s="679"/>
    </row>
    <row r="41209" spans="32:32" x14ac:dyDescent="0.2">
      <c r="AF41209" s="679"/>
    </row>
    <row r="41210" spans="32:32" x14ac:dyDescent="0.2">
      <c r="AF41210" s="679"/>
    </row>
    <row r="41211" spans="32:32" x14ac:dyDescent="0.2">
      <c r="AF41211" s="679"/>
    </row>
    <row r="41212" spans="32:32" x14ac:dyDescent="0.2">
      <c r="AF41212" s="679"/>
    </row>
    <row r="41213" spans="32:32" x14ac:dyDescent="0.2">
      <c r="AF41213" s="679"/>
    </row>
    <row r="41214" spans="32:32" x14ac:dyDescent="0.2">
      <c r="AF41214" s="679"/>
    </row>
    <row r="41215" spans="32:32" x14ac:dyDescent="0.2">
      <c r="AF41215" s="679"/>
    </row>
    <row r="41216" spans="32:32" x14ac:dyDescent="0.2">
      <c r="AF41216" s="679"/>
    </row>
    <row r="41217" spans="32:32" x14ac:dyDescent="0.2">
      <c r="AF41217" s="679"/>
    </row>
    <row r="41218" spans="32:32" x14ac:dyDescent="0.2">
      <c r="AF41218" s="679"/>
    </row>
    <row r="41219" spans="32:32" x14ac:dyDescent="0.2">
      <c r="AF41219" s="679"/>
    </row>
    <row r="41220" spans="32:32" x14ac:dyDescent="0.2">
      <c r="AF41220" s="679"/>
    </row>
    <row r="41221" spans="32:32" x14ac:dyDescent="0.2">
      <c r="AF41221" s="679"/>
    </row>
    <row r="41222" spans="32:32" x14ac:dyDescent="0.2">
      <c r="AF41222" s="679"/>
    </row>
    <row r="41223" spans="32:32" x14ac:dyDescent="0.2">
      <c r="AF41223" s="679"/>
    </row>
    <row r="41224" spans="32:32" x14ac:dyDescent="0.2">
      <c r="AF41224" s="679"/>
    </row>
    <row r="41225" spans="32:32" x14ac:dyDescent="0.2">
      <c r="AF41225" s="679"/>
    </row>
    <row r="41226" spans="32:32" x14ac:dyDescent="0.2">
      <c r="AF41226" s="679"/>
    </row>
    <row r="41227" spans="32:32" x14ac:dyDescent="0.2">
      <c r="AF41227" s="679"/>
    </row>
    <row r="41228" spans="32:32" x14ac:dyDescent="0.2">
      <c r="AF41228" s="679"/>
    </row>
    <row r="41229" spans="32:32" x14ac:dyDescent="0.2">
      <c r="AF41229" s="679"/>
    </row>
    <row r="41230" spans="32:32" x14ac:dyDescent="0.2">
      <c r="AF41230" s="679"/>
    </row>
    <row r="41231" spans="32:32" x14ac:dyDescent="0.2">
      <c r="AF41231" s="679"/>
    </row>
    <row r="41232" spans="32:32" x14ac:dyDescent="0.2">
      <c r="AF41232" s="679"/>
    </row>
    <row r="41233" spans="32:32" x14ac:dyDescent="0.2">
      <c r="AF41233" s="679"/>
    </row>
    <row r="41234" spans="32:32" x14ac:dyDescent="0.2">
      <c r="AF41234" s="679"/>
    </row>
    <row r="41235" spans="32:32" x14ac:dyDescent="0.2">
      <c r="AF41235" s="679"/>
    </row>
    <row r="41236" spans="32:32" x14ac:dyDescent="0.2">
      <c r="AF41236" s="679"/>
    </row>
    <row r="41237" spans="32:32" x14ac:dyDescent="0.2">
      <c r="AF41237" s="679"/>
    </row>
    <row r="41238" spans="32:32" x14ac:dyDescent="0.2">
      <c r="AF41238" s="679"/>
    </row>
    <row r="41239" spans="32:32" x14ac:dyDescent="0.2">
      <c r="AF41239" s="679"/>
    </row>
    <row r="41240" spans="32:32" x14ac:dyDescent="0.2">
      <c r="AF41240" s="679"/>
    </row>
    <row r="41241" spans="32:32" x14ac:dyDescent="0.2">
      <c r="AF41241" s="679"/>
    </row>
    <row r="41242" spans="32:32" x14ac:dyDescent="0.2">
      <c r="AF41242" s="679"/>
    </row>
    <row r="41243" spans="32:32" x14ac:dyDescent="0.2">
      <c r="AF41243" s="679"/>
    </row>
    <row r="41244" spans="32:32" x14ac:dyDescent="0.2">
      <c r="AF41244" s="679"/>
    </row>
    <row r="41245" spans="32:32" x14ac:dyDescent="0.2">
      <c r="AF41245" s="679"/>
    </row>
    <row r="41246" spans="32:32" x14ac:dyDescent="0.2">
      <c r="AF41246" s="679"/>
    </row>
    <row r="41247" spans="32:32" x14ac:dyDescent="0.2">
      <c r="AF41247" s="679"/>
    </row>
    <row r="41248" spans="32:32" x14ac:dyDescent="0.2">
      <c r="AF41248" s="679"/>
    </row>
    <row r="41249" spans="32:32" x14ac:dyDescent="0.2">
      <c r="AF41249" s="679"/>
    </row>
    <row r="41250" spans="32:32" x14ac:dyDescent="0.2">
      <c r="AF41250" s="679"/>
    </row>
    <row r="41251" spans="32:32" x14ac:dyDescent="0.2">
      <c r="AF41251" s="679"/>
    </row>
    <row r="41252" spans="32:32" x14ac:dyDescent="0.2">
      <c r="AF41252" s="679"/>
    </row>
    <row r="41253" spans="32:32" x14ac:dyDescent="0.2">
      <c r="AF41253" s="679"/>
    </row>
    <row r="41254" spans="32:32" x14ac:dyDescent="0.2">
      <c r="AF41254" s="679"/>
    </row>
    <row r="41255" spans="32:32" x14ac:dyDescent="0.2">
      <c r="AF41255" s="679"/>
    </row>
    <row r="41256" spans="32:32" x14ac:dyDescent="0.2">
      <c r="AF41256" s="679"/>
    </row>
    <row r="41257" spans="32:32" x14ac:dyDescent="0.2">
      <c r="AF41257" s="679"/>
    </row>
    <row r="41258" spans="32:32" x14ac:dyDescent="0.2">
      <c r="AF41258" s="679"/>
    </row>
    <row r="41259" spans="32:32" x14ac:dyDescent="0.2">
      <c r="AF41259" s="679"/>
    </row>
    <row r="41260" spans="32:32" x14ac:dyDescent="0.2">
      <c r="AF41260" s="679"/>
    </row>
    <row r="41261" spans="32:32" x14ac:dyDescent="0.2">
      <c r="AF41261" s="679"/>
    </row>
    <row r="41262" spans="32:32" x14ac:dyDescent="0.2">
      <c r="AF41262" s="679"/>
    </row>
    <row r="41263" spans="32:32" x14ac:dyDescent="0.2">
      <c r="AF41263" s="679"/>
    </row>
    <row r="41264" spans="32:32" x14ac:dyDescent="0.2">
      <c r="AF41264" s="679"/>
    </row>
    <row r="41265" spans="32:32" x14ac:dyDescent="0.2">
      <c r="AF41265" s="679"/>
    </row>
    <row r="41266" spans="32:32" x14ac:dyDescent="0.2">
      <c r="AF41266" s="679"/>
    </row>
    <row r="41267" spans="32:32" x14ac:dyDescent="0.2">
      <c r="AF41267" s="679"/>
    </row>
    <row r="41268" spans="32:32" x14ac:dyDescent="0.2">
      <c r="AF41268" s="679"/>
    </row>
    <row r="41269" spans="32:32" x14ac:dyDescent="0.2">
      <c r="AF41269" s="679"/>
    </row>
    <row r="41270" spans="32:32" x14ac:dyDescent="0.2">
      <c r="AF41270" s="679"/>
    </row>
    <row r="41271" spans="32:32" x14ac:dyDescent="0.2">
      <c r="AF41271" s="679"/>
    </row>
    <row r="41272" spans="32:32" x14ac:dyDescent="0.2">
      <c r="AF41272" s="679"/>
    </row>
    <row r="41273" spans="32:32" x14ac:dyDescent="0.2">
      <c r="AF41273" s="679"/>
    </row>
    <row r="41274" spans="32:32" x14ac:dyDescent="0.2">
      <c r="AF41274" s="679"/>
    </row>
    <row r="41275" spans="32:32" x14ac:dyDescent="0.2">
      <c r="AF41275" s="679"/>
    </row>
    <row r="41276" spans="32:32" x14ac:dyDescent="0.2">
      <c r="AF41276" s="679"/>
    </row>
    <row r="41277" spans="32:32" x14ac:dyDescent="0.2">
      <c r="AF41277" s="679"/>
    </row>
    <row r="41278" spans="32:32" x14ac:dyDescent="0.2">
      <c r="AF41278" s="679"/>
    </row>
    <row r="41279" spans="32:32" x14ac:dyDescent="0.2">
      <c r="AF41279" s="679"/>
    </row>
    <row r="41280" spans="32:32" x14ac:dyDescent="0.2">
      <c r="AF41280" s="679"/>
    </row>
    <row r="41281" spans="32:32" x14ac:dyDescent="0.2">
      <c r="AF41281" s="679"/>
    </row>
    <row r="41282" spans="32:32" x14ac:dyDescent="0.2">
      <c r="AF41282" s="679"/>
    </row>
    <row r="41283" spans="32:32" x14ac:dyDescent="0.2">
      <c r="AF41283" s="679"/>
    </row>
    <row r="41284" spans="32:32" x14ac:dyDescent="0.2">
      <c r="AF41284" s="679"/>
    </row>
    <row r="41285" spans="32:32" x14ac:dyDescent="0.2">
      <c r="AF41285" s="679"/>
    </row>
    <row r="41286" spans="32:32" x14ac:dyDescent="0.2">
      <c r="AF41286" s="679"/>
    </row>
    <row r="41287" spans="32:32" x14ac:dyDescent="0.2">
      <c r="AF41287" s="679"/>
    </row>
    <row r="41288" spans="32:32" x14ac:dyDescent="0.2">
      <c r="AF41288" s="679"/>
    </row>
    <row r="41289" spans="32:32" x14ac:dyDescent="0.2">
      <c r="AF41289" s="679"/>
    </row>
    <row r="41290" spans="32:32" x14ac:dyDescent="0.2">
      <c r="AF41290" s="679"/>
    </row>
    <row r="41291" spans="32:32" x14ac:dyDescent="0.2">
      <c r="AF41291" s="679"/>
    </row>
    <row r="41292" spans="32:32" x14ac:dyDescent="0.2">
      <c r="AF41292" s="679"/>
    </row>
    <row r="41293" spans="32:32" x14ac:dyDescent="0.2">
      <c r="AF41293" s="679"/>
    </row>
    <row r="41294" spans="32:32" x14ac:dyDescent="0.2">
      <c r="AF41294" s="679"/>
    </row>
    <row r="41295" spans="32:32" x14ac:dyDescent="0.2">
      <c r="AF41295" s="679"/>
    </row>
    <row r="41296" spans="32:32" x14ac:dyDescent="0.2">
      <c r="AF41296" s="679"/>
    </row>
    <row r="41297" spans="32:32" x14ac:dyDescent="0.2">
      <c r="AF41297" s="679"/>
    </row>
    <row r="41298" spans="32:32" x14ac:dyDescent="0.2">
      <c r="AF41298" s="679"/>
    </row>
    <row r="41299" spans="32:32" x14ac:dyDescent="0.2">
      <c r="AF41299" s="679"/>
    </row>
    <row r="41300" spans="32:32" x14ac:dyDescent="0.2">
      <c r="AF41300" s="679"/>
    </row>
    <row r="41301" spans="32:32" x14ac:dyDescent="0.2">
      <c r="AF41301" s="679"/>
    </row>
    <row r="41302" spans="32:32" x14ac:dyDescent="0.2">
      <c r="AF41302" s="679"/>
    </row>
    <row r="41303" spans="32:32" x14ac:dyDescent="0.2">
      <c r="AF41303" s="679"/>
    </row>
    <row r="41304" spans="32:32" x14ac:dyDescent="0.2">
      <c r="AF41304" s="679"/>
    </row>
    <row r="41305" spans="32:32" x14ac:dyDescent="0.2">
      <c r="AF41305" s="679"/>
    </row>
    <row r="41306" spans="32:32" x14ac:dyDescent="0.2">
      <c r="AF41306" s="679"/>
    </row>
    <row r="41307" spans="32:32" x14ac:dyDescent="0.2">
      <c r="AF41307" s="679"/>
    </row>
    <row r="41308" spans="32:32" x14ac:dyDescent="0.2">
      <c r="AF41308" s="679"/>
    </row>
    <row r="41309" spans="32:32" x14ac:dyDescent="0.2">
      <c r="AF41309" s="679"/>
    </row>
    <row r="41310" spans="32:32" x14ac:dyDescent="0.2">
      <c r="AF41310" s="679"/>
    </row>
    <row r="41311" spans="32:32" x14ac:dyDescent="0.2">
      <c r="AF41311" s="679"/>
    </row>
    <row r="41312" spans="32:32" x14ac:dyDescent="0.2">
      <c r="AF41312" s="679"/>
    </row>
    <row r="41313" spans="32:32" x14ac:dyDescent="0.2">
      <c r="AF41313" s="679"/>
    </row>
    <row r="41314" spans="32:32" x14ac:dyDescent="0.2">
      <c r="AF41314" s="679"/>
    </row>
    <row r="41315" spans="32:32" x14ac:dyDescent="0.2">
      <c r="AF41315" s="679"/>
    </row>
    <row r="41316" spans="32:32" x14ac:dyDescent="0.2">
      <c r="AF41316" s="679"/>
    </row>
    <row r="41317" spans="32:32" x14ac:dyDescent="0.2">
      <c r="AF41317" s="679"/>
    </row>
    <row r="41318" spans="32:32" x14ac:dyDescent="0.2">
      <c r="AF41318" s="679"/>
    </row>
    <row r="41319" spans="32:32" x14ac:dyDescent="0.2">
      <c r="AF41319" s="679"/>
    </row>
    <row r="41320" spans="32:32" x14ac:dyDescent="0.2">
      <c r="AF41320" s="679"/>
    </row>
    <row r="41321" spans="32:32" x14ac:dyDescent="0.2">
      <c r="AF41321" s="679"/>
    </row>
    <row r="41322" spans="32:32" x14ac:dyDescent="0.2">
      <c r="AF41322" s="679"/>
    </row>
    <row r="41323" spans="32:32" x14ac:dyDescent="0.2">
      <c r="AF41323" s="679"/>
    </row>
    <row r="41324" spans="32:32" x14ac:dyDescent="0.2">
      <c r="AF41324" s="679"/>
    </row>
    <row r="41325" spans="32:32" x14ac:dyDescent="0.2">
      <c r="AF41325" s="679"/>
    </row>
    <row r="41326" spans="32:32" x14ac:dyDescent="0.2">
      <c r="AF41326" s="679"/>
    </row>
    <row r="41327" spans="32:32" x14ac:dyDescent="0.2">
      <c r="AF41327" s="679"/>
    </row>
    <row r="41328" spans="32:32" x14ac:dyDescent="0.2">
      <c r="AF41328" s="679"/>
    </row>
    <row r="41329" spans="32:32" x14ac:dyDescent="0.2">
      <c r="AF41329" s="679"/>
    </row>
    <row r="41330" spans="32:32" x14ac:dyDescent="0.2">
      <c r="AF41330" s="679"/>
    </row>
    <row r="41331" spans="32:32" x14ac:dyDescent="0.2">
      <c r="AF41331" s="679"/>
    </row>
    <row r="41332" spans="32:32" x14ac:dyDescent="0.2">
      <c r="AF41332" s="679"/>
    </row>
    <row r="41333" spans="32:32" x14ac:dyDescent="0.2">
      <c r="AF41333" s="679"/>
    </row>
    <row r="41334" spans="32:32" x14ac:dyDescent="0.2">
      <c r="AF41334" s="679"/>
    </row>
    <row r="41335" spans="32:32" x14ac:dyDescent="0.2">
      <c r="AF41335" s="679"/>
    </row>
    <row r="41336" spans="32:32" x14ac:dyDescent="0.2">
      <c r="AF41336" s="679"/>
    </row>
    <row r="41337" spans="32:32" x14ac:dyDescent="0.2">
      <c r="AF41337" s="679"/>
    </row>
    <row r="41338" spans="32:32" x14ac:dyDescent="0.2">
      <c r="AF41338" s="679"/>
    </row>
    <row r="41339" spans="32:32" x14ac:dyDescent="0.2">
      <c r="AF41339" s="679"/>
    </row>
    <row r="41340" spans="32:32" x14ac:dyDescent="0.2">
      <c r="AF41340" s="679"/>
    </row>
    <row r="41341" spans="32:32" x14ac:dyDescent="0.2">
      <c r="AF41341" s="679"/>
    </row>
    <row r="41342" spans="32:32" x14ac:dyDescent="0.2">
      <c r="AF41342" s="679"/>
    </row>
    <row r="41343" spans="32:32" x14ac:dyDescent="0.2">
      <c r="AF41343" s="679"/>
    </row>
    <row r="41344" spans="32:32" x14ac:dyDescent="0.2">
      <c r="AF41344" s="679"/>
    </row>
    <row r="41345" spans="32:32" x14ac:dyDescent="0.2">
      <c r="AF41345" s="679"/>
    </row>
    <row r="41346" spans="32:32" x14ac:dyDescent="0.2">
      <c r="AF41346" s="679"/>
    </row>
    <row r="41347" spans="32:32" x14ac:dyDescent="0.2">
      <c r="AF41347" s="679"/>
    </row>
    <row r="41348" spans="32:32" x14ac:dyDescent="0.2">
      <c r="AF41348" s="679"/>
    </row>
    <row r="41349" spans="32:32" x14ac:dyDescent="0.2">
      <c r="AF41349" s="679"/>
    </row>
    <row r="41350" spans="32:32" x14ac:dyDescent="0.2">
      <c r="AF41350" s="679"/>
    </row>
    <row r="41351" spans="32:32" x14ac:dyDescent="0.2">
      <c r="AF41351" s="679"/>
    </row>
    <row r="41352" spans="32:32" x14ac:dyDescent="0.2">
      <c r="AF41352" s="679"/>
    </row>
    <row r="41353" spans="32:32" x14ac:dyDescent="0.2">
      <c r="AF41353" s="679"/>
    </row>
    <row r="41354" spans="32:32" x14ac:dyDescent="0.2">
      <c r="AF41354" s="679"/>
    </row>
    <row r="41355" spans="32:32" x14ac:dyDescent="0.2">
      <c r="AF41355" s="679"/>
    </row>
    <row r="41356" spans="32:32" x14ac:dyDescent="0.2">
      <c r="AF41356" s="679"/>
    </row>
    <row r="41357" spans="32:32" x14ac:dyDescent="0.2">
      <c r="AF41357" s="679"/>
    </row>
    <row r="41358" spans="32:32" x14ac:dyDescent="0.2">
      <c r="AF41358" s="679"/>
    </row>
    <row r="41359" spans="32:32" x14ac:dyDescent="0.2">
      <c r="AF41359" s="679"/>
    </row>
    <row r="41360" spans="32:32" x14ac:dyDescent="0.2">
      <c r="AF41360" s="679"/>
    </row>
    <row r="41361" spans="32:32" x14ac:dyDescent="0.2">
      <c r="AF41361" s="679"/>
    </row>
    <row r="41362" spans="32:32" x14ac:dyDescent="0.2">
      <c r="AF41362" s="679"/>
    </row>
    <row r="41363" spans="32:32" x14ac:dyDescent="0.2">
      <c r="AF41363" s="679"/>
    </row>
    <row r="41364" spans="32:32" x14ac:dyDescent="0.2">
      <c r="AF41364" s="679"/>
    </row>
    <row r="41365" spans="32:32" x14ac:dyDescent="0.2">
      <c r="AF41365" s="679"/>
    </row>
    <row r="41366" spans="32:32" x14ac:dyDescent="0.2">
      <c r="AF41366" s="679"/>
    </row>
    <row r="41367" spans="32:32" x14ac:dyDescent="0.2">
      <c r="AF41367" s="679"/>
    </row>
    <row r="41368" spans="32:32" x14ac:dyDescent="0.2">
      <c r="AF41368" s="679"/>
    </row>
    <row r="41369" spans="32:32" x14ac:dyDescent="0.2">
      <c r="AF41369" s="679"/>
    </row>
    <row r="41370" spans="32:32" x14ac:dyDescent="0.2">
      <c r="AF41370" s="679"/>
    </row>
    <row r="41371" spans="32:32" x14ac:dyDescent="0.2">
      <c r="AF41371" s="679"/>
    </row>
    <row r="41372" spans="32:32" x14ac:dyDescent="0.2">
      <c r="AF41372" s="679"/>
    </row>
    <row r="41373" spans="32:32" x14ac:dyDescent="0.2">
      <c r="AF41373" s="679"/>
    </row>
    <row r="41374" spans="32:32" x14ac:dyDescent="0.2">
      <c r="AF41374" s="679"/>
    </row>
    <row r="41375" spans="32:32" x14ac:dyDescent="0.2">
      <c r="AF41375" s="679"/>
    </row>
    <row r="41376" spans="32:32" x14ac:dyDescent="0.2">
      <c r="AF41376" s="679"/>
    </row>
    <row r="41377" spans="32:32" x14ac:dyDescent="0.2">
      <c r="AF41377" s="679"/>
    </row>
    <row r="41378" spans="32:32" x14ac:dyDescent="0.2">
      <c r="AF41378" s="679"/>
    </row>
    <row r="41379" spans="32:32" x14ac:dyDescent="0.2">
      <c r="AF41379" s="679"/>
    </row>
    <row r="41380" spans="32:32" x14ac:dyDescent="0.2">
      <c r="AF41380" s="679"/>
    </row>
    <row r="41381" spans="32:32" x14ac:dyDescent="0.2">
      <c r="AF41381" s="679"/>
    </row>
    <row r="41382" spans="32:32" x14ac:dyDescent="0.2">
      <c r="AF41382" s="679"/>
    </row>
    <row r="41383" spans="32:32" x14ac:dyDescent="0.2">
      <c r="AF41383" s="679"/>
    </row>
    <row r="41384" spans="32:32" x14ac:dyDescent="0.2">
      <c r="AF41384" s="679"/>
    </row>
    <row r="41385" spans="32:32" x14ac:dyDescent="0.2">
      <c r="AF41385" s="679"/>
    </row>
    <row r="41386" spans="32:32" x14ac:dyDescent="0.2">
      <c r="AF41386" s="679"/>
    </row>
    <row r="41387" spans="32:32" x14ac:dyDescent="0.2">
      <c r="AF41387" s="679"/>
    </row>
    <row r="41388" spans="32:32" x14ac:dyDescent="0.2">
      <c r="AF41388" s="679"/>
    </row>
    <row r="41389" spans="32:32" x14ac:dyDescent="0.2">
      <c r="AF41389" s="679"/>
    </row>
    <row r="41390" spans="32:32" x14ac:dyDescent="0.2">
      <c r="AF41390" s="679"/>
    </row>
    <row r="41391" spans="32:32" x14ac:dyDescent="0.2">
      <c r="AF41391" s="679"/>
    </row>
    <row r="41392" spans="32:32" x14ac:dyDescent="0.2">
      <c r="AF41392" s="679"/>
    </row>
    <row r="41393" spans="32:32" x14ac:dyDescent="0.2">
      <c r="AF41393" s="679"/>
    </row>
    <row r="41394" spans="32:32" x14ac:dyDescent="0.2">
      <c r="AF41394" s="679"/>
    </row>
    <row r="41395" spans="32:32" x14ac:dyDescent="0.2">
      <c r="AF41395" s="679"/>
    </row>
    <row r="41396" spans="32:32" x14ac:dyDescent="0.2">
      <c r="AF41396" s="679"/>
    </row>
    <row r="41397" spans="32:32" x14ac:dyDescent="0.2">
      <c r="AF41397" s="679"/>
    </row>
    <row r="41398" spans="32:32" x14ac:dyDescent="0.2">
      <c r="AF41398" s="679"/>
    </row>
    <row r="41399" spans="32:32" x14ac:dyDescent="0.2">
      <c r="AF41399" s="679"/>
    </row>
    <row r="41400" spans="32:32" x14ac:dyDescent="0.2">
      <c r="AF41400" s="679"/>
    </row>
    <row r="41401" spans="32:32" x14ac:dyDescent="0.2">
      <c r="AF41401" s="679"/>
    </row>
    <row r="41402" spans="32:32" x14ac:dyDescent="0.2">
      <c r="AF41402" s="679"/>
    </row>
    <row r="41403" spans="32:32" x14ac:dyDescent="0.2">
      <c r="AF41403" s="679"/>
    </row>
    <row r="41404" spans="32:32" x14ac:dyDescent="0.2">
      <c r="AF41404" s="679"/>
    </row>
    <row r="41405" spans="32:32" x14ac:dyDescent="0.2">
      <c r="AF41405" s="679"/>
    </row>
    <row r="41406" spans="32:32" x14ac:dyDescent="0.2">
      <c r="AF41406" s="679"/>
    </row>
    <row r="41407" spans="32:32" x14ac:dyDescent="0.2">
      <c r="AF41407" s="679"/>
    </row>
    <row r="41408" spans="32:32" x14ac:dyDescent="0.2">
      <c r="AF41408" s="679"/>
    </row>
    <row r="41409" spans="32:32" x14ac:dyDescent="0.2">
      <c r="AF41409" s="679"/>
    </row>
    <row r="41410" spans="32:32" x14ac:dyDescent="0.2">
      <c r="AF41410" s="679"/>
    </row>
    <row r="41411" spans="32:32" x14ac:dyDescent="0.2">
      <c r="AF41411" s="679"/>
    </row>
    <row r="41412" spans="32:32" x14ac:dyDescent="0.2">
      <c r="AF41412" s="679"/>
    </row>
    <row r="41413" spans="32:32" x14ac:dyDescent="0.2">
      <c r="AF41413" s="679"/>
    </row>
    <row r="41414" spans="32:32" x14ac:dyDescent="0.2">
      <c r="AF41414" s="679"/>
    </row>
    <row r="41415" spans="32:32" x14ac:dyDescent="0.2">
      <c r="AF41415" s="679"/>
    </row>
    <row r="41416" spans="32:32" x14ac:dyDescent="0.2">
      <c r="AF41416" s="679"/>
    </row>
    <row r="41417" spans="32:32" x14ac:dyDescent="0.2">
      <c r="AF41417" s="679"/>
    </row>
    <row r="41418" spans="32:32" x14ac:dyDescent="0.2">
      <c r="AF41418" s="679"/>
    </row>
    <row r="41419" spans="32:32" x14ac:dyDescent="0.2">
      <c r="AF41419" s="679"/>
    </row>
    <row r="41420" spans="32:32" x14ac:dyDescent="0.2">
      <c r="AF41420" s="679"/>
    </row>
    <row r="41421" spans="32:32" x14ac:dyDescent="0.2">
      <c r="AF41421" s="679"/>
    </row>
    <row r="41422" spans="32:32" x14ac:dyDescent="0.2">
      <c r="AF41422" s="679"/>
    </row>
    <row r="41423" spans="32:32" x14ac:dyDescent="0.2">
      <c r="AF41423" s="679"/>
    </row>
    <row r="41424" spans="32:32" x14ac:dyDescent="0.2">
      <c r="AF41424" s="679"/>
    </row>
    <row r="41425" spans="32:32" x14ac:dyDescent="0.2">
      <c r="AF41425" s="679"/>
    </row>
    <row r="41426" spans="32:32" x14ac:dyDescent="0.2">
      <c r="AF41426" s="679"/>
    </row>
    <row r="41427" spans="32:32" x14ac:dyDescent="0.2">
      <c r="AF41427" s="679"/>
    </row>
    <row r="41428" spans="32:32" x14ac:dyDescent="0.2">
      <c r="AF41428" s="679"/>
    </row>
    <row r="41429" spans="32:32" x14ac:dyDescent="0.2">
      <c r="AF41429" s="679"/>
    </row>
    <row r="41430" spans="32:32" x14ac:dyDescent="0.2">
      <c r="AF41430" s="679"/>
    </row>
    <row r="41431" spans="32:32" x14ac:dyDescent="0.2">
      <c r="AF41431" s="679"/>
    </row>
    <row r="41432" spans="32:32" x14ac:dyDescent="0.2">
      <c r="AF41432" s="679"/>
    </row>
    <row r="41433" spans="32:32" x14ac:dyDescent="0.2">
      <c r="AF41433" s="679"/>
    </row>
    <row r="41434" spans="32:32" x14ac:dyDescent="0.2">
      <c r="AF41434" s="679"/>
    </row>
    <row r="41435" spans="32:32" x14ac:dyDescent="0.2">
      <c r="AF41435" s="679"/>
    </row>
    <row r="41436" spans="32:32" x14ac:dyDescent="0.2">
      <c r="AF41436" s="679"/>
    </row>
    <row r="41437" spans="32:32" x14ac:dyDescent="0.2">
      <c r="AF41437" s="679"/>
    </row>
    <row r="41438" spans="32:32" x14ac:dyDescent="0.2">
      <c r="AF41438" s="679"/>
    </row>
    <row r="41439" spans="32:32" x14ac:dyDescent="0.2">
      <c r="AF41439" s="679"/>
    </row>
    <row r="41440" spans="32:32" x14ac:dyDescent="0.2">
      <c r="AF41440" s="679"/>
    </row>
    <row r="41441" spans="32:32" x14ac:dyDescent="0.2">
      <c r="AF41441" s="679"/>
    </row>
    <row r="41442" spans="32:32" x14ac:dyDescent="0.2">
      <c r="AF41442" s="679"/>
    </row>
    <row r="41443" spans="32:32" x14ac:dyDescent="0.2">
      <c r="AF41443" s="679"/>
    </row>
    <row r="41444" spans="32:32" x14ac:dyDescent="0.2">
      <c r="AF41444" s="679"/>
    </row>
    <row r="41445" spans="32:32" x14ac:dyDescent="0.2">
      <c r="AF41445" s="679"/>
    </row>
    <row r="41446" spans="32:32" x14ac:dyDescent="0.2">
      <c r="AF41446" s="679"/>
    </row>
    <row r="41447" spans="32:32" x14ac:dyDescent="0.2">
      <c r="AF41447" s="679"/>
    </row>
    <row r="41448" spans="32:32" x14ac:dyDescent="0.2">
      <c r="AF41448" s="679"/>
    </row>
    <row r="41449" spans="32:32" x14ac:dyDescent="0.2">
      <c r="AF41449" s="679"/>
    </row>
    <row r="41450" spans="32:32" x14ac:dyDescent="0.2">
      <c r="AF41450" s="679"/>
    </row>
    <row r="41451" spans="32:32" x14ac:dyDescent="0.2">
      <c r="AF41451" s="679"/>
    </row>
    <row r="41452" spans="32:32" x14ac:dyDescent="0.2">
      <c r="AF41452" s="679"/>
    </row>
    <row r="41453" spans="32:32" x14ac:dyDescent="0.2">
      <c r="AF41453" s="679"/>
    </row>
    <row r="41454" spans="32:32" x14ac:dyDescent="0.2">
      <c r="AF41454" s="679"/>
    </row>
    <row r="41455" spans="32:32" x14ac:dyDescent="0.2">
      <c r="AF41455" s="679"/>
    </row>
    <row r="41456" spans="32:32" x14ac:dyDescent="0.2">
      <c r="AF41456" s="679"/>
    </row>
    <row r="41457" spans="32:32" x14ac:dyDescent="0.2">
      <c r="AF41457" s="679"/>
    </row>
    <row r="41458" spans="32:32" x14ac:dyDescent="0.2">
      <c r="AF41458" s="679"/>
    </row>
    <row r="41459" spans="32:32" x14ac:dyDescent="0.2">
      <c r="AF41459" s="679"/>
    </row>
    <row r="41460" spans="32:32" x14ac:dyDescent="0.2">
      <c r="AF41460" s="679"/>
    </row>
    <row r="41461" spans="32:32" x14ac:dyDescent="0.2">
      <c r="AF41461" s="679"/>
    </row>
    <row r="41462" spans="32:32" x14ac:dyDescent="0.2">
      <c r="AF41462" s="679"/>
    </row>
    <row r="41463" spans="32:32" x14ac:dyDescent="0.2">
      <c r="AF41463" s="679"/>
    </row>
    <row r="41464" spans="32:32" x14ac:dyDescent="0.2">
      <c r="AF41464" s="679"/>
    </row>
    <row r="41465" spans="32:32" x14ac:dyDescent="0.2">
      <c r="AF41465" s="679"/>
    </row>
    <row r="41466" spans="32:32" x14ac:dyDescent="0.2">
      <c r="AF41466" s="679"/>
    </row>
    <row r="41467" spans="32:32" x14ac:dyDescent="0.2">
      <c r="AF41467" s="679"/>
    </row>
    <row r="41468" spans="32:32" x14ac:dyDescent="0.2">
      <c r="AF41468" s="679"/>
    </row>
    <row r="41469" spans="32:32" x14ac:dyDescent="0.2">
      <c r="AF41469" s="679"/>
    </row>
    <row r="41470" spans="32:32" x14ac:dyDescent="0.2">
      <c r="AF41470" s="679"/>
    </row>
    <row r="41471" spans="32:32" x14ac:dyDescent="0.2">
      <c r="AF41471" s="679"/>
    </row>
    <row r="41472" spans="32:32" x14ac:dyDescent="0.2">
      <c r="AF41472" s="679"/>
    </row>
    <row r="41473" spans="32:32" x14ac:dyDescent="0.2">
      <c r="AF41473" s="679"/>
    </row>
    <row r="41474" spans="32:32" x14ac:dyDescent="0.2">
      <c r="AF41474" s="679"/>
    </row>
    <row r="41475" spans="32:32" x14ac:dyDescent="0.2">
      <c r="AF41475" s="679"/>
    </row>
    <row r="41476" spans="32:32" x14ac:dyDescent="0.2">
      <c r="AF41476" s="679"/>
    </row>
    <row r="41477" spans="32:32" x14ac:dyDescent="0.2">
      <c r="AF41477" s="679"/>
    </row>
    <row r="41478" spans="32:32" x14ac:dyDescent="0.2">
      <c r="AF41478" s="679"/>
    </row>
    <row r="41479" spans="32:32" x14ac:dyDescent="0.2">
      <c r="AF41479" s="679"/>
    </row>
    <row r="41480" spans="32:32" x14ac:dyDescent="0.2">
      <c r="AF41480" s="679"/>
    </row>
    <row r="41481" spans="32:32" x14ac:dyDescent="0.2">
      <c r="AF41481" s="679"/>
    </row>
    <row r="41482" spans="32:32" x14ac:dyDescent="0.2">
      <c r="AF41482" s="679"/>
    </row>
    <row r="41483" spans="32:32" x14ac:dyDescent="0.2">
      <c r="AF41483" s="679"/>
    </row>
    <row r="41484" spans="32:32" x14ac:dyDescent="0.2">
      <c r="AF41484" s="679"/>
    </row>
    <row r="41485" spans="32:32" x14ac:dyDescent="0.2">
      <c r="AF41485" s="679"/>
    </row>
    <row r="41486" spans="32:32" x14ac:dyDescent="0.2">
      <c r="AF41486" s="679"/>
    </row>
    <row r="41487" spans="32:32" x14ac:dyDescent="0.2">
      <c r="AF41487" s="679"/>
    </row>
    <row r="41488" spans="32:32" x14ac:dyDescent="0.2">
      <c r="AF41488" s="679"/>
    </row>
    <row r="41489" spans="32:32" x14ac:dyDescent="0.2">
      <c r="AF41489" s="679"/>
    </row>
    <row r="41490" spans="32:32" x14ac:dyDescent="0.2">
      <c r="AF41490" s="679"/>
    </row>
    <row r="41491" spans="32:32" x14ac:dyDescent="0.2">
      <c r="AF41491" s="679"/>
    </row>
    <row r="41492" spans="32:32" x14ac:dyDescent="0.2">
      <c r="AF41492" s="679"/>
    </row>
    <row r="41493" spans="32:32" x14ac:dyDescent="0.2">
      <c r="AF41493" s="679"/>
    </row>
    <row r="41494" spans="32:32" x14ac:dyDescent="0.2">
      <c r="AF41494" s="679"/>
    </row>
    <row r="41495" spans="32:32" x14ac:dyDescent="0.2">
      <c r="AF41495" s="679"/>
    </row>
    <row r="41496" spans="32:32" x14ac:dyDescent="0.2">
      <c r="AF41496" s="679"/>
    </row>
    <row r="41497" spans="32:32" x14ac:dyDescent="0.2">
      <c r="AF41497" s="679"/>
    </row>
    <row r="41498" spans="32:32" x14ac:dyDescent="0.2">
      <c r="AF41498" s="679"/>
    </row>
    <row r="41499" spans="32:32" x14ac:dyDescent="0.2">
      <c r="AF41499" s="679"/>
    </row>
    <row r="41500" spans="32:32" x14ac:dyDescent="0.2">
      <c r="AF41500" s="679"/>
    </row>
    <row r="41501" spans="32:32" x14ac:dyDescent="0.2">
      <c r="AF41501" s="679"/>
    </row>
    <row r="41502" spans="32:32" x14ac:dyDescent="0.2">
      <c r="AF41502" s="679"/>
    </row>
    <row r="41503" spans="32:32" x14ac:dyDescent="0.2">
      <c r="AF41503" s="679"/>
    </row>
    <row r="41504" spans="32:32" x14ac:dyDescent="0.2">
      <c r="AF41504" s="679"/>
    </row>
    <row r="41505" spans="32:32" x14ac:dyDescent="0.2">
      <c r="AF41505" s="679"/>
    </row>
    <row r="41506" spans="32:32" x14ac:dyDescent="0.2">
      <c r="AF41506" s="679"/>
    </row>
    <row r="41507" spans="32:32" x14ac:dyDescent="0.2">
      <c r="AF41507" s="679"/>
    </row>
    <row r="41508" spans="32:32" x14ac:dyDescent="0.2">
      <c r="AF41508" s="679"/>
    </row>
    <row r="41509" spans="32:32" x14ac:dyDescent="0.2">
      <c r="AF41509" s="679"/>
    </row>
    <row r="41510" spans="32:32" x14ac:dyDescent="0.2">
      <c r="AF41510" s="679"/>
    </row>
    <row r="41511" spans="32:32" x14ac:dyDescent="0.2">
      <c r="AF41511" s="679"/>
    </row>
    <row r="41512" spans="32:32" x14ac:dyDescent="0.2">
      <c r="AF41512" s="679"/>
    </row>
    <row r="41513" spans="32:32" x14ac:dyDescent="0.2">
      <c r="AF41513" s="679"/>
    </row>
    <row r="41514" spans="32:32" x14ac:dyDescent="0.2">
      <c r="AF41514" s="679"/>
    </row>
    <row r="41515" spans="32:32" x14ac:dyDescent="0.2">
      <c r="AF41515" s="679"/>
    </row>
    <row r="41516" spans="32:32" x14ac:dyDescent="0.2">
      <c r="AF41516" s="679"/>
    </row>
    <row r="41517" spans="32:32" x14ac:dyDescent="0.2">
      <c r="AF41517" s="679"/>
    </row>
    <row r="41518" spans="32:32" x14ac:dyDescent="0.2">
      <c r="AF41518" s="679"/>
    </row>
    <row r="41519" spans="32:32" x14ac:dyDescent="0.2">
      <c r="AF41519" s="679"/>
    </row>
    <row r="41520" spans="32:32" x14ac:dyDescent="0.2">
      <c r="AF41520" s="679"/>
    </row>
    <row r="41521" spans="32:32" x14ac:dyDescent="0.2">
      <c r="AF41521" s="679"/>
    </row>
    <row r="41522" spans="32:32" x14ac:dyDescent="0.2">
      <c r="AF41522" s="679"/>
    </row>
    <row r="41523" spans="32:32" x14ac:dyDescent="0.2">
      <c r="AF41523" s="679"/>
    </row>
    <row r="41524" spans="32:32" x14ac:dyDescent="0.2">
      <c r="AF41524" s="679"/>
    </row>
    <row r="41525" spans="32:32" x14ac:dyDescent="0.2">
      <c r="AF41525" s="679"/>
    </row>
    <row r="41526" spans="32:32" x14ac:dyDescent="0.2">
      <c r="AF41526" s="679"/>
    </row>
    <row r="41527" spans="32:32" x14ac:dyDescent="0.2">
      <c r="AF41527" s="679"/>
    </row>
    <row r="41528" spans="32:32" x14ac:dyDescent="0.2">
      <c r="AF41528" s="679"/>
    </row>
    <row r="41529" spans="32:32" x14ac:dyDescent="0.2">
      <c r="AF41529" s="679"/>
    </row>
    <row r="41530" spans="32:32" x14ac:dyDescent="0.2">
      <c r="AF41530" s="679"/>
    </row>
    <row r="41531" spans="32:32" x14ac:dyDescent="0.2">
      <c r="AF41531" s="679"/>
    </row>
    <row r="41532" spans="32:32" x14ac:dyDescent="0.2">
      <c r="AF41532" s="679"/>
    </row>
    <row r="41533" spans="32:32" x14ac:dyDescent="0.2">
      <c r="AF41533" s="679"/>
    </row>
    <row r="41534" spans="32:32" x14ac:dyDescent="0.2">
      <c r="AF41534" s="679"/>
    </row>
    <row r="41535" spans="32:32" x14ac:dyDescent="0.2">
      <c r="AF41535" s="679"/>
    </row>
    <row r="41536" spans="32:32" x14ac:dyDescent="0.2">
      <c r="AF41536" s="679"/>
    </row>
    <row r="41537" spans="32:32" x14ac:dyDescent="0.2">
      <c r="AF41537" s="679"/>
    </row>
    <row r="41538" spans="32:32" x14ac:dyDescent="0.2">
      <c r="AF41538" s="679"/>
    </row>
    <row r="41539" spans="32:32" x14ac:dyDescent="0.2">
      <c r="AF41539" s="679"/>
    </row>
    <row r="41540" spans="32:32" x14ac:dyDescent="0.2">
      <c r="AF41540" s="679"/>
    </row>
    <row r="41541" spans="32:32" x14ac:dyDescent="0.2">
      <c r="AF41541" s="679"/>
    </row>
    <row r="41542" spans="32:32" x14ac:dyDescent="0.2">
      <c r="AF41542" s="679"/>
    </row>
    <row r="41543" spans="32:32" x14ac:dyDescent="0.2">
      <c r="AF41543" s="679"/>
    </row>
    <row r="41544" spans="32:32" x14ac:dyDescent="0.2">
      <c r="AF41544" s="679"/>
    </row>
    <row r="41545" spans="32:32" x14ac:dyDescent="0.2">
      <c r="AF41545" s="679"/>
    </row>
    <row r="41546" spans="32:32" x14ac:dyDescent="0.2">
      <c r="AF41546" s="679"/>
    </row>
    <row r="41547" spans="32:32" x14ac:dyDescent="0.2">
      <c r="AF41547" s="679"/>
    </row>
    <row r="41548" spans="32:32" x14ac:dyDescent="0.2">
      <c r="AF41548" s="679"/>
    </row>
    <row r="41549" spans="32:32" x14ac:dyDescent="0.2">
      <c r="AF41549" s="679"/>
    </row>
    <row r="41550" spans="32:32" x14ac:dyDescent="0.2">
      <c r="AF41550" s="679"/>
    </row>
    <row r="41551" spans="32:32" x14ac:dyDescent="0.2">
      <c r="AF41551" s="679"/>
    </row>
    <row r="41552" spans="32:32" x14ac:dyDescent="0.2">
      <c r="AF41552" s="679"/>
    </row>
    <row r="41553" spans="32:32" x14ac:dyDescent="0.2">
      <c r="AF41553" s="679"/>
    </row>
    <row r="41554" spans="32:32" x14ac:dyDescent="0.2">
      <c r="AF41554" s="679"/>
    </row>
    <row r="41555" spans="32:32" x14ac:dyDescent="0.2">
      <c r="AF41555" s="679"/>
    </row>
    <row r="41556" spans="32:32" x14ac:dyDescent="0.2">
      <c r="AF41556" s="679"/>
    </row>
    <row r="41557" spans="32:32" x14ac:dyDescent="0.2">
      <c r="AF41557" s="679"/>
    </row>
    <row r="41558" spans="32:32" x14ac:dyDescent="0.2">
      <c r="AF41558" s="679"/>
    </row>
    <row r="41559" spans="32:32" x14ac:dyDescent="0.2">
      <c r="AF41559" s="679"/>
    </row>
    <row r="41560" spans="32:32" x14ac:dyDescent="0.2">
      <c r="AF41560" s="679"/>
    </row>
    <row r="41561" spans="32:32" x14ac:dyDescent="0.2">
      <c r="AF41561" s="679"/>
    </row>
    <row r="41562" spans="32:32" x14ac:dyDescent="0.2">
      <c r="AF41562" s="679"/>
    </row>
    <row r="41563" spans="32:32" x14ac:dyDescent="0.2">
      <c r="AF41563" s="679"/>
    </row>
    <row r="41564" spans="32:32" x14ac:dyDescent="0.2">
      <c r="AF41564" s="679"/>
    </row>
    <row r="41565" spans="32:32" x14ac:dyDescent="0.2">
      <c r="AF41565" s="679"/>
    </row>
    <row r="41566" spans="32:32" x14ac:dyDescent="0.2">
      <c r="AF41566" s="679"/>
    </row>
    <row r="41567" spans="32:32" x14ac:dyDescent="0.2">
      <c r="AF41567" s="679"/>
    </row>
    <row r="41568" spans="32:32" x14ac:dyDescent="0.2">
      <c r="AF41568" s="679"/>
    </row>
    <row r="41569" spans="32:32" x14ac:dyDescent="0.2">
      <c r="AF41569" s="679"/>
    </row>
    <row r="41570" spans="32:32" x14ac:dyDescent="0.2">
      <c r="AF41570" s="679"/>
    </row>
    <row r="41571" spans="32:32" x14ac:dyDescent="0.2">
      <c r="AF41571" s="679"/>
    </row>
    <row r="41572" spans="32:32" x14ac:dyDescent="0.2">
      <c r="AF41572" s="679"/>
    </row>
    <row r="41573" spans="32:32" x14ac:dyDescent="0.2">
      <c r="AF41573" s="679"/>
    </row>
    <row r="41574" spans="32:32" x14ac:dyDescent="0.2">
      <c r="AF41574" s="679"/>
    </row>
    <row r="41575" spans="32:32" x14ac:dyDescent="0.2">
      <c r="AF41575" s="679"/>
    </row>
    <row r="41576" spans="32:32" x14ac:dyDescent="0.2">
      <c r="AF41576" s="679"/>
    </row>
    <row r="41577" spans="32:32" x14ac:dyDescent="0.2">
      <c r="AF41577" s="679"/>
    </row>
    <row r="41578" spans="32:32" x14ac:dyDescent="0.2">
      <c r="AF41578" s="679"/>
    </row>
    <row r="41579" spans="32:32" x14ac:dyDescent="0.2">
      <c r="AF41579" s="679"/>
    </row>
    <row r="41580" spans="32:32" x14ac:dyDescent="0.2">
      <c r="AF41580" s="679"/>
    </row>
    <row r="41581" spans="32:32" x14ac:dyDescent="0.2">
      <c r="AF41581" s="679"/>
    </row>
    <row r="41582" spans="32:32" x14ac:dyDescent="0.2">
      <c r="AF41582" s="679"/>
    </row>
    <row r="41583" spans="32:32" x14ac:dyDescent="0.2">
      <c r="AF41583" s="679"/>
    </row>
    <row r="41584" spans="32:32" x14ac:dyDescent="0.2">
      <c r="AF41584" s="679"/>
    </row>
    <row r="41585" spans="32:32" x14ac:dyDescent="0.2">
      <c r="AF41585" s="679"/>
    </row>
    <row r="41586" spans="32:32" x14ac:dyDescent="0.2">
      <c r="AF41586" s="679"/>
    </row>
    <row r="41587" spans="32:32" x14ac:dyDescent="0.2">
      <c r="AF41587" s="679"/>
    </row>
    <row r="41588" spans="32:32" x14ac:dyDescent="0.2">
      <c r="AF41588" s="679"/>
    </row>
    <row r="41589" spans="32:32" x14ac:dyDescent="0.2">
      <c r="AF41589" s="679"/>
    </row>
    <row r="41590" spans="32:32" x14ac:dyDescent="0.2">
      <c r="AF41590" s="679"/>
    </row>
    <row r="41591" spans="32:32" x14ac:dyDescent="0.2">
      <c r="AF41591" s="679"/>
    </row>
    <row r="41592" spans="32:32" x14ac:dyDescent="0.2">
      <c r="AF41592" s="679"/>
    </row>
    <row r="41593" spans="32:32" x14ac:dyDescent="0.2">
      <c r="AF41593" s="679"/>
    </row>
    <row r="41594" spans="32:32" x14ac:dyDescent="0.2">
      <c r="AF41594" s="679"/>
    </row>
    <row r="41595" spans="32:32" x14ac:dyDescent="0.2">
      <c r="AF41595" s="679"/>
    </row>
    <row r="41596" spans="32:32" x14ac:dyDescent="0.2">
      <c r="AF41596" s="679"/>
    </row>
    <row r="41597" spans="32:32" x14ac:dyDescent="0.2">
      <c r="AF41597" s="679"/>
    </row>
    <row r="41598" spans="32:32" x14ac:dyDescent="0.2">
      <c r="AF41598" s="679"/>
    </row>
    <row r="41599" spans="32:32" x14ac:dyDescent="0.2">
      <c r="AF41599" s="679"/>
    </row>
    <row r="41600" spans="32:32" x14ac:dyDescent="0.2">
      <c r="AF41600" s="679"/>
    </row>
    <row r="41601" spans="32:32" x14ac:dyDescent="0.2">
      <c r="AF41601" s="679"/>
    </row>
    <row r="41602" spans="32:32" x14ac:dyDescent="0.2">
      <c r="AF41602" s="679"/>
    </row>
    <row r="41603" spans="32:32" x14ac:dyDescent="0.2">
      <c r="AF41603" s="679"/>
    </row>
    <row r="41604" spans="32:32" x14ac:dyDescent="0.2">
      <c r="AF41604" s="679"/>
    </row>
    <row r="41605" spans="32:32" x14ac:dyDescent="0.2">
      <c r="AF41605" s="679"/>
    </row>
    <row r="41606" spans="32:32" x14ac:dyDescent="0.2">
      <c r="AF41606" s="679"/>
    </row>
    <row r="41607" spans="32:32" x14ac:dyDescent="0.2">
      <c r="AF41607" s="679"/>
    </row>
    <row r="41608" spans="32:32" x14ac:dyDescent="0.2">
      <c r="AF41608" s="679"/>
    </row>
    <row r="41609" spans="32:32" x14ac:dyDescent="0.2">
      <c r="AF41609" s="679"/>
    </row>
    <row r="41610" spans="32:32" x14ac:dyDescent="0.2">
      <c r="AF41610" s="679"/>
    </row>
    <row r="41611" spans="32:32" x14ac:dyDescent="0.2">
      <c r="AF41611" s="679"/>
    </row>
    <row r="41612" spans="32:32" x14ac:dyDescent="0.2">
      <c r="AF41612" s="679"/>
    </row>
    <row r="41613" spans="32:32" x14ac:dyDescent="0.2">
      <c r="AF41613" s="679"/>
    </row>
    <row r="41614" spans="32:32" x14ac:dyDescent="0.2">
      <c r="AF41614" s="679"/>
    </row>
    <row r="41615" spans="32:32" x14ac:dyDescent="0.2">
      <c r="AF41615" s="679"/>
    </row>
    <row r="41616" spans="32:32" x14ac:dyDescent="0.2">
      <c r="AF41616" s="679"/>
    </row>
    <row r="41617" spans="32:32" x14ac:dyDescent="0.2">
      <c r="AF41617" s="679"/>
    </row>
    <row r="41618" spans="32:32" x14ac:dyDescent="0.2">
      <c r="AF41618" s="679"/>
    </row>
    <row r="41619" spans="32:32" x14ac:dyDescent="0.2">
      <c r="AF41619" s="679"/>
    </row>
    <row r="41620" spans="32:32" x14ac:dyDescent="0.2">
      <c r="AF41620" s="679"/>
    </row>
    <row r="41621" spans="32:32" x14ac:dyDescent="0.2">
      <c r="AF41621" s="679"/>
    </row>
    <row r="41622" spans="32:32" x14ac:dyDescent="0.2">
      <c r="AF41622" s="679"/>
    </row>
    <row r="41623" spans="32:32" x14ac:dyDescent="0.2">
      <c r="AF41623" s="679"/>
    </row>
    <row r="41624" spans="32:32" x14ac:dyDescent="0.2">
      <c r="AF41624" s="679"/>
    </row>
    <row r="41625" spans="32:32" x14ac:dyDescent="0.2">
      <c r="AF41625" s="679"/>
    </row>
    <row r="41626" spans="32:32" x14ac:dyDescent="0.2">
      <c r="AF41626" s="679"/>
    </row>
    <row r="41627" spans="32:32" x14ac:dyDescent="0.2">
      <c r="AF41627" s="679"/>
    </row>
    <row r="41628" spans="32:32" x14ac:dyDescent="0.2">
      <c r="AF41628" s="679"/>
    </row>
    <row r="41629" spans="32:32" x14ac:dyDescent="0.2">
      <c r="AF41629" s="679"/>
    </row>
    <row r="41630" spans="32:32" x14ac:dyDescent="0.2">
      <c r="AF41630" s="679"/>
    </row>
    <row r="41631" spans="32:32" x14ac:dyDescent="0.2">
      <c r="AF41631" s="679"/>
    </row>
    <row r="41632" spans="32:32" x14ac:dyDescent="0.2">
      <c r="AF41632" s="679"/>
    </row>
    <row r="41633" spans="32:32" x14ac:dyDescent="0.2">
      <c r="AF41633" s="679"/>
    </row>
    <row r="41634" spans="32:32" x14ac:dyDescent="0.2">
      <c r="AF41634" s="679"/>
    </row>
    <row r="41635" spans="32:32" x14ac:dyDescent="0.2">
      <c r="AF41635" s="679"/>
    </row>
    <row r="41636" spans="32:32" x14ac:dyDescent="0.2">
      <c r="AF41636" s="679"/>
    </row>
    <row r="41637" spans="32:32" x14ac:dyDescent="0.2">
      <c r="AF41637" s="679"/>
    </row>
    <row r="41638" spans="32:32" x14ac:dyDescent="0.2">
      <c r="AF41638" s="679"/>
    </row>
    <row r="41639" spans="32:32" x14ac:dyDescent="0.2">
      <c r="AF41639" s="679"/>
    </row>
    <row r="41640" spans="32:32" x14ac:dyDescent="0.2">
      <c r="AF41640" s="679"/>
    </row>
    <row r="41641" spans="32:32" x14ac:dyDescent="0.2">
      <c r="AF41641" s="679"/>
    </row>
    <row r="41642" spans="32:32" x14ac:dyDescent="0.2">
      <c r="AF41642" s="679"/>
    </row>
    <row r="41643" spans="32:32" x14ac:dyDescent="0.2">
      <c r="AF41643" s="679"/>
    </row>
    <row r="41644" spans="32:32" x14ac:dyDescent="0.2">
      <c r="AF41644" s="679"/>
    </row>
    <row r="41645" spans="32:32" x14ac:dyDescent="0.2">
      <c r="AF41645" s="679"/>
    </row>
    <row r="41646" spans="32:32" x14ac:dyDescent="0.2">
      <c r="AF41646" s="679"/>
    </row>
    <row r="41647" spans="32:32" x14ac:dyDescent="0.2">
      <c r="AF41647" s="679"/>
    </row>
    <row r="41648" spans="32:32" x14ac:dyDescent="0.2">
      <c r="AF41648" s="679"/>
    </row>
    <row r="41649" spans="32:32" x14ac:dyDescent="0.2">
      <c r="AF41649" s="679"/>
    </row>
    <row r="41650" spans="32:32" x14ac:dyDescent="0.2">
      <c r="AF41650" s="679"/>
    </row>
    <row r="41651" spans="32:32" x14ac:dyDescent="0.2">
      <c r="AF41651" s="679"/>
    </row>
    <row r="41652" spans="32:32" x14ac:dyDescent="0.2">
      <c r="AF41652" s="679"/>
    </row>
    <row r="41653" spans="32:32" x14ac:dyDescent="0.2">
      <c r="AF41653" s="679"/>
    </row>
    <row r="41654" spans="32:32" x14ac:dyDescent="0.2">
      <c r="AF41654" s="679"/>
    </row>
    <row r="41655" spans="32:32" x14ac:dyDescent="0.2">
      <c r="AF41655" s="679"/>
    </row>
    <row r="41656" spans="32:32" x14ac:dyDescent="0.2">
      <c r="AF41656" s="679"/>
    </row>
    <row r="41657" spans="32:32" x14ac:dyDescent="0.2">
      <c r="AF41657" s="679"/>
    </row>
    <row r="41658" spans="32:32" x14ac:dyDescent="0.2">
      <c r="AF41658" s="679"/>
    </row>
    <row r="41659" spans="32:32" x14ac:dyDescent="0.2">
      <c r="AF41659" s="679"/>
    </row>
    <row r="41660" spans="32:32" x14ac:dyDescent="0.2">
      <c r="AF41660" s="679"/>
    </row>
    <row r="41661" spans="32:32" x14ac:dyDescent="0.2">
      <c r="AF41661" s="679"/>
    </row>
    <row r="41662" spans="32:32" x14ac:dyDescent="0.2">
      <c r="AF41662" s="679"/>
    </row>
    <row r="41663" spans="32:32" x14ac:dyDescent="0.2">
      <c r="AF41663" s="679"/>
    </row>
    <row r="41664" spans="32:32" x14ac:dyDescent="0.2">
      <c r="AF41664" s="679"/>
    </row>
    <row r="41665" spans="32:32" x14ac:dyDescent="0.2">
      <c r="AF41665" s="679"/>
    </row>
    <row r="41666" spans="32:32" x14ac:dyDescent="0.2">
      <c r="AF41666" s="679"/>
    </row>
    <row r="41667" spans="32:32" x14ac:dyDescent="0.2">
      <c r="AF41667" s="679"/>
    </row>
    <row r="41668" spans="32:32" x14ac:dyDescent="0.2">
      <c r="AF41668" s="679"/>
    </row>
    <row r="41669" spans="32:32" x14ac:dyDescent="0.2">
      <c r="AF41669" s="679"/>
    </row>
    <row r="41670" spans="32:32" x14ac:dyDescent="0.2">
      <c r="AF41670" s="679"/>
    </row>
    <row r="41671" spans="32:32" x14ac:dyDescent="0.2">
      <c r="AF41671" s="679"/>
    </row>
    <row r="41672" spans="32:32" x14ac:dyDescent="0.2">
      <c r="AF41672" s="679"/>
    </row>
    <row r="41673" spans="32:32" x14ac:dyDescent="0.2">
      <c r="AF41673" s="679"/>
    </row>
    <row r="41674" spans="32:32" x14ac:dyDescent="0.2">
      <c r="AF41674" s="679"/>
    </row>
    <row r="41675" spans="32:32" x14ac:dyDescent="0.2">
      <c r="AF41675" s="679"/>
    </row>
    <row r="41676" spans="32:32" x14ac:dyDescent="0.2">
      <c r="AF41676" s="679"/>
    </row>
    <row r="41677" spans="32:32" x14ac:dyDescent="0.2">
      <c r="AF41677" s="679"/>
    </row>
    <row r="41678" spans="32:32" x14ac:dyDescent="0.2">
      <c r="AF41678" s="679"/>
    </row>
    <row r="41679" spans="32:32" x14ac:dyDescent="0.2">
      <c r="AF41679" s="679"/>
    </row>
    <row r="41680" spans="32:32" x14ac:dyDescent="0.2">
      <c r="AF41680" s="679"/>
    </row>
    <row r="41681" spans="32:32" x14ac:dyDescent="0.2">
      <c r="AF41681" s="679"/>
    </row>
    <row r="41682" spans="32:32" x14ac:dyDescent="0.2">
      <c r="AF41682" s="679"/>
    </row>
    <row r="41683" spans="32:32" x14ac:dyDescent="0.2">
      <c r="AF41683" s="679"/>
    </row>
    <row r="41684" spans="32:32" x14ac:dyDescent="0.2">
      <c r="AF41684" s="679"/>
    </row>
    <row r="41685" spans="32:32" x14ac:dyDescent="0.2">
      <c r="AF41685" s="679"/>
    </row>
    <row r="41686" spans="32:32" x14ac:dyDescent="0.2">
      <c r="AF41686" s="679"/>
    </row>
    <row r="41687" spans="32:32" x14ac:dyDescent="0.2">
      <c r="AF41687" s="679"/>
    </row>
    <row r="41688" spans="32:32" x14ac:dyDescent="0.2">
      <c r="AF41688" s="679"/>
    </row>
    <row r="41689" spans="32:32" x14ac:dyDescent="0.2">
      <c r="AF41689" s="679"/>
    </row>
    <row r="41690" spans="32:32" x14ac:dyDescent="0.2">
      <c r="AF41690" s="679"/>
    </row>
    <row r="41691" spans="32:32" x14ac:dyDescent="0.2">
      <c r="AF41691" s="679"/>
    </row>
    <row r="41692" spans="32:32" x14ac:dyDescent="0.2">
      <c r="AF41692" s="679"/>
    </row>
    <row r="41693" spans="32:32" x14ac:dyDescent="0.2">
      <c r="AF41693" s="679"/>
    </row>
    <row r="41694" spans="32:32" x14ac:dyDescent="0.2">
      <c r="AF41694" s="679"/>
    </row>
    <row r="41695" spans="32:32" x14ac:dyDescent="0.2">
      <c r="AF41695" s="679"/>
    </row>
    <row r="41696" spans="32:32" x14ac:dyDescent="0.2">
      <c r="AF41696" s="679"/>
    </row>
    <row r="41697" spans="32:32" x14ac:dyDescent="0.2">
      <c r="AF41697" s="679"/>
    </row>
    <row r="41698" spans="32:32" x14ac:dyDescent="0.2">
      <c r="AF41698" s="679"/>
    </row>
    <row r="41699" spans="32:32" x14ac:dyDescent="0.2">
      <c r="AF41699" s="679"/>
    </row>
    <row r="41700" spans="32:32" x14ac:dyDescent="0.2">
      <c r="AF41700" s="679"/>
    </row>
    <row r="41701" spans="32:32" x14ac:dyDescent="0.2">
      <c r="AF41701" s="679"/>
    </row>
    <row r="41702" spans="32:32" x14ac:dyDescent="0.2">
      <c r="AF41702" s="679"/>
    </row>
    <row r="41703" spans="32:32" x14ac:dyDescent="0.2">
      <c r="AF41703" s="679"/>
    </row>
    <row r="41704" spans="32:32" x14ac:dyDescent="0.2">
      <c r="AF41704" s="679"/>
    </row>
    <row r="41705" spans="32:32" x14ac:dyDescent="0.2">
      <c r="AF41705" s="679"/>
    </row>
    <row r="41706" spans="32:32" x14ac:dyDescent="0.2">
      <c r="AF41706" s="679"/>
    </row>
    <row r="41707" spans="32:32" x14ac:dyDescent="0.2">
      <c r="AF41707" s="679"/>
    </row>
    <row r="41708" spans="32:32" x14ac:dyDescent="0.2">
      <c r="AF41708" s="679"/>
    </row>
    <row r="41709" spans="32:32" x14ac:dyDescent="0.2">
      <c r="AF41709" s="679"/>
    </row>
    <row r="41710" spans="32:32" x14ac:dyDescent="0.2">
      <c r="AF41710" s="679"/>
    </row>
    <row r="41711" spans="32:32" x14ac:dyDescent="0.2">
      <c r="AF41711" s="679"/>
    </row>
    <row r="41712" spans="32:32" x14ac:dyDescent="0.2">
      <c r="AF41712" s="679"/>
    </row>
    <row r="41713" spans="32:32" x14ac:dyDescent="0.2">
      <c r="AF41713" s="679"/>
    </row>
    <row r="41714" spans="32:32" x14ac:dyDescent="0.2">
      <c r="AF41714" s="679"/>
    </row>
    <row r="41715" spans="32:32" x14ac:dyDescent="0.2">
      <c r="AF41715" s="679"/>
    </row>
    <row r="41716" spans="32:32" x14ac:dyDescent="0.2">
      <c r="AF41716" s="679"/>
    </row>
    <row r="41717" spans="32:32" x14ac:dyDescent="0.2">
      <c r="AF41717" s="679"/>
    </row>
    <row r="41718" spans="32:32" x14ac:dyDescent="0.2">
      <c r="AF41718" s="679"/>
    </row>
    <row r="41719" spans="32:32" x14ac:dyDescent="0.2">
      <c r="AF41719" s="679"/>
    </row>
    <row r="41720" spans="32:32" x14ac:dyDescent="0.2">
      <c r="AF41720" s="679"/>
    </row>
    <row r="41721" spans="32:32" x14ac:dyDescent="0.2">
      <c r="AF41721" s="679"/>
    </row>
    <row r="41722" spans="32:32" x14ac:dyDescent="0.2">
      <c r="AF41722" s="679"/>
    </row>
    <row r="41723" spans="32:32" x14ac:dyDescent="0.2">
      <c r="AF41723" s="679"/>
    </row>
    <row r="41724" spans="32:32" x14ac:dyDescent="0.2">
      <c r="AF41724" s="679"/>
    </row>
    <row r="41725" spans="32:32" x14ac:dyDescent="0.2">
      <c r="AF41725" s="679"/>
    </row>
    <row r="41726" spans="32:32" x14ac:dyDescent="0.2">
      <c r="AF41726" s="679"/>
    </row>
    <row r="41727" spans="32:32" x14ac:dyDescent="0.2">
      <c r="AF41727" s="679"/>
    </row>
    <row r="41728" spans="32:32" x14ac:dyDescent="0.2">
      <c r="AF41728" s="679"/>
    </row>
    <row r="41729" spans="32:32" x14ac:dyDescent="0.2">
      <c r="AF41729" s="679"/>
    </row>
    <row r="41730" spans="32:32" x14ac:dyDescent="0.2">
      <c r="AF41730" s="679"/>
    </row>
    <row r="41731" spans="32:32" x14ac:dyDescent="0.2">
      <c r="AF41731" s="679"/>
    </row>
    <row r="41732" spans="32:32" x14ac:dyDescent="0.2">
      <c r="AF41732" s="679"/>
    </row>
    <row r="41733" spans="32:32" x14ac:dyDescent="0.2">
      <c r="AF41733" s="679"/>
    </row>
    <row r="41734" spans="32:32" x14ac:dyDescent="0.2">
      <c r="AF41734" s="679"/>
    </row>
    <row r="41735" spans="32:32" x14ac:dyDescent="0.2">
      <c r="AF41735" s="679"/>
    </row>
    <row r="41736" spans="32:32" x14ac:dyDescent="0.2">
      <c r="AF41736" s="679"/>
    </row>
    <row r="41737" spans="32:32" x14ac:dyDescent="0.2">
      <c r="AF41737" s="679"/>
    </row>
    <row r="41738" spans="32:32" x14ac:dyDescent="0.2">
      <c r="AF41738" s="679"/>
    </row>
    <row r="41739" spans="32:32" x14ac:dyDescent="0.2">
      <c r="AF41739" s="679"/>
    </row>
    <row r="41740" spans="32:32" x14ac:dyDescent="0.2">
      <c r="AF41740" s="679"/>
    </row>
    <row r="41741" spans="32:32" x14ac:dyDescent="0.2">
      <c r="AF41741" s="679"/>
    </row>
    <row r="41742" spans="32:32" x14ac:dyDescent="0.2">
      <c r="AF41742" s="679"/>
    </row>
    <row r="41743" spans="32:32" x14ac:dyDescent="0.2">
      <c r="AF41743" s="679"/>
    </row>
    <row r="41744" spans="32:32" x14ac:dyDescent="0.2">
      <c r="AF41744" s="679"/>
    </row>
    <row r="41745" spans="32:32" x14ac:dyDescent="0.2">
      <c r="AF41745" s="679"/>
    </row>
    <row r="41746" spans="32:32" x14ac:dyDescent="0.2">
      <c r="AF41746" s="679"/>
    </row>
    <row r="41747" spans="32:32" x14ac:dyDescent="0.2">
      <c r="AF41747" s="679"/>
    </row>
    <row r="41748" spans="32:32" x14ac:dyDescent="0.2">
      <c r="AF41748" s="679"/>
    </row>
    <row r="41749" spans="32:32" x14ac:dyDescent="0.2">
      <c r="AF41749" s="679"/>
    </row>
    <row r="41750" spans="32:32" x14ac:dyDescent="0.2">
      <c r="AF41750" s="679"/>
    </row>
    <row r="41751" spans="32:32" x14ac:dyDescent="0.2">
      <c r="AF41751" s="679"/>
    </row>
    <row r="41752" spans="32:32" x14ac:dyDescent="0.2">
      <c r="AF41752" s="679"/>
    </row>
    <row r="41753" spans="32:32" x14ac:dyDescent="0.2">
      <c r="AF41753" s="679"/>
    </row>
    <row r="41754" spans="32:32" x14ac:dyDescent="0.2">
      <c r="AF41754" s="679"/>
    </row>
    <row r="41755" spans="32:32" x14ac:dyDescent="0.2">
      <c r="AF41755" s="679"/>
    </row>
    <row r="41756" spans="32:32" x14ac:dyDescent="0.2">
      <c r="AF41756" s="679"/>
    </row>
    <row r="41757" spans="32:32" x14ac:dyDescent="0.2">
      <c r="AF41757" s="679"/>
    </row>
    <row r="41758" spans="32:32" x14ac:dyDescent="0.2">
      <c r="AF41758" s="679"/>
    </row>
    <row r="41759" spans="32:32" x14ac:dyDescent="0.2">
      <c r="AF41759" s="679"/>
    </row>
    <row r="41760" spans="32:32" x14ac:dyDescent="0.2">
      <c r="AF41760" s="679"/>
    </row>
    <row r="41761" spans="32:32" x14ac:dyDescent="0.2">
      <c r="AF41761" s="679"/>
    </row>
    <row r="41762" spans="32:32" x14ac:dyDescent="0.2">
      <c r="AF41762" s="679"/>
    </row>
    <row r="41763" spans="32:32" x14ac:dyDescent="0.2">
      <c r="AF41763" s="679"/>
    </row>
    <row r="41764" spans="32:32" x14ac:dyDescent="0.2">
      <c r="AF41764" s="679"/>
    </row>
    <row r="41765" spans="32:32" x14ac:dyDescent="0.2">
      <c r="AF41765" s="679"/>
    </row>
    <row r="41766" spans="32:32" x14ac:dyDescent="0.2">
      <c r="AF41766" s="679"/>
    </row>
    <row r="41767" spans="32:32" x14ac:dyDescent="0.2">
      <c r="AF41767" s="679"/>
    </row>
    <row r="41768" spans="32:32" x14ac:dyDescent="0.2">
      <c r="AF41768" s="679"/>
    </row>
    <row r="41769" spans="32:32" x14ac:dyDescent="0.2">
      <c r="AF41769" s="679"/>
    </row>
    <row r="41770" spans="32:32" x14ac:dyDescent="0.2">
      <c r="AF41770" s="679"/>
    </row>
    <row r="41771" spans="32:32" x14ac:dyDescent="0.2">
      <c r="AF41771" s="679"/>
    </row>
    <row r="41772" spans="32:32" x14ac:dyDescent="0.2">
      <c r="AF41772" s="679"/>
    </row>
    <row r="41773" spans="32:32" x14ac:dyDescent="0.2">
      <c r="AF41773" s="679"/>
    </row>
    <row r="41774" spans="32:32" x14ac:dyDescent="0.2">
      <c r="AF41774" s="679"/>
    </row>
    <row r="41775" spans="32:32" x14ac:dyDescent="0.2">
      <c r="AF41775" s="679"/>
    </row>
    <row r="41776" spans="32:32" x14ac:dyDescent="0.2">
      <c r="AF41776" s="679"/>
    </row>
    <row r="41777" spans="32:32" x14ac:dyDescent="0.2">
      <c r="AF41777" s="679"/>
    </row>
    <row r="41778" spans="32:32" x14ac:dyDescent="0.2">
      <c r="AF41778" s="679"/>
    </row>
    <row r="41779" spans="32:32" x14ac:dyDescent="0.2">
      <c r="AF41779" s="679"/>
    </row>
    <row r="41780" spans="32:32" x14ac:dyDescent="0.2">
      <c r="AF41780" s="679"/>
    </row>
    <row r="41781" spans="32:32" x14ac:dyDescent="0.2">
      <c r="AF41781" s="679"/>
    </row>
    <row r="41782" spans="32:32" x14ac:dyDescent="0.2">
      <c r="AF41782" s="679"/>
    </row>
    <row r="41783" spans="32:32" x14ac:dyDescent="0.2">
      <c r="AF41783" s="679"/>
    </row>
    <row r="41784" spans="32:32" x14ac:dyDescent="0.2">
      <c r="AF41784" s="679"/>
    </row>
    <row r="41785" spans="32:32" x14ac:dyDescent="0.2">
      <c r="AF41785" s="679"/>
    </row>
    <row r="41786" spans="32:32" x14ac:dyDescent="0.2">
      <c r="AF41786" s="679"/>
    </row>
    <row r="41787" spans="32:32" x14ac:dyDescent="0.2">
      <c r="AF41787" s="679"/>
    </row>
    <row r="41788" spans="32:32" x14ac:dyDescent="0.2">
      <c r="AF41788" s="679"/>
    </row>
    <row r="41789" spans="32:32" x14ac:dyDescent="0.2">
      <c r="AF41789" s="679"/>
    </row>
    <row r="41790" spans="32:32" x14ac:dyDescent="0.2">
      <c r="AF41790" s="679"/>
    </row>
    <row r="41791" spans="32:32" x14ac:dyDescent="0.2">
      <c r="AF41791" s="679"/>
    </row>
    <row r="41792" spans="32:32" x14ac:dyDescent="0.2">
      <c r="AF41792" s="679"/>
    </row>
    <row r="41793" spans="32:32" x14ac:dyDescent="0.2">
      <c r="AF41793" s="679"/>
    </row>
    <row r="41794" spans="32:32" x14ac:dyDescent="0.2">
      <c r="AF41794" s="679"/>
    </row>
    <row r="41795" spans="32:32" x14ac:dyDescent="0.2">
      <c r="AF41795" s="679"/>
    </row>
    <row r="41796" spans="32:32" x14ac:dyDescent="0.2">
      <c r="AF41796" s="679"/>
    </row>
    <row r="41797" spans="32:32" x14ac:dyDescent="0.2">
      <c r="AF41797" s="679"/>
    </row>
    <row r="41798" spans="32:32" x14ac:dyDescent="0.2">
      <c r="AF41798" s="679"/>
    </row>
    <row r="41799" spans="32:32" x14ac:dyDescent="0.2">
      <c r="AF41799" s="679"/>
    </row>
    <row r="41800" spans="32:32" x14ac:dyDescent="0.2">
      <c r="AF41800" s="679"/>
    </row>
    <row r="41801" spans="32:32" x14ac:dyDescent="0.2">
      <c r="AF41801" s="679"/>
    </row>
    <row r="41802" spans="32:32" x14ac:dyDescent="0.2">
      <c r="AF41802" s="679"/>
    </row>
    <row r="41803" spans="32:32" x14ac:dyDescent="0.2">
      <c r="AF41803" s="679"/>
    </row>
    <row r="41804" spans="32:32" x14ac:dyDescent="0.2">
      <c r="AF41804" s="679"/>
    </row>
    <row r="41805" spans="32:32" x14ac:dyDescent="0.2">
      <c r="AF41805" s="679"/>
    </row>
    <row r="41806" spans="32:32" x14ac:dyDescent="0.2">
      <c r="AF41806" s="679"/>
    </row>
    <row r="41807" spans="32:32" x14ac:dyDescent="0.2">
      <c r="AF41807" s="679"/>
    </row>
    <row r="41808" spans="32:32" x14ac:dyDescent="0.2">
      <c r="AF41808" s="679"/>
    </row>
    <row r="41809" spans="32:32" x14ac:dyDescent="0.2">
      <c r="AF41809" s="679"/>
    </row>
    <row r="41810" spans="32:32" x14ac:dyDescent="0.2">
      <c r="AF41810" s="679"/>
    </row>
    <row r="41811" spans="32:32" x14ac:dyDescent="0.2">
      <c r="AF41811" s="679"/>
    </row>
    <row r="41812" spans="32:32" x14ac:dyDescent="0.2">
      <c r="AF41812" s="679"/>
    </row>
    <row r="41813" spans="32:32" x14ac:dyDescent="0.2">
      <c r="AF41813" s="679"/>
    </row>
    <row r="41814" spans="32:32" x14ac:dyDescent="0.2">
      <c r="AF41814" s="679"/>
    </row>
    <row r="41815" spans="32:32" x14ac:dyDescent="0.2">
      <c r="AF41815" s="679"/>
    </row>
    <row r="41816" spans="32:32" x14ac:dyDescent="0.2">
      <c r="AF41816" s="679"/>
    </row>
    <row r="41817" spans="32:32" x14ac:dyDescent="0.2">
      <c r="AF41817" s="679"/>
    </row>
    <row r="41818" spans="32:32" x14ac:dyDescent="0.2">
      <c r="AF41818" s="679"/>
    </row>
    <row r="41819" spans="32:32" x14ac:dyDescent="0.2">
      <c r="AF41819" s="679"/>
    </row>
    <row r="41820" spans="32:32" x14ac:dyDescent="0.2">
      <c r="AF41820" s="679"/>
    </row>
    <row r="41821" spans="32:32" x14ac:dyDescent="0.2">
      <c r="AF41821" s="679"/>
    </row>
    <row r="41822" spans="32:32" x14ac:dyDescent="0.2">
      <c r="AF41822" s="679"/>
    </row>
    <row r="41823" spans="32:32" x14ac:dyDescent="0.2">
      <c r="AF41823" s="679"/>
    </row>
    <row r="41824" spans="32:32" x14ac:dyDescent="0.2">
      <c r="AF41824" s="679"/>
    </row>
    <row r="41825" spans="32:32" x14ac:dyDescent="0.2">
      <c r="AF41825" s="679"/>
    </row>
    <row r="41826" spans="32:32" x14ac:dyDescent="0.2">
      <c r="AF41826" s="679"/>
    </row>
    <row r="41827" spans="32:32" x14ac:dyDescent="0.2">
      <c r="AF41827" s="679"/>
    </row>
    <row r="41828" spans="32:32" x14ac:dyDescent="0.2">
      <c r="AF41828" s="679"/>
    </row>
    <row r="41829" spans="32:32" x14ac:dyDescent="0.2">
      <c r="AF41829" s="679"/>
    </row>
    <row r="41830" spans="32:32" x14ac:dyDescent="0.2">
      <c r="AF41830" s="679"/>
    </row>
    <row r="41831" spans="32:32" x14ac:dyDescent="0.2">
      <c r="AF41831" s="679"/>
    </row>
    <row r="41832" spans="32:32" x14ac:dyDescent="0.2">
      <c r="AF41832" s="679"/>
    </row>
    <row r="41833" spans="32:32" x14ac:dyDescent="0.2">
      <c r="AF41833" s="679"/>
    </row>
    <row r="41834" spans="32:32" x14ac:dyDescent="0.2">
      <c r="AF41834" s="679"/>
    </row>
    <row r="41835" spans="32:32" x14ac:dyDescent="0.2">
      <c r="AF41835" s="679"/>
    </row>
    <row r="41836" spans="32:32" x14ac:dyDescent="0.2">
      <c r="AF41836" s="679"/>
    </row>
    <row r="41837" spans="32:32" x14ac:dyDescent="0.2">
      <c r="AF41837" s="679"/>
    </row>
    <row r="41838" spans="32:32" x14ac:dyDescent="0.2">
      <c r="AF41838" s="679"/>
    </row>
    <row r="41839" spans="32:32" x14ac:dyDescent="0.2">
      <c r="AF41839" s="679"/>
    </row>
    <row r="41840" spans="32:32" x14ac:dyDescent="0.2">
      <c r="AF41840" s="679"/>
    </row>
    <row r="41841" spans="32:32" x14ac:dyDescent="0.2">
      <c r="AF41841" s="679"/>
    </row>
    <row r="41842" spans="32:32" x14ac:dyDescent="0.2">
      <c r="AF41842" s="679"/>
    </row>
    <row r="41843" spans="32:32" x14ac:dyDescent="0.2">
      <c r="AF41843" s="679"/>
    </row>
    <row r="41844" spans="32:32" x14ac:dyDescent="0.2">
      <c r="AF41844" s="679"/>
    </row>
    <row r="41845" spans="32:32" x14ac:dyDescent="0.2">
      <c r="AF41845" s="679"/>
    </row>
    <row r="41846" spans="32:32" x14ac:dyDescent="0.2">
      <c r="AF41846" s="679"/>
    </row>
    <row r="41847" spans="32:32" x14ac:dyDescent="0.2">
      <c r="AF41847" s="679"/>
    </row>
    <row r="41848" spans="32:32" x14ac:dyDescent="0.2">
      <c r="AF41848" s="679"/>
    </row>
    <row r="41849" spans="32:32" x14ac:dyDescent="0.2">
      <c r="AF41849" s="679"/>
    </row>
    <row r="41850" spans="32:32" x14ac:dyDescent="0.2">
      <c r="AF41850" s="679"/>
    </row>
    <row r="41851" spans="32:32" x14ac:dyDescent="0.2">
      <c r="AF41851" s="679"/>
    </row>
    <row r="41852" spans="32:32" x14ac:dyDescent="0.2">
      <c r="AF41852" s="679"/>
    </row>
    <row r="41853" spans="32:32" x14ac:dyDescent="0.2">
      <c r="AF41853" s="679"/>
    </row>
    <row r="41854" spans="32:32" x14ac:dyDescent="0.2">
      <c r="AF41854" s="679"/>
    </row>
    <row r="41855" spans="32:32" x14ac:dyDescent="0.2">
      <c r="AF41855" s="679"/>
    </row>
    <row r="41856" spans="32:32" x14ac:dyDescent="0.2">
      <c r="AF41856" s="679"/>
    </row>
    <row r="41857" spans="32:32" x14ac:dyDescent="0.2">
      <c r="AF41857" s="679"/>
    </row>
    <row r="41858" spans="32:32" x14ac:dyDescent="0.2">
      <c r="AF41858" s="679"/>
    </row>
    <row r="41859" spans="32:32" x14ac:dyDescent="0.2">
      <c r="AF41859" s="679"/>
    </row>
    <row r="41860" spans="32:32" x14ac:dyDescent="0.2">
      <c r="AF41860" s="679"/>
    </row>
    <row r="41861" spans="32:32" x14ac:dyDescent="0.2">
      <c r="AF41861" s="679"/>
    </row>
    <row r="41862" spans="32:32" x14ac:dyDescent="0.2">
      <c r="AF41862" s="679"/>
    </row>
    <row r="41863" spans="32:32" x14ac:dyDescent="0.2">
      <c r="AF41863" s="679"/>
    </row>
    <row r="41864" spans="32:32" x14ac:dyDescent="0.2">
      <c r="AF41864" s="679"/>
    </row>
    <row r="41865" spans="32:32" x14ac:dyDescent="0.2">
      <c r="AF41865" s="679"/>
    </row>
    <row r="41866" spans="32:32" x14ac:dyDescent="0.2">
      <c r="AF41866" s="679"/>
    </row>
    <row r="41867" spans="32:32" x14ac:dyDescent="0.2">
      <c r="AF41867" s="679"/>
    </row>
    <row r="41868" spans="32:32" x14ac:dyDescent="0.2">
      <c r="AF41868" s="679"/>
    </row>
    <row r="41869" spans="32:32" x14ac:dyDescent="0.2">
      <c r="AF41869" s="679"/>
    </row>
    <row r="41870" spans="32:32" x14ac:dyDescent="0.2">
      <c r="AF41870" s="679"/>
    </row>
    <row r="41871" spans="32:32" x14ac:dyDescent="0.2">
      <c r="AF41871" s="679"/>
    </row>
    <row r="41872" spans="32:32" x14ac:dyDescent="0.2">
      <c r="AF41872" s="679"/>
    </row>
    <row r="41873" spans="32:32" x14ac:dyDescent="0.2">
      <c r="AF41873" s="679"/>
    </row>
    <row r="41874" spans="32:32" x14ac:dyDescent="0.2">
      <c r="AF41874" s="679"/>
    </row>
    <row r="41875" spans="32:32" x14ac:dyDescent="0.2">
      <c r="AF41875" s="679"/>
    </row>
    <row r="41876" spans="32:32" x14ac:dyDescent="0.2">
      <c r="AF41876" s="679"/>
    </row>
    <row r="41877" spans="32:32" x14ac:dyDescent="0.2">
      <c r="AF41877" s="679"/>
    </row>
    <row r="41878" spans="32:32" x14ac:dyDescent="0.2">
      <c r="AF41878" s="679"/>
    </row>
    <row r="41879" spans="32:32" x14ac:dyDescent="0.2">
      <c r="AF41879" s="679"/>
    </row>
    <row r="41880" spans="32:32" x14ac:dyDescent="0.2">
      <c r="AF41880" s="679"/>
    </row>
    <row r="41881" spans="32:32" x14ac:dyDescent="0.2">
      <c r="AF41881" s="679"/>
    </row>
    <row r="41882" spans="32:32" x14ac:dyDescent="0.2">
      <c r="AF41882" s="679"/>
    </row>
    <row r="41883" spans="32:32" x14ac:dyDescent="0.2">
      <c r="AF41883" s="679"/>
    </row>
    <row r="41884" spans="32:32" x14ac:dyDescent="0.2">
      <c r="AF41884" s="679"/>
    </row>
    <row r="41885" spans="32:32" x14ac:dyDescent="0.2">
      <c r="AF41885" s="679"/>
    </row>
    <row r="41886" spans="32:32" x14ac:dyDescent="0.2">
      <c r="AF41886" s="679"/>
    </row>
    <row r="41887" spans="32:32" x14ac:dyDescent="0.2">
      <c r="AF41887" s="679"/>
    </row>
    <row r="41888" spans="32:32" x14ac:dyDescent="0.2">
      <c r="AF41888" s="679"/>
    </row>
    <row r="41889" spans="32:32" x14ac:dyDescent="0.2">
      <c r="AF41889" s="679"/>
    </row>
    <row r="41890" spans="32:32" x14ac:dyDescent="0.2">
      <c r="AF41890" s="679"/>
    </row>
    <row r="41891" spans="32:32" x14ac:dyDescent="0.2">
      <c r="AF41891" s="679"/>
    </row>
    <row r="41892" spans="32:32" x14ac:dyDescent="0.2">
      <c r="AF41892" s="679"/>
    </row>
    <row r="41893" spans="32:32" x14ac:dyDescent="0.2">
      <c r="AF41893" s="679"/>
    </row>
    <row r="41894" spans="32:32" x14ac:dyDescent="0.2">
      <c r="AF41894" s="679"/>
    </row>
    <row r="41895" spans="32:32" x14ac:dyDescent="0.2">
      <c r="AF41895" s="679"/>
    </row>
    <row r="41896" spans="32:32" x14ac:dyDescent="0.2">
      <c r="AF41896" s="679"/>
    </row>
    <row r="41897" spans="32:32" x14ac:dyDescent="0.2">
      <c r="AF41897" s="679"/>
    </row>
    <row r="41898" spans="32:32" x14ac:dyDescent="0.2">
      <c r="AF41898" s="679"/>
    </row>
    <row r="41899" spans="32:32" x14ac:dyDescent="0.2">
      <c r="AF41899" s="679"/>
    </row>
    <row r="41900" spans="32:32" x14ac:dyDescent="0.2">
      <c r="AF41900" s="679"/>
    </row>
    <row r="41901" spans="32:32" x14ac:dyDescent="0.2">
      <c r="AF41901" s="679"/>
    </row>
    <row r="41902" spans="32:32" x14ac:dyDescent="0.2">
      <c r="AF41902" s="679"/>
    </row>
    <row r="41903" spans="32:32" x14ac:dyDescent="0.2">
      <c r="AF41903" s="679"/>
    </row>
    <row r="41904" spans="32:32" x14ac:dyDescent="0.2">
      <c r="AF41904" s="679"/>
    </row>
    <row r="41905" spans="32:32" x14ac:dyDescent="0.2">
      <c r="AF41905" s="679"/>
    </row>
    <row r="41906" spans="32:32" x14ac:dyDescent="0.2">
      <c r="AF41906" s="679"/>
    </row>
    <row r="41907" spans="32:32" x14ac:dyDescent="0.2">
      <c r="AF41907" s="679"/>
    </row>
    <row r="41908" spans="32:32" x14ac:dyDescent="0.2">
      <c r="AF41908" s="679"/>
    </row>
    <row r="41909" spans="32:32" x14ac:dyDescent="0.2">
      <c r="AF41909" s="679"/>
    </row>
    <row r="41910" spans="32:32" x14ac:dyDescent="0.2">
      <c r="AF41910" s="679"/>
    </row>
    <row r="41911" spans="32:32" x14ac:dyDescent="0.2">
      <c r="AF41911" s="679"/>
    </row>
    <row r="41912" spans="32:32" x14ac:dyDescent="0.2">
      <c r="AF41912" s="679"/>
    </row>
    <row r="41913" spans="32:32" x14ac:dyDescent="0.2">
      <c r="AF41913" s="679"/>
    </row>
    <row r="41914" spans="32:32" x14ac:dyDescent="0.2">
      <c r="AF41914" s="679"/>
    </row>
    <row r="41915" spans="32:32" x14ac:dyDescent="0.2">
      <c r="AF41915" s="679"/>
    </row>
    <row r="41916" spans="32:32" x14ac:dyDescent="0.2">
      <c r="AF41916" s="679"/>
    </row>
    <row r="41917" spans="32:32" x14ac:dyDescent="0.2">
      <c r="AF41917" s="679"/>
    </row>
    <row r="41918" spans="32:32" x14ac:dyDescent="0.2">
      <c r="AF41918" s="679"/>
    </row>
    <row r="41919" spans="32:32" x14ac:dyDescent="0.2">
      <c r="AF41919" s="679"/>
    </row>
    <row r="41920" spans="32:32" x14ac:dyDescent="0.2">
      <c r="AF41920" s="679"/>
    </row>
    <row r="41921" spans="32:32" x14ac:dyDescent="0.2">
      <c r="AF41921" s="679"/>
    </row>
    <row r="41922" spans="32:32" x14ac:dyDescent="0.2">
      <c r="AF41922" s="679"/>
    </row>
    <row r="41923" spans="32:32" x14ac:dyDescent="0.2">
      <c r="AF41923" s="679"/>
    </row>
    <row r="41924" spans="32:32" x14ac:dyDescent="0.2">
      <c r="AF41924" s="679"/>
    </row>
    <row r="41925" spans="32:32" x14ac:dyDescent="0.2">
      <c r="AF41925" s="679"/>
    </row>
    <row r="41926" spans="32:32" x14ac:dyDescent="0.2">
      <c r="AF41926" s="679"/>
    </row>
    <row r="41927" spans="32:32" x14ac:dyDescent="0.2">
      <c r="AF41927" s="679"/>
    </row>
    <row r="41928" spans="32:32" x14ac:dyDescent="0.2">
      <c r="AF41928" s="679"/>
    </row>
    <row r="41929" spans="32:32" x14ac:dyDescent="0.2">
      <c r="AF41929" s="679"/>
    </row>
    <row r="41930" spans="32:32" x14ac:dyDescent="0.2">
      <c r="AF41930" s="679"/>
    </row>
    <row r="41931" spans="32:32" x14ac:dyDescent="0.2">
      <c r="AF41931" s="679"/>
    </row>
    <row r="41932" spans="32:32" x14ac:dyDescent="0.2">
      <c r="AF41932" s="679"/>
    </row>
    <row r="41933" spans="32:32" x14ac:dyDescent="0.2">
      <c r="AF41933" s="679"/>
    </row>
    <row r="41934" spans="32:32" x14ac:dyDescent="0.2">
      <c r="AF41934" s="679"/>
    </row>
    <row r="41935" spans="32:32" x14ac:dyDescent="0.2">
      <c r="AF41935" s="679"/>
    </row>
    <row r="41936" spans="32:32" x14ac:dyDescent="0.2">
      <c r="AF41936" s="679"/>
    </row>
    <row r="41937" spans="32:32" x14ac:dyDescent="0.2">
      <c r="AF41937" s="679"/>
    </row>
    <row r="41938" spans="32:32" x14ac:dyDescent="0.2">
      <c r="AF41938" s="679"/>
    </row>
    <row r="41939" spans="32:32" x14ac:dyDescent="0.2">
      <c r="AF41939" s="679"/>
    </row>
    <row r="41940" spans="32:32" x14ac:dyDescent="0.2">
      <c r="AF41940" s="679"/>
    </row>
    <row r="41941" spans="32:32" x14ac:dyDescent="0.2">
      <c r="AF41941" s="679"/>
    </row>
    <row r="41942" spans="32:32" x14ac:dyDescent="0.2">
      <c r="AF41942" s="679"/>
    </row>
    <row r="41943" spans="32:32" x14ac:dyDescent="0.2">
      <c r="AF41943" s="679"/>
    </row>
    <row r="41944" spans="32:32" x14ac:dyDescent="0.2">
      <c r="AF41944" s="679"/>
    </row>
    <row r="41945" spans="32:32" x14ac:dyDescent="0.2">
      <c r="AF41945" s="679"/>
    </row>
    <row r="41946" spans="32:32" x14ac:dyDescent="0.2">
      <c r="AF41946" s="679"/>
    </row>
    <row r="41947" spans="32:32" x14ac:dyDescent="0.2">
      <c r="AF41947" s="679"/>
    </row>
    <row r="41948" spans="32:32" x14ac:dyDescent="0.2">
      <c r="AF41948" s="679"/>
    </row>
    <row r="41949" spans="32:32" x14ac:dyDescent="0.2">
      <c r="AF41949" s="679"/>
    </row>
    <row r="41950" spans="32:32" x14ac:dyDescent="0.2">
      <c r="AF41950" s="679"/>
    </row>
    <row r="41951" spans="32:32" x14ac:dyDescent="0.2">
      <c r="AF41951" s="679"/>
    </row>
    <row r="41952" spans="32:32" x14ac:dyDescent="0.2">
      <c r="AF41952" s="679"/>
    </row>
    <row r="41953" spans="32:32" x14ac:dyDescent="0.2">
      <c r="AF41953" s="679"/>
    </row>
    <row r="41954" spans="32:32" x14ac:dyDescent="0.2">
      <c r="AF41954" s="679"/>
    </row>
    <row r="41955" spans="32:32" x14ac:dyDescent="0.2">
      <c r="AF41955" s="679"/>
    </row>
    <row r="41956" spans="32:32" x14ac:dyDescent="0.2">
      <c r="AF41956" s="679"/>
    </row>
    <row r="41957" spans="32:32" x14ac:dyDescent="0.2">
      <c r="AF41957" s="679"/>
    </row>
    <row r="41958" spans="32:32" x14ac:dyDescent="0.2">
      <c r="AF41958" s="679"/>
    </row>
    <row r="41959" spans="32:32" x14ac:dyDescent="0.2">
      <c r="AF41959" s="679"/>
    </row>
    <row r="41960" spans="32:32" x14ac:dyDescent="0.2">
      <c r="AF41960" s="679"/>
    </row>
    <row r="41961" spans="32:32" x14ac:dyDescent="0.2">
      <c r="AF41961" s="679"/>
    </row>
    <row r="41962" spans="32:32" x14ac:dyDescent="0.2">
      <c r="AF41962" s="679"/>
    </row>
    <row r="41963" spans="32:32" x14ac:dyDescent="0.2">
      <c r="AF41963" s="679"/>
    </row>
    <row r="41964" spans="32:32" x14ac:dyDescent="0.2">
      <c r="AF41964" s="679"/>
    </row>
    <row r="41965" spans="32:32" x14ac:dyDescent="0.2">
      <c r="AF41965" s="679"/>
    </row>
    <row r="41966" spans="32:32" x14ac:dyDescent="0.2">
      <c r="AF41966" s="679"/>
    </row>
    <row r="41967" spans="32:32" x14ac:dyDescent="0.2">
      <c r="AF41967" s="679"/>
    </row>
    <row r="41968" spans="32:32" x14ac:dyDescent="0.2">
      <c r="AF41968" s="679"/>
    </row>
    <row r="41969" spans="32:32" x14ac:dyDescent="0.2">
      <c r="AF41969" s="679"/>
    </row>
    <row r="41970" spans="32:32" x14ac:dyDescent="0.2">
      <c r="AF41970" s="679"/>
    </row>
    <row r="41971" spans="32:32" x14ac:dyDescent="0.2">
      <c r="AF41971" s="679"/>
    </row>
    <row r="41972" spans="32:32" x14ac:dyDescent="0.2">
      <c r="AF41972" s="679"/>
    </row>
    <row r="41973" spans="32:32" x14ac:dyDescent="0.2">
      <c r="AF41973" s="679"/>
    </row>
    <row r="41974" spans="32:32" x14ac:dyDescent="0.2">
      <c r="AF41974" s="679"/>
    </row>
    <row r="41975" spans="32:32" x14ac:dyDescent="0.2">
      <c r="AF41975" s="679"/>
    </row>
    <row r="41976" spans="32:32" x14ac:dyDescent="0.2">
      <c r="AF41976" s="679"/>
    </row>
    <row r="41977" spans="32:32" x14ac:dyDescent="0.2">
      <c r="AF41977" s="679"/>
    </row>
    <row r="41978" spans="32:32" x14ac:dyDescent="0.2">
      <c r="AF41978" s="679"/>
    </row>
    <row r="41979" spans="32:32" x14ac:dyDescent="0.2">
      <c r="AF41979" s="679"/>
    </row>
    <row r="41980" spans="32:32" x14ac:dyDescent="0.2">
      <c r="AF41980" s="679"/>
    </row>
    <row r="41981" spans="32:32" x14ac:dyDescent="0.2">
      <c r="AF41981" s="679"/>
    </row>
    <row r="41982" spans="32:32" x14ac:dyDescent="0.2">
      <c r="AF41982" s="679"/>
    </row>
    <row r="41983" spans="32:32" x14ac:dyDescent="0.2">
      <c r="AF41983" s="679"/>
    </row>
    <row r="41984" spans="32:32" x14ac:dyDescent="0.2">
      <c r="AF41984" s="679"/>
    </row>
    <row r="41985" spans="32:32" x14ac:dyDescent="0.2">
      <c r="AF41985" s="679"/>
    </row>
    <row r="41986" spans="32:32" x14ac:dyDescent="0.2">
      <c r="AF41986" s="679"/>
    </row>
    <row r="41987" spans="32:32" x14ac:dyDescent="0.2">
      <c r="AF41987" s="679"/>
    </row>
    <row r="41988" spans="32:32" x14ac:dyDescent="0.2">
      <c r="AF41988" s="679"/>
    </row>
    <row r="41989" spans="32:32" x14ac:dyDescent="0.2">
      <c r="AF41989" s="679"/>
    </row>
    <row r="41990" spans="32:32" x14ac:dyDescent="0.2">
      <c r="AF41990" s="679"/>
    </row>
    <row r="41991" spans="32:32" x14ac:dyDescent="0.2">
      <c r="AF41991" s="679"/>
    </row>
    <row r="41992" spans="32:32" x14ac:dyDescent="0.2">
      <c r="AF41992" s="679"/>
    </row>
    <row r="41993" spans="32:32" x14ac:dyDescent="0.2">
      <c r="AF41993" s="679"/>
    </row>
    <row r="41994" spans="32:32" x14ac:dyDescent="0.2">
      <c r="AF41994" s="679"/>
    </row>
    <row r="41995" spans="32:32" x14ac:dyDescent="0.2">
      <c r="AF41995" s="679"/>
    </row>
    <row r="41996" spans="32:32" x14ac:dyDescent="0.2">
      <c r="AF41996" s="679"/>
    </row>
    <row r="41997" spans="32:32" x14ac:dyDescent="0.2">
      <c r="AF41997" s="679"/>
    </row>
    <row r="41998" spans="32:32" x14ac:dyDescent="0.2">
      <c r="AF41998" s="679"/>
    </row>
    <row r="41999" spans="32:32" x14ac:dyDescent="0.2">
      <c r="AF41999" s="679"/>
    </row>
    <row r="42000" spans="32:32" x14ac:dyDescent="0.2">
      <c r="AF42000" s="679"/>
    </row>
    <row r="42001" spans="32:32" x14ac:dyDescent="0.2">
      <c r="AF42001" s="679"/>
    </row>
    <row r="42002" spans="32:32" x14ac:dyDescent="0.2">
      <c r="AF42002" s="679"/>
    </row>
    <row r="42003" spans="32:32" x14ac:dyDescent="0.2">
      <c r="AF42003" s="679"/>
    </row>
    <row r="42004" spans="32:32" x14ac:dyDescent="0.2">
      <c r="AF42004" s="679"/>
    </row>
    <row r="42005" spans="32:32" x14ac:dyDescent="0.2">
      <c r="AF42005" s="679"/>
    </row>
    <row r="42006" spans="32:32" x14ac:dyDescent="0.2">
      <c r="AF42006" s="679"/>
    </row>
    <row r="42007" spans="32:32" x14ac:dyDescent="0.2">
      <c r="AF42007" s="679"/>
    </row>
    <row r="42008" spans="32:32" x14ac:dyDescent="0.2">
      <c r="AF42008" s="679"/>
    </row>
    <row r="42009" spans="32:32" x14ac:dyDescent="0.2">
      <c r="AF42009" s="679"/>
    </row>
    <row r="42010" spans="32:32" x14ac:dyDescent="0.2">
      <c r="AF42010" s="679"/>
    </row>
    <row r="42011" spans="32:32" x14ac:dyDescent="0.2">
      <c r="AF42011" s="679"/>
    </row>
    <row r="42012" spans="32:32" x14ac:dyDescent="0.2">
      <c r="AF42012" s="679"/>
    </row>
    <row r="42013" spans="32:32" x14ac:dyDescent="0.2">
      <c r="AF42013" s="679"/>
    </row>
    <row r="42014" spans="32:32" x14ac:dyDescent="0.2">
      <c r="AF42014" s="679"/>
    </row>
    <row r="42015" spans="32:32" x14ac:dyDescent="0.2">
      <c r="AF42015" s="679"/>
    </row>
    <row r="42016" spans="32:32" x14ac:dyDescent="0.2">
      <c r="AF42016" s="679"/>
    </row>
    <row r="42017" spans="32:32" x14ac:dyDescent="0.2">
      <c r="AF42017" s="679"/>
    </row>
    <row r="42018" spans="32:32" x14ac:dyDescent="0.2">
      <c r="AF42018" s="679"/>
    </row>
    <row r="42019" spans="32:32" x14ac:dyDescent="0.2">
      <c r="AF42019" s="679"/>
    </row>
    <row r="42020" spans="32:32" x14ac:dyDescent="0.2">
      <c r="AF42020" s="679"/>
    </row>
    <row r="42021" spans="32:32" x14ac:dyDescent="0.2">
      <c r="AF42021" s="679"/>
    </row>
    <row r="42022" spans="32:32" x14ac:dyDescent="0.2">
      <c r="AF42022" s="679"/>
    </row>
    <row r="42023" spans="32:32" x14ac:dyDescent="0.2">
      <c r="AF42023" s="679"/>
    </row>
    <row r="42024" spans="32:32" x14ac:dyDescent="0.2">
      <c r="AF42024" s="679"/>
    </row>
    <row r="42025" spans="32:32" x14ac:dyDescent="0.2">
      <c r="AF42025" s="679"/>
    </row>
    <row r="42026" spans="32:32" x14ac:dyDescent="0.2">
      <c r="AF42026" s="679"/>
    </row>
    <row r="42027" spans="32:32" x14ac:dyDescent="0.2">
      <c r="AF42027" s="679"/>
    </row>
    <row r="42028" spans="32:32" x14ac:dyDescent="0.2">
      <c r="AF42028" s="679"/>
    </row>
    <row r="42029" spans="32:32" x14ac:dyDescent="0.2">
      <c r="AF42029" s="679"/>
    </row>
    <row r="42030" spans="32:32" x14ac:dyDescent="0.2">
      <c r="AF42030" s="679"/>
    </row>
    <row r="42031" spans="32:32" x14ac:dyDescent="0.2">
      <c r="AF42031" s="679"/>
    </row>
    <row r="42032" spans="32:32" x14ac:dyDescent="0.2">
      <c r="AF42032" s="679"/>
    </row>
    <row r="42033" spans="32:32" x14ac:dyDescent="0.2">
      <c r="AF42033" s="679"/>
    </row>
    <row r="42034" spans="32:32" x14ac:dyDescent="0.2">
      <c r="AF42034" s="679"/>
    </row>
    <row r="42035" spans="32:32" x14ac:dyDescent="0.2">
      <c r="AF42035" s="679"/>
    </row>
    <row r="42036" spans="32:32" x14ac:dyDescent="0.2">
      <c r="AF42036" s="679"/>
    </row>
    <row r="42037" spans="32:32" x14ac:dyDescent="0.2">
      <c r="AF42037" s="679"/>
    </row>
    <row r="42038" spans="32:32" x14ac:dyDescent="0.2">
      <c r="AF42038" s="679"/>
    </row>
    <row r="42039" spans="32:32" x14ac:dyDescent="0.2">
      <c r="AF42039" s="679"/>
    </row>
    <row r="42040" spans="32:32" x14ac:dyDescent="0.2">
      <c r="AF42040" s="679"/>
    </row>
    <row r="42041" spans="32:32" x14ac:dyDescent="0.2">
      <c r="AF42041" s="679"/>
    </row>
    <row r="42042" spans="32:32" x14ac:dyDescent="0.2">
      <c r="AF42042" s="679"/>
    </row>
    <row r="42043" spans="32:32" x14ac:dyDescent="0.2">
      <c r="AF42043" s="679"/>
    </row>
    <row r="42044" spans="32:32" x14ac:dyDescent="0.2">
      <c r="AF42044" s="679"/>
    </row>
    <row r="42045" spans="32:32" x14ac:dyDescent="0.2">
      <c r="AF42045" s="679"/>
    </row>
    <row r="42046" spans="32:32" x14ac:dyDescent="0.2">
      <c r="AF42046" s="679"/>
    </row>
    <row r="42047" spans="32:32" x14ac:dyDescent="0.2">
      <c r="AF42047" s="679"/>
    </row>
    <row r="42048" spans="32:32" x14ac:dyDescent="0.2">
      <c r="AF42048" s="679"/>
    </row>
    <row r="42049" spans="32:32" x14ac:dyDescent="0.2">
      <c r="AF42049" s="679"/>
    </row>
    <row r="42050" spans="32:32" x14ac:dyDescent="0.2">
      <c r="AF42050" s="679"/>
    </row>
    <row r="42051" spans="32:32" x14ac:dyDescent="0.2">
      <c r="AF42051" s="679"/>
    </row>
    <row r="42052" spans="32:32" x14ac:dyDescent="0.2">
      <c r="AF42052" s="679"/>
    </row>
    <row r="42053" spans="32:32" x14ac:dyDescent="0.2">
      <c r="AF42053" s="679"/>
    </row>
    <row r="42054" spans="32:32" x14ac:dyDescent="0.2">
      <c r="AF42054" s="679"/>
    </row>
    <row r="42055" spans="32:32" x14ac:dyDescent="0.2">
      <c r="AF42055" s="679"/>
    </row>
    <row r="42056" spans="32:32" x14ac:dyDescent="0.2">
      <c r="AF42056" s="679"/>
    </row>
    <row r="42057" spans="32:32" x14ac:dyDescent="0.2">
      <c r="AF42057" s="679"/>
    </row>
    <row r="42058" spans="32:32" x14ac:dyDescent="0.2">
      <c r="AF42058" s="679"/>
    </row>
    <row r="42059" spans="32:32" x14ac:dyDescent="0.2">
      <c r="AF42059" s="679"/>
    </row>
    <row r="42060" spans="32:32" x14ac:dyDescent="0.2">
      <c r="AF42060" s="679"/>
    </row>
    <row r="42061" spans="32:32" x14ac:dyDescent="0.2">
      <c r="AF42061" s="679"/>
    </row>
    <row r="42062" spans="32:32" x14ac:dyDescent="0.2">
      <c r="AF42062" s="679"/>
    </row>
    <row r="42063" spans="32:32" x14ac:dyDescent="0.2">
      <c r="AF42063" s="679"/>
    </row>
    <row r="42064" spans="32:32" x14ac:dyDescent="0.2">
      <c r="AF42064" s="679"/>
    </row>
    <row r="42065" spans="32:32" x14ac:dyDescent="0.2">
      <c r="AF42065" s="679"/>
    </row>
    <row r="42066" spans="32:32" x14ac:dyDescent="0.2">
      <c r="AF42066" s="679"/>
    </row>
    <row r="42067" spans="32:32" x14ac:dyDescent="0.2">
      <c r="AF42067" s="679"/>
    </row>
    <row r="42068" spans="32:32" x14ac:dyDescent="0.2">
      <c r="AF42068" s="679"/>
    </row>
    <row r="42069" spans="32:32" x14ac:dyDescent="0.2">
      <c r="AF42069" s="679"/>
    </row>
    <row r="42070" spans="32:32" x14ac:dyDescent="0.2">
      <c r="AF42070" s="679"/>
    </row>
    <row r="42071" spans="32:32" x14ac:dyDescent="0.2">
      <c r="AF42071" s="679"/>
    </row>
    <row r="42072" spans="32:32" x14ac:dyDescent="0.2">
      <c r="AF42072" s="679"/>
    </row>
    <row r="42073" spans="32:32" x14ac:dyDescent="0.2">
      <c r="AF42073" s="679"/>
    </row>
    <row r="42074" spans="32:32" x14ac:dyDescent="0.2">
      <c r="AF42074" s="679"/>
    </row>
    <row r="42075" spans="32:32" x14ac:dyDescent="0.2">
      <c r="AF42075" s="679"/>
    </row>
    <row r="42076" spans="32:32" x14ac:dyDescent="0.2">
      <c r="AF42076" s="679"/>
    </row>
    <row r="42077" spans="32:32" x14ac:dyDescent="0.2">
      <c r="AF42077" s="679"/>
    </row>
    <row r="42078" spans="32:32" x14ac:dyDescent="0.2">
      <c r="AF42078" s="679"/>
    </row>
    <row r="42079" spans="32:32" x14ac:dyDescent="0.2">
      <c r="AF42079" s="679"/>
    </row>
    <row r="42080" spans="32:32" x14ac:dyDescent="0.2">
      <c r="AF42080" s="679"/>
    </row>
    <row r="42081" spans="32:32" x14ac:dyDescent="0.2">
      <c r="AF42081" s="679"/>
    </row>
    <row r="42082" spans="32:32" x14ac:dyDescent="0.2">
      <c r="AF42082" s="679"/>
    </row>
    <row r="42083" spans="32:32" x14ac:dyDescent="0.2">
      <c r="AF42083" s="679"/>
    </row>
    <row r="42084" spans="32:32" x14ac:dyDescent="0.2">
      <c r="AF42084" s="679"/>
    </row>
    <row r="42085" spans="32:32" x14ac:dyDescent="0.2">
      <c r="AF42085" s="679"/>
    </row>
    <row r="42086" spans="32:32" x14ac:dyDescent="0.2">
      <c r="AF42086" s="679"/>
    </row>
    <row r="42087" spans="32:32" x14ac:dyDescent="0.2">
      <c r="AF42087" s="679"/>
    </row>
    <row r="42088" spans="32:32" x14ac:dyDescent="0.2">
      <c r="AF42088" s="679"/>
    </row>
    <row r="42089" spans="32:32" x14ac:dyDescent="0.2">
      <c r="AF42089" s="679"/>
    </row>
    <row r="42090" spans="32:32" x14ac:dyDescent="0.2">
      <c r="AF42090" s="679"/>
    </row>
    <row r="42091" spans="32:32" x14ac:dyDescent="0.2">
      <c r="AF42091" s="679"/>
    </row>
    <row r="42092" spans="32:32" x14ac:dyDescent="0.2">
      <c r="AF42092" s="679"/>
    </row>
    <row r="42093" spans="32:32" x14ac:dyDescent="0.2">
      <c r="AF42093" s="679"/>
    </row>
    <row r="42094" spans="32:32" x14ac:dyDescent="0.2">
      <c r="AF42094" s="679"/>
    </row>
    <row r="42095" spans="32:32" x14ac:dyDescent="0.2">
      <c r="AF42095" s="679"/>
    </row>
    <row r="42096" spans="32:32" x14ac:dyDescent="0.2">
      <c r="AF42096" s="679"/>
    </row>
    <row r="42097" spans="32:32" x14ac:dyDescent="0.2">
      <c r="AF42097" s="679"/>
    </row>
    <row r="42098" spans="32:32" x14ac:dyDescent="0.2">
      <c r="AF42098" s="679"/>
    </row>
    <row r="42099" spans="32:32" x14ac:dyDescent="0.2">
      <c r="AF42099" s="679"/>
    </row>
    <row r="42100" spans="32:32" x14ac:dyDescent="0.2">
      <c r="AF42100" s="679"/>
    </row>
    <row r="42101" spans="32:32" x14ac:dyDescent="0.2">
      <c r="AF42101" s="679"/>
    </row>
    <row r="42102" spans="32:32" x14ac:dyDescent="0.2">
      <c r="AF42102" s="679"/>
    </row>
    <row r="42103" spans="32:32" x14ac:dyDescent="0.2">
      <c r="AF42103" s="679"/>
    </row>
    <row r="42104" spans="32:32" x14ac:dyDescent="0.2">
      <c r="AF42104" s="679"/>
    </row>
    <row r="42105" spans="32:32" x14ac:dyDescent="0.2">
      <c r="AF42105" s="679"/>
    </row>
    <row r="42106" spans="32:32" x14ac:dyDescent="0.2">
      <c r="AF42106" s="679"/>
    </row>
    <row r="42107" spans="32:32" x14ac:dyDescent="0.2">
      <c r="AF42107" s="679"/>
    </row>
    <row r="42108" spans="32:32" x14ac:dyDescent="0.2">
      <c r="AF42108" s="679"/>
    </row>
    <row r="42109" spans="32:32" x14ac:dyDescent="0.2">
      <c r="AF42109" s="679"/>
    </row>
    <row r="42110" spans="32:32" x14ac:dyDescent="0.2">
      <c r="AF42110" s="679"/>
    </row>
    <row r="42111" spans="32:32" x14ac:dyDescent="0.2">
      <c r="AF42111" s="679"/>
    </row>
    <row r="42112" spans="32:32" x14ac:dyDescent="0.2">
      <c r="AF42112" s="679"/>
    </row>
    <row r="42113" spans="32:32" x14ac:dyDescent="0.2">
      <c r="AF42113" s="679"/>
    </row>
    <row r="42114" spans="32:32" x14ac:dyDescent="0.2">
      <c r="AF42114" s="679"/>
    </row>
    <row r="42115" spans="32:32" x14ac:dyDescent="0.2">
      <c r="AF42115" s="679"/>
    </row>
    <row r="42116" spans="32:32" x14ac:dyDescent="0.2">
      <c r="AF42116" s="679"/>
    </row>
    <row r="42117" spans="32:32" x14ac:dyDescent="0.2">
      <c r="AF42117" s="679"/>
    </row>
    <row r="42118" spans="32:32" x14ac:dyDescent="0.2">
      <c r="AF42118" s="679"/>
    </row>
    <row r="42119" spans="32:32" x14ac:dyDescent="0.2">
      <c r="AF42119" s="679"/>
    </row>
    <row r="42120" spans="32:32" x14ac:dyDescent="0.2">
      <c r="AF42120" s="679"/>
    </row>
    <row r="42121" spans="32:32" x14ac:dyDescent="0.2">
      <c r="AF42121" s="679"/>
    </row>
    <row r="42122" spans="32:32" x14ac:dyDescent="0.2">
      <c r="AF42122" s="679"/>
    </row>
    <row r="42123" spans="32:32" x14ac:dyDescent="0.2">
      <c r="AF42123" s="679"/>
    </row>
    <row r="42124" spans="32:32" x14ac:dyDescent="0.2">
      <c r="AF42124" s="679"/>
    </row>
    <row r="42125" spans="32:32" x14ac:dyDescent="0.2">
      <c r="AF42125" s="679"/>
    </row>
    <row r="42126" spans="32:32" x14ac:dyDescent="0.2">
      <c r="AF42126" s="679"/>
    </row>
    <row r="42127" spans="32:32" x14ac:dyDescent="0.2">
      <c r="AF42127" s="679"/>
    </row>
    <row r="42128" spans="32:32" x14ac:dyDescent="0.2">
      <c r="AF42128" s="679"/>
    </row>
    <row r="42129" spans="32:32" x14ac:dyDescent="0.2">
      <c r="AF42129" s="679"/>
    </row>
    <row r="42130" spans="32:32" x14ac:dyDescent="0.2">
      <c r="AF42130" s="679"/>
    </row>
    <row r="42131" spans="32:32" x14ac:dyDescent="0.2">
      <c r="AF42131" s="679"/>
    </row>
    <row r="42132" spans="32:32" x14ac:dyDescent="0.2">
      <c r="AF42132" s="679"/>
    </row>
    <row r="42133" spans="32:32" x14ac:dyDescent="0.2">
      <c r="AF42133" s="679"/>
    </row>
    <row r="42134" spans="32:32" x14ac:dyDescent="0.2">
      <c r="AF42134" s="679"/>
    </row>
    <row r="42135" spans="32:32" x14ac:dyDescent="0.2">
      <c r="AF42135" s="679"/>
    </row>
    <row r="42136" spans="32:32" x14ac:dyDescent="0.2">
      <c r="AF42136" s="679"/>
    </row>
    <row r="42137" spans="32:32" x14ac:dyDescent="0.2">
      <c r="AF42137" s="679"/>
    </row>
    <row r="42138" spans="32:32" x14ac:dyDescent="0.2">
      <c r="AF42138" s="679"/>
    </row>
    <row r="42139" spans="32:32" x14ac:dyDescent="0.2">
      <c r="AF42139" s="679"/>
    </row>
    <row r="42140" spans="32:32" x14ac:dyDescent="0.2">
      <c r="AF42140" s="679"/>
    </row>
    <row r="42141" spans="32:32" x14ac:dyDescent="0.2">
      <c r="AF42141" s="679"/>
    </row>
    <row r="42142" spans="32:32" x14ac:dyDescent="0.2">
      <c r="AF42142" s="679"/>
    </row>
    <row r="42143" spans="32:32" x14ac:dyDescent="0.2">
      <c r="AF42143" s="679"/>
    </row>
    <row r="42144" spans="32:32" x14ac:dyDescent="0.2">
      <c r="AF42144" s="679"/>
    </row>
    <row r="42145" spans="32:32" x14ac:dyDescent="0.2">
      <c r="AF42145" s="679"/>
    </row>
    <row r="42146" spans="32:32" x14ac:dyDescent="0.2">
      <c r="AF42146" s="679"/>
    </row>
    <row r="42147" spans="32:32" x14ac:dyDescent="0.2">
      <c r="AF42147" s="679"/>
    </row>
    <row r="42148" spans="32:32" x14ac:dyDescent="0.2">
      <c r="AF42148" s="679"/>
    </row>
    <row r="42149" spans="32:32" x14ac:dyDescent="0.2">
      <c r="AF42149" s="679"/>
    </row>
    <row r="42150" spans="32:32" x14ac:dyDescent="0.2">
      <c r="AF42150" s="679"/>
    </row>
    <row r="42151" spans="32:32" x14ac:dyDescent="0.2">
      <c r="AF42151" s="679"/>
    </row>
    <row r="42152" spans="32:32" x14ac:dyDescent="0.2">
      <c r="AF42152" s="679"/>
    </row>
    <row r="42153" spans="32:32" x14ac:dyDescent="0.2">
      <c r="AF42153" s="679"/>
    </row>
    <row r="42154" spans="32:32" x14ac:dyDescent="0.2">
      <c r="AF42154" s="679"/>
    </row>
    <row r="42155" spans="32:32" x14ac:dyDescent="0.2">
      <c r="AF42155" s="679"/>
    </row>
    <row r="42156" spans="32:32" x14ac:dyDescent="0.2">
      <c r="AF42156" s="679"/>
    </row>
    <row r="42157" spans="32:32" x14ac:dyDescent="0.2">
      <c r="AF42157" s="679"/>
    </row>
    <row r="42158" spans="32:32" x14ac:dyDescent="0.2">
      <c r="AF42158" s="679"/>
    </row>
    <row r="42159" spans="32:32" x14ac:dyDescent="0.2">
      <c r="AF42159" s="679"/>
    </row>
    <row r="42160" spans="32:32" x14ac:dyDescent="0.2">
      <c r="AF42160" s="679"/>
    </row>
    <row r="42161" spans="32:32" x14ac:dyDescent="0.2">
      <c r="AF42161" s="679"/>
    </row>
    <row r="42162" spans="32:32" x14ac:dyDescent="0.2">
      <c r="AF42162" s="679"/>
    </row>
    <row r="42163" spans="32:32" x14ac:dyDescent="0.2">
      <c r="AF42163" s="679"/>
    </row>
    <row r="42164" spans="32:32" x14ac:dyDescent="0.2">
      <c r="AF42164" s="679"/>
    </row>
    <row r="42165" spans="32:32" x14ac:dyDescent="0.2">
      <c r="AF42165" s="679"/>
    </row>
    <row r="42166" spans="32:32" x14ac:dyDescent="0.2">
      <c r="AF42166" s="679"/>
    </row>
    <row r="42167" spans="32:32" x14ac:dyDescent="0.2">
      <c r="AF42167" s="679"/>
    </row>
    <row r="42168" spans="32:32" x14ac:dyDescent="0.2">
      <c r="AF42168" s="679"/>
    </row>
    <row r="42169" spans="32:32" x14ac:dyDescent="0.2">
      <c r="AF42169" s="679"/>
    </row>
    <row r="42170" spans="32:32" x14ac:dyDescent="0.2">
      <c r="AF42170" s="679"/>
    </row>
    <row r="42171" spans="32:32" x14ac:dyDescent="0.2">
      <c r="AF42171" s="679"/>
    </row>
    <row r="42172" spans="32:32" x14ac:dyDescent="0.2">
      <c r="AF42172" s="679"/>
    </row>
    <row r="42173" spans="32:32" x14ac:dyDescent="0.2">
      <c r="AF42173" s="679"/>
    </row>
    <row r="42174" spans="32:32" x14ac:dyDescent="0.2">
      <c r="AF42174" s="679"/>
    </row>
    <row r="42175" spans="32:32" x14ac:dyDescent="0.2">
      <c r="AF42175" s="679"/>
    </row>
    <row r="42176" spans="32:32" x14ac:dyDescent="0.2">
      <c r="AF42176" s="679"/>
    </row>
    <row r="42177" spans="32:32" x14ac:dyDescent="0.2">
      <c r="AF42177" s="679"/>
    </row>
    <row r="42178" spans="32:32" x14ac:dyDescent="0.2">
      <c r="AF42178" s="679"/>
    </row>
    <row r="42179" spans="32:32" x14ac:dyDescent="0.2">
      <c r="AF42179" s="679"/>
    </row>
    <row r="42180" spans="32:32" x14ac:dyDescent="0.2">
      <c r="AF42180" s="679"/>
    </row>
    <row r="42181" spans="32:32" x14ac:dyDescent="0.2">
      <c r="AF42181" s="679"/>
    </row>
    <row r="42182" spans="32:32" x14ac:dyDescent="0.2">
      <c r="AF42182" s="679"/>
    </row>
    <row r="42183" spans="32:32" x14ac:dyDescent="0.2">
      <c r="AF42183" s="679"/>
    </row>
    <row r="42184" spans="32:32" x14ac:dyDescent="0.2">
      <c r="AF42184" s="679"/>
    </row>
    <row r="42185" spans="32:32" x14ac:dyDescent="0.2">
      <c r="AF42185" s="679"/>
    </row>
    <row r="42186" spans="32:32" x14ac:dyDescent="0.2">
      <c r="AF42186" s="679"/>
    </row>
    <row r="42187" spans="32:32" x14ac:dyDescent="0.2">
      <c r="AF42187" s="679"/>
    </row>
    <row r="42188" spans="32:32" x14ac:dyDescent="0.2">
      <c r="AF42188" s="679"/>
    </row>
    <row r="42189" spans="32:32" x14ac:dyDescent="0.2">
      <c r="AF42189" s="679"/>
    </row>
    <row r="42190" spans="32:32" x14ac:dyDescent="0.2">
      <c r="AF42190" s="679"/>
    </row>
    <row r="42191" spans="32:32" x14ac:dyDescent="0.2">
      <c r="AF42191" s="679"/>
    </row>
    <row r="42192" spans="32:32" x14ac:dyDescent="0.2">
      <c r="AF42192" s="679"/>
    </row>
    <row r="42193" spans="32:32" x14ac:dyDescent="0.2">
      <c r="AF42193" s="679"/>
    </row>
    <row r="42194" spans="32:32" x14ac:dyDescent="0.2">
      <c r="AF42194" s="679"/>
    </row>
    <row r="42195" spans="32:32" x14ac:dyDescent="0.2">
      <c r="AF42195" s="679"/>
    </row>
    <row r="42196" spans="32:32" x14ac:dyDescent="0.2">
      <c r="AF42196" s="679"/>
    </row>
    <row r="42197" spans="32:32" x14ac:dyDescent="0.2">
      <c r="AF42197" s="679"/>
    </row>
    <row r="42198" spans="32:32" x14ac:dyDescent="0.2">
      <c r="AF42198" s="679"/>
    </row>
    <row r="42199" spans="32:32" x14ac:dyDescent="0.2">
      <c r="AF42199" s="679"/>
    </row>
    <row r="42200" spans="32:32" x14ac:dyDescent="0.2">
      <c r="AF42200" s="679"/>
    </row>
    <row r="42201" spans="32:32" x14ac:dyDescent="0.2">
      <c r="AF42201" s="679"/>
    </row>
    <row r="42202" spans="32:32" x14ac:dyDescent="0.2">
      <c r="AF42202" s="679"/>
    </row>
    <row r="42203" spans="32:32" x14ac:dyDescent="0.2">
      <c r="AF42203" s="679"/>
    </row>
    <row r="42204" spans="32:32" x14ac:dyDescent="0.2">
      <c r="AF42204" s="679"/>
    </row>
    <row r="42205" spans="32:32" x14ac:dyDescent="0.2">
      <c r="AF42205" s="679"/>
    </row>
    <row r="42206" spans="32:32" x14ac:dyDescent="0.2">
      <c r="AF42206" s="679"/>
    </row>
    <row r="42207" spans="32:32" x14ac:dyDescent="0.2">
      <c r="AF42207" s="679"/>
    </row>
    <row r="42208" spans="32:32" x14ac:dyDescent="0.2">
      <c r="AF42208" s="679"/>
    </row>
    <row r="42209" spans="32:32" x14ac:dyDescent="0.2">
      <c r="AF42209" s="679"/>
    </row>
    <row r="42210" spans="32:32" x14ac:dyDescent="0.2">
      <c r="AF42210" s="679"/>
    </row>
    <row r="42211" spans="32:32" x14ac:dyDescent="0.2">
      <c r="AF42211" s="679"/>
    </row>
    <row r="42212" spans="32:32" x14ac:dyDescent="0.2">
      <c r="AF42212" s="679"/>
    </row>
    <row r="42213" spans="32:32" x14ac:dyDescent="0.2">
      <c r="AF42213" s="679"/>
    </row>
    <row r="42214" spans="32:32" x14ac:dyDescent="0.2">
      <c r="AF42214" s="679"/>
    </row>
    <row r="42215" spans="32:32" x14ac:dyDescent="0.2">
      <c r="AF42215" s="679"/>
    </row>
    <row r="42216" spans="32:32" x14ac:dyDescent="0.2">
      <c r="AF42216" s="679"/>
    </row>
    <row r="42217" spans="32:32" x14ac:dyDescent="0.2">
      <c r="AF42217" s="679"/>
    </row>
    <row r="42218" spans="32:32" x14ac:dyDescent="0.2">
      <c r="AF42218" s="679"/>
    </row>
    <row r="42219" spans="32:32" x14ac:dyDescent="0.2">
      <c r="AF42219" s="679"/>
    </row>
    <row r="42220" spans="32:32" x14ac:dyDescent="0.2">
      <c r="AF42220" s="679"/>
    </row>
    <row r="42221" spans="32:32" x14ac:dyDescent="0.2">
      <c r="AF42221" s="679"/>
    </row>
    <row r="42222" spans="32:32" x14ac:dyDescent="0.2">
      <c r="AF42222" s="679"/>
    </row>
    <row r="42223" spans="32:32" x14ac:dyDescent="0.2">
      <c r="AF42223" s="679"/>
    </row>
    <row r="42224" spans="32:32" x14ac:dyDescent="0.2">
      <c r="AF42224" s="679"/>
    </row>
    <row r="42225" spans="32:32" x14ac:dyDescent="0.2">
      <c r="AF42225" s="679"/>
    </row>
    <row r="42226" spans="32:32" x14ac:dyDescent="0.2">
      <c r="AF42226" s="679"/>
    </row>
    <row r="42227" spans="32:32" x14ac:dyDescent="0.2">
      <c r="AF42227" s="679"/>
    </row>
    <row r="42228" spans="32:32" x14ac:dyDescent="0.2">
      <c r="AF42228" s="679"/>
    </row>
    <row r="42229" spans="32:32" x14ac:dyDescent="0.2">
      <c r="AF42229" s="679"/>
    </row>
    <row r="42230" spans="32:32" x14ac:dyDescent="0.2">
      <c r="AF42230" s="679"/>
    </row>
    <row r="42231" spans="32:32" x14ac:dyDescent="0.2">
      <c r="AF42231" s="679"/>
    </row>
    <row r="42232" spans="32:32" x14ac:dyDescent="0.2">
      <c r="AF42232" s="679"/>
    </row>
    <row r="42233" spans="32:32" x14ac:dyDescent="0.2">
      <c r="AF42233" s="679"/>
    </row>
    <row r="42234" spans="32:32" x14ac:dyDescent="0.2">
      <c r="AF42234" s="679"/>
    </row>
    <row r="42235" spans="32:32" x14ac:dyDescent="0.2">
      <c r="AF42235" s="679"/>
    </row>
    <row r="42236" spans="32:32" x14ac:dyDescent="0.2">
      <c r="AF42236" s="679"/>
    </row>
    <row r="42237" spans="32:32" x14ac:dyDescent="0.2">
      <c r="AF42237" s="679"/>
    </row>
    <row r="42238" spans="32:32" x14ac:dyDescent="0.2">
      <c r="AF42238" s="679"/>
    </row>
    <row r="42239" spans="32:32" x14ac:dyDescent="0.2">
      <c r="AF42239" s="679"/>
    </row>
    <row r="42240" spans="32:32" x14ac:dyDescent="0.2">
      <c r="AF42240" s="679"/>
    </row>
    <row r="42241" spans="32:32" x14ac:dyDescent="0.2">
      <c r="AF42241" s="679"/>
    </row>
    <row r="42242" spans="32:32" x14ac:dyDescent="0.2">
      <c r="AF42242" s="679"/>
    </row>
    <row r="42243" spans="32:32" x14ac:dyDescent="0.2">
      <c r="AF42243" s="679"/>
    </row>
    <row r="42244" spans="32:32" x14ac:dyDescent="0.2">
      <c r="AF42244" s="679"/>
    </row>
    <row r="42245" spans="32:32" x14ac:dyDescent="0.2">
      <c r="AF42245" s="679"/>
    </row>
    <row r="42246" spans="32:32" x14ac:dyDescent="0.2">
      <c r="AF42246" s="679"/>
    </row>
    <row r="42247" spans="32:32" x14ac:dyDescent="0.2">
      <c r="AF42247" s="679"/>
    </row>
    <row r="42248" spans="32:32" x14ac:dyDescent="0.2">
      <c r="AF42248" s="679"/>
    </row>
    <row r="42249" spans="32:32" x14ac:dyDescent="0.2">
      <c r="AF42249" s="679"/>
    </row>
    <row r="42250" spans="32:32" x14ac:dyDescent="0.2">
      <c r="AF42250" s="679"/>
    </row>
    <row r="42251" spans="32:32" x14ac:dyDescent="0.2">
      <c r="AF42251" s="679"/>
    </row>
    <row r="42252" spans="32:32" x14ac:dyDescent="0.2">
      <c r="AF42252" s="679"/>
    </row>
    <row r="42253" spans="32:32" x14ac:dyDescent="0.2">
      <c r="AF42253" s="679"/>
    </row>
    <row r="42254" spans="32:32" x14ac:dyDescent="0.2">
      <c r="AF42254" s="679"/>
    </row>
    <row r="42255" spans="32:32" x14ac:dyDescent="0.2">
      <c r="AF42255" s="679"/>
    </row>
    <row r="42256" spans="32:32" x14ac:dyDescent="0.2">
      <c r="AF42256" s="679"/>
    </row>
    <row r="42257" spans="32:32" x14ac:dyDescent="0.2">
      <c r="AF42257" s="679"/>
    </row>
    <row r="42258" spans="32:32" x14ac:dyDescent="0.2">
      <c r="AF42258" s="679"/>
    </row>
    <row r="42259" spans="32:32" x14ac:dyDescent="0.2">
      <c r="AF42259" s="679"/>
    </row>
    <row r="42260" spans="32:32" x14ac:dyDescent="0.2">
      <c r="AF42260" s="679"/>
    </row>
    <row r="42261" spans="32:32" x14ac:dyDescent="0.2">
      <c r="AF42261" s="679"/>
    </row>
    <row r="42262" spans="32:32" x14ac:dyDescent="0.2">
      <c r="AF42262" s="679"/>
    </row>
    <row r="42263" spans="32:32" x14ac:dyDescent="0.2">
      <c r="AF42263" s="679"/>
    </row>
    <row r="42264" spans="32:32" x14ac:dyDescent="0.2">
      <c r="AF42264" s="679"/>
    </row>
    <row r="42265" spans="32:32" x14ac:dyDescent="0.2">
      <c r="AF42265" s="679"/>
    </row>
    <row r="42266" spans="32:32" x14ac:dyDescent="0.2">
      <c r="AF42266" s="679"/>
    </row>
    <row r="42267" spans="32:32" x14ac:dyDescent="0.2">
      <c r="AF42267" s="679"/>
    </row>
    <row r="42268" spans="32:32" x14ac:dyDescent="0.2">
      <c r="AF42268" s="679"/>
    </row>
    <row r="42269" spans="32:32" x14ac:dyDescent="0.2">
      <c r="AF42269" s="679"/>
    </row>
    <row r="42270" spans="32:32" x14ac:dyDescent="0.2">
      <c r="AF42270" s="679"/>
    </row>
    <row r="42271" spans="32:32" x14ac:dyDescent="0.2">
      <c r="AF42271" s="679"/>
    </row>
    <row r="42272" spans="32:32" x14ac:dyDescent="0.2">
      <c r="AF42272" s="679"/>
    </row>
    <row r="42273" spans="32:32" x14ac:dyDescent="0.2">
      <c r="AF42273" s="679"/>
    </row>
    <row r="42274" spans="32:32" x14ac:dyDescent="0.2">
      <c r="AF42274" s="679"/>
    </row>
    <row r="42275" spans="32:32" x14ac:dyDescent="0.2">
      <c r="AF42275" s="679"/>
    </row>
    <row r="42276" spans="32:32" x14ac:dyDescent="0.2">
      <c r="AF42276" s="679"/>
    </row>
    <row r="42277" spans="32:32" x14ac:dyDescent="0.2">
      <c r="AF42277" s="679"/>
    </row>
    <row r="42278" spans="32:32" x14ac:dyDescent="0.2">
      <c r="AF42278" s="679"/>
    </row>
    <row r="42279" spans="32:32" x14ac:dyDescent="0.2">
      <c r="AF42279" s="679"/>
    </row>
    <row r="42280" spans="32:32" x14ac:dyDescent="0.2">
      <c r="AF42280" s="679"/>
    </row>
    <row r="42281" spans="32:32" x14ac:dyDescent="0.2">
      <c r="AF42281" s="679"/>
    </row>
    <row r="42282" spans="32:32" x14ac:dyDescent="0.2">
      <c r="AF42282" s="679"/>
    </row>
    <row r="42283" spans="32:32" x14ac:dyDescent="0.2">
      <c r="AF42283" s="679"/>
    </row>
    <row r="42284" spans="32:32" x14ac:dyDescent="0.2">
      <c r="AF42284" s="679"/>
    </row>
    <row r="42285" spans="32:32" x14ac:dyDescent="0.2">
      <c r="AF42285" s="679"/>
    </row>
    <row r="42286" spans="32:32" x14ac:dyDescent="0.2">
      <c r="AF42286" s="679"/>
    </row>
    <row r="42287" spans="32:32" x14ac:dyDescent="0.2">
      <c r="AF42287" s="679"/>
    </row>
    <row r="42288" spans="32:32" x14ac:dyDescent="0.2">
      <c r="AF42288" s="679"/>
    </row>
    <row r="42289" spans="32:32" x14ac:dyDescent="0.2">
      <c r="AF42289" s="679"/>
    </row>
    <row r="42290" spans="32:32" x14ac:dyDescent="0.2">
      <c r="AF42290" s="679"/>
    </row>
    <row r="42291" spans="32:32" x14ac:dyDescent="0.2">
      <c r="AF42291" s="679"/>
    </row>
    <row r="42292" spans="32:32" x14ac:dyDescent="0.2">
      <c r="AF42292" s="679"/>
    </row>
    <row r="42293" spans="32:32" x14ac:dyDescent="0.2">
      <c r="AF42293" s="679"/>
    </row>
    <row r="42294" spans="32:32" x14ac:dyDescent="0.2">
      <c r="AF42294" s="679"/>
    </row>
    <row r="42295" spans="32:32" x14ac:dyDescent="0.2">
      <c r="AF42295" s="679"/>
    </row>
    <row r="42296" spans="32:32" x14ac:dyDescent="0.2">
      <c r="AF42296" s="679"/>
    </row>
    <row r="42297" spans="32:32" x14ac:dyDescent="0.2">
      <c r="AF42297" s="679"/>
    </row>
    <row r="42298" spans="32:32" x14ac:dyDescent="0.2">
      <c r="AF42298" s="679"/>
    </row>
    <row r="42299" spans="32:32" x14ac:dyDescent="0.2">
      <c r="AF42299" s="679"/>
    </row>
    <row r="42300" spans="32:32" x14ac:dyDescent="0.2">
      <c r="AF42300" s="679"/>
    </row>
    <row r="42301" spans="32:32" x14ac:dyDescent="0.2">
      <c r="AF42301" s="679"/>
    </row>
    <row r="42302" spans="32:32" x14ac:dyDescent="0.2">
      <c r="AF42302" s="679"/>
    </row>
    <row r="42303" spans="32:32" x14ac:dyDescent="0.2">
      <c r="AF42303" s="679"/>
    </row>
    <row r="42304" spans="32:32" x14ac:dyDescent="0.2">
      <c r="AF42304" s="679"/>
    </row>
    <row r="42305" spans="32:32" x14ac:dyDescent="0.2">
      <c r="AF42305" s="679"/>
    </row>
    <row r="42306" spans="32:32" x14ac:dyDescent="0.2">
      <c r="AF42306" s="679"/>
    </row>
    <row r="42307" spans="32:32" x14ac:dyDescent="0.2">
      <c r="AF42307" s="679"/>
    </row>
    <row r="42308" spans="32:32" x14ac:dyDescent="0.2">
      <c r="AF42308" s="679"/>
    </row>
    <row r="42309" spans="32:32" x14ac:dyDescent="0.2">
      <c r="AF42309" s="679"/>
    </row>
    <row r="42310" spans="32:32" x14ac:dyDescent="0.2">
      <c r="AF42310" s="679"/>
    </row>
    <row r="42311" spans="32:32" x14ac:dyDescent="0.2">
      <c r="AF42311" s="679"/>
    </row>
    <row r="42312" spans="32:32" x14ac:dyDescent="0.2">
      <c r="AF42312" s="679"/>
    </row>
    <row r="42313" spans="32:32" x14ac:dyDescent="0.2">
      <c r="AF42313" s="679"/>
    </row>
    <row r="42314" spans="32:32" x14ac:dyDescent="0.2">
      <c r="AF42314" s="679"/>
    </row>
    <row r="42315" spans="32:32" x14ac:dyDescent="0.2">
      <c r="AF42315" s="679"/>
    </row>
    <row r="42316" spans="32:32" x14ac:dyDescent="0.2">
      <c r="AF42316" s="679"/>
    </row>
    <row r="42317" spans="32:32" x14ac:dyDescent="0.2">
      <c r="AF42317" s="679"/>
    </row>
    <row r="42318" spans="32:32" x14ac:dyDescent="0.2">
      <c r="AF42318" s="679"/>
    </row>
    <row r="42319" spans="32:32" x14ac:dyDescent="0.2">
      <c r="AF42319" s="679"/>
    </row>
    <row r="42320" spans="32:32" x14ac:dyDescent="0.2">
      <c r="AF42320" s="679"/>
    </row>
    <row r="42321" spans="32:32" x14ac:dyDescent="0.2">
      <c r="AF42321" s="679"/>
    </row>
    <row r="42322" spans="32:32" x14ac:dyDescent="0.2">
      <c r="AF42322" s="679"/>
    </row>
    <row r="42323" spans="32:32" x14ac:dyDescent="0.2">
      <c r="AF42323" s="679"/>
    </row>
    <row r="42324" spans="32:32" x14ac:dyDescent="0.2">
      <c r="AF42324" s="679"/>
    </row>
    <row r="42325" spans="32:32" x14ac:dyDescent="0.2">
      <c r="AF42325" s="679"/>
    </row>
    <row r="42326" spans="32:32" x14ac:dyDescent="0.2">
      <c r="AF42326" s="679"/>
    </row>
    <row r="42327" spans="32:32" x14ac:dyDescent="0.2">
      <c r="AF42327" s="679"/>
    </row>
    <row r="42328" spans="32:32" x14ac:dyDescent="0.2">
      <c r="AF42328" s="679"/>
    </row>
    <row r="42329" spans="32:32" x14ac:dyDescent="0.2">
      <c r="AF42329" s="679"/>
    </row>
    <row r="42330" spans="32:32" x14ac:dyDescent="0.2">
      <c r="AF42330" s="679"/>
    </row>
    <row r="42331" spans="32:32" x14ac:dyDescent="0.2">
      <c r="AF42331" s="679"/>
    </row>
    <row r="42332" spans="32:32" x14ac:dyDescent="0.2">
      <c r="AF42332" s="679"/>
    </row>
    <row r="42333" spans="32:32" x14ac:dyDescent="0.2">
      <c r="AF42333" s="679"/>
    </row>
    <row r="42334" spans="32:32" x14ac:dyDescent="0.2">
      <c r="AF42334" s="679"/>
    </row>
    <row r="42335" spans="32:32" x14ac:dyDescent="0.2">
      <c r="AF42335" s="679"/>
    </row>
    <row r="42336" spans="32:32" x14ac:dyDescent="0.2">
      <c r="AF42336" s="679"/>
    </row>
    <row r="42337" spans="32:32" x14ac:dyDescent="0.2">
      <c r="AF42337" s="679"/>
    </row>
    <row r="42338" spans="32:32" x14ac:dyDescent="0.2">
      <c r="AF42338" s="679"/>
    </row>
    <row r="42339" spans="32:32" x14ac:dyDescent="0.2">
      <c r="AF42339" s="679"/>
    </row>
    <row r="42340" spans="32:32" x14ac:dyDescent="0.2">
      <c r="AF42340" s="679"/>
    </row>
    <row r="42341" spans="32:32" x14ac:dyDescent="0.2">
      <c r="AF42341" s="679"/>
    </row>
    <row r="42342" spans="32:32" x14ac:dyDescent="0.2">
      <c r="AF42342" s="679"/>
    </row>
    <row r="42343" spans="32:32" x14ac:dyDescent="0.2">
      <c r="AF42343" s="679"/>
    </row>
    <row r="42344" spans="32:32" x14ac:dyDescent="0.2">
      <c r="AF42344" s="679"/>
    </row>
    <row r="42345" spans="32:32" x14ac:dyDescent="0.2">
      <c r="AF42345" s="679"/>
    </row>
    <row r="42346" spans="32:32" x14ac:dyDescent="0.2">
      <c r="AF42346" s="679"/>
    </row>
    <row r="42347" spans="32:32" x14ac:dyDescent="0.2">
      <c r="AF42347" s="679"/>
    </row>
    <row r="42348" spans="32:32" x14ac:dyDescent="0.2">
      <c r="AF42348" s="679"/>
    </row>
    <row r="42349" spans="32:32" x14ac:dyDescent="0.2">
      <c r="AF42349" s="679"/>
    </row>
    <row r="42350" spans="32:32" x14ac:dyDescent="0.2">
      <c r="AF42350" s="679"/>
    </row>
    <row r="42351" spans="32:32" x14ac:dyDescent="0.2">
      <c r="AF42351" s="679"/>
    </row>
    <row r="42352" spans="32:32" x14ac:dyDescent="0.2">
      <c r="AF42352" s="679"/>
    </row>
    <row r="42353" spans="32:32" x14ac:dyDescent="0.2">
      <c r="AF42353" s="679"/>
    </row>
    <row r="42354" spans="32:32" x14ac:dyDescent="0.2">
      <c r="AF42354" s="679"/>
    </row>
    <row r="42355" spans="32:32" x14ac:dyDescent="0.2">
      <c r="AF42355" s="679"/>
    </row>
    <row r="42356" spans="32:32" x14ac:dyDescent="0.2">
      <c r="AF42356" s="679"/>
    </row>
    <row r="42357" spans="32:32" x14ac:dyDescent="0.2">
      <c r="AF42357" s="679"/>
    </row>
    <row r="42358" spans="32:32" x14ac:dyDescent="0.2">
      <c r="AF42358" s="679"/>
    </row>
    <row r="42359" spans="32:32" x14ac:dyDescent="0.2">
      <c r="AF42359" s="679"/>
    </row>
    <row r="42360" spans="32:32" x14ac:dyDescent="0.2">
      <c r="AF42360" s="679"/>
    </row>
    <row r="42361" spans="32:32" x14ac:dyDescent="0.2">
      <c r="AF42361" s="679"/>
    </row>
    <row r="42362" spans="32:32" x14ac:dyDescent="0.2">
      <c r="AF42362" s="679"/>
    </row>
    <row r="42363" spans="32:32" x14ac:dyDescent="0.2">
      <c r="AF42363" s="679"/>
    </row>
    <row r="42364" spans="32:32" x14ac:dyDescent="0.2">
      <c r="AF42364" s="679"/>
    </row>
    <row r="42365" spans="32:32" x14ac:dyDescent="0.2">
      <c r="AF42365" s="679"/>
    </row>
    <row r="42366" spans="32:32" x14ac:dyDescent="0.2">
      <c r="AF42366" s="679"/>
    </row>
    <row r="42367" spans="32:32" x14ac:dyDescent="0.2">
      <c r="AF42367" s="679"/>
    </row>
    <row r="42368" spans="32:32" x14ac:dyDescent="0.2">
      <c r="AF42368" s="679"/>
    </row>
    <row r="42369" spans="32:32" x14ac:dyDescent="0.2">
      <c r="AF42369" s="679"/>
    </row>
    <row r="42370" spans="32:32" x14ac:dyDescent="0.2">
      <c r="AF42370" s="679"/>
    </row>
    <row r="42371" spans="32:32" x14ac:dyDescent="0.2">
      <c r="AF42371" s="679"/>
    </row>
    <row r="42372" spans="32:32" x14ac:dyDescent="0.2">
      <c r="AF42372" s="679"/>
    </row>
    <row r="42373" spans="32:32" x14ac:dyDescent="0.2">
      <c r="AF42373" s="679"/>
    </row>
    <row r="42374" spans="32:32" x14ac:dyDescent="0.2">
      <c r="AF42374" s="679"/>
    </row>
    <row r="42375" spans="32:32" x14ac:dyDescent="0.2">
      <c r="AF42375" s="679"/>
    </row>
    <row r="42376" spans="32:32" x14ac:dyDescent="0.2">
      <c r="AF42376" s="679"/>
    </row>
    <row r="42377" spans="32:32" x14ac:dyDescent="0.2">
      <c r="AF42377" s="679"/>
    </row>
    <row r="42378" spans="32:32" x14ac:dyDescent="0.2">
      <c r="AF42378" s="679"/>
    </row>
    <row r="42379" spans="32:32" x14ac:dyDescent="0.2">
      <c r="AF42379" s="679"/>
    </row>
    <row r="42380" spans="32:32" x14ac:dyDescent="0.2">
      <c r="AF42380" s="679"/>
    </row>
    <row r="42381" spans="32:32" x14ac:dyDescent="0.2">
      <c r="AF42381" s="679"/>
    </row>
    <row r="42382" spans="32:32" x14ac:dyDescent="0.2">
      <c r="AF42382" s="679"/>
    </row>
    <row r="42383" spans="32:32" x14ac:dyDescent="0.2">
      <c r="AF42383" s="679"/>
    </row>
    <row r="42384" spans="32:32" x14ac:dyDescent="0.2">
      <c r="AF42384" s="679"/>
    </row>
    <row r="42385" spans="32:32" x14ac:dyDescent="0.2">
      <c r="AF42385" s="679"/>
    </row>
    <row r="42386" spans="32:32" x14ac:dyDescent="0.2">
      <c r="AF42386" s="679"/>
    </row>
    <row r="42387" spans="32:32" x14ac:dyDescent="0.2">
      <c r="AF42387" s="679"/>
    </row>
    <row r="42388" spans="32:32" x14ac:dyDescent="0.2">
      <c r="AF42388" s="679"/>
    </row>
    <row r="42389" spans="32:32" x14ac:dyDescent="0.2">
      <c r="AF42389" s="679"/>
    </row>
    <row r="42390" spans="32:32" x14ac:dyDescent="0.2">
      <c r="AF42390" s="679"/>
    </row>
    <row r="42391" spans="32:32" x14ac:dyDescent="0.2">
      <c r="AF42391" s="679"/>
    </row>
    <row r="42392" spans="32:32" x14ac:dyDescent="0.2">
      <c r="AF42392" s="679"/>
    </row>
    <row r="42393" spans="32:32" x14ac:dyDescent="0.2">
      <c r="AF42393" s="679"/>
    </row>
    <row r="42394" spans="32:32" x14ac:dyDescent="0.2">
      <c r="AF42394" s="679"/>
    </row>
    <row r="42395" spans="32:32" x14ac:dyDescent="0.2">
      <c r="AF42395" s="679"/>
    </row>
    <row r="42396" spans="32:32" x14ac:dyDescent="0.2">
      <c r="AF42396" s="679"/>
    </row>
    <row r="42397" spans="32:32" x14ac:dyDescent="0.2">
      <c r="AF42397" s="679"/>
    </row>
    <row r="42398" spans="32:32" x14ac:dyDescent="0.2">
      <c r="AF42398" s="679"/>
    </row>
    <row r="42399" spans="32:32" x14ac:dyDescent="0.2">
      <c r="AF42399" s="679"/>
    </row>
    <row r="42400" spans="32:32" x14ac:dyDescent="0.2">
      <c r="AF42400" s="679"/>
    </row>
    <row r="42401" spans="32:32" x14ac:dyDescent="0.2">
      <c r="AF42401" s="679"/>
    </row>
    <row r="42402" spans="32:32" x14ac:dyDescent="0.2">
      <c r="AF42402" s="679"/>
    </row>
    <row r="42403" spans="32:32" x14ac:dyDescent="0.2">
      <c r="AF42403" s="679"/>
    </row>
    <row r="42404" spans="32:32" x14ac:dyDescent="0.2">
      <c r="AF42404" s="679"/>
    </row>
    <row r="42405" spans="32:32" x14ac:dyDescent="0.2">
      <c r="AF42405" s="679"/>
    </row>
    <row r="42406" spans="32:32" x14ac:dyDescent="0.2">
      <c r="AF42406" s="679"/>
    </row>
    <row r="42407" spans="32:32" x14ac:dyDescent="0.2">
      <c r="AF42407" s="679"/>
    </row>
    <row r="42408" spans="32:32" x14ac:dyDescent="0.2">
      <c r="AF42408" s="679"/>
    </row>
    <row r="42409" spans="32:32" x14ac:dyDescent="0.2">
      <c r="AF42409" s="679"/>
    </row>
    <row r="42410" spans="32:32" x14ac:dyDescent="0.2">
      <c r="AF42410" s="679"/>
    </row>
    <row r="42411" spans="32:32" x14ac:dyDescent="0.2">
      <c r="AF42411" s="679"/>
    </row>
    <row r="42412" spans="32:32" x14ac:dyDescent="0.2">
      <c r="AF42412" s="679"/>
    </row>
    <row r="42413" spans="32:32" x14ac:dyDescent="0.2">
      <c r="AF42413" s="679"/>
    </row>
    <row r="42414" spans="32:32" x14ac:dyDescent="0.2">
      <c r="AF42414" s="679"/>
    </row>
    <row r="42415" spans="32:32" x14ac:dyDescent="0.2">
      <c r="AF42415" s="679"/>
    </row>
    <row r="42416" spans="32:32" x14ac:dyDescent="0.2">
      <c r="AF42416" s="679"/>
    </row>
    <row r="42417" spans="32:32" x14ac:dyDescent="0.2">
      <c r="AF42417" s="679"/>
    </row>
    <row r="42418" spans="32:32" x14ac:dyDescent="0.2">
      <c r="AF42418" s="679"/>
    </row>
    <row r="42419" spans="32:32" x14ac:dyDescent="0.2">
      <c r="AF42419" s="679"/>
    </row>
    <row r="42420" spans="32:32" x14ac:dyDescent="0.2">
      <c r="AF42420" s="679"/>
    </row>
    <row r="42421" spans="32:32" x14ac:dyDescent="0.2">
      <c r="AF42421" s="679"/>
    </row>
    <row r="42422" spans="32:32" x14ac:dyDescent="0.2">
      <c r="AF42422" s="679"/>
    </row>
    <row r="42423" spans="32:32" x14ac:dyDescent="0.2">
      <c r="AF42423" s="679"/>
    </row>
    <row r="42424" spans="32:32" x14ac:dyDescent="0.2">
      <c r="AF42424" s="679"/>
    </row>
    <row r="42425" spans="32:32" x14ac:dyDescent="0.2">
      <c r="AF42425" s="679"/>
    </row>
    <row r="42426" spans="32:32" x14ac:dyDescent="0.2">
      <c r="AF42426" s="679"/>
    </row>
    <row r="42427" spans="32:32" x14ac:dyDescent="0.2">
      <c r="AF42427" s="679"/>
    </row>
    <row r="42428" spans="32:32" x14ac:dyDescent="0.2">
      <c r="AF42428" s="679"/>
    </row>
    <row r="42429" spans="32:32" x14ac:dyDescent="0.2">
      <c r="AF42429" s="679"/>
    </row>
    <row r="42430" spans="32:32" x14ac:dyDescent="0.2">
      <c r="AF42430" s="679"/>
    </row>
    <row r="42431" spans="32:32" x14ac:dyDescent="0.2">
      <c r="AF42431" s="679"/>
    </row>
    <row r="42432" spans="32:32" x14ac:dyDescent="0.2">
      <c r="AF42432" s="679"/>
    </row>
    <row r="42433" spans="32:32" x14ac:dyDescent="0.2">
      <c r="AF42433" s="679"/>
    </row>
    <row r="42434" spans="32:32" x14ac:dyDescent="0.2">
      <c r="AF42434" s="679"/>
    </row>
    <row r="42435" spans="32:32" x14ac:dyDescent="0.2">
      <c r="AF42435" s="679"/>
    </row>
    <row r="42436" spans="32:32" x14ac:dyDescent="0.2">
      <c r="AF42436" s="679"/>
    </row>
    <row r="42437" spans="32:32" x14ac:dyDescent="0.2">
      <c r="AF42437" s="679"/>
    </row>
    <row r="42438" spans="32:32" x14ac:dyDescent="0.2">
      <c r="AF42438" s="679"/>
    </row>
    <row r="42439" spans="32:32" x14ac:dyDescent="0.2">
      <c r="AF42439" s="679"/>
    </row>
    <row r="42440" spans="32:32" x14ac:dyDescent="0.2">
      <c r="AF42440" s="679"/>
    </row>
    <row r="42441" spans="32:32" x14ac:dyDescent="0.2">
      <c r="AF42441" s="679"/>
    </row>
    <row r="42442" spans="32:32" x14ac:dyDescent="0.2">
      <c r="AF42442" s="679"/>
    </row>
    <row r="42443" spans="32:32" x14ac:dyDescent="0.2">
      <c r="AF42443" s="679"/>
    </row>
    <row r="42444" spans="32:32" x14ac:dyDescent="0.2">
      <c r="AF42444" s="679"/>
    </row>
    <row r="42445" spans="32:32" x14ac:dyDescent="0.2">
      <c r="AF42445" s="679"/>
    </row>
    <row r="42446" spans="32:32" x14ac:dyDescent="0.2">
      <c r="AF42446" s="679"/>
    </row>
    <row r="42447" spans="32:32" x14ac:dyDescent="0.2">
      <c r="AF42447" s="679"/>
    </row>
    <row r="42448" spans="32:32" x14ac:dyDescent="0.2">
      <c r="AF42448" s="679"/>
    </row>
    <row r="42449" spans="32:32" x14ac:dyDescent="0.2">
      <c r="AF42449" s="679"/>
    </row>
    <row r="42450" spans="32:32" x14ac:dyDescent="0.2">
      <c r="AF42450" s="679"/>
    </row>
    <row r="42451" spans="32:32" x14ac:dyDescent="0.2">
      <c r="AF42451" s="679"/>
    </row>
    <row r="42452" spans="32:32" x14ac:dyDescent="0.2">
      <c r="AF42452" s="679"/>
    </row>
    <row r="42453" spans="32:32" x14ac:dyDescent="0.2">
      <c r="AF42453" s="679"/>
    </row>
    <row r="42454" spans="32:32" x14ac:dyDescent="0.2">
      <c r="AF42454" s="679"/>
    </row>
    <row r="42455" spans="32:32" x14ac:dyDescent="0.2">
      <c r="AF42455" s="679"/>
    </row>
    <row r="42456" spans="32:32" x14ac:dyDescent="0.2">
      <c r="AF42456" s="679"/>
    </row>
    <row r="42457" spans="32:32" x14ac:dyDescent="0.2">
      <c r="AF42457" s="679"/>
    </row>
    <row r="42458" spans="32:32" x14ac:dyDescent="0.2">
      <c r="AF42458" s="679"/>
    </row>
    <row r="42459" spans="32:32" x14ac:dyDescent="0.2">
      <c r="AF42459" s="679"/>
    </row>
    <row r="42460" spans="32:32" x14ac:dyDescent="0.2">
      <c r="AF42460" s="679"/>
    </row>
    <row r="42461" spans="32:32" x14ac:dyDescent="0.2">
      <c r="AF42461" s="679"/>
    </row>
    <row r="42462" spans="32:32" x14ac:dyDescent="0.2">
      <c r="AF42462" s="679"/>
    </row>
    <row r="42463" spans="32:32" x14ac:dyDescent="0.2">
      <c r="AF42463" s="679"/>
    </row>
    <row r="42464" spans="32:32" x14ac:dyDescent="0.2">
      <c r="AF42464" s="679"/>
    </row>
    <row r="42465" spans="32:32" x14ac:dyDescent="0.2">
      <c r="AF42465" s="679"/>
    </row>
    <row r="42466" spans="32:32" x14ac:dyDescent="0.2">
      <c r="AF42466" s="679"/>
    </row>
    <row r="42467" spans="32:32" x14ac:dyDescent="0.2">
      <c r="AF42467" s="679"/>
    </row>
    <row r="42468" spans="32:32" x14ac:dyDescent="0.2">
      <c r="AF42468" s="679"/>
    </row>
    <row r="42469" spans="32:32" x14ac:dyDescent="0.2">
      <c r="AF42469" s="679"/>
    </row>
    <row r="42470" spans="32:32" x14ac:dyDescent="0.2">
      <c r="AF42470" s="679"/>
    </row>
    <row r="42471" spans="32:32" x14ac:dyDescent="0.2">
      <c r="AF42471" s="679"/>
    </row>
    <row r="42472" spans="32:32" x14ac:dyDescent="0.2">
      <c r="AF42472" s="679"/>
    </row>
    <row r="42473" spans="32:32" x14ac:dyDescent="0.2">
      <c r="AF42473" s="679"/>
    </row>
    <row r="42474" spans="32:32" x14ac:dyDescent="0.2">
      <c r="AF42474" s="679"/>
    </row>
    <row r="42475" spans="32:32" x14ac:dyDescent="0.2">
      <c r="AF42475" s="679"/>
    </row>
    <row r="42476" spans="32:32" x14ac:dyDescent="0.2">
      <c r="AF42476" s="679"/>
    </row>
    <row r="42477" spans="32:32" x14ac:dyDescent="0.2">
      <c r="AF42477" s="679"/>
    </row>
    <row r="42478" spans="32:32" x14ac:dyDescent="0.2">
      <c r="AF42478" s="679"/>
    </row>
    <row r="42479" spans="32:32" x14ac:dyDescent="0.2">
      <c r="AF42479" s="679"/>
    </row>
    <row r="42480" spans="32:32" x14ac:dyDescent="0.2">
      <c r="AF42480" s="679"/>
    </row>
    <row r="42481" spans="32:32" x14ac:dyDescent="0.2">
      <c r="AF42481" s="679"/>
    </row>
    <row r="42482" spans="32:32" x14ac:dyDescent="0.2">
      <c r="AF42482" s="679"/>
    </row>
    <row r="42483" spans="32:32" x14ac:dyDescent="0.2">
      <c r="AF42483" s="679"/>
    </row>
    <row r="42484" spans="32:32" x14ac:dyDescent="0.2">
      <c r="AF42484" s="679"/>
    </row>
    <row r="42485" spans="32:32" x14ac:dyDescent="0.2">
      <c r="AF42485" s="679"/>
    </row>
    <row r="42486" spans="32:32" x14ac:dyDescent="0.2">
      <c r="AF42486" s="679"/>
    </row>
    <row r="42487" spans="32:32" x14ac:dyDescent="0.2">
      <c r="AF42487" s="679"/>
    </row>
    <row r="42488" spans="32:32" x14ac:dyDescent="0.2">
      <c r="AF42488" s="679"/>
    </row>
    <row r="42489" spans="32:32" x14ac:dyDescent="0.2">
      <c r="AF42489" s="679"/>
    </row>
    <row r="42490" spans="32:32" x14ac:dyDescent="0.2">
      <c r="AF42490" s="679"/>
    </row>
    <row r="42491" spans="32:32" x14ac:dyDescent="0.2">
      <c r="AF42491" s="679"/>
    </row>
    <row r="42492" spans="32:32" x14ac:dyDescent="0.2">
      <c r="AF42492" s="679"/>
    </row>
    <row r="42493" spans="32:32" x14ac:dyDescent="0.2">
      <c r="AF42493" s="679"/>
    </row>
    <row r="42494" spans="32:32" x14ac:dyDescent="0.2">
      <c r="AF42494" s="679"/>
    </row>
    <row r="42495" spans="32:32" x14ac:dyDescent="0.2">
      <c r="AF42495" s="679"/>
    </row>
    <row r="42496" spans="32:32" x14ac:dyDescent="0.2">
      <c r="AF42496" s="679"/>
    </row>
    <row r="42497" spans="32:32" x14ac:dyDescent="0.2">
      <c r="AF42497" s="679"/>
    </row>
    <row r="42498" spans="32:32" x14ac:dyDescent="0.2">
      <c r="AF42498" s="679"/>
    </row>
    <row r="42499" spans="32:32" x14ac:dyDescent="0.2">
      <c r="AF42499" s="679"/>
    </row>
    <row r="42500" spans="32:32" x14ac:dyDescent="0.2">
      <c r="AF42500" s="679"/>
    </row>
    <row r="42501" spans="32:32" x14ac:dyDescent="0.2">
      <c r="AF42501" s="679"/>
    </row>
    <row r="42502" spans="32:32" x14ac:dyDescent="0.2">
      <c r="AF42502" s="679"/>
    </row>
    <row r="42503" spans="32:32" x14ac:dyDescent="0.2">
      <c r="AF42503" s="679"/>
    </row>
    <row r="42504" spans="32:32" x14ac:dyDescent="0.2">
      <c r="AF42504" s="679"/>
    </row>
    <row r="42505" spans="32:32" x14ac:dyDescent="0.2">
      <c r="AF42505" s="679"/>
    </row>
    <row r="42506" spans="32:32" x14ac:dyDescent="0.2">
      <c r="AF42506" s="679"/>
    </row>
    <row r="42507" spans="32:32" x14ac:dyDescent="0.2">
      <c r="AF42507" s="679"/>
    </row>
    <row r="42508" spans="32:32" x14ac:dyDescent="0.2">
      <c r="AF42508" s="679"/>
    </row>
    <row r="42509" spans="32:32" x14ac:dyDescent="0.2">
      <c r="AF42509" s="679"/>
    </row>
    <row r="42510" spans="32:32" x14ac:dyDescent="0.2">
      <c r="AF42510" s="679"/>
    </row>
    <row r="42511" spans="32:32" x14ac:dyDescent="0.2">
      <c r="AF42511" s="679"/>
    </row>
    <row r="42512" spans="32:32" x14ac:dyDescent="0.2">
      <c r="AF42512" s="679"/>
    </row>
    <row r="42513" spans="32:32" x14ac:dyDescent="0.2">
      <c r="AF42513" s="679"/>
    </row>
    <row r="42514" spans="32:32" x14ac:dyDescent="0.2">
      <c r="AF42514" s="679"/>
    </row>
    <row r="42515" spans="32:32" x14ac:dyDescent="0.2">
      <c r="AF42515" s="679"/>
    </row>
    <row r="42516" spans="32:32" x14ac:dyDescent="0.2">
      <c r="AF42516" s="679"/>
    </row>
    <row r="42517" spans="32:32" x14ac:dyDescent="0.2">
      <c r="AF42517" s="679"/>
    </row>
    <row r="42518" spans="32:32" x14ac:dyDescent="0.2">
      <c r="AF42518" s="679"/>
    </row>
    <row r="42519" spans="32:32" x14ac:dyDescent="0.2">
      <c r="AF42519" s="679"/>
    </row>
    <row r="42520" spans="32:32" x14ac:dyDescent="0.2">
      <c r="AF42520" s="679"/>
    </row>
    <row r="42521" spans="32:32" x14ac:dyDescent="0.2">
      <c r="AF42521" s="679"/>
    </row>
    <row r="42522" spans="32:32" x14ac:dyDescent="0.2">
      <c r="AF42522" s="679"/>
    </row>
    <row r="42523" spans="32:32" x14ac:dyDescent="0.2">
      <c r="AF42523" s="679"/>
    </row>
    <row r="42524" spans="32:32" x14ac:dyDescent="0.2">
      <c r="AF42524" s="679"/>
    </row>
    <row r="42525" spans="32:32" x14ac:dyDescent="0.2">
      <c r="AF42525" s="679"/>
    </row>
    <row r="42526" spans="32:32" x14ac:dyDescent="0.2">
      <c r="AF42526" s="679"/>
    </row>
    <row r="42527" spans="32:32" x14ac:dyDescent="0.2">
      <c r="AF42527" s="679"/>
    </row>
    <row r="42528" spans="32:32" x14ac:dyDescent="0.2">
      <c r="AF42528" s="679"/>
    </row>
    <row r="42529" spans="32:32" x14ac:dyDescent="0.2">
      <c r="AF42529" s="679"/>
    </row>
    <row r="42530" spans="32:32" x14ac:dyDescent="0.2">
      <c r="AF42530" s="679"/>
    </row>
    <row r="42531" spans="32:32" x14ac:dyDescent="0.2">
      <c r="AF42531" s="679"/>
    </row>
    <row r="42532" spans="32:32" x14ac:dyDescent="0.2">
      <c r="AF42532" s="679"/>
    </row>
    <row r="42533" spans="32:32" x14ac:dyDescent="0.2">
      <c r="AF42533" s="679"/>
    </row>
    <row r="42534" spans="32:32" x14ac:dyDescent="0.2">
      <c r="AF42534" s="679"/>
    </row>
    <row r="42535" spans="32:32" x14ac:dyDescent="0.2">
      <c r="AF42535" s="679"/>
    </row>
    <row r="42536" spans="32:32" x14ac:dyDescent="0.2">
      <c r="AF42536" s="679"/>
    </row>
    <row r="42537" spans="32:32" x14ac:dyDescent="0.2">
      <c r="AF42537" s="679"/>
    </row>
    <row r="42538" spans="32:32" x14ac:dyDescent="0.2">
      <c r="AF42538" s="679"/>
    </row>
    <row r="42539" spans="32:32" x14ac:dyDescent="0.2">
      <c r="AF42539" s="679"/>
    </row>
    <row r="42540" spans="32:32" x14ac:dyDescent="0.2">
      <c r="AF42540" s="679"/>
    </row>
    <row r="42541" spans="32:32" x14ac:dyDescent="0.2">
      <c r="AF42541" s="679"/>
    </row>
    <row r="42542" spans="32:32" x14ac:dyDescent="0.2">
      <c r="AF42542" s="679"/>
    </row>
    <row r="42543" spans="32:32" x14ac:dyDescent="0.2">
      <c r="AF42543" s="679"/>
    </row>
    <row r="42544" spans="32:32" x14ac:dyDescent="0.2">
      <c r="AF42544" s="679"/>
    </row>
    <row r="42545" spans="32:32" x14ac:dyDescent="0.2">
      <c r="AF42545" s="679"/>
    </row>
    <row r="42546" spans="32:32" x14ac:dyDescent="0.2">
      <c r="AF42546" s="679"/>
    </row>
    <row r="42547" spans="32:32" x14ac:dyDescent="0.2">
      <c r="AF42547" s="679"/>
    </row>
    <row r="42548" spans="32:32" x14ac:dyDescent="0.2">
      <c r="AF42548" s="679"/>
    </row>
    <row r="42549" spans="32:32" x14ac:dyDescent="0.2">
      <c r="AF42549" s="679"/>
    </row>
    <row r="42550" spans="32:32" x14ac:dyDescent="0.2">
      <c r="AF42550" s="679"/>
    </row>
    <row r="42551" spans="32:32" x14ac:dyDescent="0.2">
      <c r="AF42551" s="679"/>
    </row>
    <row r="42552" spans="32:32" x14ac:dyDescent="0.2">
      <c r="AF42552" s="679"/>
    </row>
    <row r="42553" spans="32:32" x14ac:dyDescent="0.2">
      <c r="AF42553" s="679"/>
    </row>
    <row r="42554" spans="32:32" x14ac:dyDescent="0.2">
      <c r="AF42554" s="679"/>
    </row>
    <row r="42555" spans="32:32" x14ac:dyDescent="0.2">
      <c r="AF42555" s="679"/>
    </row>
    <row r="42556" spans="32:32" x14ac:dyDescent="0.2">
      <c r="AF42556" s="679"/>
    </row>
    <row r="42557" spans="32:32" x14ac:dyDescent="0.2">
      <c r="AF42557" s="679"/>
    </row>
    <row r="42558" spans="32:32" x14ac:dyDescent="0.2">
      <c r="AF42558" s="679"/>
    </row>
    <row r="42559" spans="32:32" x14ac:dyDescent="0.2">
      <c r="AF42559" s="679"/>
    </row>
    <row r="42560" spans="32:32" x14ac:dyDescent="0.2">
      <c r="AF42560" s="679"/>
    </row>
    <row r="42561" spans="32:32" x14ac:dyDescent="0.2">
      <c r="AF42561" s="679"/>
    </row>
    <row r="42562" spans="32:32" x14ac:dyDescent="0.2">
      <c r="AF42562" s="679"/>
    </row>
    <row r="42563" spans="32:32" x14ac:dyDescent="0.2">
      <c r="AF42563" s="679"/>
    </row>
    <row r="42564" spans="32:32" x14ac:dyDescent="0.2">
      <c r="AF42564" s="679"/>
    </row>
    <row r="42565" spans="32:32" x14ac:dyDescent="0.2">
      <c r="AF42565" s="679"/>
    </row>
    <row r="42566" spans="32:32" x14ac:dyDescent="0.2">
      <c r="AF42566" s="679"/>
    </row>
    <row r="42567" spans="32:32" x14ac:dyDescent="0.2">
      <c r="AF42567" s="679"/>
    </row>
    <row r="42568" spans="32:32" x14ac:dyDescent="0.2">
      <c r="AF42568" s="679"/>
    </row>
    <row r="42569" spans="32:32" x14ac:dyDescent="0.2">
      <c r="AF42569" s="679"/>
    </row>
    <row r="42570" spans="32:32" x14ac:dyDescent="0.2">
      <c r="AF42570" s="679"/>
    </row>
    <row r="42571" spans="32:32" x14ac:dyDescent="0.2">
      <c r="AF42571" s="679"/>
    </row>
    <row r="42572" spans="32:32" x14ac:dyDescent="0.2">
      <c r="AF42572" s="679"/>
    </row>
    <row r="42573" spans="32:32" x14ac:dyDescent="0.2">
      <c r="AF42573" s="679"/>
    </row>
    <row r="42574" spans="32:32" x14ac:dyDescent="0.2">
      <c r="AF42574" s="679"/>
    </row>
    <row r="42575" spans="32:32" x14ac:dyDescent="0.2">
      <c r="AF42575" s="679"/>
    </row>
    <row r="42576" spans="32:32" x14ac:dyDescent="0.2">
      <c r="AF42576" s="679"/>
    </row>
    <row r="42577" spans="32:32" x14ac:dyDescent="0.2">
      <c r="AF42577" s="679"/>
    </row>
    <row r="42578" spans="32:32" x14ac:dyDescent="0.2">
      <c r="AF42578" s="679"/>
    </row>
    <row r="42579" spans="32:32" x14ac:dyDescent="0.2">
      <c r="AF42579" s="679"/>
    </row>
    <row r="42580" spans="32:32" x14ac:dyDescent="0.2">
      <c r="AF42580" s="679"/>
    </row>
    <row r="42581" spans="32:32" x14ac:dyDescent="0.2">
      <c r="AF42581" s="679"/>
    </row>
    <row r="42582" spans="32:32" x14ac:dyDescent="0.2">
      <c r="AF42582" s="679"/>
    </row>
    <row r="42583" spans="32:32" x14ac:dyDescent="0.2">
      <c r="AF42583" s="679"/>
    </row>
    <row r="42584" spans="32:32" x14ac:dyDescent="0.2">
      <c r="AF42584" s="679"/>
    </row>
    <row r="42585" spans="32:32" x14ac:dyDescent="0.2">
      <c r="AF42585" s="679"/>
    </row>
    <row r="42586" spans="32:32" x14ac:dyDescent="0.2">
      <c r="AF42586" s="679"/>
    </row>
    <row r="42587" spans="32:32" x14ac:dyDescent="0.2">
      <c r="AF42587" s="679"/>
    </row>
    <row r="42588" spans="32:32" x14ac:dyDescent="0.2">
      <c r="AF42588" s="679"/>
    </row>
    <row r="42589" spans="32:32" x14ac:dyDescent="0.2">
      <c r="AF42589" s="679"/>
    </row>
    <row r="42590" spans="32:32" x14ac:dyDescent="0.2">
      <c r="AF42590" s="679"/>
    </row>
    <row r="42591" spans="32:32" x14ac:dyDescent="0.2">
      <c r="AF42591" s="679"/>
    </row>
    <row r="42592" spans="32:32" x14ac:dyDescent="0.2">
      <c r="AF42592" s="679"/>
    </row>
    <row r="42593" spans="32:32" x14ac:dyDescent="0.2">
      <c r="AF42593" s="679"/>
    </row>
    <row r="42594" spans="32:32" x14ac:dyDescent="0.2">
      <c r="AF42594" s="679"/>
    </row>
    <row r="42595" spans="32:32" x14ac:dyDescent="0.2">
      <c r="AF42595" s="679"/>
    </row>
    <row r="42596" spans="32:32" x14ac:dyDescent="0.2">
      <c r="AF42596" s="679"/>
    </row>
    <row r="42597" spans="32:32" x14ac:dyDescent="0.2">
      <c r="AF42597" s="679"/>
    </row>
    <row r="42598" spans="32:32" x14ac:dyDescent="0.2">
      <c r="AF42598" s="679"/>
    </row>
    <row r="42599" spans="32:32" x14ac:dyDescent="0.2">
      <c r="AF42599" s="679"/>
    </row>
    <row r="42600" spans="32:32" x14ac:dyDescent="0.2">
      <c r="AF42600" s="679"/>
    </row>
    <row r="42601" spans="32:32" x14ac:dyDescent="0.2">
      <c r="AF42601" s="679"/>
    </row>
    <row r="42602" spans="32:32" x14ac:dyDescent="0.2">
      <c r="AF42602" s="679"/>
    </row>
    <row r="42603" spans="32:32" x14ac:dyDescent="0.2">
      <c r="AF42603" s="679"/>
    </row>
    <row r="42604" spans="32:32" x14ac:dyDescent="0.2">
      <c r="AF42604" s="679"/>
    </row>
    <row r="42605" spans="32:32" x14ac:dyDescent="0.2">
      <c r="AF42605" s="679"/>
    </row>
    <row r="42606" spans="32:32" x14ac:dyDescent="0.2">
      <c r="AF42606" s="679"/>
    </row>
    <row r="42607" spans="32:32" x14ac:dyDescent="0.2">
      <c r="AF42607" s="679"/>
    </row>
    <row r="42608" spans="32:32" x14ac:dyDescent="0.2">
      <c r="AF42608" s="679"/>
    </row>
    <row r="42609" spans="32:32" x14ac:dyDescent="0.2">
      <c r="AF42609" s="679"/>
    </row>
    <row r="42610" spans="32:32" x14ac:dyDescent="0.2">
      <c r="AF42610" s="679"/>
    </row>
    <row r="42611" spans="32:32" x14ac:dyDescent="0.2">
      <c r="AF42611" s="679"/>
    </row>
    <row r="42612" spans="32:32" x14ac:dyDescent="0.2">
      <c r="AF42612" s="679"/>
    </row>
    <row r="42613" spans="32:32" x14ac:dyDescent="0.2">
      <c r="AF42613" s="679"/>
    </row>
    <row r="42614" spans="32:32" x14ac:dyDescent="0.2">
      <c r="AF42614" s="679"/>
    </row>
    <row r="42615" spans="32:32" x14ac:dyDescent="0.2">
      <c r="AF42615" s="679"/>
    </row>
    <row r="42616" spans="32:32" x14ac:dyDescent="0.2">
      <c r="AF42616" s="679"/>
    </row>
    <row r="42617" spans="32:32" x14ac:dyDescent="0.2">
      <c r="AF42617" s="679"/>
    </row>
    <row r="42618" spans="32:32" x14ac:dyDescent="0.2">
      <c r="AF42618" s="679"/>
    </row>
    <row r="42619" spans="32:32" x14ac:dyDescent="0.2">
      <c r="AF42619" s="679"/>
    </row>
    <row r="42620" spans="32:32" x14ac:dyDescent="0.2">
      <c r="AF42620" s="679"/>
    </row>
    <row r="42621" spans="32:32" x14ac:dyDescent="0.2">
      <c r="AF42621" s="679"/>
    </row>
    <row r="42622" spans="32:32" x14ac:dyDescent="0.2">
      <c r="AF42622" s="679"/>
    </row>
    <row r="42623" spans="32:32" x14ac:dyDescent="0.2">
      <c r="AF42623" s="679"/>
    </row>
    <row r="42624" spans="32:32" x14ac:dyDescent="0.2">
      <c r="AF42624" s="679"/>
    </row>
    <row r="42625" spans="32:32" x14ac:dyDescent="0.2">
      <c r="AF42625" s="679"/>
    </row>
    <row r="42626" spans="32:32" x14ac:dyDescent="0.2">
      <c r="AF42626" s="679"/>
    </row>
    <row r="42627" spans="32:32" x14ac:dyDescent="0.2">
      <c r="AF42627" s="679"/>
    </row>
    <row r="42628" spans="32:32" x14ac:dyDescent="0.2">
      <c r="AF42628" s="679"/>
    </row>
    <row r="42629" spans="32:32" x14ac:dyDescent="0.2">
      <c r="AF42629" s="679"/>
    </row>
    <row r="42630" spans="32:32" x14ac:dyDescent="0.2">
      <c r="AF42630" s="679"/>
    </row>
    <row r="42631" spans="32:32" x14ac:dyDescent="0.2">
      <c r="AF42631" s="679"/>
    </row>
    <row r="42632" spans="32:32" x14ac:dyDescent="0.2">
      <c r="AF42632" s="679"/>
    </row>
    <row r="42633" spans="32:32" x14ac:dyDescent="0.2">
      <c r="AF42633" s="679"/>
    </row>
    <row r="42634" spans="32:32" x14ac:dyDescent="0.2">
      <c r="AF42634" s="679"/>
    </row>
    <row r="42635" spans="32:32" x14ac:dyDescent="0.2">
      <c r="AF42635" s="679"/>
    </row>
    <row r="42636" spans="32:32" x14ac:dyDescent="0.2">
      <c r="AF42636" s="679"/>
    </row>
    <row r="42637" spans="32:32" x14ac:dyDescent="0.2">
      <c r="AF42637" s="679"/>
    </row>
    <row r="42638" spans="32:32" x14ac:dyDescent="0.2">
      <c r="AF42638" s="679"/>
    </row>
    <row r="42639" spans="32:32" x14ac:dyDescent="0.2">
      <c r="AF42639" s="679"/>
    </row>
    <row r="42640" spans="32:32" x14ac:dyDescent="0.2">
      <c r="AF42640" s="679"/>
    </row>
    <row r="42641" spans="32:32" x14ac:dyDescent="0.2">
      <c r="AF42641" s="679"/>
    </row>
    <row r="42642" spans="32:32" x14ac:dyDescent="0.2">
      <c r="AF42642" s="679"/>
    </row>
    <row r="42643" spans="32:32" x14ac:dyDescent="0.2">
      <c r="AF42643" s="679"/>
    </row>
    <row r="42644" spans="32:32" x14ac:dyDescent="0.2">
      <c r="AF42644" s="679"/>
    </row>
    <row r="42645" spans="32:32" x14ac:dyDescent="0.2">
      <c r="AF42645" s="679"/>
    </row>
    <row r="42646" spans="32:32" x14ac:dyDescent="0.2">
      <c r="AF42646" s="679"/>
    </row>
    <row r="42647" spans="32:32" x14ac:dyDescent="0.2">
      <c r="AF42647" s="679"/>
    </row>
    <row r="42648" spans="32:32" x14ac:dyDescent="0.2">
      <c r="AF42648" s="679"/>
    </row>
    <row r="42649" spans="32:32" x14ac:dyDescent="0.2">
      <c r="AF42649" s="679"/>
    </row>
    <row r="42650" spans="32:32" x14ac:dyDescent="0.2">
      <c r="AF42650" s="679"/>
    </row>
    <row r="42651" spans="32:32" x14ac:dyDescent="0.2">
      <c r="AF42651" s="679"/>
    </row>
    <row r="42652" spans="32:32" x14ac:dyDescent="0.2">
      <c r="AF42652" s="679"/>
    </row>
    <row r="42653" spans="32:32" x14ac:dyDescent="0.2">
      <c r="AF42653" s="679"/>
    </row>
    <row r="42654" spans="32:32" x14ac:dyDescent="0.2">
      <c r="AF42654" s="679"/>
    </row>
    <row r="42655" spans="32:32" x14ac:dyDescent="0.2">
      <c r="AF42655" s="679"/>
    </row>
    <row r="42656" spans="32:32" x14ac:dyDescent="0.2">
      <c r="AF42656" s="679"/>
    </row>
    <row r="42657" spans="32:32" x14ac:dyDescent="0.2">
      <c r="AF42657" s="679"/>
    </row>
    <row r="42658" spans="32:32" x14ac:dyDescent="0.2">
      <c r="AF42658" s="679"/>
    </row>
    <row r="42659" spans="32:32" x14ac:dyDescent="0.2">
      <c r="AF42659" s="679"/>
    </row>
    <row r="42660" spans="32:32" x14ac:dyDescent="0.2">
      <c r="AF42660" s="679"/>
    </row>
    <row r="42661" spans="32:32" x14ac:dyDescent="0.2">
      <c r="AF42661" s="679"/>
    </row>
    <row r="42662" spans="32:32" x14ac:dyDescent="0.2">
      <c r="AF42662" s="679"/>
    </row>
    <row r="42663" spans="32:32" x14ac:dyDescent="0.2">
      <c r="AF42663" s="679"/>
    </row>
    <row r="42664" spans="32:32" x14ac:dyDescent="0.2">
      <c r="AF42664" s="679"/>
    </row>
    <row r="42665" spans="32:32" x14ac:dyDescent="0.2">
      <c r="AF42665" s="679"/>
    </row>
    <row r="42666" spans="32:32" x14ac:dyDescent="0.2">
      <c r="AF42666" s="679"/>
    </row>
    <row r="42667" spans="32:32" x14ac:dyDescent="0.2">
      <c r="AF42667" s="679"/>
    </row>
    <row r="42668" spans="32:32" x14ac:dyDescent="0.2">
      <c r="AF42668" s="679"/>
    </row>
    <row r="42669" spans="32:32" x14ac:dyDescent="0.2">
      <c r="AF42669" s="679"/>
    </row>
    <row r="42670" spans="32:32" x14ac:dyDescent="0.2">
      <c r="AF42670" s="679"/>
    </row>
    <row r="42671" spans="32:32" x14ac:dyDescent="0.2">
      <c r="AF42671" s="679"/>
    </row>
    <row r="42672" spans="32:32" x14ac:dyDescent="0.2">
      <c r="AF42672" s="679"/>
    </row>
    <row r="42673" spans="32:32" x14ac:dyDescent="0.2">
      <c r="AF42673" s="679"/>
    </row>
    <row r="42674" spans="32:32" x14ac:dyDescent="0.2">
      <c r="AF42674" s="679"/>
    </row>
    <row r="42675" spans="32:32" x14ac:dyDescent="0.2">
      <c r="AF42675" s="679"/>
    </row>
    <row r="42676" spans="32:32" x14ac:dyDescent="0.2">
      <c r="AF42676" s="679"/>
    </row>
    <row r="42677" spans="32:32" x14ac:dyDescent="0.2">
      <c r="AF42677" s="679"/>
    </row>
    <row r="42678" spans="32:32" x14ac:dyDescent="0.2">
      <c r="AF42678" s="679"/>
    </row>
    <row r="42679" spans="32:32" x14ac:dyDescent="0.2">
      <c r="AF42679" s="679"/>
    </row>
    <row r="42680" spans="32:32" x14ac:dyDescent="0.2">
      <c r="AF42680" s="679"/>
    </row>
    <row r="42681" spans="32:32" x14ac:dyDescent="0.2">
      <c r="AF42681" s="679"/>
    </row>
    <row r="42682" spans="32:32" x14ac:dyDescent="0.2">
      <c r="AF42682" s="679"/>
    </row>
    <row r="42683" spans="32:32" x14ac:dyDescent="0.2">
      <c r="AF42683" s="679"/>
    </row>
    <row r="42684" spans="32:32" x14ac:dyDescent="0.2">
      <c r="AF42684" s="679"/>
    </row>
    <row r="42685" spans="32:32" x14ac:dyDescent="0.2">
      <c r="AF42685" s="679"/>
    </row>
    <row r="42686" spans="32:32" x14ac:dyDescent="0.2">
      <c r="AF42686" s="679"/>
    </row>
    <row r="42687" spans="32:32" x14ac:dyDescent="0.2">
      <c r="AF42687" s="679"/>
    </row>
    <row r="42688" spans="32:32" x14ac:dyDescent="0.2">
      <c r="AF42688" s="679"/>
    </row>
    <row r="42689" spans="32:32" x14ac:dyDescent="0.2">
      <c r="AF42689" s="679"/>
    </row>
    <row r="42690" spans="32:32" x14ac:dyDescent="0.2">
      <c r="AF42690" s="679"/>
    </row>
    <row r="42691" spans="32:32" x14ac:dyDescent="0.2">
      <c r="AF42691" s="679"/>
    </row>
    <row r="42692" spans="32:32" x14ac:dyDescent="0.2">
      <c r="AF42692" s="679"/>
    </row>
    <row r="42693" spans="32:32" x14ac:dyDescent="0.2">
      <c r="AF42693" s="679"/>
    </row>
    <row r="42694" spans="32:32" x14ac:dyDescent="0.2">
      <c r="AF42694" s="679"/>
    </row>
    <row r="42695" spans="32:32" x14ac:dyDescent="0.2">
      <c r="AF42695" s="679"/>
    </row>
    <row r="42696" spans="32:32" x14ac:dyDescent="0.2">
      <c r="AF42696" s="679"/>
    </row>
    <row r="42697" spans="32:32" x14ac:dyDescent="0.2">
      <c r="AF42697" s="679"/>
    </row>
    <row r="42698" spans="32:32" x14ac:dyDescent="0.2">
      <c r="AF42698" s="679"/>
    </row>
    <row r="42699" spans="32:32" x14ac:dyDescent="0.2">
      <c r="AF42699" s="679"/>
    </row>
    <row r="42700" spans="32:32" x14ac:dyDescent="0.2">
      <c r="AF42700" s="679"/>
    </row>
    <row r="42701" spans="32:32" x14ac:dyDescent="0.2">
      <c r="AF42701" s="679"/>
    </row>
    <row r="42702" spans="32:32" x14ac:dyDescent="0.2">
      <c r="AF42702" s="679"/>
    </row>
    <row r="42703" spans="32:32" x14ac:dyDescent="0.2">
      <c r="AF42703" s="679"/>
    </row>
    <row r="42704" spans="32:32" x14ac:dyDescent="0.2">
      <c r="AF42704" s="679"/>
    </row>
    <row r="42705" spans="32:32" x14ac:dyDescent="0.2">
      <c r="AF42705" s="679"/>
    </row>
    <row r="42706" spans="32:32" x14ac:dyDescent="0.2">
      <c r="AF42706" s="679"/>
    </row>
    <row r="42707" spans="32:32" x14ac:dyDescent="0.2">
      <c r="AF42707" s="679"/>
    </row>
    <row r="42708" spans="32:32" x14ac:dyDescent="0.2">
      <c r="AF42708" s="679"/>
    </row>
    <row r="42709" spans="32:32" x14ac:dyDescent="0.2">
      <c r="AF42709" s="679"/>
    </row>
    <row r="42710" spans="32:32" x14ac:dyDescent="0.2">
      <c r="AF42710" s="679"/>
    </row>
    <row r="42711" spans="32:32" x14ac:dyDescent="0.2">
      <c r="AF42711" s="679"/>
    </row>
    <row r="42712" spans="32:32" x14ac:dyDescent="0.2">
      <c r="AF42712" s="679"/>
    </row>
    <row r="42713" spans="32:32" x14ac:dyDescent="0.2">
      <c r="AF42713" s="679"/>
    </row>
    <row r="42714" spans="32:32" x14ac:dyDescent="0.2">
      <c r="AF42714" s="679"/>
    </row>
    <row r="42715" spans="32:32" x14ac:dyDescent="0.2">
      <c r="AF42715" s="679"/>
    </row>
    <row r="42716" spans="32:32" x14ac:dyDescent="0.2">
      <c r="AF42716" s="679"/>
    </row>
    <row r="42717" spans="32:32" x14ac:dyDescent="0.2">
      <c r="AF42717" s="679"/>
    </row>
    <row r="42718" spans="32:32" x14ac:dyDescent="0.2">
      <c r="AF42718" s="679"/>
    </row>
    <row r="42719" spans="32:32" x14ac:dyDescent="0.2">
      <c r="AF42719" s="679"/>
    </row>
    <row r="42720" spans="32:32" x14ac:dyDescent="0.2">
      <c r="AF42720" s="679"/>
    </row>
    <row r="42721" spans="32:32" x14ac:dyDescent="0.2">
      <c r="AF42721" s="679"/>
    </row>
    <row r="42722" spans="32:32" x14ac:dyDescent="0.2">
      <c r="AF42722" s="679"/>
    </row>
    <row r="42723" spans="32:32" x14ac:dyDescent="0.2">
      <c r="AF42723" s="679"/>
    </row>
    <row r="42724" spans="32:32" x14ac:dyDescent="0.2">
      <c r="AF42724" s="679"/>
    </row>
    <row r="42725" spans="32:32" x14ac:dyDescent="0.2">
      <c r="AF42725" s="679"/>
    </row>
    <row r="42726" spans="32:32" x14ac:dyDescent="0.2">
      <c r="AF42726" s="679"/>
    </row>
    <row r="42727" spans="32:32" x14ac:dyDescent="0.2">
      <c r="AF42727" s="679"/>
    </row>
    <row r="42728" spans="32:32" x14ac:dyDescent="0.2">
      <c r="AF42728" s="679"/>
    </row>
    <row r="42729" spans="32:32" x14ac:dyDescent="0.2">
      <c r="AF42729" s="679"/>
    </row>
    <row r="42730" spans="32:32" x14ac:dyDescent="0.2">
      <c r="AF42730" s="679"/>
    </row>
    <row r="42731" spans="32:32" x14ac:dyDescent="0.2">
      <c r="AF42731" s="679"/>
    </row>
    <row r="42732" spans="32:32" x14ac:dyDescent="0.2">
      <c r="AF42732" s="679"/>
    </row>
    <row r="42733" spans="32:32" x14ac:dyDescent="0.2">
      <c r="AF42733" s="679"/>
    </row>
    <row r="42734" spans="32:32" x14ac:dyDescent="0.2">
      <c r="AF42734" s="679"/>
    </row>
    <row r="42735" spans="32:32" x14ac:dyDescent="0.2">
      <c r="AF42735" s="679"/>
    </row>
    <row r="42736" spans="32:32" x14ac:dyDescent="0.2">
      <c r="AF42736" s="679"/>
    </row>
    <row r="42737" spans="32:32" x14ac:dyDescent="0.2">
      <c r="AF42737" s="679"/>
    </row>
    <row r="42738" spans="32:32" x14ac:dyDescent="0.2">
      <c r="AF42738" s="679"/>
    </row>
    <row r="42739" spans="32:32" x14ac:dyDescent="0.2">
      <c r="AF42739" s="679"/>
    </row>
    <row r="42740" spans="32:32" x14ac:dyDescent="0.2">
      <c r="AF42740" s="679"/>
    </row>
    <row r="42741" spans="32:32" x14ac:dyDescent="0.2">
      <c r="AF42741" s="679"/>
    </row>
    <row r="42742" spans="32:32" x14ac:dyDescent="0.2">
      <c r="AF42742" s="679"/>
    </row>
    <row r="42743" spans="32:32" x14ac:dyDescent="0.2">
      <c r="AF42743" s="679"/>
    </row>
    <row r="42744" spans="32:32" x14ac:dyDescent="0.2">
      <c r="AF42744" s="679"/>
    </row>
    <row r="42745" spans="32:32" x14ac:dyDescent="0.2">
      <c r="AF42745" s="679"/>
    </row>
    <row r="42746" spans="32:32" x14ac:dyDescent="0.2">
      <c r="AF42746" s="679"/>
    </row>
    <row r="42747" spans="32:32" x14ac:dyDescent="0.2">
      <c r="AF42747" s="679"/>
    </row>
    <row r="42748" spans="32:32" x14ac:dyDescent="0.2">
      <c r="AF42748" s="679"/>
    </row>
    <row r="42749" spans="32:32" x14ac:dyDescent="0.2">
      <c r="AF42749" s="679"/>
    </row>
    <row r="42750" spans="32:32" x14ac:dyDescent="0.2">
      <c r="AF42750" s="679"/>
    </row>
    <row r="42751" spans="32:32" x14ac:dyDescent="0.2">
      <c r="AF42751" s="679"/>
    </row>
    <row r="42752" spans="32:32" x14ac:dyDescent="0.2">
      <c r="AF42752" s="679"/>
    </row>
    <row r="42753" spans="32:32" x14ac:dyDescent="0.2">
      <c r="AF42753" s="679"/>
    </row>
    <row r="42754" spans="32:32" x14ac:dyDescent="0.2">
      <c r="AF42754" s="679"/>
    </row>
    <row r="42755" spans="32:32" x14ac:dyDescent="0.2">
      <c r="AF42755" s="679"/>
    </row>
    <row r="42756" spans="32:32" x14ac:dyDescent="0.2">
      <c r="AF42756" s="679"/>
    </row>
    <row r="42757" spans="32:32" x14ac:dyDescent="0.2">
      <c r="AF42757" s="679"/>
    </row>
    <row r="42758" spans="32:32" x14ac:dyDescent="0.2">
      <c r="AF42758" s="679"/>
    </row>
    <row r="42759" spans="32:32" x14ac:dyDescent="0.2">
      <c r="AF42759" s="679"/>
    </row>
    <row r="42760" spans="32:32" x14ac:dyDescent="0.2">
      <c r="AF42760" s="679"/>
    </row>
    <row r="42761" spans="32:32" x14ac:dyDescent="0.2">
      <c r="AF42761" s="679"/>
    </row>
    <row r="42762" spans="32:32" x14ac:dyDescent="0.2">
      <c r="AF42762" s="679"/>
    </row>
    <row r="42763" spans="32:32" x14ac:dyDescent="0.2">
      <c r="AF42763" s="679"/>
    </row>
    <row r="42764" spans="32:32" x14ac:dyDescent="0.2">
      <c r="AF42764" s="679"/>
    </row>
    <row r="42765" spans="32:32" x14ac:dyDescent="0.2">
      <c r="AF42765" s="679"/>
    </row>
    <row r="42766" spans="32:32" x14ac:dyDescent="0.2">
      <c r="AF42766" s="679"/>
    </row>
    <row r="42767" spans="32:32" x14ac:dyDescent="0.2">
      <c r="AF42767" s="679"/>
    </row>
    <row r="42768" spans="32:32" x14ac:dyDescent="0.2">
      <c r="AF42768" s="679"/>
    </row>
    <row r="42769" spans="32:32" x14ac:dyDescent="0.2">
      <c r="AF42769" s="679"/>
    </row>
    <row r="42770" spans="32:32" x14ac:dyDescent="0.2">
      <c r="AF42770" s="679"/>
    </row>
    <row r="42771" spans="32:32" x14ac:dyDescent="0.2">
      <c r="AF42771" s="679"/>
    </row>
    <row r="42772" spans="32:32" x14ac:dyDescent="0.2">
      <c r="AF42772" s="679"/>
    </row>
    <row r="42773" spans="32:32" x14ac:dyDescent="0.2">
      <c r="AF42773" s="679"/>
    </row>
    <row r="42774" spans="32:32" x14ac:dyDescent="0.2">
      <c r="AF42774" s="679"/>
    </row>
    <row r="42775" spans="32:32" x14ac:dyDescent="0.2">
      <c r="AF42775" s="679"/>
    </row>
    <row r="42776" spans="32:32" x14ac:dyDescent="0.2">
      <c r="AF42776" s="679"/>
    </row>
    <row r="42777" spans="32:32" x14ac:dyDescent="0.2">
      <c r="AF42777" s="679"/>
    </row>
    <row r="42778" spans="32:32" x14ac:dyDescent="0.2">
      <c r="AF42778" s="679"/>
    </row>
    <row r="42779" spans="32:32" x14ac:dyDescent="0.2">
      <c r="AF42779" s="679"/>
    </row>
    <row r="42780" spans="32:32" x14ac:dyDescent="0.2">
      <c r="AF42780" s="679"/>
    </row>
    <row r="42781" spans="32:32" x14ac:dyDescent="0.2">
      <c r="AF42781" s="679"/>
    </row>
    <row r="42782" spans="32:32" x14ac:dyDescent="0.2">
      <c r="AF42782" s="679"/>
    </row>
    <row r="42783" spans="32:32" x14ac:dyDescent="0.2">
      <c r="AF42783" s="679"/>
    </row>
    <row r="42784" spans="32:32" x14ac:dyDescent="0.2">
      <c r="AF42784" s="679"/>
    </row>
    <row r="42785" spans="32:32" x14ac:dyDescent="0.2">
      <c r="AF42785" s="679"/>
    </row>
    <row r="42786" spans="32:32" x14ac:dyDescent="0.2">
      <c r="AF42786" s="679"/>
    </row>
    <row r="42787" spans="32:32" x14ac:dyDescent="0.2">
      <c r="AF42787" s="679"/>
    </row>
    <row r="42788" spans="32:32" x14ac:dyDescent="0.2">
      <c r="AF42788" s="679"/>
    </row>
    <row r="42789" spans="32:32" x14ac:dyDescent="0.2">
      <c r="AF42789" s="679"/>
    </row>
    <row r="42790" spans="32:32" x14ac:dyDescent="0.2">
      <c r="AF42790" s="679"/>
    </row>
    <row r="42791" spans="32:32" x14ac:dyDescent="0.2">
      <c r="AF42791" s="679"/>
    </row>
    <row r="42792" spans="32:32" x14ac:dyDescent="0.2">
      <c r="AF42792" s="679"/>
    </row>
    <row r="42793" spans="32:32" x14ac:dyDescent="0.2">
      <c r="AF42793" s="679"/>
    </row>
    <row r="42794" spans="32:32" x14ac:dyDescent="0.2">
      <c r="AF42794" s="679"/>
    </row>
    <row r="42795" spans="32:32" x14ac:dyDescent="0.2">
      <c r="AF42795" s="679"/>
    </row>
    <row r="42796" spans="32:32" x14ac:dyDescent="0.2">
      <c r="AF42796" s="679"/>
    </row>
    <row r="42797" spans="32:32" x14ac:dyDescent="0.2">
      <c r="AF42797" s="679"/>
    </row>
    <row r="42798" spans="32:32" x14ac:dyDescent="0.2">
      <c r="AF42798" s="679"/>
    </row>
    <row r="42799" spans="32:32" x14ac:dyDescent="0.2">
      <c r="AF42799" s="679"/>
    </row>
    <row r="42800" spans="32:32" x14ac:dyDescent="0.2">
      <c r="AF42800" s="679"/>
    </row>
    <row r="42801" spans="32:32" x14ac:dyDescent="0.2">
      <c r="AF42801" s="679"/>
    </row>
    <row r="42802" spans="32:32" x14ac:dyDescent="0.2">
      <c r="AF42802" s="679"/>
    </row>
    <row r="42803" spans="32:32" x14ac:dyDescent="0.2">
      <c r="AF42803" s="679"/>
    </row>
    <row r="42804" spans="32:32" x14ac:dyDescent="0.2">
      <c r="AF42804" s="679"/>
    </row>
    <row r="42805" spans="32:32" x14ac:dyDescent="0.2">
      <c r="AF42805" s="679"/>
    </row>
    <row r="42806" spans="32:32" x14ac:dyDescent="0.2">
      <c r="AF42806" s="679"/>
    </row>
    <row r="42807" spans="32:32" x14ac:dyDescent="0.2">
      <c r="AF42807" s="679"/>
    </row>
    <row r="42808" spans="32:32" x14ac:dyDescent="0.2">
      <c r="AF42808" s="679"/>
    </row>
    <row r="42809" spans="32:32" x14ac:dyDescent="0.2">
      <c r="AF42809" s="679"/>
    </row>
    <row r="42810" spans="32:32" x14ac:dyDescent="0.2">
      <c r="AF42810" s="679"/>
    </row>
    <row r="42811" spans="32:32" x14ac:dyDescent="0.2">
      <c r="AF42811" s="679"/>
    </row>
    <row r="42812" spans="32:32" x14ac:dyDescent="0.2">
      <c r="AF42812" s="679"/>
    </row>
    <row r="42813" spans="32:32" x14ac:dyDescent="0.2">
      <c r="AF42813" s="679"/>
    </row>
    <row r="42814" spans="32:32" x14ac:dyDescent="0.2">
      <c r="AF42814" s="679"/>
    </row>
    <row r="42815" spans="32:32" x14ac:dyDescent="0.2">
      <c r="AF42815" s="679"/>
    </row>
    <row r="42816" spans="32:32" x14ac:dyDescent="0.2">
      <c r="AF42816" s="679"/>
    </row>
    <row r="42817" spans="32:32" x14ac:dyDescent="0.2">
      <c r="AF42817" s="679"/>
    </row>
    <row r="42818" spans="32:32" x14ac:dyDescent="0.2">
      <c r="AF42818" s="679"/>
    </row>
    <row r="42819" spans="32:32" x14ac:dyDescent="0.2">
      <c r="AF42819" s="679"/>
    </row>
    <row r="42820" spans="32:32" x14ac:dyDescent="0.2">
      <c r="AF42820" s="679"/>
    </row>
    <row r="42821" spans="32:32" x14ac:dyDescent="0.2">
      <c r="AF42821" s="679"/>
    </row>
    <row r="42822" spans="32:32" x14ac:dyDescent="0.2">
      <c r="AF42822" s="679"/>
    </row>
    <row r="42823" spans="32:32" x14ac:dyDescent="0.2">
      <c r="AF42823" s="679"/>
    </row>
    <row r="42824" spans="32:32" x14ac:dyDescent="0.2">
      <c r="AF42824" s="679"/>
    </row>
    <row r="42825" spans="32:32" x14ac:dyDescent="0.2">
      <c r="AF42825" s="679"/>
    </row>
    <row r="42826" spans="32:32" x14ac:dyDescent="0.2">
      <c r="AF42826" s="679"/>
    </row>
    <row r="42827" spans="32:32" x14ac:dyDescent="0.2">
      <c r="AF42827" s="679"/>
    </row>
    <row r="42828" spans="32:32" x14ac:dyDescent="0.2">
      <c r="AF42828" s="679"/>
    </row>
    <row r="42829" spans="32:32" x14ac:dyDescent="0.2">
      <c r="AF42829" s="679"/>
    </row>
    <row r="42830" spans="32:32" x14ac:dyDescent="0.2">
      <c r="AF42830" s="679"/>
    </row>
    <row r="42831" spans="32:32" x14ac:dyDescent="0.2">
      <c r="AF42831" s="679"/>
    </row>
    <row r="42832" spans="32:32" x14ac:dyDescent="0.2">
      <c r="AF42832" s="679"/>
    </row>
    <row r="42833" spans="32:32" x14ac:dyDescent="0.2">
      <c r="AF42833" s="679"/>
    </row>
    <row r="42834" spans="32:32" x14ac:dyDescent="0.2">
      <c r="AF42834" s="679"/>
    </row>
    <row r="42835" spans="32:32" x14ac:dyDescent="0.2">
      <c r="AF42835" s="679"/>
    </row>
    <row r="42836" spans="32:32" x14ac:dyDescent="0.2">
      <c r="AF42836" s="679"/>
    </row>
    <row r="42837" spans="32:32" x14ac:dyDescent="0.2">
      <c r="AF42837" s="679"/>
    </row>
    <row r="42838" spans="32:32" x14ac:dyDescent="0.2">
      <c r="AF42838" s="679"/>
    </row>
    <row r="42839" spans="32:32" x14ac:dyDescent="0.2">
      <c r="AF42839" s="679"/>
    </row>
    <row r="42840" spans="32:32" x14ac:dyDescent="0.2">
      <c r="AF42840" s="679"/>
    </row>
    <row r="42841" spans="32:32" x14ac:dyDescent="0.2">
      <c r="AF42841" s="679"/>
    </row>
    <row r="42842" spans="32:32" x14ac:dyDescent="0.2">
      <c r="AF42842" s="679"/>
    </row>
    <row r="42843" spans="32:32" x14ac:dyDescent="0.2">
      <c r="AF42843" s="679"/>
    </row>
    <row r="42844" spans="32:32" x14ac:dyDescent="0.2">
      <c r="AF42844" s="679"/>
    </row>
    <row r="42845" spans="32:32" x14ac:dyDescent="0.2">
      <c r="AF42845" s="679"/>
    </row>
    <row r="42846" spans="32:32" x14ac:dyDescent="0.2">
      <c r="AF42846" s="679"/>
    </row>
    <row r="42847" spans="32:32" x14ac:dyDescent="0.2">
      <c r="AF42847" s="679"/>
    </row>
    <row r="42848" spans="32:32" x14ac:dyDescent="0.2">
      <c r="AF42848" s="679"/>
    </row>
    <row r="42849" spans="32:32" x14ac:dyDescent="0.2">
      <c r="AF42849" s="679"/>
    </row>
    <row r="42850" spans="32:32" x14ac:dyDescent="0.2">
      <c r="AF42850" s="679"/>
    </row>
    <row r="42851" spans="32:32" x14ac:dyDescent="0.2">
      <c r="AF42851" s="679"/>
    </row>
    <row r="42852" spans="32:32" x14ac:dyDescent="0.2">
      <c r="AF42852" s="679"/>
    </row>
    <row r="42853" spans="32:32" x14ac:dyDescent="0.2">
      <c r="AF42853" s="679"/>
    </row>
    <row r="42854" spans="32:32" x14ac:dyDescent="0.2">
      <c r="AF42854" s="679"/>
    </row>
    <row r="42855" spans="32:32" x14ac:dyDescent="0.2">
      <c r="AF42855" s="679"/>
    </row>
    <row r="42856" spans="32:32" x14ac:dyDescent="0.2">
      <c r="AF42856" s="679"/>
    </row>
    <row r="42857" spans="32:32" x14ac:dyDescent="0.2">
      <c r="AF42857" s="679"/>
    </row>
    <row r="42858" spans="32:32" x14ac:dyDescent="0.2">
      <c r="AF42858" s="679"/>
    </row>
    <row r="42859" spans="32:32" x14ac:dyDescent="0.2">
      <c r="AF42859" s="679"/>
    </row>
    <row r="42860" spans="32:32" x14ac:dyDescent="0.2">
      <c r="AF42860" s="679"/>
    </row>
    <row r="42861" spans="32:32" x14ac:dyDescent="0.2">
      <c r="AF42861" s="679"/>
    </row>
    <row r="42862" spans="32:32" x14ac:dyDescent="0.2">
      <c r="AF42862" s="679"/>
    </row>
    <row r="42863" spans="32:32" x14ac:dyDescent="0.2">
      <c r="AF42863" s="679"/>
    </row>
    <row r="42864" spans="32:32" x14ac:dyDescent="0.2">
      <c r="AF42864" s="679"/>
    </row>
    <row r="42865" spans="32:32" x14ac:dyDescent="0.2">
      <c r="AF42865" s="679"/>
    </row>
    <row r="42866" spans="32:32" x14ac:dyDescent="0.2">
      <c r="AF42866" s="679"/>
    </row>
    <row r="42867" spans="32:32" x14ac:dyDescent="0.2">
      <c r="AF42867" s="679"/>
    </row>
    <row r="42868" spans="32:32" x14ac:dyDescent="0.2">
      <c r="AF42868" s="679"/>
    </row>
    <row r="42869" spans="32:32" x14ac:dyDescent="0.2">
      <c r="AF42869" s="679"/>
    </row>
    <row r="42870" spans="32:32" x14ac:dyDescent="0.2">
      <c r="AF42870" s="679"/>
    </row>
    <row r="42871" spans="32:32" x14ac:dyDescent="0.2">
      <c r="AF42871" s="679"/>
    </row>
    <row r="42872" spans="32:32" x14ac:dyDescent="0.2">
      <c r="AF42872" s="679"/>
    </row>
    <row r="42873" spans="32:32" x14ac:dyDescent="0.2">
      <c r="AF42873" s="679"/>
    </row>
    <row r="42874" spans="32:32" x14ac:dyDescent="0.2">
      <c r="AF42874" s="679"/>
    </row>
    <row r="42875" spans="32:32" x14ac:dyDescent="0.2">
      <c r="AF42875" s="679"/>
    </row>
    <row r="42876" spans="32:32" x14ac:dyDescent="0.2">
      <c r="AF42876" s="679"/>
    </row>
    <row r="42877" spans="32:32" x14ac:dyDescent="0.2">
      <c r="AF42877" s="679"/>
    </row>
    <row r="42878" spans="32:32" x14ac:dyDescent="0.2">
      <c r="AF42878" s="679"/>
    </row>
    <row r="42879" spans="32:32" x14ac:dyDescent="0.2">
      <c r="AF42879" s="679"/>
    </row>
    <row r="42880" spans="32:32" x14ac:dyDescent="0.2">
      <c r="AF42880" s="679"/>
    </row>
    <row r="42881" spans="32:32" x14ac:dyDescent="0.2">
      <c r="AF42881" s="679"/>
    </row>
    <row r="42882" spans="32:32" x14ac:dyDescent="0.2">
      <c r="AF42882" s="679"/>
    </row>
    <row r="42883" spans="32:32" x14ac:dyDescent="0.2">
      <c r="AF42883" s="679"/>
    </row>
    <row r="42884" spans="32:32" x14ac:dyDescent="0.2">
      <c r="AF42884" s="679"/>
    </row>
    <row r="42885" spans="32:32" x14ac:dyDescent="0.2">
      <c r="AF42885" s="679"/>
    </row>
    <row r="42886" spans="32:32" x14ac:dyDescent="0.2">
      <c r="AF42886" s="679"/>
    </row>
    <row r="42887" spans="32:32" x14ac:dyDescent="0.2">
      <c r="AF42887" s="679"/>
    </row>
    <row r="42888" spans="32:32" x14ac:dyDescent="0.2">
      <c r="AF42888" s="679"/>
    </row>
    <row r="42889" spans="32:32" x14ac:dyDescent="0.2">
      <c r="AF42889" s="679"/>
    </row>
    <row r="42890" spans="32:32" x14ac:dyDescent="0.2">
      <c r="AF42890" s="679"/>
    </row>
    <row r="42891" spans="32:32" x14ac:dyDescent="0.2">
      <c r="AF42891" s="679"/>
    </row>
    <row r="42892" spans="32:32" x14ac:dyDescent="0.2">
      <c r="AF42892" s="679"/>
    </row>
    <row r="42893" spans="32:32" x14ac:dyDescent="0.2">
      <c r="AF42893" s="679"/>
    </row>
    <row r="42894" spans="32:32" x14ac:dyDescent="0.2">
      <c r="AF42894" s="679"/>
    </row>
    <row r="42895" spans="32:32" x14ac:dyDescent="0.2">
      <c r="AF42895" s="679"/>
    </row>
    <row r="42896" spans="32:32" x14ac:dyDescent="0.2">
      <c r="AF42896" s="679"/>
    </row>
    <row r="42897" spans="32:32" x14ac:dyDescent="0.2">
      <c r="AF42897" s="679"/>
    </row>
    <row r="42898" spans="32:32" x14ac:dyDescent="0.2">
      <c r="AF42898" s="679"/>
    </row>
    <row r="42899" spans="32:32" x14ac:dyDescent="0.2">
      <c r="AF42899" s="679"/>
    </row>
    <row r="42900" spans="32:32" x14ac:dyDescent="0.2">
      <c r="AF42900" s="679"/>
    </row>
    <row r="42901" spans="32:32" x14ac:dyDescent="0.2">
      <c r="AF42901" s="679"/>
    </row>
    <row r="42902" spans="32:32" x14ac:dyDescent="0.2">
      <c r="AF42902" s="679"/>
    </row>
    <row r="42903" spans="32:32" x14ac:dyDescent="0.2">
      <c r="AF42903" s="679"/>
    </row>
    <row r="42904" spans="32:32" x14ac:dyDescent="0.2">
      <c r="AF42904" s="679"/>
    </row>
    <row r="42905" spans="32:32" x14ac:dyDescent="0.2">
      <c r="AF42905" s="679"/>
    </row>
    <row r="42906" spans="32:32" x14ac:dyDescent="0.2">
      <c r="AF42906" s="679"/>
    </row>
    <row r="42907" spans="32:32" x14ac:dyDescent="0.2">
      <c r="AF42907" s="679"/>
    </row>
    <row r="42908" spans="32:32" x14ac:dyDescent="0.2">
      <c r="AF42908" s="679"/>
    </row>
    <row r="42909" spans="32:32" x14ac:dyDescent="0.2">
      <c r="AF42909" s="679"/>
    </row>
    <row r="42910" spans="32:32" x14ac:dyDescent="0.2">
      <c r="AF42910" s="679"/>
    </row>
    <row r="42911" spans="32:32" x14ac:dyDescent="0.2">
      <c r="AF42911" s="679"/>
    </row>
    <row r="42912" spans="32:32" x14ac:dyDescent="0.2">
      <c r="AF42912" s="679"/>
    </row>
    <row r="42913" spans="32:32" x14ac:dyDescent="0.2">
      <c r="AF42913" s="679"/>
    </row>
    <row r="42914" spans="32:32" x14ac:dyDescent="0.2">
      <c r="AF42914" s="679"/>
    </row>
    <row r="42915" spans="32:32" x14ac:dyDescent="0.2">
      <c r="AF42915" s="679"/>
    </row>
    <row r="42916" spans="32:32" x14ac:dyDescent="0.2">
      <c r="AF42916" s="679"/>
    </row>
    <row r="42917" spans="32:32" x14ac:dyDescent="0.2">
      <c r="AF42917" s="679"/>
    </row>
    <row r="42918" spans="32:32" x14ac:dyDescent="0.2">
      <c r="AF42918" s="679"/>
    </row>
    <row r="42919" spans="32:32" x14ac:dyDescent="0.2">
      <c r="AF42919" s="679"/>
    </row>
    <row r="42920" spans="32:32" x14ac:dyDescent="0.2">
      <c r="AF42920" s="679"/>
    </row>
    <row r="42921" spans="32:32" x14ac:dyDescent="0.2">
      <c r="AF42921" s="679"/>
    </row>
    <row r="42922" spans="32:32" x14ac:dyDescent="0.2">
      <c r="AF42922" s="679"/>
    </row>
    <row r="42923" spans="32:32" x14ac:dyDescent="0.2">
      <c r="AF42923" s="679"/>
    </row>
    <row r="42924" spans="32:32" x14ac:dyDescent="0.2">
      <c r="AF42924" s="679"/>
    </row>
    <row r="42925" spans="32:32" x14ac:dyDescent="0.2">
      <c r="AF42925" s="679"/>
    </row>
    <row r="42926" spans="32:32" x14ac:dyDescent="0.2">
      <c r="AF42926" s="679"/>
    </row>
    <row r="42927" spans="32:32" x14ac:dyDescent="0.2">
      <c r="AF42927" s="679"/>
    </row>
    <row r="42928" spans="32:32" x14ac:dyDescent="0.2">
      <c r="AF42928" s="679"/>
    </row>
    <row r="42929" spans="32:32" x14ac:dyDescent="0.2">
      <c r="AF42929" s="679"/>
    </row>
    <row r="42930" spans="32:32" x14ac:dyDescent="0.2">
      <c r="AF42930" s="679"/>
    </row>
    <row r="42931" spans="32:32" x14ac:dyDescent="0.2">
      <c r="AF42931" s="679"/>
    </row>
    <row r="42932" spans="32:32" x14ac:dyDescent="0.2">
      <c r="AF42932" s="679"/>
    </row>
    <row r="42933" spans="32:32" x14ac:dyDescent="0.2">
      <c r="AF42933" s="679"/>
    </row>
    <row r="42934" spans="32:32" x14ac:dyDescent="0.2">
      <c r="AF42934" s="679"/>
    </row>
    <row r="42935" spans="32:32" x14ac:dyDescent="0.2">
      <c r="AF42935" s="679"/>
    </row>
    <row r="42936" spans="32:32" x14ac:dyDescent="0.2">
      <c r="AF42936" s="679"/>
    </row>
    <row r="42937" spans="32:32" x14ac:dyDescent="0.2">
      <c r="AF42937" s="679"/>
    </row>
    <row r="42938" spans="32:32" x14ac:dyDescent="0.2">
      <c r="AF42938" s="679"/>
    </row>
    <row r="42939" spans="32:32" x14ac:dyDescent="0.2">
      <c r="AF42939" s="679"/>
    </row>
    <row r="42940" spans="32:32" x14ac:dyDescent="0.2">
      <c r="AF42940" s="679"/>
    </row>
    <row r="42941" spans="32:32" x14ac:dyDescent="0.2">
      <c r="AF42941" s="679"/>
    </row>
    <row r="42942" spans="32:32" x14ac:dyDescent="0.2">
      <c r="AF42942" s="679"/>
    </row>
    <row r="42943" spans="32:32" x14ac:dyDescent="0.2">
      <c r="AF42943" s="679"/>
    </row>
    <row r="42944" spans="32:32" x14ac:dyDescent="0.2">
      <c r="AF42944" s="679"/>
    </row>
    <row r="42945" spans="32:32" x14ac:dyDescent="0.2">
      <c r="AF42945" s="679"/>
    </row>
    <row r="42946" spans="32:32" x14ac:dyDescent="0.2">
      <c r="AF42946" s="679"/>
    </row>
    <row r="42947" spans="32:32" x14ac:dyDescent="0.2">
      <c r="AF42947" s="679"/>
    </row>
    <row r="42948" spans="32:32" x14ac:dyDescent="0.2">
      <c r="AF42948" s="679"/>
    </row>
    <row r="42949" spans="32:32" x14ac:dyDescent="0.2">
      <c r="AF42949" s="679"/>
    </row>
    <row r="42950" spans="32:32" x14ac:dyDescent="0.2">
      <c r="AF42950" s="679"/>
    </row>
    <row r="42951" spans="32:32" x14ac:dyDescent="0.2">
      <c r="AF42951" s="679"/>
    </row>
    <row r="42952" spans="32:32" x14ac:dyDescent="0.2">
      <c r="AF42952" s="679"/>
    </row>
    <row r="42953" spans="32:32" x14ac:dyDescent="0.2">
      <c r="AF42953" s="679"/>
    </row>
    <row r="42954" spans="32:32" x14ac:dyDescent="0.2">
      <c r="AF42954" s="679"/>
    </row>
    <row r="42955" spans="32:32" x14ac:dyDescent="0.2">
      <c r="AF42955" s="679"/>
    </row>
    <row r="42956" spans="32:32" x14ac:dyDescent="0.2">
      <c r="AF42956" s="679"/>
    </row>
    <row r="42957" spans="32:32" x14ac:dyDescent="0.2">
      <c r="AF42957" s="679"/>
    </row>
    <row r="42958" spans="32:32" x14ac:dyDescent="0.2">
      <c r="AF42958" s="679"/>
    </row>
    <row r="42959" spans="32:32" x14ac:dyDescent="0.2">
      <c r="AF42959" s="679"/>
    </row>
    <row r="42960" spans="32:32" x14ac:dyDescent="0.2">
      <c r="AF42960" s="679"/>
    </row>
    <row r="42961" spans="32:32" x14ac:dyDescent="0.2">
      <c r="AF42961" s="679"/>
    </row>
    <row r="42962" spans="32:32" x14ac:dyDescent="0.2">
      <c r="AF42962" s="679"/>
    </row>
    <row r="42963" spans="32:32" x14ac:dyDescent="0.2">
      <c r="AF42963" s="679"/>
    </row>
    <row r="42964" spans="32:32" x14ac:dyDescent="0.2">
      <c r="AF42964" s="679"/>
    </row>
    <row r="42965" spans="32:32" x14ac:dyDescent="0.2">
      <c r="AF42965" s="679"/>
    </row>
    <row r="42966" spans="32:32" x14ac:dyDescent="0.2">
      <c r="AF42966" s="679"/>
    </row>
    <row r="42967" spans="32:32" x14ac:dyDescent="0.2">
      <c r="AF42967" s="679"/>
    </row>
    <row r="42968" spans="32:32" x14ac:dyDescent="0.2">
      <c r="AF42968" s="679"/>
    </row>
    <row r="42969" spans="32:32" x14ac:dyDescent="0.2">
      <c r="AF42969" s="679"/>
    </row>
    <row r="42970" spans="32:32" x14ac:dyDescent="0.2">
      <c r="AF42970" s="679"/>
    </row>
    <row r="42971" spans="32:32" x14ac:dyDescent="0.2">
      <c r="AF42971" s="679"/>
    </row>
    <row r="42972" spans="32:32" x14ac:dyDescent="0.2">
      <c r="AF42972" s="679"/>
    </row>
    <row r="42973" spans="32:32" x14ac:dyDescent="0.2">
      <c r="AF42973" s="679"/>
    </row>
    <row r="42974" spans="32:32" x14ac:dyDescent="0.2">
      <c r="AF42974" s="679"/>
    </row>
    <row r="42975" spans="32:32" x14ac:dyDescent="0.2">
      <c r="AF42975" s="679"/>
    </row>
    <row r="42976" spans="32:32" x14ac:dyDescent="0.2">
      <c r="AF42976" s="679"/>
    </row>
    <row r="42977" spans="32:32" x14ac:dyDescent="0.2">
      <c r="AF42977" s="679"/>
    </row>
    <row r="42978" spans="32:32" x14ac:dyDescent="0.2">
      <c r="AF42978" s="679"/>
    </row>
    <row r="42979" spans="32:32" x14ac:dyDescent="0.2">
      <c r="AF42979" s="679"/>
    </row>
    <row r="42980" spans="32:32" x14ac:dyDescent="0.2">
      <c r="AF42980" s="679"/>
    </row>
    <row r="42981" spans="32:32" x14ac:dyDescent="0.2">
      <c r="AF42981" s="679"/>
    </row>
    <row r="42982" spans="32:32" x14ac:dyDescent="0.2">
      <c r="AF42982" s="679"/>
    </row>
    <row r="42983" spans="32:32" x14ac:dyDescent="0.2">
      <c r="AF42983" s="679"/>
    </row>
    <row r="42984" spans="32:32" x14ac:dyDescent="0.2">
      <c r="AF42984" s="679"/>
    </row>
    <row r="42985" spans="32:32" x14ac:dyDescent="0.2">
      <c r="AF42985" s="679"/>
    </row>
    <row r="42986" spans="32:32" x14ac:dyDescent="0.2">
      <c r="AF42986" s="679"/>
    </row>
    <row r="42987" spans="32:32" x14ac:dyDescent="0.2">
      <c r="AF42987" s="679"/>
    </row>
    <row r="42988" spans="32:32" x14ac:dyDescent="0.2">
      <c r="AF42988" s="679"/>
    </row>
    <row r="42989" spans="32:32" x14ac:dyDescent="0.2">
      <c r="AF42989" s="679"/>
    </row>
    <row r="42990" spans="32:32" x14ac:dyDescent="0.2">
      <c r="AF42990" s="679"/>
    </row>
    <row r="42991" spans="32:32" x14ac:dyDescent="0.2">
      <c r="AF42991" s="679"/>
    </row>
    <row r="42992" spans="32:32" x14ac:dyDescent="0.2">
      <c r="AF42992" s="679"/>
    </row>
    <row r="42993" spans="32:32" x14ac:dyDescent="0.2">
      <c r="AF42993" s="679"/>
    </row>
    <row r="42994" spans="32:32" x14ac:dyDescent="0.2">
      <c r="AF42994" s="679"/>
    </row>
    <row r="42995" spans="32:32" x14ac:dyDescent="0.2">
      <c r="AF42995" s="679"/>
    </row>
    <row r="42996" spans="32:32" x14ac:dyDescent="0.2">
      <c r="AF42996" s="679"/>
    </row>
    <row r="42997" spans="32:32" x14ac:dyDescent="0.2">
      <c r="AF42997" s="679"/>
    </row>
    <row r="42998" spans="32:32" x14ac:dyDescent="0.2">
      <c r="AF42998" s="679"/>
    </row>
    <row r="42999" spans="32:32" x14ac:dyDescent="0.2">
      <c r="AF42999" s="679"/>
    </row>
    <row r="43000" spans="32:32" x14ac:dyDescent="0.2">
      <c r="AF43000" s="679"/>
    </row>
    <row r="43001" spans="32:32" x14ac:dyDescent="0.2">
      <c r="AF43001" s="679"/>
    </row>
    <row r="43002" spans="32:32" x14ac:dyDescent="0.2">
      <c r="AF43002" s="679"/>
    </row>
    <row r="43003" spans="32:32" x14ac:dyDescent="0.2">
      <c r="AF43003" s="679"/>
    </row>
    <row r="43004" spans="32:32" x14ac:dyDescent="0.2">
      <c r="AF43004" s="679"/>
    </row>
    <row r="43005" spans="32:32" x14ac:dyDescent="0.2">
      <c r="AF43005" s="679"/>
    </row>
    <row r="43006" spans="32:32" x14ac:dyDescent="0.2">
      <c r="AF43006" s="679"/>
    </row>
    <row r="43007" spans="32:32" x14ac:dyDescent="0.2">
      <c r="AF43007" s="679"/>
    </row>
    <row r="43008" spans="32:32" x14ac:dyDescent="0.2">
      <c r="AF43008" s="679"/>
    </row>
    <row r="43009" spans="32:32" x14ac:dyDescent="0.2">
      <c r="AF43009" s="679"/>
    </row>
    <row r="43010" spans="32:32" x14ac:dyDescent="0.2">
      <c r="AF43010" s="679"/>
    </row>
    <row r="43011" spans="32:32" x14ac:dyDescent="0.2">
      <c r="AF43011" s="679"/>
    </row>
    <row r="43012" spans="32:32" x14ac:dyDescent="0.2">
      <c r="AF43012" s="679"/>
    </row>
    <row r="43013" spans="32:32" x14ac:dyDescent="0.2">
      <c r="AF43013" s="679"/>
    </row>
    <row r="43014" spans="32:32" x14ac:dyDescent="0.2">
      <c r="AF43014" s="679"/>
    </row>
    <row r="43015" spans="32:32" x14ac:dyDescent="0.2">
      <c r="AF43015" s="679"/>
    </row>
    <row r="43016" spans="32:32" x14ac:dyDescent="0.2">
      <c r="AF43016" s="679"/>
    </row>
    <row r="43017" spans="32:32" x14ac:dyDescent="0.2">
      <c r="AF43017" s="679"/>
    </row>
    <row r="43018" spans="32:32" x14ac:dyDescent="0.2">
      <c r="AF43018" s="679"/>
    </row>
    <row r="43019" spans="32:32" x14ac:dyDescent="0.2">
      <c r="AF43019" s="679"/>
    </row>
    <row r="43020" spans="32:32" x14ac:dyDescent="0.2">
      <c r="AF43020" s="679"/>
    </row>
    <row r="43021" spans="32:32" x14ac:dyDescent="0.2">
      <c r="AF43021" s="679"/>
    </row>
    <row r="43022" spans="32:32" x14ac:dyDescent="0.2">
      <c r="AF43022" s="679"/>
    </row>
    <row r="43023" spans="32:32" x14ac:dyDescent="0.2">
      <c r="AF43023" s="679"/>
    </row>
    <row r="43024" spans="32:32" x14ac:dyDescent="0.2">
      <c r="AF43024" s="679"/>
    </row>
    <row r="43025" spans="32:32" x14ac:dyDescent="0.2">
      <c r="AF43025" s="679"/>
    </row>
    <row r="43026" spans="32:32" x14ac:dyDescent="0.2">
      <c r="AF43026" s="679"/>
    </row>
    <row r="43027" spans="32:32" x14ac:dyDescent="0.2">
      <c r="AF43027" s="679"/>
    </row>
    <row r="43028" spans="32:32" x14ac:dyDescent="0.2">
      <c r="AF43028" s="679"/>
    </row>
    <row r="43029" spans="32:32" x14ac:dyDescent="0.2">
      <c r="AF43029" s="679"/>
    </row>
    <row r="43030" spans="32:32" x14ac:dyDescent="0.2">
      <c r="AF43030" s="679"/>
    </row>
    <row r="43031" spans="32:32" x14ac:dyDescent="0.2">
      <c r="AF43031" s="679"/>
    </row>
    <row r="43032" spans="32:32" x14ac:dyDescent="0.2">
      <c r="AF43032" s="679"/>
    </row>
    <row r="43033" spans="32:32" x14ac:dyDescent="0.2">
      <c r="AF43033" s="679"/>
    </row>
    <row r="43034" spans="32:32" x14ac:dyDescent="0.2">
      <c r="AF43034" s="679"/>
    </row>
    <row r="43035" spans="32:32" x14ac:dyDescent="0.2">
      <c r="AF43035" s="679"/>
    </row>
    <row r="43036" spans="32:32" x14ac:dyDescent="0.2">
      <c r="AF43036" s="679"/>
    </row>
    <row r="43037" spans="32:32" x14ac:dyDescent="0.2">
      <c r="AF43037" s="679"/>
    </row>
    <row r="43038" spans="32:32" x14ac:dyDescent="0.2">
      <c r="AF43038" s="679"/>
    </row>
    <row r="43039" spans="32:32" x14ac:dyDescent="0.2">
      <c r="AF43039" s="679"/>
    </row>
    <row r="43040" spans="32:32" x14ac:dyDescent="0.2">
      <c r="AF43040" s="679"/>
    </row>
    <row r="43041" spans="32:32" x14ac:dyDescent="0.2">
      <c r="AF43041" s="679"/>
    </row>
    <row r="43042" spans="32:32" x14ac:dyDescent="0.2">
      <c r="AF43042" s="679"/>
    </row>
    <row r="43043" spans="32:32" x14ac:dyDescent="0.2">
      <c r="AF43043" s="679"/>
    </row>
    <row r="43044" spans="32:32" x14ac:dyDescent="0.2">
      <c r="AF43044" s="679"/>
    </row>
    <row r="43045" spans="32:32" x14ac:dyDescent="0.2">
      <c r="AF43045" s="679"/>
    </row>
    <row r="43046" spans="32:32" x14ac:dyDescent="0.2">
      <c r="AF43046" s="679"/>
    </row>
    <row r="43047" spans="32:32" x14ac:dyDescent="0.2">
      <c r="AF43047" s="679"/>
    </row>
    <row r="43048" spans="32:32" x14ac:dyDescent="0.2">
      <c r="AF43048" s="679"/>
    </row>
    <row r="43049" spans="32:32" x14ac:dyDescent="0.2">
      <c r="AF43049" s="679"/>
    </row>
    <row r="43050" spans="32:32" x14ac:dyDescent="0.2">
      <c r="AF43050" s="679"/>
    </row>
    <row r="43051" spans="32:32" x14ac:dyDescent="0.2">
      <c r="AF43051" s="679"/>
    </row>
    <row r="43052" spans="32:32" x14ac:dyDescent="0.2">
      <c r="AF43052" s="679"/>
    </row>
    <row r="43053" spans="32:32" x14ac:dyDescent="0.2">
      <c r="AF43053" s="679"/>
    </row>
    <row r="43054" spans="32:32" x14ac:dyDescent="0.2">
      <c r="AF43054" s="679"/>
    </row>
    <row r="43055" spans="32:32" x14ac:dyDescent="0.2">
      <c r="AF43055" s="679"/>
    </row>
    <row r="43056" spans="32:32" x14ac:dyDescent="0.2">
      <c r="AF43056" s="679"/>
    </row>
    <row r="43057" spans="32:32" x14ac:dyDescent="0.2">
      <c r="AF43057" s="679"/>
    </row>
    <row r="43058" spans="32:32" x14ac:dyDescent="0.2">
      <c r="AF43058" s="679"/>
    </row>
    <row r="43059" spans="32:32" x14ac:dyDescent="0.2">
      <c r="AF43059" s="679"/>
    </row>
    <row r="43060" spans="32:32" x14ac:dyDescent="0.2">
      <c r="AF43060" s="679"/>
    </row>
    <row r="43061" spans="32:32" x14ac:dyDescent="0.2">
      <c r="AF43061" s="679"/>
    </row>
    <row r="43062" spans="32:32" x14ac:dyDescent="0.2">
      <c r="AF43062" s="679"/>
    </row>
    <row r="43063" spans="32:32" x14ac:dyDescent="0.2">
      <c r="AF43063" s="679"/>
    </row>
    <row r="43064" spans="32:32" x14ac:dyDescent="0.2">
      <c r="AF43064" s="679"/>
    </row>
    <row r="43065" spans="32:32" x14ac:dyDescent="0.2">
      <c r="AF43065" s="679"/>
    </row>
    <row r="43066" spans="32:32" x14ac:dyDescent="0.2">
      <c r="AF43066" s="679"/>
    </row>
    <row r="43067" spans="32:32" x14ac:dyDescent="0.2">
      <c r="AF43067" s="679"/>
    </row>
    <row r="43068" spans="32:32" x14ac:dyDescent="0.2">
      <c r="AF43068" s="679"/>
    </row>
    <row r="43069" spans="32:32" x14ac:dyDescent="0.2">
      <c r="AF43069" s="679"/>
    </row>
    <row r="43070" spans="32:32" x14ac:dyDescent="0.2">
      <c r="AF43070" s="679"/>
    </row>
    <row r="43071" spans="32:32" x14ac:dyDescent="0.2">
      <c r="AF43071" s="679"/>
    </row>
    <row r="43072" spans="32:32" x14ac:dyDescent="0.2">
      <c r="AF43072" s="679"/>
    </row>
    <row r="43073" spans="32:32" x14ac:dyDescent="0.2">
      <c r="AF43073" s="679"/>
    </row>
    <row r="43074" spans="32:32" x14ac:dyDescent="0.2">
      <c r="AF43074" s="679"/>
    </row>
    <row r="43075" spans="32:32" x14ac:dyDescent="0.2">
      <c r="AF43075" s="679"/>
    </row>
    <row r="43076" spans="32:32" x14ac:dyDescent="0.2">
      <c r="AF43076" s="679"/>
    </row>
    <row r="43077" spans="32:32" x14ac:dyDescent="0.2">
      <c r="AF43077" s="679"/>
    </row>
    <row r="43078" spans="32:32" x14ac:dyDescent="0.2">
      <c r="AF43078" s="679"/>
    </row>
    <row r="43079" spans="32:32" x14ac:dyDescent="0.2">
      <c r="AF43079" s="679"/>
    </row>
    <row r="43080" spans="32:32" x14ac:dyDescent="0.2">
      <c r="AF43080" s="679"/>
    </row>
    <row r="43081" spans="32:32" x14ac:dyDescent="0.2">
      <c r="AF43081" s="679"/>
    </row>
    <row r="43082" spans="32:32" x14ac:dyDescent="0.2">
      <c r="AF43082" s="679"/>
    </row>
    <row r="43083" spans="32:32" x14ac:dyDescent="0.2">
      <c r="AF43083" s="679"/>
    </row>
    <row r="43084" spans="32:32" x14ac:dyDescent="0.2">
      <c r="AF43084" s="679"/>
    </row>
    <row r="43085" spans="32:32" x14ac:dyDescent="0.2">
      <c r="AF43085" s="679"/>
    </row>
    <row r="43086" spans="32:32" x14ac:dyDescent="0.2">
      <c r="AF43086" s="679"/>
    </row>
    <row r="43087" spans="32:32" x14ac:dyDescent="0.2">
      <c r="AF43087" s="679"/>
    </row>
    <row r="43088" spans="32:32" x14ac:dyDescent="0.2">
      <c r="AF43088" s="679"/>
    </row>
    <row r="43089" spans="32:32" x14ac:dyDescent="0.2">
      <c r="AF43089" s="679"/>
    </row>
    <row r="43090" spans="32:32" x14ac:dyDescent="0.2">
      <c r="AF43090" s="679"/>
    </row>
    <row r="43091" spans="32:32" x14ac:dyDescent="0.2">
      <c r="AF43091" s="679"/>
    </row>
    <row r="43092" spans="32:32" x14ac:dyDescent="0.2">
      <c r="AF43092" s="679"/>
    </row>
    <row r="43093" spans="32:32" x14ac:dyDescent="0.2">
      <c r="AF43093" s="679"/>
    </row>
    <row r="43094" spans="32:32" x14ac:dyDescent="0.2">
      <c r="AF43094" s="679"/>
    </row>
    <row r="43095" spans="32:32" x14ac:dyDescent="0.2">
      <c r="AF43095" s="679"/>
    </row>
    <row r="43096" spans="32:32" x14ac:dyDescent="0.2">
      <c r="AF43096" s="679"/>
    </row>
    <row r="43097" spans="32:32" x14ac:dyDescent="0.2">
      <c r="AF43097" s="679"/>
    </row>
    <row r="43098" spans="32:32" x14ac:dyDescent="0.2">
      <c r="AF43098" s="679"/>
    </row>
    <row r="43099" spans="32:32" x14ac:dyDescent="0.2">
      <c r="AF43099" s="679"/>
    </row>
    <row r="43100" spans="32:32" x14ac:dyDescent="0.2">
      <c r="AF43100" s="679"/>
    </row>
    <row r="43101" spans="32:32" x14ac:dyDescent="0.2">
      <c r="AF43101" s="679"/>
    </row>
    <row r="43102" spans="32:32" x14ac:dyDescent="0.2">
      <c r="AF43102" s="679"/>
    </row>
    <row r="43103" spans="32:32" x14ac:dyDescent="0.2">
      <c r="AF43103" s="679"/>
    </row>
    <row r="43104" spans="32:32" x14ac:dyDescent="0.2">
      <c r="AF43104" s="679"/>
    </row>
    <row r="43105" spans="32:32" x14ac:dyDescent="0.2">
      <c r="AF43105" s="679"/>
    </row>
    <row r="43106" spans="32:32" x14ac:dyDescent="0.2">
      <c r="AF43106" s="679"/>
    </row>
    <row r="43107" spans="32:32" x14ac:dyDescent="0.2">
      <c r="AF43107" s="679"/>
    </row>
    <row r="43108" spans="32:32" x14ac:dyDescent="0.2">
      <c r="AF43108" s="679"/>
    </row>
    <row r="43109" spans="32:32" x14ac:dyDescent="0.2">
      <c r="AF43109" s="679"/>
    </row>
    <row r="43110" spans="32:32" x14ac:dyDescent="0.2">
      <c r="AF43110" s="679"/>
    </row>
    <row r="43111" spans="32:32" x14ac:dyDescent="0.2">
      <c r="AF43111" s="679"/>
    </row>
    <row r="43112" spans="32:32" x14ac:dyDescent="0.2">
      <c r="AF43112" s="679"/>
    </row>
    <row r="43113" spans="32:32" x14ac:dyDescent="0.2">
      <c r="AF43113" s="679"/>
    </row>
    <row r="43114" spans="32:32" x14ac:dyDescent="0.2">
      <c r="AF43114" s="679"/>
    </row>
    <row r="43115" spans="32:32" x14ac:dyDescent="0.2">
      <c r="AF43115" s="679"/>
    </row>
    <row r="43116" spans="32:32" x14ac:dyDescent="0.2">
      <c r="AF43116" s="679"/>
    </row>
    <row r="43117" spans="32:32" x14ac:dyDescent="0.2">
      <c r="AF43117" s="679"/>
    </row>
    <row r="43118" spans="32:32" x14ac:dyDescent="0.2">
      <c r="AF43118" s="679"/>
    </row>
    <row r="43119" spans="32:32" x14ac:dyDescent="0.2">
      <c r="AF43119" s="679"/>
    </row>
    <row r="43120" spans="32:32" x14ac:dyDescent="0.2">
      <c r="AF43120" s="679"/>
    </row>
    <row r="43121" spans="32:32" x14ac:dyDescent="0.2">
      <c r="AF43121" s="679"/>
    </row>
    <row r="43122" spans="32:32" x14ac:dyDescent="0.2">
      <c r="AF43122" s="679"/>
    </row>
    <row r="43123" spans="32:32" x14ac:dyDescent="0.2">
      <c r="AF43123" s="679"/>
    </row>
    <row r="43124" spans="32:32" x14ac:dyDescent="0.2">
      <c r="AF43124" s="679"/>
    </row>
    <row r="43125" spans="32:32" x14ac:dyDescent="0.2">
      <c r="AF43125" s="679"/>
    </row>
    <row r="43126" spans="32:32" x14ac:dyDescent="0.2">
      <c r="AF43126" s="679"/>
    </row>
    <row r="43127" spans="32:32" x14ac:dyDescent="0.2">
      <c r="AF43127" s="679"/>
    </row>
    <row r="43128" spans="32:32" x14ac:dyDescent="0.2">
      <c r="AF43128" s="679"/>
    </row>
    <row r="43129" spans="32:32" x14ac:dyDescent="0.2">
      <c r="AF43129" s="679"/>
    </row>
    <row r="43130" spans="32:32" x14ac:dyDescent="0.2">
      <c r="AF43130" s="679"/>
    </row>
    <row r="43131" spans="32:32" x14ac:dyDescent="0.2">
      <c r="AF43131" s="679"/>
    </row>
    <row r="43132" spans="32:32" x14ac:dyDescent="0.2">
      <c r="AF43132" s="679"/>
    </row>
    <row r="43133" spans="32:32" x14ac:dyDescent="0.2">
      <c r="AF43133" s="679"/>
    </row>
    <row r="43134" spans="32:32" x14ac:dyDescent="0.2">
      <c r="AF43134" s="679"/>
    </row>
    <row r="43135" spans="32:32" x14ac:dyDescent="0.2">
      <c r="AF43135" s="679"/>
    </row>
    <row r="43136" spans="32:32" x14ac:dyDescent="0.2">
      <c r="AF43136" s="679"/>
    </row>
    <row r="43137" spans="32:32" x14ac:dyDescent="0.2">
      <c r="AF43137" s="679"/>
    </row>
    <row r="43138" spans="32:32" x14ac:dyDescent="0.2">
      <c r="AF43138" s="679"/>
    </row>
    <row r="43139" spans="32:32" x14ac:dyDescent="0.2">
      <c r="AF43139" s="679"/>
    </row>
    <row r="43140" spans="32:32" x14ac:dyDescent="0.2">
      <c r="AF43140" s="679"/>
    </row>
    <row r="43141" spans="32:32" x14ac:dyDescent="0.2">
      <c r="AF43141" s="679"/>
    </row>
    <row r="43142" spans="32:32" x14ac:dyDescent="0.2">
      <c r="AF43142" s="679"/>
    </row>
    <row r="43143" spans="32:32" x14ac:dyDescent="0.2">
      <c r="AF43143" s="679"/>
    </row>
    <row r="43144" spans="32:32" x14ac:dyDescent="0.2">
      <c r="AF43144" s="679"/>
    </row>
    <row r="43145" spans="32:32" x14ac:dyDescent="0.2">
      <c r="AF43145" s="679"/>
    </row>
    <row r="43146" spans="32:32" x14ac:dyDescent="0.2">
      <c r="AF43146" s="679"/>
    </row>
    <row r="43147" spans="32:32" x14ac:dyDescent="0.2">
      <c r="AF43147" s="679"/>
    </row>
    <row r="43148" spans="32:32" x14ac:dyDescent="0.2">
      <c r="AF43148" s="679"/>
    </row>
    <row r="43149" spans="32:32" x14ac:dyDescent="0.2">
      <c r="AF43149" s="679"/>
    </row>
    <row r="43150" spans="32:32" x14ac:dyDescent="0.2">
      <c r="AF43150" s="679"/>
    </row>
    <row r="43151" spans="32:32" x14ac:dyDescent="0.2">
      <c r="AF43151" s="679"/>
    </row>
    <row r="43152" spans="32:32" x14ac:dyDescent="0.2">
      <c r="AF43152" s="679"/>
    </row>
    <row r="43153" spans="32:32" x14ac:dyDescent="0.2">
      <c r="AF43153" s="679"/>
    </row>
    <row r="43154" spans="32:32" x14ac:dyDescent="0.2">
      <c r="AF43154" s="679"/>
    </row>
    <row r="43155" spans="32:32" x14ac:dyDescent="0.2">
      <c r="AF43155" s="679"/>
    </row>
    <row r="43156" spans="32:32" x14ac:dyDescent="0.2">
      <c r="AF43156" s="679"/>
    </row>
    <row r="43157" spans="32:32" x14ac:dyDescent="0.2">
      <c r="AF43157" s="679"/>
    </row>
    <row r="43158" spans="32:32" x14ac:dyDescent="0.2">
      <c r="AF43158" s="679"/>
    </row>
    <row r="43159" spans="32:32" x14ac:dyDescent="0.2">
      <c r="AF43159" s="679"/>
    </row>
    <row r="43160" spans="32:32" x14ac:dyDescent="0.2">
      <c r="AF43160" s="679"/>
    </row>
    <row r="43161" spans="32:32" x14ac:dyDescent="0.2">
      <c r="AF43161" s="679"/>
    </row>
    <row r="43162" spans="32:32" x14ac:dyDescent="0.2">
      <c r="AF43162" s="679"/>
    </row>
    <row r="43163" spans="32:32" x14ac:dyDescent="0.2">
      <c r="AF43163" s="679"/>
    </row>
    <row r="43164" spans="32:32" x14ac:dyDescent="0.2">
      <c r="AF43164" s="679"/>
    </row>
    <row r="43165" spans="32:32" x14ac:dyDescent="0.2">
      <c r="AF43165" s="679"/>
    </row>
    <row r="43166" spans="32:32" x14ac:dyDescent="0.2">
      <c r="AF43166" s="679"/>
    </row>
    <row r="43167" spans="32:32" x14ac:dyDescent="0.2">
      <c r="AF43167" s="679"/>
    </row>
    <row r="43168" spans="32:32" x14ac:dyDescent="0.2">
      <c r="AF43168" s="679"/>
    </row>
    <row r="43169" spans="32:32" x14ac:dyDescent="0.2">
      <c r="AF43169" s="679"/>
    </row>
    <row r="43170" spans="32:32" x14ac:dyDescent="0.2">
      <c r="AF43170" s="679"/>
    </row>
    <row r="43171" spans="32:32" x14ac:dyDescent="0.2">
      <c r="AF43171" s="679"/>
    </row>
    <row r="43172" spans="32:32" x14ac:dyDescent="0.2">
      <c r="AF43172" s="679"/>
    </row>
    <row r="43173" spans="32:32" x14ac:dyDescent="0.2">
      <c r="AF43173" s="679"/>
    </row>
    <row r="43174" spans="32:32" x14ac:dyDescent="0.2">
      <c r="AF43174" s="679"/>
    </row>
    <row r="43175" spans="32:32" x14ac:dyDescent="0.2">
      <c r="AF43175" s="679"/>
    </row>
    <row r="43176" spans="32:32" x14ac:dyDescent="0.2">
      <c r="AF43176" s="679"/>
    </row>
    <row r="43177" spans="32:32" x14ac:dyDescent="0.2">
      <c r="AF43177" s="679"/>
    </row>
    <row r="43178" spans="32:32" x14ac:dyDescent="0.2">
      <c r="AF43178" s="679"/>
    </row>
    <row r="43179" spans="32:32" x14ac:dyDescent="0.2">
      <c r="AF43179" s="679"/>
    </row>
    <row r="43180" spans="32:32" x14ac:dyDescent="0.2">
      <c r="AF43180" s="679"/>
    </row>
    <row r="43181" spans="32:32" x14ac:dyDescent="0.2">
      <c r="AF43181" s="679"/>
    </row>
    <row r="43182" spans="32:32" x14ac:dyDescent="0.2">
      <c r="AF43182" s="679"/>
    </row>
    <row r="43183" spans="32:32" x14ac:dyDescent="0.2">
      <c r="AF43183" s="679"/>
    </row>
    <row r="43184" spans="32:32" x14ac:dyDescent="0.2">
      <c r="AF43184" s="679"/>
    </row>
    <row r="43185" spans="32:32" x14ac:dyDescent="0.2">
      <c r="AF43185" s="679"/>
    </row>
    <row r="43186" spans="32:32" x14ac:dyDescent="0.2">
      <c r="AF43186" s="679"/>
    </row>
    <row r="43187" spans="32:32" x14ac:dyDescent="0.2">
      <c r="AF43187" s="679"/>
    </row>
    <row r="43188" spans="32:32" x14ac:dyDescent="0.2">
      <c r="AF43188" s="679"/>
    </row>
    <row r="43189" spans="32:32" x14ac:dyDescent="0.2">
      <c r="AF43189" s="679"/>
    </row>
    <row r="43190" spans="32:32" x14ac:dyDescent="0.2">
      <c r="AF43190" s="679"/>
    </row>
    <row r="43191" spans="32:32" x14ac:dyDescent="0.2">
      <c r="AF43191" s="679"/>
    </row>
    <row r="43192" spans="32:32" x14ac:dyDescent="0.2">
      <c r="AF43192" s="679"/>
    </row>
    <row r="43193" spans="32:32" x14ac:dyDescent="0.2">
      <c r="AF43193" s="679"/>
    </row>
    <row r="43194" spans="32:32" x14ac:dyDescent="0.2">
      <c r="AF43194" s="679"/>
    </row>
    <row r="43195" spans="32:32" x14ac:dyDescent="0.2">
      <c r="AF43195" s="679"/>
    </row>
    <row r="43196" spans="32:32" x14ac:dyDescent="0.2">
      <c r="AF43196" s="679"/>
    </row>
    <row r="43197" spans="32:32" x14ac:dyDescent="0.2">
      <c r="AF43197" s="679"/>
    </row>
    <row r="43198" spans="32:32" x14ac:dyDescent="0.2">
      <c r="AF43198" s="679"/>
    </row>
    <row r="43199" spans="32:32" x14ac:dyDescent="0.2">
      <c r="AF43199" s="679"/>
    </row>
    <row r="43200" spans="32:32" x14ac:dyDescent="0.2">
      <c r="AF43200" s="679"/>
    </row>
    <row r="43201" spans="32:32" x14ac:dyDescent="0.2">
      <c r="AF43201" s="679"/>
    </row>
    <row r="43202" spans="32:32" x14ac:dyDescent="0.2">
      <c r="AF43202" s="679"/>
    </row>
    <row r="43203" spans="32:32" x14ac:dyDescent="0.2">
      <c r="AF43203" s="679"/>
    </row>
    <row r="43204" spans="32:32" x14ac:dyDescent="0.2">
      <c r="AF43204" s="679"/>
    </row>
    <row r="43205" spans="32:32" x14ac:dyDescent="0.2">
      <c r="AF43205" s="679"/>
    </row>
    <row r="43206" spans="32:32" x14ac:dyDescent="0.2">
      <c r="AF43206" s="679"/>
    </row>
    <row r="43207" spans="32:32" x14ac:dyDescent="0.2">
      <c r="AF43207" s="679"/>
    </row>
    <row r="43208" spans="32:32" x14ac:dyDescent="0.2">
      <c r="AF43208" s="679"/>
    </row>
    <row r="43209" spans="32:32" x14ac:dyDescent="0.2">
      <c r="AF43209" s="679"/>
    </row>
    <row r="43210" spans="32:32" x14ac:dyDescent="0.2">
      <c r="AF43210" s="679"/>
    </row>
    <row r="43211" spans="32:32" x14ac:dyDescent="0.2">
      <c r="AF43211" s="679"/>
    </row>
    <row r="43212" spans="32:32" x14ac:dyDescent="0.2">
      <c r="AF43212" s="679"/>
    </row>
    <row r="43213" spans="32:32" x14ac:dyDescent="0.2">
      <c r="AF43213" s="679"/>
    </row>
    <row r="43214" spans="32:32" x14ac:dyDescent="0.2">
      <c r="AF43214" s="679"/>
    </row>
    <row r="43215" spans="32:32" x14ac:dyDescent="0.2">
      <c r="AF43215" s="679"/>
    </row>
    <row r="43216" spans="32:32" x14ac:dyDescent="0.2">
      <c r="AF43216" s="679"/>
    </row>
    <row r="43217" spans="32:32" x14ac:dyDescent="0.2">
      <c r="AF43217" s="679"/>
    </row>
    <row r="43218" spans="32:32" x14ac:dyDescent="0.2">
      <c r="AF43218" s="679"/>
    </row>
    <row r="43219" spans="32:32" x14ac:dyDescent="0.2">
      <c r="AF43219" s="679"/>
    </row>
    <row r="43220" spans="32:32" x14ac:dyDescent="0.2">
      <c r="AF43220" s="679"/>
    </row>
    <row r="43221" spans="32:32" x14ac:dyDescent="0.2">
      <c r="AF43221" s="679"/>
    </row>
    <row r="43222" spans="32:32" x14ac:dyDescent="0.2">
      <c r="AF43222" s="679"/>
    </row>
    <row r="43223" spans="32:32" x14ac:dyDescent="0.2">
      <c r="AF43223" s="679"/>
    </row>
    <row r="43224" spans="32:32" x14ac:dyDescent="0.2">
      <c r="AF43224" s="679"/>
    </row>
    <row r="43225" spans="32:32" x14ac:dyDescent="0.2">
      <c r="AF43225" s="679"/>
    </row>
    <row r="43226" spans="32:32" x14ac:dyDescent="0.2">
      <c r="AF43226" s="679"/>
    </row>
    <row r="43227" spans="32:32" x14ac:dyDescent="0.2">
      <c r="AF43227" s="679"/>
    </row>
    <row r="43228" spans="32:32" x14ac:dyDescent="0.2">
      <c r="AF43228" s="679"/>
    </row>
    <row r="43229" spans="32:32" x14ac:dyDescent="0.2">
      <c r="AF43229" s="679"/>
    </row>
    <row r="43230" spans="32:32" x14ac:dyDescent="0.2">
      <c r="AF43230" s="679"/>
    </row>
    <row r="43231" spans="32:32" x14ac:dyDescent="0.2">
      <c r="AF43231" s="679"/>
    </row>
    <row r="43232" spans="32:32" x14ac:dyDescent="0.2">
      <c r="AF43232" s="679"/>
    </row>
    <row r="43233" spans="32:32" x14ac:dyDescent="0.2">
      <c r="AF43233" s="679"/>
    </row>
    <row r="43234" spans="32:32" x14ac:dyDescent="0.2">
      <c r="AF43234" s="679"/>
    </row>
    <row r="43235" spans="32:32" x14ac:dyDescent="0.2">
      <c r="AF43235" s="679"/>
    </row>
    <row r="43236" spans="32:32" x14ac:dyDescent="0.2">
      <c r="AF43236" s="679"/>
    </row>
    <row r="43237" spans="32:32" x14ac:dyDescent="0.2">
      <c r="AF43237" s="679"/>
    </row>
    <row r="43238" spans="32:32" x14ac:dyDescent="0.2">
      <c r="AF43238" s="679"/>
    </row>
    <row r="43239" spans="32:32" x14ac:dyDescent="0.2">
      <c r="AF43239" s="679"/>
    </row>
    <row r="43240" spans="32:32" x14ac:dyDescent="0.2">
      <c r="AF43240" s="679"/>
    </row>
    <row r="43241" spans="32:32" x14ac:dyDescent="0.2">
      <c r="AF43241" s="679"/>
    </row>
    <row r="43242" spans="32:32" x14ac:dyDescent="0.2">
      <c r="AF43242" s="679"/>
    </row>
    <row r="43243" spans="32:32" x14ac:dyDescent="0.2">
      <c r="AF43243" s="679"/>
    </row>
    <row r="43244" spans="32:32" x14ac:dyDescent="0.2">
      <c r="AF43244" s="679"/>
    </row>
    <row r="43245" spans="32:32" x14ac:dyDescent="0.2">
      <c r="AF43245" s="679"/>
    </row>
    <row r="43246" spans="32:32" x14ac:dyDescent="0.2">
      <c r="AF43246" s="679"/>
    </row>
    <row r="43247" spans="32:32" x14ac:dyDescent="0.2">
      <c r="AF43247" s="679"/>
    </row>
    <row r="43248" spans="32:32" x14ac:dyDescent="0.2">
      <c r="AF43248" s="679"/>
    </row>
    <row r="43249" spans="32:32" x14ac:dyDescent="0.2">
      <c r="AF43249" s="679"/>
    </row>
    <row r="43250" spans="32:32" x14ac:dyDescent="0.2">
      <c r="AF43250" s="679"/>
    </row>
    <row r="43251" spans="32:32" x14ac:dyDescent="0.2">
      <c r="AF43251" s="679"/>
    </row>
    <row r="43252" spans="32:32" x14ac:dyDescent="0.2">
      <c r="AF43252" s="679"/>
    </row>
    <row r="43253" spans="32:32" x14ac:dyDescent="0.2">
      <c r="AF43253" s="679"/>
    </row>
    <row r="43254" spans="32:32" x14ac:dyDescent="0.2">
      <c r="AF43254" s="679"/>
    </row>
    <row r="43255" spans="32:32" x14ac:dyDescent="0.2">
      <c r="AF43255" s="679"/>
    </row>
    <row r="43256" spans="32:32" x14ac:dyDescent="0.2">
      <c r="AF43256" s="679"/>
    </row>
    <row r="43257" spans="32:32" x14ac:dyDescent="0.2">
      <c r="AF43257" s="679"/>
    </row>
    <row r="43258" spans="32:32" x14ac:dyDescent="0.2">
      <c r="AF43258" s="679"/>
    </row>
    <row r="43259" spans="32:32" x14ac:dyDescent="0.2">
      <c r="AF43259" s="679"/>
    </row>
    <row r="43260" spans="32:32" x14ac:dyDescent="0.2">
      <c r="AF43260" s="679"/>
    </row>
    <row r="43261" spans="32:32" x14ac:dyDescent="0.2">
      <c r="AF43261" s="679"/>
    </row>
    <row r="43262" spans="32:32" x14ac:dyDescent="0.2">
      <c r="AF43262" s="679"/>
    </row>
    <row r="43263" spans="32:32" x14ac:dyDescent="0.2">
      <c r="AF43263" s="679"/>
    </row>
    <row r="43264" spans="32:32" x14ac:dyDescent="0.2">
      <c r="AF43264" s="679"/>
    </row>
    <row r="43265" spans="32:32" x14ac:dyDescent="0.2">
      <c r="AF43265" s="679"/>
    </row>
    <row r="43266" spans="32:32" x14ac:dyDescent="0.2">
      <c r="AF43266" s="679"/>
    </row>
    <row r="43267" spans="32:32" x14ac:dyDescent="0.2">
      <c r="AF43267" s="679"/>
    </row>
    <row r="43268" spans="32:32" x14ac:dyDescent="0.2">
      <c r="AF43268" s="679"/>
    </row>
    <row r="43269" spans="32:32" x14ac:dyDescent="0.2">
      <c r="AF43269" s="679"/>
    </row>
    <row r="43270" spans="32:32" x14ac:dyDescent="0.2">
      <c r="AF43270" s="679"/>
    </row>
    <row r="43271" spans="32:32" x14ac:dyDescent="0.2">
      <c r="AF43271" s="679"/>
    </row>
    <row r="43272" spans="32:32" x14ac:dyDescent="0.2">
      <c r="AF43272" s="679"/>
    </row>
    <row r="43273" spans="32:32" x14ac:dyDescent="0.2">
      <c r="AF43273" s="679"/>
    </row>
    <row r="43274" spans="32:32" x14ac:dyDescent="0.2">
      <c r="AF43274" s="679"/>
    </row>
    <row r="43275" spans="32:32" x14ac:dyDescent="0.2">
      <c r="AF43275" s="679"/>
    </row>
    <row r="43276" spans="32:32" x14ac:dyDescent="0.2">
      <c r="AF43276" s="679"/>
    </row>
    <row r="43277" spans="32:32" x14ac:dyDescent="0.2">
      <c r="AF43277" s="679"/>
    </row>
    <row r="43278" spans="32:32" x14ac:dyDescent="0.2">
      <c r="AF43278" s="679"/>
    </row>
    <row r="43279" spans="32:32" x14ac:dyDescent="0.2">
      <c r="AF43279" s="679"/>
    </row>
    <row r="43280" spans="32:32" x14ac:dyDescent="0.2">
      <c r="AF43280" s="679"/>
    </row>
    <row r="43281" spans="32:32" x14ac:dyDescent="0.2">
      <c r="AF43281" s="679"/>
    </row>
    <row r="43282" spans="32:32" x14ac:dyDescent="0.2">
      <c r="AF43282" s="679"/>
    </row>
    <row r="43283" spans="32:32" x14ac:dyDescent="0.2">
      <c r="AF43283" s="679"/>
    </row>
    <row r="43284" spans="32:32" x14ac:dyDescent="0.2">
      <c r="AF43284" s="679"/>
    </row>
    <row r="43285" spans="32:32" x14ac:dyDescent="0.2">
      <c r="AF43285" s="679"/>
    </row>
    <row r="43286" spans="32:32" x14ac:dyDescent="0.2">
      <c r="AF43286" s="679"/>
    </row>
    <row r="43287" spans="32:32" x14ac:dyDescent="0.2">
      <c r="AF43287" s="679"/>
    </row>
    <row r="43288" spans="32:32" x14ac:dyDescent="0.2">
      <c r="AF43288" s="679"/>
    </row>
    <row r="43289" spans="32:32" x14ac:dyDescent="0.2">
      <c r="AF43289" s="679"/>
    </row>
    <row r="43290" spans="32:32" x14ac:dyDescent="0.2">
      <c r="AF43290" s="679"/>
    </row>
    <row r="43291" spans="32:32" x14ac:dyDescent="0.2">
      <c r="AF43291" s="679"/>
    </row>
    <row r="43292" spans="32:32" x14ac:dyDescent="0.2">
      <c r="AF43292" s="679"/>
    </row>
    <row r="43293" spans="32:32" x14ac:dyDescent="0.2">
      <c r="AF43293" s="679"/>
    </row>
    <row r="43294" spans="32:32" x14ac:dyDescent="0.2">
      <c r="AF43294" s="679"/>
    </row>
    <row r="43295" spans="32:32" x14ac:dyDescent="0.2">
      <c r="AF43295" s="679"/>
    </row>
    <row r="43296" spans="32:32" x14ac:dyDescent="0.2">
      <c r="AF43296" s="679"/>
    </row>
    <row r="43297" spans="32:32" x14ac:dyDescent="0.2">
      <c r="AF43297" s="679"/>
    </row>
    <row r="43298" spans="32:32" x14ac:dyDescent="0.2">
      <c r="AF43298" s="679"/>
    </row>
    <row r="43299" spans="32:32" x14ac:dyDescent="0.2">
      <c r="AF43299" s="679"/>
    </row>
    <row r="43300" spans="32:32" x14ac:dyDescent="0.2">
      <c r="AF43300" s="679"/>
    </row>
    <row r="43301" spans="32:32" x14ac:dyDescent="0.2">
      <c r="AF43301" s="679"/>
    </row>
    <row r="43302" spans="32:32" x14ac:dyDescent="0.2">
      <c r="AF43302" s="679"/>
    </row>
    <row r="43303" spans="32:32" x14ac:dyDescent="0.2">
      <c r="AF43303" s="679"/>
    </row>
    <row r="43304" spans="32:32" x14ac:dyDescent="0.2">
      <c r="AF43304" s="679"/>
    </row>
    <row r="43305" spans="32:32" x14ac:dyDescent="0.2">
      <c r="AF43305" s="679"/>
    </row>
    <row r="43306" spans="32:32" x14ac:dyDescent="0.2">
      <c r="AF43306" s="679"/>
    </row>
    <row r="43307" spans="32:32" x14ac:dyDescent="0.2">
      <c r="AF43307" s="679"/>
    </row>
    <row r="43308" spans="32:32" x14ac:dyDescent="0.2">
      <c r="AF43308" s="679"/>
    </row>
    <row r="43309" spans="32:32" x14ac:dyDescent="0.2">
      <c r="AF43309" s="679"/>
    </row>
    <row r="43310" spans="32:32" x14ac:dyDescent="0.2">
      <c r="AF43310" s="679"/>
    </row>
    <row r="43311" spans="32:32" x14ac:dyDescent="0.2">
      <c r="AF43311" s="679"/>
    </row>
    <row r="43312" spans="32:32" x14ac:dyDescent="0.2">
      <c r="AF43312" s="679"/>
    </row>
    <row r="43313" spans="32:32" x14ac:dyDescent="0.2">
      <c r="AF43313" s="679"/>
    </row>
    <row r="43314" spans="32:32" x14ac:dyDescent="0.2">
      <c r="AF43314" s="679"/>
    </row>
    <row r="43315" spans="32:32" x14ac:dyDescent="0.2">
      <c r="AF43315" s="679"/>
    </row>
    <row r="43316" spans="32:32" x14ac:dyDescent="0.2">
      <c r="AF43316" s="679"/>
    </row>
    <row r="43317" spans="32:32" x14ac:dyDescent="0.2">
      <c r="AF43317" s="679"/>
    </row>
    <row r="43318" spans="32:32" x14ac:dyDescent="0.2">
      <c r="AF43318" s="679"/>
    </row>
    <row r="43319" spans="32:32" x14ac:dyDescent="0.2">
      <c r="AF43319" s="679"/>
    </row>
    <row r="43320" spans="32:32" x14ac:dyDescent="0.2">
      <c r="AF43320" s="679"/>
    </row>
    <row r="43321" spans="32:32" x14ac:dyDescent="0.2">
      <c r="AF43321" s="679"/>
    </row>
    <row r="43322" spans="32:32" x14ac:dyDescent="0.2">
      <c r="AF43322" s="679"/>
    </row>
    <row r="43323" spans="32:32" x14ac:dyDescent="0.2">
      <c r="AF43323" s="679"/>
    </row>
    <row r="43324" spans="32:32" x14ac:dyDescent="0.2">
      <c r="AF43324" s="679"/>
    </row>
    <row r="43325" spans="32:32" x14ac:dyDescent="0.2">
      <c r="AF43325" s="679"/>
    </row>
    <row r="43326" spans="32:32" x14ac:dyDescent="0.2">
      <c r="AF43326" s="679"/>
    </row>
    <row r="43327" spans="32:32" x14ac:dyDescent="0.2">
      <c r="AF43327" s="679"/>
    </row>
    <row r="43328" spans="32:32" x14ac:dyDescent="0.2">
      <c r="AF43328" s="679"/>
    </row>
    <row r="43329" spans="32:32" x14ac:dyDescent="0.2">
      <c r="AF43329" s="679"/>
    </row>
    <row r="43330" spans="32:32" x14ac:dyDescent="0.2">
      <c r="AF43330" s="679"/>
    </row>
    <row r="43331" spans="32:32" x14ac:dyDescent="0.2">
      <c r="AF43331" s="679"/>
    </row>
    <row r="43332" spans="32:32" x14ac:dyDescent="0.2">
      <c r="AF43332" s="679"/>
    </row>
    <row r="43333" spans="32:32" x14ac:dyDescent="0.2">
      <c r="AF43333" s="679"/>
    </row>
    <row r="43334" spans="32:32" x14ac:dyDescent="0.2">
      <c r="AF43334" s="679"/>
    </row>
    <row r="43335" spans="32:32" x14ac:dyDescent="0.2">
      <c r="AF43335" s="679"/>
    </row>
    <row r="43336" spans="32:32" x14ac:dyDescent="0.2">
      <c r="AF43336" s="679"/>
    </row>
    <row r="43337" spans="32:32" x14ac:dyDescent="0.2">
      <c r="AF43337" s="679"/>
    </row>
    <row r="43338" spans="32:32" x14ac:dyDescent="0.2">
      <c r="AF43338" s="679"/>
    </row>
    <row r="43339" spans="32:32" x14ac:dyDescent="0.2">
      <c r="AF43339" s="679"/>
    </row>
    <row r="43340" spans="32:32" x14ac:dyDescent="0.2">
      <c r="AF43340" s="679"/>
    </row>
    <row r="43341" spans="32:32" x14ac:dyDescent="0.2">
      <c r="AF43341" s="679"/>
    </row>
    <row r="43342" spans="32:32" x14ac:dyDescent="0.2">
      <c r="AF43342" s="679"/>
    </row>
    <row r="43343" spans="32:32" x14ac:dyDescent="0.2">
      <c r="AF43343" s="679"/>
    </row>
    <row r="43344" spans="32:32" x14ac:dyDescent="0.2">
      <c r="AF43344" s="679"/>
    </row>
    <row r="43345" spans="32:32" x14ac:dyDescent="0.2">
      <c r="AF43345" s="679"/>
    </row>
    <row r="43346" spans="32:32" x14ac:dyDescent="0.2">
      <c r="AF43346" s="679"/>
    </row>
    <row r="43347" spans="32:32" x14ac:dyDescent="0.2">
      <c r="AF43347" s="679"/>
    </row>
    <row r="43348" spans="32:32" x14ac:dyDescent="0.2">
      <c r="AF43348" s="679"/>
    </row>
    <row r="43349" spans="32:32" x14ac:dyDescent="0.2">
      <c r="AF43349" s="679"/>
    </row>
    <row r="43350" spans="32:32" x14ac:dyDescent="0.2">
      <c r="AF43350" s="679"/>
    </row>
    <row r="43351" spans="32:32" x14ac:dyDescent="0.2">
      <c r="AF43351" s="679"/>
    </row>
    <row r="43352" spans="32:32" x14ac:dyDescent="0.2">
      <c r="AF43352" s="679"/>
    </row>
    <row r="43353" spans="32:32" x14ac:dyDescent="0.2">
      <c r="AF43353" s="679"/>
    </row>
    <row r="43354" spans="32:32" x14ac:dyDescent="0.2">
      <c r="AF43354" s="679"/>
    </row>
    <row r="43355" spans="32:32" x14ac:dyDescent="0.2">
      <c r="AF43355" s="679"/>
    </row>
    <row r="43356" spans="32:32" x14ac:dyDescent="0.2">
      <c r="AF43356" s="679"/>
    </row>
    <row r="43357" spans="32:32" x14ac:dyDescent="0.2">
      <c r="AF43357" s="679"/>
    </row>
    <row r="43358" spans="32:32" x14ac:dyDescent="0.2">
      <c r="AF43358" s="679"/>
    </row>
    <row r="43359" spans="32:32" x14ac:dyDescent="0.2">
      <c r="AF43359" s="679"/>
    </row>
    <row r="43360" spans="32:32" x14ac:dyDescent="0.2">
      <c r="AF43360" s="679"/>
    </row>
    <row r="43361" spans="32:32" x14ac:dyDescent="0.2">
      <c r="AF43361" s="679"/>
    </row>
    <row r="43362" spans="32:32" x14ac:dyDescent="0.2">
      <c r="AF43362" s="679"/>
    </row>
    <row r="43363" spans="32:32" x14ac:dyDescent="0.2">
      <c r="AF43363" s="679"/>
    </row>
    <row r="43364" spans="32:32" x14ac:dyDescent="0.2">
      <c r="AF43364" s="679"/>
    </row>
    <row r="43365" spans="32:32" x14ac:dyDescent="0.2">
      <c r="AF43365" s="679"/>
    </row>
    <row r="43366" spans="32:32" x14ac:dyDescent="0.2">
      <c r="AF43366" s="679"/>
    </row>
    <row r="43367" spans="32:32" x14ac:dyDescent="0.2">
      <c r="AF43367" s="679"/>
    </row>
    <row r="43368" spans="32:32" x14ac:dyDescent="0.2">
      <c r="AF43368" s="679"/>
    </row>
    <row r="43369" spans="32:32" x14ac:dyDescent="0.2">
      <c r="AF43369" s="679"/>
    </row>
    <row r="43370" spans="32:32" x14ac:dyDescent="0.2">
      <c r="AF43370" s="679"/>
    </row>
    <row r="43371" spans="32:32" x14ac:dyDescent="0.2">
      <c r="AF43371" s="679"/>
    </row>
    <row r="43372" spans="32:32" x14ac:dyDescent="0.2">
      <c r="AF43372" s="679"/>
    </row>
    <row r="43373" spans="32:32" x14ac:dyDescent="0.2">
      <c r="AF43373" s="679"/>
    </row>
    <row r="43374" spans="32:32" x14ac:dyDescent="0.2">
      <c r="AF43374" s="679"/>
    </row>
    <row r="43375" spans="32:32" x14ac:dyDescent="0.2">
      <c r="AF43375" s="679"/>
    </row>
    <row r="43376" spans="32:32" x14ac:dyDescent="0.2">
      <c r="AF43376" s="679"/>
    </row>
    <row r="43377" spans="32:32" x14ac:dyDescent="0.2">
      <c r="AF43377" s="679"/>
    </row>
    <row r="43378" spans="32:32" x14ac:dyDescent="0.2">
      <c r="AF43378" s="679"/>
    </row>
    <row r="43379" spans="32:32" x14ac:dyDescent="0.2">
      <c r="AF43379" s="679"/>
    </row>
    <row r="43380" spans="32:32" x14ac:dyDescent="0.2">
      <c r="AF43380" s="679"/>
    </row>
    <row r="43381" spans="32:32" x14ac:dyDescent="0.2">
      <c r="AF43381" s="679"/>
    </row>
    <row r="43382" spans="32:32" x14ac:dyDescent="0.2">
      <c r="AF43382" s="679"/>
    </row>
    <row r="43383" spans="32:32" x14ac:dyDescent="0.2">
      <c r="AF43383" s="679"/>
    </row>
    <row r="43384" spans="32:32" x14ac:dyDescent="0.2">
      <c r="AF43384" s="679"/>
    </row>
    <row r="43385" spans="32:32" x14ac:dyDescent="0.2">
      <c r="AF43385" s="679"/>
    </row>
    <row r="43386" spans="32:32" x14ac:dyDescent="0.2">
      <c r="AF43386" s="679"/>
    </row>
    <row r="43387" spans="32:32" x14ac:dyDescent="0.2">
      <c r="AF43387" s="679"/>
    </row>
    <row r="43388" spans="32:32" x14ac:dyDescent="0.2">
      <c r="AF43388" s="679"/>
    </row>
    <row r="43389" spans="32:32" x14ac:dyDescent="0.2">
      <c r="AF43389" s="679"/>
    </row>
    <row r="43390" spans="32:32" x14ac:dyDescent="0.2">
      <c r="AF43390" s="679"/>
    </row>
    <row r="43391" spans="32:32" x14ac:dyDescent="0.2">
      <c r="AF43391" s="679"/>
    </row>
    <row r="43392" spans="32:32" x14ac:dyDescent="0.2">
      <c r="AF43392" s="679"/>
    </row>
    <row r="43393" spans="32:32" x14ac:dyDescent="0.2">
      <c r="AF43393" s="679"/>
    </row>
    <row r="43394" spans="32:32" x14ac:dyDescent="0.2">
      <c r="AF43394" s="679"/>
    </row>
    <row r="43395" spans="32:32" x14ac:dyDescent="0.2">
      <c r="AF43395" s="679"/>
    </row>
    <row r="43396" spans="32:32" x14ac:dyDescent="0.2">
      <c r="AF43396" s="679"/>
    </row>
    <row r="43397" spans="32:32" x14ac:dyDescent="0.2">
      <c r="AF43397" s="679"/>
    </row>
    <row r="43398" spans="32:32" x14ac:dyDescent="0.2">
      <c r="AF43398" s="679"/>
    </row>
    <row r="43399" spans="32:32" x14ac:dyDescent="0.2">
      <c r="AF43399" s="679"/>
    </row>
    <row r="43400" spans="32:32" x14ac:dyDescent="0.2">
      <c r="AF43400" s="679"/>
    </row>
    <row r="43401" spans="32:32" x14ac:dyDescent="0.2">
      <c r="AF43401" s="679"/>
    </row>
    <row r="43402" spans="32:32" x14ac:dyDescent="0.2">
      <c r="AF43402" s="679"/>
    </row>
    <row r="43403" spans="32:32" x14ac:dyDescent="0.2">
      <c r="AF43403" s="679"/>
    </row>
    <row r="43404" spans="32:32" x14ac:dyDescent="0.2">
      <c r="AF43404" s="679"/>
    </row>
    <row r="43405" spans="32:32" x14ac:dyDescent="0.2">
      <c r="AF43405" s="679"/>
    </row>
    <row r="43406" spans="32:32" x14ac:dyDescent="0.2">
      <c r="AF43406" s="679"/>
    </row>
    <row r="43407" spans="32:32" x14ac:dyDescent="0.2">
      <c r="AF43407" s="679"/>
    </row>
    <row r="43408" spans="32:32" x14ac:dyDescent="0.2">
      <c r="AF43408" s="679"/>
    </row>
    <row r="43409" spans="32:32" x14ac:dyDescent="0.2">
      <c r="AF43409" s="679"/>
    </row>
    <row r="43410" spans="32:32" x14ac:dyDescent="0.2">
      <c r="AF43410" s="679"/>
    </row>
    <row r="43411" spans="32:32" x14ac:dyDescent="0.2">
      <c r="AF43411" s="679"/>
    </row>
    <row r="43412" spans="32:32" x14ac:dyDescent="0.2">
      <c r="AF43412" s="679"/>
    </row>
    <row r="43413" spans="32:32" x14ac:dyDescent="0.2">
      <c r="AF43413" s="679"/>
    </row>
    <row r="43414" spans="32:32" x14ac:dyDescent="0.2">
      <c r="AF43414" s="679"/>
    </row>
    <row r="43415" spans="32:32" x14ac:dyDescent="0.2">
      <c r="AF43415" s="679"/>
    </row>
    <row r="43416" spans="32:32" x14ac:dyDescent="0.2">
      <c r="AF43416" s="679"/>
    </row>
    <row r="43417" spans="32:32" x14ac:dyDescent="0.2">
      <c r="AF43417" s="679"/>
    </row>
    <row r="43418" spans="32:32" x14ac:dyDescent="0.2">
      <c r="AF43418" s="679"/>
    </row>
    <row r="43419" spans="32:32" x14ac:dyDescent="0.2">
      <c r="AF43419" s="679"/>
    </row>
    <row r="43420" spans="32:32" x14ac:dyDescent="0.2">
      <c r="AF43420" s="679"/>
    </row>
    <row r="43421" spans="32:32" x14ac:dyDescent="0.2">
      <c r="AF43421" s="679"/>
    </row>
    <row r="43422" spans="32:32" x14ac:dyDescent="0.2">
      <c r="AF43422" s="679"/>
    </row>
    <row r="43423" spans="32:32" x14ac:dyDescent="0.2">
      <c r="AF43423" s="679"/>
    </row>
    <row r="43424" spans="32:32" x14ac:dyDescent="0.2">
      <c r="AF43424" s="679"/>
    </row>
    <row r="43425" spans="32:32" x14ac:dyDescent="0.2">
      <c r="AF43425" s="679"/>
    </row>
    <row r="43426" spans="32:32" x14ac:dyDescent="0.2">
      <c r="AF43426" s="679"/>
    </row>
    <row r="43427" spans="32:32" x14ac:dyDescent="0.2">
      <c r="AF43427" s="679"/>
    </row>
    <row r="43428" spans="32:32" x14ac:dyDescent="0.2">
      <c r="AF43428" s="679"/>
    </row>
    <row r="43429" spans="32:32" x14ac:dyDescent="0.2">
      <c r="AF43429" s="679"/>
    </row>
    <row r="43430" spans="32:32" x14ac:dyDescent="0.2">
      <c r="AF43430" s="679"/>
    </row>
    <row r="43431" spans="32:32" x14ac:dyDescent="0.2">
      <c r="AF43431" s="679"/>
    </row>
    <row r="43432" spans="32:32" x14ac:dyDescent="0.2">
      <c r="AF43432" s="679"/>
    </row>
    <row r="43433" spans="32:32" x14ac:dyDescent="0.2">
      <c r="AF43433" s="679"/>
    </row>
    <row r="43434" spans="32:32" x14ac:dyDescent="0.2">
      <c r="AF43434" s="679"/>
    </row>
    <row r="43435" spans="32:32" x14ac:dyDescent="0.2">
      <c r="AF43435" s="679"/>
    </row>
    <row r="43436" spans="32:32" x14ac:dyDescent="0.2">
      <c r="AF43436" s="679"/>
    </row>
    <row r="43437" spans="32:32" x14ac:dyDescent="0.2">
      <c r="AF43437" s="679"/>
    </row>
    <row r="43438" spans="32:32" x14ac:dyDescent="0.2">
      <c r="AF43438" s="679"/>
    </row>
    <row r="43439" spans="32:32" x14ac:dyDescent="0.2">
      <c r="AF43439" s="679"/>
    </row>
    <row r="43440" spans="32:32" x14ac:dyDescent="0.2">
      <c r="AF43440" s="679"/>
    </row>
    <row r="43441" spans="32:32" x14ac:dyDescent="0.2">
      <c r="AF43441" s="679"/>
    </row>
    <row r="43442" spans="32:32" x14ac:dyDescent="0.2">
      <c r="AF43442" s="679"/>
    </row>
    <row r="43443" spans="32:32" x14ac:dyDescent="0.2">
      <c r="AF43443" s="679"/>
    </row>
    <row r="43444" spans="32:32" x14ac:dyDescent="0.2">
      <c r="AF43444" s="679"/>
    </row>
    <row r="43445" spans="32:32" x14ac:dyDescent="0.2">
      <c r="AF43445" s="679"/>
    </row>
    <row r="43446" spans="32:32" x14ac:dyDescent="0.2">
      <c r="AF43446" s="679"/>
    </row>
    <row r="43447" spans="32:32" x14ac:dyDescent="0.2">
      <c r="AF43447" s="679"/>
    </row>
    <row r="43448" spans="32:32" x14ac:dyDescent="0.2">
      <c r="AF43448" s="679"/>
    </row>
    <row r="43449" spans="32:32" x14ac:dyDescent="0.2">
      <c r="AF43449" s="679"/>
    </row>
    <row r="43450" spans="32:32" x14ac:dyDescent="0.2">
      <c r="AF43450" s="679"/>
    </row>
    <row r="43451" spans="32:32" x14ac:dyDescent="0.2">
      <c r="AF43451" s="679"/>
    </row>
    <row r="43452" spans="32:32" x14ac:dyDescent="0.2">
      <c r="AF43452" s="679"/>
    </row>
    <row r="43453" spans="32:32" x14ac:dyDescent="0.2">
      <c r="AF43453" s="679"/>
    </row>
    <row r="43454" spans="32:32" x14ac:dyDescent="0.2">
      <c r="AF43454" s="679"/>
    </row>
    <row r="43455" spans="32:32" x14ac:dyDescent="0.2">
      <c r="AF43455" s="679"/>
    </row>
    <row r="43456" spans="32:32" x14ac:dyDescent="0.2">
      <c r="AF43456" s="679"/>
    </row>
    <row r="43457" spans="32:32" x14ac:dyDescent="0.2">
      <c r="AF43457" s="679"/>
    </row>
    <row r="43458" spans="32:32" x14ac:dyDescent="0.2">
      <c r="AF43458" s="679"/>
    </row>
    <row r="43459" spans="32:32" x14ac:dyDescent="0.2">
      <c r="AF43459" s="679"/>
    </row>
    <row r="43460" spans="32:32" x14ac:dyDescent="0.2">
      <c r="AF43460" s="679"/>
    </row>
    <row r="43461" spans="32:32" x14ac:dyDescent="0.2">
      <c r="AF43461" s="679"/>
    </row>
    <row r="43462" spans="32:32" x14ac:dyDescent="0.2">
      <c r="AF43462" s="679"/>
    </row>
    <row r="43463" spans="32:32" x14ac:dyDescent="0.2">
      <c r="AF43463" s="679"/>
    </row>
    <row r="43464" spans="32:32" x14ac:dyDescent="0.2">
      <c r="AF43464" s="679"/>
    </row>
    <row r="43465" spans="32:32" x14ac:dyDescent="0.2">
      <c r="AF43465" s="679"/>
    </row>
    <row r="43466" spans="32:32" x14ac:dyDescent="0.2">
      <c r="AF43466" s="679"/>
    </row>
    <row r="43467" spans="32:32" x14ac:dyDescent="0.2">
      <c r="AF43467" s="679"/>
    </row>
    <row r="43468" spans="32:32" x14ac:dyDescent="0.2">
      <c r="AF43468" s="679"/>
    </row>
    <row r="43469" spans="32:32" x14ac:dyDescent="0.2">
      <c r="AF43469" s="679"/>
    </row>
    <row r="43470" spans="32:32" x14ac:dyDescent="0.2">
      <c r="AF43470" s="679"/>
    </row>
    <row r="43471" spans="32:32" x14ac:dyDescent="0.2">
      <c r="AF43471" s="679"/>
    </row>
    <row r="43472" spans="32:32" x14ac:dyDescent="0.2">
      <c r="AF43472" s="679"/>
    </row>
    <row r="43473" spans="32:32" x14ac:dyDescent="0.2">
      <c r="AF43473" s="679"/>
    </row>
    <row r="43474" spans="32:32" x14ac:dyDescent="0.2">
      <c r="AF43474" s="679"/>
    </row>
    <row r="43475" spans="32:32" x14ac:dyDescent="0.2">
      <c r="AF43475" s="679"/>
    </row>
    <row r="43476" spans="32:32" x14ac:dyDescent="0.2">
      <c r="AF43476" s="679"/>
    </row>
    <row r="43477" spans="32:32" x14ac:dyDescent="0.2">
      <c r="AF43477" s="679"/>
    </row>
    <row r="43478" spans="32:32" x14ac:dyDescent="0.2">
      <c r="AF43478" s="679"/>
    </row>
    <row r="43479" spans="32:32" x14ac:dyDescent="0.2">
      <c r="AF43479" s="679"/>
    </row>
    <row r="43480" spans="32:32" x14ac:dyDescent="0.2">
      <c r="AF43480" s="679"/>
    </row>
    <row r="43481" spans="32:32" x14ac:dyDescent="0.2">
      <c r="AF43481" s="679"/>
    </row>
    <row r="43482" spans="32:32" x14ac:dyDescent="0.2">
      <c r="AF43482" s="679"/>
    </row>
    <row r="43483" spans="32:32" x14ac:dyDescent="0.2">
      <c r="AF43483" s="679"/>
    </row>
    <row r="43484" spans="32:32" x14ac:dyDescent="0.2">
      <c r="AF43484" s="679"/>
    </row>
    <row r="43485" spans="32:32" x14ac:dyDescent="0.2">
      <c r="AF43485" s="679"/>
    </row>
    <row r="43486" spans="32:32" x14ac:dyDescent="0.2">
      <c r="AF43486" s="679"/>
    </row>
    <row r="43487" spans="32:32" x14ac:dyDescent="0.2">
      <c r="AF43487" s="679"/>
    </row>
    <row r="43488" spans="32:32" x14ac:dyDescent="0.2">
      <c r="AF43488" s="679"/>
    </row>
    <row r="43489" spans="32:32" x14ac:dyDescent="0.2">
      <c r="AF43489" s="679"/>
    </row>
    <row r="43490" spans="32:32" x14ac:dyDescent="0.2">
      <c r="AF43490" s="679"/>
    </row>
    <row r="43491" spans="32:32" x14ac:dyDescent="0.2">
      <c r="AF43491" s="679"/>
    </row>
    <row r="43492" spans="32:32" x14ac:dyDescent="0.2">
      <c r="AF43492" s="679"/>
    </row>
    <row r="43493" spans="32:32" x14ac:dyDescent="0.2">
      <c r="AF43493" s="679"/>
    </row>
    <row r="43494" spans="32:32" x14ac:dyDescent="0.2">
      <c r="AF43494" s="679"/>
    </row>
    <row r="43495" spans="32:32" x14ac:dyDescent="0.2">
      <c r="AF43495" s="679"/>
    </row>
    <row r="43496" spans="32:32" x14ac:dyDescent="0.2">
      <c r="AF43496" s="679"/>
    </row>
    <row r="43497" spans="32:32" x14ac:dyDescent="0.2">
      <c r="AF43497" s="679"/>
    </row>
    <row r="43498" spans="32:32" x14ac:dyDescent="0.2">
      <c r="AF43498" s="679"/>
    </row>
    <row r="43499" spans="32:32" x14ac:dyDescent="0.2">
      <c r="AF43499" s="679"/>
    </row>
    <row r="43500" spans="32:32" x14ac:dyDescent="0.2">
      <c r="AF43500" s="679"/>
    </row>
    <row r="43501" spans="32:32" x14ac:dyDescent="0.2">
      <c r="AF43501" s="679"/>
    </row>
    <row r="43502" spans="32:32" x14ac:dyDescent="0.2">
      <c r="AF43502" s="679"/>
    </row>
    <row r="43503" spans="32:32" x14ac:dyDescent="0.2">
      <c r="AF43503" s="679"/>
    </row>
    <row r="43504" spans="32:32" x14ac:dyDescent="0.2">
      <c r="AF43504" s="679"/>
    </row>
    <row r="43505" spans="32:32" x14ac:dyDescent="0.2">
      <c r="AF43505" s="679"/>
    </row>
    <row r="43506" spans="32:32" x14ac:dyDescent="0.2">
      <c r="AF43506" s="679"/>
    </row>
    <row r="43507" spans="32:32" x14ac:dyDescent="0.2">
      <c r="AF43507" s="679"/>
    </row>
    <row r="43508" spans="32:32" x14ac:dyDescent="0.2">
      <c r="AF43508" s="679"/>
    </row>
    <row r="43509" spans="32:32" x14ac:dyDescent="0.2">
      <c r="AF43509" s="679"/>
    </row>
    <row r="43510" spans="32:32" x14ac:dyDescent="0.2">
      <c r="AF43510" s="679"/>
    </row>
    <row r="43511" spans="32:32" x14ac:dyDescent="0.2">
      <c r="AF43511" s="679"/>
    </row>
    <row r="43512" spans="32:32" x14ac:dyDescent="0.2">
      <c r="AF43512" s="679"/>
    </row>
    <row r="43513" spans="32:32" x14ac:dyDescent="0.2">
      <c r="AF43513" s="679"/>
    </row>
    <row r="43514" spans="32:32" x14ac:dyDescent="0.2">
      <c r="AF43514" s="679"/>
    </row>
    <row r="43515" spans="32:32" x14ac:dyDescent="0.2">
      <c r="AF43515" s="679"/>
    </row>
    <row r="43516" spans="32:32" x14ac:dyDescent="0.2">
      <c r="AF43516" s="679"/>
    </row>
    <row r="43517" spans="32:32" x14ac:dyDescent="0.2">
      <c r="AF43517" s="679"/>
    </row>
    <row r="43518" spans="32:32" x14ac:dyDescent="0.2">
      <c r="AF43518" s="679"/>
    </row>
    <row r="43519" spans="32:32" x14ac:dyDescent="0.2">
      <c r="AF43519" s="679"/>
    </row>
    <row r="43520" spans="32:32" x14ac:dyDescent="0.2">
      <c r="AF43520" s="679"/>
    </row>
    <row r="43521" spans="32:32" x14ac:dyDescent="0.2">
      <c r="AF43521" s="679"/>
    </row>
    <row r="43522" spans="32:32" x14ac:dyDescent="0.2">
      <c r="AF43522" s="679"/>
    </row>
    <row r="43523" spans="32:32" x14ac:dyDescent="0.2">
      <c r="AF43523" s="679"/>
    </row>
    <row r="43524" spans="32:32" x14ac:dyDescent="0.2">
      <c r="AF43524" s="679"/>
    </row>
    <row r="43525" spans="32:32" x14ac:dyDescent="0.2">
      <c r="AF43525" s="679"/>
    </row>
    <row r="43526" spans="32:32" x14ac:dyDescent="0.2">
      <c r="AF43526" s="679"/>
    </row>
    <row r="43527" spans="32:32" x14ac:dyDescent="0.2">
      <c r="AF43527" s="679"/>
    </row>
    <row r="43528" spans="32:32" x14ac:dyDescent="0.2">
      <c r="AF43528" s="679"/>
    </row>
    <row r="43529" spans="32:32" x14ac:dyDescent="0.2">
      <c r="AF43529" s="679"/>
    </row>
    <row r="43530" spans="32:32" x14ac:dyDescent="0.2">
      <c r="AF43530" s="679"/>
    </row>
    <row r="43531" spans="32:32" x14ac:dyDescent="0.2">
      <c r="AF43531" s="679"/>
    </row>
    <row r="43532" spans="32:32" x14ac:dyDescent="0.2">
      <c r="AF43532" s="679"/>
    </row>
    <row r="43533" spans="32:32" x14ac:dyDescent="0.2">
      <c r="AF43533" s="679"/>
    </row>
    <row r="43534" spans="32:32" x14ac:dyDescent="0.2">
      <c r="AF43534" s="679"/>
    </row>
    <row r="43535" spans="32:32" x14ac:dyDescent="0.2">
      <c r="AF43535" s="679"/>
    </row>
    <row r="43536" spans="32:32" x14ac:dyDescent="0.2">
      <c r="AF43536" s="679"/>
    </row>
    <row r="43537" spans="32:32" x14ac:dyDescent="0.2">
      <c r="AF43537" s="679"/>
    </row>
    <row r="43538" spans="32:32" x14ac:dyDescent="0.2">
      <c r="AF43538" s="679"/>
    </row>
    <row r="43539" spans="32:32" x14ac:dyDescent="0.2">
      <c r="AF43539" s="679"/>
    </row>
    <row r="43540" spans="32:32" x14ac:dyDescent="0.2">
      <c r="AF43540" s="679"/>
    </row>
    <row r="43541" spans="32:32" x14ac:dyDescent="0.2">
      <c r="AF43541" s="679"/>
    </row>
    <row r="43542" spans="32:32" x14ac:dyDescent="0.2">
      <c r="AF43542" s="679"/>
    </row>
    <row r="43543" spans="32:32" x14ac:dyDescent="0.2">
      <c r="AF43543" s="679"/>
    </row>
    <row r="43544" spans="32:32" x14ac:dyDescent="0.2">
      <c r="AF43544" s="679"/>
    </row>
    <row r="43545" spans="32:32" x14ac:dyDescent="0.2">
      <c r="AF43545" s="679"/>
    </row>
    <row r="43546" spans="32:32" x14ac:dyDescent="0.2">
      <c r="AF43546" s="679"/>
    </row>
    <row r="43547" spans="32:32" x14ac:dyDescent="0.2">
      <c r="AF43547" s="679"/>
    </row>
    <row r="43548" spans="32:32" x14ac:dyDescent="0.2">
      <c r="AF43548" s="679"/>
    </row>
    <row r="43549" spans="32:32" x14ac:dyDescent="0.2">
      <c r="AF43549" s="679"/>
    </row>
    <row r="43550" spans="32:32" x14ac:dyDescent="0.2">
      <c r="AF43550" s="679"/>
    </row>
    <row r="43551" spans="32:32" x14ac:dyDescent="0.2">
      <c r="AF43551" s="679"/>
    </row>
    <row r="43552" spans="32:32" x14ac:dyDescent="0.2">
      <c r="AF43552" s="679"/>
    </row>
    <row r="43553" spans="32:32" x14ac:dyDescent="0.2">
      <c r="AF43553" s="679"/>
    </row>
    <row r="43554" spans="32:32" x14ac:dyDescent="0.2">
      <c r="AF43554" s="679"/>
    </row>
    <row r="43555" spans="32:32" x14ac:dyDescent="0.2">
      <c r="AF43555" s="679"/>
    </row>
    <row r="43556" spans="32:32" x14ac:dyDescent="0.2">
      <c r="AF43556" s="679"/>
    </row>
    <row r="43557" spans="32:32" x14ac:dyDescent="0.2">
      <c r="AF43557" s="679"/>
    </row>
    <row r="43558" spans="32:32" x14ac:dyDescent="0.2">
      <c r="AF43558" s="679"/>
    </row>
    <row r="43559" spans="32:32" x14ac:dyDescent="0.2">
      <c r="AF43559" s="679"/>
    </row>
    <row r="43560" spans="32:32" x14ac:dyDescent="0.2">
      <c r="AF43560" s="679"/>
    </row>
    <row r="43561" spans="32:32" x14ac:dyDescent="0.2">
      <c r="AF43561" s="679"/>
    </row>
    <row r="43562" spans="32:32" x14ac:dyDescent="0.2">
      <c r="AF43562" s="679"/>
    </row>
    <row r="43563" spans="32:32" x14ac:dyDescent="0.2">
      <c r="AF43563" s="679"/>
    </row>
    <row r="43564" spans="32:32" x14ac:dyDescent="0.2">
      <c r="AF43564" s="679"/>
    </row>
    <row r="43565" spans="32:32" x14ac:dyDescent="0.2">
      <c r="AF43565" s="679"/>
    </row>
    <row r="43566" spans="32:32" x14ac:dyDescent="0.2">
      <c r="AF43566" s="679"/>
    </row>
    <row r="43567" spans="32:32" x14ac:dyDescent="0.2">
      <c r="AF43567" s="679"/>
    </row>
    <row r="43568" spans="32:32" x14ac:dyDescent="0.2">
      <c r="AF43568" s="679"/>
    </row>
    <row r="43569" spans="32:32" x14ac:dyDescent="0.2">
      <c r="AF43569" s="679"/>
    </row>
    <row r="43570" spans="32:32" x14ac:dyDescent="0.2">
      <c r="AF43570" s="679"/>
    </row>
    <row r="43571" spans="32:32" x14ac:dyDescent="0.2">
      <c r="AF43571" s="679"/>
    </row>
    <row r="43572" spans="32:32" x14ac:dyDescent="0.2">
      <c r="AF43572" s="679"/>
    </row>
    <row r="43573" spans="32:32" x14ac:dyDescent="0.2">
      <c r="AF43573" s="679"/>
    </row>
    <row r="43574" spans="32:32" x14ac:dyDescent="0.2">
      <c r="AF43574" s="679"/>
    </row>
    <row r="43575" spans="32:32" x14ac:dyDescent="0.2">
      <c r="AF43575" s="679"/>
    </row>
    <row r="43576" spans="32:32" x14ac:dyDescent="0.2">
      <c r="AF43576" s="679"/>
    </row>
    <row r="43577" spans="32:32" x14ac:dyDescent="0.2">
      <c r="AF43577" s="679"/>
    </row>
    <row r="43578" spans="32:32" x14ac:dyDescent="0.2">
      <c r="AF43578" s="679"/>
    </row>
    <row r="43579" spans="32:32" x14ac:dyDescent="0.2">
      <c r="AF43579" s="679"/>
    </row>
    <row r="43580" spans="32:32" x14ac:dyDescent="0.2">
      <c r="AF43580" s="679"/>
    </row>
    <row r="43581" spans="32:32" x14ac:dyDescent="0.2">
      <c r="AF43581" s="679"/>
    </row>
    <row r="43582" spans="32:32" x14ac:dyDescent="0.2">
      <c r="AF43582" s="679"/>
    </row>
    <row r="43583" spans="32:32" x14ac:dyDescent="0.2">
      <c r="AF43583" s="679"/>
    </row>
    <row r="43584" spans="32:32" x14ac:dyDescent="0.2">
      <c r="AF43584" s="679"/>
    </row>
    <row r="43585" spans="32:32" x14ac:dyDescent="0.2">
      <c r="AF43585" s="679"/>
    </row>
    <row r="43586" spans="32:32" x14ac:dyDescent="0.2">
      <c r="AF43586" s="679"/>
    </row>
    <row r="43587" spans="32:32" x14ac:dyDescent="0.2">
      <c r="AF43587" s="679"/>
    </row>
    <row r="43588" spans="32:32" x14ac:dyDescent="0.2">
      <c r="AF43588" s="679"/>
    </row>
    <row r="43589" spans="32:32" x14ac:dyDescent="0.2">
      <c r="AF43589" s="679"/>
    </row>
    <row r="43590" spans="32:32" x14ac:dyDescent="0.2">
      <c r="AF43590" s="679"/>
    </row>
    <row r="43591" spans="32:32" x14ac:dyDescent="0.2">
      <c r="AF43591" s="679"/>
    </row>
    <row r="43592" spans="32:32" x14ac:dyDescent="0.2">
      <c r="AF43592" s="679"/>
    </row>
    <row r="43593" spans="32:32" x14ac:dyDescent="0.2">
      <c r="AF43593" s="679"/>
    </row>
    <row r="43594" spans="32:32" x14ac:dyDescent="0.2">
      <c r="AF43594" s="679"/>
    </row>
    <row r="43595" spans="32:32" x14ac:dyDescent="0.2">
      <c r="AF43595" s="679"/>
    </row>
    <row r="43596" spans="32:32" x14ac:dyDescent="0.2">
      <c r="AF43596" s="679"/>
    </row>
    <row r="43597" spans="32:32" x14ac:dyDescent="0.2">
      <c r="AF43597" s="679"/>
    </row>
    <row r="43598" spans="32:32" x14ac:dyDescent="0.2">
      <c r="AF43598" s="679"/>
    </row>
    <row r="43599" spans="32:32" x14ac:dyDescent="0.2">
      <c r="AF43599" s="679"/>
    </row>
    <row r="43600" spans="32:32" x14ac:dyDescent="0.2">
      <c r="AF43600" s="679"/>
    </row>
    <row r="43601" spans="32:32" x14ac:dyDescent="0.2">
      <c r="AF43601" s="679"/>
    </row>
    <row r="43602" spans="32:32" x14ac:dyDescent="0.2">
      <c r="AF43602" s="679"/>
    </row>
    <row r="43603" spans="32:32" x14ac:dyDescent="0.2">
      <c r="AF43603" s="679"/>
    </row>
    <row r="43604" spans="32:32" x14ac:dyDescent="0.2">
      <c r="AF43604" s="679"/>
    </row>
    <row r="43605" spans="32:32" x14ac:dyDescent="0.2">
      <c r="AF43605" s="679"/>
    </row>
    <row r="43606" spans="32:32" x14ac:dyDescent="0.2">
      <c r="AF43606" s="679"/>
    </row>
    <row r="43607" spans="32:32" x14ac:dyDescent="0.2">
      <c r="AF43607" s="679"/>
    </row>
    <row r="43608" spans="32:32" x14ac:dyDescent="0.2">
      <c r="AF43608" s="679"/>
    </row>
    <row r="43609" spans="32:32" x14ac:dyDescent="0.2">
      <c r="AF43609" s="679"/>
    </row>
    <row r="43610" spans="32:32" x14ac:dyDescent="0.2">
      <c r="AF43610" s="679"/>
    </row>
    <row r="43611" spans="32:32" x14ac:dyDescent="0.2">
      <c r="AF43611" s="679"/>
    </row>
    <row r="43612" spans="32:32" x14ac:dyDescent="0.2">
      <c r="AF43612" s="679"/>
    </row>
    <row r="43613" spans="32:32" x14ac:dyDescent="0.2">
      <c r="AF43613" s="679"/>
    </row>
    <row r="43614" spans="32:32" x14ac:dyDescent="0.2">
      <c r="AF43614" s="679"/>
    </row>
    <row r="43615" spans="32:32" x14ac:dyDescent="0.2">
      <c r="AF43615" s="679"/>
    </row>
    <row r="43616" spans="32:32" x14ac:dyDescent="0.2">
      <c r="AF43616" s="679"/>
    </row>
    <row r="43617" spans="32:32" x14ac:dyDescent="0.2">
      <c r="AF43617" s="679"/>
    </row>
    <row r="43618" spans="32:32" x14ac:dyDescent="0.2">
      <c r="AF43618" s="679"/>
    </row>
    <row r="43619" spans="32:32" x14ac:dyDescent="0.2">
      <c r="AF43619" s="679"/>
    </row>
    <row r="43620" spans="32:32" x14ac:dyDescent="0.2">
      <c r="AF43620" s="679"/>
    </row>
    <row r="43621" spans="32:32" x14ac:dyDescent="0.2">
      <c r="AF43621" s="679"/>
    </row>
    <row r="43622" spans="32:32" x14ac:dyDescent="0.2">
      <c r="AF43622" s="679"/>
    </row>
    <row r="43623" spans="32:32" x14ac:dyDescent="0.2">
      <c r="AF43623" s="679"/>
    </row>
    <row r="43624" spans="32:32" x14ac:dyDescent="0.2">
      <c r="AF43624" s="679"/>
    </row>
    <row r="43625" spans="32:32" x14ac:dyDescent="0.2">
      <c r="AF43625" s="679"/>
    </row>
    <row r="43626" spans="32:32" x14ac:dyDescent="0.2">
      <c r="AF43626" s="679"/>
    </row>
    <row r="43627" spans="32:32" x14ac:dyDescent="0.2">
      <c r="AF43627" s="679"/>
    </row>
    <row r="43628" spans="32:32" x14ac:dyDescent="0.2">
      <c r="AF43628" s="679"/>
    </row>
    <row r="43629" spans="32:32" x14ac:dyDescent="0.2">
      <c r="AF43629" s="679"/>
    </row>
    <row r="43630" spans="32:32" x14ac:dyDescent="0.2">
      <c r="AF43630" s="679"/>
    </row>
    <row r="43631" spans="32:32" x14ac:dyDescent="0.2">
      <c r="AF43631" s="679"/>
    </row>
    <row r="43632" spans="32:32" x14ac:dyDescent="0.2">
      <c r="AF43632" s="679"/>
    </row>
    <row r="43633" spans="32:32" x14ac:dyDescent="0.2">
      <c r="AF43633" s="679"/>
    </row>
    <row r="43634" spans="32:32" x14ac:dyDescent="0.2">
      <c r="AF43634" s="679"/>
    </row>
    <row r="43635" spans="32:32" x14ac:dyDescent="0.2">
      <c r="AF43635" s="679"/>
    </row>
    <row r="43636" spans="32:32" x14ac:dyDescent="0.2">
      <c r="AF43636" s="679"/>
    </row>
    <row r="43637" spans="32:32" x14ac:dyDescent="0.2">
      <c r="AF43637" s="679"/>
    </row>
    <row r="43638" spans="32:32" x14ac:dyDescent="0.2">
      <c r="AF43638" s="679"/>
    </row>
    <row r="43639" spans="32:32" x14ac:dyDescent="0.2">
      <c r="AF43639" s="679"/>
    </row>
    <row r="43640" spans="32:32" x14ac:dyDescent="0.2">
      <c r="AF43640" s="679"/>
    </row>
    <row r="43641" spans="32:32" x14ac:dyDescent="0.2">
      <c r="AF43641" s="679"/>
    </row>
    <row r="43642" spans="32:32" x14ac:dyDescent="0.2">
      <c r="AF43642" s="679"/>
    </row>
    <row r="43643" spans="32:32" x14ac:dyDescent="0.2">
      <c r="AF43643" s="679"/>
    </row>
    <row r="43644" spans="32:32" x14ac:dyDescent="0.2">
      <c r="AF43644" s="679"/>
    </row>
    <row r="43645" spans="32:32" x14ac:dyDescent="0.2">
      <c r="AF43645" s="679"/>
    </row>
    <row r="43646" spans="32:32" x14ac:dyDescent="0.2">
      <c r="AF43646" s="679"/>
    </row>
    <row r="43647" spans="32:32" x14ac:dyDescent="0.2">
      <c r="AF43647" s="679"/>
    </row>
    <row r="43648" spans="32:32" x14ac:dyDescent="0.2">
      <c r="AF43648" s="679"/>
    </row>
    <row r="43649" spans="32:32" x14ac:dyDescent="0.2">
      <c r="AF43649" s="679"/>
    </row>
    <row r="43650" spans="32:32" x14ac:dyDescent="0.2">
      <c r="AF43650" s="679"/>
    </row>
    <row r="43651" spans="32:32" x14ac:dyDescent="0.2">
      <c r="AF43651" s="679"/>
    </row>
    <row r="43652" spans="32:32" x14ac:dyDescent="0.2">
      <c r="AF43652" s="679"/>
    </row>
    <row r="43653" spans="32:32" x14ac:dyDescent="0.2">
      <c r="AF43653" s="679"/>
    </row>
    <row r="43654" spans="32:32" x14ac:dyDescent="0.2">
      <c r="AF43654" s="679"/>
    </row>
    <row r="43655" spans="32:32" x14ac:dyDescent="0.2">
      <c r="AF43655" s="679"/>
    </row>
    <row r="43656" spans="32:32" x14ac:dyDescent="0.2">
      <c r="AF43656" s="679"/>
    </row>
    <row r="43657" spans="32:32" x14ac:dyDescent="0.2">
      <c r="AF43657" s="679"/>
    </row>
    <row r="43658" spans="32:32" x14ac:dyDescent="0.2">
      <c r="AF43658" s="679"/>
    </row>
    <row r="43659" spans="32:32" x14ac:dyDescent="0.2">
      <c r="AF43659" s="679"/>
    </row>
    <row r="43660" spans="32:32" x14ac:dyDescent="0.2">
      <c r="AF43660" s="679"/>
    </row>
    <row r="43661" spans="32:32" x14ac:dyDescent="0.2">
      <c r="AF43661" s="679"/>
    </row>
    <row r="43662" spans="32:32" x14ac:dyDescent="0.2">
      <c r="AF43662" s="679"/>
    </row>
    <row r="43663" spans="32:32" x14ac:dyDescent="0.2">
      <c r="AF43663" s="679"/>
    </row>
    <row r="43664" spans="32:32" x14ac:dyDescent="0.2">
      <c r="AF43664" s="679"/>
    </row>
    <row r="43665" spans="32:32" x14ac:dyDescent="0.2">
      <c r="AF43665" s="679"/>
    </row>
    <row r="43666" spans="32:32" x14ac:dyDescent="0.2">
      <c r="AF43666" s="679"/>
    </row>
    <row r="43667" spans="32:32" x14ac:dyDescent="0.2">
      <c r="AF43667" s="679"/>
    </row>
    <row r="43668" spans="32:32" x14ac:dyDescent="0.2">
      <c r="AF43668" s="679"/>
    </row>
    <row r="43669" spans="32:32" x14ac:dyDescent="0.2">
      <c r="AF43669" s="679"/>
    </row>
    <row r="43670" spans="32:32" x14ac:dyDescent="0.2">
      <c r="AF43670" s="679"/>
    </row>
    <row r="43671" spans="32:32" x14ac:dyDescent="0.2">
      <c r="AF43671" s="679"/>
    </row>
    <row r="43672" spans="32:32" x14ac:dyDescent="0.2">
      <c r="AF43672" s="679"/>
    </row>
    <row r="43673" spans="32:32" x14ac:dyDescent="0.2">
      <c r="AF43673" s="679"/>
    </row>
    <row r="43674" spans="32:32" x14ac:dyDescent="0.2">
      <c r="AF43674" s="679"/>
    </row>
    <row r="43675" spans="32:32" x14ac:dyDescent="0.2">
      <c r="AF43675" s="679"/>
    </row>
    <row r="43676" spans="32:32" x14ac:dyDescent="0.2">
      <c r="AF43676" s="679"/>
    </row>
    <row r="43677" spans="32:32" x14ac:dyDescent="0.2">
      <c r="AF43677" s="679"/>
    </row>
    <row r="43678" spans="32:32" x14ac:dyDescent="0.2">
      <c r="AF43678" s="679"/>
    </row>
    <row r="43679" spans="32:32" x14ac:dyDescent="0.2">
      <c r="AF43679" s="679"/>
    </row>
    <row r="43680" spans="32:32" x14ac:dyDescent="0.2">
      <c r="AF43680" s="679"/>
    </row>
    <row r="43681" spans="32:32" x14ac:dyDescent="0.2">
      <c r="AF43681" s="679"/>
    </row>
    <row r="43682" spans="32:32" x14ac:dyDescent="0.2">
      <c r="AF43682" s="679"/>
    </row>
    <row r="43683" spans="32:32" x14ac:dyDescent="0.2">
      <c r="AF43683" s="679"/>
    </row>
    <row r="43684" spans="32:32" x14ac:dyDescent="0.2">
      <c r="AF43684" s="679"/>
    </row>
    <row r="43685" spans="32:32" x14ac:dyDescent="0.2">
      <c r="AF43685" s="679"/>
    </row>
    <row r="43686" spans="32:32" x14ac:dyDescent="0.2">
      <c r="AF43686" s="679"/>
    </row>
    <row r="43687" spans="32:32" x14ac:dyDescent="0.2">
      <c r="AF43687" s="679"/>
    </row>
    <row r="43688" spans="32:32" x14ac:dyDescent="0.2">
      <c r="AF43688" s="679"/>
    </row>
    <row r="43689" spans="32:32" x14ac:dyDescent="0.2">
      <c r="AF43689" s="679"/>
    </row>
    <row r="43690" spans="32:32" x14ac:dyDescent="0.2">
      <c r="AF43690" s="679"/>
    </row>
    <row r="43691" spans="32:32" x14ac:dyDescent="0.2">
      <c r="AF43691" s="679"/>
    </row>
    <row r="43692" spans="32:32" x14ac:dyDescent="0.2">
      <c r="AF43692" s="679"/>
    </row>
    <row r="43693" spans="32:32" x14ac:dyDescent="0.2">
      <c r="AF43693" s="679"/>
    </row>
    <row r="43694" spans="32:32" x14ac:dyDescent="0.2">
      <c r="AF43694" s="679"/>
    </row>
    <row r="43695" spans="32:32" x14ac:dyDescent="0.2">
      <c r="AF43695" s="679"/>
    </row>
    <row r="43696" spans="32:32" x14ac:dyDescent="0.2">
      <c r="AF43696" s="679"/>
    </row>
    <row r="43697" spans="32:32" x14ac:dyDescent="0.2">
      <c r="AF43697" s="679"/>
    </row>
    <row r="43698" spans="32:32" x14ac:dyDescent="0.2">
      <c r="AF43698" s="679"/>
    </row>
    <row r="43699" spans="32:32" x14ac:dyDescent="0.2">
      <c r="AF43699" s="679"/>
    </row>
    <row r="43700" spans="32:32" x14ac:dyDescent="0.2">
      <c r="AF43700" s="679"/>
    </row>
    <row r="43701" spans="32:32" x14ac:dyDescent="0.2">
      <c r="AF43701" s="679"/>
    </row>
    <row r="43702" spans="32:32" x14ac:dyDescent="0.2">
      <c r="AF43702" s="679"/>
    </row>
    <row r="43703" spans="32:32" x14ac:dyDescent="0.2">
      <c r="AF43703" s="679"/>
    </row>
    <row r="43704" spans="32:32" x14ac:dyDescent="0.2">
      <c r="AF43704" s="679"/>
    </row>
    <row r="43705" spans="32:32" x14ac:dyDescent="0.2">
      <c r="AF43705" s="679"/>
    </row>
    <row r="43706" spans="32:32" x14ac:dyDescent="0.2">
      <c r="AF43706" s="679"/>
    </row>
    <row r="43707" spans="32:32" x14ac:dyDescent="0.2">
      <c r="AF43707" s="679"/>
    </row>
    <row r="43708" spans="32:32" x14ac:dyDescent="0.2">
      <c r="AF43708" s="679"/>
    </row>
    <row r="43709" spans="32:32" x14ac:dyDescent="0.2">
      <c r="AF43709" s="679"/>
    </row>
    <row r="43710" spans="32:32" x14ac:dyDescent="0.2">
      <c r="AF43710" s="679"/>
    </row>
    <row r="43711" spans="32:32" x14ac:dyDescent="0.2">
      <c r="AF43711" s="679"/>
    </row>
    <row r="43712" spans="32:32" x14ac:dyDescent="0.2">
      <c r="AF43712" s="679"/>
    </row>
    <row r="43713" spans="32:32" x14ac:dyDescent="0.2">
      <c r="AF43713" s="679"/>
    </row>
    <row r="43714" spans="32:32" x14ac:dyDescent="0.2">
      <c r="AF43714" s="679"/>
    </row>
    <row r="43715" spans="32:32" x14ac:dyDescent="0.2">
      <c r="AF43715" s="679"/>
    </row>
    <row r="43716" spans="32:32" x14ac:dyDescent="0.2">
      <c r="AF43716" s="679"/>
    </row>
    <row r="43717" spans="32:32" x14ac:dyDescent="0.2">
      <c r="AF43717" s="679"/>
    </row>
    <row r="43718" spans="32:32" x14ac:dyDescent="0.2">
      <c r="AF43718" s="679"/>
    </row>
    <row r="43719" spans="32:32" x14ac:dyDescent="0.2">
      <c r="AF43719" s="679"/>
    </row>
    <row r="43720" spans="32:32" x14ac:dyDescent="0.2">
      <c r="AF43720" s="679"/>
    </row>
    <row r="43721" spans="32:32" x14ac:dyDescent="0.2">
      <c r="AF43721" s="679"/>
    </row>
    <row r="43722" spans="32:32" x14ac:dyDescent="0.2">
      <c r="AF43722" s="679"/>
    </row>
    <row r="43723" spans="32:32" x14ac:dyDescent="0.2">
      <c r="AF43723" s="679"/>
    </row>
    <row r="43724" spans="32:32" x14ac:dyDescent="0.2">
      <c r="AF43724" s="679"/>
    </row>
    <row r="43725" spans="32:32" x14ac:dyDescent="0.2">
      <c r="AF43725" s="679"/>
    </row>
    <row r="43726" spans="32:32" x14ac:dyDescent="0.2">
      <c r="AF43726" s="679"/>
    </row>
    <row r="43727" spans="32:32" x14ac:dyDescent="0.2">
      <c r="AF43727" s="679"/>
    </row>
    <row r="43728" spans="32:32" x14ac:dyDescent="0.2">
      <c r="AF43728" s="679"/>
    </row>
    <row r="43729" spans="32:32" x14ac:dyDescent="0.2">
      <c r="AF43729" s="679"/>
    </row>
    <row r="43730" spans="32:32" x14ac:dyDescent="0.2">
      <c r="AF43730" s="679"/>
    </row>
    <row r="43731" spans="32:32" x14ac:dyDescent="0.2">
      <c r="AF43731" s="679"/>
    </row>
    <row r="43732" spans="32:32" x14ac:dyDescent="0.2">
      <c r="AF43732" s="679"/>
    </row>
    <row r="43733" spans="32:32" x14ac:dyDescent="0.2">
      <c r="AF43733" s="679"/>
    </row>
    <row r="43734" spans="32:32" x14ac:dyDescent="0.2">
      <c r="AF43734" s="679"/>
    </row>
    <row r="43735" spans="32:32" x14ac:dyDescent="0.2">
      <c r="AF43735" s="679"/>
    </row>
    <row r="43736" spans="32:32" x14ac:dyDescent="0.2">
      <c r="AF43736" s="679"/>
    </row>
    <row r="43737" spans="32:32" x14ac:dyDescent="0.2">
      <c r="AF43737" s="679"/>
    </row>
    <row r="43738" spans="32:32" x14ac:dyDescent="0.2">
      <c r="AF43738" s="679"/>
    </row>
    <row r="43739" spans="32:32" x14ac:dyDescent="0.2">
      <c r="AF43739" s="679"/>
    </row>
    <row r="43740" spans="32:32" x14ac:dyDescent="0.2">
      <c r="AF43740" s="679"/>
    </row>
    <row r="43741" spans="32:32" x14ac:dyDescent="0.2">
      <c r="AF43741" s="679"/>
    </row>
    <row r="43742" spans="32:32" x14ac:dyDescent="0.2">
      <c r="AF43742" s="679"/>
    </row>
    <row r="43743" spans="32:32" x14ac:dyDescent="0.2">
      <c r="AF43743" s="679"/>
    </row>
    <row r="43744" spans="32:32" x14ac:dyDescent="0.2">
      <c r="AF43744" s="679"/>
    </row>
    <row r="43745" spans="32:32" x14ac:dyDescent="0.2">
      <c r="AF43745" s="679"/>
    </row>
    <row r="43746" spans="32:32" x14ac:dyDescent="0.2">
      <c r="AF43746" s="679"/>
    </row>
    <row r="43747" spans="32:32" x14ac:dyDescent="0.2">
      <c r="AF43747" s="679"/>
    </row>
    <row r="43748" spans="32:32" x14ac:dyDescent="0.2">
      <c r="AF43748" s="679"/>
    </row>
    <row r="43749" spans="32:32" x14ac:dyDescent="0.2">
      <c r="AF43749" s="679"/>
    </row>
    <row r="43750" spans="32:32" x14ac:dyDescent="0.2">
      <c r="AF43750" s="679"/>
    </row>
    <row r="43751" spans="32:32" x14ac:dyDescent="0.2">
      <c r="AF43751" s="679"/>
    </row>
    <row r="43752" spans="32:32" x14ac:dyDescent="0.2">
      <c r="AF43752" s="679"/>
    </row>
    <row r="43753" spans="32:32" x14ac:dyDescent="0.2">
      <c r="AF43753" s="679"/>
    </row>
    <row r="43754" spans="32:32" x14ac:dyDescent="0.2">
      <c r="AF43754" s="679"/>
    </row>
    <row r="43755" spans="32:32" x14ac:dyDescent="0.2">
      <c r="AF43755" s="679"/>
    </row>
    <row r="43756" spans="32:32" x14ac:dyDescent="0.2">
      <c r="AF43756" s="679"/>
    </row>
    <row r="43757" spans="32:32" x14ac:dyDescent="0.2">
      <c r="AF43757" s="679"/>
    </row>
    <row r="43758" spans="32:32" x14ac:dyDescent="0.2">
      <c r="AF43758" s="679"/>
    </row>
    <row r="43759" spans="32:32" x14ac:dyDescent="0.2">
      <c r="AF43759" s="679"/>
    </row>
    <row r="43760" spans="32:32" x14ac:dyDescent="0.2">
      <c r="AF43760" s="679"/>
    </row>
    <row r="43761" spans="32:32" x14ac:dyDescent="0.2">
      <c r="AF43761" s="679"/>
    </row>
    <row r="43762" spans="32:32" x14ac:dyDescent="0.2">
      <c r="AF43762" s="679"/>
    </row>
    <row r="43763" spans="32:32" x14ac:dyDescent="0.2">
      <c r="AF43763" s="679"/>
    </row>
    <row r="43764" spans="32:32" x14ac:dyDescent="0.2">
      <c r="AF43764" s="679"/>
    </row>
    <row r="43765" spans="32:32" x14ac:dyDescent="0.2">
      <c r="AF43765" s="679"/>
    </row>
    <row r="43766" spans="32:32" x14ac:dyDescent="0.2">
      <c r="AF43766" s="679"/>
    </row>
    <row r="43767" spans="32:32" x14ac:dyDescent="0.2">
      <c r="AF43767" s="679"/>
    </row>
    <row r="43768" spans="32:32" x14ac:dyDescent="0.2">
      <c r="AF43768" s="679"/>
    </row>
    <row r="43769" spans="32:32" x14ac:dyDescent="0.2">
      <c r="AF43769" s="679"/>
    </row>
    <row r="43770" spans="32:32" x14ac:dyDescent="0.2">
      <c r="AF43770" s="679"/>
    </row>
    <row r="43771" spans="32:32" x14ac:dyDescent="0.2">
      <c r="AF43771" s="679"/>
    </row>
    <row r="43772" spans="32:32" x14ac:dyDescent="0.2">
      <c r="AF43772" s="679"/>
    </row>
    <row r="43773" spans="32:32" x14ac:dyDescent="0.2">
      <c r="AF43773" s="679"/>
    </row>
    <row r="43774" spans="32:32" x14ac:dyDescent="0.2">
      <c r="AF43774" s="679"/>
    </row>
    <row r="43775" spans="32:32" x14ac:dyDescent="0.2">
      <c r="AF43775" s="679"/>
    </row>
    <row r="43776" spans="32:32" x14ac:dyDescent="0.2">
      <c r="AF43776" s="679"/>
    </row>
    <row r="43777" spans="32:32" x14ac:dyDescent="0.2">
      <c r="AF43777" s="679"/>
    </row>
    <row r="43778" spans="32:32" x14ac:dyDescent="0.2">
      <c r="AF43778" s="679"/>
    </row>
    <row r="43779" spans="32:32" x14ac:dyDescent="0.2">
      <c r="AF43779" s="679"/>
    </row>
    <row r="43780" spans="32:32" x14ac:dyDescent="0.2">
      <c r="AF43780" s="679"/>
    </row>
    <row r="43781" spans="32:32" x14ac:dyDescent="0.2">
      <c r="AF43781" s="679"/>
    </row>
    <row r="43782" spans="32:32" x14ac:dyDescent="0.2">
      <c r="AF43782" s="679"/>
    </row>
    <row r="43783" spans="32:32" x14ac:dyDescent="0.2">
      <c r="AF43783" s="679"/>
    </row>
    <row r="43784" spans="32:32" x14ac:dyDescent="0.2">
      <c r="AF43784" s="679"/>
    </row>
    <row r="43785" spans="32:32" x14ac:dyDescent="0.2">
      <c r="AF43785" s="679"/>
    </row>
    <row r="43786" spans="32:32" x14ac:dyDescent="0.2">
      <c r="AF43786" s="679"/>
    </row>
    <row r="43787" spans="32:32" x14ac:dyDescent="0.2">
      <c r="AF43787" s="679"/>
    </row>
    <row r="43788" spans="32:32" x14ac:dyDescent="0.2">
      <c r="AF43788" s="679"/>
    </row>
    <row r="43789" spans="32:32" x14ac:dyDescent="0.2">
      <c r="AF43789" s="679"/>
    </row>
    <row r="43790" spans="32:32" x14ac:dyDescent="0.2">
      <c r="AF43790" s="679"/>
    </row>
    <row r="43791" spans="32:32" x14ac:dyDescent="0.2">
      <c r="AF43791" s="679"/>
    </row>
    <row r="43792" spans="32:32" x14ac:dyDescent="0.2">
      <c r="AF43792" s="679"/>
    </row>
    <row r="43793" spans="32:32" x14ac:dyDescent="0.2">
      <c r="AF43793" s="679"/>
    </row>
    <row r="43794" spans="32:32" x14ac:dyDescent="0.2">
      <c r="AF43794" s="679"/>
    </row>
    <row r="43795" spans="32:32" x14ac:dyDescent="0.2">
      <c r="AF43795" s="679"/>
    </row>
    <row r="43796" spans="32:32" x14ac:dyDescent="0.2">
      <c r="AF43796" s="679"/>
    </row>
    <row r="43797" spans="32:32" x14ac:dyDescent="0.2">
      <c r="AF43797" s="679"/>
    </row>
    <row r="43798" spans="32:32" x14ac:dyDescent="0.2">
      <c r="AF43798" s="679"/>
    </row>
    <row r="43799" spans="32:32" x14ac:dyDescent="0.2">
      <c r="AF43799" s="679"/>
    </row>
    <row r="43800" spans="32:32" x14ac:dyDescent="0.2">
      <c r="AF43800" s="679"/>
    </row>
    <row r="43801" spans="32:32" x14ac:dyDescent="0.2">
      <c r="AF43801" s="679"/>
    </row>
    <row r="43802" spans="32:32" x14ac:dyDescent="0.2">
      <c r="AF43802" s="679"/>
    </row>
    <row r="43803" spans="32:32" x14ac:dyDescent="0.2">
      <c r="AF43803" s="679"/>
    </row>
    <row r="43804" spans="32:32" x14ac:dyDescent="0.2">
      <c r="AF43804" s="679"/>
    </row>
    <row r="43805" spans="32:32" x14ac:dyDescent="0.2">
      <c r="AF43805" s="679"/>
    </row>
    <row r="43806" spans="32:32" x14ac:dyDescent="0.2">
      <c r="AF43806" s="679"/>
    </row>
    <row r="43807" spans="32:32" x14ac:dyDescent="0.2">
      <c r="AF43807" s="679"/>
    </row>
    <row r="43808" spans="32:32" x14ac:dyDescent="0.2">
      <c r="AF43808" s="679"/>
    </row>
    <row r="43809" spans="32:32" x14ac:dyDescent="0.2">
      <c r="AF43809" s="679"/>
    </row>
    <row r="43810" spans="32:32" x14ac:dyDescent="0.2">
      <c r="AF43810" s="679"/>
    </row>
    <row r="43811" spans="32:32" x14ac:dyDescent="0.2">
      <c r="AF43811" s="679"/>
    </row>
    <row r="43812" spans="32:32" x14ac:dyDescent="0.2">
      <c r="AF43812" s="679"/>
    </row>
    <row r="43813" spans="32:32" x14ac:dyDescent="0.2">
      <c r="AF43813" s="679"/>
    </row>
    <row r="43814" spans="32:32" x14ac:dyDescent="0.2">
      <c r="AF43814" s="679"/>
    </row>
    <row r="43815" spans="32:32" x14ac:dyDescent="0.2">
      <c r="AF43815" s="679"/>
    </row>
    <row r="43816" spans="32:32" x14ac:dyDescent="0.2">
      <c r="AF43816" s="679"/>
    </row>
    <row r="43817" spans="32:32" x14ac:dyDescent="0.2">
      <c r="AF43817" s="679"/>
    </row>
    <row r="43818" spans="32:32" x14ac:dyDescent="0.2">
      <c r="AF43818" s="679"/>
    </row>
    <row r="43819" spans="32:32" x14ac:dyDescent="0.2">
      <c r="AF43819" s="679"/>
    </row>
    <row r="43820" spans="32:32" x14ac:dyDescent="0.2">
      <c r="AF43820" s="679"/>
    </row>
    <row r="43821" spans="32:32" x14ac:dyDescent="0.2">
      <c r="AF43821" s="679"/>
    </row>
    <row r="43822" spans="32:32" x14ac:dyDescent="0.2">
      <c r="AF43822" s="679"/>
    </row>
    <row r="43823" spans="32:32" x14ac:dyDescent="0.2">
      <c r="AF43823" s="679"/>
    </row>
    <row r="43824" spans="32:32" x14ac:dyDescent="0.2">
      <c r="AF43824" s="679"/>
    </row>
    <row r="43825" spans="32:32" x14ac:dyDescent="0.2">
      <c r="AF43825" s="679"/>
    </row>
    <row r="43826" spans="32:32" x14ac:dyDescent="0.2">
      <c r="AF43826" s="679"/>
    </row>
    <row r="43827" spans="32:32" x14ac:dyDescent="0.2">
      <c r="AF43827" s="679"/>
    </row>
    <row r="43828" spans="32:32" x14ac:dyDescent="0.2">
      <c r="AF43828" s="679"/>
    </row>
    <row r="43829" spans="32:32" x14ac:dyDescent="0.2">
      <c r="AF43829" s="679"/>
    </row>
    <row r="43830" spans="32:32" x14ac:dyDescent="0.2">
      <c r="AF43830" s="679"/>
    </row>
    <row r="43831" spans="32:32" x14ac:dyDescent="0.2">
      <c r="AF43831" s="679"/>
    </row>
    <row r="43832" spans="32:32" x14ac:dyDescent="0.2">
      <c r="AF43832" s="679"/>
    </row>
    <row r="43833" spans="32:32" x14ac:dyDescent="0.2">
      <c r="AF43833" s="679"/>
    </row>
    <row r="43834" spans="32:32" x14ac:dyDescent="0.2">
      <c r="AF43834" s="679"/>
    </row>
    <row r="43835" spans="32:32" x14ac:dyDescent="0.2">
      <c r="AF43835" s="679"/>
    </row>
    <row r="43836" spans="32:32" x14ac:dyDescent="0.2">
      <c r="AF43836" s="679"/>
    </row>
    <row r="43837" spans="32:32" x14ac:dyDescent="0.2">
      <c r="AF43837" s="679"/>
    </row>
    <row r="43838" spans="32:32" x14ac:dyDescent="0.2">
      <c r="AF43838" s="679"/>
    </row>
    <row r="43839" spans="32:32" x14ac:dyDescent="0.2">
      <c r="AF43839" s="679"/>
    </row>
    <row r="43840" spans="32:32" x14ac:dyDescent="0.2">
      <c r="AF43840" s="679"/>
    </row>
    <row r="43841" spans="32:32" x14ac:dyDescent="0.2">
      <c r="AF43841" s="679"/>
    </row>
    <row r="43842" spans="32:32" x14ac:dyDescent="0.2">
      <c r="AF43842" s="679"/>
    </row>
    <row r="43843" spans="32:32" x14ac:dyDescent="0.2">
      <c r="AF43843" s="679"/>
    </row>
    <row r="43844" spans="32:32" x14ac:dyDescent="0.2">
      <c r="AF43844" s="679"/>
    </row>
    <row r="43845" spans="32:32" x14ac:dyDescent="0.2">
      <c r="AF43845" s="679"/>
    </row>
    <row r="43846" spans="32:32" x14ac:dyDescent="0.2">
      <c r="AF43846" s="679"/>
    </row>
    <row r="43847" spans="32:32" x14ac:dyDescent="0.2">
      <c r="AF43847" s="679"/>
    </row>
    <row r="43848" spans="32:32" x14ac:dyDescent="0.2">
      <c r="AF43848" s="679"/>
    </row>
    <row r="43849" spans="32:32" x14ac:dyDescent="0.2">
      <c r="AF43849" s="679"/>
    </row>
    <row r="43850" spans="32:32" x14ac:dyDescent="0.2">
      <c r="AF43850" s="679"/>
    </row>
    <row r="43851" spans="32:32" x14ac:dyDescent="0.2">
      <c r="AF43851" s="679"/>
    </row>
    <row r="43852" spans="32:32" x14ac:dyDescent="0.2">
      <c r="AF43852" s="679"/>
    </row>
    <row r="43853" spans="32:32" x14ac:dyDescent="0.2">
      <c r="AF43853" s="679"/>
    </row>
    <row r="43854" spans="32:32" x14ac:dyDescent="0.2">
      <c r="AF43854" s="679"/>
    </row>
    <row r="43855" spans="32:32" x14ac:dyDescent="0.2">
      <c r="AF43855" s="679"/>
    </row>
    <row r="43856" spans="32:32" x14ac:dyDescent="0.2">
      <c r="AF43856" s="679"/>
    </row>
    <row r="43857" spans="32:32" x14ac:dyDescent="0.2">
      <c r="AF43857" s="679"/>
    </row>
    <row r="43858" spans="32:32" x14ac:dyDescent="0.2">
      <c r="AF43858" s="679"/>
    </row>
    <row r="43859" spans="32:32" x14ac:dyDescent="0.2">
      <c r="AF43859" s="679"/>
    </row>
    <row r="43860" spans="32:32" x14ac:dyDescent="0.2">
      <c r="AF43860" s="679"/>
    </row>
    <row r="43861" spans="32:32" x14ac:dyDescent="0.2">
      <c r="AF43861" s="679"/>
    </row>
    <row r="43862" spans="32:32" x14ac:dyDescent="0.2">
      <c r="AF43862" s="679"/>
    </row>
    <row r="43863" spans="32:32" x14ac:dyDescent="0.2">
      <c r="AF43863" s="679"/>
    </row>
    <row r="43864" spans="32:32" x14ac:dyDescent="0.2">
      <c r="AF43864" s="679"/>
    </row>
    <row r="43865" spans="32:32" x14ac:dyDescent="0.2">
      <c r="AF43865" s="679"/>
    </row>
    <row r="43866" spans="32:32" x14ac:dyDescent="0.2">
      <c r="AF43866" s="679"/>
    </row>
    <row r="43867" spans="32:32" x14ac:dyDescent="0.2">
      <c r="AF43867" s="679"/>
    </row>
    <row r="43868" spans="32:32" x14ac:dyDescent="0.2">
      <c r="AF43868" s="679"/>
    </row>
    <row r="43869" spans="32:32" x14ac:dyDescent="0.2">
      <c r="AF43869" s="679"/>
    </row>
    <row r="43870" spans="32:32" x14ac:dyDescent="0.2">
      <c r="AF43870" s="679"/>
    </row>
    <row r="43871" spans="32:32" x14ac:dyDescent="0.2">
      <c r="AF43871" s="679"/>
    </row>
    <row r="43872" spans="32:32" x14ac:dyDescent="0.2">
      <c r="AF43872" s="679"/>
    </row>
    <row r="43873" spans="32:32" x14ac:dyDescent="0.2">
      <c r="AF43873" s="679"/>
    </row>
    <row r="43874" spans="32:32" x14ac:dyDescent="0.2">
      <c r="AF43874" s="679"/>
    </row>
    <row r="43875" spans="32:32" x14ac:dyDescent="0.2">
      <c r="AF43875" s="679"/>
    </row>
    <row r="43876" spans="32:32" x14ac:dyDescent="0.2">
      <c r="AF43876" s="679"/>
    </row>
    <row r="43877" spans="32:32" x14ac:dyDescent="0.2">
      <c r="AF43877" s="679"/>
    </row>
    <row r="43878" spans="32:32" x14ac:dyDescent="0.2">
      <c r="AF43878" s="679"/>
    </row>
    <row r="43879" spans="32:32" x14ac:dyDescent="0.2">
      <c r="AF43879" s="679"/>
    </row>
    <row r="43880" spans="32:32" x14ac:dyDescent="0.2">
      <c r="AF43880" s="679"/>
    </row>
    <row r="43881" spans="32:32" x14ac:dyDescent="0.2">
      <c r="AF43881" s="679"/>
    </row>
    <row r="43882" spans="32:32" x14ac:dyDescent="0.2">
      <c r="AF43882" s="679"/>
    </row>
    <row r="43883" spans="32:32" x14ac:dyDescent="0.2">
      <c r="AF43883" s="679"/>
    </row>
    <row r="43884" spans="32:32" x14ac:dyDescent="0.2">
      <c r="AF43884" s="679"/>
    </row>
    <row r="43885" spans="32:32" x14ac:dyDescent="0.2">
      <c r="AF43885" s="679"/>
    </row>
    <row r="43886" spans="32:32" x14ac:dyDescent="0.2">
      <c r="AF43886" s="679"/>
    </row>
    <row r="43887" spans="32:32" x14ac:dyDescent="0.2">
      <c r="AF43887" s="679"/>
    </row>
    <row r="43888" spans="32:32" x14ac:dyDescent="0.2">
      <c r="AF43888" s="679"/>
    </row>
    <row r="43889" spans="32:32" x14ac:dyDescent="0.2">
      <c r="AF43889" s="679"/>
    </row>
    <row r="43890" spans="32:32" x14ac:dyDescent="0.2">
      <c r="AF43890" s="679"/>
    </row>
    <row r="43891" spans="32:32" x14ac:dyDescent="0.2">
      <c r="AF43891" s="679"/>
    </row>
    <row r="43892" spans="32:32" x14ac:dyDescent="0.2">
      <c r="AF43892" s="679"/>
    </row>
    <row r="43893" spans="32:32" x14ac:dyDescent="0.2">
      <c r="AF43893" s="679"/>
    </row>
    <row r="43894" spans="32:32" x14ac:dyDescent="0.2">
      <c r="AF43894" s="679"/>
    </row>
    <row r="43895" spans="32:32" x14ac:dyDescent="0.2">
      <c r="AF43895" s="679"/>
    </row>
    <row r="43896" spans="32:32" x14ac:dyDescent="0.2">
      <c r="AF43896" s="679"/>
    </row>
    <row r="43897" spans="32:32" x14ac:dyDescent="0.2">
      <c r="AF43897" s="679"/>
    </row>
    <row r="43898" spans="32:32" x14ac:dyDescent="0.2">
      <c r="AF43898" s="679"/>
    </row>
    <row r="43899" spans="32:32" x14ac:dyDescent="0.2">
      <c r="AF43899" s="679"/>
    </row>
    <row r="43900" spans="32:32" x14ac:dyDescent="0.2">
      <c r="AF43900" s="679"/>
    </row>
    <row r="43901" spans="32:32" x14ac:dyDescent="0.2">
      <c r="AF43901" s="679"/>
    </row>
    <row r="43902" spans="32:32" x14ac:dyDescent="0.2">
      <c r="AF43902" s="679"/>
    </row>
    <row r="43903" spans="32:32" x14ac:dyDescent="0.2">
      <c r="AF43903" s="679"/>
    </row>
    <row r="43904" spans="32:32" x14ac:dyDescent="0.2">
      <c r="AF43904" s="679"/>
    </row>
    <row r="43905" spans="32:32" x14ac:dyDescent="0.2">
      <c r="AF43905" s="679"/>
    </row>
    <row r="43906" spans="32:32" x14ac:dyDescent="0.2">
      <c r="AF43906" s="679"/>
    </row>
    <row r="43907" spans="32:32" x14ac:dyDescent="0.2">
      <c r="AF43907" s="679"/>
    </row>
    <row r="43908" spans="32:32" x14ac:dyDescent="0.2">
      <c r="AF43908" s="679"/>
    </row>
    <row r="43909" spans="32:32" x14ac:dyDescent="0.2">
      <c r="AF43909" s="679"/>
    </row>
    <row r="43910" spans="32:32" x14ac:dyDescent="0.2">
      <c r="AF43910" s="679"/>
    </row>
    <row r="43911" spans="32:32" x14ac:dyDescent="0.2">
      <c r="AF43911" s="679"/>
    </row>
    <row r="43912" spans="32:32" x14ac:dyDescent="0.2">
      <c r="AF43912" s="679"/>
    </row>
    <row r="43913" spans="32:32" x14ac:dyDescent="0.2">
      <c r="AF43913" s="679"/>
    </row>
    <row r="43914" spans="32:32" x14ac:dyDescent="0.2">
      <c r="AF43914" s="679"/>
    </row>
    <row r="43915" spans="32:32" x14ac:dyDescent="0.2">
      <c r="AF43915" s="679"/>
    </row>
    <row r="43916" spans="32:32" x14ac:dyDescent="0.2">
      <c r="AF43916" s="679"/>
    </row>
    <row r="43917" spans="32:32" x14ac:dyDescent="0.2">
      <c r="AF43917" s="679"/>
    </row>
    <row r="43918" spans="32:32" x14ac:dyDescent="0.2">
      <c r="AF43918" s="679"/>
    </row>
    <row r="43919" spans="32:32" x14ac:dyDescent="0.2">
      <c r="AF43919" s="679"/>
    </row>
    <row r="43920" spans="32:32" x14ac:dyDescent="0.2">
      <c r="AF43920" s="679"/>
    </row>
    <row r="43921" spans="32:32" x14ac:dyDescent="0.2">
      <c r="AF43921" s="679"/>
    </row>
    <row r="43922" spans="32:32" x14ac:dyDescent="0.2">
      <c r="AF43922" s="679"/>
    </row>
    <row r="43923" spans="32:32" x14ac:dyDescent="0.2">
      <c r="AF43923" s="679"/>
    </row>
    <row r="43924" spans="32:32" x14ac:dyDescent="0.2">
      <c r="AF43924" s="679"/>
    </row>
    <row r="43925" spans="32:32" x14ac:dyDescent="0.2">
      <c r="AF43925" s="679"/>
    </row>
    <row r="43926" spans="32:32" x14ac:dyDescent="0.2">
      <c r="AF43926" s="679"/>
    </row>
    <row r="43927" spans="32:32" x14ac:dyDescent="0.2">
      <c r="AF43927" s="679"/>
    </row>
    <row r="43928" spans="32:32" x14ac:dyDescent="0.2">
      <c r="AF43928" s="679"/>
    </row>
    <row r="43929" spans="32:32" x14ac:dyDescent="0.2">
      <c r="AF43929" s="679"/>
    </row>
    <row r="43930" spans="32:32" x14ac:dyDescent="0.2">
      <c r="AF43930" s="679"/>
    </row>
    <row r="43931" spans="32:32" x14ac:dyDescent="0.2">
      <c r="AF43931" s="679"/>
    </row>
    <row r="43932" spans="32:32" x14ac:dyDescent="0.2">
      <c r="AF43932" s="679"/>
    </row>
    <row r="43933" spans="32:32" x14ac:dyDescent="0.2">
      <c r="AF43933" s="679"/>
    </row>
    <row r="43934" spans="32:32" x14ac:dyDescent="0.2">
      <c r="AF43934" s="679"/>
    </row>
    <row r="43935" spans="32:32" x14ac:dyDescent="0.2">
      <c r="AF43935" s="679"/>
    </row>
    <row r="43936" spans="32:32" x14ac:dyDescent="0.2">
      <c r="AF43936" s="679"/>
    </row>
    <row r="43937" spans="32:32" x14ac:dyDescent="0.2">
      <c r="AF43937" s="679"/>
    </row>
    <row r="43938" spans="32:32" x14ac:dyDescent="0.2">
      <c r="AF43938" s="679"/>
    </row>
    <row r="43939" spans="32:32" x14ac:dyDescent="0.2">
      <c r="AF43939" s="679"/>
    </row>
    <row r="43940" spans="32:32" x14ac:dyDescent="0.2">
      <c r="AF43940" s="679"/>
    </row>
    <row r="43941" spans="32:32" x14ac:dyDescent="0.2">
      <c r="AF43941" s="679"/>
    </row>
    <row r="43942" spans="32:32" x14ac:dyDescent="0.2">
      <c r="AF43942" s="679"/>
    </row>
    <row r="43943" spans="32:32" x14ac:dyDescent="0.2">
      <c r="AF43943" s="679"/>
    </row>
    <row r="43944" spans="32:32" x14ac:dyDescent="0.2">
      <c r="AF43944" s="679"/>
    </row>
    <row r="43945" spans="32:32" x14ac:dyDescent="0.2">
      <c r="AF43945" s="679"/>
    </row>
    <row r="43946" spans="32:32" x14ac:dyDescent="0.2">
      <c r="AF43946" s="679"/>
    </row>
    <row r="43947" spans="32:32" x14ac:dyDescent="0.2">
      <c r="AF43947" s="679"/>
    </row>
    <row r="43948" spans="32:32" x14ac:dyDescent="0.2">
      <c r="AF43948" s="679"/>
    </row>
    <row r="43949" spans="32:32" x14ac:dyDescent="0.2">
      <c r="AF43949" s="679"/>
    </row>
    <row r="43950" spans="32:32" x14ac:dyDescent="0.2">
      <c r="AF43950" s="679"/>
    </row>
    <row r="43951" spans="32:32" x14ac:dyDescent="0.2">
      <c r="AF43951" s="679"/>
    </row>
    <row r="43952" spans="32:32" x14ac:dyDescent="0.2">
      <c r="AF43952" s="679"/>
    </row>
    <row r="43953" spans="32:32" x14ac:dyDescent="0.2">
      <c r="AF43953" s="679"/>
    </row>
    <row r="43954" spans="32:32" x14ac:dyDescent="0.2">
      <c r="AF43954" s="679"/>
    </row>
    <row r="43955" spans="32:32" x14ac:dyDescent="0.2">
      <c r="AF43955" s="679"/>
    </row>
    <row r="43956" spans="32:32" x14ac:dyDescent="0.2">
      <c r="AF43956" s="679"/>
    </row>
    <row r="43957" spans="32:32" x14ac:dyDescent="0.2">
      <c r="AF43957" s="679"/>
    </row>
    <row r="43958" spans="32:32" x14ac:dyDescent="0.2">
      <c r="AF43958" s="679"/>
    </row>
    <row r="43959" spans="32:32" x14ac:dyDescent="0.2">
      <c r="AF43959" s="679"/>
    </row>
    <row r="43960" spans="32:32" x14ac:dyDescent="0.2">
      <c r="AF43960" s="679"/>
    </row>
    <row r="43961" spans="32:32" x14ac:dyDescent="0.2">
      <c r="AF43961" s="679"/>
    </row>
    <row r="43962" spans="32:32" x14ac:dyDescent="0.2">
      <c r="AF43962" s="679"/>
    </row>
    <row r="43963" spans="32:32" x14ac:dyDescent="0.2">
      <c r="AF43963" s="679"/>
    </row>
    <row r="43964" spans="32:32" x14ac:dyDescent="0.2">
      <c r="AF43964" s="679"/>
    </row>
    <row r="43965" spans="32:32" x14ac:dyDescent="0.2">
      <c r="AF43965" s="679"/>
    </row>
    <row r="43966" spans="32:32" x14ac:dyDescent="0.2">
      <c r="AF43966" s="679"/>
    </row>
    <row r="43967" spans="32:32" x14ac:dyDescent="0.2">
      <c r="AF43967" s="679"/>
    </row>
    <row r="43968" spans="32:32" x14ac:dyDescent="0.2">
      <c r="AF43968" s="679"/>
    </row>
    <row r="43969" spans="32:32" x14ac:dyDescent="0.2">
      <c r="AF43969" s="679"/>
    </row>
    <row r="43970" spans="32:32" x14ac:dyDescent="0.2">
      <c r="AF43970" s="679"/>
    </row>
    <row r="43971" spans="32:32" x14ac:dyDescent="0.2">
      <c r="AF43971" s="679"/>
    </row>
    <row r="43972" spans="32:32" x14ac:dyDescent="0.2">
      <c r="AF43972" s="679"/>
    </row>
    <row r="43973" spans="32:32" x14ac:dyDescent="0.2">
      <c r="AF43973" s="679"/>
    </row>
    <row r="43974" spans="32:32" x14ac:dyDescent="0.2">
      <c r="AF43974" s="679"/>
    </row>
    <row r="43975" spans="32:32" x14ac:dyDescent="0.2">
      <c r="AF43975" s="679"/>
    </row>
    <row r="43976" spans="32:32" x14ac:dyDescent="0.2">
      <c r="AF43976" s="679"/>
    </row>
    <row r="43977" spans="32:32" x14ac:dyDescent="0.2">
      <c r="AF43977" s="679"/>
    </row>
    <row r="43978" spans="32:32" x14ac:dyDescent="0.2">
      <c r="AF43978" s="679"/>
    </row>
    <row r="43979" spans="32:32" x14ac:dyDescent="0.2">
      <c r="AF43979" s="679"/>
    </row>
    <row r="43980" spans="32:32" x14ac:dyDescent="0.2">
      <c r="AF43980" s="679"/>
    </row>
    <row r="43981" spans="32:32" x14ac:dyDescent="0.2">
      <c r="AF43981" s="679"/>
    </row>
    <row r="43982" spans="32:32" x14ac:dyDescent="0.2">
      <c r="AF43982" s="679"/>
    </row>
    <row r="43983" spans="32:32" x14ac:dyDescent="0.2">
      <c r="AF43983" s="679"/>
    </row>
    <row r="43984" spans="32:32" x14ac:dyDescent="0.2">
      <c r="AF43984" s="679"/>
    </row>
    <row r="43985" spans="32:32" x14ac:dyDescent="0.2">
      <c r="AF43985" s="679"/>
    </row>
    <row r="43986" spans="32:32" x14ac:dyDescent="0.2">
      <c r="AF43986" s="679"/>
    </row>
    <row r="43987" spans="32:32" x14ac:dyDescent="0.2">
      <c r="AF43987" s="679"/>
    </row>
    <row r="43988" spans="32:32" x14ac:dyDescent="0.2">
      <c r="AF43988" s="679"/>
    </row>
    <row r="43989" spans="32:32" x14ac:dyDescent="0.2">
      <c r="AF43989" s="679"/>
    </row>
    <row r="43990" spans="32:32" x14ac:dyDescent="0.2">
      <c r="AF43990" s="679"/>
    </row>
    <row r="43991" spans="32:32" x14ac:dyDescent="0.2">
      <c r="AF43991" s="679"/>
    </row>
    <row r="43992" spans="32:32" x14ac:dyDescent="0.2">
      <c r="AF43992" s="679"/>
    </row>
    <row r="43993" spans="32:32" x14ac:dyDescent="0.2">
      <c r="AF43993" s="679"/>
    </row>
    <row r="43994" spans="32:32" x14ac:dyDescent="0.2">
      <c r="AF43994" s="679"/>
    </row>
    <row r="43995" spans="32:32" x14ac:dyDescent="0.2">
      <c r="AF43995" s="679"/>
    </row>
    <row r="43996" spans="32:32" x14ac:dyDescent="0.2">
      <c r="AF43996" s="679"/>
    </row>
    <row r="43997" spans="32:32" x14ac:dyDescent="0.2">
      <c r="AF43997" s="679"/>
    </row>
    <row r="43998" spans="32:32" x14ac:dyDescent="0.2">
      <c r="AF43998" s="679"/>
    </row>
    <row r="43999" spans="32:32" x14ac:dyDescent="0.2">
      <c r="AF43999" s="679"/>
    </row>
    <row r="44000" spans="32:32" x14ac:dyDescent="0.2">
      <c r="AF44000" s="679"/>
    </row>
    <row r="44001" spans="32:32" x14ac:dyDescent="0.2">
      <c r="AF44001" s="679"/>
    </row>
    <row r="44002" spans="32:32" x14ac:dyDescent="0.2">
      <c r="AF44002" s="679"/>
    </row>
    <row r="44003" spans="32:32" x14ac:dyDescent="0.2">
      <c r="AF44003" s="679"/>
    </row>
    <row r="44004" spans="32:32" x14ac:dyDescent="0.2">
      <c r="AF44004" s="679"/>
    </row>
    <row r="44005" spans="32:32" x14ac:dyDescent="0.2">
      <c r="AF44005" s="679"/>
    </row>
    <row r="44006" spans="32:32" x14ac:dyDescent="0.2">
      <c r="AF44006" s="679"/>
    </row>
    <row r="44007" spans="32:32" x14ac:dyDescent="0.2">
      <c r="AF44007" s="679"/>
    </row>
    <row r="44008" spans="32:32" x14ac:dyDescent="0.2">
      <c r="AF44008" s="679"/>
    </row>
    <row r="44009" spans="32:32" x14ac:dyDescent="0.2">
      <c r="AF44009" s="679"/>
    </row>
    <row r="44010" spans="32:32" x14ac:dyDescent="0.2">
      <c r="AF44010" s="679"/>
    </row>
    <row r="44011" spans="32:32" x14ac:dyDescent="0.2">
      <c r="AF44011" s="679"/>
    </row>
    <row r="44012" spans="32:32" x14ac:dyDescent="0.2">
      <c r="AF44012" s="679"/>
    </row>
    <row r="44013" spans="32:32" x14ac:dyDescent="0.2">
      <c r="AF44013" s="679"/>
    </row>
    <row r="44014" spans="32:32" x14ac:dyDescent="0.2">
      <c r="AF44014" s="679"/>
    </row>
    <row r="44015" spans="32:32" x14ac:dyDescent="0.2">
      <c r="AF44015" s="679"/>
    </row>
    <row r="44016" spans="32:32" x14ac:dyDescent="0.2">
      <c r="AF44016" s="679"/>
    </row>
    <row r="44017" spans="32:32" x14ac:dyDescent="0.2">
      <c r="AF44017" s="679"/>
    </row>
    <row r="44018" spans="32:32" x14ac:dyDescent="0.2">
      <c r="AF44018" s="679"/>
    </row>
    <row r="44019" spans="32:32" x14ac:dyDescent="0.2">
      <c r="AF44019" s="679"/>
    </row>
    <row r="44020" spans="32:32" x14ac:dyDescent="0.2">
      <c r="AF44020" s="679"/>
    </row>
    <row r="44021" spans="32:32" x14ac:dyDescent="0.2">
      <c r="AF44021" s="679"/>
    </row>
    <row r="44022" spans="32:32" x14ac:dyDescent="0.2">
      <c r="AF44022" s="679"/>
    </row>
    <row r="44023" spans="32:32" x14ac:dyDescent="0.2">
      <c r="AF44023" s="679"/>
    </row>
    <row r="44024" spans="32:32" x14ac:dyDescent="0.2">
      <c r="AF44024" s="679"/>
    </row>
    <row r="44025" spans="32:32" x14ac:dyDescent="0.2">
      <c r="AF44025" s="679"/>
    </row>
    <row r="44026" spans="32:32" x14ac:dyDescent="0.2">
      <c r="AF44026" s="679"/>
    </row>
    <row r="44027" spans="32:32" x14ac:dyDescent="0.2">
      <c r="AF44027" s="679"/>
    </row>
    <row r="44028" spans="32:32" x14ac:dyDescent="0.2">
      <c r="AF44028" s="679"/>
    </row>
    <row r="44029" spans="32:32" x14ac:dyDescent="0.2">
      <c r="AF44029" s="679"/>
    </row>
    <row r="44030" spans="32:32" x14ac:dyDescent="0.2">
      <c r="AF44030" s="679"/>
    </row>
    <row r="44031" spans="32:32" x14ac:dyDescent="0.2">
      <c r="AF44031" s="679"/>
    </row>
    <row r="44032" spans="32:32" x14ac:dyDescent="0.2">
      <c r="AF44032" s="679"/>
    </row>
    <row r="44033" spans="32:32" x14ac:dyDescent="0.2">
      <c r="AF44033" s="679"/>
    </row>
    <row r="44034" spans="32:32" x14ac:dyDescent="0.2">
      <c r="AF44034" s="679"/>
    </row>
    <row r="44035" spans="32:32" x14ac:dyDescent="0.2">
      <c r="AF44035" s="679"/>
    </row>
    <row r="44036" spans="32:32" x14ac:dyDescent="0.2">
      <c r="AF44036" s="679"/>
    </row>
    <row r="44037" spans="32:32" x14ac:dyDescent="0.2">
      <c r="AF44037" s="679"/>
    </row>
    <row r="44038" spans="32:32" x14ac:dyDescent="0.2">
      <c r="AF44038" s="679"/>
    </row>
    <row r="44039" spans="32:32" x14ac:dyDescent="0.2">
      <c r="AF44039" s="679"/>
    </row>
    <row r="44040" spans="32:32" x14ac:dyDescent="0.2">
      <c r="AF44040" s="679"/>
    </row>
    <row r="44041" spans="32:32" x14ac:dyDescent="0.2">
      <c r="AF44041" s="679"/>
    </row>
    <row r="44042" spans="32:32" x14ac:dyDescent="0.2">
      <c r="AF44042" s="679"/>
    </row>
    <row r="44043" spans="32:32" x14ac:dyDescent="0.2">
      <c r="AF44043" s="679"/>
    </row>
    <row r="44044" spans="32:32" x14ac:dyDescent="0.2">
      <c r="AF44044" s="679"/>
    </row>
    <row r="44045" spans="32:32" x14ac:dyDescent="0.2">
      <c r="AF44045" s="679"/>
    </row>
    <row r="44046" spans="32:32" x14ac:dyDescent="0.2">
      <c r="AF44046" s="679"/>
    </row>
    <row r="44047" spans="32:32" x14ac:dyDescent="0.2">
      <c r="AF44047" s="679"/>
    </row>
    <row r="44048" spans="32:32" x14ac:dyDescent="0.2">
      <c r="AF44048" s="679"/>
    </row>
    <row r="44049" spans="32:32" x14ac:dyDescent="0.2">
      <c r="AF44049" s="679"/>
    </row>
    <row r="44050" spans="32:32" x14ac:dyDescent="0.2">
      <c r="AF44050" s="679"/>
    </row>
    <row r="44051" spans="32:32" x14ac:dyDescent="0.2">
      <c r="AF44051" s="679"/>
    </row>
    <row r="44052" spans="32:32" x14ac:dyDescent="0.2">
      <c r="AF44052" s="679"/>
    </row>
    <row r="44053" spans="32:32" x14ac:dyDescent="0.2">
      <c r="AF44053" s="679"/>
    </row>
    <row r="44054" spans="32:32" x14ac:dyDescent="0.2">
      <c r="AF44054" s="679"/>
    </row>
    <row r="44055" spans="32:32" x14ac:dyDescent="0.2">
      <c r="AF44055" s="679"/>
    </row>
    <row r="44056" spans="32:32" x14ac:dyDescent="0.2">
      <c r="AF44056" s="679"/>
    </row>
    <row r="44057" spans="32:32" x14ac:dyDescent="0.2">
      <c r="AF44057" s="679"/>
    </row>
    <row r="44058" spans="32:32" x14ac:dyDescent="0.2">
      <c r="AF44058" s="679"/>
    </row>
    <row r="44059" spans="32:32" x14ac:dyDescent="0.2">
      <c r="AF44059" s="679"/>
    </row>
    <row r="44060" spans="32:32" x14ac:dyDescent="0.2">
      <c r="AF44060" s="679"/>
    </row>
    <row r="44061" spans="32:32" x14ac:dyDescent="0.2">
      <c r="AF44061" s="679"/>
    </row>
    <row r="44062" spans="32:32" x14ac:dyDescent="0.2">
      <c r="AF44062" s="679"/>
    </row>
    <row r="44063" spans="32:32" x14ac:dyDescent="0.2">
      <c r="AF44063" s="679"/>
    </row>
    <row r="44064" spans="32:32" x14ac:dyDescent="0.2">
      <c r="AF44064" s="679"/>
    </row>
    <row r="44065" spans="32:32" x14ac:dyDescent="0.2">
      <c r="AF44065" s="679"/>
    </row>
    <row r="44066" spans="32:32" x14ac:dyDescent="0.2">
      <c r="AF44066" s="679"/>
    </row>
    <row r="44067" spans="32:32" x14ac:dyDescent="0.2">
      <c r="AF44067" s="679"/>
    </row>
    <row r="44068" spans="32:32" x14ac:dyDescent="0.2">
      <c r="AF44068" s="679"/>
    </row>
    <row r="44069" spans="32:32" x14ac:dyDescent="0.2">
      <c r="AF44069" s="679"/>
    </row>
    <row r="44070" spans="32:32" x14ac:dyDescent="0.2">
      <c r="AF44070" s="679"/>
    </row>
    <row r="44071" spans="32:32" x14ac:dyDescent="0.2">
      <c r="AF44071" s="679"/>
    </row>
    <row r="44072" spans="32:32" x14ac:dyDescent="0.2">
      <c r="AF44072" s="679"/>
    </row>
    <row r="44073" spans="32:32" x14ac:dyDescent="0.2">
      <c r="AF44073" s="679"/>
    </row>
    <row r="44074" spans="32:32" x14ac:dyDescent="0.2">
      <c r="AF44074" s="679"/>
    </row>
    <row r="44075" spans="32:32" x14ac:dyDescent="0.2">
      <c r="AF44075" s="679"/>
    </row>
    <row r="44076" spans="32:32" x14ac:dyDescent="0.2">
      <c r="AF44076" s="679"/>
    </row>
    <row r="44077" spans="32:32" x14ac:dyDescent="0.2">
      <c r="AF44077" s="679"/>
    </row>
    <row r="44078" spans="32:32" x14ac:dyDescent="0.2">
      <c r="AF44078" s="679"/>
    </row>
    <row r="44079" spans="32:32" x14ac:dyDescent="0.2">
      <c r="AF44079" s="679"/>
    </row>
    <row r="44080" spans="32:32" x14ac:dyDescent="0.2">
      <c r="AF44080" s="679"/>
    </row>
    <row r="44081" spans="32:32" x14ac:dyDescent="0.2">
      <c r="AF44081" s="679"/>
    </row>
    <row r="44082" spans="32:32" x14ac:dyDescent="0.2">
      <c r="AF44082" s="679"/>
    </row>
    <row r="44083" spans="32:32" x14ac:dyDescent="0.2">
      <c r="AF44083" s="679"/>
    </row>
    <row r="44084" spans="32:32" x14ac:dyDescent="0.2">
      <c r="AF44084" s="679"/>
    </row>
    <row r="44085" spans="32:32" x14ac:dyDescent="0.2">
      <c r="AF44085" s="679"/>
    </row>
    <row r="44086" spans="32:32" x14ac:dyDescent="0.2">
      <c r="AF44086" s="679"/>
    </row>
    <row r="44087" spans="32:32" x14ac:dyDescent="0.2">
      <c r="AF44087" s="679"/>
    </row>
    <row r="44088" spans="32:32" x14ac:dyDescent="0.2">
      <c r="AF44088" s="679"/>
    </row>
    <row r="44089" spans="32:32" x14ac:dyDescent="0.2">
      <c r="AF44089" s="679"/>
    </row>
    <row r="44090" spans="32:32" x14ac:dyDescent="0.2">
      <c r="AF44090" s="679"/>
    </row>
    <row r="44091" spans="32:32" x14ac:dyDescent="0.2">
      <c r="AF44091" s="679"/>
    </row>
    <row r="44092" spans="32:32" x14ac:dyDescent="0.2">
      <c r="AF44092" s="679"/>
    </row>
    <row r="44093" spans="32:32" x14ac:dyDescent="0.2">
      <c r="AF44093" s="679"/>
    </row>
    <row r="44094" spans="32:32" x14ac:dyDescent="0.2">
      <c r="AF44094" s="679"/>
    </row>
    <row r="44095" spans="32:32" x14ac:dyDescent="0.2">
      <c r="AF44095" s="679"/>
    </row>
    <row r="44096" spans="32:32" x14ac:dyDescent="0.2">
      <c r="AF44096" s="679"/>
    </row>
    <row r="44097" spans="32:32" x14ac:dyDescent="0.2">
      <c r="AF44097" s="679"/>
    </row>
    <row r="44098" spans="32:32" x14ac:dyDescent="0.2">
      <c r="AF44098" s="679"/>
    </row>
    <row r="44099" spans="32:32" x14ac:dyDescent="0.2">
      <c r="AF44099" s="679"/>
    </row>
    <row r="44100" spans="32:32" x14ac:dyDescent="0.2">
      <c r="AF44100" s="679"/>
    </row>
    <row r="44101" spans="32:32" x14ac:dyDescent="0.2">
      <c r="AF44101" s="679"/>
    </row>
    <row r="44102" spans="32:32" x14ac:dyDescent="0.2">
      <c r="AF44102" s="679"/>
    </row>
    <row r="44103" spans="32:32" x14ac:dyDescent="0.2">
      <c r="AF44103" s="679"/>
    </row>
    <row r="44104" spans="32:32" x14ac:dyDescent="0.2">
      <c r="AF44104" s="679"/>
    </row>
    <row r="44105" spans="32:32" x14ac:dyDescent="0.2">
      <c r="AF44105" s="679"/>
    </row>
    <row r="44106" spans="32:32" x14ac:dyDescent="0.2">
      <c r="AF44106" s="679"/>
    </row>
    <row r="44107" spans="32:32" x14ac:dyDescent="0.2">
      <c r="AF44107" s="679"/>
    </row>
    <row r="44108" spans="32:32" x14ac:dyDescent="0.2">
      <c r="AF44108" s="679"/>
    </row>
    <row r="44109" spans="32:32" x14ac:dyDescent="0.2">
      <c r="AF44109" s="679"/>
    </row>
    <row r="44110" spans="32:32" x14ac:dyDescent="0.2">
      <c r="AF44110" s="679"/>
    </row>
    <row r="44111" spans="32:32" x14ac:dyDescent="0.2">
      <c r="AF44111" s="679"/>
    </row>
    <row r="44112" spans="32:32" x14ac:dyDescent="0.2">
      <c r="AF44112" s="679"/>
    </row>
    <row r="44113" spans="32:32" x14ac:dyDescent="0.2">
      <c r="AF44113" s="679"/>
    </row>
    <row r="44114" spans="32:32" x14ac:dyDescent="0.2">
      <c r="AF44114" s="679"/>
    </row>
    <row r="44115" spans="32:32" x14ac:dyDescent="0.2">
      <c r="AF44115" s="679"/>
    </row>
    <row r="44116" spans="32:32" x14ac:dyDescent="0.2">
      <c r="AF44116" s="679"/>
    </row>
    <row r="44117" spans="32:32" x14ac:dyDescent="0.2">
      <c r="AF44117" s="679"/>
    </row>
    <row r="44118" spans="32:32" x14ac:dyDescent="0.2">
      <c r="AF44118" s="679"/>
    </row>
    <row r="44119" spans="32:32" x14ac:dyDescent="0.2">
      <c r="AF44119" s="679"/>
    </row>
    <row r="44120" spans="32:32" x14ac:dyDescent="0.2">
      <c r="AF44120" s="679"/>
    </row>
    <row r="44121" spans="32:32" x14ac:dyDescent="0.2">
      <c r="AF44121" s="679"/>
    </row>
    <row r="44122" spans="32:32" x14ac:dyDescent="0.2">
      <c r="AF44122" s="679"/>
    </row>
    <row r="44123" spans="32:32" x14ac:dyDescent="0.2">
      <c r="AF44123" s="679"/>
    </row>
    <row r="44124" spans="32:32" x14ac:dyDescent="0.2">
      <c r="AF44124" s="679"/>
    </row>
    <row r="44125" spans="32:32" x14ac:dyDescent="0.2">
      <c r="AF44125" s="679"/>
    </row>
    <row r="44126" spans="32:32" x14ac:dyDescent="0.2">
      <c r="AF44126" s="679"/>
    </row>
    <row r="44127" spans="32:32" x14ac:dyDescent="0.2">
      <c r="AF44127" s="679"/>
    </row>
    <row r="44128" spans="32:32" x14ac:dyDescent="0.2">
      <c r="AF44128" s="679"/>
    </row>
    <row r="44129" spans="32:32" x14ac:dyDescent="0.2">
      <c r="AF44129" s="679"/>
    </row>
    <row r="44130" spans="32:32" x14ac:dyDescent="0.2">
      <c r="AF44130" s="679"/>
    </row>
    <row r="44131" spans="32:32" x14ac:dyDescent="0.2">
      <c r="AF44131" s="679"/>
    </row>
    <row r="44132" spans="32:32" x14ac:dyDescent="0.2">
      <c r="AF44132" s="679"/>
    </row>
    <row r="44133" spans="32:32" x14ac:dyDescent="0.2">
      <c r="AF44133" s="679"/>
    </row>
    <row r="44134" spans="32:32" x14ac:dyDescent="0.2">
      <c r="AF44134" s="679"/>
    </row>
    <row r="44135" spans="32:32" x14ac:dyDescent="0.2">
      <c r="AF44135" s="679"/>
    </row>
    <row r="44136" spans="32:32" x14ac:dyDescent="0.2">
      <c r="AF44136" s="679"/>
    </row>
    <row r="44137" spans="32:32" x14ac:dyDescent="0.2">
      <c r="AF44137" s="679"/>
    </row>
    <row r="44138" spans="32:32" x14ac:dyDescent="0.2">
      <c r="AF44138" s="679"/>
    </row>
    <row r="44139" spans="32:32" x14ac:dyDescent="0.2">
      <c r="AF44139" s="679"/>
    </row>
    <row r="44140" spans="32:32" x14ac:dyDescent="0.2">
      <c r="AF44140" s="679"/>
    </row>
    <row r="44141" spans="32:32" x14ac:dyDescent="0.2">
      <c r="AF44141" s="679"/>
    </row>
    <row r="44142" spans="32:32" x14ac:dyDescent="0.2">
      <c r="AF44142" s="679"/>
    </row>
    <row r="44143" spans="32:32" x14ac:dyDescent="0.2">
      <c r="AF44143" s="679"/>
    </row>
    <row r="44144" spans="32:32" x14ac:dyDescent="0.2">
      <c r="AF44144" s="679"/>
    </row>
    <row r="44145" spans="32:32" x14ac:dyDescent="0.2">
      <c r="AF44145" s="679"/>
    </row>
    <row r="44146" spans="32:32" x14ac:dyDescent="0.2">
      <c r="AF44146" s="679"/>
    </row>
    <row r="44147" spans="32:32" x14ac:dyDescent="0.2">
      <c r="AF44147" s="679"/>
    </row>
    <row r="44148" spans="32:32" x14ac:dyDescent="0.2">
      <c r="AF44148" s="679"/>
    </row>
    <row r="44149" spans="32:32" x14ac:dyDescent="0.2">
      <c r="AF44149" s="679"/>
    </row>
    <row r="44150" spans="32:32" x14ac:dyDescent="0.2">
      <c r="AF44150" s="679"/>
    </row>
    <row r="44151" spans="32:32" x14ac:dyDescent="0.2">
      <c r="AF44151" s="679"/>
    </row>
    <row r="44152" spans="32:32" x14ac:dyDescent="0.2">
      <c r="AF44152" s="679"/>
    </row>
    <row r="44153" spans="32:32" x14ac:dyDescent="0.2">
      <c r="AF44153" s="679"/>
    </row>
    <row r="44154" spans="32:32" x14ac:dyDescent="0.2">
      <c r="AF44154" s="679"/>
    </row>
    <row r="44155" spans="32:32" x14ac:dyDescent="0.2">
      <c r="AF44155" s="679"/>
    </row>
    <row r="44156" spans="32:32" x14ac:dyDescent="0.2">
      <c r="AF44156" s="679"/>
    </row>
    <row r="44157" spans="32:32" x14ac:dyDescent="0.2">
      <c r="AF44157" s="679"/>
    </row>
    <row r="44158" spans="32:32" x14ac:dyDescent="0.2">
      <c r="AF44158" s="679"/>
    </row>
    <row r="44159" spans="32:32" x14ac:dyDescent="0.2">
      <c r="AF44159" s="679"/>
    </row>
    <row r="44160" spans="32:32" x14ac:dyDescent="0.2">
      <c r="AF44160" s="679"/>
    </row>
    <row r="44161" spans="32:32" x14ac:dyDescent="0.2">
      <c r="AF44161" s="679"/>
    </row>
    <row r="44162" spans="32:32" x14ac:dyDescent="0.2">
      <c r="AF44162" s="679"/>
    </row>
    <row r="44163" spans="32:32" x14ac:dyDescent="0.2">
      <c r="AF44163" s="679"/>
    </row>
    <row r="44164" spans="32:32" x14ac:dyDescent="0.2">
      <c r="AF44164" s="679"/>
    </row>
    <row r="44165" spans="32:32" x14ac:dyDescent="0.2">
      <c r="AF44165" s="679"/>
    </row>
    <row r="44166" spans="32:32" x14ac:dyDescent="0.2">
      <c r="AF44166" s="679"/>
    </row>
    <row r="44167" spans="32:32" x14ac:dyDescent="0.2">
      <c r="AF44167" s="679"/>
    </row>
    <row r="44168" spans="32:32" x14ac:dyDescent="0.2">
      <c r="AF44168" s="679"/>
    </row>
    <row r="44169" spans="32:32" x14ac:dyDescent="0.2">
      <c r="AF44169" s="679"/>
    </row>
    <row r="44170" spans="32:32" x14ac:dyDescent="0.2">
      <c r="AF44170" s="679"/>
    </row>
    <row r="44171" spans="32:32" x14ac:dyDescent="0.2">
      <c r="AF44171" s="679"/>
    </row>
    <row r="44172" spans="32:32" x14ac:dyDescent="0.2">
      <c r="AF44172" s="679"/>
    </row>
    <row r="44173" spans="32:32" x14ac:dyDescent="0.2">
      <c r="AF44173" s="679"/>
    </row>
    <row r="44174" spans="32:32" x14ac:dyDescent="0.2">
      <c r="AF44174" s="679"/>
    </row>
    <row r="44175" spans="32:32" x14ac:dyDescent="0.2">
      <c r="AF44175" s="679"/>
    </row>
    <row r="44176" spans="32:32" x14ac:dyDescent="0.2">
      <c r="AF44176" s="679"/>
    </row>
    <row r="44177" spans="32:32" x14ac:dyDescent="0.2">
      <c r="AF44177" s="679"/>
    </row>
    <row r="44178" spans="32:32" x14ac:dyDescent="0.2">
      <c r="AF44178" s="679"/>
    </row>
    <row r="44179" spans="32:32" x14ac:dyDescent="0.2">
      <c r="AF44179" s="679"/>
    </row>
    <row r="44180" spans="32:32" x14ac:dyDescent="0.2">
      <c r="AF44180" s="679"/>
    </row>
    <row r="44181" spans="32:32" x14ac:dyDescent="0.2">
      <c r="AF44181" s="679"/>
    </row>
    <row r="44182" spans="32:32" x14ac:dyDescent="0.2">
      <c r="AF44182" s="679"/>
    </row>
    <row r="44183" spans="32:32" x14ac:dyDescent="0.2">
      <c r="AF44183" s="679"/>
    </row>
    <row r="44184" spans="32:32" x14ac:dyDescent="0.2">
      <c r="AF44184" s="679"/>
    </row>
    <row r="44185" spans="32:32" x14ac:dyDescent="0.2">
      <c r="AF44185" s="679"/>
    </row>
    <row r="44186" spans="32:32" x14ac:dyDescent="0.2">
      <c r="AF44186" s="679"/>
    </row>
    <row r="44187" spans="32:32" x14ac:dyDescent="0.2">
      <c r="AF44187" s="679"/>
    </row>
    <row r="44188" spans="32:32" x14ac:dyDescent="0.2">
      <c r="AF44188" s="679"/>
    </row>
    <row r="44189" spans="32:32" x14ac:dyDescent="0.2">
      <c r="AF44189" s="679"/>
    </row>
    <row r="44190" spans="32:32" x14ac:dyDescent="0.2">
      <c r="AF44190" s="679"/>
    </row>
    <row r="44191" spans="32:32" x14ac:dyDescent="0.2">
      <c r="AF44191" s="679"/>
    </row>
    <row r="44192" spans="32:32" x14ac:dyDescent="0.2">
      <c r="AF44192" s="679"/>
    </row>
    <row r="44193" spans="32:32" x14ac:dyDescent="0.2">
      <c r="AF44193" s="679"/>
    </row>
    <row r="44194" spans="32:32" x14ac:dyDescent="0.2">
      <c r="AF44194" s="679"/>
    </row>
    <row r="44195" spans="32:32" x14ac:dyDescent="0.2">
      <c r="AF44195" s="679"/>
    </row>
    <row r="44196" spans="32:32" x14ac:dyDescent="0.2">
      <c r="AF44196" s="679"/>
    </row>
    <row r="44197" spans="32:32" x14ac:dyDescent="0.2">
      <c r="AF44197" s="679"/>
    </row>
    <row r="44198" spans="32:32" x14ac:dyDescent="0.2">
      <c r="AF44198" s="679"/>
    </row>
    <row r="44199" spans="32:32" x14ac:dyDescent="0.2">
      <c r="AF44199" s="679"/>
    </row>
    <row r="44200" spans="32:32" x14ac:dyDescent="0.2">
      <c r="AF44200" s="679"/>
    </row>
    <row r="44201" spans="32:32" x14ac:dyDescent="0.2">
      <c r="AF44201" s="679"/>
    </row>
    <row r="44202" spans="32:32" x14ac:dyDescent="0.2">
      <c r="AF44202" s="679"/>
    </row>
    <row r="44203" spans="32:32" x14ac:dyDescent="0.2">
      <c r="AF44203" s="679"/>
    </row>
    <row r="44204" spans="32:32" x14ac:dyDescent="0.2">
      <c r="AF44204" s="679"/>
    </row>
    <row r="44205" spans="32:32" x14ac:dyDescent="0.2">
      <c r="AF44205" s="679"/>
    </row>
    <row r="44206" spans="32:32" x14ac:dyDescent="0.2">
      <c r="AF44206" s="679"/>
    </row>
    <row r="44207" spans="32:32" x14ac:dyDescent="0.2">
      <c r="AF44207" s="679"/>
    </row>
    <row r="44208" spans="32:32" x14ac:dyDescent="0.2">
      <c r="AF44208" s="679"/>
    </row>
    <row r="44209" spans="32:32" x14ac:dyDescent="0.2">
      <c r="AF44209" s="679"/>
    </row>
    <row r="44210" spans="32:32" x14ac:dyDescent="0.2">
      <c r="AF44210" s="679"/>
    </row>
    <row r="44211" spans="32:32" x14ac:dyDescent="0.2">
      <c r="AF44211" s="679"/>
    </row>
    <row r="44212" spans="32:32" x14ac:dyDescent="0.2">
      <c r="AF44212" s="679"/>
    </row>
    <row r="44213" spans="32:32" x14ac:dyDescent="0.2">
      <c r="AF44213" s="679"/>
    </row>
    <row r="44214" spans="32:32" x14ac:dyDescent="0.2">
      <c r="AF44214" s="679"/>
    </row>
    <row r="44215" spans="32:32" x14ac:dyDescent="0.2">
      <c r="AF44215" s="679"/>
    </row>
    <row r="44216" spans="32:32" x14ac:dyDescent="0.2">
      <c r="AF44216" s="679"/>
    </row>
    <row r="44217" spans="32:32" x14ac:dyDescent="0.2">
      <c r="AF44217" s="679"/>
    </row>
    <row r="44218" spans="32:32" x14ac:dyDescent="0.2">
      <c r="AF44218" s="679"/>
    </row>
    <row r="44219" spans="32:32" x14ac:dyDescent="0.2">
      <c r="AF44219" s="679"/>
    </row>
    <row r="44220" spans="32:32" x14ac:dyDescent="0.2">
      <c r="AF44220" s="679"/>
    </row>
    <row r="44221" spans="32:32" x14ac:dyDescent="0.2">
      <c r="AF44221" s="679"/>
    </row>
    <row r="44222" spans="32:32" x14ac:dyDescent="0.2">
      <c r="AF44222" s="679"/>
    </row>
    <row r="44223" spans="32:32" x14ac:dyDescent="0.2">
      <c r="AF44223" s="679"/>
    </row>
    <row r="44224" spans="32:32" x14ac:dyDescent="0.2">
      <c r="AF44224" s="679"/>
    </row>
    <row r="44225" spans="32:32" x14ac:dyDescent="0.2">
      <c r="AF44225" s="679"/>
    </row>
    <row r="44226" spans="32:32" x14ac:dyDescent="0.2">
      <c r="AF44226" s="679"/>
    </row>
    <row r="44227" spans="32:32" x14ac:dyDescent="0.2">
      <c r="AF44227" s="679"/>
    </row>
    <row r="44228" spans="32:32" x14ac:dyDescent="0.2">
      <c r="AF44228" s="679"/>
    </row>
    <row r="44229" spans="32:32" x14ac:dyDescent="0.2">
      <c r="AF44229" s="679"/>
    </row>
    <row r="44230" spans="32:32" x14ac:dyDescent="0.2">
      <c r="AF44230" s="679"/>
    </row>
    <row r="44231" spans="32:32" x14ac:dyDescent="0.2">
      <c r="AF44231" s="679"/>
    </row>
    <row r="44232" spans="32:32" x14ac:dyDescent="0.2">
      <c r="AF44232" s="679"/>
    </row>
    <row r="44233" spans="32:32" x14ac:dyDescent="0.2">
      <c r="AF44233" s="679"/>
    </row>
    <row r="44234" spans="32:32" x14ac:dyDescent="0.2">
      <c r="AF44234" s="679"/>
    </row>
    <row r="44235" spans="32:32" x14ac:dyDescent="0.2">
      <c r="AF44235" s="679"/>
    </row>
    <row r="44236" spans="32:32" x14ac:dyDescent="0.2">
      <c r="AF44236" s="679"/>
    </row>
    <row r="44237" spans="32:32" x14ac:dyDescent="0.2">
      <c r="AF44237" s="679"/>
    </row>
    <row r="44238" spans="32:32" x14ac:dyDescent="0.2">
      <c r="AF44238" s="679"/>
    </row>
    <row r="44239" spans="32:32" x14ac:dyDescent="0.2">
      <c r="AF44239" s="679"/>
    </row>
    <row r="44240" spans="32:32" x14ac:dyDescent="0.2">
      <c r="AF44240" s="679"/>
    </row>
    <row r="44241" spans="32:32" x14ac:dyDescent="0.2">
      <c r="AF44241" s="679"/>
    </row>
    <row r="44242" spans="32:32" x14ac:dyDescent="0.2">
      <c r="AF44242" s="679"/>
    </row>
    <row r="44243" spans="32:32" x14ac:dyDescent="0.2">
      <c r="AF44243" s="679"/>
    </row>
    <row r="44244" spans="32:32" x14ac:dyDescent="0.2">
      <c r="AF44244" s="679"/>
    </row>
    <row r="44245" spans="32:32" x14ac:dyDescent="0.2">
      <c r="AF44245" s="679"/>
    </row>
    <row r="44246" spans="32:32" x14ac:dyDescent="0.2">
      <c r="AF44246" s="679"/>
    </row>
    <row r="44247" spans="32:32" x14ac:dyDescent="0.2">
      <c r="AF44247" s="679"/>
    </row>
    <row r="44248" spans="32:32" x14ac:dyDescent="0.2">
      <c r="AF44248" s="679"/>
    </row>
    <row r="44249" spans="32:32" x14ac:dyDescent="0.2">
      <c r="AF44249" s="679"/>
    </row>
    <row r="44250" spans="32:32" x14ac:dyDescent="0.2">
      <c r="AF44250" s="679"/>
    </row>
    <row r="44251" spans="32:32" x14ac:dyDescent="0.2">
      <c r="AF44251" s="679"/>
    </row>
    <row r="44252" spans="32:32" x14ac:dyDescent="0.2">
      <c r="AF44252" s="679"/>
    </row>
    <row r="44253" spans="32:32" x14ac:dyDescent="0.2">
      <c r="AF44253" s="679"/>
    </row>
    <row r="44254" spans="32:32" x14ac:dyDescent="0.2">
      <c r="AF44254" s="679"/>
    </row>
    <row r="44255" spans="32:32" x14ac:dyDescent="0.2">
      <c r="AF44255" s="679"/>
    </row>
    <row r="44256" spans="32:32" x14ac:dyDescent="0.2">
      <c r="AF44256" s="679"/>
    </row>
    <row r="44257" spans="32:32" x14ac:dyDescent="0.2">
      <c r="AF44257" s="679"/>
    </row>
    <row r="44258" spans="32:32" x14ac:dyDescent="0.2">
      <c r="AF44258" s="679"/>
    </row>
    <row r="44259" spans="32:32" x14ac:dyDescent="0.2">
      <c r="AF44259" s="679"/>
    </row>
    <row r="44260" spans="32:32" x14ac:dyDescent="0.2">
      <c r="AF44260" s="679"/>
    </row>
    <row r="44261" spans="32:32" x14ac:dyDescent="0.2">
      <c r="AF44261" s="679"/>
    </row>
    <row r="44262" spans="32:32" x14ac:dyDescent="0.2">
      <c r="AF44262" s="679"/>
    </row>
    <row r="44263" spans="32:32" x14ac:dyDescent="0.2">
      <c r="AF44263" s="679"/>
    </row>
    <row r="44264" spans="32:32" x14ac:dyDescent="0.2">
      <c r="AF44264" s="679"/>
    </row>
    <row r="44265" spans="32:32" x14ac:dyDescent="0.2">
      <c r="AF44265" s="679"/>
    </row>
    <row r="44266" spans="32:32" x14ac:dyDescent="0.2">
      <c r="AF44266" s="679"/>
    </row>
    <row r="44267" spans="32:32" x14ac:dyDescent="0.2">
      <c r="AF44267" s="679"/>
    </row>
    <row r="44268" spans="32:32" x14ac:dyDescent="0.2">
      <c r="AF44268" s="679"/>
    </row>
    <row r="44269" spans="32:32" x14ac:dyDescent="0.2">
      <c r="AF44269" s="679"/>
    </row>
    <row r="44270" spans="32:32" x14ac:dyDescent="0.2">
      <c r="AF44270" s="679"/>
    </row>
    <row r="44271" spans="32:32" x14ac:dyDescent="0.2">
      <c r="AF44271" s="679"/>
    </row>
    <row r="44272" spans="32:32" x14ac:dyDescent="0.2">
      <c r="AF44272" s="679"/>
    </row>
    <row r="44273" spans="32:32" x14ac:dyDescent="0.2">
      <c r="AF44273" s="679"/>
    </row>
    <row r="44274" spans="32:32" x14ac:dyDescent="0.2">
      <c r="AF44274" s="679"/>
    </row>
    <row r="44275" spans="32:32" x14ac:dyDescent="0.2">
      <c r="AF44275" s="679"/>
    </row>
    <row r="44276" spans="32:32" x14ac:dyDescent="0.2">
      <c r="AF44276" s="679"/>
    </row>
    <row r="44277" spans="32:32" x14ac:dyDescent="0.2">
      <c r="AF44277" s="679"/>
    </row>
    <row r="44278" spans="32:32" x14ac:dyDescent="0.2">
      <c r="AF44278" s="679"/>
    </row>
    <row r="44279" spans="32:32" x14ac:dyDescent="0.2">
      <c r="AF44279" s="679"/>
    </row>
    <row r="44280" spans="32:32" x14ac:dyDescent="0.2">
      <c r="AF44280" s="679"/>
    </row>
    <row r="44281" spans="32:32" x14ac:dyDescent="0.2">
      <c r="AF44281" s="679"/>
    </row>
    <row r="44282" spans="32:32" x14ac:dyDescent="0.2">
      <c r="AF44282" s="679"/>
    </row>
    <row r="44283" spans="32:32" x14ac:dyDescent="0.2">
      <c r="AF44283" s="679"/>
    </row>
    <row r="44284" spans="32:32" x14ac:dyDescent="0.2">
      <c r="AF44284" s="679"/>
    </row>
    <row r="44285" spans="32:32" x14ac:dyDescent="0.2">
      <c r="AF44285" s="679"/>
    </row>
    <row r="44286" spans="32:32" x14ac:dyDescent="0.2">
      <c r="AF44286" s="679"/>
    </row>
    <row r="44287" spans="32:32" x14ac:dyDescent="0.2">
      <c r="AF44287" s="679"/>
    </row>
    <row r="44288" spans="32:32" x14ac:dyDescent="0.2">
      <c r="AF44288" s="679"/>
    </row>
    <row r="44289" spans="32:32" x14ac:dyDescent="0.2">
      <c r="AF44289" s="679"/>
    </row>
    <row r="44290" spans="32:32" x14ac:dyDescent="0.2">
      <c r="AF44290" s="679"/>
    </row>
    <row r="44291" spans="32:32" x14ac:dyDescent="0.2">
      <c r="AF44291" s="679"/>
    </row>
    <row r="44292" spans="32:32" x14ac:dyDescent="0.2">
      <c r="AF44292" s="679"/>
    </row>
    <row r="44293" spans="32:32" x14ac:dyDescent="0.2">
      <c r="AF44293" s="679"/>
    </row>
    <row r="44294" spans="32:32" x14ac:dyDescent="0.2">
      <c r="AF44294" s="679"/>
    </row>
    <row r="44295" spans="32:32" x14ac:dyDescent="0.2">
      <c r="AF44295" s="679"/>
    </row>
    <row r="44296" spans="32:32" x14ac:dyDescent="0.2">
      <c r="AF44296" s="679"/>
    </row>
    <row r="44297" spans="32:32" x14ac:dyDescent="0.2">
      <c r="AF44297" s="679"/>
    </row>
    <row r="44298" spans="32:32" x14ac:dyDescent="0.2">
      <c r="AF44298" s="679"/>
    </row>
    <row r="44299" spans="32:32" x14ac:dyDescent="0.2">
      <c r="AF44299" s="679"/>
    </row>
    <row r="44300" spans="32:32" x14ac:dyDescent="0.2">
      <c r="AF44300" s="679"/>
    </row>
    <row r="44301" spans="32:32" x14ac:dyDescent="0.2">
      <c r="AF44301" s="679"/>
    </row>
    <row r="44302" spans="32:32" x14ac:dyDescent="0.2">
      <c r="AF44302" s="679"/>
    </row>
    <row r="44303" spans="32:32" x14ac:dyDescent="0.2">
      <c r="AF44303" s="679"/>
    </row>
    <row r="44304" spans="32:32" x14ac:dyDescent="0.2">
      <c r="AF44304" s="679"/>
    </row>
    <row r="44305" spans="32:32" x14ac:dyDescent="0.2">
      <c r="AF44305" s="679"/>
    </row>
    <row r="44306" spans="32:32" x14ac:dyDescent="0.2">
      <c r="AF44306" s="679"/>
    </row>
    <row r="44307" spans="32:32" x14ac:dyDescent="0.2">
      <c r="AF44307" s="679"/>
    </row>
    <row r="44308" spans="32:32" x14ac:dyDescent="0.2">
      <c r="AF44308" s="679"/>
    </row>
    <row r="44309" spans="32:32" x14ac:dyDescent="0.2">
      <c r="AF44309" s="679"/>
    </row>
    <row r="44310" spans="32:32" x14ac:dyDescent="0.2">
      <c r="AF44310" s="679"/>
    </row>
    <row r="44311" spans="32:32" x14ac:dyDescent="0.2">
      <c r="AF44311" s="679"/>
    </row>
    <row r="44312" spans="32:32" x14ac:dyDescent="0.2">
      <c r="AF44312" s="679"/>
    </row>
    <row r="44313" spans="32:32" x14ac:dyDescent="0.2">
      <c r="AF44313" s="679"/>
    </row>
    <row r="44314" spans="32:32" x14ac:dyDescent="0.2">
      <c r="AF44314" s="679"/>
    </row>
    <row r="44315" spans="32:32" x14ac:dyDescent="0.2">
      <c r="AF44315" s="679"/>
    </row>
    <row r="44316" spans="32:32" x14ac:dyDescent="0.2">
      <c r="AF44316" s="679"/>
    </row>
    <row r="44317" spans="32:32" x14ac:dyDescent="0.2">
      <c r="AF44317" s="679"/>
    </row>
    <row r="44318" spans="32:32" x14ac:dyDescent="0.2">
      <c r="AF44318" s="679"/>
    </row>
    <row r="44319" spans="32:32" x14ac:dyDescent="0.2">
      <c r="AF44319" s="679"/>
    </row>
    <row r="44320" spans="32:32" x14ac:dyDescent="0.2">
      <c r="AF44320" s="679"/>
    </row>
    <row r="44321" spans="32:32" x14ac:dyDescent="0.2">
      <c r="AF44321" s="679"/>
    </row>
    <row r="44322" spans="32:32" x14ac:dyDescent="0.2">
      <c r="AF44322" s="679"/>
    </row>
    <row r="44323" spans="32:32" x14ac:dyDescent="0.2">
      <c r="AF44323" s="679"/>
    </row>
    <row r="44324" spans="32:32" x14ac:dyDescent="0.2">
      <c r="AF44324" s="679"/>
    </row>
    <row r="44325" spans="32:32" x14ac:dyDescent="0.2">
      <c r="AF44325" s="679"/>
    </row>
    <row r="44326" spans="32:32" x14ac:dyDescent="0.2">
      <c r="AF44326" s="679"/>
    </row>
    <row r="44327" spans="32:32" x14ac:dyDescent="0.2">
      <c r="AF44327" s="679"/>
    </row>
    <row r="44328" spans="32:32" x14ac:dyDescent="0.2">
      <c r="AF44328" s="679"/>
    </row>
    <row r="44329" spans="32:32" x14ac:dyDescent="0.2">
      <c r="AF44329" s="679"/>
    </row>
    <row r="44330" spans="32:32" x14ac:dyDescent="0.2">
      <c r="AF44330" s="679"/>
    </row>
    <row r="44331" spans="32:32" x14ac:dyDescent="0.2">
      <c r="AF44331" s="679"/>
    </row>
    <row r="44332" spans="32:32" x14ac:dyDescent="0.2">
      <c r="AF44332" s="679"/>
    </row>
    <row r="44333" spans="32:32" x14ac:dyDescent="0.2">
      <c r="AF44333" s="679"/>
    </row>
    <row r="44334" spans="32:32" x14ac:dyDescent="0.2">
      <c r="AF44334" s="679"/>
    </row>
    <row r="44335" spans="32:32" x14ac:dyDescent="0.2">
      <c r="AF44335" s="679"/>
    </row>
    <row r="44336" spans="32:32" x14ac:dyDescent="0.2">
      <c r="AF44336" s="679"/>
    </row>
    <row r="44337" spans="32:32" x14ac:dyDescent="0.2">
      <c r="AF44337" s="679"/>
    </row>
    <row r="44338" spans="32:32" x14ac:dyDescent="0.2">
      <c r="AF44338" s="679"/>
    </row>
    <row r="44339" spans="32:32" x14ac:dyDescent="0.2">
      <c r="AF44339" s="679"/>
    </row>
    <row r="44340" spans="32:32" x14ac:dyDescent="0.2">
      <c r="AF44340" s="679"/>
    </row>
    <row r="44341" spans="32:32" x14ac:dyDescent="0.2">
      <c r="AF44341" s="679"/>
    </row>
    <row r="44342" spans="32:32" x14ac:dyDescent="0.2">
      <c r="AF44342" s="679"/>
    </row>
    <row r="44343" spans="32:32" x14ac:dyDescent="0.2">
      <c r="AF44343" s="679"/>
    </row>
    <row r="44344" spans="32:32" x14ac:dyDescent="0.2">
      <c r="AF44344" s="679"/>
    </row>
    <row r="44345" spans="32:32" x14ac:dyDescent="0.2">
      <c r="AF44345" s="679"/>
    </row>
    <row r="44346" spans="32:32" x14ac:dyDescent="0.2">
      <c r="AF44346" s="679"/>
    </row>
    <row r="44347" spans="32:32" x14ac:dyDescent="0.2">
      <c r="AF44347" s="679"/>
    </row>
    <row r="44348" spans="32:32" x14ac:dyDescent="0.2">
      <c r="AF44348" s="679"/>
    </row>
    <row r="44349" spans="32:32" x14ac:dyDescent="0.2">
      <c r="AF44349" s="679"/>
    </row>
    <row r="44350" spans="32:32" x14ac:dyDescent="0.2">
      <c r="AF44350" s="679"/>
    </row>
    <row r="44351" spans="32:32" x14ac:dyDescent="0.2">
      <c r="AF44351" s="679"/>
    </row>
    <row r="44352" spans="32:32" x14ac:dyDescent="0.2">
      <c r="AF44352" s="679"/>
    </row>
    <row r="44353" spans="32:32" x14ac:dyDescent="0.2">
      <c r="AF44353" s="679"/>
    </row>
    <row r="44354" spans="32:32" x14ac:dyDescent="0.2">
      <c r="AF44354" s="679"/>
    </row>
    <row r="44355" spans="32:32" x14ac:dyDescent="0.2">
      <c r="AF44355" s="679"/>
    </row>
    <row r="44356" spans="32:32" x14ac:dyDescent="0.2">
      <c r="AF44356" s="679"/>
    </row>
    <row r="44357" spans="32:32" x14ac:dyDescent="0.2">
      <c r="AF44357" s="679"/>
    </row>
    <row r="44358" spans="32:32" x14ac:dyDescent="0.2">
      <c r="AF44358" s="679"/>
    </row>
    <row r="44359" spans="32:32" x14ac:dyDescent="0.2">
      <c r="AF44359" s="679"/>
    </row>
    <row r="44360" spans="32:32" x14ac:dyDescent="0.2">
      <c r="AF44360" s="679"/>
    </row>
    <row r="44361" spans="32:32" x14ac:dyDescent="0.2">
      <c r="AF44361" s="679"/>
    </row>
    <row r="44362" spans="32:32" x14ac:dyDescent="0.2">
      <c r="AF44362" s="679"/>
    </row>
    <row r="44363" spans="32:32" x14ac:dyDescent="0.2">
      <c r="AF44363" s="679"/>
    </row>
    <row r="44364" spans="32:32" x14ac:dyDescent="0.2">
      <c r="AF44364" s="679"/>
    </row>
    <row r="44365" spans="32:32" x14ac:dyDescent="0.2">
      <c r="AF44365" s="679"/>
    </row>
    <row r="44366" spans="32:32" x14ac:dyDescent="0.2">
      <c r="AF44366" s="679"/>
    </row>
    <row r="44367" spans="32:32" x14ac:dyDescent="0.2">
      <c r="AF44367" s="679"/>
    </row>
    <row r="44368" spans="32:32" x14ac:dyDescent="0.2">
      <c r="AF44368" s="679"/>
    </row>
    <row r="44369" spans="32:32" x14ac:dyDescent="0.2">
      <c r="AF44369" s="679"/>
    </row>
    <row r="44370" spans="32:32" x14ac:dyDescent="0.2">
      <c r="AF44370" s="679"/>
    </row>
    <row r="44371" spans="32:32" x14ac:dyDescent="0.2">
      <c r="AF44371" s="679"/>
    </row>
    <row r="44372" spans="32:32" x14ac:dyDescent="0.2">
      <c r="AF44372" s="679"/>
    </row>
    <row r="44373" spans="32:32" x14ac:dyDescent="0.2">
      <c r="AF44373" s="679"/>
    </row>
    <row r="44374" spans="32:32" x14ac:dyDescent="0.2">
      <c r="AF44374" s="679"/>
    </row>
    <row r="44375" spans="32:32" x14ac:dyDescent="0.2">
      <c r="AF44375" s="679"/>
    </row>
    <row r="44376" spans="32:32" x14ac:dyDescent="0.2">
      <c r="AF44376" s="679"/>
    </row>
    <row r="44377" spans="32:32" x14ac:dyDescent="0.2">
      <c r="AF44377" s="679"/>
    </row>
    <row r="44378" spans="32:32" x14ac:dyDescent="0.2">
      <c r="AF44378" s="679"/>
    </row>
    <row r="44379" spans="32:32" x14ac:dyDescent="0.2">
      <c r="AF44379" s="679"/>
    </row>
    <row r="44380" spans="32:32" x14ac:dyDescent="0.2">
      <c r="AF44380" s="679"/>
    </row>
    <row r="44381" spans="32:32" x14ac:dyDescent="0.2">
      <c r="AF44381" s="679"/>
    </row>
    <row r="44382" spans="32:32" x14ac:dyDescent="0.2">
      <c r="AF44382" s="679"/>
    </row>
    <row r="44383" spans="32:32" x14ac:dyDescent="0.2">
      <c r="AF44383" s="679"/>
    </row>
    <row r="44384" spans="32:32" x14ac:dyDescent="0.2">
      <c r="AF44384" s="679"/>
    </row>
    <row r="44385" spans="32:32" x14ac:dyDescent="0.2">
      <c r="AF44385" s="679"/>
    </row>
    <row r="44386" spans="32:32" x14ac:dyDescent="0.2">
      <c r="AF44386" s="679"/>
    </row>
    <row r="44387" spans="32:32" x14ac:dyDescent="0.2">
      <c r="AF44387" s="679"/>
    </row>
    <row r="44388" spans="32:32" x14ac:dyDescent="0.2">
      <c r="AF44388" s="679"/>
    </row>
    <row r="44389" spans="32:32" x14ac:dyDescent="0.2">
      <c r="AF44389" s="679"/>
    </row>
    <row r="44390" spans="32:32" x14ac:dyDescent="0.2">
      <c r="AF44390" s="679"/>
    </row>
    <row r="44391" spans="32:32" x14ac:dyDescent="0.2">
      <c r="AF44391" s="679"/>
    </row>
    <row r="44392" spans="32:32" x14ac:dyDescent="0.2">
      <c r="AF44392" s="679"/>
    </row>
    <row r="44393" spans="32:32" x14ac:dyDescent="0.2">
      <c r="AF44393" s="679"/>
    </row>
    <row r="44394" spans="32:32" x14ac:dyDescent="0.2">
      <c r="AF44394" s="679"/>
    </row>
    <row r="44395" spans="32:32" x14ac:dyDescent="0.2">
      <c r="AF44395" s="679"/>
    </row>
    <row r="44396" spans="32:32" x14ac:dyDescent="0.2">
      <c r="AF44396" s="679"/>
    </row>
    <row r="44397" spans="32:32" x14ac:dyDescent="0.2">
      <c r="AF44397" s="679"/>
    </row>
    <row r="44398" spans="32:32" x14ac:dyDescent="0.2">
      <c r="AF44398" s="679"/>
    </row>
    <row r="44399" spans="32:32" x14ac:dyDescent="0.2">
      <c r="AF44399" s="679"/>
    </row>
    <row r="44400" spans="32:32" x14ac:dyDescent="0.2">
      <c r="AF44400" s="679"/>
    </row>
    <row r="44401" spans="32:32" x14ac:dyDescent="0.2">
      <c r="AF44401" s="679"/>
    </row>
    <row r="44402" spans="32:32" x14ac:dyDescent="0.2">
      <c r="AF44402" s="679"/>
    </row>
    <row r="44403" spans="32:32" x14ac:dyDescent="0.2">
      <c r="AF44403" s="679"/>
    </row>
    <row r="44404" spans="32:32" x14ac:dyDescent="0.2">
      <c r="AF44404" s="679"/>
    </row>
    <row r="44405" spans="32:32" x14ac:dyDescent="0.2">
      <c r="AF44405" s="679"/>
    </row>
    <row r="44406" spans="32:32" x14ac:dyDescent="0.2">
      <c r="AF44406" s="679"/>
    </row>
    <row r="44407" spans="32:32" x14ac:dyDescent="0.2">
      <c r="AF44407" s="679"/>
    </row>
    <row r="44408" spans="32:32" x14ac:dyDescent="0.2">
      <c r="AF44408" s="679"/>
    </row>
    <row r="44409" spans="32:32" x14ac:dyDescent="0.2">
      <c r="AF44409" s="679"/>
    </row>
    <row r="44410" spans="32:32" x14ac:dyDescent="0.2">
      <c r="AF44410" s="679"/>
    </row>
    <row r="44411" spans="32:32" x14ac:dyDescent="0.2">
      <c r="AF44411" s="679"/>
    </row>
    <row r="44412" spans="32:32" x14ac:dyDescent="0.2">
      <c r="AF44412" s="679"/>
    </row>
    <row r="44413" spans="32:32" x14ac:dyDescent="0.2">
      <c r="AF44413" s="679"/>
    </row>
    <row r="44414" spans="32:32" x14ac:dyDescent="0.2">
      <c r="AF44414" s="679"/>
    </row>
    <row r="44415" spans="32:32" x14ac:dyDescent="0.2">
      <c r="AF44415" s="679"/>
    </row>
    <row r="44416" spans="32:32" x14ac:dyDescent="0.2">
      <c r="AF44416" s="679"/>
    </row>
    <row r="44417" spans="32:32" x14ac:dyDescent="0.2">
      <c r="AF44417" s="679"/>
    </row>
    <row r="44418" spans="32:32" x14ac:dyDescent="0.2">
      <c r="AF44418" s="679"/>
    </row>
    <row r="44419" spans="32:32" x14ac:dyDescent="0.2">
      <c r="AF44419" s="679"/>
    </row>
    <row r="44420" spans="32:32" x14ac:dyDescent="0.2">
      <c r="AF44420" s="679"/>
    </row>
    <row r="44421" spans="32:32" x14ac:dyDescent="0.2">
      <c r="AF44421" s="679"/>
    </row>
    <row r="44422" spans="32:32" x14ac:dyDescent="0.2">
      <c r="AF44422" s="679"/>
    </row>
    <row r="44423" spans="32:32" x14ac:dyDescent="0.2">
      <c r="AF44423" s="679"/>
    </row>
    <row r="44424" spans="32:32" x14ac:dyDescent="0.2">
      <c r="AF44424" s="679"/>
    </row>
    <row r="44425" spans="32:32" x14ac:dyDescent="0.2">
      <c r="AF44425" s="679"/>
    </row>
    <row r="44426" spans="32:32" x14ac:dyDescent="0.2">
      <c r="AF44426" s="679"/>
    </row>
    <row r="44427" spans="32:32" x14ac:dyDescent="0.2">
      <c r="AF44427" s="679"/>
    </row>
    <row r="44428" spans="32:32" x14ac:dyDescent="0.2">
      <c r="AF44428" s="679"/>
    </row>
    <row r="44429" spans="32:32" x14ac:dyDescent="0.2">
      <c r="AF44429" s="679"/>
    </row>
    <row r="44430" spans="32:32" x14ac:dyDescent="0.2">
      <c r="AF44430" s="679"/>
    </row>
    <row r="44431" spans="32:32" x14ac:dyDescent="0.2">
      <c r="AF44431" s="679"/>
    </row>
    <row r="44432" spans="32:32" x14ac:dyDescent="0.2">
      <c r="AF44432" s="679"/>
    </row>
    <row r="44433" spans="32:32" x14ac:dyDescent="0.2">
      <c r="AF44433" s="679"/>
    </row>
    <row r="44434" spans="32:32" x14ac:dyDescent="0.2">
      <c r="AF44434" s="679"/>
    </row>
    <row r="44435" spans="32:32" x14ac:dyDescent="0.2">
      <c r="AF44435" s="679"/>
    </row>
    <row r="44436" spans="32:32" x14ac:dyDescent="0.2">
      <c r="AF44436" s="679"/>
    </row>
    <row r="44437" spans="32:32" x14ac:dyDescent="0.2">
      <c r="AF44437" s="679"/>
    </row>
    <row r="44438" spans="32:32" x14ac:dyDescent="0.2">
      <c r="AF44438" s="679"/>
    </row>
    <row r="44439" spans="32:32" x14ac:dyDescent="0.2">
      <c r="AF44439" s="679"/>
    </row>
    <row r="44440" spans="32:32" x14ac:dyDescent="0.2">
      <c r="AF44440" s="679"/>
    </row>
    <row r="44441" spans="32:32" x14ac:dyDescent="0.2">
      <c r="AF44441" s="679"/>
    </row>
    <row r="44442" spans="32:32" x14ac:dyDescent="0.2">
      <c r="AF44442" s="679"/>
    </row>
    <row r="44443" spans="32:32" x14ac:dyDescent="0.2">
      <c r="AF44443" s="679"/>
    </row>
    <row r="44444" spans="32:32" x14ac:dyDescent="0.2">
      <c r="AF44444" s="679"/>
    </row>
    <row r="44445" spans="32:32" x14ac:dyDescent="0.2">
      <c r="AF44445" s="679"/>
    </row>
    <row r="44446" spans="32:32" x14ac:dyDescent="0.2">
      <c r="AF44446" s="679"/>
    </row>
    <row r="44447" spans="32:32" x14ac:dyDescent="0.2">
      <c r="AF44447" s="679"/>
    </row>
    <row r="44448" spans="32:32" x14ac:dyDescent="0.2">
      <c r="AF44448" s="679"/>
    </row>
    <row r="44449" spans="32:32" x14ac:dyDescent="0.2">
      <c r="AF44449" s="679"/>
    </row>
    <row r="44450" spans="32:32" x14ac:dyDescent="0.2">
      <c r="AF44450" s="679"/>
    </row>
    <row r="44451" spans="32:32" x14ac:dyDescent="0.2">
      <c r="AF44451" s="679"/>
    </row>
    <row r="44452" spans="32:32" x14ac:dyDescent="0.2">
      <c r="AF44452" s="679"/>
    </row>
    <row r="44453" spans="32:32" x14ac:dyDescent="0.2">
      <c r="AF44453" s="679"/>
    </row>
    <row r="44454" spans="32:32" x14ac:dyDescent="0.2">
      <c r="AF44454" s="679"/>
    </row>
    <row r="44455" spans="32:32" x14ac:dyDescent="0.2">
      <c r="AF44455" s="679"/>
    </row>
    <row r="44456" spans="32:32" x14ac:dyDescent="0.2">
      <c r="AF44456" s="679"/>
    </row>
    <row r="44457" spans="32:32" x14ac:dyDescent="0.2">
      <c r="AF44457" s="679"/>
    </row>
    <row r="44458" spans="32:32" x14ac:dyDescent="0.2">
      <c r="AF44458" s="679"/>
    </row>
    <row r="44459" spans="32:32" x14ac:dyDescent="0.2">
      <c r="AF44459" s="679"/>
    </row>
    <row r="44460" spans="32:32" x14ac:dyDescent="0.2">
      <c r="AF44460" s="679"/>
    </row>
    <row r="44461" spans="32:32" x14ac:dyDescent="0.2">
      <c r="AF44461" s="679"/>
    </row>
    <row r="44462" spans="32:32" x14ac:dyDescent="0.2">
      <c r="AF44462" s="679"/>
    </row>
    <row r="44463" spans="32:32" x14ac:dyDescent="0.2">
      <c r="AF44463" s="679"/>
    </row>
    <row r="44464" spans="32:32" x14ac:dyDescent="0.2">
      <c r="AF44464" s="679"/>
    </row>
    <row r="44465" spans="32:32" x14ac:dyDescent="0.2">
      <c r="AF44465" s="679"/>
    </row>
    <row r="44466" spans="32:32" x14ac:dyDescent="0.2">
      <c r="AF44466" s="679"/>
    </row>
    <row r="44467" spans="32:32" x14ac:dyDescent="0.2">
      <c r="AF44467" s="679"/>
    </row>
    <row r="44468" spans="32:32" x14ac:dyDescent="0.2">
      <c r="AF44468" s="679"/>
    </row>
    <row r="44469" spans="32:32" x14ac:dyDescent="0.2">
      <c r="AF44469" s="679"/>
    </row>
    <row r="44470" spans="32:32" x14ac:dyDescent="0.2">
      <c r="AF44470" s="679"/>
    </row>
    <row r="44471" spans="32:32" x14ac:dyDescent="0.2">
      <c r="AF44471" s="679"/>
    </row>
    <row r="44472" spans="32:32" x14ac:dyDescent="0.2">
      <c r="AF44472" s="679"/>
    </row>
    <row r="44473" spans="32:32" x14ac:dyDescent="0.2">
      <c r="AF44473" s="679"/>
    </row>
    <row r="44474" spans="32:32" x14ac:dyDescent="0.2">
      <c r="AF44474" s="679"/>
    </row>
    <row r="44475" spans="32:32" x14ac:dyDescent="0.2">
      <c r="AF44475" s="679"/>
    </row>
    <row r="44476" spans="32:32" x14ac:dyDescent="0.2">
      <c r="AF44476" s="679"/>
    </row>
    <row r="44477" spans="32:32" x14ac:dyDescent="0.2">
      <c r="AF44477" s="679"/>
    </row>
    <row r="44478" spans="32:32" x14ac:dyDescent="0.2">
      <c r="AF44478" s="679"/>
    </row>
    <row r="44479" spans="32:32" x14ac:dyDescent="0.2">
      <c r="AF44479" s="679"/>
    </row>
    <row r="44480" spans="32:32" x14ac:dyDescent="0.2">
      <c r="AF44480" s="679"/>
    </row>
    <row r="44481" spans="32:32" x14ac:dyDescent="0.2">
      <c r="AF44481" s="679"/>
    </row>
    <row r="44482" spans="32:32" x14ac:dyDescent="0.2">
      <c r="AF44482" s="679"/>
    </row>
    <row r="44483" spans="32:32" x14ac:dyDescent="0.2">
      <c r="AF44483" s="679"/>
    </row>
    <row r="44484" spans="32:32" x14ac:dyDescent="0.2">
      <c r="AF44484" s="679"/>
    </row>
    <row r="44485" spans="32:32" x14ac:dyDescent="0.2">
      <c r="AF44485" s="679"/>
    </row>
    <row r="44486" spans="32:32" x14ac:dyDescent="0.2">
      <c r="AF44486" s="679"/>
    </row>
    <row r="44487" spans="32:32" x14ac:dyDescent="0.2">
      <c r="AF44487" s="679"/>
    </row>
    <row r="44488" spans="32:32" x14ac:dyDescent="0.2">
      <c r="AF44488" s="679"/>
    </row>
    <row r="44489" spans="32:32" x14ac:dyDescent="0.2">
      <c r="AF44489" s="679"/>
    </row>
    <row r="44490" spans="32:32" x14ac:dyDescent="0.2">
      <c r="AF44490" s="679"/>
    </row>
    <row r="44491" spans="32:32" x14ac:dyDescent="0.2">
      <c r="AF44491" s="679"/>
    </row>
    <row r="44492" spans="32:32" x14ac:dyDescent="0.2">
      <c r="AF44492" s="679"/>
    </row>
    <row r="44493" spans="32:32" x14ac:dyDescent="0.2">
      <c r="AF44493" s="679"/>
    </row>
    <row r="44494" spans="32:32" x14ac:dyDescent="0.2">
      <c r="AF44494" s="679"/>
    </row>
    <row r="44495" spans="32:32" x14ac:dyDescent="0.2">
      <c r="AF44495" s="679"/>
    </row>
    <row r="44496" spans="32:32" x14ac:dyDescent="0.2">
      <c r="AF44496" s="679"/>
    </row>
    <row r="44497" spans="32:32" x14ac:dyDescent="0.2">
      <c r="AF44497" s="679"/>
    </row>
    <row r="44498" spans="32:32" x14ac:dyDescent="0.2">
      <c r="AF44498" s="679"/>
    </row>
    <row r="44499" spans="32:32" x14ac:dyDescent="0.2">
      <c r="AF44499" s="679"/>
    </row>
    <row r="44500" spans="32:32" x14ac:dyDescent="0.2">
      <c r="AF44500" s="679"/>
    </row>
    <row r="44501" spans="32:32" x14ac:dyDescent="0.2">
      <c r="AF44501" s="679"/>
    </row>
    <row r="44502" spans="32:32" x14ac:dyDescent="0.2">
      <c r="AF44502" s="679"/>
    </row>
    <row r="44503" spans="32:32" x14ac:dyDescent="0.2">
      <c r="AF44503" s="679"/>
    </row>
    <row r="44504" spans="32:32" x14ac:dyDescent="0.2">
      <c r="AF44504" s="679"/>
    </row>
    <row r="44505" spans="32:32" x14ac:dyDescent="0.2">
      <c r="AF44505" s="679"/>
    </row>
    <row r="44506" spans="32:32" x14ac:dyDescent="0.2">
      <c r="AF44506" s="679"/>
    </row>
    <row r="44507" spans="32:32" x14ac:dyDescent="0.2">
      <c r="AF44507" s="679"/>
    </row>
    <row r="44508" spans="32:32" x14ac:dyDescent="0.2">
      <c r="AF44508" s="679"/>
    </row>
    <row r="44509" spans="32:32" x14ac:dyDescent="0.2">
      <c r="AF44509" s="679"/>
    </row>
    <row r="44510" spans="32:32" x14ac:dyDescent="0.2">
      <c r="AF44510" s="679"/>
    </row>
    <row r="44511" spans="32:32" x14ac:dyDescent="0.2">
      <c r="AF44511" s="679"/>
    </row>
    <row r="44512" spans="32:32" x14ac:dyDescent="0.2">
      <c r="AF44512" s="679"/>
    </row>
    <row r="44513" spans="32:32" x14ac:dyDescent="0.2">
      <c r="AF44513" s="679"/>
    </row>
    <row r="44514" spans="32:32" x14ac:dyDescent="0.2">
      <c r="AF44514" s="679"/>
    </row>
    <row r="44515" spans="32:32" x14ac:dyDescent="0.2">
      <c r="AF44515" s="679"/>
    </row>
    <row r="44516" spans="32:32" x14ac:dyDescent="0.2">
      <c r="AF44516" s="679"/>
    </row>
    <row r="44517" spans="32:32" x14ac:dyDescent="0.2">
      <c r="AF44517" s="679"/>
    </row>
    <row r="44518" spans="32:32" x14ac:dyDescent="0.2">
      <c r="AF44518" s="679"/>
    </row>
    <row r="44519" spans="32:32" x14ac:dyDescent="0.2">
      <c r="AF44519" s="679"/>
    </row>
    <row r="44520" spans="32:32" x14ac:dyDescent="0.2">
      <c r="AF44520" s="679"/>
    </row>
    <row r="44521" spans="32:32" x14ac:dyDescent="0.2">
      <c r="AF44521" s="679"/>
    </row>
    <row r="44522" spans="32:32" x14ac:dyDescent="0.2">
      <c r="AF44522" s="679"/>
    </row>
    <row r="44523" spans="32:32" x14ac:dyDescent="0.2">
      <c r="AF44523" s="679"/>
    </row>
    <row r="44524" spans="32:32" x14ac:dyDescent="0.2">
      <c r="AF44524" s="679"/>
    </row>
    <row r="44525" spans="32:32" x14ac:dyDescent="0.2">
      <c r="AF44525" s="679"/>
    </row>
    <row r="44526" spans="32:32" x14ac:dyDescent="0.2">
      <c r="AF44526" s="679"/>
    </row>
    <row r="44527" spans="32:32" x14ac:dyDescent="0.2">
      <c r="AF44527" s="679"/>
    </row>
    <row r="44528" spans="32:32" x14ac:dyDescent="0.2">
      <c r="AF44528" s="679"/>
    </row>
    <row r="44529" spans="32:32" x14ac:dyDescent="0.2">
      <c r="AF44529" s="679"/>
    </row>
    <row r="44530" spans="32:32" x14ac:dyDescent="0.2">
      <c r="AF44530" s="679"/>
    </row>
    <row r="44531" spans="32:32" x14ac:dyDescent="0.2">
      <c r="AF44531" s="679"/>
    </row>
    <row r="44532" spans="32:32" x14ac:dyDescent="0.2">
      <c r="AF44532" s="679"/>
    </row>
    <row r="44533" spans="32:32" x14ac:dyDescent="0.2">
      <c r="AF44533" s="679"/>
    </row>
    <row r="44534" spans="32:32" x14ac:dyDescent="0.2">
      <c r="AF44534" s="679"/>
    </row>
    <row r="44535" spans="32:32" x14ac:dyDescent="0.2">
      <c r="AF44535" s="679"/>
    </row>
    <row r="44536" spans="32:32" x14ac:dyDescent="0.2">
      <c r="AF44536" s="679"/>
    </row>
    <row r="44537" spans="32:32" x14ac:dyDescent="0.2">
      <c r="AF44537" s="679"/>
    </row>
    <row r="44538" spans="32:32" x14ac:dyDescent="0.2">
      <c r="AF44538" s="679"/>
    </row>
    <row r="44539" spans="32:32" x14ac:dyDescent="0.2">
      <c r="AF44539" s="679"/>
    </row>
    <row r="44540" spans="32:32" x14ac:dyDescent="0.2">
      <c r="AF44540" s="679"/>
    </row>
    <row r="44541" spans="32:32" x14ac:dyDescent="0.2">
      <c r="AF44541" s="679"/>
    </row>
    <row r="44542" spans="32:32" x14ac:dyDescent="0.2">
      <c r="AF44542" s="679"/>
    </row>
    <row r="44543" spans="32:32" x14ac:dyDescent="0.2">
      <c r="AF44543" s="679"/>
    </row>
    <row r="44544" spans="32:32" x14ac:dyDescent="0.2">
      <c r="AF44544" s="679"/>
    </row>
    <row r="44545" spans="32:32" x14ac:dyDescent="0.2">
      <c r="AF44545" s="679"/>
    </row>
    <row r="44546" spans="32:32" x14ac:dyDescent="0.2">
      <c r="AF44546" s="679"/>
    </row>
    <row r="44547" spans="32:32" x14ac:dyDescent="0.2">
      <c r="AF44547" s="679"/>
    </row>
    <row r="44548" spans="32:32" x14ac:dyDescent="0.2">
      <c r="AF44548" s="679"/>
    </row>
    <row r="44549" spans="32:32" x14ac:dyDescent="0.2">
      <c r="AF44549" s="679"/>
    </row>
    <row r="44550" spans="32:32" x14ac:dyDescent="0.2">
      <c r="AF44550" s="679"/>
    </row>
    <row r="44551" spans="32:32" x14ac:dyDescent="0.2">
      <c r="AF44551" s="679"/>
    </row>
    <row r="44552" spans="32:32" x14ac:dyDescent="0.2">
      <c r="AF44552" s="679"/>
    </row>
    <row r="44553" spans="32:32" x14ac:dyDescent="0.2">
      <c r="AF44553" s="679"/>
    </row>
    <row r="44554" spans="32:32" x14ac:dyDescent="0.2">
      <c r="AF44554" s="679"/>
    </row>
    <row r="44555" spans="32:32" x14ac:dyDescent="0.2">
      <c r="AF44555" s="679"/>
    </row>
    <row r="44556" spans="32:32" x14ac:dyDescent="0.2">
      <c r="AF44556" s="679"/>
    </row>
    <row r="44557" spans="32:32" x14ac:dyDescent="0.2">
      <c r="AF44557" s="679"/>
    </row>
    <row r="44558" spans="32:32" x14ac:dyDescent="0.2">
      <c r="AF44558" s="679"/>
    </row>
    <row r="44559" spans="32:32" x14ac:dyDescent="0.2">
      <c r="AF44559" s="679"/>
    </row>
    <row r="44560" spans="32:32" x14ac:dyDescent="0.2">
      <c r="AF44560" s="679"/>
    </row>
    <row r="44561" spans="32:32" x14ac:dyDescent="0.2">
      <c r="AF44561" s="679"/>
    </row>
    <row r="44562" spans="32:32" x14ac:dyDescent="0.2">
      <c r="AF44562" s="679"/>
    </row>
    <row r="44563" spans="32:32" x14ac:dyDescent="0.2">
      <c r="AF44563" s="679"/>
    </row>
    <row r="44564" spans="32:32" x14ac:dyDescent="0.2">
      <c r="AF44564" s="679"/>
    </row>
    <row r="44565" spans="32:32" x14ac:dyDescent="0.2">
      <c r="AF44565" s="679"/>
    </row>
    <row r="44566" spans="32:32" x14ac:dyDescent="0.2">
      <c r="AF44566" s="679"/>
    </row>
    <row r="44567" spans="32:32" x14ac:dyDescent="0.2">
      <c r="AF44567" s="679"/>
    </row>
    <row r="44568" spans="32:32" x14ac:dyDescent="0.2">
      <c r="AF44568" s="679"/>
    </row>
    <row r="44569" spans="32:32" x14ac:dyDescent="0.2">
      <c r="AF44569" s="679"/>
    </row>
    <row r="44570" spans="32:32" x14ac:dyDescent="0.2">
      <c r="AF44570" s="679"/>
    </row>
    <row r="44571" spans="32:32" x14ac:dyDescent="0.2">
      <c r="AF44571" s="679"/>
    </row>
    <row r="44572" spans="32:32" x14ac:dyDescent="0.2">
      <c r="AF44572" s="679"/>
    </row>
    <row r="44573" spans="32:32" x14ac:dyDescent="0.2">
      <c r="AF44573" s="679"/>
    </row>
    <row r="44574" spans="32:32" x14ac:dyDescent="0.2">
      <c r="AF44574" s="679"/>
    </row>
    <row r="44575" spans="32:32" x14ac:dyDescent="0.2">
      <c r="AF44575" s="679"/>
    </row>
    <row r="44576" spans="32:32" x14ac:dyDescent="0.2">
      <c r="AF44576" s="679"/>
    </row>
    <row r="44577" spans="32:32" x14ac:dyDescent="0.2">
      <c r="AF44577" s="679"/>
    </row>
    <row r="44578" spans="32:32" x14ac:dyDescent="0.2">
      <c r="AF44578" s="679"/>
    </row>
    <row r="44579" spans="32:32" x14ac:dyDescent="0.2">
      <c r="AF44579" s="679"/>
    </row>
    <row r="44580" spans="32:32" x14ac:dyDescent="0.2">
      <c r="AF44580" s="679"/>
    </row>
    <row r="44581" spans="32:32" x14ac:dyDescent="0.2">
      <c r="AF44581" s="679"/>
    </row>
    <row r="44582" spans="32:32" x14ac:dyDescent="0.2">
      <c r="AF44582" s="679"/>
    </row>
    <row r="44583" spans="32:32" x14ac:dyDescent="0.2">
      <c r="AF44583" s="679"/>
    </row>
    <row r="44584" spans="32:32" x14ac:dyDescent="0.2">
      <c r="AF44584" s="679"/>
    </row>
    <row r="44585" spans="32:32" x14ac:dyDescent="0.2">
      <c r="AF44585" s="679"/>
    </row>
    <row r="44586" spans="32:32" x14ac:dyDescent="0.2">
      <c r="AF44586" s="679"/>
    </row>
    <row r="44587" spans="32:32" x14ac:dyDescent="0.2">
      <c r="AF44587" s="679"/>
    </row>
    <row r="44588" spans="32:32" x14ac:dyDescent="0.2">
      <c r="AF44588" s="679"/>
    </row>
    <row r="44589" spans="32:32" x14ac:dyDescent="0.2">
      <c r="AF44589" s="679"/>
    </row>
    <row r="44590" spans="32:32" x14ac:dyDescent="0.2">
      <c r="AF44590" s="679"/>
    </row>
    <row r="44591" spans="32:32" x14ac:dyDescent="0.2">
      <c r="AF44591" s="679"/>
    </row>
    <row r="44592" spans="32:32" x14ac:dyDescent="0.2">
      <c r="AF44592" s="679"/>
    </row>
    <row r="44593" spans="32:32" x14ac:dyDescent="0.2">
      <c r="AF44593" s="679"/>
    </row>
    <row r="44594" spans="32:32" x14ac:dyDescent="0.2">
      <c r="AF44594" s="679"/>
    </row>
    <row r="44595" spans="32:32" x14ac:dyDescent="0.2">
      <c r="AF44595" s="679"/>
    </row>
    <row r="44596" spans="32:32" x14ac:dyDescent="0.2">
      <c r="AF44596" s="679"/>
    </row>
    <row r="44597" spans="32:32" x14ac:dyDescent="0.2">
      <c r="AF44597" s="679"/>
    </row>
    <row r="44598" spans="32:32" x14ac:dyDescent="0.2">
      <c r="AF44598" s="679"/>
    </row>
    <row r="44599" spans="32:32" x14ac:dyDescent="0.2">
      <c r="AF44599" s="679"/>
    </row>
    <row r="44600" spans="32:32" x14ac:dyDescent="0.2">
      <c r="AF44600" s="679"/>
    </row>
    <row r="44601" spans="32:32" x14ac:dyDescent="0.2">
      <c r="AF44601" s="679"/>
    </row>
    <row r="44602" spans="32:32" x14ac:dyDescent="0.2">
      <c r="AF44602" s="679"/>
    </row>
    <row r="44603" spans="32:32" x14ac:dyDescent="0.2">
      <c r="AF44603" s="679"/>
    </row>
    <row r="44604" spans="32:32" x14ac:dyDescent="0.2">
      <c r="AF44604" s="679"/>
    </row>
    <row r="44605" spans="32:32" x14ac:dyDescent="0.2">
      <c r="AF44605" s="679"/>
    </row>
    <row r="44606" spans="32:32" x14ac:dyDescent="0.2">
      <c r="AF44606" s="679"/>
    </row>
    <row r="44607" spans="32:32" x14ac:dyDescent="0.2">
      <c r="AF44607" s="679"/>
    </row>
    <row r="44608" spans="32:32" x14ac:dyDescent="0.2">
      <c r="AF44608" s="679"/>
    </row>
    <row r="44609" spans="32:32" x14ac:dyDescent="0.2">
      <c r="AF44609" s="679"/>
    </row>
    <row r="44610" spans="32:32" x14ac:dyDescent="0.2">
      <c r="AF44610" s="679"/>
    </row>
    <row r="44611" spans="32:32" x14ac:dyDescent="0.2">
      <c r="AF44611" s="679"/>
    </row>
    <row r="44612" spans="32:32" x14ac:dyDescent="0.2">
      <c r="AF44612" s="679"/>
    </row>
    <row r="44613" spans="32:32" x14ac:dyDescent="0.2">
      <c r="AF44613" s="679"/>
    </row>
    <row r="44614" spans="32:32" x14ac:dyDescent="0.2">
      <c r="AF44614" s="679"/>
    </row>
    <row r="44615" spans="32:32" x14ac:dyDescent="0.2">
      <c r="AF44615" s="679"/>
    </row>
    <row r="44616" spans="32:32" x14ac:dyDescent="0.2">
      <c r="AF44616" s="679"/>
    </row>
    <row r="44617" spans="32:32" x14ac:dyDescent="0.2">
      <c r="AF44617" s="679"/>
    </row>
    <row r="44618" spans="32:32" x14ac:dyDescent="0.2">
      <c r="AF44618" s="679"/>
    </row>
    <row r="44619" spans="32:32" x14ac:dyDescent="0.2">
      <c r="AF44619" s="679"/>
    </row>
    <row r="44620" spans="32:32" x14ac:dyDescent="0.2">
      <c r="AF44620" s="679"/>
    </row>
    <row r="44621" spans="32:32" x14ac:dyDescent="0.2">
      <c r="AF44621" s="679"/>
    </row>
    <row r="44622" spans="32:32" x14ac:dyDescent="0.2">
      <c r="AF44622" s="679"/>
    </row>
    <row r="44623" spans="32:32" x14ac:dyDescent="0.2">
      <c r="AF44623" s="679"/>
    </row>
    <row r="44624" spans="32:32" x14ac:dyDescent="0.2">
      <c r="AF44624" s="679"/>
    </row>
    <row r="44625" spans="32:32" x14ac:dyDescent="0.2">
      <c r="AF44625" s="679"/>
    </row>
    <row r="44626" spans="32:32" x14ac:dyDescent="0.2">
      <c r="AF44626" s="679"/>
    </row>
    <row r="44627" spans="32:32" x14ac:dyDescent="0.2">
      <c r="AF44627" s="679"/>
    </row>
    <row r="44628" spans="32:32" x14ac:dyDescent="0.2">
      <c r="AF44628" s="679"/>
    </row>
    <row r="44629" spans="32:32" x14ac:dyDescent="0.2">
      <c r="AF44629" s="679"/>
    </row>
    <row r="44630" spans="32:32" x14ac:dyDescent="0.2">
      <c r="AF44630" s="679"/>
    </row>
    <row r="44631" spans="32:32" x14ac:dyDescent="0.2">
      <c r="AF44631" s="679"/>
    </row>
    <row r="44632" spans="32:32" x14ac:dyDescent="0.2">
      <c r="AF44632" s="679"/>
    </row>
    <row r="44633" spans="32:32" x14ac:dyDescent="0.2">
      <c r="AF44633" s="679"/>
    </row>
    <row r="44634" spans="32:32" x14ac:dyDescent="0.2">
      <c r="AF44634" s="679"/>
    </row>
    <row r="44635" spans="32:32" x14ac:dyDescent="0.2">
      <c r="AF44635" s="679"/>
    </row>
    <row r="44636" spans="32:32" x14ac:dyDescent="0.2">
      <c r="AF44636" s="679"/>
    </row>
    <row r="44637" spans="32:32" x14ac:dyDescent="0.2">
      <c r="AF44637" s="679"/>
    </row>
    <row r="44638" spans="32:32" x14ac:dyDescent="0.2">
      <c r="AF44638" s="679"/>
    </row>
    <row r="44639" spans="32:32" x14ac:dyDescent="0.2">
      <c r="AF44639" s="679"/>
    </row>
    <row r="44640" spans="32:32" x14ac:dyDescent="0.2">
      <c r="AF44640" s="679"/>
    </row>
    <row r="44641" spans="32:32" x14ac:dyDescent="0.2">
      <c r="AF44641" s="679"/>
    </row>
    <row r="44642" spans="32:32" x14ac:dyDescent="0.2">
      <c r="AF44642" s="679"/>
    </row>
    <row r="44643" spans="32:32" x14ac:dyDescent="0.2">
      <c r="AF44643" s="679"/>
    </row>
    <row r="44644" spans="32:32" x14ac:dyDescent="0.2">
      <c r="AF44644" s="679"/>
    </row>
    <row r="44645" spans="32:32" x14ac:dyDescent="0.2">
      <c r="AF44645" s="679"/>
    </row>
    <row r="44646" spans="32:32" x14ac:dyDescent="0.2">
      <c r="AF44646" s="679"/>
    </row>
    <row r="44647" spans="32:32" x14ac:dyDescent="0.2">
      <c r="AF44647" s="679"/>
    </row>
    <row r="44648" spans="32:32" x14ac:dyDescent="0.2">
      <c r="AF44648" s="679"/>
    </row>
    <row r="44649" spans="32:32" x14ac:dyDescent="0.2">
      <c r="AF44649" s="679"/>
    </row>
    <row r="44650" spans="32:32" x14ac:dyDescent="0.2">
      <c r="AF44650" s="679"/>
    </row>
    <row r="44651" spans="32:32" x14ac:dyDescent="0.2">
      <c r="AF44651" s="679"/>
    </row>
    <row r="44652" spans="32:32" x14ac:dyDescent="0.2">
      <c r="AF44652" s="679"/>
    </row>
    <row r="44653" spans="32:32" x14ac:dyDescent="0.2">
      <c r="AF44653" s="679"/>
    </row>
    <row r="44654" spans="32:32" x14ac:dyDescent="0.2">
      <c r="AF44654" s="679"/>
    </row>
    <row r="44655" spans="32:32" x14ac:dyDescent="0.2">
      <c r="AF44655" s="679"/>
    </row>
    <row r="44656" spans="32:32" x14ac:dyDescent="0.2">
      <c r="AF44656" s="679"/>
    </row>
    <row r="44657" spans="32:32" x14ac:dyDescent="0.2">
      <c r="AF44657" s="679"/>
    </row>
    <row r="44658" spans="32:32" x14ac:dyDescent="0.2">
      <c r="AF44658" s="679"/>
    </row>
    <row r="44659" spans="32:32" x14ac:dyDescent="0.2">
      <c r="AF44659" s="679"/>
    </row>
    <row r="44660" spans="32:32" x14ac:dyDescent="0.2">
      <c r="AF44660" s="679"/>
    </row>
    <row r="44661" spans="32:32" x14ac:dyDescent="0.2">
      <c r="AF44661" s="679"/>
    </row>
    <row r="44662" spans="32:32" x14ac:dyDescent="0.2">
      <c r="AF44662" s="679"/>
    </row>
    <row r="44663" spans="32:32" x14ac:dyDescent="0.2">
      <c r="AF44663" s="679"/>
    </row>
    <row r="44664" spans="32:32" x14ac:dyDescent="0.2">
      <c r="AF44664" s="679"/>
    </row>
    <row r="44665" spans="32:32" x14ac:dyDescent="0.2">
      <c r="AF44665" s="679"/>
    </row>
    <row r="44666" spans="32:32" x14ac:dyDescent="0.2">
      <c r="AF44666" s="679"/>
    </row>
    <row r="44667" spans="32:32" x14ac:dyDescent="0.2">
      <c r="AF44667" s="679"/>
    </row>
    <row r="44668" spans="32:32" x14ac:dyDescent="0.2">
      <c r="AF44668" s="679"/>
    </row>
    <row r="44669" spans="32:32" x14ac:dyDescent="0.2">
      <c r="AF44669" s="679"/>
    </row>
    <row r="44670" spans="32:32" x14ac:dyDescent="0.2">
      <c r="AF44670" s="679"/>
    </row>
    <row r="44671" spans="32:32" x14ac:dyDescent="0.2">
      <c r="AF44671" s="679"/>
    </row>
    <row r="44672" spans="32:32" x14ac:dyDescent="0.2">
      <c r="AF44672" s="679"/>
    </row>
    <row r="44673" spans="32:32" x14ac:dyDescent="0.2">
      <c r="AF44673" s="679"/>
    </row>
    <row r="44674" spans="32:32" x14ac:dyDescent="0.2">
      <c r="AF44674" s="679"/>
    </row>
    <row r="44675" spans="32:32" x14ac:dyDescent="0.2">
      <c r="AF44675" s="679"/>
    </row>
    <row r="44676" spans="32:32" x14ac:dyDescent="0.2">
      <c r="AF44676" s="679"/>
    </row>
    <row r="44677" spans="32:32" x14ac:dyDescent="0.2">
      <c r="AF44677" s="679"/>
    </row>
    <row r="44678" spans="32:32" x14ac:dyDescent="0.2">
      <c r="AF44678" s="679"/>
    </row>
    <row r="44679" spans="32:32" x14ac:dyDescent="0.2">
      <c r="AF44679" s="679"/>
    </row>
    <row r="44680" spans="32:32" x14ac:dyDescent="0.2">
      <c r="AF44680" s="679"/>
    </row>
    <row r="44681" spans="32:32" x14ac:dyDescent="0.2">
      <c r="AF44681" s="679"/>
    </row>
    <row r="44682" spans="32:32" x14ac:dyDescent="0.2">
      <c r="AF44682" s="679"/>
    </row>
    <row r="44683" spans="32:32" x14ac:dyDescent="0.2">
      <c r="AF44683" s="679"/>
    </row>
    <row r="44684" spans="32:32" x14ac:dyDescent="0.2">
      <c r="AF44684" s="679"/>
    </row>
    <row r="44685" spans="32:32" x14ac:dyDescent="0.2">
      <c r="AF44685" s="679"/>
    </row>
    <row r="44686" spans="32:32" x14ac:dyDescent="0.2">
      <c r="AF44686" s="679"/>
    </row>
    <row r="44687" spans="32:32" x14ac:dyDescent="0.2">
      <c r="AF44687" s="679"/>
    </row>
    <row r="44688" spans="32:32" x14ac:dyDescent="0.2">
      <c r="AF44688" s="679"/>
    </row>
    <row r="44689" spans="32:32" x14ac:dyDescent="0.2">
      <c r="AF44689" s="679"/>
    </row>
    <row r="44690" spans="32:32" x14ac:dyDescent="0.2">
      <c r="AF44690" s="679"/>
    </row>
    <row r="44691" spans="32:32" x14ac:dyDescent="0.2">
      <c r="AF44691" s="679"/>
    </row>
    <row r="44692" spans="32:32" x14ac:dyDescent="0.2">
      <c r="AF44692" s="679"/>
    </row>
    <row r="44693" spans="32:32" x14ac:dyDescent="0.2">
      <c r="AF44693" s="679"/>
    </row>
    <row r="44694" spans="32:32" x14ac:dyDescent="0.2">
      <c r="AF44694" s="679"/>
    </row>
    <row r="44695" spans="32:32" x14ac:dyDescent="0.2">
      <c r="AF44695" s="679"/>
    </row>
    <row r="44696" spans="32:32" x14ac:dyDescent="0.2">
      <c r="AF44696" s="679"/>
    </row>
    <row r="44697" spans="32:32" x14ac:dyDescent="0.2">
      <c r="AF44697" s="679"/>
    </row>
    <row r="44698" spans="32:32" x14ac:dyDescent="0.2">
      <c r="AF44698" s="679"/>
    </row>
    <row r="44699" spans="32:32" x14ac:dyDescent="0.2">
      <c r="AF44699" s="679"/>
    </row>
    <row r="44700" spans="32:32" x14ac:dyDescent="0.2">
      <c r="AF44700" s="679"/>
    </row>
    <row r="44701" spans="32:32" x14ac:dyDescent="0.2">
      <c r="AF44701" s="679"/>
    </row>
    <row r="44702" spans="32:32" x14ac:dyDescent="0.2">
      <c r="AF44702" s="679"/>
    </row>
    <row r="44703" spans="32:32" x14ac:dyDescent="0.2">
      <c r="AF44703" s="679"/>
    </row>
    <row r="44704" spans="32:32" x14ac:dyDescent="0.2">
      <c r="AF44704" s="679"/>
    </row>
    <row r="44705" spans="32:32" x14ac:dyDescent="0.2">
      <c r="AF44705" s="679"/>
    </row>
    <row r="44706" spans="32:32" x14ac:dyDescent="0.2">
      <c r="AF44706" s="679"/>
    </row>
    <row r="44707" spans="32:32" x14ac:dyDescent="0.2">
      <c r="AF44707" s="679"/>
    </row>
    <row r="44708" spans="32:32" x14ac:dyDescent="0.2">
      <c r="AF44708" s="679"/>
    </row>
    <row r="44709" spans="32:32" x14ac:dyDescent="0.2">
      <c r="AF44709" s="679"/>
    </row>
    <row r="44710" spans="32:32" x14ac:dyDescent="0.2">
      <c r="AF44710" s="679"/>
    </row>
    <row r="44711" spans="32:32" x14ac:dyDescent="0.2">
      <c r="AF44711" s="679"/>
    </row>
    <row r="44712" spans="32:32" x14ac:dyDescent="0.2">
      <c r="AF44712" s="679"/>
    </row>
    <row r="44713" spans="32:32" x14ac:dyDescent="0.2">
      <c r="AF44713" s="679"/>
    </row>
    <row r="44714" spans="32:32" x14ac:dyDescent="0.2">
      <c r="AF44714" s="679"/>
    </row>
    <row r="44715" spans="32:32" x14ac:dyDescent="0.2">
      <c r="AF44715" s="679"/>
    </row>
    <row r="44716" spans="32:32" x14ac:dyDescent="0.2">
      <c r="AF44716" s="679"/>
    </row>
    <row r="44717" spans="32:32" x14ac:dyDescent="0.2">
      <c r="AF44717" s="679"/>
    </row>
    <row r="44718" spans="32:32" x14ac:dyDescent="0.2">
      <c r="AF44718" s="679"/>
    </row>
    <row r="44719" spans="32:32" x14ac:dyDescent="0.2">
      <c r="AF44719" s="679"/>
    </row>
    <row r="44720" spans="32:32" x14ac:dyDescent="0.2">
      <c r="AF44720" s="679"/>
    </row>
    <row r="44721" spans="32:32" x14ac:dyDescent="0.2">
      <c r="AF44721" s="679"/>
    </row>
    <row r="44722" spans="32:32" x14ac:dyDescent="0.2">
      <c r="AF44722" s="679"/>
    </row>
    <row r="44723" spans="32:32" x14ac:dyDescent="0.2">
      <c r="AF44723" s="679"/>
    </row>
    <row r="44724" spans="32:32" x14ac:dyDescent="0.2">
      <c r="AF44724" s="679"/>
    </row>
    <row r="44725" spans="32:32" x14ac:dyDescent="0.2">
      <c r="AF44725" s="679"/>
    </row>
    <row r="44726" spans="32:32" x14ac:dyDescent="0.2">
      <c r="AF44726" s="679"/>
    </row>
    <row r="44727" spans="32:32" x14ac:dyDescent="0.2">
      <c r="AF44727" s="679"/>
    </row>
    <row r="44728" spans="32:32" x14ac:dyDescent="0.2">
      <c r="AF44728" s="679"/>
    </row>
    <row r="44729" spans="32:32" x14ac:dyDescent="0.2">
      <c r="AF44729" s="679"/>
    </row>
    <row r="44730" spans="32:32" x14ac:dyDescent="0.2">
      <c r="AF44730" s="679"/>
    </row>
    <row r="44731" spans="32:32" x14ac:dyDescent="0.2">
      <c r="AF44731" s="679"/>
    </row>
    <row r="44732" spans="32:32" x14ac:dyDescent="0.2">
      <c r="AF44732" s="679"/>
    </row>
    <row r="44733" spans="32:32" x14ac:dyDescent="0.2">
      <c r="AF44733" s="679"/>
    </row>
    <row r="44734" spans="32:32" x14ac:dyDescent="0.2">
      <c r="AF44734" s="679"/>
    </row>
    <row r="44735" spans="32:32" x14ac:dyDescent="0.2">
      <c r="AF44735" s="679"/>
    </row>
    <row r="44736" spans="32:32" x14ac:dyDescent="0.2">
      <c r="AF44736" s="679"/>
    </row>
    <row r="44737" spans="32:32" x14ac:dyDescent="0.2">
      <c r="AF44737" s="679"/>
    </row>
    <row r="44738" spans="32:32" x14ac:dyDescent="0.2">
      <c r="AF44738" s="679"/>
    </row>
    <row r="44739" spans="32:32" x14ac:dyDescent="0.2">
      <c r="AF44739" s="679"/>
    </row>
    <row r="44740" spans="32:32" x14ac:dyDescent="0.2">
      <c r="AF44740" s="679"/>
    </row>
    <row r="44741" spans="32:32" x14ac:dyDescent="0.2">
      <c r="AF44741" s="679"/>
    </row>
    <row r="44742" spans="32:32" x14ac:dyDescent="0.2">
      <c r="AF44742" s="679"/>
    </row>
    <row r="44743" spans="32:32" x14ac:dyDescent="0.2">
      <c r="AF44743" s="679"/>
    </row>
    <row r="44744" spans="32:32" x14ac:dyDescent="0.2">
      <c r="AF44744" s="679"/>
    </row>
    <row r="44745" spans="32:32" x14ac:dyDescent="0.2">
      <c r="AF44745" s="679"/>
    </row>
    <row r="44746" spans="32:32" x14ac:dyDescent="0.2">
      <c r="AF44746" s="679"/>
    </row>
    <row r="44747" spans="32:32" x14ac:dyDescent="0.2">
      <c r="AF44747" s="679"/>
    </row>
    <row r="44748" spans="32:32" x14ac:dyDescent="0.2">
      <c r="AF44748" s="679"/>
    </row>
    <row r="44749" spans="32:32" x14ac:dyDescent="0.2">
      <c r="AF44749" s="679"/>
    </row>
    <row r="44750" spans="32:32" x14ac:dyDescent="0.2">
      <c r="AF44750" s="679"/>
    </row>
    <row r="44751" spans="32:32" x14ac:dyDescent="0.2">
      <c r="AF44751" s="679"/>
    </row>
    <row r="44752" spans="32:32" x14ac:dyDescent="0.2">
      <c r="AF44752" s="679"/>
    </row>
    <row r="44753" spans="32:32" x14ac:dyDescent="0.2">
      <c r="AF44753" s="679"/>
    </row>
    <row r="44754" spans="32:32" x14ac:dyDescent="0.2">
      <c r="AF44754" s="679"/>
    </row>
    <row r="44755" spans="32:32" x14ac:dyDescent="0.2">
      <c r="AF44755" s="679"/>
    </row>
    <row r="44756" spans="32:32" x14ac:dyDescent="0.2">
      <c r="AF44756" s="679"/>
    </row>
    <row r="44757" spans="32:32" x14ac:dyDescent="0.2">
      <c r="AF44757" s="679"/>
    </row>
    <row r="44758" spans="32:32" x14ac:dyDescent="0.2">
      <c r="AF44758" s="679"/>
    </row>
    <row r="44759" spans="32:32" x14ac:dyDescent="0.2">
      <c r="AF44759" s="679"/>
    </row>
    <row r="44760" spans="32:32" x14ac:dyDescent="0.2">
      <c r="AF44760" s="679"/>
    </row>
    <row r="44761" spans="32:32" x14ac:dyDescent="0.2">
      <c r="AF44761" s="679"/>
    </row>
    <row r="44762" spans="32:32" x14ac:dyDescent="0.2">
      <c r="AF44762" s="679"/>
    </row>
    <row r="44763" spans="32:32" x14ac:dyDescent="0.2">
      <c r="AF44763" s="679"/>
    </row>
    <row r="44764" spans="32:32" x14ac:dyDescent="0.2">
      <c r="AF44764" s="679"/>
    </row>
    <row r="44765" spans="32:32" x14ac:dyDescent="0.2">
      <c r="AF44765" s="679"/>
    </row>
    <row r="44766" spans="32:32" x14ac:dyDescent="0.2">
      <c r="AF44766" s="679"/>
    </row>
    <row r="44767" spans="32:32" x14ac:dyDescent="0.2">
      <c r="AF44767" s="679"/>
    </row>
    <row r="44768" spans="32:32" x14ac:dyDescent="0.2">
      <c r="AF44768" s="679"/>
    </row>
    <row r="44769" spans="32:32" x14ac:dyDescent="0.2">
      <c r="AF44769" s="679"/>
    </row>
    <row r="44770" spans="32:32" x14ac:dyDescent="0.2">
      <c r="AF44770" s="679"/>
    </row>
    <row r="44771" spans="32:32" x14ac:dyDescent="0.2">
      <c r="AF44771" s="679"/>
    </row>
    <row r="44772" spans="32:32" x14ac:dyDescent="0.2">
      <c r="AF44772" s="679"/>
    </row>
    <row r="44773" spans="32:32" x14ac:dyDescent="0.2">
      <c r="AF44773" s="679"/>
    </row>
    <row r="44774" spans="32:32" x14ac:dyDescent="0.2">
      <c r="AF44774" s="679"/>
    </row>
    <row r="44775" spans="32:32" x14ac:dyDescent="0.2">
      <c r="AF44775" s="679"/>
    </row>
    <row r="44776" spans="32:32" x14ac:dyDescent="0.2">
      <c r="AF44776" s="679"/>
    </row>
    <row r="44777" spans="32:32" x14ac:dyDescent="0.2">
      <c r="AF44777" s="679"/>
    </row>
    <row r="44778" spans="32:32" x14ac:dyDescent="0.2">
      <c r="AF44778" s="679"/>
    </row>
    <row r="44779" spans="32:32" x14ac:dyDescent="0.2">
      <c r="AF44779" s="679"/>
    </row>
    <row r="44780" spans="32:32" x14ac:dyDescent="0.2">
      <c r="AF44780" s="679"/>
    </row>
    <row r="44781" spans="32:32" x14ac:dyDescent="0.2">
      <c r="AF44781" s="679"/>
    </row>
    <row r="44782" spans="32:32" x14ac:dyDescent="0.2">
      <c r="AF44782" s="679"/>
    </row>
    <row r="44783" spans="32:32" x14ac:dyDescent="0.2">
      <c r="AF44783" s="679"/>
    </row>
    <row r="44784" spans="32:32" x14ac:dyDescent="0.2">
      <c r="AF44784" s="679"/>
    </row>
    <row r="44785" spans="32:32" x14ac:dyDescent="0.2">
      <c r="AF44785" s="679"/>
    </row>
    <row r="44786" spans="32:32" x14ac:dyDescent="0.2">
      <c r="AF44786" s="679"/>
    </row>
    <row r="44787" spans="32:32" x14ac:dyDescent="0.2">
      <c r="AF44787" s="679"/>
    </row>
    <row r="44788" spans="32:32" x14ac:dyDescent="0.2">
      <c r="AF44788" s="679"/>
    </row>
    <row r="44789" spans="32:32" x14ac:dyDescent="0.2">
      <c r="AF44789" s="679"/>
    </row>
    <row r="44790" spans="32:32" x14ac:dyDescent="0.2">
      <c r="AF44790" s="679"/>
    </row>
    <row r="44791" spans="32:32" x14ac:dyDescent="0.2">
      <c r="AF44791" s="679"/>
    </row>
    <row r="44792" spans="32:32" x14ac:dyDescent="0.2">
      <c r="AF44792" s="679"/>
    </row>
    <row r="44793" spans="32:32" x14ac:dyDescent="0.2">
      <c r="AF44793" s="679"/>
    </row>
    <row r="44794" spans="32:32" x14ac:dyDescent="0.2">
      <c r="AF44794" s="679"/>
    </row>
    <row r="44795" spans="32:32" x14ac:dyDescent="0.2">
      <c r="AF44795" s="679"/>
    </row>
    <row r="44796" spans="32:32" x14ac:dyDescent="0.2">
      <c r="AF44796" s="679"/>
    </row>
    <row r="44797" spans="32:32" x14ac:dyDescent="0.2">
      <c r="AF44797" s="679"/>
    </row>
    <row r="44798" spans="32:32" x14ac:dyDescent="0.2">
      <c r="AF44798" s="679"/>
    </row>
    <row r="44799" spans="32:32" x14ac:dyDescent="0.2">
      <c r="AF44799" s="679"/>
    </row>
    <row r="44800" spans="32:32" x14ac:dyDescent="0.2">
      <c r="AF44800" s="679"/>
    </row>
    <row r="44801" spans="32:32" x14ac:dyDescent="0.2">
      <c r="AF44801" s="679"/>
    </row>
    <row r="44802" spans="32:32" x14ac:dyDescent="0.2">
      <c r="AF44802" s="679"/>
    </row>
    <row r="44803" spans="32:32" x14ac:dyDescent="0.2">
      <c r="AF44803" s="679"/>
    </row>
    <row r="44804" spans="32:32" x14ac:dyDescent="0.2">
      <c r="AF44804" s="679"/>
    </row>
    <row r="44805" spans="32:32" x14ac:dyDescent="0.2">
      <c r="AF44805" s="679"/>
    </row>
    <row r="44806" spans="32:32" x14ac:dyDescent="0.2">
      <c r="AF44806" s="679"/>
    </row>
    <row r="44807" spans="32:32" x14ac:dyDescent="0.2">
      <c r="AF44807" s="679"/>
    </row>
    <row r="44808" spans="32:32" x14ac:dyDescent="0.2">
      <c r="AF44808" s="679"/>
    </row>
    <row r="44809" spans="32:32" x14ac:dyDescent="0.2">
      <c r="AF44809" s="679"/>
    </row>
    <row r="44810" spans="32:32" x14ac:dyDescent="0.2">
      <c r="AF44810" s="679"/>
    </row>
    <row r="44811" spans="32:32" x14ac:dyDescent="0.2">
      <c r="AF44811" s="679"/>
    </row>
    <row r="44812" spans="32:32" x14ac:dyDescent="0.2">
      <c r="AF44812" s="679"/>
    </row>
    <row r="44813" spans="32:32" x14ac:dyDescent="0.2">
      <c r="AF44813" s="679"/>
    </row>
    <row r="44814" spans="32:32" x14ac:dyDescent="0.2">
      <c r="AF44814" s="679"/>
    </row>
    <row r="44815" spans="32:32" x14ac:dyDescent="0.2">
      <c r="AF44815" s="679"/>
    </row>
    <row r="44816" spans="32:32" x14ac:dyDescent="0.2">
      <c r="AF44816" s="679"/>
    </row>
    <row r="44817" spans="32:32" x14ac:dyDescent="0.2">
      <c r="AF44817" s="679"/>
    </row>
    <row r="44818" spans="32:32" x14ac:dyDescent="0.2">
      <c r="AF44818" s="679"/>
    </row>
    <row r="44819" spans="32:32" x14ac:dyDescent="0.2">
      <c r="AF44819" s="679"/>
    </row>
    <row r="44820" spans="32:32" x14ac:dyDescent="0.2">
      <c r="AF44820" s="679"/>
    </row>
    <row r="44821" spans="32:32" x14ac:dyDescent="0.2">
      <c r="AF44821" s="679"/>
    </row>
    <row r="44822" spans="32:32" x14ac:dyDescent="0.2">
      <c r="AF44822" s="679"/>
    </row>
    <row r="44823" spans="32:32" x14ac:dyDescent="0.2">
      <c r="AF44823" s="679"/>
    </row>
    <row r="44824" spans="32:32" x14ac:dyDescent="0.2">
      <c r="AF44824" s="679"/>
    </row>
    <row r="44825" spans="32:32" x14ac:dyDescent="0.2">
      <c r="AF44825" s="679"/>
    </row>
    <row r="44826" spans="32:32" x14ac:dyDescent="0.2">
      <c r="AF44826" s="679"/>
    </row>
    <row r="44827" spans="32:32" x14ac:dyDescent="0.2">
      <c r="AF44827" s="679"/>
    </row>
    <row r="44828" spans="32:32" x14ac:dyDescent="0.2">
      <c r="AF44828" s="679"/>
    </row>
    <row r="44829" spans="32:32" x14ac:dyDescent="0.2">
      <c r="AF44829" s="679"/>
    </row>
    <row r="44830" spans="32:32" x14ac:dyDescent="0.2">
      <c r="AF44830" s="679"/>
    </row>
    <row r="44831" spans="32:32" x14ac:dyDescent="0.2">
      <c r="AF44831" s="679"/>
    </row>
    <row r="44832" spans="32:32" x14ac:dyDescent="0.2">
      <c r="AF44832" s="679"/>
    </row>
    <row r="44833" spans="32:32" x14ac:dyDescent="0.2">
      <c r="AF44833" s="679"/>
    </row>
    <row r="44834" spans="32:32" x14ac:dyDescent="0.2">
      <c r="AF44834" s="679"/>
    </row>
    <row r="44835" spans="32:32" x14ac:dyDescent="0.2">
      <c r="AF44835" s="679"/>
    </row>
    <row r="44836" spans="32:32" x14ac:dyDescent="0.2">
      <c r="AF44836" s="679"/>
    </row>
    <row r="44837" spans="32:32" x14ac:dyDescent="0.2">
      <c r="AF44837" s="679"/>
    </row>
    <row r="44838" spans="32:32" x14ac:dyDescent="0.2">
      <c r="AF44838" s="679"/>
    </row>
    <row r="44839" spans="32:32" x14ac:dyDescent="0.2">
      <c r="AF44839" s="679"/>
    </row>
    <row r="44840" spans="32:32" x14ac:dyDescent="0.2">
      <c r="AF44840" s="679"/>
    </row>
    <row r="44841" spans="32:32" x14ac:dyDescent="0.2">
      <c r="AF44841" s="679"/>
    </row>
    <row r="44842" spans="32:32" x14ac:dyDescent="0.2">
      <c r="AF44842" s="679"/>
    </row>
    <row r="44843" spans="32:32" x14ac:dyDescent="0.2">
      <c r="AF44843" s="679"/>
    </row>
    <row r="44844" spans="32:32" x14ac:dyDescent="0.2">
      <c r="AF44844" s="679"/>
    </row>
    <row r="44845" spans="32:32" x14ac:dyDescent="0.2">
      <c r="AF44845" s="679"/>
    </row>
    <row r="44846" spans="32:32" x14ac:dyDescent="0.2">
      <c r="AF44846" s="679"/>
    </row>
    <row r="44847" spans="32:32" x14ac:dyDescent="0.2">
      <c r="AF44847" s="679"/>
    </row>
    <row r="44848" spans="32:32" x14ac:dyDescent="0.2">
      <c r="AF44848" s="679"/>
    </row>
    <row r="44849" spans="32:32" x14ac:dyDescent="0.2">
      <c r="AF44849" s="679"/>
    </row>
    <row r="44850" spans="32:32" x14ac:dyDescent="0.2">
      <c r="AF44850" s="679"/>
    </row>
    <row r="44851" spans="32:32" x14ac:dyDescent="0.2">
      <c r="AF44851" s="679"/>
    </row>
    <row r="44852" spans="32:32" x14ac:dyDescent="0.2">
      <c r="AF44852" s="679"/>
    </row>
    <row r="44853" spans="32:32" x14ac:dyDescent="0.2">
      <c r="AF44853" s="679"/>
    </row>
    <row r="44854" spans="32:32" x14ac:dyDescent="0.2">
      <c r="AF44854" s="679"/>
    </row>
    <row r="44855" spans="32:32" x14ac:dyDescent="0.2">
      <c r="AF44855" s="679"/>
    </row>
    <row r="44856" spans="32:32" x14ac:dyDescent="0.2">
      <c r="AF44856" s="679"/>
    </row>
    <row r="44857" spans="32:32" x14ac:dyDescent="0.2">
      <c r="AF44857" s="679"/>
    </row>
    <row r="44858" spans="32:32" x14ac:dyDescent="0.2">
      <c r="AF44858" s="679"/>
    </row>
    <row r="44859" spans="32:32" x14ac:dyDescent="0.2">
      <c r="AF44859" s="679"/>
    </row>
    <row r="44860" spans="32:32" x14ac:dyDescent="0.2">
      <c r="AF44860" s="679"/>
    </row>
    <row r="44861" spans="32:32" x14ac:dyDescent="0.2">
      <c r="AF44861" s="679"/>
    </row>
    <row r="44862" spans="32:32" x14ac:dyDescent="0.2">
      <c r="AF44862" s="679"/>
    </row>
    <row r="44863" spans="32:32" x14ac:dyDescent="0.2">
      <c r="AF44863" s="679"/>
    </row>
    <row r="44864" spans="32:32" x14ac:dyDescent="0.2">
      <c r="AF44864" s="679"/>
    </row>
    <row r="44865" spans="32:32" x14ac:dyDescent="0.2">
      <c r="AF44865" s="679"/>
    </row>
    <row r="44866" spans="32:32" x14ac:dyDescent="0.2">
      <c r="AF44866" s="679"/>
    </row>
    <row r="44867" spans="32:32" x14ac:dyDescent="0.2">
      <c r="AF44867" s="679"/>
    </row>
    <row r="44868" spans="32:32" x14ac:dyDescent="0.2">
      <c r="AF44868" s="679"/>
    </row>
    <row r="44869" spans="32:32" x14ac:dyDescent="0.2">
      <c r="AF44869" s="679"/>
    </row>
    <row r="44870" spans="32:32" x14ac:dyDescent="0.2">
      <c r="AF44870" s="679"/>
    </row>
    <row r="44871" spans="32:32" x14ac:dyDescent="0.2">
      <c r="AF44871" s="679"/>
    </row>
    <row r="44872" spans="32:32" x14ac:dyDescent="0.2">
      <c r="AF44872" s="679"/>
    </row>
    <row r="44873" spans="32:32" x14ac:dyDescent="0.2">
      <c r="AF44873" s="679"/>
    </row>
    <row r="44874" spans="32:32" x14ac:dyDescent="0.2">
      <c r="AF44874" s="679"/>
    </row>
    <row r="44875" spans="32:32" x14ac:dyDescent="0.2">
      <c r="AF44875" s="679"/>
    </row>
    <row r="44876" spans="32:32" x14ac:dyDescent="0.2">
      <c r="AF44876" s="679"/>
    </row>
    <row r="44877" spans="32:32" x14ac:dyDescent="0.2">
      <c r="AF44877" s="679"/>
    </row>
    <row r="44878" spans="32:32" x14ac:dyDescent="0.2">
      <c r="AF44878" s="679"/>
    </row>
    <row r="44879" spans="32:32" x14ac:dyDescent="0.2">
      <c r="AF44879" s="679"/>
    </row>
    <row r="44880" spans="32:32" x14ac:dyDescent="0.2">
      <c r="AF44880" s="679"/>
    </row>
    <row r="44881" spans="32:32" x14ac:dyDescent="0.2">
      <c r="AF44881" s="679"/>
    </row>
    <row r="44882" spans="32:32" x14ac:dyDescent="0.2">
      <c r="AF44882" s="679"/>
    </row>
    <row r="44883" spans="32:32" x14ac:dyDescent="0.2">
      <c r="AF44883" s="679"/>
    </row>
    <row r="44884" spans="32:32" x14ac:dyDescent="0.2">
      <c r="AF44884" s="679"/>
    </row>
    <row r="44885" spans="32:32" x14ac:dyDescent="0.2">
      <c r="AF44885" s="679"/>
    </row>
    <row r="44886" spans="32:32" x14ac:dyDescent="0.2">
      <c r="AF44886" s="679"/>
    </row>
    <row r="44887" spans="32:32" x14ac:dyDescent="0.2">
      <c r="AF44887" s="679"/>
    </row>
    <row r="44888" spans="32:32" x14ac:dyDescent="0.2">
      <c r="AF44888" s="679"/>
    </row>
    <row r="44889" spans="32:32" x14ac:dyDescent="0.2">
      <c r="AF44889" s="679"/>
    </row>
    <row r="44890" spans="32:32" x14ac:dyDescent="0.2">
      <c r="AF44890" s="679"/>
    </row>
    <row r="44891" spans="32:32" x14ac:dyDescent="0.2">
      <c r="AF44891" s="679"/>
    </row>
    <row r="44892" spans="32:32" x14ac:dyDescent="0.2">
      <c r="AF44892" s="679"/>
    </row>
    <row r="44893" spans="32:32" x14ac:dyDescent="0.2">
      <c r="AF44893" s="679"/>
    </row>
    <row r="44894" spans="32:32" x14ac:dyDescent="0.2">
      <c r="AF44894" s="679"/>
    </row>
    <row r="44895" spans="32:32" x14ac:dyDescent="0.2">
      <c r="AF44895" s="679"/>
    </row>
    <row r="44896" spans="32:32" x14ac:dyDescent="0.2">
      <c r="AF44896" s="679"/>
    </row>
    <row r="44897" spans="32:32" x14ac:dyDescent="0.2">
      <c r="AF44897" s="679"/>
    </row>
    <row r="44898" spans="32:32" x14ac:dyDescent="0.2">
      <c r="AF44898" s="679"/>
    </row>
    <row r="44899" spans="32:32" x14ac:dyDescent="0.2">
      <c r="AF44899" s="679"/>
    </row>
    <row r="44900" spans="32:32" x14ac:dyDescent="0.2">
      <c r="AF44900" s="679"/>
    </row>
    <row r="44901" spans="32:32" x14ac:dyDescent="0.2">
      <c r="AF44901" s="679"/>
    </row>
    <row r="44902" spans="32:32" x14ac:dyDescent="0.2">
      <c r="AF44902" s="679"/>
    </row>
    <row r="44903" spans="32:32" x14ac:dyDescent="0.2">
      <c r="AF44903" s="679"/>
    </row>
    <row r="44904" spans="32:32" x14ac:dyDescent="0.2">
      <c r="AF44904" s="679"/>
    </row>
    <row r="44905" spans="32:32" x14ac:dyDescent="0.2">
      <c r="AF44905" s="679"/>
    </row>
    <row r="44906" spans="32:32" x14ac:dyDescent="0.2">
      <c r="AF44906" s="679"/>
    </row>
    <row r="44907" spans="32:32" x14ac:dyDescent="0.2">
      <c r="AF44907" s="679"/>
    </row>
    <row r="44908" spans="32:32" x14ac:dyDescent="0.2">
      <c r="AF44908" s="679"/>
    </row>
    <row r="44909" spans="32:32" x14ac:dyDescent="0.2">
      <c r="AF44909" s="679"/>
    </row>
    <row r="44910" spans="32:32" x14ac:dyDescent="0.2">
      <c r="AF44910" s="679"/>
    </row>
    <row r="44911" spans="32:32" x14ac:dyDescent="0.2">
      <c r="AF44911" s="679"/>
    </row>
    <row r="44912" spans="32:32" x14ac:dyDescent="0.2">
      <c r="AF44912" s="679"/>
    </row>
    <row r="44913" spans="32:32" x14ac:dyDescent="0.2">
      <c r="AF44913" s="679"/>
    </row>
    <row r="44914" spans="32:32" x14ac:dyDescent="0.2">
      <c r="AF44914" s="679"/>
    </row>
    <row r="44915" spans="32:32" x14ac:dyDescent="0.2">
      <c r="AF44915" s="679"/>
    </row>
    <row r="44916" spans="32:32" x14ac:dyDescent="0.2">
      <c r="AF44916" s="679"/>
    </row>
    <row r="44917" spans="32:32" x14ac:dyDescent="0.2">
      <c r="AF44917" s="679"/>
    </row>
    <row r="44918" spans="32:32" x14ac:dyDescent="0.2">
      <c r="AF44918" s="679"/>
    </row>
    <row r="44919" spans="32:32" x14ac:dyDescent="0.2">
      <c r="AF44919" s="679"/>
    </row>
    <row r="44920" spans="32:32" x14ac:dyDescent="0.2">
      <c r="AF44920" s="679"/>
    </row>
    <row r="44921" spans="32:32" x14ac:dyDescent="0.2">
      <c r="AF44921" s="679"/>
    </row>
    <row r="44922" spans="32:32" x14ac:dyDescent="0.2">
      <c r="AF44922" s="679"/>
    </row>
    <row r="44923" spans="32:32" x14ac:dyDescent="0.2">
      <c r="AF44923" s="679"/>
    </row>
    <row r="44924" spans="32:32" x14ac:dyDescent="0.2">
      <c r="AF44924" s="679"/>
    </row>
    <row r="44925" spans="32:32" x14ac:dyDescent="0.2">
      <c r="AF44925" s="679"/>
    </row>
    <row r="44926" spans="32:32" x14ac:dyDescent="0.2">
      <c r="AF44926" s="679"/>
    </row>
    <row r="44927" spans="32:32" x14ac:dyDescent="0.2">
      <c r="AF44927" s="679"/>
    </row>
    <row r="44928" spans="32:32" x14ac:dyDescent="0.2">
      <c r="AF44928" s="679"/>
    </row>
    <row r="44929" spans="32:32" x14ac:dyDescent="0.2">
      <c r="AF44929" s="679"/>
    </row>
    <row r="44930" spans="32:32" x14ac:dyDescent="0.2">
      <c r="AF44930" s="679"/>
    </row>
    <row r="44931" spans="32:32" x14ac:dyDescent="0.2">
      <c r="AF44931" s="679"/>
    </row>
    <row r="44932" spans="32:32" x14ac:dyDescent="0.2">
      <c r="AF44932" s="679"/>
    </row>
    <row r="44933" spans="32:32" x14ac:dyDescent="0.2">
      <c r="AF44933" s="679"/>
    </row>
    <row r="44934" spans="32:32" x14ac:dyDescent="0.2">
      <c r="AF44934" s="679"/>
    </row>
    <row r="44935" spans="32:32" x14ac:dyDescent="0.2">
      <c r="AF44935" s="679"/>
    </row>
    <row r="44936" spans="32:32" x14ac:dyDescent="0.2">
      <c r="AF44936" s="679"/>
    </row>
    <row r="44937" spans="32:32" x14ac:dyDescent="0.2">
      <c r="AF44937" s="679"/>
    </row>
    <row r="44938" spans="32:32" x14ac:dyDescent="0.2">
      <c r="AF44938" s="679"/>
    </row>
    <row r="44939" spans="32:32" x14ac:dyDescent="0.2">
      <c r="AF44939" s="679"/>
    </row>
    <row r="44940" spans="32:32" x14ac:dyDescent="0.2">
      <c r="AF44940" s="679"/>
    </row>
    <row r="44941" spans="32:32" x14ac:dyDescent="0.2">
      <c r="AF44941" s="679"/>
    </row>
    <row r="44942" spans="32:32" x14ac:dyDescent="0.2">
      <c r="AF44942" s="679"/>
    </row>
    <row r="44943" spans="32:32" x14ac:dyDescent="0.2">
      <c r="AF44943" s="679"/>
    </row>
    <row r="44944" spans="32:32" x14ac:dyDescent="0.2">
      <c r="AF44944" s="679"/>
    </row>
    <row r="44945" spans="32:32" x14ac:dyDescent="0.2">
      <c r="AF44945" s="679"/>
    </row>
    <row r="44946" spans="32:32" x14ac:dyDescent="0.2">
      <c r="AF44946" s="679"/>
    </row>
    <row r="44947" spans="32:32" x14ac:dyDescent="0.2">
      <c r="AF44947" s="679"/>
    </row>
    <row r="44948" spans="32:32" x14ac:dyDescent="0.2">
      <c r="AF44948" s="679"/>
    </row>
    <row r="44949" spans="32:32" x14ac:dyDescent="0.2">
      <c r="AF44949" s="679"/>
    </row>
    <row r="44950" spans="32:32" x14ac:dyDescent="0.2">
      <c r="AF44950" s="679"/>
    </row>
    <row r="44951" spans="32:32" x14ac:dyDescent="0.2">
      <c r="AF44951" s="679"/>
    </row>
    <row r="44952" spans="32:32" x14ac:dyDescent="0.2">
      <c r="AF44952" s="679"/>
    </row>
    <row r="44953" spans="32:32" x14ac:dyDescent="0.2">
      <c r="AF44953" s="679"/>
    </row>
    <row r="44954" spans="32:32" x14ac:dyDescent="0.2">
      <c r="AF44954" s="679"/>
    </row>
    <row r="44955" spans="32:32" x14ac:dyDescent="0.2">
      <c r="AF44955" s="679"/>
    </row>
    <row r="44956" spans="32:32" x14ac:dyDescent="0.2">
      <c r="AF44956" s="679"/>
    </row>
    <row r="44957" spans="32:32" x14ac:dyDescent="0.2">
      <c r="AF44957" s="679"/>
    </row>
    <row r="44958" spans="32:32" x14ac:dyDescent="0.2">
      <c r="AF44958" s="679"/>
    </row>
    <row r="44959" spans="32:32" x14ac:dyDescent="0.2">
      <c r="AF44959" s="679"/>
    </row>
    <row r="44960" spans="32:32" x14ac:dyDescent="0.2">
      <c r="AF44960" s="679"/>
    </row>
    <row r="44961" spans="32:32" x14ac:dyDescent="0.2">
      <c r="AF44961" s="679"/>
    </row>
    <row r="44962" spans="32:32" x14ac:dyDescent="0.2">
      <c r="AF44962" s="679"/>
    </row>
    <row r="44963" spans="32:32" x14ac:dyDescent="0.2">
      <c r="AF44963" s="679"/>
    </row>
    <row r="44964" spans="32:32" x14ac:dyDescent="0.2">
      <c r="AF44964" s="679"/>
    </row>
    <row r="44965" spans="32:32" x14ac:dyDescent="0.2">
      <c r="AF44965" s="679"/>
    </row>
    <row r="44966" spans="32:32" x14ac:dyDescent="0.2">
      <c r="AF44966" s="679"/>
    </row>
    <row r="44967" spans="32:32" x14ac:dyDescent="0.2">
      <c r="AF44967" s="679"/>
    </row>
    <row r="44968" spans="32:32" x14ac:dyDescent="0.2">
      <c r="AF44968" s="679"/>
    </row>
    <row r="44969" spans="32:32" x14ac:dyDescent="0.2">
      <c r="AF44969" s="679"/>
    </row>
    <row r="44970" spans="32:32" x14ac:dyDescent="0.2">
      <c r="AF44970" s="679"/>
    </row>
    <row r="44971" spans="32:32" x14ac:dyDescent="0.2">
      <c r="AF44971" s="679"/>
    </row>
    <row r="44972" spans="32:32" x14ac:dyDescent="0.2">
      <c r="AF44972" s="679"/>
    </row>
    <row r="44973" spans="32:32" x14ac:dyDescent="0.2">
      <c r="AF44973" s="679"/>
    </row>
    <row r="44974" spans="32:32" x14ac:dyDescent="0.2">
      <c r="AF44974" s="679"/>
    </row>
    <row r="44975" spans="32:32" x14ac:dyDescent="0.2">
      <c r="AF44975" s="679"/>
    </row>
    <row r="44976" spans="32:32" x14ac:dyDescent="0.2">
      <c r="AF44976" s="679"/>
    </row>
    <row r="44977" spans="32:32" x14ac:dyDescent="0.2">
      <c r="AF44977" s="679"/>
    </row>
    <row r="44978" spans="32:32" x14ac:dyDescent="0.2">
      <c r="AF44978" s="679"/>
    </row>
    <row r="44979" spans="32:32" x14ac:dyDescent="0.2">
      <c r="AF44979" s="679"/>
    </row>
    <row r="44980" spans="32:32" x14ac:dyDescent="0.2">
      <c r="AF44980" s="679"/>
    </row>
    <row r="44981" spans="32:32" x14ac:dyDescent="0.2">
      <c r="AF44981" s="679"/>
    </row>
    <row r="44982" spans="32:32" x14ac:dyDescent="0.2">
      <c r="AF44982" s="679"/>
    </row>
    <row r="44983" spans="32:32" x14ac:dyDescent="0.2">
      <c r="AF44983" s="679"/>
    </row>
    <row r="44984" spans="32:32" x14ac:dyDescent="0.2">
      <c r="AF44984" s="679"/>
    </row>
    <row r="44985" spans="32:32" x14ac:dyDescent="0.2">
      <c r="AF44985" s="679"/>
    </row>
    <row r="44986" spans="32:32" x14ac:dyDescent="0.2">
      <c r="AF44986" s="679"/>
    </row>
    <row r="44987" spans="32:32" x14ac:dyDescent="0.2">
      <c r="AF44987" s="679"/>
    </row>
    <row r="44988" spans="32:32" x14ac:dyDescent="0.2">
      <c r="AF44988" s="679"/>
    </row>
    <row r="44989" spans="32:32" x14ac:dyDescent="0.2">
      <c r="AF44989" s="679"/>
    </row>
    <row r="44990" spans="32:32" x14ac:dyDescent="0.2">
      <c r="AF44990" s="679"/>
    </row>
    <row r="44991" spans="32:32" x14ac:dyDescent="0.2">
      <c r="AF44991" s="679"/>
    </row>
    <row r="44992" spans="32:32" x14ac:dyDescent="0.2">
      <c r="AF44992" s="679"/>
    </row>
    <row r="44993" spans="32:32" x14ac:dyDescent="0.2">
      <c r="AF44993" s="679"/>
    </row>
    <row r="44994" spans="32:32" x14ac:dyDescent="0.2">
      <c r="AF44994" s="679"/>
    </row>
    <row r="44995" spans="32:32" x14ac:dyDescent="0.2">
      <c r="AF44995" s="679"/>
    </row>
    <row r="44996" spans="32:32" x14ac:dyDescent="0.2">
      <c r="AF44996" s="679"/>
    </row>
    <row r="44997" spans="32:32" x14ac:dyDescent="0.2">
      <c r="AF44997" s="679"/>
    </row>
    <row r="44998" spans="32:32" x14ac:dyDescent="0.2">
      <c r="AF44998" s="679"/>
    </row>
    <row r="44999" spans="32:32" x14ac:dyDescent="0.2">
      <c r="AF44999" s="679"/>
    </row>
    <row r="45000" spans="32:32" x14ac:dyDescent="0.2">
      <c r="AF45000" s="679"/>
    </row>
    <row r="45001" spans="32:32" x14ac:dyDescent="0.2">
      <c r="AF45001" s="679"/>
    </row>
    <row r="45002" spans="32:32" x14ac:dyDescent="0.2">
      <c r="AF45002" s="679"/>
    </row>
    <row r="45003" spans="32:32" x14ac:dyDescent="0.2">
      <c r="AF45003" s="679"/>
    </row>
    <row r="45004" spans="32:32" x14ac:dyDescent="0.2">
      <c r="AF45004" s="679"/>
    </row>
    <row r="45005" spans="32:32" x14ac:dyDescent="0.2">
      <c r="AF45005" s="679"/>
    </row>
    <row r="45006" spans="32:32" x14ac:dyDescent="0.2">
      <c r="AF45006" s="679"/>
    </row>
    <row r="45007" spans="32:32" x14ac:dyDescent="0.2">
      <c r="AF45007" s="679"/>
    </row>
    <row r="45008" spans="32:32" x14ac:dyDescent="0.2">
      <c r="AF45008" s="679"/>
    </row>
    <row r="45009" spans="32:32" x14ac:dyDescent="0.2">
      <c r="AF45009" s="679"/>
    </row>
    <row r="45010" spans="32:32" x14ac:dyDescent="0.2">
      <c r="AF45010" s="679"/>
    </row>
    <row r="45011" spans="32:32" x14ac:dyDescent="0.2">
      <c r="AF45011" s="679"/>
    </row>
    <row r="45012" spans="32:32" x14ac:dyDescent="0.2">
      <c r="AF45012" s="679"/>
    </row>
    <row r="45013" spans="32:32" x14ac:dyDescent="0.2">
      <c r="AF45013" s="679"/>
    </row>
    <row r="45014" spans="32:32" x14ac:dyDescent="0.2">
      <c r="AF45014" s="679"/>
    </row>
    <row r="45015" spans="32:32" x14ac:dyDescent="0.2">
      <c r="AF45015" s="679"/>
    </row>
    <row r="45016" spans="32:32" x14ac:dyDescent="0.2">
      <c r="AF45016" s="679"/>
    </row>
    <row r="45017" spans="32:32" x14ac:dyDescent="0.2">
      <c r="AF45017" s="679"/>
    </row>
    <row r="45018" spans="32:32" x14ac:dyDescent="0.2">
      <c r="AF45018" s="679"/>
    </row>
    <row r="45019" spans="32:32" x14ac:dyDescent="0.2">
      <c r="AF45019" s="679"/>
    </row>
    <row r="45020" spans="32:32" x14ac:dyDescent="0.2">
      <c r="AF45020" s="679"/>
    </row>
    <row r="45021" spans="32:32" x14ac:dyDescent="0.2">
      <c r="AF45021" s="679"/>
    </row>
    <row r="45022" spans="32:32" x14ac:dyDescent="0.2">
      <c r="AF45022" s="679"/>
    </row>
    <row r="45023" spans="32:32" x14ac:dyDescent="0.2">
      <c r="AF45023" s="679"/>
    </row>
    <row r="45024" spans="32:32" x14ac:dyDescent="0.2">
      <c r="AF45024" s="679"/>
    </row>
    <row r="45025" spans="32:32" x14ac:dyDescent="0.2">
      <c r="AF45025" s="679"/>
    </row>
    <row r="45026" spans="32:32" x14ac:dyDescent="0.2">
      <c r="AF45026" s="679"/>
    </row>
    <row r="45027" spans="32:32" x14ac:dyDescent="0.2">
      <c r="AF45027" s="679"/>
    </row>
    <row r="45028" spans="32:32" x14ac:dyDescent="0.2">
      <c r="AF45028" s="679"/>
    </row>
    <row r="45029" spans="32:32" x14ac:dyDescent="0.2">
      <c r="AF45029" s="679"/>
    </row>
    <row r="45030" spans="32:32" x14ac:dyDescent="0.2">
      <c r="AF45030" s="679"/>
    </row>
    <row r="45031" spans="32:32" x14ac:dyDescent="0.2">
      <c r="AF45031" s="679"/>
    </row>
    <row r="45032" spans="32:32" x14ac:dyDescent="0.2">
      <c r="AF45032" s="679"/>
    </row>
    <row r="45033" spans="32:32" x14ac:dyDescent="0.2">
      <c r="AF45033" s="679"/>
    </row>
    <row r="45034" spans="32:32" x14ac:dyDescent="0.2">
      <c r="AF45034" s="679"/>
    </row>
    <row r="45035" spans="32:32" x14ac:dyDescent="0.2">
      <c r="AF45035" s="679"/>
    </row>
    <row r="45036" spans="32:32" x14ac:dyDescent="0.2">
      <c r="AF45036" s="679"/>
    </row>
    <row r="45037" spans="32:32" x14ac:dyDescent="0.2">
      <c r="AF45037" s="679"/>
    </row>
    <row r="45038" spans="32:32" x14ac:dyDescent="0.2">
      <c r="AF45038" s="679"/>
    </row>
    <row r="45039" spans="32:32" x14ac:dyDescent="0.2">
      <c r="AF45039" s="679"/>
    </row>
    <row r="45040" spans="32:32" x14ac:dyDescent="0.2">
      <c r="AF45040" s="679"/>
    </row>
    <row r="45041" spans="32:32" x14ac:dyDescent="0.2">
      <c r="AF45041" s="679"/>
    </row>
    <row r="45042" spans="32:32" x14ac:dyDescent="0.2">
      <c r="AF45042" s="679"/>
    </row>
    <row r="45043" spans="32:32" x14ac:dyDescent="0.2">
      <c r="AF45043" s="679"/>
    </row>
    <row r="45044" spans="32:32" x14ac:dyDescent="0.2">
      <c r="AF45044" s="679"/>
    </row>
    <row r="45045" spans="32:32" x14ac:dyDescent="0.2">
      <c r="AF45045" s="679"/>
    </row>
    <row r="45046" spans="32:32" x14ac:dyDescent="0.2">
      <c r="AF45046" s="679"/>
    </row>
    <row r="45047" spans="32:32" x14ac:dyDescent="0.2">
      <c r="AF45047" s="679"/>
    </row>
    <row r="45048" spans="32:32" x14ac:dyDescent="0.2">
      <c r="AF45048" s="679"/>
    </row>
    <row r="45049" spans="32:32" x14ac:dyDescent="0.2">
      <c r="AF45049" s="679"/>
    </row>
    <row r="45050" spans="32:32" x14ac:dyDescent="0.2">
      <c r="AF45050" s="679"/>
    </row>
    <row r="45051" spans="32:32" x14ac:dyDescent="0.2">
      <c r="AF45051" s="679"/>
    </row>
    <row r="45052" spans="32:32" x14ac:dyDescent="0.2">
      <c r="AF45052" s="679"/>
    </row>
    <row r="45053" spans="32:32" x14ac:dyDescent="0.2">
      <c r="AF45053" s="679"/>
    </row>
    <row r="45054" spans="32:32" x14ac:dyDescent="0.2">
      <c r="AF45054" s="679"/>
    </row>
    <row r="45055" spans="32:32" x14ac:dyDescent="0.2">
      <c r="AF45055" s="679"/>
    </row>
    <row r="45056" spans="32:32" x14ac:dyDescent="0.2">
      <c r="AF45056" s="679"/>
    </row>
    <row r="45057" spans="32:32" x14ac:dyDescent="0.2">
      <c r="AF45057" s="679"/>
    </row>
    <row r="45058" spans="32:32" x14ac:dyDescent="0.2">
      <c r="AF45058" s="679"/>
    </row>
    <row r="45059" spans="32:32" x14ac:dyDescent="0.2">
      <c r="AF45059" s="679"/>
    </row>
    <row r="45060" spans="32:32" x14ac:dyDescent="0.2">
      <c r="AF45060" s="679"/>
    </row>
    <row r="45061" spans="32:32" x14ac:dyDescent="0.2">
      <c r="AF45061" s="679"/>
    </row>
    <row r="45062" spans="32:32" x14ac:dyDescent="0.2">
      <c r="AF45062" s="679"/>
    </row>
    <row r="45063" spans="32:32" x14ac:dyDescent="0.2">
      <c r="AF45063" s="679"/>
    </row>
    <row r="45064" spans="32:32" x14ac:dyDescent="0.2">
      <c r="AF45064" s="679"/>
    </row>
    <row r="45065" spans="32:32" x14ac:dyDescent="0.2">
      <c r="AF45065" s="679"/>
    </row>
    <row r="45066" spans="32:32" x14ac:dyDescent="0.2">
      <c r="AF45066" s="679"/>
    </row>
    <row r="45067" spans="32:32" x14ac:dyDescent="0.2">
      <c r="AF45067" s="679"/>
    </row>
    <row r="45068" spans="32:32" x14ac:dyDescent="0.2">
      <c r="AF45068" s="679"/>
    </row>
    <row r="45069" spans="32:32" x14ac:dyDescent="0.2">
      <c r="AF45069" s="679"/>
    </row>
    <row r="45070" spans="32:32" x14ac:dyDescent="0.2">
      <c r="AF45070" s="679"/>
    </row>
    <row r="45071" spans="32:32" x14ac:dyDescent="0.2">
      <c r="AF45071" s="679"/>
    </row>
    <row r="45072" spans="32:32" x14ac:dyDescent="0.2">
      <c r="AF45072" s="679"/>
    </row>
    <row r="45073" spans="32:32" x14ac:dyDescent="0.2">
      <c r="AF45073" s="679"/>
    </row>
    <row r="45074" spans="32:32" x14ac:dyDescent="0.2">
      <c r="AF45074" s="679"/>
    </row>
    <row r="45075" spans="32:32" x14ac:dyDescent="0.2">
      <c r="AF45075" s="679"/>
    </row>
    <row r="45076" spans="32:32" x14ac:dyDescent="0.2">
      <c r="AF45076" s="679"/>
    </row>
    <row r="45077" spans="32:32" x14ac:dyDescent="0.2">
      <c r="AF45077" s="679"/>
    </row>
    <row r="45078" spans="32:32" x14ac:dyDescent="0.2">
      <c r="AF45078" s="679"/>
    </row>
    <row r="45079" spans="32:32" x14ac:dyDescent="0.2">
      <c r="AF45079" s="679"/>
    </row>
    <row r="45080" spans="32:32" x14ac:dyDescent="0.2">
      <c r="AF45080" s="679"/>
    </row>
    <row r="45081" spans="32:32" x14ac:dyDescent="0.2">
      <c r="AF45081" s="679"/>
    </row>
    <row r="45082" spans="32:32" x14ac:dyDescent="0.2">
      <c r="AF45082" s="679"/>
    </row>
    <row r="45083" spans="32:32" x14ac:dyDescent="0.2">
      <c r="AF45083" s="679"/>
    </row>
    <row r="45084" spans="32:32" x14ac:dyDescent="0.2">
      <c r="AF45084" s="679"/>
    </row>
    <row r="45085" spans="32:32" x14ac:dyDescent="0.2">
      <c r="AF45085" s="679"/>
    </row>
    <row r="45086" spans="32:32" x14ac:dyDescent="0.2">
      <c r="AF45086" s="679"/>
    </row>
    <row r="45087" spans="32:32" x14ac:dyDescent="0.2">
      <c r="AF45087" s="679"/>
    </row>
    <row r="45088" spans="32:32" x14ac:dyDescent="0.2">
      <c r="AF45088" s="679"/>
    </row>
    <row r="45089" spans="32:32" x14ac:dyDescent="0.2">
      <c r="AF45089" s="679"/>
    </row>
    <row r="45090" spans="32:32" x14ac:dyDescent="0.2">
      <c r="AF45090" s="679"/>
    </row>
    <row r="45091" spans="32:32" x14ac:dyDescent="0.2">
      <c r="AF45091" s="679"/>
    </row>
    <row r="45092" spans="32:32" x14ac:dyDescent="0.2">
      <c r="AF45092" s="679"/>
    </row>
    <row r="45093" spans="32:32" x14ac:dyDescent="0.2">
      <c r="AF45093" s="679"/>
    </row>
    <row r="45094" spans="32:32" x14ac:dyDescent="0.2">
      <c r="AF45094" s="679"/>
    </row>
    <row r="45095" spans="32:32" x14ac:dyDescent="0.2">
      <c r="AF45095" s="679"/>
    </row>
    <row r="45096" spans="32:32" x14ac:dyDescent="0.2">
      <c r="AF45096" s="679"/>
    </row>
    <row r="45097" spans="32:32" x14ac:dyDescent="0.2">
      <c r="AF45097" s="679"/>
    </row>
    <row r="45098" spans="32:32" x14ac:dyDescent="0.2">
      <c r="AF45098" s="679"/>
    </row>
    <row r="45099" spans="32:32" x14ac:dyDescent="0.2">
      <c r="AF45099" s="679"/>
    </row>
    <row r="45100" spans="32:32" x14ac:dyDescent="0.2">
      <c r="AF45100" s="679"/>
    </row>
    <row r="45101" spans="32:32" x14ac:dyDescent="0.2">
      <c r="AF45101" s="679"/>
    </row>
    <row r="45102" spans="32:32" x14ac:dyDescent="0.2">
      <c r="AF45102" s="679"/>
    </row>
    <row r="45103" spans="32:32" x14ac:dyDescent="0.2">
      <c r="AF45103" s="679"/>
    </row>
    <row r="45104" spans="32:32" x14ac:dyDescent="0.2">
      <c r="AF45104" s="679"/>
    </row>
    <row r="45105" spans="32:32" x14ac:dyDescent="0.2">
      <c r="AF45105" s="679"/>
    </row>
    <row r="45106" spans="32:32" x14ac:dyDescent="0.2">
      <c r="AF45106" s="679"/>
    </row>
    <row r="45107" spans="32:32" x14ac:dyDescent="0.2">
      <c r="AF45107" s="679"/>
    </row>
    <row r="45108" spans="32:32" x14ac:dyDescent="0.2">
      <c r="AF45108" s="679"/>
    </row>
    <row r="45109" spans="32:32" x14ac:dyDescent="0.2">
      <c r="AF45109" s="679"/>
    </row>
    <row r="45110" spans="32:32" x14ac:dyDescent="0.2">
      <c r="AF45110" s="679"/>
    </row>
    <row r="45111" spans="32:32" x14ac:dyDescent="0.2">
      <c r="AF45111" s="679"/>
    </row>
    <row r="45112" spans="32:32" x14ac:dyDescent="0.2">
      <c r="AF45112" s="679"/>
    </row>
    <row r="45113" spans="32:32" x14ac:dyDescent="0.2">
      <c r="AF45113" s="679"/>
    </row>
    <row r="45114" spans="32:32" x14ac:dyDescent="0.2">
      <c r="AF45114" s="679"/>
    </row>
    <row r="45115" spans="32:32" x14ac:dyDescent="0.2">
      <c r="AF45115" s="679"/>
    </row>
    <row r="45116" spans="32:32" x14ac:dyDescent="0.2">
      <c r="AF45116" s="679"/>
    </row>
    <row r="45117" spans="32:32" x14ac:dyDescent="0.2">
      <c r="AF45117" s="679"/>
    </row>
    <row r="45118" spans="32:32" x14ac:dyDescent="0.2">
      <c r="AF45118" s="679"/>
    </row>
    <row r="45119" spans="32:32" x14ac:dyDescent="0.2">
      <c r="AF45119" s="679"/>
    </row>
    <row r="45120" spans="32:32" x14ac:dyDescent="0.2">
      <c r="AF45120" s="679"/>
    </row>
    <row r="45121" spans="32:32" x14ac:dyDescent="0.2">
      <c r="AF45121" s="679"/>
    </row>
    <row r="45122" spans="32:32" x14ac:dyDescent="0.2">
      <c r="AF45122" s="679"/>
    </row>
    <row r="45123" spans="32:32" x14ac:dyDescent="0.2">
      <c r="AF45123" s="679"/>
    </row>
    <row r="45124" spans="32:32" x14ac:dyDescent="0.2">
      <c r="AF45124" s="679"/>
    </row>
    <row r="45125" spans="32:32" x14ac:dyDescent="0.2">
      <c r="AF45125" s="679"/>
    </row>
    <row r="45126" spans="32:32" x14ac:dyDescent="0.2">
      <c r="AF45126" s="679"/>
    </row>
    <row r="45127" spans="32:32" x14ac:dyDescent="0.2">
      <c r="AF45127" s="679"/>
    </row>
    <row r="45128" spans="32:32" x14ac:dyDescent="0.2">
      <c r="AF45128" s="679"/>
    </row>
    <row r="45129" spans="32:32" x14ac:dyDescent="0.2">
      <c r="AF45129" s="679"/>
    </row>
    <row r="45130" spans="32:32" x14ac:dyDescent="0.2">
      <c r="AF45130" s="679"/>
    </row>
    <row r="45131" spans="32:32" x14ac:dyDescent="0.2">
      <c r="AF45131" s="679"/>
    </row>
    <row r="45132" spans="32:32" x14ac:dyDescent="0.2">
      <c r="AF45132" s="679"/>
    </row>
    <row r="45133" spans="32:32" x14ac:dyDescent="0.2">
      <c r="AF45133" s="679"/>
    </row>
    <row r="45134" spans="32:32" x14ac:dyDescent="0.2">
      <c r="AF45134" s="679"/>
    </row>
    <row r="45135" spans="32:32" x14ac:dyDescent="0.2">
      <c r="AF45135" s="679"/>
    </row>
    <row r="45136" spans="32:32" x14ac:dyDescent="0.2">
      <c r="AF45136" s="679"/>
    </row>
    <row r="45137" spans="32:32" x14ac:dyDescent="0.2">
      <c r="AF45137" s="679"/>
    </row>
    <row r="45138" spans="32:32" x14ac:dyDescent="0.2">
      <c r="AF45138" s="679"/>
    </row>
    <row r="45139" spans="32:32" x14ac:dyDescent="0.2">
      <c r="AF45139" s="679"/>
    </row>
    <row r="45140" spans="32:32" x14ac:dyDescent="0.2">
      <c r="AF45140" s="679"/>
    </row>
    <row r="45141" spans="32:32" x14ac:dyDescent="0.2">
      <c r="AF45141" s="679"/>
    </row>
    <row r="45142" spans="32:32" x14ac:dyDescent="0.2">
      <c r="AF45142" s="679"/>
    </row>
    <row r="45143" spans="32:32" x14ac:dyDescent="0.2">
      <c r="AF45143" s="679"/>
    </row>
    <row r="45144" spans="32:32" x14ac:dyDescent="0.2">
      <c r="AF45144" s="679"/>
    </row>
    <row r="45145" spans="32:32" x14ac:dyDescent="0.2">
      <c r="AF45145" s="679"/>
    </row>
    <row r="45146" spans="32:32" x14ac:dyDescent="0.2">
      <c r="AF45146" s="679"/>
    </row>
    <row r="45147" spans="32:32" x14ac:dyDescent="0.2">
      <c r="AF45147" s="679"/>
    </row>
    <row r="45148" spans="32:32" x14ac:dyDescent="0.2">
      <c r="AF45148" s="679"/>
    </row>
    <row r="45149" spans="32:32" x14ac:dyDescent="0.2">
      <c r="AF45149" s="679"/>
    </row>
    <row r="45150" spans="32:32" x14ac:dyDescent="0.2">
      <c r="AF45150" s="679"/>
    </row>
    <row r="45151" spans="32:32" x14ac:dyDescent="0.2">
      <c r="AF45151" s="679"/>
    </row>
    <row r="45152" spans="32:32" x14ac:dyDescent="0.2">
      <c r="AF45152" s="679"/>
    </row>
    <row r="45153" spans="32:32" x14ac:dyDescent="0.2">
      <c r="AF45153" s="679"/>
    </row>
    <row r="45154" spans="32:32" x14ac:dyDescent="0.2">
      <c r="AF45154" s="679"/>
    </row>
    <row r="45155" spans="32:32" x14ac:dyDescent="0.2">
      <c r="AF45155" s="679"/>
    </row>
    <row r="45156" spans="32:32" x14ac:dyDescent="0.2">
      <c r="AF45156" s="679"/>
    </row>
    <row r="45157" spans="32:32" x14ac:dyDescent="0.2">
      <c r="AF45157" s="679"/>
    </row>
    <row r="45158" spans="32:32" x14ac:dyDescent="0.2">
      <c r="AF45158" s="679"/>
    </row>
    <row r="45159" spans="32:32" x14ac:dyDescent="0.2">
      <c r="AF45159" s="679"/>
    </row>
    <row r="45160" spans="32:32" x14ac:dyDescent="0.2">
      <c r="AF45160" s="679"/>
    </row>
    <row r="45161" spans="32:32" x14ac:dyDescent="0.2">
      <c r="AF45161" s="679"/>
    </row>
    <row r="45162" spans="32:32" x14ac:dyDescent="0.2">
      <c r="AF45162" s="679"/>
    </row>
    <row r="45163" spans="32:32" x14ac:dyDescent="0.2">
      <c r="AF45163" s="679"/>
    </row>
    <row r="45164" spans="32:32" x14ac:dyDescent="0.2">
      <c r="AF45164" s="679"/>
    </row>
    <row r="45165" spans="32:32" x14ac:dyDescent="0.2">
      <c r="AF45165" s="679"/>
    </row>
    <row r="45166" spans="32:32" x14ac:dyDescent="0.2">
      <c r="AF45166" s="679"/>
    </row>
    <row r="45167" spans="32:32" x14ac:dyDescent="0.2">
      <c r="AF45167" s="679"/>
    </row>
    <row r="45168" spans="32:32" x14ac:dyDescent="0.2">
      <c r="AF45168" s="679"/>
    </row>
    <row r="45169" spans="32:32" x14ac:dyDescent="0.2">
      <c r="AF45169" s="679"/>
    </row>
    <row r="45170" spans="32:32" x14ac:dyDescent="0.2">
      <c r="AF45170" s="679"/>
    </row>
    <row r="45171" spans="32:32" x14ac:dyDescent="0.2">
      <c r="AF45171" s="679"/>
    </row>
    <row r="45172" spans="32:32" x14ac:dyDescent="0.2">
      <c r="AF45172" s="679"/>
    </row>
    <row r="45173" spans="32:32" x14ac:dyDescent="0.2">
      <c r="AF45173" s="679"/>
    </row>
    <row r="45174" spans="32:32" x14ac:dyDescent="0.2">
      <c r="AF45174" s="679"/>
    </row>
    <row r="45175" spans="32:32" x14ac:dyDescent="0.2">
      <c r="AF45175" s="679"/>
    </row>
    <row r="45176" spans="32:32" x14ac:dyDescent="0.2">
      <c r="AF45176" s="679"/>
    </row>
    <row r="45177" spans="32:32" x14ac:dyDescent="0.2">
      <c r="AF45177" s="679"/>
    </row>
    <row r="45178" spans="32:32" x14ac:dyDescent="0.2">
      <c r="AF45178" s="679"/>
    </row>
    <row r="45179" spans="32:32" x14ac:dyDescent="0.2">
      <c r="AF45179" s="679"/>
    </row>
    <row r="45180" spans="32:32" x14ac:dyDescent="0.2">
      <c r="AF45180" s="679"/>
    </row>
    <row r="45181" spans="32:32" x14ac:dyDescent="0.2">
      <c r="AF45181" s="679"/>
    </row>
    <row r="45182" spans="32:32" x14ac:dyDescent="0.2">
      <c r="AF45182" s="679"/>
    </row>
    <row r="45183" spans="32:32" x14ac:dyDescent="0.2">
      <c r="AF45183" s="679"/>
    </row>
    <row r="45184" spans="32:32" x14ac:dyDescent="0.2">
      <c r="AF45184" s="679"/>
    </row>
    <row r="45185" spans="32:32" x14ac:dyDescent="0.2">
      <c r="AF45185" s="679"/>
    </row>
    <row r="45186" spans="32:32" x14ac:dyDescent="0.2">
      <c r="AF45186" s="679"/>
    </row>
    <row r="45187" spans="32:32" x14ac:dyDescent="0.2">
      <c r="AF45187" s="679"/>
    </row>
    <row r="45188" spans="32:32" x14ac:dyDescent="0.2">
      <c r="AF45188" s="679"/>
    </row>
    <row r="45189" spans="32:32" x14ac:dyDescent="0.2">
      <c r="AF45189" s="679"/>
    </row>
    <row r="45190" spans="32:32" x14ac:dyDescent="0.2">
      <c r="AF45190" s="679"/>
    </row>
    <row r="45191" spans="32:32" x14ac:dyDescent="0.2">
      <c r="AF45191" s="679"/>
    </row>
    <row r="45192" spans="32:32" x14ac:dyDescent="0.2">
      <c r="AF45192" s="679"/>
    </row>
    <row r="45193" spans="32:32" x14ac:dyDescent="0.2">
      <c r="AF45193" s="679"/>
    </row>
    <row r="45194" spans="32:32" x14ac:dyDescent="0.2">
      <c r="AF45194" s="679"/>
    </row>
    <row r="45195" spans="32:32" x14ac:dyDescent="0.2">
      <c r="AF45195" s="679"/>
    </row>
    <row r="45196" spans="32:32" x14ac:dyDescent="0.2">
      <c r="AF45196" s="679"/>
    </row>
    <row r="45197" spans="32:32" x14ac:dyDescent="0.2">
      <c r="AF45197" s="679"/>
    </row>
    <row r="45198" spans="32:32" x14ac:dyDescent="0.2">
      <c r="AF45198" s="679"/>
    </row>
    <row r="45199" spans="32:32" x14ac:dyDescent="0.2">
      <c r="AF45199" s="679"/>
    </row>
    <row r="45200" spans="32:32" x14ac:dyDescent="0.2">
      <c r="AF45200" s="679"/>
    </row>
    <row r="45201" spans="32:32" x14ac:dyDescent="0.2">
      <c r="AF45201" s="679"/>
    </row>
    <row r="45202" spans="32:32" x14ac:dyDescent="0.2">
      <c r="AF45202" s="679"/>
    </row>
    <row r="45203" spans="32:32" x14ac:dyDescent="0.2">
      <c r="AF45203" s="679"/>
    </row>
    <row r="45204" spans="32:32" x14ac:dyDescent="0.2">
      <c r="AF45204" s="679"/>
    </row>
    <row r="45205" spans="32:32" x14ac:dyDescent="0.2">
      <c r="AF45205" s="679"/>
    </row>
    <row r="45206" spans="32:32" x14ac:dyDescent="0.2">
      <c r="AF45206" s="679"/>
    </row>
    <row r="45207" spans="32:32" x14ac:dyDescent="0.2">
      <c r="AF45207" s="679"/>
    </row>
    <row r="45208" spans="32:32" x14ac:dyDescent="0.2">
      <c r="AF45208" s="679"/>
    </row>
    <row r="45209" spans="32:32" x14ac:dyDescent="0.2">
      <c r="AF45209" s="679"/>
    </row>
    <row r="45210" spans="32:32" x14ac:dyDescent="0.2">
      <c r="AF45210" s="679"/>
    </row>
    <row r="45211" spans="32:32" x14ac:dyDescent="0.2">
      <c r="AF45211" s="679"/>
    </row>
    <row r="45212" spans="32:32" x14ac:dyDescent="0.2">
      <c r="AF45212" s="679"/>
    </row>
    <row r="45213" spans="32:32" x14ac:dyDescent="0.2">
      <c r="AF45213" s="679"/>
    </row>
    <row r="45214" spans="32:32" x14ac:dyDescent="0.2">
      <c r="AF45214" s="679"/>
    </row>
    <row r="45215" spans="32:32" x14ac:dyDescent="0.2">
      <c r="AF45215" s="679"/>
    </row>
    <row r="45216" spans="32:32" x14ac:dyDescent="0.2">
      <c r="AF45216" s="679"/>
    </row>
    <row r="45217" spans="32:32" x14ac:dyDescent="0.2">
      <c r="AF45217" s="679"/>
    </row>
    <row r="45218" spans="32:32" x14ac:dyDescent="0.2">
      <c r="AF45218" s="679"/>
    </row>
    <row r="45219" spans="32:32" x14ac:dyDescent="0.2">
      <c r="AF45219" s="679"/>
    </row>
    <row r="45220" spans="32:32" x14ac:dyDescent="0.2">
      <c r="AF45220" s="679"/>
    </row>
    <row r="45221" spans="32:32" x14ac:dyDescent="0.2">
      <c r="AF45221" s="679"/>
    </row>
    <row r="45222" spans="32:32" x14ac:dyDescent="0.2">
      <c r="AF45222" s="679"/>
    </row>
    <row r="45223" spans="32:32" x14ac:dyDescent="0.2">
      <c r="AF45223" s="679"/>
    </row>
    <row r="45224" spans="32:32" x14ac:dyDescent="0.2">
      <c r="AF45224" s="679"/>
    </row>
    <row r="45225" spans="32:32" x14ac:dyDescent="0.2">
      <c r="AF45225" s="679"/>
    </row>
    <row r="45226" spans="32:32" x14ac:dyDescent="0.2">
      <c r="AF45226" s="679"/>
    </row>
    <row r="45227" spans="32:32" x14ac:dyDescent="0.2">
      <c r="AF45227" s="679"/>
    </row>
    <row r="45228" spans="32:32" x14ac:dyDescent="0.2">
      <c r="AF45228" s="679"/>
    </row>
    <row r="45229" spans="32:32" x14ac:dyDescent="0.2">
      <c r="AF45229" s="679"/>
    </row>
    <row r="45230" spans="32:32" x14ac:dyDescent="0.2">
      <c r="AF45230" s="679"/>
    </row>
    <row r="45231" spans="32:32" x14ac:dyDescent="0.2">
      <c r="AF45231" s="679"/>
    </row>
    <row r="45232" spans="32:32" x14ac:dyDescent="0.2">
      <c r="AF45232" s="679"/>
    </row>
    <row r="45233" spans="32:32" x14ac:dyDescent="0.2">
      <c r="AF45233" s="679"/>
    </row>
    <row r="45234" spans="32:32" x14ac:dyDescent="0.2">
      <c r="AF45234" s="679"/>
    </row>
    <row r="45235" spans="32:32" x14ac:dyDescent="0.2">
      <c r="AF45235" s="679"/>
    </row>
    <row r="45236" spans="32:32" x14ac:dyDescent="0.2">
      <c r="AF45236" s="679"/>
    </row>
    <row r="45237" spans="32:32" x14ac:dyDescent="0.2">
      <c r="AF45237" s="679"/>
    </row>
    <row r="45238" spans="32:32" x14ac:dyDescent="0.2">
      <c r="AF45238" s="679"/>
    </row>
    <row r="45239" spans="32:32" x14ac:dyDescent="0.2">
      <c r="AF45239" s="679"/>
    </row>
    <row r="45240" spans="32:32" x14ac:dyDescent="0.2">
      <c r="AF45240" s="679"/>
    </row>
    <row r="45241" spans="32:32" x14ac:dyDescent="0.2">
      <c r="AF45241" s="679"/>
    </row>
    <row r="45242" spans="32:32" x14ac:dyDescent="0.2">
      <c r="AF45242" s="679"/>
    </row>
    <row r="45243" spans="32:32" x14ac:dyDescent="0.2">
      <c r="AF45243" s="679"/>
    </row>
    <row r="45244" spans="32:32" x14ac:dyDescent="0.2">
      <c r="AF45244" s="679"/>
    </row>
    <row r="45245" spans="32:32" x14ac:dyDescent="0.2">
      <c r="AF45245" s="679"/>
    </row>
    <row r="45246" spans="32:32" x14ac:dyDescent="0.2">
      <c r="AF45246" s="679"/>
    </row>
    <row r="45247" spans="32:32" x14ac:dyDescent="0.2">
      <c r="AF45247" s="679"/>
    </row>
    <row r="45248" spans="32:32" x14ac:dyDescent="0.2">
      <c r="AF45248" s="679"/>
    </row>
    <row r="45249" spans="32:32" x14ac:dyDescent="0.2">
      <c r="AF45249" s="679"/>
    </row>
    <row r="45250" spans="32:32" x14ac:dyDescent="0.2">
      <c r="AF45250" s="679"/>
    </row>
    <row r="45251" spans="32:32" x14ac:dyDescent="0.2">
      <c r="AF45251" s="679"/>
    </row>
    <row r="45252" spans="32:32" x14ac:dyDescent="0.2">
      <c r="AF45252" s="679"/>
    </row>
    <row r="45253" spans="32:32" x14ac:dyDescent="0.2">
      <c r="AF45253" s="679"/>
    </row>
    <row r="45254" spans="32:32" x14ac:dyDescent="0.2">
      <c r="AF45254" s="679"/>
    </row>
    <row r="45255" spans="32:32" x14ac:dyDescent="0.2">
      <c r="AF45255" s="679"/>
    </row>
    <row r="45256" spans="32:32" x14ac:dyDescent="0.2">
      <c r="AF45256" s="679"/>
    </row>
    <row r="45257" spans="32:32" x14ac:dyDescent="0.2">
      <c r="AF45257" s="679"/>
    </row>
    <row r="45258" spans="32:32" x14ac:dyDescent="0.2">
      <c r="AF45258" s="679"/>
    </row>
    <row r="45259" spans="32:32" x14ac:dyDescent="0.2">
      <c r="AF45259" s="679"/>
    </row>
    <row r="45260" spans="32:32" x14ac:dyDescent="0.2">
      <c r="AF45260" s="679"/>
    </row>
    <row r="45261" spans="32:32" x14ac:dyDescent="0.2">
      <c r="AF45261" s="679"/>
    </row>
    <row r="45262" spans="32:32" x14ac:dyDescent="0.2">
      <c r="AF45262" s="679"/>
    </row>
    <row r="45263" spans="32:32" x14ac:dyDescent="0.2">
      <c r="AF45263" s="679"/>
    </row>
    <row r="45264" spans="32:32" x14ac:dyDescent="0.2">
      <c r="AF45264" s="679"/>
    </row>
    <row r="45265" spans="32:32" x14ac:dyDescent="0.2">
      <c r="AF45265" s="679"/>
    </row>
    <row r="45266" spans="32:32" x14ac:dyDescent="0.2">
      <c r="AF45266" s="679"/>
    </row>
    <row r="45267" spans="32:32" x14ac:dyDescent="0.2">
      <c r="AF45267" s="679"/>
    </row>
    <row r="45268" spans="32:32" x14ac:dyDescent="0.2">
      <c r="AF45268" s="679"/>
    </row>
    <row r="45269" spans="32:32" x14ac:dyDescent="0.2">
      <c r="AF45269" s="679"/>
    </row>
    <row r="45270" spans="32:32" x14ac:dyDescent="0.2">
      <c r="AF45270" s="679"/>
    </row>
    <row r="45271" spans="32:32" x14ac:dyDescent="0.2">
      <c r="AF45271" s="679"/>
    </row>
    <row r="45272" spans="32:32" x14ac:dyDescent="0.2">
      <c r="AF45272" s="679"/>
    </row>
    <row r="45273" spans="32:32" x14ac:dyDescent="0.2">
      <c r="AF45273" s="679"/>
    </row>
    <row r="45274" spans="32:32" x14ac:dyDescent="0.2">
      <c r="AF45274" s="679"/>
    </row>
    <row r="45275" spans="32:32" x14ac:dyDescent="0.2">
      <c r="AF45275" s="679"/>
    </row>
    <row r="45276" spans="32:32" x14ac:dyDescent="0.2">
      <c r="AF45276" s="679"/>
    </row>
    <row r="45277" spans="32:32" x14ac:dyDescent="0.2">
      <c r="AF45277" s="679"/>
    </row>
    <row r="45278" spans="32:32" x14ac:dyDescent="0.2">
      <c r="AF45278" s="679"/>
    </row>
    <row r="45279" spans="32:32" x14ac:dyDescent="0.2">
      <c r="AF45279" s="679"/>
    </row>
    <row r="45280" spans="32:32" x14ac:dyDescent="0.2">
      <c r="AF45280" s="679"/>
    </row>
    <row r="45281" spans="32:32" x14ac:dyDescent="0.2">
      <c r="AF45281" s="679"/>
    </row>
    <row r="45282" spans="32:32" x14ac:dyDescent="0.2">
      <c r="AF45282" s="679"/>
    </row>
    <row r="45283" spans="32:32" x14ac:dyDescent="0.2">
      <c r="AF45283" s="679"/>
    </row>
    <row r="45284" spans="32:32" x14ac:dyDescent="0.2">
      <c r="AF45284" s="679"/>
    </row>
    <row r="45285" spans="32:32" x14ac:dyDescent="0.2">
      <c r="AF45285" s="679"/>
    </row>
    <row r="45286" spans="32:32" x14ac:dyDescent="0.2">
      <c r="AF45286" s="679"/>
    </row>
    <row r="45287" spans="32:32" x14ac:dyDescent="0.2">
      <c r="AF45287" s="679"/>
    </row>
    <row r="45288" spans="32:32" x14ac:dyDescent="0.2">
      <c r="AF45288" s="679"/>
    </row>
    <row r="45289" spans="32:32" x14ac:dyDescent="0.2">
      <c r="AF45289" s="679"/>
    </row>
    <row r="45290" spans="32:32" x14ac:dyDescent="0.2">
      <c r="AF45290" s="679"/>
    </row>
    <row r="45291" spans="32:32" x14ac:dyDescent="0.2">
      <c r="AF45291" s="679"/>
    </row>
    <row r="45292" spans="32:32" x14ac:dyDescent="0.2">
      <c r="AF45292" s="679"/>
    </row>
    <row r="45293" spans="32:32" x14ac:dyDescent="0.2">
      <c r="AF45293" s="679"/>
    </row>
    <row r="45294" spans="32:32" x14ac:dyDescent="0.2">
      <c r="AF45294" s="679"/>
    </row>
    <row r="45295" spans="32:32" x14ac:dyDescent="0.2">
      <c r="AF45295" s="679"/>
    </row>
    <row r="45296" spans="32:32" x14ac:dyDescent="0.2">
      <c r="AF45296" s="679"/>
    </row>
    <row r="45297" spans="32:32" x14ac:dyDescent="0.2">
      <c r="AF45297" s="679"/>
    </row>
    <row r="45298" spans="32:32" x14ac:dyDescent="0.2">
      <c r="AF45298" s="679"/>
    </row>
    <row r="45299" spans="32:32" x14ac:dyDescent="0.2">
      <c r="AF45299" s="679"/>
    </row>
    <row r="45300" spans="32:32" x14ac:dyDescent="0.2">
      <c r="AF45300" s="679"/>
    </row>
    <row r="45301" spans="32:32" x14ac:dyDescent="0.2">
      <c r="AF45301" s="679"/>
    </row>
    <row r="45302" spans="32:32" x14ac:dyDescent="0.2">
      <c r="AF45302" s="679"/>
    </row>
    <row r="45303" spans="32:32" x14ac:dyDescent="0.2">
      <c r="AF45303" s="679"/>
    </row>
    <row r="45304" spans="32:32" x14ac:dyDescent="0.2">
      <c r="AF45304" s="679"/>
    </row>
    <row r="45305" spans="32:32" x14ac:dyDescent="0.2">
      <c r="AF45305" s="679"/>
    </row>
    <row r="45306" spans="32:32" x14ac:dyDescent="0.2">
      <c r="AF45306" s="679"/>
    </row>
    <row r="45307" spans="32:32" x14ac:dyDescent="0.2">
      <c r="AF45307" s="679"/>
    </row>
    <row r="45308" spans="32:32" x14ac:dyDescent="0.2">
      <c r="AF45308" s="679"/>
    </row>
    <row r="45309" spans="32:32" x14ac:dyDescent="0.2">
      <c r="AF45309" s="679"/>
    </row>
    <row r="45310" spans="32:32" x14ac:dyDescent="0.2">
      <c r="AF45310" s="679"/>
    </row>
    <row r="45311" spans="32:32" x14ac:dyDescent="0.2">
      <c r="AF45311" s="679"/>
    </row>
    <row r="45312" spans="32:32" x14ac:dyDescent="0.2">
      <c r="AF45312" s="679"/>
    </row>
    <row r="45313" spans="32:32" x14ac:dyDescent="0.2">
      <c r="AF45313" s="679"/>
    </row>
    <row r="45314" spans="32:32" x14ac:dyDescent="0.2">
      <c r="AF45314" s="679"/>
    </row>
    <row r="45315" spans="32:32" x14ac:dyDescent="0.2">
      <c r="AF45315" s="679"/>
    </row>
    <row r="45316" spans="32:32" x14ac:dyDescent="0.2">
      <c r="AF45316" s="679"/>
    </row>
    <row r="45317" spans="32:32" x14ac:dyDescent="0.2">
      <c r="AF45317" s="679"/>
    </row>
    <row r="45318" spans="32:32" x14ac:dyDescent="0.2">
      <c r="AF45318" s="679"/>
    </row>
    <row r="45319" spans="32:32" x14ac:dyDescent="0.2">
      <c r="AF45319" s="679"/>
    </row>
    <row r="45320" spans="32:32" x14ac:dyDescent="0.2">
      <c r="AF45320" s="679"/>
    </row>
    <row r="45321" spans="32:32" x14ac:dyDescent="0.2">
      <c r="AF45321" s="679"/>
    </row>
    <row r="45322" spans="32:32" x14ac:dyDescent="0.2">
      <c r="AF45322" s="679"/>
    </row>
    <row r="45323" spans="32:32" x14ac:dyDescent="0.2">
      <c r="AF45323" s="679"/>
    </row>
    <row r="45324" spans="32:32" x14ac:dyDescent="0.2">
      <c r="AF45324" s="679"/>
    </row>
    <row r="45325" spans="32:32" x14ac:dyDescent="0.2">
      <c r="AF45325" s="679"/>
    </row>
    <row r="45326" spans="32:32" x14ac:dyDescent="0.2">
      <c r="AF45326" s="679"/>
    </row>
    <row r="45327" spans="32:32" x14ac:dyDescent="0.2">
      <c r="AF45327" s="679"/>
    </row>
    <row r="45328" spans="32:32" x14ac:dyDescent="0.2">
      <c r="AF45328" s="679"/>
    </row>
    <row r="45329" spans="32:32" x14ac:dyDescent="0.2">
      <c r="AF45329" s="679"/>
    </row>
    <row r="45330" spans="32:32" x14ac:dyDescent="0.2">
      <c r="AF45330" s="679"/>
    </row>
    <row r="45331" spans="32:32" x14ac:dyDescent="0.2">
      <c r="AF45331" s="679"/>
    </row>
    <row r="45332" spans="32:32" x14ac:dyDescent="0.2">
      <c r="AF45332" s="679"/>
    </row>
    <row r="45333" spans="32:32" x14ac:dyDescent="0.2">
      <c r="AF45333" s="679"/>
    </row>
    <row r="45334" spans="32:32" x14ac:dyDescent="0.2">
      <c r="AF45334" s="679"/>
    </row>
    <row r="45335" spans="32:32" x14ac:dyDescent="0.2">
      <c r="AF45335" s="679"/>
    </row>
    <row r="45336" spans="32:32" x14ac:dyDescent="0.2">
      <c r="AF45336" s="679"/>
    </row>
    <row r="45337" spans="32:32" x14ac:dyDescent="0.2">
      <c r="AF45337" s="679"/>
    </row>
    <row r="45338" spans="32:32" x14ac:dyDescent="0.2">
      <c r="AF45338" s="679"/>
    </row>
    <row r="45339" spans="32:32" x14ac:dyDescent="0.2">
      <c r="AF45339" s="679"/>
    </row>
    <row r="45340" spans="32:32" x14ac:dyDescent="0.2">
      <c r="AF45340" s="679"/>
    </row>
    <row r="45341" spans="32:32" x14ac:dyDescent="0.2">
      <c r="AF45341" s="679"/>
    </row>
    <row r="45342" spans="32:32" x14ac:dyDescent="0.2">
      <c r="AF45342" s="679"/>
    </row>
    <row r="45343" spans="32:32" x14ac:dyDescent="0.2">
      <c r="AF45343" s="679"/>
    </row>
    <row r="45344" spans="32:32" x14ac:dyDescent="0.2">
      <c r="AF45344" s="679"/>
    </row>
    <row r="45345" spans="32:32" x14ac:dyDescent="0.2">
      <c r="AF45345" s="679"/>
    </row>
    <row r="45346" spans="32:32" x14ac:dyDescent="0.2">
      <c r="AF45346" s="679"/>
    </row>
    <row r="45347" spans="32:32" x14ac:dyDescent="0.2">
      <c r="AF45347" s="679"/>
    </row>
    <row r="45348" spans="32:32" x14ac:dyDescent="0.2">
      <c r="AF45348" s="679"/>
    </row>
    <row r="45349" spans="32:32" x14ac:dyDescent="0.2">
      <c r="AF45349" s="679"/>
    </row>
    <row r="45350" spans="32:32" x14ac:dyDescent="0.2">
      <c r="AF45350" s="679"/>
    </row>
    <row r="45351" spans="32:32" x14ac:dyDescent="0.2">
      <c r="AF45351" s="679"/>
    </row>
    <row r="45352" spans="32:32" x14ac:dyDescent="0.2">
      <c r="AF45352" s="679"/>
    </row>
    <row r="45353" spans="32:32" x14ac:dyDescent="0.2">
      <c r="AF45353" s="679"/>
    </row>
    <row r="45354" spans="32:32" x14ac:dyDescent="0.2">
      <c r="AF45354" s="679"/>
    </row>
    <row r="45355" spans="32:32" x14ac:dyDescent="0.2">
      <c r="AF45355" s="679"/>
    </row>
    <row r="45356" spans="32:32" x14ac:dyDescent="0.2">
      <c r="AF45356" s="679"/>
    </row>
    <row r="45357" spans="32:32" x14ac:dyDescent="0.2">
      <c r="AF45357" s="679"/>
    </row>
    <row r="45358" spans="32:32" x14ac:dyDescent="0.2">
      <c r="AF45358" s="679"/>
    </row>
    <row r="45359" spans="32:32" x14ac:dyDescent="0.2">
      <c r="AF45359" s="679"/>
    </row>
    <row r="45360" spans="32:32" x14ac:dyDescent="0.2">
      <c r="AF45360" s="679"/>
    </row>
    <row r="45361" spans="32:32" x14ac:dyDescent="0.2">
      <c r="AF45361" s="679"/>
    </row>
    <row r="45362" spans="32:32" x14ac:dyDescent="0.2">
      <c r="AF45362" s="679"/>
    </row>
    <row r="45363" spans="32:32" x14ac:dyDescent="0.2">
      <c r="AF45363" s="679"/>
    </row>
    <row r="45364" spans="32:32" x14ac:dyDescent="0.2">
      <c r="AF45364" s="679"/>
    </row>
    <row r="45365" spans="32:32" x14ac:dyDescent="0.2">
      <c r="AF45365" s="679"/>
    </row>
    <row r="45366" spans="32:32" x14ac:dyDescent="0.2">
      <c r="AF45366" s="679"/>
    </row>
    <row r="45367" spans="32:32" x14ac:dyDescent="0.2">
      <c r="AF45367" s="679"/>
    </row>
    <row r="45368" spans="32:32" x14ac:dyDescent="0.2">
      <c r="AF45368" s="679"/>
    </row>
    <row r="45369" spans="32:32" x14ac:dyDescent="0.2">
      <c r="AF45369" s="679"/>
    </row>
    <row r="45370" spans="32:32" x14ac:dyDescent="0.2">
      <c r="AF45370" s="679"/>
    </row>
    <row r="45371" spans="32:32" x14ac:dyDescent="0.2">
      <c r="AF45371" s="679"/>
    </row>
    <row r="45372" spans="32:32" x14ac:dyDescent="0.2">
      <c r="AF45372" s="679"/>
    </row>
    <row r="45373" spans="32:32" x14ac:dyDescent="0.2">
      <c r="AF45373" s="679"/>
    </row>
    <row r="45374" spans="32:32" x14ac:dyDescent="0.2">
      <c r="AF45374" s="679"/>
    </row>
    <row r="45375" spans="32:32" x14ac:dyDescent="0.2">
      <c r="AF45375" s="679"/>
    </row>
    <row r="45376" spans="32:32" x14ac:dyDescent="0.2">
      <c r="AF45376" s="679"/>
    </row>
    <row r="45377" spans="32:32" x14ac:dyDescent="0.2">
      <c r="AF45377" s="679"/>
    </row>
    <row r="45378" spans="32:32" x14ac:dyDescent="0.2">
      <c r="AF45378" s="679"/>
    </row>
    <row r="45379" spans="32:32" x14ac:dyDescent="0.2">
      <c r="AF45379" s="679"/>
    </row>
    <row r="45380" spans="32:32" x14ac:dyDescent="0.2">
      <c r="AF45380" s="679"/>
    </row>
    <row r="45381" spans="32:32" x14ac:dyDescent="0.2">
      <c r="AF45381" s="679"/>
    </row>
    <row r="45382" spans="32:32" x14ac:dyDescent="0.2">
      <c r="AF45382" s="679"/>
    </row>
    <row r="45383" spans="32:32" x14ac:dyDescent="0.2">
      <c r="AF45383" s="679"/>
    </row>
    <row r="45384" spans="32:32" x14ac:dyDescent="0.2">
      <c r="AF45384" s="679"/>
    </row>
    <row r="45385" spans="32:32" x14ac:dyDescent="0.2">
      <c r="AF45385" s="679"/>
    </row>
    <row r="45386" spans="32:32" x14ac:dyDescent="0.2">
      <c r="AF45386" s="679"/>
    </row>
    <row r="45387" spans="32:32" x14ac:dyDescent="0.2">
      <c r="AF45387" s="679"/>
    </row>
    <row r="45388" spans="32:32" x14ac:dyDescent="0.2">
      <c r="AF45388" s="679"/>
    </row>
    <row r="45389" spans="32:32" x14ac:dyDescent="0.2">
      <c r="AF45389" s="679"/>
    </row>
    <row r="45390" spans="32:32" x14ac:dyDescent="0.2">
      <c r="AF45390" s="679"/>
    </row>
    <row r="45391" spans="32:32" x14ac:dyDescent="0.2">
      <c r="AF45391" s="679"/>
    </row>
    <row r="45392" spans="32:32" x14ac:dyDescent="0.2">
      <c r="AF45392" s="679"/>
    </row>
    <row r="45393" spans="32:32" x14ac:dyDescent="0.2">
      <c r="AF45393" s="679"/>
    </row>
    <row r="45394" spans="32:32" x14ac:dyDescent="0.2">
      <c r="AF45394" s="679"/>
    </row>
    <row r="45395" spans="32:32" x14ac:dyDescent="0.2">
      <c r="AF45395" s="679"/>
    </row>
    <row r="45396" spans="32:32" x14ac:dyDescent="0.2">
      <c r="AF45396" s="679"/>
    </row>
    <row r="45397" spans="32:32" x14ac:dyDescent="0.2">
      <c r="AF45397" s="679"/>
    </row>
    <row r="45398" spans="32:32" x14ac:dyDescent="0.2">
      <c r="AF45398" s="679"/>
    </row>
    <row r="45399" spans="32:32" x14ac:dyDescent="0.2">
      <c r="AF45399" s="679"/>
    </row>
    <row r="45400" spans="32:32" x14ac:dyDescent="0.2">
      <c r="AF45400" s="679"/>
    </row>
    <row r="45401" spans="32:32" x14ac:dyDescent="0.2">
      <c r="AF45401" s="679"/>
    </row>
    <row r="45402" spans="32:32" x14ac:dyDescent="0.2">
      <c r="AF45402" s="679"/>
    </row>
    <row r="45403" spans="32:32" x14ac:dyDescent="0.2">
      <c r="AF45403" s="679"/>
    </row>
    <row r="45404" spans="32:32" x14ac:dyDescent="0.2">
      <c r="AF45404" s="679"/>
    </row>
    <row r="45405" spans="32:32" x14ac:dyDescent="0.2">
      <c r="AF45405" s="679"/>
    </row>
    <row r="45406" spans="32:32" x14ac:dyDescent="0.2">
      <c r="AF45406" s="679"/>
    </row>
    <row r="45407" spans="32:32" x14ac:dyDescent="0.2">
      <c r="AF45407" s="679"/>
    </row>
    <row r="45408" spans="32:32" x14ac:dyDescent="0.2">
      <c r="AF45408" s="679"/>
    </row>
    <row r="45409" spans="32:32" x14ac:dyDescent="0.2">
      <c r="AF45409" s="679"/>
    </row>
    <row r="45410" spans="32:32" x14ac:dyDescent="0.2">
      <c r="AF45410" s="679"/>
    </row>
    <row r="45411" spans="32:32" x14ac:dyDescent="0.2">
      <c r="AF45411" s="679"/>
    </row>
    <row r="45412" spans="32:32" x14ac:dyDescent="0.2">
      <c r="AF45412" s="679"/>
    </row>
    <row r="45413" spans="32:32" x14ac:dyDescent="0.2">
      <c r="AF45413" s="679"/>
    </row>
    <row r="45414" spans="32:32" x14ac:dyDescent="0.2">
      <c r="AF45414" s="679"/>
    </row>
    <row r="45415" spans="32:32" x14ac:dyDescent="0.2">
      <c r="AF45415" s="679"/>
    </row>
    <row r="45416" spans="32:32" x14ac:dyDescent="0.2">
      <c r="AF45416" s="679"/>
    </row>
    <row r="45417" spans="32:32" x14ac:dyDescent="0.2">
      <c r="AF45417" s="679"/>
    </row>
    <row r="45418" spans="32:32" x14ac:dyDescent="0.2">
      <c r="AF45418" s="679"/>
    </row>
    <row r="45419" spans="32:32" x14ac:dyDescent="0.2">
      <c r="AF45419" s="679"/>
    </row>
    <row r="45420" spans="32:32" x14ac:dyDescent="0.2">
      <c r="AF45420" s="679"/>
    </row>
    <row r="45421" spans="32:32" x14ac:dyDescent="0.2">
      <c r="AF45421" s="679"/>
    </row>
    <row r="45422" spans="32:32" x14ac:dyDescent="0.2">
      <c r="AF45422" s="679"/>
    </row>
    <row r="45423" spans="32:32" x14ac:dyDescent="0.2">
      <c r="AF45423" s="679"/>
    </row>
    <row r="45424" spans="32:32" x14ac:dyDescent="0.2">
      <c r="AF45424" s="679"/>
    </row>
    <row r="45425" spans="32:32" x14ac:dyDescent="0.2">
      <c r="AF45425" s="679"/>
    </row>
    <row r="45426" spans="32:32" x14ac:dyDescent="0.2">
      <c r="AF45426" s="679"/>
    </row>
    <row r="45427" spans="32:32" x14ac:dyDescent="0.2">
      <c r="AF45427" s="679"/>
    </row>
    <row r="45428" spans="32:32" x14ac:dyDescent="0.2">
      <c r="AF45428" s="679"/>
    </row>
    <row r="45429" spans="32:32" x14ac:dyDescent="0.2">
      <c r="AF45429" s="679"/>
    </row>
    <row r="45430" spans="32:32" x14ac:dyDescent="0.2">
      <c r="AF45430" s="679"/>
    </row>
    <row r="45431" spans="32:32" x14ac:dyDescent="0.2">
      <c r="AF45431" s="679"/>
    </row>
    <row r="45432" spans="32:32" x14ac:dyDescent="0.2">
      <c r="AF45432" s="679"/>
    </row>
    <row r="45433" spans="32:32" x14ac:dyDescent="0.2">
      <c r="AF45433" s="679"/>
    </row>
    <row r="45434" spans="32:32" x14ac:dyDescent="0.2">
      <c r="AF45434" s="679"/>
    </row>
    <row r="45435" spans="32:32" x14ac:dyDescent="0.2">
      <c r="AF45435" s="679"/>
    </row>
    <row r="45436" spans="32:32" x14ac:dyDescent="0.2">
      <c r="AF45436" s="679"/>
    </row>
    <row r="45437" spans="32:32" x14ac:dyDescent="0.2">
      <c r="AF45437" s="679"/>
    </row>
    <row r="45438" spans="32:32" x14ac:dyDescent="0.2">
      <c r="AF45438" s="679"/>
    </row>
    <row r="45439" spans="32:32" x14ac:dyDescent="0.2">
      <c r="AF45439" s="679"/>
    </row>
    <row r="45440" spans="32:32" x14ac:dyDescent="0.2">
      <c r="AF45440" s="679"/>
    </row>
    <row r="45441" spans="32:32" x14ac:dyDescent="0.2">
      <c r="AF45441" s="679"/>
    </row>
    <row r="45442" spans="32:32" x14ac:dyDescent="0.2">
      <c r="AF45442" s="679"/>
    </row>
    <row r="45443" spans="32:32" x14ac:dyDescent="0.2">
      <c r="AF45443" s="679"/>
    </row>
    <row r="45444" spans="32:32" x14ac:dyDescent="0.2">
      <c r="AF45444" s="679"/>
    </row>
    <row r="45445" spans="32:32" x14ac:dyDescent="0.2">
      <c r="AF45445" s="679"/>
    </row>
    <row r="45446" spans="32:32" x14ac:dyDescent="0.2">
      <c r="AF45446" s="679"/>
    </row>
    <row r="45447" spans="32:32" x14ac:dyDescent="0.2">
      <c r="AF45447" s="679"/>
    </row>
    <row r="45448" spans="32:32" x14ac:dyDescent="0.2">
      <c r="AF45448" s="679"/>
    </row>
    <row r="45449" spans="32:32" x14ac:dyDescent="0.2">
      <c r="AF45449" s="679"/>
    </row>
    <row r="45450" spans="32:32" x14ac:dyDescent="0.2">
      <c r="AF45450" s="679"/>
    </row>
    <row r="45451" spans="32:32" x14ac:dyDescent="0.2">
      <c r="AF45451" s="679"/>
    </row>
    <row r="45452" spans="32:32" x14ac:dyDescent="0.2">
      <c r="AF45452" s="679"/>
    </row>
    <row r="45453" spans="32:32" x14ac:dyDescent="0.2">
      <c r="AF45453" s="679"/>
    </row>
    <row r="45454" spans="32:32" x14ac:dyDescent="0.2">
      <c r="AF45454" s="679"/>
    </row>
    <row r="45455" spans="32:32" x14ac:dyDescent="0.2">
      <c r="AF45455" s="679"/>
    </row>
    <row r="45456" spans="32:32" x14ac:dyDescent="0.2">
      <c r="AF45456" s="679"/>
    </row>
    <row r="45457" spans="32:32" x14ac:dyDescent="0.2">
      <c r="AF45457" s="679"/>
    </row>
    <row r="45458" spans="32:32" x14ac:dyDescent="0.2">
      <c r="AF45458" s="679"/>
    </row>
    <row r="45459" spans="32:32" x14ac:dyDescent="0.2">
      <c r="AF45459" s="679"/>
    </row>
    <row r="45460" spans="32:32" x14ac:dyDescent="0.2">
      <c r="AF45460" s="679"/>
    </row>
    <row r="45461" spans="32:32" x14ac:dyDescent="0.2">
      <c r="AF45461" s="679"/>
    </row>
    <row r="45462" spans="32:32" x14ac:dyDescent="0.2">
      <c r="AF45462" s="679"/>
    </row>
    <row r="45463" spans="32:32" x14ac:dyDescent="0.2">
      <c r="AF45463" s="679"/>
    </row>
    <row r="45464" spans="32:32" x14ac:dyDescent="0.2">
      <c r="AF45464" s="679"/>
    </row>
    <row r="45465" spans="32:32" x14ac:dyDescent="0.2">
      <c r="AF45465" s="679"/>
    </row>
    <row r="45466" spans="32:32" x14ac:dyDescent="0.2">
      <c r="AF45466" s="679"/>
    </row>
    <row r="45467" spans="32:32" x14ac:dyDescent="0.2">
      <c r="AF45467" s="679"/>
    </row>
    <row r="45468" spans="32:32" x14ac:dyDescent="0.2">
      <c r="AF45468" s="679"/>
    </row>
    <row r="45469" spans="32:32" x14ac:dyDescent="0.2">
      <c r="AF45469" s="679"/>
    </row>
    <row r="45470" spans="32:32" x14ac:dyDescent="0.2">
      <c r="AF45470" s="679"/>
    </row>
    <row r="45471" spans="32:32" x14ac:dyDescent="0.2">
      <c r="AF45471" s="679"/>
    </row>
    <row r="45472" spans="32:32" x14ac:dyDescent="0.2">
      <c r="AF45472" s="679"/>
    </row>
    <row r="45473" spans="32:32" x14ac:dyDescent="0.2">
      <c r="AF45473" s="679"/>
    </row>
    <row r="45474" spans="32:32" x14ac:dyDescent="0.2">
      <c r="AF45474" s="679"/>
    </row>
    <row r="45475" spans="32:32" x14ac:dyDescent="0.2">
      <c r="AF45475" s="679"/>
    </row>
    <row r="45476" spans="32:32" x14ac:dyDescent="0.2">
      <c r="AF45476" s="679"/>
    </row>
    <row r="45477" spans="32:32" x14ac:dyDescent="0.2">
      <c r="AF45477" s="679"/>
    </row>
    <row r="45478" spans="32:32" x14ac:dyDescent="0.2">
      <c r="AF45478" s="679"/>
    </row>
    <row r="45479" spans="32:32" x14ac:dyDescent="0.2">
      <c r="AF45479" s="679"/>
    </row>
    <row r="45480" spans="32:32" x14ac:dyDescent="0.2">
      <c r="AF45480" s="679"/>
    </row>
    <row r="45481" spans="32:32" x14ac:dyDescent="0.2">
      <c r="AF45481" s="679"/>
    </row>
    <row r="45482" spans="32:32" x14ac:dyDescent="0.2">
      <c r="AF45482" s="679"/>
    </row>
    <row r="45483" spans="32:32" x14ac:dyDescent="0.2">
      <c r="AF45483" s="679"/>
    </row>
    <row r="45484" spans="32:32" x14ac:dyDescent="0.2">
      <c r="AF45484" s="679"/>
    </row>
    <row r="45485" spans="32:32" x14ac:dyDescent="0.2">
      <c r="AF45485" s="679"/>
    </row>
    <row r="45486" spans="32:32" x14ac:dyDescent="0.2">
      <c r="AF45486" s="679"/>
    </row>
    <row r="45487" spans="32:32" x14ac:dyDescent="0.2">
      <c r="AF45487" s="679"/>
    </row>
    <row r="45488" spans="32:32" x14ac:dyDescent="0.2">
      <c r="AF45488" s="679"/>
    </row>
    <row r="45489" spans="32:32" x14ac:dyDescent="0.2">
      <c r="AF45489" s="679"/>
    </row>
    <row r="45490" spans="32:32" x14ac:dyDescent="0.2">
      <c r="AF45490" s="679"/>
    </row>
    <row r="45491" spans="32:32" x14ac:dyDescent="0.2">
      <c r="AF45491" s="679"/>
    </row>
    <row r="45492" spans="32:32" x14ac:dyDescent="0.2">
      <c r="AF45492" s="679"/>
    </row>
    <row r="45493" spans="32:32" x14ac:dyDescent="0.2">
      <c r="AF45493" s="679"/>
    </row>
    <row r="45494" spans="32:32" x14ac:dyDescent="0.2">
      <c r="AF45494" s="679"/>
    </row>
    <row r="45495" spans="32:32" x14ac:dyDescent="0.2">
      <c r="AF45495" s="679"/>
    </row>
    <row r="45496" spans="32:32" x14ac:dyDescent="0.2">
      <c r="AF45496" s="679"/>
    </row>
    <row r="45497" spans="32:32" x14ac:dyDescent="0.2">
      <c r="AF45497" s="679"/>
    </row>
    <row r="45498" spans="32:32" x14ac:dyDescent="0.2">
      <c r="AF45498" s="679"/>
    </row>
    <row r="45499" spans="32:32" x14ac:dyDescent="0.2">
      <c r="AF45499" s="679"/>
    </row>
    <row r="45500" spans="32:32" x14ac:dyDescent="0.2">
      <c r="AF45500" s="679"/>
    </row>
    <row r="45501" spans="32:32" x14ac:dyDescent="0.2">
      <c r="AF45501" s="679"/>
    </row>
    <row r="45502" spans="32:32" x14ac:dyDescent="0.2">
      <c r="AF45502" s="679"/>
    </row>
    <row r="45503" spans="32:32" x14ac:dyDescent="0.2">
      <c r="AF45503" s="679"/>
    </row>
    <row r="45504" spans="32:32" x14ac:dyDescent="0.2">
      <c r="AF45504" s="679"/>
    </row>
    <row r="45505" spans="32:32" x14ac:dyDescent="0.2">
      <c r="AF45505" s="679"/>
    </row>
    <row r="45506" spans="32:32" x14ac:dyDescent="0.2">
      <c r="AF45506" s="679"/>
    </row>
    <row r="45507" spans="32:32" x14ac:dyDescent="0.2">
      <c r="AF45507" s="679"/>
    </row>
    <row r="45508" spans="32:32" x14ac:dyDescent="0.2">
      <c r="AF45508" s="679"/>
    </row>
    <row r="45509" spans="32:32" x14ac:dyDescent="0.2">
      <c r="AF45509" s="679"/>
    </row>
    <row r="45510" spans="32:32" x14ac:dyDescent="0.2">
      <c r="AF45510" s="679"/>
    </row>
    <row r="45511" spans="32:32" x14ac:dyDescent="0.2">
      <c r="AF45511" s="679"/>
    </row>
    <row r="45512" spans="32:32" x14ac:dyDescent="0.2">
      <c r="AF45512" s="679"/>
    </row>
    <row r="45513" spans="32:32" x14ac:dyDescent="0.2">
      <c r="AF45513" s="679"/>
    </row>
    <row r="45514" spans="32:32" x14ac:dyDescent="0.2">
      <c r="AF45514" s="679"/>
    </row>
    <row r="45515" spans="32:32" x14ac:dyDescent="0.2">
      <c r="AF45515" s="679"/>
    </row>
    <row r="45516" spans="32:32" x14ac:dyDescent="0.2">
      <c r="AF45516" s="679"/>
    </row>
    <row r="45517" spans="32:32" x14ac:dyDescent="0.2">
      <c r="AF45517" s="679"/>
    </row>
    <row r="45518" spans="32:32" x14ac:dyDescent="0.2">
      <c r="AF45518" s="679"/>
    </row>
    <row r="45519" spans="32:32" x14ac:dyDescent="0.2">
      <c r="AF45519" s="679"/>
    </row>
    <row r="45520" spans="32:32" x14ac:dyDescent="0.2">
      <c r="AF45520" s="679"/>
    </row>
    <row r="45521" spans="32:32" x14ac:dyDescent="0.2">
      <c r="AF45521" s="679"/>
    </row>
    <row r="45522" spans="32:32" x14ac:dyDescent="0.2">
      <c r="AF45522" s="679"/>
    </row>
    <row r="45523" spans="32:32" x14ac:dyDescent="0.2">
      <c r="AF45523" s="679"/>
    </row>
    <row r="45524" spans="32:32" x14ac:dyDescent="0.2">
      <c r="AF45524" s="679"/>
    </row>
    <row r="45525" spans="32:32" x14ac:dyDescent="0.2">
      <c r="AF45525" s="679"/>
    </row>
    <row r="45526" spans="32:32" x14ac:dyDescent="0.2">
      <c r="AF45526" s="679"/>
    </row>
    <row r="45527" spans="32:32" x14ac:dyDescent="0.2">
      <c r="AF45527" s="679"/>
    </row>
    <row r="45528" spans="32:32" x14ac:dyDescent="0.2">
      <c r="AF45528" s="679"/>
    </row>
    <row r="45529" spans="32:32" x14ac:dyDescent="0.2">
      <c r="AF45529" s="679"/>
    </row>
    <row r="45530" spans="32:32" x14ac:dyDescent="0.2">
      <c r="AF45530" s="679"/>
    </row>
    <row r="45531" spans="32:32" x14ac:dyDescent="0.2">
      <c r="AF45531" s="679"/>
    </row>
    <row r="45532" spans="32:32" x14ac:dyDescent="0.2">
      <c r="AF45532" s="679"/>
    </row>
    <row r="45533" spans="32:32" x14ac:dyDescent="0.2">
      <c r="AF45533" s="679"/>
    </row>
    <row r="45534" spans="32:32" x14ac:dyDescent="0.2">
      <c r="AF45534" s="679"/>
    </row>
    <row r="45535" spans="32:32" x14ac:dyDescent="0.2">
      <c r="AF45535" s="679"/>
    </row>
    <row r="45536" spans="32:32" x14ac:dyDescent="0.2">
      <c r="AF45536" s="679"/>
    </row>
    <row r="45537" spans="32:32" x14ac:dyDescent="0.2">
      <c r="AF45537" s="679"/>
    </row>
    <row r="45538" spans="32:32" x14ac:dyDescent="0.2">
      <c r="AF45538" s="679"/>
    </row>
    <row r="45539" spans="32:32" x14ac:dyDescent="0.2">
      <c r="AF45539" s="679"/>
    </row>
    <row r="45540" spans="32:32" x14ac:dyDescent="0.2">
      <c r="AF45540" s="679"/>
    </row>
    <row r="45541" spans="32:32" x14ac:dyDescent="0.2">
      <c r="AF45541" s="679"/>
    </row>
    <row r="45542" spans="32:32" x14ac:dyDescent="0.2">
      <c r="AF45542" s="679"/>
    </row>
    <row r="45543" spans="32:32" x14ac:dyDescent="0.2">
      <c r="AF45543" s="679"/>
    </row>
    <row r="45544" spans="32:32" x14ac:dyDescent="0.2">
      <c r="AF45544" s="679"/>
    </row>
    <row r="45545" spans="32:32" x14ac:dyDescent="0.2">
      <c r="AF45545" s="679"/>
    </row>
    <row r="45546" spans="32:32" x14ac:dyDescent="0.2">
      <c r="AF45546" s="679"/>
    </row>
    <row r="45547" spans="32:32" x14ac:dyDescent="0.2">
      <c r="AF45547" s="679"/>
    </row>
    <row r="45548" spans="32:32" x14ac:dyDescent="0.2">
      <c r="AF45548" s="679"/>
    </row>
    <row r="45549" spans="32:32" x14ac:dyDescent="0.2">
      <c r="AF45549" s="679"/>
    </row>
    <row r="45550" spans="32:32" x14ac:dyDescent="0.2">
      <c r="AF45550" s="679"/>
    </row>
    <row r="45551" spans="32:32" x14ac:dyDescent="0.2">
      <c r="AF45551" s="679"/>
    </row>
    <row r="45552" spans="32:32" x14ac:dyDescent="0.2">
      <c r="AF45552" s="679"/>
    </row>
    <row r="45553" spans="32:32" x14ac:dyDescent="0.2">
      <c r="AF45553" s="679"/>
    </row>
    <row r="45554" spans="32:32" x14ac:dyDescent="0.2">
      <c r="AF45554" s="679"/>
    </row>
    <row r="45555" spans="32:32" x14ac:dyDescent="0.2">
      <c r="AF45555" s="679"/>
    </row>
    <row r="45556" spans="32:32" x14ac:dyDescent="0.2">
      <c r="AF45556" s="679"/>
    </row>
    <row r="45557" spans="32:32" x14ac:dyDescent="0.2">
      <c r="AF45557" s="679"/>
    </row>
    <row r="45558" spans="32:32" x14ac:dyDescent="0.2">
      <c r="AF45558" s="679"/>
    </row>
    <row r="45559" spans="32:32" x14ac:dyDescent="0.2">
      <c r="AF45559" s="679"/>
    </row>
    <row r="45560" spans="32:32" x14ac:dyDescent="0.2">
      <c r="AF45560" s="679"/>
    </row>
    <row r="45561" spans="32:32" x14ac:dyDescent="0.2">
      <c r="AF45561" s="679"/>
    </row>
    <row r="45562" spans="32:32" x14ac:dyDescent="0.2">
      <c r="AF45562" s="679"/>
    </row>
    <row r="45563" spans="32:32" x14ac:dyDescent="0.2">
      <c r="AF45563" s="679"/>
    </row>
    <row r="45564" spans="32:32" x14ac:dyDescent="0.2">
      <c r="AF45564" s="679"/>
    </row>
    <row r="45565" spans="32:32" x14ac:dyDescent="0.2">
      <c r="AF45565" s="679"/>
    </row>
    <row r="45566" spans="32:32" x14ac:dyDescent="0.2">
      <c r="AF45566" s="679"/>
    </row>
    <row r="45567" spans="32:32" x14ac:dyDescent="0.2">
      <c r="AF45567" s="679"/>
    </row>
    <row r="45568" spans="32:32" x14ac:dyDescent="0.2">
      <c r="AF45568" s="679"/>
    </row>
    <row r="45569" spans="32:32" x14ac:dyDescent="0.2">
      <c r="AF45569" s="679"/>
    </row>
    <row r="45570" spans="32:32" x14ac:dyDescent="0.2">
      <c r="AF45570" s="679"/>
    </row>
    <row r="45571" spans="32:32" x14ac:dyDescent="0.2">
      <c r="AF45571" s="679"/>
    </row>
    <row r="45572" spans="32:32" x14ac:dyDescent="0.2">
      <c r="AF45572" s="679"/>
    </row>
    <row r="45573" spans="32:32" x14ac:dyDescent="0.2">
      <c r="AF45573" s="679"/>
    </row>
    <row r="45574" spans="32:32" x14ac:dyDescent="0.2">
      <c r="AF45574" s="679"/>
    </row>
    <row r="45575" spans="32:32" x14ac:dyDescent="0.2">
      <c r="AF45575" s="679"/>
    </row>
    <row r="45576" spans="32:32" x14ac:dyDescent="0.2">
      <c r="AF45576" s="679"/>
    </row>
    <row r="45577" spans="32:32" x14ac:dyDescent="0.2">
      <c r="AF45577" s="679"/>
    </row>
    <row r="45578" spans="32:32" x14ac:dyDescent="0.2">
      <c r="AF45578" s="679"/>
    </row>
    <row r="45579" spans="32:32" x14ac:dyDescent="0.2">
      <c r="AF45579" s="679"/>
    </row>
    <row r="45580" spans="32:32" x14ac:dyDescent="0.2">
      <c r="AF45580" s="679"/>
    </row>
    <row r="45581" spans="32:32" x14ac:dyDescent="0.2">
      <c r="AF45581" s="679"/>
    </row>
    <row r="45582" spans="32:32" x14ac:dyDescent="0.2">
      <c r="AF45582" s="679"/>
    </row>
    <row r="45583" spans="32:32" x14ac:dyDescent="0.2">
      <c r="AF45583" s="679"/>
    </row>
    <row r="45584" spans="32:32" x14ac:dyDescent="0.2">
      <c r="AF45584" s="679"/>
    </row>
    <row r="45585" spans="32:32" x14ac:dyDescent="0.2">
      <c r="AF45585" s="679"/>
    </row>
    <row r="45586" spans="32:32" x14ac:dyDescent="0.2">
      <c r="AF45586" s="679"/>
    </row>
    <row r="45587" spans="32:32" x14ac:dyDescent="0.2">
      <c r="AF45587" s="679"/>
    </row>
    <row r="45588" spans="32:32" x14ac:dyDescent="0.2">
      <c r="AF45588" s="679"/>
    </row>
    <row r="45589" spans="32:32" x14ac:dyDescent="0.2">
      <c r="AF45589" s="679"/>
    </row>
    <row r="45590" spans="32:32" x14ac:dyDescent="0.2">
      <c r="AF45590" s="679"/>
    </row>
    <row r="45591" spans="32:32" x14ac:dyDescent="0.2">
      <c r="AF45591" s="679"/>
    </row>
    <row r="45592" spans="32:32" x14ac:dyDescent="0.2">
      <c r="AF45592" s="679"/>
    </row>
    <row r="45593" spans="32:32" x14ac:dyDescent="0.2">
      <c r="AF45593" s="679"/>
    </row>
    <row r="45594" spans="32:32" x14ac:dyDescent="0.2">
      <c r="AF45594" s="679"/>
    </row>
    <row r="45595" spans="32:32" x14ac:dyDescent="0.2">
      <c r="AF45595" s="679"/>
    </row>
    <row r="45596" spans="32:32" x14ac:dyDescent="0.2">
      <c r="AF45596" s="679"/>
    </row>
    <row r="45597" spans="32:32" x14ac:dyDescent="0.2">
      <c r="AF45597" s="679"/>
    </row>
    <row r="45598" spans="32:32" x14ac:dyDescent="0.2">
      <c r="AF45598" s="679"/>
    </row>
    <row r="45599" spans="32:32" x14ac:dyDescent="0.2">
      <c r="AF45599" s="679"/>
    </row>
    <row r="45600" spans="32:32" x14ac:dyDescent="0.2">
      <c r="AF45600" s="679"/>
    </row>
    <row r="45601" spans="32:32" x14ac:dyDescent="0.2">
      <c r="AF45601" s="679"/>
    </row>
    <row r="45602" spans="32:32" x14ac:dyDescent="0.2">
      <c r="AF45602" s="679"/>
    </row>
    <row r="45603" spans="32:32" x14ac:dyDescent="0.2">
      <c r="AF45603" s="679"/>
    </row>
    <row r="45604" spans="32:32" x14ac:dyDescent="0.2">
      <c r="AF45604" s="679"/>
    </row>
    <row r="45605" spans="32:32" x14ac:dyDescent="0.2">
      <c r="AF45605" s="679"/>
    </row>
    <row r="45606" spans="32:32" x14ac:dyDescent="0.2">
      <c r="AF45606" s="679"/>
    </row>
    <row r="45607" spans="32:32" x14ac:dyDescent="0.2">
      <c r="AF45607" s="679"/>
    </row>
    <row r="45608" spans="32:32" x14ac:dyDescent="0.2">
      <c r="AF45608" s="679"/>
    </row>
    <row r="45609" spans="32:32" x14ac:dyDescent="0.2">
      <c r="AF45609" s="679"/>
    </row>
    <row r="45610" spans="32:32" x14ac:dyDescent="0.2">
      <c r="AF45610" s="679"/>
    </row>
    <row r="45611" spans="32:32" x14ac:dyDescent="0.2">
      <c r="AF45611" s="679"/>
    </row>
    <row r="45612" spans="32:32" x14ac:dyDescent="0.2">
      <c r="AF45612" s="679"/>
    </row>
    <row r="45613" spans="32:32" x14ac:dyDescent="0.2">
      <c r="AF45613" s="679"/>
    </row>
    <row r="45614" spans="32:32" x14ac:dyDescent="0.2">
      <c r="AF45614" s="679"/>
    </row>
    <row r="45615" spans="32:32" x14ac:dyDescent="0.2">
      <c r="AF45615" s="679"/>
    </row>
    <row r="45616" spans="32:32" x14ac:dyDescent="0.2">
      <c r="AF45616" s="679"/>
    </row>
    <row r="45617" spans="32:32" x14ac:dyDescent="0.2">
      <c r="AF45617" s="679"/>
    </row>
    <row r="45618" spans="32:32" x14ac:dyDescent="0.2">
      <c r="AF45618" s="679"/>
    </row>
    <row r="45619" spans="32:32" x14ac:dyDescent="0.2">
      <c r="AF45619" s="679"/>
    </row>
    <row r="45620" spans="32:32" x14ac:dyDescent="0.2">
      <c r="AF45620" s="679"/>
    </row>
    <row r="45621" spans="32:32" x14ac:dyDescent="0.2">
      <c r="AF45621" s="679"/>
    </row>
    <row r="45622" spans="32:32" x14ac:dyDescent="0.2">
      <c r="AF45622" s="679"/>
    </row>
    <row r="45623" spans="32:32" x14ac:dyDescent="0.2">
      <c r="AF45623" s="679"/>
    </row>
    <row r="45624" spans="32:32" x14ac:dyDescent="0.2">
      <c r="AF45624" s="679"/>
    </row>
    <row r="45625" spans="32:32" x14ac:dyDescent="0.2">
      <c r="AF45625" s="679"/>
    </row>
    <row r="45626" spans="32:32" x14ac:dyDescent="0.2">
      <c r="AF45626" s="679"/>
    </row>
    <row r="45627" spans="32:32" x14ac:dyDescent="0.2">
      <c r="AF45627" s="679"/>
    </row>
    <row r="45628" spans="32:32" x14ac:dyDescent="0.2">
      <c r="AF45628" s="679"/>
    </row>
    <row r="45629" spans="32:32" x14ac:dyDescent="0.2">
      <c r="AF45629" s="679"/>
    </row>
    <row r="45630" spans="32:32" x14ac:dyDescent="0.2">
      <c r="AF45630" s="679"/>
    </row>
    <row r="45631" spans="32:32" x14ac:dyDescent="0.2">
      <c r="AF45631" s="679"/>
    </row>
    <row r="45632" spans="32:32" x14ac:dyDescent="0.2">
      <c r="AF45632" s="679"/>
    </row>
    <row r="45633" spans="32:32" x14ac:dyDescent="0.2">
      <c r="AF45633" s="679"/>
    </row>
    <row r="45634" spans="32:32" x14ac:dyDescent="0.2">
      <c r="AF45634" s="679"/>
    </row>
    <row r="45635" spans="32:32" x14ac:dyDescent="0.2">
      <c r="AF45635" s="679"/>
    </row>
    <row r="45636" spans="32:32" x14ac:dyDescent="0.2">
      <c r="AF45636" s="679"/>
    </row>
    <row r="45637" spans="32:32" x14ac:dyDescent="0.2">
      <c r="AF45637" s="679"/>
    </row>
    <row r="45638" spans="32:32" x14ac:dyDescent="0.2">
      <c r="AF45638" s="679"/>
    </row>
    <row r="45639" spans="32:32" x14ac:dyDescent="0.2">
      <c r="AF45639" s="679"/>
    </row>
    <row r="45640" spans="32:32" x14ac:dyDescent="0.2">
      <c r="AF45640" s="679"/>
    </row>
    <row r="45641" spans="32:32" x14ac:dyDescent="0.2">
      <c r="AF45641" s="679"/>
    </row>
    <row r="45642" spans="32:32" x14ac:dyDescent="0.2">
      <c r="AF45642" s="679"/>
    </row>
    <row r="45643" spans="32:32" x14ac:dyDescent="0.2">
      <c r="AF45643" s="679"/>
    </row>
    <row r="45644" spans="32:32" x14ac:dyDescent="0.2">
      <c r="AF45644" s="679"/>
    </row>
    <row r="45645" spans="32:32" x14ac:dyDescent="0.2">
      <c r="AF45645" s="679"/>
    </row>
    <row r="45646" spans="32:32" x14ac:dyDescent="0.2">
      <c r="AF45646" s="679"/>
    </row>
    <row r="45647" spans="32:32" x14ac:dyDescent="0.2">
      <c r="AF45647" s="679"/>
    </row>
    <row r="45648" spans="32:32" x14ac:dyDescent="0.2">
      <c r="AF45648" s="679"/>
    </row>
    <row r="45649" spans="32:32" x14ac:dyDescent="0.2">
      <c r="AF45649" s="679"/>
    </row>
    <row r="45650" spans="32:32" x14ac:dyDescent="0.2">
      <c r="AF45650" s="679"/>
    </row>
    <row r="45651" spans="32:32" x14ac:dyDescent="0.2">
      <c r="AF45651" s="679"/>
    </row>
    <row r="45652" spans="32:32" x14ac:dyDescent="0.2">
      <c r="AF45652" s="679"/>
    </row>
    <row r="45653" spans="32:32" x14ac:dyDescent="0.2">
      <c r="AF45653" s="679"/>
    </row>
    <row r="45654" spans="32:32" x14ac:dyDescent="0.2">
      <c r="AF45654" s="679"/>
    </row>
    <row r="45655" spans="32:32" x14ac:dyDescent="0.2">
      <c r="AF45655" s="679"/>
    </row>
    <row r="45656" spans="32:32" x14ac:dyDescent="0.2">
      <c r="AF45656" s="679"/>
    </row>
    <row r="45657" spans="32:32" x14ac:dyDescent="0.2">
      <c r="AF45657" s="679"/>
    </row>
    <row r="45658" spans="32:32" x14ac:dyDescent="0.2">
      <c r="AF45658" s="679"/>
    </row>
    <row r="45659" spans="32:32" x14ac:dyDescent="0.2">
      <c r="AF45659" s="679"/>
    </row>
    <row r="45660" spans="32:32" x14ac:dyDescent="0.2">
      <c r="AF45660" s="679"/>
    </row>
    <row r="45661" spans="32:32" x14ac:dyDescent="0.2">
      <c r="AF45661" s="679"/>
    </row>
    <row r="45662" spans="32:32" x14ac:dyDescent="0.2">
      <c r="AF45662" s="679"/>
    </row>
    <row r="45663" spans="32:32" x14ac:dyDescent="0.2">
      <c r="AF45663" s="679"/>
    </row>
    <row r="45664" spans="32:32" x14ac:dyDescent="0.2">
      <c r="AF45664" s="679"/>
    </row>
    <row r="45665" spans="32:32" x14ac:dyDescent="0.2">
      <c r="AF45665" s="679"/>
    </row>
    <row r="45666" spans="32:32" x14ac:dyDescent="0.2">
      <c r="AF45666" s="679"/>
    </row>
    <row r="45667" spans="32:32" x14ac:dyDescent="0.2">
      <c r="AF45667" s="679"/>
    </row>
    <row r="45668" spans="32:32" x14ac:dyDescent="0.2">
      <c r="AF45668" s="679"/>
    </row>
    <row r="45669" spans="32:32" x14ac:dyDescent="0.2">
      <c r="AF45669" s="679"/>
    </row>
    <row r="45670" spans="32:32" x14ac:dyDescent="0.2">
      <c r="AF45670" s="679"/>
    </row>
    <row r="45671" spans="32:32" x14ac:dyDescent="0.2">
      <c r="AF45671" s="679"/>
    </row>
    <row r="45672" spans="32:32" x14ac:dyDescent="0.2">
      <c r="AF45672" s="679"/>
    </row>
    <row r="45673" spans="32:32" x14ac:dyDescent="0.2">
      <c r="AF45673" s="679"/>
    </row>
    <row r="45674" spans="32:32" x14ac:dyDescent="0.2">
      <c r="AF45674" s="679"/>
    </row>
    <row r="45675" spans="32:32" x14ac:dyDescent="0.2">
      <c r="AF45675" s="679"/>
    </row>
    <row r="45676" spans="32:32" x14ac:dyDescent="0.2">
      <c r="AF45676" s="679"/>
    </row>
    <row r="45677" spans="32:32" x14ac:dyDescent="0.2">
      <c r="AF45677" s="679"/>
    </row>
    <row r="45678" spans="32:32" x14ac:dyDescent="0.2">
      <c r="AF45678" s="679"/>
    </row>
    <row r="45679" spans="32:32" x14ac:dyDescent="0.2">
      <c r="AF45679" s="679"/>
    </row>
    <row r="45680" spans="32:32" x14ac:dyDescent="0.2">
      <c r="AF45680" s="679"/>
    </row>
    <row r="45681" spans="32:32" x14ac:dyDescent="0.2">
      <c r="AF45681" s="679"/>
    </row>
    <row r="45682" spans="32:32" x14ac:dyDescent="0.2">
      <c r="AF45682" s="679"/>
    </row>
    <row r="45683" spans="32:32" x14ac:dyDescent="0.2">
      <c r="AF45683" s="679"/>
    </row>
    <row r="45684" spans="32:32" x14ac:dyDescent="0.2">
      <c r="AF45684" s="679"/>
    </row>
    <row r="45685" spans="32:32" x14ac:dyDescent="0.2">
      <c r="AF45685" s="679"/>
    </row>
    <row r="45686" spans="32:32" x14ac:dyDescent="0.2">
      <c r="AF45686" s="679"/>
    </row>
    <row r="45687" spans="32:32" x14ac:dyDescent="0.2">
      <c r="AF45687" s="679"/>
    </row>
    <row r="45688" spans="32:32" x14ac:dyDescent="0.2">
      <c r="AF45688" s="679"/>
    </row>
    <row r="45689" spans="32:32" x14ac:dyDescent="0.2">
      <c r="AF45689" s="679"/>
    </row>
    <row r="45690" spans="32:32" x14ac:dyDescent="0.2">
      <c r="AF45690" s="679"/>
    </row>
    <row r="45691" spans="32:32" x14ac:dyDescent="0.2">
      <c r="AF45691" s="679"/>
    </row>
    <row r="45692" spans="32:32" x14ac:dyDescent="0.2">
      <c r="AF45692" s="679"/>
    </row>
    <row r="45693" spans="32:32" x14ac:dyDescent="0.2">
      <c r="AF45693" s="679"/>
    </row>
    <row r="45694" spans="32:32" x14ac:dyDescent="0.2">
      <c r="AF45694" s="679"/>
    </row>
    <row r="45695" spans="32:32" x14ac:dyDescent="0.2">
      <c r="AF45695" s="679"/>
    </row>
    <row r="45696" spans="32:32" x14ac:dyDescent="0.2">
      <c r="AF45696" s="679"/>
    </row>
    <row r="45697" spans="32:32" x14ac:dyDescent="0.2">
      <c r="AF45697" s="679"/>
    </row>
    <row r="45698" spans="32:32" x14ac:dyDescent="0.2">
      <c r="AF45698" s="679"/>
    </row>
    <row r="45699" spans="32:32" x14ac:dyDescent="0.2">
      <c r="AF45699" s="679"/>
    </row>
    <row r="45700" spans="32:32" x14ac:dyDescent="0.2">
      <c r="AF45700" s="679"/>
    </row>
    <row r="45701" spans="32:32" x14ac:dyDescent="0.2">
      <c r="AF45701" s="679"/>
    </row>
    <row r="45702" spans="32:32" x14ac:dyDescent="0.2">
      <c r="AF45702" s="679"/>
    </row>
    <row r="45703" spans="32:32" x14ac:dyDescent="0.2">
      <c r="AF45703" s="679"/>
    </row>
    <row r="45704" spans="32:32" x14ac:dyDescent="0.2">
      <c r="AF45704" s="679"/>
    </row>
    <row r="45705" spans="32:32" x14ac:dyDescent="0.2">
      <c r="AF45705" s="679"/>
    </row>
    <row r="45706" spans="32:32" x14ac:dyDescent="0.2">
      <c r="AF45706" s="679"/>
    </row>
    <row r="45707" spans="32:32" x14ac:dyDescent="0.2">
      <c r="AF45707" s="679"/>
    </row>
    <row r="45708" spans="32:32" x14ac:dyDescent="0.2">
      <c r="AF45708" s="679"/>
    </row>
    <row r="45709" spans="32:32" x14ac:dyDescent="0.2">
      <c r="AF45709" s="679"/>
    </row>
    <row r="45710" spans="32:32" x14ac:dyDescent="0.2">
      <c r="AF45710" s="679"/>
    </row>
    <row r="45711" spans="32:32" x14ac:dyDescent="0.2">
      <c r="AF45711" s="679"/>
    </row>
    <row r="45712" spans="32:32" x14ac:dyDescent="0.2">
      <c r="AF45712" s="679"/>
    </row>
    <row r="45713" spans="32:32" x14ac:dyDescent="0.2">
      <c r="AF45713" s="679"/>
    </row>
    <row r="45714" spans="32:32" x14ac:dyDescent="0.2">
      <c r="AF45714" s="679"/>
    </row>
    <row r="45715" spans="32:32" x14ac:dyDescent="0.2">
      <c r="AF45715" s="679"/>
    </row>
    <row r="45716" spans="32:32" x14ac:dyDescent="0.2">
      <c r="AF45716" s="679"/>
    </row>
    <row r="45717" spans="32:32" x14ac:dyDescent="0.2">
      <c r="AF45717" s="679"/>
    </row>
    <row r="45718" spans="32:32" x14ac:dyDescent="0.2">
      <c r="AF45718" s="679"/>
    </row>
    <row r="45719" spans="32:32" x14ac:dyDescent="0.2">
      <c r="AF45719" s="679"/>
    </row>
    <row r="45720" spans="32:32" x14ac:dyDescent="0.2">
      <c r="AF45720" s="679"/>
    </row>
    <row r="45721" spans="32:32" x14ac:dyDescent="0.2">
      <c r="AF45721" s="679"/>
    </row>
    <row r="45722" spans="32:32" x14ac:dyDescent="0.2">
      <c r="AF45722" s="679"/>
    </row>
    <row r="45723" spans="32:32" x14ac:dyDescent="0.2">
      <c r="AF45723" s="679"/>
    </row>
    <row r="45724" spans="32:32" x14ac:dyDescent="0.2">
      <c r="AF45724" s="679"/>
    </row>
    <row r="45725" spans="32:32" x14ac:dyDescent="0.2">
      <c r="AF45725" s="679"/>
    </row>
    <row r="45726" spans="32:32" x14ac:dyDescent="0.2">
      <c r="AF45726" s="679"/>
    </row>
    <row r="45727" spans="32:32" x14ac:dyDescent="0.2">
      <c r="AF45727" s="679"/>
    </row>
    <row r="45728" spans="32:32" x14ac:dyDescent="0.2">
      <c r="AF45728" s="679"/>
    </row>
    <row r="45729" spans="32:32" x14ac:dyDescent="0.2">
      <c r="AF45729" s="679"/>
    </row>
    <row r="45730" spans="32:32" x14ac:dyDescent="0.2">
      <c r="AF45730" s="679"/>
    </row>
    <row r="45731" spans="32:32" x14ac:dyDescent="0.2">
      <c r="AF45731" s="679"/>
    </row>
    <row r="45732" spans="32:32" x14ac:dyDescent="0.2">
      <c r="AF45732" s="679"/>
    </row>
    <row r="45733" spans="32:32" x14ac:dyDescent="0.2">
      <c r="AF45733" s="679"/>
    </row>
    <row r="45734" spans="32:32" x14ac:dyDescent="0.2">
      <c r="AF45734" s="679"/>
    </row>
    <row r="45735" spans="32:32" x14ac:dyDescent="0.2">
      <c r="AF45735" s="679"/>
    </row>
    <row r="45736" spans="32:32" x14ac:dyDescent="0.2">
      <c r="AF45736" s="679"/>
    </row>
    <row r="45737" spans="32:32" x14ac:dyDescent="0.2">
      <c r="AF45737" s="679"/>
    </row>
    <row r="45738" spans="32:32" x14ac:dyDescent="0.2">
      <c r="AF45738" s="679"/>
    </row>
    <row r="45739" spans="32:32" x14ac:dyDescent="0.2">
      <c r="AF45739" s="679"/>
    </row>
    <row r="45740" spans="32:32" x14ac:dyDescent="0.2">
      <c r="AF45740" s="679"/>
    </row>
    <row r="45741" spans="32:32" x14ac:dyDescent="0.2">
      <c r="AF45741" s="679"/>
    </row>
    <row r="45742" spans="32:32" x14ac:dyDescent="0.2">
      <c r="AF45742" s="679"/>
    </row>
    <row r="45743" spans="32:32" x14ac:dyDescent="0.2">
      <c r="AF45743" s="679"/>
    </row>
    <row r="45744" spans="32:32" x14ac:dyDescent="0.2">
      <c r="AF45744" s="679"/>
    </row>
    <row r="45745" spans="32:32" x14ac:dyDescent="0.2">
      <c r="AF45745" s="679"/>
    </row>
    <row r="45746" spans="32:32" x14ac:dyDescent="0.2">
      <c r="AF45746" s="679"/>
    </row>
    <row r="45747" spans="32:32" x14ac:dyDescent="0.2">
      <c r="AF45747" s="679"/>
    </row>
    <row r="45748" spans="32:32" x14ac:dyDescent="0.2">
      <c r="AF45748" s="679"/>
    </row>
    <row r="45749" spans="32:32" x14ac:dyDescent="0.2">
      <c r="AF45749" s="679"/>
    </row>
    <row r="45750" spans="32:32" x14ac:dyDescent="0.2">
      <c r="AF45750" s="679"/>
    </row>
    <row r="45751" spans="32:32" x14ac:dyDescent="0.2">
      <c r="AF45751" s="679"/>
    </row>
    <row r="45752" spans="32:32" x14ac:dyDescent="0.2">
      <c r="AF45752" s="679"/>
    </row>
    <row r="45753" spans="32:32" x14ac:dyDescent="0.2">
      <c r="AF45753" s="679"/>
    </row>
    <row r="45754" spans="32:32" x14ac:dyDescent="0.2">
      <c r="AF45754" s="679"/>
    </row>
    <row r="45755" spans="32:32" x14ac:dyDescent="0.2">
      <c r="AF45755" s="679"/>
    </row>
    <row r="45756" spans="32:32" x14ac:dyDescent="0.2">
      <c r="AF45756" s="679"/>
    </row>
    <row r="45757" spans="32:32" x14ac:dyDescent="0.2">
      <c r="AF45757" s="679"/>
    </row>
    <row r="45758" spans="32:32" x14ac:dyDescent="0.2">
      <c r="AF45758" s="679"/>
    </row>
    <row r="45759" spans="32:32" x14ac:dyDescent="0.2">
      <c r="AF45759" s="679"/>
    </row>
    <row r="45760" spans="32:32" x14ac:dyDescent="0.2">
      <c r="AF45760" s="679"/>
    </row>
    <row r="45761" spans="32:32" x14ac:dyDescent="0.2">
      <c r="AF45761" s="679"/>
    </row>
    <row r="45762" spans="32:32" x14ac:dyDescent="0.2">
      <c r="AF45762" s="679"/>
    </row>
    <row r="45763" spans="32:32" x14ac:dyDescent="0.2">
      <c r="AF45763" s="679"/>
    </row>
    <row r="45764" spans="32:32" x14ac:dyDescent="0.2">
      <c r="AF45764" s="679"/>
    </row>
    <row r="45765" spans="32:32" x14ac:dyDescent="0.2">
      <c r="AF45765" s="679"/>
    </row>
    <row r="45766" spans="32:32" x14ac:dyDescent="0.2">
      <c r="AF45766" s="679"/>
    </row>
    <row r="45767" spans="32:32" x14ac:dyDescent="0.2">
      <c r="AF45767" s="679"/>
    </row>
    <row r="45768" spans="32:32" x14ac:dyDescent="0.2">
      <c r="AF45768" s="679"/>
    </row>
    <row r="45769" spans="32:32" x14ac:dyDescent="0.2">
      <c r="AF45769" s="679"/>
    </row>
    <row r="45770" spans="32:32" x14ac:dyDescent="0.2">
      <c r="AF45770" s="679"/>
    </row>
    <row r="45771" spans="32:32" x14ac:dyDescent="0.2">
      <c r="AF45771" s="679"/>
    </row>
    <row r="45772" spans="32:32" x14ac:dyDescent="0.2">
      <c r="AF45772" s="679"/>
    </row>
    <row r="45773" spans="32:32" x14ac:dyDescent="0.2">
      <c r="AF45773" s="679"/>
    </row>
    <row r="45774" spans="32:32" x14ac:dyDescent="0.2">
      <c r="AF45774" s="679"/>
    </row>
    <row r="45775" spans="32:32" x14ac:dyDescent="0.2">
      <c r="AF45775" s="679"/>
    </row>
    <row r="45776" spans="32:32" x14ac:dyDescent="0.2">
      <c r="AF45776" s="679"/>
    </row>
    <row r="45777" spans="32:32" x14ac:dyDescent="0.2">
      <c r="AF45777" s="679"/>
    </row>
    <row r="45778" spans="32:32" x14ac:dyDescent="0.2">
      <c r="AF45778" s="679"/>
    </row>
    <row r="45779" spans="32:32" x14ac:dyDescent="0.2">
      <c r="AF45779" s="679"/>
    </row>
    <row r="45780" spans="32:32" x14ac:dyDescent="0.2">
      <c r="AF45780" s="679"/>
    </row>
    <row r="45781" spans="32:32" x14ac:dyDescent="0.2">
      <c r="AF45781" s="679"/>
    </row>
    <row r="45782" spans="32:32" x14ac:dyDescent="0.2">
      <c r="AF45782" s="679"/>
    </row>
    <row r="45783" spans="32:32" x14ac:dyDescent="0.2">
      <c r="AF45783" s="679"/>
    </row>
    <row r="45784" spans="32:32" x14ac:dyDescent="0.2">
      <c r="AF45784" s="679"/>
    </row>
    <row r="45785" spans="32:32" x14ac:dyDescent="0.2">
      <c r="AF45785" s="679"/>
    </row>
    <row r="45786" spans="32:32" x14ac:dyDescent="0.2">
      <c r="AF45786" s="679"/>
    </row>
    <row r="45787" spans="32:32" x14ac:dyDescent="0.2">
      <c r="AF45787" s="679"/>
    </row>
    <row r="45788" spans="32:32" x14ac:dyDescent="0.2">
      <c r="AF45788" s="679"/>
    </row>
    <row r="45789" spans="32:32" x14ac:dyDescent="0.2">
      <c r="AF45789" s="679"/>
    </row>
    <row r="45790" spans="32:32" x14ac:dyDescent="0.2">
      <c r="AF45790" s="679"/>
    </row>
    <row r="45791" spans="32:32" x14ac:dyDescent="0.2">
      <c r="AF45791" s="679"/>
    </row>
    <row r="45792" spans="32:32" x14ac:dyDescent="0.2">
      <c r="AF45792" s="679"/>
    </row>
    <row r="45793" spans="32:32" x14ac:dyDescent="0.2">
      <c r="AF45793" s="679"/>
    </row>
    <row r="45794" spans="32:32" x14ac:dyDescent="0.2">
      <c r="AF45794" s="679"/>
    </row>
    <row r="45795" spans="32:32" x14ac:dyDescent="0.2">
      <c r="AF45795" s="679"/>
    </row>
    <row r="45796" spans="32:32" x14ac:dyDescent="0.2">
      <c r="AF45796" s="679"/>
    </row>
    <row r="45797" spans="32:32" x14ac:dyDescent="0.2">
      <c r="AF45797" s="679"/>
    </row>
    <row r="45798" spans="32:32" x14ac:dyDescent="0.2">
      <c r="AF45798" s="679"/>
    </row>
    <row r="45799" spans="32:32" x14ac:dyDescent="0.2">
      <c r="AF45799" s="679"/>
    </row>
    <row r="45800" spans="32:32" x14ac:dyDescent="0.2">
      <c r="AF45800" s="679"/>
    </row>
    <row r="45801" spans="32:32" x14ac:dyDescent="0.2">
      <c r="AF45801" s="679"/>
    </row>
    <row r="45802" spans="32:32" x14ac:dyDescent="0.2">
      <c r="AF45802" s="679"/>
    </row>
    <row r="45803" spans="32:32" x14ac:dyDescent="0.2">
      <c r="AF45803" s="679"/>
    </row>
    <row r="45804" spans="32:32" x14ac:dyDescent="0.2">
      <c r="AF45804" s="679"/>
    </row>
    <row r="45805" spans="32:32" x14ac:dyDescent="0.2">
      <c r="AF45805" s="679"/>
    </row>
    <row r="45806" spans="32:32" x14ac:dyDescent="0.2">
      <c r="AF45806" s="679"/>
    </row>
    <row r="45807" spans="32:32" x14ac:dyDescent="0.2">
      <c r="AF45807" s="679"/>
    </row>
    <row r="45808" spans="32:32" x14ac:dyDescent="0.2">
      <c r="AF45808" s="679"/>
    </row>
    <row r="45809" spans="32:32" x14ac:dyDescent="0.2">
      <c r="AF45809" s="679"/>
    </row>
    <row r="45810" spans="32:32" x14ac:dyDescent="0.2">
      <c r="AF45810" s="679"/>
    </row>
    <row r="45811" spans="32:32" x14ac:dyDescent="0.2">
      <c r="AF45811" s="679"/>
    </row>
    <row r="45812" spans="32:32" x14ac:dyDescent="0.2">
      <c r="AF45812" s="679"/>
    </row>
    <row r="45813" spans="32:32" x14ac:dyDescent="0.2">
      <c r="AF45813" s="679"/>
    </row>
    <row r="45814" spans="32:32" x14ac:dyDescent="0.2">
      <c r="AF45814" s="679"/>
    </row>
    <row r="45815" spans="32:32" x14ac:dyDescent="0.2">
      <c r="AF45815" s="679"/>
    </row>
    <row r="45816" spans="32:32" x14ac:dyDescent="0.2">
      <c r="AF45816" s="679"/>
    </row>
    <row r="45817" spans="32:32" x14ac:dyDescent="0.2">
      <c r="AF45817" s="679"/>
    </row>
    <row r="45818" spans="32:32" x14ac:dyDescent="0.2">
      <c r="AF45818" s="679"/>
    </row>
    <row r="45819" spans="32:32" x14ac:dyDescent="0.2">
      <c r="AF45819" s="679"/>
    </row>
    <row r="45820" spans="32:32" x14ac:dyDescent="0.2">
      <c r="AF45820" s="679"/>
    </row>
    <row r="45821" spans="32:32" x14ac:dyDescent="0.2">
      <c r="AF45821" s="679"/>
    </row>
    <row r="45822" spans="32:32" x14ac:dyDescent="0.2">
      <c r="AF45822" s="679"/>
    </row>
    <row r="45823" spans="32:32" x14ac:dyDescent="0.2">
      <c r="AF45823" s="679"/>
    </row>
    <row r="45824" spans="32:32" x14ac:dyDescent="0.2">
      <c r="AF45824" s="679"/>
    </row>
    <row r="45825" spans="32:32" x14ac:dyDescent="0.2">
      <c r="AF45825" s="679"/>
    </row>
    <row r="45826" spans="32:32" x14ac:dyDescent="0.2">
      <c r="AF45826" s="679"/>
    </row>
    <row r="45827" spans="32:32" x14ac:dyDescent="0.2">
      <c r="AF45827" s="679"/>
    </row>
    <row r="45828" spans="32:32" x14ac:dyDescent="0.2">
      <c r="AF45828" s="679"/>
    </row>
    <row r="45829" spans="32:32" x14ac:dyDescent="0.2">
      <c r="AF45829" s="679"/>
    </row>
    <row r="45830" spans="32:32" x14ac:dyDescent="0.2">
      <c r="AF45830" s="679"/>
    </row>
    <row r="45831" spans="32:32" x14ac:dyDescent="0.2">
      <c r="AF45831" s="679"/>
    </row>
    <row r="45832" spans="32:32" x14ac:dyDescent="0.2">
      <c r="AF45832" s="679"/>
    </row>
    <row r="45833" spans="32:32" x14ac:dyDescent="0.2">
      <c r="AF45833" s="679"/>
    </row>
    <row r="45834" spans="32:32" x14ac:dyDescent="0.2">
      <c r="AF45834" s="679"/>
    </row>
    <row r="45835" spans="32:32" x14ac:dyDescent="0.2">
      <c r="AF45835" s="679"/>
    </row>
    <row r="45836" spans="32:32" x14ac:dyDescent="0.2">
      <c r="AF45836" s="679"/>
    </row>
    <row r="45837" spans="32:32" x14ac:dyDescent="0.2">
      <c r="AF45837" s="679"/>
    </row>
    <row r="45838" spans="32:32" x14ac:dyDescent="0.2">
      <c r="AF45838" s="679"/>
    </row>
    <row r="45839" spans="32:32" x14ac:dyDescent="0.2">
      <c r="AF45839" s="679"/>
    </row>
    <row r="45840" spans="32:32" x14ac:dyDescent="0.2">
      <c r="AF45840" s="679"/>
    </row>
    <row r="45841" spans="32:32" x14ac:dyDescent="0.2">
      <c r="AF45841" s="679"/>
    </row>
    <row r="45842" spans="32:32" x14ac:dyDescent="0.2">
      <c r="AF45842" s="679"/>
    </row>
    <row r="45843" spans="32:32" x14ac:dyDescent="0.2">
      <c r="AF45843" s="679"/>
    </row>
    <row r="45844" spans="32:32" x14ac:dyDescent="0.2">
      <c r="AF45844" s="679"/>
    </row>
    <row r="45845" spans="32:32" x14ac:dyDescent="0.2">
      <c r="AF45845" s="679"/>
    </row>
    <row r="45846" spans="32:32" x14ac:dyDescent="0.2">
      <c r="AF45846" s="679"/>
    </row>
    <row r="45847" spans="32:32" x14ac:dyDescent="0.2">
      <c r="AF45847" s="679"/>
    </row>
    <row r="45848" spans="32:32" x14ac:dyDescent="0.2">
      <c r="AF45848" s="679"/>
    </row>
    <row r="45849" spans="32:32" x14ac:dyDescent="0.2">
      <c r="AF45849" s="679"/>
    </row>
    <row r="45850" spans="32:32" x14ac:dyDescent="0.2">
      <c r="AF45850" s="679"/>
    </row>
    <row r="45851" spans="32:32" x14ac:dyDescent="0.2">
      <c r="AF45851" s="679"/>
    </row>
    <row r="45852" spans="32:32" x14ac:dyDescent="0.2">
      <c r="AF45852" s="679"/>
    </row>
    <row r="45853" spans="32:32" x14ac:dyDescent="0.2">
      <c r="AF45853" s="679"/>
    </row>
    <row r="45854" spans="32:32" x14ac:dyDescent="0.2">
      <c r="AF45854" s="679"/>
    </row>
    <row r="45855" spans="32:32" x14ac:dyDescent="0.2">
      <c r="AF45855" s="679"/>
    </row>
    <row r="45856" spans="32:32" x14ac:dyDescent="0.2">
      <c r="AF45856" s="679"/>
    </row>
    <row r="45857" spans="32:32" x14ac:dyDescent="0.2">
      <c r="AF45857" s="679"/>
    </row>
    <row r="45858" spans="32:32" x14ac:dyDescent="0.2">
      <c r="AF45858" s="679"/>
    </row>
    <row r="45859" spans="32:32" x14ac:dyDescent="0.2">
      <c r="AF45859" s="679"/>
    </row>
    <row r="45860" spans="32:32" x14ac:dyDescent="0.2">
      <c r="AF45860" s="679"/>
    </row>
    <row r="45861" spans="32:32" x14ac:dyDescent="0.2">
      <c r="AF45861" s="679"/>
    </row>
    <row r="45862" spans="32:32" x14ac:dyDescent="0.2">
      <c r="AF45862" s="679"/>
    </row>
    <row r="45863" spans="32:32" x14ac:dyDescent="0.2">
      <c r="AF45863" s="679"/>
    </row>
    <row r="45864" spans="32:32" x14ac:dyDescent="0.2">
      <c r="AF45864" s="679"/>
    </row>
    <row r="45865" spans="32:32" x14ac:dyDescent="0.2">
      <c r="AF45865" s="679"/>
    </row>
    <row r="45866" spans="32:32" x14ac:dyDescent="0.2">
      <c r="AF45866" s="679"/>
    </row>
    <row r="45867" spans="32:32" x14ac:dyDescent="0.2">
      <c r="AF45867" s="679"/>
    </row>
    <row r="45868" spans="32:32" x14ac:dyDescent="0.2">
      <c r="AF45868" s="679"/>
    </row>
    <row r="45869" spans="32:32" x14ac:dyDescent="0.2">
      <c r="AF45869" s="679"/>
    </row>
    <row r="45870" spans="32:32" x14ac:dyDescent="0.2">
      <c r="AF45870" s="679"/>
    </row>
    <row r="45871" spans="32:32" x14ac:dyDescent="0.2">
      <c r="AF45871" s="679"/>
    </row>
    <row r="45872" spans="32:32" x14ac:dyDescent="0.2">
      <c r="AF45872" s="679"/>
    </row>
    <row r="45873" spans="32:32" x14ac:dyDescent="0.2">
      <c r="AF45873" s="679"/>
    </row>
    <row r="45874" spans="32:32" x14ac:dyDescent="0.2">
      <c r="AF45874" s="679"/>
    </row>
    <row r="45875" spans="32:32" x14ac:dyDescent="0.2">
      <c r="AF45875" s="679"/>
    </row>
    <row r="45876" spans="32:32" x14ac:dyDescent="0.2">
      <c r="AF45876" s="679"/>
    </row>
    <row r="45877" spans="32:32" x14ac:dyDescent="0.2">
      <c r="AF45877" s="679"/>
    </row>
    <row r="45878" spans="32:32" x14ac:dyDescent="0.2">
      <c r="AF45878" s="679"/>
    </row>
    <row r="45879" spans="32:32" x14ac:dyDescent="0.2">
      <c r="AF45879" s="679"/>
    </row>
    <row r="45880" spans="32:32" x14ac:dyDescent="0.2">
      <c r="AF45880" s="679"/>
    </row>
    <row r="45881" spans="32:32" x14ac:dyDescent="0.2">
      <c r="AF45881" s="679"/>
    </row>
    <row r="45882" spans="32:32" x14ac:dyDescent="0.2">
      <c r="AF45882" s="679"/>
    </row>
    <row r="45883" spans="32:32" x14ac:dyDescent="0.2">
      <c r="AF45883" s="679"/>
    </row>
    <row r="45884" spans="32:32" x14ac:dyDescent="0.2">
      <c r="AF45884" s="679"/>
    </row>
    <row r="45885" spans="32:32" x14ac:dyDescent="0.2">
      <c r="AF45885" s="679"/>
    </row>
    <row r="45886" spans="32:32" x14ac:dyDescent="0.2">
      <c r="AF45886" s="679"/>
    </row>
    <row r="45887" spans="32:32" x14ac:dyDescent="0.2">
      <c r="AF45887" s="679"/>
    </row>
    <row r="45888" spans="32:32" x14ac:dyDescent="0.2">
      <c r="AF45888" s="679"/>
    </row>
    <row r="45889" spans="32:32" x14ac:dyDescent="0.2">
      <c r="AF45889" s="679"/>
    </row>
    <row r="45890" spans="32:32" x14ac:dyDescent="0.2">
      <c r="AF45890" s="679"/>
    </row>
    <row r="45891" spans="32:32" x14ac:dyDescent="0.2">
      <c r="AF45891" s="679"/>
    </row>
    <row r="45892" spans="32:32" x14ac:dyDescent="0.2">
      <c r="AF45892" s="679"/>
    </row>
    <row r="45893" spans="32:32" x14ac:dyDescent="0.2">
      <c r="AF45893" s="679"/>
    </row>
    <row r="45894" spans="32:32" x14ac:dyDescent="0.2">
      <c r="AF45894" s="679"/>
    </row>
    <row r="45895" spans="32:32" x14ac:dyDescent="0.2">
      <c r="AF45895" s="679"/>
    </row>
    <row r="45896" spans="32:32" x14ac:dyDescent="0.2">
      <c r="AF45896" s="679"/>
    </row>
    <row r="45897" spans="32:32" x14ac:dyDescent="0.2">
      <c r="AF45897" s="679"/>
    </row>
    <row r="45898" spans="32:32" x14ac:dyDescent="0.2">
      <c r="AF45898" s="679"/>
    </row>
    <row r="45899" spans="32:32" x14ac:dyDescent="0.2">
      <c r="AF45899" s="679"/>
    </row>
    <row r="45900" spans="32:32" x14ac:dyDescent="0.2">
      <c r="AF45900" s="679"/>
    </row>
    <row r="45901" spans="32:32" x14ac:dyDescent="0.2">
      <c r="AF45901" s="679"/>
    </row>
    <row r="45902" spans="32:32" x14ac:dyDescent="0.2">
      <c r="AF45902" s="679"/>
    </row>
    <row r="45903" spans="32:32" x14ac:dyDescent="0.2">
      <c r="AF45903" s="679"/>
    </row>
    <row r="45904" spans="32:32" x14ac:dyDescent="0.2">
      <c r="AF45904" s="679"/>
    </row>
    <row r="45905" spans="32:32" x14ac:dyDescent="0.2">
      <c r="AF45905" s="679"/>
    </row>
    <row r="45906" spans="32:32" x14ac:dyDescent="0.2">
      <c r="AF45906" s="679"/>
    </row>
    <row r="45907" spans="32:32" x14ac:dyDescent="0.2">
      <c r="AF45907" s="679"/>
    </row>
    <row r="45908" spans="32:32" x14ac:dyDescent="0.2">
      <c r="AF45908" s="679"/>
    </row>
    <row r="45909" spans="32:32" x14ac:dyDescent="0.2">
      <c r="AF45909" s="679"/>
    </row>
    <row r="45910" spans="32:32" x14ac:dyDescent="0.2">
      <c r="AF45910" s="679"/>
    </row>
    <row r="45911" spans="32:32" x14ac:dyDescent="0.2">
      <c r="AF45911" s="679"/>
    </row>
    <row r="45912" spans="32:32" x14ac:dyDescent="0.2">
      <c r="AF45912" s="679"/>
    </row>
    <row r="45913" spans="32:32" x14ac:dyDescent="0.2">
      <c r="AF45913" s="679"/>
    </row>
    <row r="45914" spans="32:32" x14ac:dyDescent="0.2">
      <c r="AF45914" s="679"/>
    </row>
    <row r="45915" spans="32:32" x14ac:dyDescent="0.2">
      <c r="AF45915" s="679"/>
    </row>
    <row r="45916" spans="32:32" x14ac:dyDescent="0.2">
      <c r="AF45916" s="679"/>
    </row>
    <row r="45917" spans="32:32" x14ac:dyDescent="0.2">
      <c r="AF45917" s="679"/>
    </row>
    <row r="45918" spans="32:32" x14ac:dyDescent="0.2">
      <c r="AF45918" s="679"/>
    </row>
    <row r="45919" spans="32:32" x14ac:dyDescent="0.2">
      <c r="AF45919" s="679"/>
    </row>
    <row r="45920" spans="32:32" x14ac:dyDescent="0.2">
      <c r="AF45920" s="679"/>
    </row>
    <row r="45921" spans="32:32" x14ac:dyDescent="0.2">
      <c r="AF45921" s="679"/>
    </row>
    <row r="45922" spans="32:32" x14ac:dyDescent="0.2">
      <c r="AF45922" s="679"/>
    </row>
    <row r="45923" spans="32:32" x14ac:dyDescent="0.2">
      <c r="AF45923" s="679"/>
    </row>
    <row r="45924" spans="32:32" x14ac:dyDescent="0.2">
      <c r="AF45924" s="679"/>
    </row>
    <row r="45925" spans="32:32" x14ac:dyDescent="0.2">
      <c r="AF45925" s="679"/>
    </row>
    <row r="45926" spans="32:32" x14ac:dyDescent="0.2">
      <c r="AF45926" s="679"/>
    </row>
    <row r="45927" spans="32:32" x14ac:dyDescent="0.2">
      <c r="AF45927" s="679"/>
    </row>
    <row r="45928" spans="32:32" x14ac:dyDescent="0.2">
      <c r="AF45928" s="679"/>
    </row>
    <row r="45929" spans="32:32" x14ac:dyDescent="0.2">
      <c r="AF45929" s="679"/>
    </row>
    <row r="45930" spans="32:32" x14ac:dyDescent="0.2">
      <c r="AF45930" s="679"/>
    </row>
    <row r="45931" spans="32:32" x14ac:dyDescent="0.2">
      <c r="AF45931" s="679"/>
    </row>
    <row r="45932" spans="32:32" x14ac:dyDescent="0.2">
      <c r="AF45932" s="679"/>
    </row>
    <row r="45933" spans="32:32" x14ac:dyDescent="0.2">
      <c r="AF45933" s="679"/>
    </row>
    <row r="45934" spans="32:32" x14ac:dyDescent="0.2">
      <c r="AF45934" s="679"/>
    </row>
    <row r="45935" spans="32:32" x14ac:dyDescent="0.2">
      <c r="AF45935" s="679"/>
    </row>
    <row r="45936" spans="32:32" x14ac:dyDescent="0.2">
      <c r="AF45936" s="679"/>
    </row>
    <row r="45937" spans="32:32" x14ac:dyDescent="0.2">
      <c r="AF45937" s="679"/>
    </row>
    <row r="45938" spans="32:32" x14ac:dyDescent="0.2">
      <c r="AF45938" s="679"/>
    </row>
    <row r="45939" spans="32:32" x14ac:dyDescent="0.2">
      <c r="AF45939" s="679"/>
    </row>
    <row r="45940" spans="32:32" x14ac:dyDescent="0.2">
      <c r="AF45940" s="679"/>
    </row>
    <row r="45941" spans="32:32" x14ac:dyDescent="0.2">
      <c r="AF45941" s="679"/>
    </row>
    <row r="45942" spans="32:32" x14ac:dyDescent="0.2">
      <c r="AF45942" s="679"/>
    </row>
    <row r="45943" spans="32:32" x14ac:dyDescent="0.2">
      <c r="AF45943" s="679"/>
    </row>
    <row r="45944" spans="32:32" x14ac:dyDescent="0.2">
      <c r="AF45944" s="679"/>
    </row>
    <row r="45945" spans="32:32" x14ac:dyDescent="0.2">
      <c r="AF45945" s="679"/>
    </row>
    <row r="45946" spans="32:32" x14ac:dyDescent="0.2">
      <c r="AF45946" s="679"/>
    </row>
    <row r="45947" spans="32:32" x14ac:dyDescent="0.2">
      <c r="AF45947" s="679"/>
    </row>
    <row r="45948" spans="32:32" x14ac:dyDescent="0.2">
      <c r="AF45948" s="679"/>
    </row>
    <row r="45949" spans="32:32" x14ac:dyDescent="0.2">
      <c r="AF45949" s="679"/>
    </row>
    <row r="45950" spans="32:32" x14ac:dyDescent="0.2">
      <c r="AF45950" s="679"/>
    </row>
    <row r="45951" spans="32:32" x14ac:dyDescent="0.2">
      <c r="AF45951" s="679"/>
    </row>
    <row r="45952" spans="32:32" x14ac:dyDescent="0.2">
      <c r="AF45952" s="679"/>
    </row>
    <row r="45953" spans="32:32" x14ac:dyDescent="0.2">
      <c r="AF45953" s="679"/>
    </row>
    <row r="45954" spans="32:32" x14ac:dyDescent="0.2">
      <c r="AF45954" s="679"/>
    </row>
    <row r="45955" spans="32:32" x14ac:dyDescent="0.2">
      <c r="AF45955" s="679"/>
    </row>
    <row r="45956" spans="32:32" x14ac:dyDescent="0.2">
      <c r="AF45956" s="679"/>
    </row>
    <row r="45957" spans="32:32" x14ac:dyDescent="0.2">
      <c r="AF45957" s="679"/>
    </row>
    <row r="45958" spans="32:32" x14ac:dyDescent="0.2">
      <c r="AF45958" s="679"/>
    </row>
    <row r="45959" spans="32:32" x14ac:dyDescent="0.2">
      <c r="AF45959" s="679"/>
    </row>
    <row r="45960" spans="32:32" x14ac:dyDescent="0.2">
      <c r="AF45960" s="679"/>
    </row>
    <row r="45961" spans="32:32" x14ac:dyDescent="0.2">
      <c r="AF45961" s="679"/>
    </row>
    <row r="45962" spans="32:32" x14ac:dyDescent="0.2">
      <c r="AF45962" s="679"/>
    </row>
    <row r="45963" spans="32:32" x14ac:dyDescent="0.2">
      <c r="AF45963" s="679"/>
    </row>
    <row r="45964" spans="32:32" x14ac:dyDescent="0.2">
      <c r="AF45964" s="679"/>
    </row>
    <row r="45965" spans="32:32" x14ac:dyDescent="0.2">
      <c r="AF45965" s="679"/>
    </row>
    <row r="45966" spans="32:32" x14ac:dyDescent="0.2">
      <c r="AF45966" s="679"/>
    </row>
    <row r="45967" spans="32:32" x14ac:dyDescent="0.2">
      <c r="AF45967" s="679"/>
    </row>
    <row r="45968" spans="32:32" x14ac:dyDescent="0.2">
      <c r="AF45968" s="679"/>
    </row>
    <row r="45969" spans="32:32" x14ac:dyDescent="0.2">
      <c r="AF45969" s="679"/>
    </row>
    <row r="45970" spans="32:32" x14ac:dyDescent="0.2">
      <c r="AF45970" s="679"/>
    </row>
    <row r="45971" spans="32:32" x14ac:dyDescent="0.2">
      <c r="AF45971" s="679"/>
    </row>
    <row r="45972" spans="32:32" x14ac:dyDescent="0.2">
      <c r="AF45972" s="679"/>
    </row>
    <row r="45973" spans="32:32" x14ac:dyDescent="0.2">
      <c r="AF45973" s="679"/>
    </row>
    <row r="45974" spans="32:32" x14ac:dyDescent="0.2">
      <c r="AF45974" s="679"/>
    </row>
    <row r="45975" spans="32:32" x14ac:dyDescent="0.2">
      <c r="AF45975" s="679"/>
    </row>
    <row r="45976" spans="32:32" x14ac:dyDescent="0.2">
      <c r="AF45976" s="679"/>
    </row>
    <row r="45977" spans="32:32" x14ac:dyDescent="0.2">
      <c r="AF45977" s="679"/>
    </row>
    <row r="45978" spans="32:32" x14ac:dyDescent="0.2">
      <c r="AF45978" s="679"/>
    </row>
    <row r="45979" spans="32:32" x14ac:dyDescent="0.2">
      <c r="AF45979" s="679"/>
    </row>
    <row r="45980" spans="32:32" x14ac:dyDescent="0.2">
      <c r="AF45980" s="679"/>
    </row>
    <row r="45981" spans="32:32" x14ac:dyDescent="0.2">
      <c r="AF45981" s="679"/>
    </row>
    <row r="45982" spans="32:32" x14ac:dyDescent="0.2">
      <c r="AF45982" s="679"/>
    </row>
    <row r="45983" spans="32:32" x14ac:dyDescent="0.2">
      <c r="AF45983" s="679"/>
    </row>
    <row r="45984" spans="32:32" x14ac:dyDescent="0.2">
      <c r="AF45984" s="679"/>
    </row>
    <row r="45985" spans="32:32" x14ac:dyDescent="0.2">
      <c r="AF45985" s="679"/>
    </row>
    <row r="45986" spans="32:32" x14ac:dyDescent="0.2">
      <c r="AF45986" s="679"/>
    </row>
    <row r="45987" spans="32:32" x14ac:dyDescent="0.2">
      <c r="AF45987" s="679"/>
    </row>
    <row r="45988" spans="32:32" x14ac:dyDescent="0.2">
      <c r="AF45988" s="679"/>
    </row>
    <row r="45989" spans="32:32" x14ac:dyDescent="0.2">
      <c r="AF45989" s="679"/>
    </row>
    <row r="45990" spans="32:32" x14ac:dyDescent="0.2">
      <c r="AF45990" s="679"/>
    </row>
    <row r="45991" spans="32:32" x14ac:dyDescent="0.2">
      <c r="AF45991" s="679"/>
    </row>
    <row r="45992" spans="32:32" x14ac:dyDescent="0.2">
      <c r="AF45992" s="679"/>
    </row>
    <row r="45993" spans="32:32" x14ac:dyDescent="0.2">
      <c r="AF45993" s="679"/>
    </row>
    <row r="45994" spans="32:32" x14ac:dyDescent="0.2">
      <c r="AF45994" s="679"/>
    </row>
    <row r="45995" spans="32:32" x14ac:dyDescent="0.2">
      <c r="AF45995" s="679"/>
    </row>
    <row r="45996" spans="32:32" x14ac:dyDescent="0.2">
      <c r="AF45996" s="679"/>
    </row>
    <row r="45997" spans="32:32" x14ac:dyDescent="0.2">
      <c r="AF45997" s="679"/>
    </row>
    <row r="45998" spans="32:32" x14ac:dyDescent="0.2">
      <c r="AF45998" s="679"/>
    </row>
    <row r="45999" spans="32:32" x14ac:dyDescent="0.2">
      <c r="AF45999" s="679"/>
    </row>
    <row r="46000" spans="32:32" x14ac:dyDescent="0.2">
      <c r="AF46000" s="679"/>
    </row>
    <row r="46001" spans="32:32" x14ac:dyDescent="0.2">
      <c r="AF46001" s="679"/>
    </row>
    <row r="46002" spans="32:32" x14ac:dyDescent="0.2">
      <c r="AF46002" s="679"/>
    </row>
    <row r="46003" spans="32:32" x14ac:dyDescent="0.2">
      <c r="AF46003" s="679"/>
    </row>
    <row r="46004" spans="32:32" x14ac:dyDescent="0.2">
      <c r="AF46004" s="679"/>
    </row>
    <row r="46005" spans="32:32" x14ac:dyDescent="0.2">
      <c r="AF46005" s="679"/>
    </row>
    <row r="46006" spans="32:32" x14ac:dyDescent="0.2">
      <c r="AF46006" s="679"/>
    </row>
    <row r="46007" spans="32:32" x14ac:dyDescent="0.2">
      <c r="AF46007" s="679"/>
    </row>
    <row r="46008" spans="32:32" x14ac:dyDescent="0.2">
      <c r="AF46008" s="679"/>
    </row>
    <row r="46009" spans="32:32" x14ac:dyDescent="0.2">
      <c r="AF46009" s="679"/>
    </row>
    <row r="46010" spans="32:32" x14ac:dyDescent="0.2">
      <c r="AF46010" s="679"/>
    </row>
    <row r="46011" spans="32:32" x14ac:dyDescent="0.2">
      <c r="AF46011" s="679"/>
    </row>
    <row r="46012" spans="32:32" x14ac:dyDescent="0.2">
      <c r="AF46012" s="679"/>
    </row>
    <row r="46013" spans="32:32" x14ac:dyDescent="0.2">
      <c r="AF46013" s="679"/>
    </row>
    <row r="46014" spans="32:32" x14ac:dyDescent="0.2">
      <c r="AF46014" s="679"/>
    </row>
    <row r="46015" spans="32:32" x14ac:dyDescent="0.2">
      <c r="AF46015" s="679"/>
    </row>
    <row r="46016" spans="32:32" x14ac:dyDescent="0.2">
      <c r="AF46016" s="679"/>
    </row>
    <row r="46017" spans="32:32" x14ac:dyDescent="0.2">
      <c r="AF46017" s="679"/>
    </row>
    <row r="46018" spans="32:32" x14ac:dyDescent="0.2">
      <c r="AF46018" s="679"/>
    </row>
    <row r="46019" spans="32:32" x14ac:dyDescent="0.2">
      <c r="AF46019" s="679"/>
    </row>
    <row r="46020" spans="32:32" x14ac:dyDescent="0.2">
      <c r="AF46020" s="679"/>
    </row>
    <row r="46021" spans="32:32" x14ac:dyDescent="0.2">
      <c r="AF46021" s="679"/>
    </row>
    <row r="46022" spans="32:32" x14ac:dyDescent="0.2">
      <c r="AF46022" s="679"/>
    </row>
    <row r="46023" spans="32:32" x14ac:dyDescent="0.2">
      <c r="AF46023" s="679"/>
    </row>
    <row r="46024" spans="32:32" x14ac:dyDescent="0.2">
      <c r="AF46024" s="679"/>
    </row>
    <row r="46025" spans="32:32" x14ac:dyDescent="0.2">
      <c r="AF46025" s="679"/>
    </row>
    <row r="46026" spans="32:32" x14ac:dyDescent="0.2">
      <c r="AF46026" s="679"/>
    </row>
    <row r="46027" spans="32:32" x14ac:dyDescent="0.2">
      <c r="AF46027" s="679"/>
    </row>
    <row r="46028" spans="32:32" x14ac:dyDescent="0.2">
      <c r="AF46028" s="679"/>
    </row>
    <row r="46029" spans="32:32" x14ac:dyDescent="0.2">
      <c r="AF46029" s="679"/>
    </row>
    <row r="46030" spans="32:32" x14ac:dyDescent="0.2">
      <c r="AF46030" s="679"/>
    </row>
    <row r="46031" spans="32:32" x14ac:dyDescent="0.2">
      <c r="AF46031" s="679"/>
    </row>
    <row r="46032" spans="32:32" x14ac:dyDescent="0.2">
      <c r="AF46032" s="679"/>
    </row>
    <row r="46033" spans="32:32" x14ac:dyDescent="0.2">
      <c r="AF46033" s="679"/>
    </row>
    <row r="46034" spans="32:32" x14ac:dyDescent="0.2">
      <c r="AF46034" s="679"/>
    </row>
    <row r="46035" spans="32:32" x14ac:dyDescent="0.2">
      <c r="AF46035" s="679"/>
    </row>
    <row r="46036" spans="32:32" x14ac:dyDescent="0.2">
      <c r="AF46036" s="679"/>
    </row>
    <row r="46037" spans="32:32" x14ac:dyDescent="0.2">
      <c r="AF46037" s="679"/>
    </row>
    <row r="46038" spans="32:32" x14ac:dyDescent="0.2">
      <c r="AF46038" s="679"/>
    </row>
    <row r="46039" spans="32:32" x14ac:dyDescent="0.2">
      <c r="AF46039" s="679"/>
    </row>
    <row r="46040" spans="32:32" x14ac:dyDescent="0.2">
      <c r="AF46040" s="679"/>
    </row>
    <row r="46041" spans="32:32" x14ac:dyDescent="0.2">
      <c r="AF46041" s="679"/>
    </row>
    <row r="46042" spans="32:32" x14ac:dyDescent="0.2">
      <c r="AF46042" s="679"/>
    </row>
    <row r="46043" spans="32:32" x14ac:dyDescent="0.2">
      <c r="AF46043" s="679"/>
    </row>
    <row r="46044" spans="32:32" x14ac:dyDescent="0.2">
      <c r="AF46044" s="679"/>
    </row>
    <row r="46045" spans="32:32" x14ac:dyDescent="0.2">
      <c r="AF46045" s="679"/>
    </row>
    <row r="46046" spans="32:32" x14ac:dyDescent="0.2">
      <c r="AF46046" s="679"/>
    </row>
    <row r="46047" spans="32:32" x14ac:dyDescent="0.2">
      <c r="AF46047" s="679"/>
    </row>
    <row r="46048" spans="32:32" x14ac:dyDescent="0.2">
      <c r="AF46048" s="679"/>
    </row>
    <row r="46049" spans="32:32" x14ac:dyDescent="0.2">
      <c r="AF46049" s="679"/>
    </row>
    <row r="46050" spans="32:32" x14ac:dyDescent="0.2">
      <c r="AF46050" s="679"/>
    </row>
    <row r="46051" spans="32:32" x14ac:dyDescent="0.2">
      <c r="AF46051" s="679"/>
    </row>
    <row r="46052" spans="32:32" x14ac:dyDescent="0.2">
      <c r="AF46052" s="679"/>
    </row>
    <row r="46053" spans="32:32" x14ac:dyDescent="0.2">
      <c r="AF46053" s="679"/>
    </row>
    <row r="46054" spans="32:32" x14ac:dyDescent="0.2">
      <c r="AF46054" s="679"/>
    </row>
    <row r="46055" spans="32:32" x14ac:dyDescent="0.2">
      <c r="AF46055" s="679"/>
    </row>
    <row r="46056" spans="32:32" x14ac:dyDescent="0.2">
      <c r="AF46056" s="679"/>
    </row>
    <row r="46057" spans="32:32" x14ac:dyDescent="0.2">
      <c r="AF46057" s="679"/>
    </row>
    <row r="46058" spans="32:32" x14ac:dyDescent="0.2">
      <c r="AF46058" s="679"/>
    </row>
    <row r="46059" spans="32:32" x14ac:dyDescent="0.2">
      <c r="AF46059" s="679"/>
    </row>
    <row r="46060" spans="32:32" x14ac:dyDescent="0.2">
      <c r="AF46060" s="679"/>
    </row>
    <row r="46061" spans="32:32" x14ac:dyDescent="0.2">
      <c r="AF46061" s="679"/>
    </row>
    <row r="46062" spans="32:32" x14ac:dyDescent="0.2">
      <c r="AF46062" s="679"/>
    </row>
    <row r="46063" spans="32:32" x14ac:dyDescent="0.2">
      <c r="AF46063" s="679"/>
    </row>
    <row r="46064" spans="32:32" x14ac:dyDescent="0.2">
      <c r="AF46064" s="679"/>
    </row>
    <row r="46065" spans="32:32" x14ac:dyDescent="0.2">
      <c r="AF46065" s="679"/>
    </row>
    <row r="46066" spans="32:32" x14ac:dyDescent="0.2">
      <c r="AF46066" s="679"/>
    </row>
    <row r="46067" spans="32:32" x14ac:dyDescent="0.2">
      <c r="AF46067" s="679"/>
    </row>
    <row r="46068" spans="32:32" x14ac:dyDescent="0.2">
      <c r="AF46068" s="679"/>
    </row>
    <row r="46069" spans="32:32" x14ac:dyDescent="0.2">
      <c r="AF46069" s="679"/>
    </row>
    <row r="46070" spans="32:32" x14ac:dyDescent="0.2">
      <c r="AF46070" s="679"/>
    </row>
    <row r="46071" spans="32:32" x14ac:dyDescent="0.2">
      <c r="AF46071" s="679"/>
    </row>
    <row r="46072" spans="32:32" x14ac:dyDescent="0.2">
      <c r="AF46072" s="679"/>
    </row>
    <row r="46073" spans="32:32" x14ac:dyDescent="0.2">
      <c r="AF46073" s="679"/>
    </row>
    <row r="46074" spans="32:32" x14ac:dyDescent="0.2">
      <c r="AF46074" s="679"/>
    </row>
    <row r="46075" spans="32:32" x14ac:dyDescent="0.2">
      <c r="AF46075" s="679"/>
    </row>
    <row r="46076" spans="32:32" x14ac:dyDescent="0.2">
      <c r="AF46076" s="679"/>
    </row>
    <row r="46077" spans="32:32" x14ac:dyDescent="0.2">
      <c r="AF46077" s="679"/>
    </row>
    <row r="46078" spans="32:32" x14ac:dyDescent="0.2">
      <c r="AF46078" s="679"/>
    </row>
    <row r="46079" spans="32:32" x14ac:dyDescent="0.2">
      <c r="AF46079" s="679"/>
    </row>
    <row r="46080" spans="32:32" x14ac:dyDescent="0.2">
      <c r="AF46080" s="679"/>
    </row>
    <row r="46081" spans="32:32" x14ac:dyDescent="0.2">
      <c r="AF46081" s="679"/>
    </row>
    <row r="46082" spans="32:32" x14ac:dyDescent="0.2">
      <c r="AF46082" s="679"/>
    </row>
    <row r="46083" spans="32:32" x14ac:dyDescent="0.2">
      <c r="AF46083" s="679"/>
    </row>
    <row r="46084" spans="32:32" x14ac:dyDescent="0.2">
      <c r="AF46084" s="679"/>
    </row>
    <row r="46085" spans="32:32" x14ac:dyDescent="0.2">
      <c r="AF46085" s="679"/>
    </row>
    <row r="46086" spans="32:32" x14ac:dyDescent="0.2">
      <c r="AF46086" s="679"/>
    </row>
    <row r="46087" spans="32:32" x14ac:dyDescent="0.2">
      <c r="AF46087" s="679"/>
    </row>
    <row r="46088" spans="32:32" x14ac:dyDescent="0.2">
      <c r="AF46088" s="679"/>
    </row>
    <row r="46089" spans="32:32" x14ac:dyDescent="0.2">
      <c r="AF46089" s="679"/>
    </row>
    <row r="46090" spans="32:32" x14ac:dyDescent="0.2">
      <c r="AF46090" s="679"/>
    </row>
    <row r="46091" spans="32:32" x14ac:dyDescent="0.2">
      <c r="AF46091" s="679"/>
    </row>
    <row r="46092" spans="32:32" x14ac:dyDescent="0.2">
      <c r="AF46092" s="679"/>
    </row>
    <row r="46093" spans="32:32" x14ac:dyDescent="0.2">
      <c r="AF46093" s="679"/>
    </row>
    <row r="46094" spans="32:32" x14ac:dyDescent="0.2">
      <c r="AF46094" s="679"/>
    </row>
    <row r="46095" spans="32:32" x14ac:dyDescent="0.2">
      <c r="AF46095" s="679"/>
    </row>
    <row r="46096" spans="32:32" x14ac:dyDescent="0.2">
      <c r="AF46096" s="679"/>
    </row>
    <row r="46097" spans="32:32" x14ac:dyDescent="0.2">
      <c r="AF46097" s="679"/>
    </row>
    <row r="46098" spans="32:32" x14ac:dyDescent="0.2">
      <c r="AF46098" s="679"/>
    </row>
    <row r="46099" spans="32:32" x14ac:dyDescent="0.2">
      <c r="AF46099" s="679"/>
    </row>
    <row r="46100" spans="32:32" x14ac:dyDescent="0.2">
      <c r="AF46100" s="679"/>
    </row>
    <row r="46101" spans="32:32" x14ac:dyDescent="0.2">
      <c r="AF46101" s="679"/>
    </row>
    <row r="46102" spans="32:32" x14ac:dyDescent="0.2">
      <c r="AF46102" s="679"/>
    </row>
    <row r="46103" spans="32:32" x14ac:dyDescent="0.2">
      <c r="AF46103" s="679"/>
    </row>
    <row r="46104" spans="32:32" x14ac:dyDescent="0.2">
      <c r="AF46104" s="679"/>
    </row>
    <row r="46105" spans="32:32" x14ac:dyDescent="0.2">
      <c r="AF46105" s="679"/>
    </row>
    <row r="46106" spans="32:32" x14ac:dyDescent="0.2">
      <c r="AF46106" s="679"/>
    </row>
    <row r="46107" spans="32:32" x14ac:dyDescent="0.2">
      <c r="AF46107" s="679"/>
    </row>
    <row r="46108" spans="32:32" x14ac:dyDescent="0.2">
      <c r="AF46108" s="679"/>
    </row>
    <row r="46109" spans="32:32" x14ac:dyDescent="0.2">
      <c r="AF46109" s="679"/>
    </row>
    <row r="46110" spans="32:32" x14ac:dyDescent="0.2">
      <c r="AF46110" s="679"/>
    </row>
    <row r="46111" spans="32:32" x14ac:dyDescent="0.2">
      <c r="AF46111" s="679"/>
    </row>
    <row r="46112" spans="32:32" x14ac:dyDescent="0.2">
      <c r="AF46112" s="679"/>
    </row>
    <row r="46113" spans="32:32" x14ac:dyDescent="0.2">
      <c r="AF46113" s="679"/>
    </row>
    <row r="46114" spans="32:32" x14ac:dyDescent="0.2">
      <c r="AF46114" s="679"/>
    </row>
    <row r="46115" spans="32:32" x14ac:dyDescent="0.2">
      <c r="AF46115" s="679"/>
    </row>
    <row r="46116" spans="32:32" x14ac:dyDescent="0.2">
      <c r="AF46116" s="679"/>
    </row>
    <row r="46117" spans="32:32" x14ac:dyDescent="0.2">
      <c r="AF46117" s="679"/>
    </row>
    <row r="46118" spans="32:32" x14ac:dyDescent="0.2">
      <c r="AF46118" s="679"/>
    </row>
    <row r="46119" spans="32:32" x14ac:dyDescent="0.2">
      <c r="AF46119" s="679"/>
    </row>
    <row r="46120" spans="32:32" x14ac:dyDescent="0.2">
      <c r="AF46120" s="679"/>
    </row>
    <row r="46121" spans="32:32" x14ac:dyDescent="0.2">
      <c r="AF46121" s="679"/>
    </row>
    <row r="46122" spans="32:32" x14ac:dyDescent="0.2">
      <c r="AF46122" s="679"/>
    </row>
    <row r="46123" spans="32:32" x14ac:dyDescent="0.2">
      <c r="AF46123" s="679"/>
    </row>
    <row r="46124" spans="32:32" x14ac:dyDescent="0.2">
      <c r="AF46124" s="679"/>
    </row>
    <row r="46125" spans="32:32" x14ac:dyDescent="0.2">
      <c r="AF46125" s="679"/>
    </row>
    <row r="46126" spans="32:32" x14ac:dyDescent="0.2">
      <c r="AF46126" s="679"/>
    </row>
    <row r="46127" spans="32:32" x14ac:dyDescent="0.2">
      <c r="AF46127" s="679"/>
    </row>
    <row r="46128" spans="32:32" x14ac:dyDescent="0.2">
      <c r="AF46128" s="679"/>
    </row>
    <row r="46129" spans="32:32" x14ac:dyDescent="0.2">
      <c r="AF46129" s="679"/>
    </row>
    <row r="46130" spans="32:32" x14ac:dyDescent="0.2">
      <c r="AF46130" s="679"/>
    </row>
    <row r="46131" spans="32:32" x14ac:dyDescent="0.2">
      <c r="AF46131" s="679"/>
    </row>
    <row r="46132" spans="32:32" x14ac:dyDescent="0.2">
      <c r="AF46132" s="679"/>
    </row>
    <row r="46133" spans="32:32" x14ac:dyDescent="0.2">
      <c r="AF46133" s="679"/>
    </row>
    <row r="46134" spans="32:32" x14ac:dyDescent="0.2">
      <c r="AF46134" s="679"/>
    </row>
    <row r="46135" spans="32:32" x14ac:dyDescent="0.2">
      <c r="AF46135" s="679"/>
    </row>
    <row r="46136" spans="32:32" x14ac:dyDescent="0.2">
      <c r="AF46136" s="679"/>
    </row>
    <row r="46137" spans="32:32" x14ac:dyDescent="0.2">
      <c r="AF46137" s="679"/>
    </row>
    <row r="46138" spans="32:32" x14ac:dyDescent="0.2">
      <c r="AF46138" s="679"/>
    </row>
    <row r="46139" spans="32:32" x14ac:dyDescent="0.2">
      <c r="AF46139" s="679"/>
    </row>
    <row r="46140" spans="32:32" x14ac:dyDescent="0.2">
      <c r="AF46140" s="679"/>
    </row>
    <row r="46141" spans="32:32" x14ac:dyDescent="0.2">
      <c r="AF46141" s="679"/>
    </row>
    <row r="46142" spans="32:32" x14ac:dyDescent="0.2">
      <c r="AF46142" s="679"/>
    </row>
    <row r="46143" spans="32:32" x14ac:dyDescent="0.2">
      <c r="AF46143" s="679"/>
    </row>
    <row r="46144" spans="32:32" x14ac:dyDescent="0.2">
      <c r="AF46144" s="679"/>
    </row>
    <row r="46145" spans="32:32" x14ac:dyDescent="0.2">
      <c r="AF46145" s="679"/>
    </row>
    <row r="46146" spans="32:32" x14ac:dyDescent="0.2">
      <c r="AF46146" s="679"/>
    </row>
    <row r="46147" spans="32:32" x14ac:dyDescent="0.2">
      <c r="AF46147" s="679"/>
    </row>
    <row r="46148" spans="32:32" x14ac:dyDescent="0.2">
      <c r="AF46148" s="679"/>
    </row>
    <row r="46149" spans="32:32" x14ac:dyDescent="0.2">
      <c r="AF46149" s="679"/>
    </row>
    <row r="46150" spans="32:32" x14ac:dyDescent="0.2">
      <c r="AF46150" s="679"/>
    </row>
    <row r="46151" spans="32:32" x14ac:dyDescent="0.2">
      <c r="AF46151" s="679"/>
    </row>
    <row r="46152" spans="32:32" x14ac:dyDescent="0.2">
      <c r="AF46152" s="679"/>
    </row>
    <row r="46153" spans="32:32" x14ac:dyDescent="0.2">
      <c r="AF46153" s="679"/>
    </row>
    <row r="46154" spans="32:32" x14ac:dyDescent="0.2">
      <c r="AF46154" s="679"/>
    </row>
    <row r="46155" spans="32:32" x14ac:dyDescent="0.2">
      <c r="AF46155" s="679"/>
    </row>
    <row r="46156" spans="32:32" x14ac:dyDescent="0.2">
      <c r="AF46156" s="679"/>
    </row>
    <row r="46157" spans="32:32" x14ac:dyDescent="0.2">
      <c r="AF46157" s="679"/>
    </row>
    <row r="46158" spans="32:32" x14ac:dyDescent="0.2">
      <c r="AF46158" s="679"/>
    </row>
    <row r="46159" spans="32:32" x14ac:dyDescent="0.2">
      <c r="AF46159" s="679"/>
    </row>
    <row r="46160" spans="32:32" x14ac:dyDescent="0.2">
      <c r="AF46160" s="679"/>
    </row>
    <row r="46161" spans="32:32" x14ac:dyDescent="0.2">
      <c r="AF46161" s="679"/>
    </row>
    <row r="46162" spans="32:32" x14ac:dyDescent="0.2">
      <c r="AF46162" s="679"/>
    </row>
    <row r="46163" spans="32:32" x14ac:dyDescent="0.2">
      <c r="AF46163" s="679"/>
    </row>
    <row r="46164" spans="32:32" x14ac:dyDescent="0.2">
      <c r="AF46164" s="679"/>
    </row>
    <row r="46165" spans="32:32" x14ac:dyDescent="0.2">
      <c r="AF46165" s="679"/>
    </row>
    <row r="46166" spans="32:32" x14ac:dyDescent="0.2">
      <c r="AF46166" s="679"/>
    </row>
    <row r="46167" spans="32:32" x14ac:dyDescent="0.2">
      <c r="AF46167" s="679"/>
    </row>
    <row r="46168" spans="32:32" x14ac:dyDescent="0.2">
      <c r="AF46168" s="679"/>
    </row>
    <row r="46169" spans="32:32" x14ac:dyDescent="0.2">
      <c r="AF46169" s="679"/>
    </row>
    <row r="46170" spans="32:32" x14ac:dyDescent="0.2">
      <c r="AF46170" s="679"/>
    </row>
    <row r="46171" spans="32:32" x14ac:dyDescent="0.2">
      <c r="AF46171" s="679"/>
    </row>
    <row r="46172" spans="32:32" x14ac:dyDescent="0.2">
      <c r="AF46172" s="679"/>
    </row>
    <row r="46173" spans="32:32" x14ac:dyDescent="0.2">
      <c r="AF46173" s="679"/>
    </row>
    <row r="46174" spans="32:32" x14ac:dyDescent="0.2">
      <c r="AF46174" s="679"/>
    </row>
    <row r="46175" spans="32:32" x14ac:dyDescent="0.2">
      <c r="AF46175" s="679"/>
    </row>
    <row r="46176" spans="32:32" x14ac:dyDescent="0.2">
      <c r="AF46176" s="679"/>
    </row>
    <row r="46177" spans="32:32" x14ac:dyDescent="0.2">
      <c r="AF46177" s="679"/>
    </row>
    <row r="46178" spans="32:32" x14ac:dyDescent="0.2">
      <c r="AF46178" s="679"/>
    </row>
    <row r="46179" spans="32:32" x14ac:dyDescent="0.2">
      <c r="AF46179" s="679"/>
    </row>
    <row r="46180" spans="32:32" x14ac:dyDescent="0.2">
      <c r="AF46180" s="679"/>
    </row>
    <row r="46181" spans="32:32" x14ac:dyDescent="0.2">
      <c r="AF46181" s="679"/>
    </row>
    <row r="46182" spans="32:32" x14ac:dyDescent="0.2">
      <c r="AF46182" s="679"/>
    </row>
    <row r="46183" spans="32:32" x14ac:dyDescent="0.2">
      <c r="AF46183" s="679"/>
    </row>
    <row r="46184" spans="32:32" x14ac:dyDescent="0.2">
      <c r="AF46184" s="679"/>
    </row>
    <row r="46185" spans="32:32" x14ac:dyDescent="0.2">
      <c r="AF46185" s="679"/>
    </row>
    <row r="46186" spans="32:32" x14ac:dyDescent="0.2">
      <c r="AF46186" s="679"/>
    </row>
    <row r="46187" spans="32:32" x14ac:dyDescent="0.2">
      <c r="AF46187" s="679"/>
    </row>
    <row r="46188" spans="32:32" x14ac:dyDescent="0.2">
      <c r="AF46188" s="679"/>
    </row>
    <row r="46189" spans="32:32" x14ac:dyDescent="0.2">
      <c r="AF46189" s="679"/>
    </row>
    <row r="46190" spans="32:32" x14ac:dyDescent="0.2">
      <c r="AF46190" s="679"/>
    </row>
    <row r="46191" spans="32:32" x14ac:dyDescent="0.2">
      <c r="AF46191" s="679"/>
    </row>
    <row r="46192" spans="32:32" x14ac:dyDescent="0.2">
      <c r="AF46192" s="679"/>
    </row>
    <row r="46193" spans="32:32" x14ac:dyDescent="0.2">
      <c r="AF46193" s="679"/>
    </row>
    <row r="46194" spans="32:32" x14ac:dyDescent="0.2">
      <c r="AF46194" s="679"/>
    </row>
    <row r="46195" spans="32:32" x14ac:dyDescent="0.2">
      <c r="AF46195" s="679"/>
    </row>
    <row r="46196" spans="32:32" x14ac:dyDescent="0.2">
      <c r="AF46196" s="679"/>
    </row>
    <row r="46197" spans="32:32" x14ac:dyDescent="0.2">
      <c r="AF46197" s="679"/>
    </row>
    <row r="46198" spans="32:32" x14ac:dyDescent="0.2">
      <c r="AF46198" s="679"/>
    </row>
    <row r="46199" spans="32:32" x14ac:dyDescent="0.2">
      <c r="AF46199" s="679"/>
    </row>
    <row r="46200" spans="32:32" x14ac:dyDescent="0.2">
      <c r="AF46200" s="679"/>
    </row>
    <row r="46201" spans="32:32" x14ac:dyDescent="0.2">
      <c r="AF46201" s="679"/>
    </row>
    <row r="46202" spans="32:32" x14ac:dyDescent="0.2">
      <c r="AF46202" s="679"/>
    </row>
    <row r="46203" spans="32:32" x14ac:dyDescent="0.2">
      <c r="AF46203" s="679"/>
    </row>
    <row r="46204" spans="32:32" x14ac:dyDescent="0.2">
      <c r="AF46204" s="679"/>
    </row>
    <row r="46205" spans="32:32" x14ac:dyDescent="0.2">
      <c r="AF46205" s="679"/>
    </row>
    <row r="46206" spans="32:32" x14ac:dyDescent="0.2">
      <c r="AF46206" s="679"/>
    </row>
    <row r="46207" spans="32:32" x14ac:dyDescent="0.2">
      <c r="AF46207" s="679"/>
    </row>
    <row r="46208" spans="32:32" x14ac:dyDescent="0.2">
      <c r="AF46208" s="679"/>
    </row>
    <row r="46209" spans="32:32" x14ac:dyDescent="0.2">
      <c r="AF46209" s="679"/>
    </row>
    <row r="46210" spans="32:32" x14ac:dyDescent="0.2">
      <c r="AF46210" s="679"/>
    </row>
    <row r="46211" spans="32:32" x14ac:dyDescent="0.2">
      <c r="AF46211" s="679"/>
    </row>
    <row r="46212" spans="32:32" x14ac:dyDescent="0.2">
      <c r="AF46212" s="679"/>
    </row>
    <row r="46213" spans="32:32" x14ac:dyDescent="0.2">
      <c r="AF46213" s="679"/>
    </row>
    <row r="46214" spans="32:32" x14ac:dyDescent="0.2">
      <c r="AF46214" s="679"/>
    </row>
    <row r="46215" spans="32:32" x14ac:dyDescent="0.2">
      <c r="AF46215" s="679"/>
    </row>
    <row r="46216" spans="32:32" x14ac:dyDescent="0.2">
      <c r="AF46216" s="679"/>
    </row>
    <row r="46217" spans="32:32" x14ac:dyDescent="0.2">
      <c r="AF46217" s="679"/>
    </row>
    <row r="46218" spans="32:32" x14ac:dyDescent="0.2">
      <c r="AF46218" s="679"/>
    </row>
    <row r="46219" spans="32:32" x14ac:dyDescent="0.2">
      <c r="AF46219" s="679"/>
    </row>
    <row r="46220" spans="32:32" x14ac:dyDescent="0.2">
      <c r="AF46220" s="679"/>
    </row>
    <row r="46221" spans="32:32" x14ac:dyDescent="0.2">
      <c r="AF46221" s="679"/>
    </row>
    <row r="46222" spans="32:32" x14ac:dyDescent="0.2">
      <c r="AF46222" s="679"/>
    </row>
    <row r="46223" spans="32:32" x14ac:dyDescent="0.2">
      <c r="AF46223" s="679"/>
    </row>
    <row r="46224" spans="32:32" x14ac:dyDescent="0.2">
      <c r="AF46224" s="679"/>
    </row>
    <row r="46225" spans="32:32" x14ac:dyDescent="0.2">
      <c r="AF46225" s="679"/>
    </row>
    <row r="46226" spans="32:32" x14ac:dyDescent="0.2">
      <c r="AF46226" s="679"/>
    </row>
    <row r="46227" spans="32:32" x14ac:dyDescent="0.2">
      <c r="AF46227" s="679"/>
    </row>
    <row r="46228" spans="32:32" x14ac:dyDescent="0.2">
      <c r="AF46228" s="679"/>
    </row>
    <row r="46229" spans="32:32" x14ac:dyDescent="0.2">
      <c r="AF46229" s="679"/>
    </row>
    <row r="46230" spans="32:32" x14ac:dyDescent="0.2">
      <c r="AF46230" s="679"/>
    </row>
    <row r="46231" spans="32:32" x14ac:dyDescent="0.2">
      <c r="AF46231" s="679"/>
    </row>
    <row r="46232" spans="32:32" x14ac:dyDescent="0.2">
      <c r="AF46232" s="679"/>
    </row>
    <row r="46233" spans="32:32" x14ac:dyDescent="0.2">
      <c r="AF46233" s="679"/>
    </row>
    <row r="46234" spans="32:32" x14ac:dyDescent="0.2">
      <c r="AF46234" s="679"/>
    </row>
    <row r="46235" spans="32:32" x14ac:dyDescent="0.2">
      <c r="AF46235" s="679"/>
    </row>
    <row r="46236" spans="32:32" x14ac:dyDescent="0.2">
      <c r="AF46236" s="679"/>
    </row>
    <row r="46237" spans="32:32" x14ac:dyDescent="0.2">
      <c r="AF46237" s="679"/>
    </row>
    <row r="46238" spans="32:32" x14ac:dyDescent="0.2">
      <c r="AF46238" s="679"/>
    </row>
    <row r="46239" spans="32:32" x14ac:dyDescent="0.2">
      <c r="AF46239" s="679"/>
    </row>
    <row r="46240" spans="32:32" x14ac:dyDescent="0.2">
      <c r="AF46240" s="679"/>
    </row>
    <row r="46241" spans="32:32" x14ac:dyDescent="0.2">
      <c r="AF46241" s="679"/>
    </row>
    <row r="46242" spans="32:32" x14ac:dyDescent="0.2">
      <c r="AF46242" s="679"/>
    </row>
    <row r="46243" spans="32:32" x14ac:dyDescent="0.2">
      <c r="AF46243" s="679"/>
    </row>
    <row r="46244" spans="32:32" x14ac:dyDescent="0.2">
      <c r="AF46244" s="679"/>
    </row>
    <row r="46245" spans="32:32" x14ac:dyDescent="0.2">
      <c r="AF46245" s="679"/>
    </row>
    <row r="46246" spans="32:32" x14ac:dyDescent="0.2">
      <c r="AF46246" s="679"/>
    </row>
    <row r="46247" spans="32:32" x14ac:dyDescent="0.2">
      <c r="AF46247" s="679"/>
    </row>
    <row r="46248" spans="32:32" x14ac:dyDescent="0.2">
      <c r="AF46248" s="679"/>
    </row>
    <row r="46249" spans="32:32" x14ac:dyDescent="0.2">
      <c r="AF46249" s="679"/>
    </row>
    <row r="46250" spans="32:32" x14ac:dyDescent="0.2">
      <c r="AF46250" s="679"/>
    </row>
    <row r="46251" spans="32:32" x14ac:dyDescent="0.2">
      <c r="AF46251" s="679"/>
    </row>
    <row r="46252" spans="32:32" x14ac:dyDescent="0.2">
      <c r="AF46252" s="679"/>
    </row>
    <row r="46253" spans="32:32" x14ac:dyDescent="0.2">
      <c r="AF46253" s="679"/>
    </row>
    <row r="46254" spans="32:32" x14ac:dyDescent="0.2">
      <c r="AF46254" s="679"/>
    </row>
    <row r="46255" spans="32:32" x14ac:dyDescent="0.2">
      <c r="AF46255" s="679"/>
    </row>
    <row r="46256" spans="32:32" x14ac:dyDescent="0.2">
      <c r="AF46256" s="679"/>
    </row>
    <row r="46257" spans="32:32" x14ac:dyDescent="0.2">
      <c r="AF46257" s="679"/>
    </row>
    <row r="46258" spans="32:32" x14ac:dyDescent="0.2">
      <c r="AF46258" s="679"/>
    </row>
    <row r="46259" spans="32:32" x14ac:dyDescent="0.2">
      <c r="AF46259" s="679"/>
    </row>
    <row r="46260" spans="32:32" x14ac:dyDescent="0.2">
      <c r="AF46260" s="679"/>
    </row>
    <row r="46261" spans="32:32" x14ac:dyDescent="0.2">
      <c r="AF46261" s="679"/>
    </row>
    <row r="46262" spans="32:32" x14ac:dyDescent="0.2">
      <c r="AF46262" s="679"/>
    </row>
    <row r="46263" spans="32:32" x14ac:dyDescent="0.2">
      <c r="AF46263" s="679"/>
    </row>
    <row r="46264" spans="32:32" x14ac:dyDescent="0.2">
      <c r="AF46264" s="679"/>
    </row>
    <row r="46265" spans="32:32" x14ac:dyDescent="0.2">
      <c r="AF46265" s="679"/>
    </row>
    <row r="46266" spans="32:32" x14ac:dyDescent="0.2">
      <c r="AF46266" s="679"/>
    </row>
    <row r="46267" spans="32:32" x14ac:dyDescent="0.2">
      <c r="AF46267" s="679"/>
    </row>
    <row r="46268" spans="32:32" x14ac:dyDescent="0.2">
      <c r="AF46268" s="679"/>
    </row>
    <row r="46269" spans="32:32" x14ac:dyDescent="0.2">
      <c r="AF46269" s="679"/>
    </row>
    <row r="46270" spans="32:32" x14ac:dyDescent="0.2">
      <c r="AF46270" s="679"/>
    </row>
    <row r="46271" spans="32:32" x14ac:dyDescent="0.2">
      <c r="AF46271" s="679"/>
    </row>
    <row r="46272" spans="32:32" x14ac:dyDescent="0.2">
      <c r="AF46272" s="679"/>
    </row>
    <row r="46273" spans="32:32" x14ac:dyDescent="0.2">
      <c r="AF46273" s="679"/>
    </row>
    <row r="46274" spans="32:32" x14ac:dyDescent="0.2">
      <c r="AF46274" s="679"/>
    </row>
    <row r="46275" spans="32:32" x14ac:dyDescent="0.2">
      <c r="AF46275" s="679"/>
    </row>
    <row r="46276" spans="32:32" x14ac:dyDescent="0.2">
      <c r="AF46276" s="679"/>
    </row>
    <row r="46277" spans="32:32" x14ac:dyDescent="0.2">
      <c r="AF46277" s="679"/>
    </row>
    <row r="46278" spans="32:32" x14ac:dyDescent="0.2">
      <c r="AF46278" s="679"/>
    </row>
    <row r="46279" spans="32:32" x14ac:dyDescent="0.2">
      <c r="AF46279" s="679"/>
    </row>
    <row r="46280" spans="32:32" x14ac:dyDescent="0.2">
      <c r="AF46280" s="679"/>
    </row>
    <row r="46281" spans="32:32" x14ac:dyDescent="0.2">
      <c r="AF46281" s="679"/>
    </row>
    <row r="46282" spans="32:32" x14ac:dyDescent="0.2">
      <c r="AF46282" s="679"/>
    </row>
    <row r="46283" spans="32:32" x14ac:dyDescent="0.2">
      <c r="AF46283" s="679"/>
    </row>
    <row r="46284" spans="32:32" x14ac:dyDescent="0.2">
      <c r="AF46284" s="679"/>
    </row>
    <row r="46285" spans="32:32" x14ac:dyDescent="0.2">
      <c r="AF46285" s="679"/>
    </row>
    <row r="46286" spans="32:32" x14ac:dyDescent="0.2">
      <c r="AF46286" s="679"/>
    </row>
    <row r="46287" spans="32:32" x14ac:dyDescent="0.2">
      <c r="AF46287" s="679"/>
    </row>
    <row r="46288" spans="32:32" x14ac:dyDescent="0.2">
      <c r="AF46288" s="679"/>
    </row>
    <row r="46289" spans="32:32" x14ac:dyDescent="0.2">
      <c r="AF46289" s="679"/>
    </row>
    <row r="46290" spans="32:32" x14ac:dyDescent="0.2">
      <c r="AF46290" s="679"/>
    </row>
    <row r="46291" spans="32:32" x14ac:dyDescent="0.2">
      <c r="AF46291" s="679"/>
    </row>
    <row r="46292" spans="32:32" x14ac:dyDescent="0.2">
      <c r="AF46292" s="679"/>
    </row>
    <row r="46293" spans="32:32" x14ac:dyDescent="0.2">
      <c r="AF46293" s="679"/>
    </row>
    <row r="46294" spans="32:32" x14ac:dyDescent="0.2">
      <c r="AF46294" s="679"/>
    </row>
    <row r="46295" spans="32:32" x14ac:dyDescent="0.2">
      <c r="AF46295" s="679"/>
    </row>
    <row r="46296" spans="32:32" x14ac:dyDescent="0.2">
      <c r="AF46296" s="679"/>
    </row>
    <row r="46297" spans="32:32" x14ac:dyDescent="0.2">
      <c r="AF46297" s="679"/>
    </row>
    <row r="46298" spans="32:32" x14ac:dyDescent="0.2">
      <c r="AF46298" s="679"/>
    </row>
    <row r="46299" spans="32:32" x14ac:dyDescent="0.2">
      <c r="AF46299" s="679"/>
    </row>
    <row r="46300" spans="32:32" x14ac:dyDescent="0.2">
      <c r="AF46300" s="679"/>
    </row>
    <row r="46301" spans="32:32" x14ac:dyDescent="0.2">
      <c r="AF46301" s="679"/>
    </row>
    <row r="46302" spans="32:32" x14ac:dyDescent="0.2">
      <c r="AF46302" s="679"/>
    </row>
    <row r="46303" spans="32:32" x14ac:dyDescent="0.2">
      <c r="AF46303" s="679"/>
    </row>
    <row r="46304" spans="32:32" x14ac:dyDescent="0.2">
      <c r="AF46304" s="679"/>
    </row>
    <row r="46305" spans="32:32" x14ac:dyDescent="0.2">
      <c r="AF46305" s="679"/>
    </row>
    <row r="46306" spans="32:32" x14ac:dyDescent="0.2">
      <c r="AF46306" s="679"/>
    </row>
    <row r="46307" spans="32:32" x14ac:dyDescent="0.2">
      <c r="AF46307" s="679"/>
    </row>
    <row r="46308" spans="32:32" x14ac:dyDescent="0.2">
      <c r="AF46308" s="679"/>
    </row>
    <row r="46309" spans="32:32" x14ac:dyDescent="0.2">
      <c r="AF46309" s="679"/>
    </row>
    <row r="46310" spans="32:32" x14ac:dyDescent="0.2">
      <c r="AF46310" s="679"/>
    </row>
    <row r="46311" spans="32:32" x14ac:dyDescent="0.2">
      <c r="AF46311" s="679"/>
    </row>
    <row r="46312" spans="32:32" x14ac:dyDescent="0.2">
      <c r="AF46312" s="679"/>
    </row>
    <row r="46313" spans="32:32" x14ac:dyDescent="0.2">
      <c r="AF46313" s="679"/>
    </row>
    <row r="46314" spans="32:32" x14ac:dyDescent="0.2">
      <c r="AF46314" s="679"/>
    </row>
    <row r="46315" spans="32:32" x14ac:dyDescent="0.2">
      <c r="AF46315" s="679"/>
    </row>
    <row r="46316" spans="32:32" x14ac:dyDescent="0.2">
      <c r="AF46316" s="679"/>
    </row>
    <row r="46317" spans="32:32" x14ac:dyDescent="0.2">
      <c r="AF46317" s="679"/>
    </row>
    <row r="46318" spans="32:32" x14ac:dyDescent="0.2">
      <c r="AF46318" s="679"/>
    </row>
    <row r="46319" spans="32:32" x14ac:dyDescent="0.2">
      <c r="AF46319" s="679"/>
    </row>
    <row r="46320" spans="32:32" x14ac:dyDescent="0.2">
      <c r="AF46320" s="679"/>
    </row>
    <row r="46321" spans="32:32" x14ac:dyDescent="0.2">
      <c r="AF46321" s="679"/>
    </row>
    <row r="46322" spans="32:32" x14ac:dyDescent="0.2">
      <c r="AF46322" s="679"/>
    </row>
    <row r="46323" spans="32:32" x14ac:dyDescent="0.2">
      <c r="AF46323" s="679"/>
    </row>
    <row r="46324" spans="32:32" x14ac:dyDescent="0.2">
      <c r="AF46324" s="679"/>
    </row>
    <row r="46325" spans="32:32" x14ac:dyDescent="0.2">
      <c r="AF46325" s="679"/>
    </row>
    <row r="46326" spans="32:32" x14ac:dyDescent="0.2">
      <c r="AF46326" s="679"/>
    </row>
    <row r="46327" spans="32:32" x14ac:dyDescent="0.2">
      <c r="AF46327" s="679"/>
    </row>
    <row r="46328" spans="32:32" x14ac:dyDescent="0.2">
      <c r="AF46328" s="679"/>
    </row>
    <row r="46329" spans="32:32" x14ac:dyDescent="0.2">
      <c r="AF46329" s="679"/>
    </row>
    <row r="46330" spans="32:32" x14ac:dyDescent="0.2">
      <c r="AF46330" s="679"/>
    </row>
    <row r="46331" spans="32:32" x14ac:dyDescent="0.2">
      <c r="AF46331" s="679"/>
    </row>
    <row r="46332" spans="32:32" x14ac:dyDescent="0.2">
      <c r="AF46332" s="679"/>
    </row>
    <row r="46333" spans="32:32" x14ac:dyDescent="0.2">
      <c r="AF46333" s="679"/>
    </row>
    <row r="46334" spans="32:32" x14ac:dyDescent="0.2">
      <c r="AF46334" s="679"/>
    </row>
    <row r="46335" spans="32:32" x14ac:dyDescent="0.2">
      <c r="AF46335" s="679"/>
    </row>
    <row r="46336" spans="32:32" x14ac:dyDescent="0.2">
      <c r="AF46336" s="679"/>
    </row>
    <row r="46337" spans="32:32" x14ac:dyDescent="0.2">
      <c r="AF46337" s="679"/>
    </row>
    <row r="46338" spans="32:32" x14ac:dyDescent="0.2">
      <c r="AF46338" s="679"/>
    </row>
    <row r="46339" spans="32:32" x14ac:dyDescent="0.2">
      <c r="AF46339" s="679"/>
    </row>
    <row r="46340" spans="32:32" x14ac:dyDescent="0.2">
      <c r="AF46340" s="679"/>
    </row>
    <row r="46341" spans="32:32" x14ac:dyDescent="0.2">
      <c r="AF46341" s="679"/>
    </row>
    <row r="46342" spans="32:32" x14ac:dyDescent="0.2">
      <c r="AF46342" s="679"/>
    </row>
    <row r="46343" spans="32:32" x14ac:dyDescent="0.2">
      <c r="AF46343" s="679"/>
    </row>
    <row r="46344" spans="32:32" x14ac:dyDescent="0.2">
      <c r="AF46344" s="679"/>
    </row>
    <row r="46345" spans="32:32" x14ac:dyDescent="0.2">
      <c r="AF46345" s="679"/>
    </row>
    <row r="46346" spans="32:32" x14ac:dyDescent="0.2">
      <c r="AF46346" s="679"/>
    </row>
    <row r="46347" spans="32:32" x14ac:dyDescent="0.2">
      <c r="AF46347" s="679"/>
    </row>
    <row r="46348" spans="32:32" x14ac:dyDescent="0.2">
      <c r="AF46348" s="679"/>
    </row>
    <row r="46349" spans="32:32" x14ac:dyDescent="0.2">
      <c r="AF46349" s="679"/>
    </row>
    <row r="46350" spans="32:32" x14ac:dyDescent="0.2">
      <c r="AF46350" s="679"/>
    </row>
    <row r="46351" spans="32:32" x14ac:dyDescent="0.2">
      <c r="AF46351" s="679"/>
    </row>
    <row r="46352" spans="32:32" x14ac:dyDescent="0.2">
      <c r="AF46352" s="679"/>
    </row>
    <row r="46353" spans="32:32" x14ac:dyDescent="0.2">
      <c r="AF46353" s="679"/>
    </row>
    <row r="46354" spans="32:32" x14ac:dyDescent="0.2">
      <c r="AF46354" s="679"/>
    </row>
    <row r="46355" spans="32:32" x14ac:dyDescent="0.2">
      <c r="AF46355" s="679"/>
    </row>
    <row r="46356" spans="32:32" x14ac:dyDescent="0.2">
      <c r="AF46356" s="679"/>
    </row>
    <row r="46357" spans="32:32" x14ac:dyDescent="0.2">
      <c r="AF46357" s="679"/>
    </row>
    <row r="46358" spans="32:32" x14ac:dyDescent="0.2">
      <c r="AF46358" s="679"/>
    </row>
    <row r="46359" spans="32:32" x14ac:dyDescent="0.2">
      <c r="AF46359" s="679"/>
    </row>
    <row r="46360" spans="32:32" x14ac:dyDescent="0.2">
      <c r="AF46360" s="679"/>
    </row>
    <row r="46361" spans="32:32" x14ac:dyDescent="0.2">
      <c r="AF46361" s="679"/>
    </row>
    <row r="46362" spans="32:32" x14ac:dyDescent="0.2">
      <c r="AF46362" s="679"/>
    </row>
    <row r="46363" spans="32:32" x14ac:dyDescent="0.2">
      <c r="AF46363" s="679"/>
    </row>
    <row r="46364" spans="32:32" x14ac:dyDescent="0.2">
      <c r="AF46364" s="679"/>
    </row>
    <row r="46365" spans="32:32" x14ac:dyDescent="0.2">
      <c r="AF46365" s="679"/>
    </row>
    <row r="46366" spans="32:32" x14ac:dyDescent="0.2">
      <c r="AF46366" s="679"/>
    </row>
    <row r="46367" spans="32:32" x14ac:dyDescent="0.2">
      <c r="AF46367" s="679"/>
    </row>
    <row r="46368" spans="32:32" x14ac:dyDescent="0.2">
      <c r="AF46368" s="679"/>
    </row>
    <row r="46369" spans="32:32" x14ac:dyDescent="0.2">
      <c r="AF46369" s="679"/>
    </row>
    <row r="46370" spans="32:32" x14ac:dyDescent="0.2">
      <c r="AF46370" s="679"/>
    </row>
    <row r="46371" spans="32:32" x14ac:dyDescent="0.2">
      <c r="AF46371" s="679"/>
    </row>
    <row r="46372" spans="32:32" x14ac:dyDescent="0.2">
      <c r="AF46372" s="679"/>
    </row>
    <row r="46373" spans="32:32" x14ac:dyDescent="0.2">
      <c r="AF46373" s="679"/>
    </row>
    <row r="46374" spans="32:32" x14ac:dyDescent="0.2">
      <c r="AF46374" s="679"/>
    </row>
    <row r="46375" spans="32:32" x14ac:dyDescent="0.2">
      <c r="AF46375" s="679"/>
    </row>
    <row r="46376" spans="32:32" x14ac:dyDescent="0.2">
      <c r="AF46376" s="679"/>
    </row>
    <row r="46377" spans="32:32" x14ac:dyDescent="0.2">
      <c r="AF46377" s="679"/>
    </row>
    <row r="46378" spans="32:32" x14ac:dyDescent="0.2">
      <c r="AF46378" s="679"/>
    </row>
    <row r="46379" spans="32:32" x14ac:dyDescent="0.2">
      <c r="AF46379" s="679"/>
    </row>
    <row r="46380" spans="32:32" x14ac:dyDescent="0.2">
      <c r="AF46380" s="679"/>
    </row>
    <row r="46381" spans="32:32" x14ac:dyDescent="0.2">
      <c r="AF46381" s="679"/>
    </row>
    <row r="46382" spans="32:32" x14ac:dyDescent="0.2">
      <c r="AF46382" s="679"/>
    </row>
    <row r="46383" spans="32:32" x14ac:dyDescent="0.2">
      <c r="AF46383" s="679"/>
    </row>
    <row r="46384" spans="32:32" x14ac:dyDescent="0.2">
      <c r="AF46384" s="679"/>
    </row>
    <row r="46385" spans="32:32" x14ac:dyDescent="0.2">
      <c r="AF46385" s="679"/>
    </row>
    <row r="46386" spans="32:32" x14ac:dyDescent="0.2">
      <c r="AF46386" s="679"/>
    </row>
    <row r="46387" spans="32:32" x14ac:dyDescent="0.2">
      <c r="AF46387" s="679"/>
    </row>
    <row r="46388" spans="32:32" x14ac:dyDescent="0.2">
      <c r="AF46388" s="679"/>
    </row>
    <row r="46389" spans="32:32" x14ac:dyDescent="0.2">
      <c r="AF46389" s="679"/>
    </row>
    <row r="46390" spans="32:32" x14ac:dyDescent="0.2">
      <c r="AF46390" s="679"/>
    </row>
    <row r="46391" spans="32:32" x14ac:dyDescent="0.2">
      <c r="AF46391" s="679"/>
    </row>
    <row r="46392" spans="32:32" x14ac:dyDescent="0.2">
      <c r="AF46392" s="679"/>
    </row>
    <row r="46393" spans="32:32" x14ac:dyDescent="0.2">
      <c r="AF46393" s="679"/>
    </row>
    <row r="46394" spans="32:32" x14ac:dyDescent="0.2">
      <c r="AF46394" s="679"/>
    </row>
    <row r="46395" spans="32:32" x14ac:dyDescent="0.2">
      <c r="AF46395" s="679"/>
    </row>
    <row r="46396" spans="32:32" x14ac:dyDescent="0.2">
      <c r="AF46396" s="679"/>
    </row>
    <row r="46397" spans="32:32" x14ac:dyDescent="0.2">
      <c r="AF46397" s="679"/>
    </row>
    <row r="46398" spans="32:32" x14ac:dyDescent="0.2">
      <c r="AF46398" s="679"/>
    </row>
    <row r="46399" spans="32:32" x14ac:dyDescent="0.2">
      <c r="AF46399" s="679"/>
    </row>
    <row r="46400" spans="32:32" x14ac:dyDescent="0.2">
      <c r="AF46400" s="679"/>
    </row>
    <row r="46401" spans="32:32" x14ac:dyDescent="0.2">
      <c r="AF46401" s="679"/>
    </row>
    <row r="46402" spans="32:32" x14ac:dyDescent="0.2">
      <c r="AF46402" s="679"/>
    </row>
    <row r="46403" spans="32:32" x14ac:dyDescent="0.2">
      <c r="AF46403" s="679"/>
    </row>
    <row r="46404" spans="32:32" x14ac:dyDescent="0.2">
      <c r="AF46404" s="679"/>
    </row>
    <row r="46405" spans="32:32" x14ac:dyDescent="0.2">
      <c r="AF46405" s="679"/>
    </row>
    <row r="46406" spans="32:32" x14ac:dyDescent="0.2">
      <c r="AF46406" s="679"/>
    </row>
    <row r="46407" spans="32:32" x14ac:dyDescent="0.2">
      <c r="AF46407" s="679"/>
    </row>
    <row r="46408" spans="32:32" x14ac:dyDescent="0.2">
      <c r="AF46408" s="679"/>
    </row>
    <row r="46409" spans="32:32" x14ac:dyDescent="0.2">
      <c r="AF46409" s="679"/>
    </row>
    <row r="46410" spans="32:32" x14ac:dyDescent="0.2">
      <c r="AF46410" s="679"/>
    </row>
    <row r="46411" spans="32:32" x14ac:dyDescent="0.2">
      <c r="AF46411" s="679"/>
    </row>
    <row r="46412" spans="32:32" x14ac:dyDescent="0.2">
      <c r="AF46412" s="679"/>
    </row>
    <row r="46413" spans="32:32" x14ac:dyDescent="0.2">
      <c r="AF46413" s="679"/>
    </row>
    <row r="46414" spans="32:32" x14ac:dyDescent="0.2">
      <c r="AF46414" s="679"/>
    </row>
    <row r="46415" spans="32:32" x14ac:dyDescent="0.2">
      <c r="AF46415" s="679"/>
    </row>
    <row r="46416" spans="32:32" x14ac:dyDescent="0.2">
      <c r="AF46416" s="679"/>
    </row>
    <row r="46417" spans="32:32" x14ac:dyDescent="0.2">
      <c r="AF46417" s="679"/>
    </row>
    <row r="46418" spans="32:32" x14ac:dyDescent="0.2">
      <c r="AF46418" s="679"/>
    </row>
    <row r="46419" spans="32:32" x14ac:dyDescent="0.2">
      <c r="AF46419" s="679"/>
    </row>
    <row r="46420" spans="32:32" x14ac:dyDescent="0.2">
      <c r="AF46420" s="679"/>
    </row>
    <row r="46421" spans="32:32" x14ac:dyDescent="0.2">
      <c r="AF46421" s="679"/>
    </row>
    <row r="46422" spans="32:32" x14ac:dyDescent="0.2">
      <c r="AF46422" s="679"/>
    </row>
    <row r="46423" spans="32:32" x14ac:dyDescent="0.2">
      <c r="AF46423" s="679"/>
    </row>
    <row r="46424" spans="32:32" x14ac:dyDescent="0.2">
      <c r="AF46424" s="679"/>
    </row>
    <row r="46425" spans="32:32" x14ac:dyDescent="0.2">
      <c r="AF46425" s="679"/>
    </row>
    <row r="46426" spans="32:32" x14ac:dyDescent="0.2">
      <c r="AF46426" s="679"/>
    </row>
    <row r="46427" spans="32:32" x14ac:dyDescent="0.2">
      <c r="AF46427" s="679"/>
    </row>
    <row r="46428" spans="32:32" x14ac:dyDescent="0.2">
      <c r="AF46428" s="679"/>
    </row>
    <row r="46429" spans="32:32" x14ac:dyDescent="0.2">
      <c r="AF46429" s="679"/>
    </row>
    <row r="46430" spans="32:32" x14ac:dyDescent="0.2">
      <c r="AF46430" s="679"/>
    </row>
    <row r="46431" spans="32:32" x14ac:dyDescent="0.2">
      <c r="AF46431" s="679"/>
    </row>
    <row r="46432" spans="32:32" x14ac:dyDescent="0.2">
      <c r="AF46432" s="679"/>
    </row>
    <row r="46433" spans="32:32" x14ac:dyDescent="0.2">
      <c r="AF46433" s="679"/>
    </row>
    <row r="46434" spans="32:32" x14ac:dyDescent="0.2">
      <c r="AF46434" s="679"/>
    </row>
    <row r="46435" spans="32:32" x14ac:dyDescent="0.2">
      <c r="AF46435" s="679"/>
    </row>
    <row r="46436" spans="32:32" x14ac:dyDescent="0.2">
      <c r="AF46436" s="679"/>
    </row>
    <row r="46437" spans="32:32" x14ac:dyDescent="0.2">
      <c r="AF46437" s="679"/>
    </row>
    <row r="46438" spans="32:32" x14ac:dyDescent="0.2">
      <c r="AF46438" s="679"/>
    </row>
    <row r="46439" spans="32:32" x14ac:dyDescent="0.2">
      <c r="AF46439" s="679"/>
    </row>
    <row r="46440" spans="32:32" x14ac:dyDescent="0.2">
      <c r="AF46440" s="679"/>
    </row>
    <row r="46441" spans="32:32" x14ac:dyDescent="0.2">
      <c r="AF46441" s="679"/>
    </row>
    <row r="46442" spans="32:32" x14ac:dyDescent="0.2">
      <c r="AF46442" s="679"/>
    </row>
    <row r="46443" spans="32:32" x14ac:dyDescent="0.2">
      <c r="AF46443" s="679"/>
    </row>
    <row r="46444" spans="32:32" x14ac:dyDescent="0.2">
      <c r="AF46444" s="679"/>
    </row>
    <row r="46445" spans="32:32" x14ac:dyDescent="0.2">
      <c r="AF46445" s="679"/>
    </row>
    <row r="46446" spans="32:32" x14ac:dyDescent="0.2">
      <c r="AF46446" s="679"/>
    </row>
    <row r="46447" spans="32:32" x14ac:dyDescent="0.2">
      <c r="AF46447" s="679"/>
    </row>
    <row r="46448" spans="32:32" x14ac:dyDescent="0.2">
      <c r="AF46448" s="679"/>
    </row>
    <row r="46449" spans="32:32" x14ac:dyDescent="0.2">
      <c r="AF46449" s="679"/>
    </row>
    <row r="46450" spans="32:32" x14ac:dyDescent="0.2">
      <c r="AF46450" s="679"/>
    </row>
    <row r="46451" spans="32:32" x14ac:dyDescent="0.2">
      <c r="AF46451" s="679"/>
    </row>
    <row r="46452" spans="32:32" x14ac:dyDescent="0.2">
      <c r="AF46452" s="679"/>
    </row>
    <row r="46453" spans="32:32" x14ac:dyDescent="0.2">
      <c r="AF46453" s="679"/>
    </row>
    <row r="46454" spans="32:32" x14ac:dyDescent="0.2">
      <c r="AF46454" s="679"/>
    </row>
    <row r="46455" spans="32:32" x14ac:dyDescent="0.2">
      <c r="AF46455" s="679"/>
    </row>
    <row r="46456" spans="32:32" x14ac:dyDescent="0.2">
      <c r="AF46456" s="679"/>
    </row>
    <row r="46457" spans="32:32" x14ac:dyDescent="0.2">
      <c r="AF46457" s="679"/>
    </row>
    <row r="46458" spans="32:32" x14ac:dyDescent="0.2">
      <c r="AF46458" s="679"/>
    </row>
    <row r="46459" spans="32:32" x14ac:dyDescent="0.2">
      <c r="AF46459" s="679"/>
    </row>
    <row r="46460" spans="32:32" x14ac:dyDescent="0.2">
      <c r="AF46460" s="679"/>
    </row>
    <row r="46461" spans="32:32" x14ac:dyDescent="0.2">
      <c r="AF46461" s="679"/>
    </row>
    <row r="46462" spans="32:32" x14ac:dyDescent="0.2">
      <c r="AF46462" s="679"/>
    </row>
    <row r="46463" spans="32:32" x14ac:dyDescent="0.2">
      <c r="AF46463" s="679"/>
    </row>
    <row r="46464" spans="32:32" x14ac:dyDescent="0.2">
      <c r="AF46464" s="679"/>
    </row>
    <row r="46465" spans="32:32" x14ac:dyDescent="0.2">
      <c r="AF46465" s="679"/>
    </row>
    <row r="46466" spans="32:32" x14ac:dyDescent="0.2">
      <c r="AF46466" s="679"/>
    </row>
    <row r="46467" spans="32:32" x14ac:dyDescent="0.2">
      <c r="AF46467" s="679"/>
    </row>
    <row r="46468" spans="32:32" x14ac:dyDescent="0.2">
      <c r="AF46468" s="679"/>
    </row>
    <row r="46469" spans="32:32" x14ac:dyDescent="0.2">
      <c r="AF46469" s="679"/>
    </row>
    <row r="46470" spans="32:32" x14ac:dyDescent="0.2">
      <c r="AF46470" s="679"/>
    </row>
    <row r="46471" spans="32:32" x14ac:dyDescent="0.2">
      <c r="AF46471" s="679"/>
    </row>
    <row r="46472" spans="32:32" x14ac:dyDescent="0.2">
      <c r="AF46472" s="679"/>
    </row>
    <row r="46473" spans="32:32" x14ac:dyDescent="0.2">
      <c r="AF46473" s="679"/>
    </row>
    <row r="46474" spans="32:32" x14ac:dyDescent="0.2">
      <c r="AF46474" s="679"/>
    </row>
    <row r="46475" spans="32:32" x14ac:dyDescent="0.2">
      <c r="AF46475" s="679"/>
    </row>
    <row r="46476" spans="32:32" x14ac:dyDescent="0.2">
      <c r="AF46476" s="679"/>
    </row>
    <row r="46477" spans="32:32" x14ac:dyDescent="0.2">
      <c r="AF46477" s="679"/>
    </row>
    <row r="46478" spans="32:32" x14ac:dyDescent="0.2">
      <c r="AF46478" s="679"/>
    </row>
    <row r="46479" spans="32:32" x14ac:dyDescent="0.2">
      <c r="AF46479" s="679"/>
    </row>
    <row r="46480" spans="32:32" x14ac:dyDescent="0.2">
      <c r="AF46480" s="679"/>
    </row>
    <row r="46481" spans="32:32" x14ac:dyDescent="0.2">
      <c r="AF46481" s="679"/>
    </row>
    <row r="46482" spans="32:32" x14ac:dyDescent="0.2">
      <c r="AF46482" s="679"/>
    </row>
    <row r="46483" spans="32:32" x14ac:dyDescent="0.2">
      <c r="AF46483" s="679"/>
    </row>
    <row r="46484" spans="32:32" x14ac:dyDescent="0.2">
      <c r="AF46484" s="679"/>
    </row>
    <row r="46485" spans="32:32" x14ac:dyDescent="0.2">
      <c r="AF46485" s="679"/>
    </row>
    <row r="46486" spans="32:32" x14ac:dyDescent="0.2">
      <c r="AF46486" s="679"/>
    </row>
    <row r="46487" spans="32:32" x14ac:dyDescent="0.2">
      <c r="AF46487" s="679"/>
    </row>
    <row r="46488" spans="32:32" x14ac:dyDescent="0.2">
      <c r="AF46488" s="679"/>
    </row>
    <row r="46489" spans="32:32" x14ac:dyDescent="0.2">
      <c r="AF46489" s="679"/>
    </row>
    <row r="46490" spans="32:32" x14ac:dyDescent="0.2">
      <c r="AF46490" s="679"/>
    </row>
    <row r="46491" spans="32:32" x14ac:dyDescent="0.2">
      <c r="AF46491" s="679"/>
    </row>
    <row r="46492" spans="32:32" x14ac:dyDescent="0.2">
      <c r="AF46492" s="679"/>
    </row>
    <row r="46493" spans="32:32" x14ac:dyDescent="0.2">
      <c r="AF46493" s="679"/>
    </row>
    <row r="46494" spans="32:32" x14ac:dyDescent="0.2">
      <c r="AF46494" s="679"/>
    </row>
    <row r="46495" spans="32:32" x14ac:dyDescent="0.2">
      <c r="AF46495" s="679"/>
    </row>
    <row r="46496" spans="32:32" x14ac:dyDescent="0.2">
      <c r="AF46496" s="679"/>
    </row>
    <row r="46497" spans="32:32" x14ac:dyDescent="0.2">
      <c r="AF46497" s="679"/>
    </row>
    <row r="46498" spans="32:32" x14ac:dyDescent="0.2">
      <c r="AF46498" s="679"/>
    </row>
    <row r="46499" spans="32:32" x14ac:dyDescent="0.2">
      <c r="AF46499" s="679"/>
    </row>
    <row r="46500" spans="32:32" x14ac:dyDescent="0.2">
      <c r="AF46500" s="679"/>
    </row>
    <row r="46501" spans="32:32" x14ac:dyDescent="0.2">
      <c r="AF46501" s="679"/>
    </row>
    <row r="46502" spans="32:32" x14ac:dyDescent="0.2">
      <c r="AF46502" s="679"/>
    </row>
    <row r="46503" spans="32:32" x14ac:dyDescent="0.2">
      <c r="AF46503" s="679"/>
    </row>
    <row r="46504" spans="32:32" x14ac:dyDescent="0.2">
      <c r="AF46504" s="679"/>
    </row>
    <row r="46505" spans="32:32" x14ac:dyDescent="0.2">
      <c r="AF46505" s="679"/>
    </row>
    <row r="46506" spans="32:32" x14ac:dyDescent="0.2">
      <c r="AF46506" s="679"/>
    </row>
    <row r="46507" spans="32:32" x14ac:dyDescent="0.2">
      <c r="AF46507" s="679"/>
    </row>
    <row r="46508" spans="32:32" x14ac:dyDescent="0.2">
      <c r="AF46508" s="679"/>
    </row>
    <row r="46509" spans="32:32" x14ac:dyDescent="0.2">
      <c r="AF46509" s="679"/>
    </row>
    <row r="46510" spans="32:32" x14ac:dyDescent="0.2">
      <c r="AF46510" s="679"/>
    </row>
    <row r="46511" spans="32:32" x14ac:dyDescent="0.2">
      <c r="AF46511" s="679"/>
    </row>
    <row r="46512" spans="32:32" x14ac:dyDescent="0.2">
      <c r="AF46512" s="679"/>
    </row>
    <row r="46513" spans="32:32" x14ac:dyDescent="0.2">
      <c r="AF46513" s="679"/>
    </row>
    <row r="46514" spans="32:32" x14ac:dyDescent="0.2">
      <c r="AF46514" s="679"/>
    </row>
    <row r="46515" spans="32:32" x14ac:dyDescent="0.2">
      <c r="AF46515" s="679"/>
    </row>
    <row r="46516" spans="32:32" x14ac:dyDescent="0.2">
      <c r="AF46516" s="679"/>
    </row>
    <row r="46517" spans="32:32" x14ac:dyDescent="0.2">
      <c r="AF46517" s="679"/>
    </row>
    <row r="46518" spans="32:32" x14ac:dyDescent="0.2">
      <c r="AF46518" s="679"/>
    </row>
    <row r="46519" spans="32:32" x14ac:dyDescent="0.2">
      <c r="AF46519" s="679"/>
    </row>
    <row r="46520" spans="32:32" x14ac:dyDescent="0.2">
      <c r="AF46520" s="679"/>
    </row>
    <row r="46521" spans="32:32" x14ac:dyDescent="0.2">
      <c r="AF46521" s="679"/>
    </row>
    <row r="46522" spans="32:32" x14ac:dyDescent="0.2">
      <c r="AF46522" s="679"/>
    </row>
    <row r="46523" spans="32:32" x14ac:dyDescent="0.2">
      <c r="AF46523" s="679"/>
    </row>
    <row r="46524" spans="32:32" x14ac:dyDescent="0.2">
      <c r="AF46524" s="679"/>
    </row>
    <row r="46525" spans="32:32" x14ac:dyDescent="0.2">
      <c r="AF46525" s="679"/>
    </row>
    <row r="46526" spans="32:32" x14ac:dyDescent="0.2">
      <c r="AF46526" s="679"/>
    </row>
    <row r="46527" spans="32:32" x14ac:dyDescent="0.2">
      <c r="AF46527" s="679"/>
    </row>
    <row r="46528" spans="32:32" x14ac:dyDescent="0.2">
      <c r="AF46528" s="679"/>
    </row>
    <row r="46529" spans="32:32" x14ac:dyDescent="0.2">
      <c r="AF46529" s="679"/>
    </row>
    <row r="46530" spans="32:32" x14ac:dyDescent="0.2">
      <c r="AF46530" s="679"/>
    </row>
    <row r="46531" spans="32:32" x14ac:dyDescent="0.2">
      <c r="AF46531" s="679"/>
    </row>
    <row r="46532" spans="32:32" x14ac:dyDescent="0.2">
      <c r="AF46532" s="679"/>
    </row>
    <row r="46533" spans="32:32" x14ac:dyDescent="0.2">
      <c r="AF46533" s="679"/>
    </row>
    <row r="46534" spans="32:32" x14ac:dyDescent="0.2">
      <c r="AF46534" s="679"/>
    </row>
    <row r="46535" spans="32:32" x14ac:dyDescent="0.2">
      <c r="AF46535" s="679"/>
    </row>
    <row r="46536" spans="32:32" x14ac:dyDescent="0.2">
      <c r="AF46536" s="679"/>
    </row>
    <row r="46537" spans="32:32" x14ac:dyDescent="0.2">
      <c r="AF46537" s="679"/>
    </row>
    <row r="46538" spans="32:32" x14ac:dyDescent="0.2">
      <c r="AF46538" s="679"/>
    </row>
    <row r="46539" spans="32:32" x14ac:dyDescent="0.2">
      <c r="AF46539" s="679"/>
    </row>
    <row r="46540" spans="32:32" x14ac:dyDescent="0.2">
      <c r="AF46540" s="679"/>
    </row>
    <row r="46541" spans="32:32" x14ac:dyDescent="0.2">
      <c r="AF46541" s="679"/>
    </row>
    <row r="46542" spans="32:32" x14ac:dyDescent="0.2">
      <c r="AF46542" s="679"/>
    </row>
    <row r="46543" spans="32:32" x14ac:dyDescent="0.2">
      <c r="AF46543" s="679"/>
    </row>
    <row r="46544" spans="32:32" x14ac:dyDescent="0.2">
      <c r="AF46544" s="679"/>
    </row>
    <row r="46545" spans="32:32" x14ac:dyDescent="0.2">
      <c r="AF46545" s="679"/>
    </row>
    <row r="46546" spans="32:32" x14ac:dyDescent="0.2">
      <c r="AF46546" s="679"/>
    </row>
    <row r="46547" spans="32:32" x14ac:dyDescent="0.2">
      <c r="AF46547" s="679"/>
    </row>
    <row r="46548" spans="32:32" x14ac:dyDescent="0.2">
      <c r="AF46548" s="679"/>
    </row>
    <row r="46549" spans="32:32" x14ac:dyDescent="0.2">
      <c r="AF46549" s="679"/>
    </row>
    <row r="46550" spans="32:32" x14ac:dyDescent="0.2">
      <c r="AF46550" s="679"/>
    </row>
    <row r="46551" spans="32:32" x14ac:dyDescent="0.2">
      <c r="AF46551" s="679"/>
    </row>
    <row r="46552" spans="32:32" x14ac:dyDescent="0.2">
      <c r="AF46552" s="679"/>
    </row>
    <row r="46553" spans="32:32" x14ac:dyDescent="0.2">
      <c r="AF46553" s="679"/>
    </row>
    <row r="46554" spans="32:32" x14ac:dyDescent="0.2">
      <c r="AF46554" s="679"/>
    </row>
    <row r="46555" spans="32:32" x14ac:dyDescent="0.2">
      <c r="AF46555" s="679"/>
    </row>
    <row r="46556" spans="32:32" x14ac:dyDescent="0.2">
      <c r="AF46556" s="679"/>
    </row>
    <row r="46557" spans="32:32" x14ac:dyDescent="0.2">
      <c r="AF46557" s="679"/>
    </row>
    <row r="46558" spans="32:32" x14ac:dyDescent="0.2">
      <c r="AF46558" s="679"/>
    </row>
    <row r="46559" spans="32:32" x14ac:dyDescent="0.2">
      <c r="AF46559" s="679"/>
    </row>
    <row r="46560" spans="32:32" x14ac:dyDescent="0.2">
      <c r="AF46560" s="679"/>
    </row>
    <row r="46561" spans="32:32" x14ac:dyDescent="0.2">
      <c r="AF46561" s="679"/>
    </row>
    <row r="46562" spans="32:32" x14ac:dyDescent="0.2">
      <c r="AF46562" s="679"/>
    </row>
    <row r="46563" spans="32:32" x14ac:dyDescent="0.2">
      <c r="AF46563" s="679"/>
    </row>
    <row r="46564" spans="32:32" x14ac:dyDescent="0.2">
      <c r="AF46564" s="679"/>
    </row>
    <row r="46565" spans="32:32" x14ac:dyDescent="0.2">
      <c r="AF46565" s="679"/>
    </row>
    <row r="46566" spans="32:32" x14ac:dyDescent="0.2">
      <c r="AF46566" s="679"/>
    </row>
    <row r="46567" spans="32:32" x14ac:dyDescent="0.2">
      <c r="AF46567" s="679"/>
    </row>
    <row r="46568" spans="32:32" x14ac:dyDescent="0.2">
      <c r="AF46568" s="679"/>
    </row>
    <row r="46569" spans="32:32" x14ac:dyDescent="0.2">
      <c r="AF46569" s="679"/>
    </row>
    <row r="46570" spans="32:32" x14ac:dyDescent="0.2">
      <c r="AF46570" s="679"/>
    </row>
    <row r="46571" spans="32:32" x14ac:dyDescent="0.2">
      <c r="AF46571" s="679"/>
    </row>
    <row r="46572" spans="32:32" x14ac:dyDescent="0.2">
      <c r="AF46572" s="679"/>
    </row>
    <row r="46573" spans="32:32" x14ac:dyDescent="0.2">
      <c r="AF46573" s="679"/>
    </row>
    <row r="46574" spans="32:32" x14ac:dyDescent="0.2">
      <c r="AF46574" s="679"/>
    </row>
    <row r="46575" spans="32:32" x14ac:dyDescent="0.2">
      <c r="AF46575" s="679"/>
    </row>
    <row r="46576" spans="32:32" x14ac:dyDescent="0.2">
      <c r="AF46576" s="679"/>
    </row>
    <row r="46577" spans="32:32" x14ac:dyDescent="0.2">
      <c r="AF46577" s="679"/>
    </row>
    <row r="46578" spans="32:32" x14ac:dyDescent="0.2">
      <c r="AF46578" s="679"/>
    </row>
    <row r="46579" spans="32:32" x14ac:dyDescent="0.2">
      <c r="AF46579" s="679"/>
    </row>
    <row r="46580" spans="32:32" x14ac:dyDescent="0.2">
      <c r="AF46580" s="679"/>
    </row>
    <row r="46581" spans="32:32" x14ac:dyDescent="0.2">
      <c r="AF46581" s="679"/>
    </row>
    <row r="46582" spans="32:32" x14ac:dyDescent="0.2">
      <c r="AF46582" s="679"/>
    </row>
    <row r="46583" spans="32:32" x14ac:dyDescent="0.2">
      <c r="AF46583" s="679"/>
    </row>
    <row r="46584" spans="32:32" x14ac:dyDescent="0.2">
      <c r="AF46584" s="679"/>
    </row>
    <row r="46585" spans="32:32" x14ac:dyDescent="0.2">
      <c r="AF46585" s="679"/>
    </row>
    <row r="46586" spans="32:32" x14ac:dyDescent="0.2">
      <c r="AF46586" s="679"/>
    </row>
    <row r="46587" spans="32:32" x14ac:dyDescent="0.2">
      <c r="AF46587" s="679"/>
    </row>
    <row r="46588" spans="32:32" x14ac:dyDescent="0.2">
      <c r="AF46588" s="679"/>
    </row>
    <row r="46589" spans="32:32" x14ac:dyDescent="0.2">
      <c r="AF46589" s="679"/>
    </row>
    <row r="46590" spans="32:32" x14ac:dyDescent="0.2">
      <c r="AF46590" s="679"/>
    </row>
    <row r="46591" spans="32:32" x14ac:dyDescent="0.2">
      <c r="AF46591" s="679"/>
    </row>
    <row r="46592" spans="32:32" x14ac:dyDescent="0.2">
      <c r="AF46592" s="679"/>
    </row>
    <row r="46593" spans="32:32" x14ac:dyDescent="0.2">
      <c r="AF46593" s="679"/>
    </row>
    <row r="46594" spans="32:32" x14ac:dyDescent="0.2">
      <c r="AF46594" s="679"/>
    </row>
    <row r="46595" spans="32:32" x14ac:dyDescent="0.2">
      <c r="AF46595" s="679"/>
    </row>
    <row r="46596" spans="32:32" x14ac:dyDescent="0.2">
      <c r="AF46596" s="679"/>
    </row>
    <row r="46597" spans="32:32" x14ac:dyDescent="0.2">
      <c r="AF46597" s="679"/>
    </row>
    <row r="46598" spans="32:32" x14ac:dyDescent="0.2">
      <c r="AF46598" s="679"/>
    </row>
    <row r="46599" spans="32:32" x14ac:dyDescent="0.2">
      <c r="AF46599" s="679"/>
    </row>
    <row r="46600" spans="32:32" x14ac:dyDescent="0.2">
      <c r="AF46600" s="679"/>
    </row>
    <row r="46601" spans="32:32" x14ac:dyDescent="0.2">
      <c r="AF46601" s="679"/>
    </row>
    <row r="46602" spans="32:32" x14ac:dyDescent="0.2">
      <c r="AF46602" s="679"/>
    </row>
    <row r="46603" spans="32:32" x14ac:dyDescent="0.2">
      <c r="AF46603" s="679"/>
    </row>
    <row r="46604" spans="32:32" x14ac:dyDescent="0.2">
      <c r="AF46604" s="679"/>
    </row>
    <row r="46605" spans="32:32" x14ac:dyDescent="0.2">
      <c r="AF46605" s="679"/>
    </row>
    <row r="46606" spans="32:32" x14ac:dyDescent="0.2">
      <c r="AF46606" s="679"/>
    </row>
    <row r="46607" spans="32:32" x14ac:dyDescent="0.2">
      <c r="AF46607" s="679"/>
    </row>
    <row r="46608" spans="32:32" x14ac:dyDescent="0.2">
      <c r="AF46608" s="679"/>
    </row>
    <row r="46609" spans="32:32" x14ac:dyDescent="0.2">
      <c r="AF46609" s="679"/>
    </row>
    <row r="46610" spans="32:32" x14ac:dyDescent="0.2">
      <c r="AF46610" s="679"/>
    </row>
    <row r="46611" spans="32:32" x14ac:dyDescent="0.2">
      <c r="AF46611" s="679"/>
    </row>
    <row r="46612" spans="32:32" x14ac:dyDescent="0.2">
      <c r="AF46612" s="679"/>
    </row>
    <row r="46613" spans="32:32" x14ac:dyDescent="0.2">
      <c r="AF46613" s="679"/>
    </row>
    <row r="46614" spans="32:32" x14ac:dyDescent="0.2">
      <c r="AF46614" s="679"/>
    </row>
    <row r="46615" spans="32:32" x14ac:dyDescent="0.2">
      <c r="AF46615" s="679"/>
    </row>
    <row r="46616" spans="32:32" x14ac:dyDescent="0.2">
      <c r="AF46616" s="679"/>
    </row>
    <row r="46617" spans="32:32" x14ac:dyDescent="0.2">
      <c r="AF46617" s="679"/>
    </row>
    <row r="46618" spans="32:32" x14ac:dyDescent="0.2">
      <c r="AF46618" s="679"/>
    </row>
    <row r="46619" spans="32:32" x14ac:dyDescent="0.2">
      <c r="AF46619" s="679"/>
    </row>
    <row r="46620" spans="32:32" x14ac:dyDescent="0.2">
      <c r="AF46620" s="679"/>
    </row>
    <row r="46621" spans="32:32" x14ac:dyDescent="0.2">
      <c r="AF46621" s="679"/>
    </row>
    <row r="46622" spans="32:32" x14ac:dyDescent="0.2">
      <c r="AF46622" s="679"/>
    </row>
    <row r="46623" spans="32:32" x14ac:dyDescent="0.2">
      <c r="AF46623" s="679"/>
    </row>
    <row r="46624" spans="32:32" x14ac:dyDescent="0.2">
      <c r="AF46624" s="679"/>
    </row>
    <row r="46625" spans="32:32" x14ac:dyDescent="0.2">
      <c r="AF46625" s="679"/>
    </row>
    <row r="46626" spans="32:32" x14ac:dyDescent="0.2">
      <c r="AF46626" s="679"/>
    </row>
    <row r="46627" spans="32:32" x14ac:dyDescent="0.2">
      <c r="AF46627" s="679"/>
    </row>
    <row r="46628" spans="32:32" x14ac:dyDescent="0.2">
      <c r="AF46628" s="679"/>
    </row>
    <row r="46629" spans="32:32" x14ac:dyDescent="0.2">
      <c r="AF46629" s="679"/>
    </row>
    <row r="46630" spans="32:32" x14ac:dyDescent="0.2">
      <c r="AF46630" s="679"/>
    </row>
    <row r="46631" spans="32:32" x14ac:dyDescent="0.2">
      <c r="AF46631" s="679"/>
    </row>
    <row r="46632" spans="32:32" x14ac:dyDescent="0.2">
      <c r="AF46632" s="679"/>
    </row>
    <row r="46633" spans="32:32" x14ac:dyDescent="0.2">
      <c r="AF46633" s="679"/>
    </row>
    <row r="46634" spans="32:32" x14ac:dyDescent="0.2">
      <c r="AF46634" s="679"/>
    </row>
    <row r="46635" spans="32:32" x14ac:dyDescent="0.2">
      <c r="AF46635" s="679"/>
    </row>
    <row r="46636" spans="32:32" x14ac:dyDescent="0.2">
      <c r="AF46636" s="679"/>
    </row>
    <row r="46637" spans="32:32" x14ac:dyDescent="0.2">
      <c r="AF46637" s="679"/>
    </row>
    <row r="46638" spans="32:32" x14ac:dyDescent="0.2">
      <c r="AF46638" s="679"/>
    </row>
    <row r="46639" spans="32:32" x14ac:dyDescent="0.2">
      <c r="AF46639" s="679"/>
    </row>
    <row r="46640" spans="32:32" x14ac:dyDescent="0.2">
      <c r="AF46640" s="679"/>
    </row>
    <row r="46641" spans="32:32" x14ac:dyDescent="0.2">
      <c r="AF46641" s="679"/>
    </row>
    <row r="46642" spans="32:32" x14ac:dyDescent="0.2">
      <c r="AF46642" s="679"/>
    </row>
    <row r="46643" spans="32:32" x14ac:dyDescent="0.2">
      <c r="AF46643" s="679"/>
    </row>
    <row r="46644" spans="32:32" x14ac:dyDescent="0.2">
      <c r="AF46644" s="679"/>
    </row>
    <row r="46645" spans="32:32" x14ac:dyDescent="0.2">
      <c r="AF46645" s="679"/>
    </row>
    <row r="46646" spans="32:32" x14ac:dyDescent="0.2">
      <c r="AF46646" s="679"/>
    </row>
    <row r="46647" spans="32:32" x14ac:dyDescent="0.2">
      <c r="AF46647" s="679"/>
    </row>
    <row r="46648" spans="32:32" x14ac:dyDescent="0.2">
      <c r="AF46648" s="679"/>
    </row>
    <row r="46649" spans="32:32" x14ac:dyDescent="0.2">
      <c r="AF46649" s="679"/>
    </row>
    <row r="46650" spans="32:32" x14ac:dyDescent="0.2">
      <c r="AF46650" s="679"/>
    </row>
    <row r="46651" spans="32:32" x14ac:dyDescent="0.2">
      <c r="AF46651" s="679"/>
    </row>
    <row r="46652" spans="32:32" x14ac:dyDescent="0.2">
      <c r="AF46652" s="679"/>
    </row>
    <row r="46653" spans="32:32" x14ac:dyDescent="0.2">
      <c r="AF46653" s="679"/>
    </row>
    <row r="46654" spans="32:32" x14ac:dyDescent="0.2">
      <c r="AF46654" s="679"/>
    </row>
    <row r="46655" spans="32:32" x14ac:dyDescent="0.2">
      <c r="AF46655" s="679"/>
    </row>
    <row r="46656" spans="32:32" x14ac:dyDescent="0.2">
      <c r="AF46656" s="679"/>
    </row>
    <row r="46657" spans="32:32" x14ac:dyDescent="0.2">
      <c r="AF46657" s="679"/>
    </row>
    <row r="46658" spans="32:32" x14ac:dyDescent="0.2">
      <c r="AF46658" s="679"/>
    </row>
    <row r="46659" spans="32:32" x14ac:dyDescent="0.2">
      <c r="AF46659" s="679"/>
    </row>
    <row r="46660" spans="32:32" x14ac:dyDescent="0.2">
      <c r="AF46660" s="679"/>
    </row>
    <row r="46661" spans="32:32" x14ac:dyDescent="0.2">
      <c r="AF46661" s="679"/>
    </row>
    <row r="46662" spans="32:32" x14ac:dyDescent="0.2">
      <c r="AF46662" s="679"/>
    </row>
    <row r="46663" spans="32:32" x14ac:dyDescent="0.2">
      <c r="AF46663" s="679"/>
    </row>
    <row r="46664" spans="32:32" x14ac:dyDescent="0.2">
      <c r="AF46664" s="679"/>
    </row>
    <row r="46665" spans="32:32" x14ac:dyDescent="0.2">
      <c r="AF46665" s="679"/>
    </row>
    <row r="46666" spans="32:32" x14ac:dyDescent="0.2">
      <c r="AF46666" s="679"/>
    </row>
    <row r="46667" spans="32:32" x14ac:dyDescent="0.2">
      <c r="AF46667" s="679"/>
    </row>
    <row r="46668" spans="32:32" x14ac:dyDescent="0.2">
      <c r="AF46668" s="679"/>
    </row>
    <row r="46669" spans="32:32" x14ac:dyDescent="0.2">
      <c r="AF46669" s="679"/>
    </row>
    <row r="46670" spans="32:32" x14ac:dyDescent="0.2">
      <c r="AF46670" s="679"/>
    </row>
    <row r="46671" spans="32:32" x14ac:dyDescent="0.2">
      <c r="AF46671" s="679"/>
    </row>
    <row r="46672" spans="32:32" x14ac:dyDescent="0.2">
      <c r="AF46672" s="679"/>
    </row>
    <row r="46673" spans="32:32" x14ac:dyDescent="0.2">
      <c r="AF46673" s="679"/>
    </row>
    <row r="46674" spans="32:32" x14ac:dyDescent="0.2">
      <c r="AF46674" s="679"/>
    </row>
    <row r="46675" spans="32:32" x14ac:dyDescent="0.2">
      <c r="AF46675" s="679"/>
    </row>
    <row r="46676" spans="32:32" x14ac:dyDescent="0.2">
      <c r="AF46676" s="679"/>
    </row>
    <row r="46677" spans="32:32" x14ac:dyDescent="0.2">
      <c r="AF46677" s="679"/>
    </row>
    <row r="46678" spans="32:32" x14ac:dyDescent="0.2">
      <c r="AF46678" s="679"/>
    </row>
    <row r="46679" spans="32:32" x14ac:dyDescent="0.2">
      <c r="AF46679" s="679"/>
    </row>
    <row r="46680" spans="32:32" x14ac:dyDescent="0.2">
      <c r="AF46680" s="679"/>
    </row>
    <row r="46681" spans="32:32" x14ac:dyDescent="0.2">
      <c r="AF46681" s="679"/>
    </row>
    <row r="46682" spans="32:32" x14ac:dyDescent="0.2">
      <c r="AF46682" s="679"/>
    </row>
    <row r="46683" spans="32:32" x14ac:dyDescent="0.2">
      <c r="AF46683" s="679"/>
    </row>
    <row r="46684" spans="32:32" x14ac:dyDescent="0.2">
      <c r="AF46684" s="679"/>
    </row>
    <row r="46685" spans="32:32" x14ac:dyDescent="0.2">
      <c r="AF46685" s="679"/>
    </row>
    <row r="46686" spans="32:32" x14ac:dyDescent="0.2">
      <c r="AF46686" s="679"/>
    </row>
    <row r="46687" spans="32:32" x14ac:dyDescent="0.2">
      <c r="AF46687" s="679"/>
    </row>
    <row r="46688" spans="32:32" x14ac:dyDescent="0.2">
      <c r="AF46688" s="679"/>
    </row>
    <row r="46689" spans="32:32" x14ac:dyDescent="0.2">
      <c r="AF46689" s="679"/>
    </row>
    <row r="46690" spans="32:32" x14ac:dyDescent="0.2">
      <c r="AF46690" s="679"/>
    </row>
    <row r="46691" spans="32:32" x14ac:dyDescent="0.2">
      <c r="AF46691" s="679"/>
    </row>
    <row r="46692" spans="32:32" x14ac:dyDescent="0.2">
      <c r="AF46692" s="679"/>
    </row>
    <row r="46693" spans="32:32" x14ac:dyDescent="0.2">
      <c r="AF46693" s="679"/>
    </row>
    <row r="46694" spans="32:32" x14ac:dyDescent="0.2">
      <c r="AF46694" s="679"/>
    </row>
    <row r="46695" spans="32:32" x14ac:dyDescent="0.2">
      <c r="AF46695" s="679"/>
    </row>
    <row r="46696" spans="32:32" x14ac:dyDescent="0.2">
      <c r="AF46696" s="679"/>
    </row>
    <row r="46697" spans="32:32" x14ac:dyDescent="0.2">
      <c r="AF46697" s="679"/>
    </row>
    <row r="46698" spans="32:32" x14ac:dyDescent="0.2">
      <c r="AF46698" s="679"/>
    </row>
    <row r="46699" spans="32:32" x14ac:dyDescent="0.2">
      <c r="AF46699" s="679"/>
    </row>
    <row r="46700" spans="32:32" x14ac:dyDescent="0.2">
      <c r="AF46700" s="679"/>
    </row>
    <row r="46701" spans="32:32" x14ac:dyDescent="0.2">
      <c r="AF46701" s="679"/>
    </row>
    <row r="46702" spans="32:32" x14ac:dyDescent="0.2">
      <c r="AF46702" s="679"/>
    </row>
    <row r="46703" spans="32:32" x14ac:dyDescent="0.2">
      <c r="AF46703" s="679"/>
    </row>
    <row r="46704" spans="32:32" x14ac:dyDescent="0.2">
      <c r="AF46704" s="679"/>
    </row>
    <row r="46705" spans="32:32" x14ac:dyDescent="0.2">
      <c r="AF46705" s="679"/>
    </row>
    <row r="46706" spans="32:32" x14ac:dyDescent="0.2">
      <c r="AF46706" s="679"/>
    </row>
    <row r="46707" spans="32:32" x14ac:dyDescent="0.2">
      <c r="AF46707" s="679"/>
    </row>
    <row r="46708" spans="32:32" x14ac:dyDescent="0.2">
      <c r="AF46708" s="679"/>
    </row>
    <row r="46709" spans="32:32" x14ac:dyDescent="0.2">
      <c r="AF46709" s="679"/>
    </row>
    <row r="46710" spans="32:32" x14ac:dyDescent="0.2">
      <c r="AF46710" s="679"/>
    </row>
    <row r="46711" spans="32:32" x14ac:dyDescent="0.2">
      <c r="AF46711" s="679"/>
    </row>
    <row r="46712" spans="32:32" x14ac:dyDescent="0.2">
      <c r="AF46712" s="679"/>
    </row>
    <row r="46713" spans="32:32" x14ac:dyDescent="0.2">
      <c r="AF46713" s="679"/>
    </row>
    <row r="46714" spans="32:32" x14ac:dyDescent="0.2">
      <c r="AF46714" s="679"/>
    </row>
    <row r="46715" spans="32:32" x14ac:dyDescent="0.2">
      <c r="AF46715" s="679"/>
    </row>
    <row r="46716" spans="32:32" x14ac:dyDescent="0.2">
      <c r="AF46716" s="679"/>
    </row>
    <row r="46717" spans="32:32" x14ac:dyDescent="0.2">
      <c r="AF46717" s="679"/>
    </row>
    <row r="46718" spans="32:32" x14ac:dyDescent="0.2">
      <c r="AF46718" s="679"/>
    </row>
    <row r="46719" spans="32:32" x14ac:dyDescent="0.2">
      <c r="AF46719" s="679"/>
    </row>
    <row r="46720" spans="32:32" x14ac:dyDescent="0.2">
      <c r="AF46720" s="679"/>
    </row>
    <row r="46721" spans="32:32" x14ac:dyDescent="0.2">
      <c r="AF46721" s="679"/>
    </row>
    <row r="46722" spans="32:32" x14ac:dyDescent="0.2">
      <c r="AF46722" s="679"/>
    </row>
    <row r="46723" spans="32:32" x14ac:dyDescent="0.2">
      <c r="AF46723" s="679"/>
    </row>
    <row r="46724" spans="32:32" x14ac:dyDescent="0.2">
      <c r="AF46724" s="679"/>
    </row>
    <row r="46725" spans="32:32" x14ac:dyDescent="0.2">
      <c r="AF46725" s="679"/>
    </row>
    <row r="46726" spans="32:32" x14ac:dyDescent="0.2">
      <c r="AF46726" s="679"/>
    </row>
    <row r="46727" spans="32:32" x14ac:dyDescent="0.2">
      <c r="AF46727" s="679"/>
    </row>
    <row r="46728" spans="32:32" x14ac:dyDescent="0.2">
      <c r="AF46728" s="679"/>
    </row>
    <row r="46729" spans="32:32" x14ac:dyDescent="0.2">
      <c r="AF46729" s="679"/>
    </row>
    <row r="46730" spans="32:32" x14ac:dyDescent="0.2">
      <c r="AF46730" s="679"/>
    </row>
    <row r="46731" spans="32:32" x14ac:dyDescent="0.2">
      <c r="AF46731" s="679"/>
    </row>
    <row r="46732" spans="32:32" x14ac:dyDescent="0.2">
      <c r="AF46732" s="679"/>
    </row>
    <row r="46733" spans="32:32" x14ac:dyDescent="0.2">
      <c r="AF46733" s="679"/>
    </row>
    <row r="46734" spans="32:32" x14ac:dyDescent="0.2">
      <c r="AF46734" s="679"/>
    </row>
    <row r="46735" spans="32:32" x14ac:dyDescent="0.2">
      <c r="AF46735" s="679"/>
    </row>
    <row r="46736" spans="32:32" x14ac:dyDescent="0.2">
      <c r="AF46736" s="679"/>
    </row>
    <row r="46737" spans="32:32" x14ac:dyDescent="0.2">
      <c r="AF46737" s="679"/>
    </row>
    <row r="46738" spans="32:32" x14ac:dyDescent="0.2">
      <c r="AF46738" s="679"/>
    </row>
    <row r="46739" spans="32:32" x14ac:dyDescent="0.2">
      <c r="AF46739" s="679"/>
    </row>
    <row r="46740" spans="32:32" x14ac:dyDescent="0.2">
      <c r="AF46740" s="679"/>
    </row>
    <row r="46741" spans="32:32" x14ac:dyDescent="0.2">
      <c r="AF46741" s="679"/>
    </row>
    <row r="46742" spans="32:32" x14ac:dyDescent="0.2">
      <c r="AF46742" s="679"/>
    </row>
    <row r="46743" spans="32:32" x14ac:dyDescent="0.2">
      <c r="AF46743" s="679"/>
    </row>
    <row r="46744" spans="32:32" x14ac:dyDescent="0.2">
      <c r="AF46744" s="679"/>
    </row>
    <row r="46745" spans="32:32" x14ac:dyDescent="0.2">
      <c r="AF46745" s="679"/>
    </row>
    <row r="46746" spans="32:32" x14ac:dyDescent="0.2">
      <c r="AF46746" s="679"/>
    </row>
    <row r="46747" spans="32:32" x14ac:dyDescent="0.2">
      <c r="AF46747" s="679"/>
    </row>
    <row r="46748" spans="32:32" x14ac:dyDescent="0.2">
      <c r="AF46748" s="679"/>
    </row>
    <row r="46749" spans="32:32" x14ac:dyDescent="0.2">
      <c r="AF46749" s="679"/>
    </row>
    <row r="46750" spans="32:32" x14ac:dyDescent="0.2">
      <c r="AF46750" s="679"/>
    </row>
    <row r="46751" spans="32:32" x14ac:dyDescent="0.2">
      <c r="AF46751" s="679"/>
    </row>
    <row r="46752" spans="32:32" x14ac:dyDescent="0.2">
      <c r="AF46752" s="679"/>
    </row>
    <row r="46753" spans="32:32" x14ac:dyDescent="0.2">
      <c r="AF46753" s="679"/>
    </row>
    <row r="46754" spans="32:32" x14ac:dyDescent="0.2">
      <c r="AF46754" s="679"/>
    </row>
    <row r="46755" spans="32:32" x14ac:dyDescent="0.2">
      <c r="AF46755" s="679"/>
    </row>
    <row r="46756" spans="32:32" x14ac:dyDescent="0.2">
      <c r="AF46756" s="679"/>
    </row>
    <row r="46757" spans="32:32" x14ac:dyDescent="0.2">
      <c r="AF46757" s="679"/>
    </row>
    <row r="46758" spans="32:32" x14ac:dyDescent="0.2">
      <c r="AF46758" s="679"/>
    </row>
    <row r="46759" spans="32:32" x14ac:dyDescent="0.2">
      <c r="AF46759" s="679"/>
    </row>
    <row r="46760" spans="32:32" x14ac:dyDescent="0.2">
      <c r="AF46760" s="679"/>
    </row>
    <row r="46761" spans="32:32" x14ac:dyDescent="0.2">
      <c r="AF46761" s="679"/>
    </row>
    <row r="46762" spans="32:32" x14ac:dyDescent="0.2">
      <c r="AF46762" s="679"/>
    </row>
    <row r="46763" spans="32:32" x14ac:dyDescent="0.2">
      <c r="AF46763" s="679"/>
    </row>
    <row r="46764" spans="32:32" x14ac:dyDescent="0.2">
      <c r="AF46764" s="679"/>
    </row>
    <row r="46765" spans="32:32" x14ac:dyDescent="0.2">
      <c r="AF46765" s="679"/>
    </row>
    <row r="46766" spans="32:32" x14ac:dyDescent="0.2">
      <c r="AF46766" s="679"/>
    </row>
    <row r="46767" spans="32:32" x14ac:dyDescent="0.2">
      <c r="AF46767" s="679"/>
    </row>
    <row r="46768" spans="32:32" x14ac:dyDescent="0.2">
      <c r="AF46768" s="679"/>
    </row>
    <row r="46769" spans="32:32" x14ac:dyDescent="0.2">
      <c r="AF46769" s="679"/>
    </row>
    <row r="46770" spans="32:32" x14ac:dyDescent="0.2">
      <c r="AF46770" s="679"/>
    </row>
    <row r="46771" spans="32:32" x14ac:dyDescent="0.2">
      <c r="AF46771" s="679"/>
    </row>
    <row r="46772" spans="32:32" x14ac:dyDescent="0.2">
      <c r="AF46772" s="679"/>
    </row>
    <row r="46773" spans="32:32" x14ac:dyDescent="0.2">
      <c r="AF46773" s="679"/>
    </row>
    <row r="46774" spans="32:32" x14ac:dyDescent="0.2">
      <c r="AF46774" s="679"/>
    </row>
    <row r="46775" spans="32:32" x14ac:dyDescent="0.2">
      <c r="AF46775" s="679"/>
    </row>
    <row r="46776" spans="32:32" x14ac:dyDescent="0.2">
      <c r="AF46776" s="679"/>
    </row>
    <row r="46777" spans="32:32" x14ac:dyDescent="0.2">
      <c r="AF46777" s="679"/>
    </row>
    <row r="46778" spans="32:32" x14ac:dyDescent="0.2">
      <c r="AF46778" s="679"/>
    </row>
    <row r="46779" spans="32:32" x14ac:dyDescent="0.2">
      <c r="AF46779" s="679"/>
    </row>
    <row r="46780" spans="32:32" x14ac:dyDescent="0.2">
      <c r="AF46780" s="679"/>
    </row>
    <row r="46781" spans="32:32" x14ac:dyDescent="0.2">
      <c r="AF46781" s="679"/>
    </row>
    <row r="46782" spans="32:32" x14ac:dyDescent="0.2">
      <c r="AF46782" s="679"/>
    </row>
    <row r="46783" spans="32:32" x14ac:dyDescent="0.2">
      <c r="AF46783" s="679"/>
    </row>
    <row r="46784" spans="32:32" x14ac:dyDescent="0.2">
      <c r="AF46784" s="679"/>
    </row>
    <row r="46785" spans="32:32" x14ac:dyDescent="0.2">
      <c r="AF46785" s="679"/>
    </row>
    <row r="46786" spans="32:32" x14ac:dyDescent="0.2">
      <c r="AF46786" s="679"/>
    </row>
    <row r="46787" spans="32:32" x14ac:dyDescent="0.2">
      <c r="AF46787" s="679"/>
    </row>
    <row r="46788" spans="32:32" x14ac:dyDescent="0.2">
      <c r="AF46788" s="679"/>
    </row>
    <row r="46789" spans="32:32" x14ac:dyDescent="0.2">
      <c r="AF46789" s="679"/>
    </row>
    <row r="46790" spans="32:32" x14ac:dyDescent="0.2">
      <c r="AF46790" s="679"/>
    </row>
    <row r="46791" spans="32:32" x14ac:dyDescent="0.2">
      <c r="AF46791" s="679"/>
    </row>
    <row r="46792" spans="32:32" x14ac:dyDescent="0.2">
      <c r="AF46792" s="679"/>
    </row>
    <row r="46793" spans="32:32" x14ac:dyDescent="0.2">
      <c r="AF46793" s="679"/>
    </row>
    <row r="46794" spans="32:32" x14ac:dyDescent="0.2">
      <c r="AF46794" s="679"/>
    </row>
    <row r="46795" spans="32:32" x14ac:dyDescent="0.2">
      <c r="AF46795" s="679"/>
    </row>
    <row r="46796" spans="32:32" x14ac:dyDescent="0.2">
      <c r="AF46796" s="679"/>
    </row>
    <row r="46797" spans="32:32" x14ac:dyDescent="0.2">
      <c r="AF46797" s="679"/>
    </row>
    <row r="46798" spans="32:32" x14ac:dyDescent="0.2">
      <c r="AF46798" s="679"/>
    </row>
    <row r="46799" spans="32:32" x14ac:dyDescent="0.2">
      <c r="AF46799" s="679"/>
    </row>
    <row r="46800" spans="32:32" x14ac:dyDescent="0.2">
      <c r="AF46800" s="679"/>
    </row>
    <row r="46801" spans="32:32" x14ac:dyDescent="0.2">
      <c r="AF46801" s="679"/>
    </row>
    <row r="46802" spans="32:32" x14ac:dyDescent="0.2">
      <c r="AF46802" s="679"/>
    </row>
    <row r="46803" spans="32:32" x14ac:dyDescent="0.2">
      <c r="AF46803" s="679"/>
    </row>
    <row r="46804" spans="32:32" x14ac:dyDescent="0.2">
      <c r="AF46804" s="679"/>
    </row>
    <row r="46805" spans="32:32" x14ac:dyDescent="0.2">
      <c r="AF46805" s="679"/>
    </row>
    <row r="46806" spans="32:32" x14ac:dyDescent="0.2">
      <c r="AF46806" s="679"/>
    </row>
    <row r="46807" spans="32:32" x14ac:dyDescent="0.2">
      <c r="AF46807" s="679"/>
    </row>
    <row r="46808" spans="32:32" x14ac:dyDescent="0.2">
      <c r="AF46808" s="679"/>
    </row>
    <row r="46809" spans="32:32" x14ac:dyDescent="0.2">
      <c r="AF46809" s="679"/>
    </row>
    <row r="46810" spans="32:32" x14ac:dyDescent="0.2">
      <c r="AF46810" s="679"/>
    </row>
    <row r="46811" spans="32:32" x14ac:dyDescent="0.2">
      <c r="AF46811" s="679"/>
    </row>
    <row r="46812" spans="32:32" x14ac:dyDescent="0.2">
      <c r="AF46812" s="679"/>
    </row>
    <row r="46813" spans="32:32" x14ac:dyDescent="0.2">
      <c r="AF46813" s="679"/>
    </row>
    <row r="46814" spans="32:32" x14ac:dyDescent="0.2">
      <c r="AF46814" s="679"/>
    </row>
    <row r="46815" spans="32:32" x14ac:dyDescent="0.2">
      <c r="AF46815" s="679"/>
    </row>
    <row r="46816" spans="32:32" x14ac:dyDescent="0.2">
      <c r="AF46816" s="679"/>
    </row>
    <row r="46817" spans="32:32" x14ac:dyDescent="0.2">
      <c r="AF46817" s="679"/>
    </row>
    <row r="46818" spans="32:32" x14ac:dyDescent="0.2">
      <c r="AF46818" s="679"/>
    </row>
    <row r="46819" spans="32:32" x14ac:dyDescent="0.2">
      <c r="AF46819" s="679"/>
    </row>
    <row r="46820" spans="32:32" x14ac:dyDescent="0.2">
      <c r="AF46820" s="679"/>
    </row>
    <row r="46821" spans="32:32" x14ac:dyDescent="0.2">
      <c r="AF46821" s="679"/>
    </row>
    <row r="46822" spans="32:32" x14ac:dyDescent="0.2">
      <c r="AF46822" s="679"/>
    </row>
    <row r="46823" spans="32:32" x14ac:dyDescent="0.2">
      <c r="AF46823" s="679"/>
    </row>
    <row r="46824" spans="32:32" x14ac:dyDescent="0.2">
      <c r="AF46824" s="679"/>
    </row>
    <row r="46825" spans="32:32" x14ac:dyDescent="0.2">
      <c r="AF46825" s="679"/>
    </row>
    <row r="46826" spans="32:32" x14ac:dyDescent="0.2">
      <c r="AF46826" s="679"/>
    </row>
    <row r="46827" spans="32:32" x14ac:dyDescent="0.2">
      <c r="AF46827" s="679"/>
    </row>
    <row r="46828" spans="32:32" x14ac:dyDescent="0.2">
      <c r="AF46828" s="679"/>
    </row>
    <row r="46829" spans="32:32" x14ac:dyDescent="0.2">
      <c r="AF46829" s="679"/>
    </row>
    <row r="46830" spans="32:32" x14ac:dyDescent="0.2">
      <c r="AF46830" s="679"/>
    </row>
    <row r="46831" spans="32:32" x14ac:dyDescent="0.2">
      <c r="AF46831" s="679"/>
    </row>
    <row r="46832" spans="32:32" x14ac:dyDescent="0.2">
      <c r="AF46832" s="679"/>
    </row>
    <row r="46833" spans="32:32" x14ac:dyDescent="0.2">
      <c r="AF46833" s="679"/>
    </row>
    <row r="46834" spans="32:32" x14ac:dyDescent="0.2">
      <c r="AF46834" s="679"/>
    </row>
    <row r="46835" spans="32:32" x14ac:dyDescent="0.2">
      <c r="AF46835" s="679"/>
    </row>
    <row r="46836" spans="32:32" x14ac:dyDescent="0.2">
      <c r="AF46836" s="679"/>
    </row>
    <row r="46837" spans="32:32" x14ac:dyDescent="0.2">
      <c r="AF46837" s="679"/>
    </row>
    <row r="46838" spans="32:32" x14ac:dyDescent="0.2">
      <c r="AF46838" s="679"/>
    </row>
    <row r="46839" spans="32:32" x14ac:dyDescent="0.2">
      <c r="AF46839" s="679"/>
    </row>
    <row r="46840" spans="32:32" x14ac:dyDescent="0.2">
      <c r="AF46840" s="679"/>
    </row>
    <row r="46841" spans="32:32" x14ac:dyDescent="0.2">
      <c r="AF46841" s="679"/>
    </row>
    <row r="46842" spans="32:32" x14ac:dyDescent="0.2">
      <c r="AF46842" s="679"/>
    </row>
    <row r="46843" spans="32:32" x14ac:dyDescent="0.2">
      <c r="AF46843" s="679"/>
    </row>
    <row r="46844" spans="32:32" x14ac:dyDescent="0.2">
      <c r="AF46844" s="679"/>
    </row>
    <row r="46845" spans="32:32" x14ac:dyDescent="0.2">
      <c r="AF46845" s="679"/>
    </row>
    <row r="46846" spans="32:32" x14ac:dyDescent="0.2">
      <c r="AF46846" s="679"/>
    </row>
    <row r="46847" spans="32:32" x14ac:dyDescent="0.2">
      <c r="AF46847" s="679"/>
    </row>
    <row r="46848" spans="32:32" x14ac:dyDescent="0.2">
      <c r="AF46848" s="679"/>
    </row>
    <row r="46849" spans="32:32" x14ac:dyDescent="0.2">
      <c r="AF46849" s="679"/>
    </row>
    <row r="46850" spans="32:32" x14ac:dyDescent="0.2">
      <c r="AF46850" s="679"/>
    </row>
    <row r="46851" spans="32:32" x14ac:dyDescent="0.2">
      <c r="AF46851" s="679"/>
    </row>
    <row r="46852" spans="32:32" x14ac:dyDescent="0.2">
      <c r="AF46852" s="679"/>
    </row>
    <row r="46853" spans="32:32" x14ac:dyDescent="0.2">
      <c r="AF46853" s="679"/>
    </row>
    <row r="46854" spans="32:32" x14ac:dyDescent="0.2">
      <c r="AF46854" s="679"/>
    </row>
    <row r="46855" spans="32:32" x14ac:dyDescent="0.2">
      <c r="AF46855" s="679"/>
    </row>
    <row r="46856" spans="32:32" x14ac:dyDescent="0.2">
      <c r="AF46856" s="679"/>
    </row>
    <row r="46857" spans="32:32" x14ac:dyDescent="0.2">
      <c r="AF46857" s="679"/>
    </row>
    <row r="46858" spans="32:32" x14ac:dyDescent="0.2">
      <c r="AF46858" s="679"/>
    </row>
    <row r="46859" spans="32:32" x14ac:dyDescent="0.2">
      <c r="AF46859" s="679"/>
    </row>
    <row r="46860" spans="32:32" x14ac:dyDescent="0.2">
      <c r="AF46860" s="679"/>
    </row>
    <row r="46861" spans="32:32" x14ac:dyDescent="0.2">
      <c r="AF46861" s="679"/>
    </row>
    <row r="46862" spans="32:32" x14ac:dyDescent="0.2">
      <c r="AF46862" s="679"/>
    </row>
    <row r="46863" spans="32:32" x14ac:dyDescent="0.2">
      <c r="AF46863" s="679"/>
    </row>
    <row r="46864" spans="32:32" x14ac:dyDescent="0.2">
      <c r="AF46864" s="679"/>
    </row>
    <row r="46865" spans="32:32" x14ac:dyDescent="0.2">
      <c r="AF46865" s="679"/>
    </row>
    <row r="46866" spans="32:32" x14ac:dyDescent="0.2">
      <c r="AF46866" s="679"/>
    </row>
    <row r="46867" spans="32:32" x14ac:dyDescent="0.2">
      <c r="AF46867" s="679"/>
    </row>
    <row r="46868" spans="32:32" x14ac:dyDescent="0.2">
      <c r="AF46868" s="679"/>
    </row>
    <row r="46869" spans="32:32" x14ac:dyDescent="0.2">
      <c r="AF46869" s="679"/>
    </row>
    <row r="46870" spans="32:32" x14ac:dyDescent="0.2">
      <c r="AF46870" s="679"/>
    </row>
    <row r="46871" spans="32:32" x14ac:dyDescent="0.2">
      <c r="AF46871" s="679"/>
    </row>
    <row r="46872" spans="32:32" x14ac:dyDescent="0.2">
      <c r="AF46872" s="679"/>
    </row>
    <row r="46873" spans="32:32" x14ac:dyDescent="0.2">
      <c r="AF46873" s="679"/>
    </row>
    <row r="46874" spans="32:32" x14ac:dyDescent="0.2">
      <c r="AF46874" s="679"/>
    </row>
    <row r="46875" spans="32:32" x14ac:dyDescent="0.2">
      <c r="AF46875" s="679"/>
    </row>
    <row r="46876" spans="32:32" x14ac:dyDescent="0.2">
      <c r="AF46876" s="679"/>
    </row>
    <row r="46877" spans="32:32" x14ac:dyDescent="0.2">
      <c r="AF46877" s="679"/>
    </row>
    <row r="46878" spans="32:32" x14ac:dyDescent="0.2">
      <c r="AF46878" s="679"/>
    </row>
    <row r="46879" spans="32:32" x14ac:dyDescent="0.2">
      <c r="AF46879" s="679"/>
    </row>
    <row r="46880" spans="32:32" x14ac:dyDescent="0.2">
      <c r="AF46880" s="679"/>
    </row>
    <row r="46881" spans="32:32" x14ac:dyDescent="0.2">
      <c r="AF46881" s="679"/>
    </row>
    <row r="46882" spans="32:32" x14ac:dyDescent="0.2">
      <c r="AF46882" s="679"/>
    </row>
    <row r="46883" spans="32:32" x14ac:dyDescent="0.2">
      <c r="AF46883" s="679"/>
    </row>
    <row r="46884" spans="32:32" x14ac:dyDescent="0.2">
      <c r="AF46884" s="679"/>
    </row>
    <row r="46885" spans="32:32" x14ac:dyDescent="0.2">
      <c r="AF46885" s="679"/>
    </row>
    <row r="46886" spans="32:32" x14ac:dyDescent="0.2">
      <c r="AF46886" s="679"/>
    </row>
    <row r="46887" spans="32:32" x14ac:dyDescent="0.2">
      <c r="AF46887" s="679"/>
    </row>
    <row r="46888" spans="32:32" x14ac:dyDescent="0.2">
      <c r="AF46888" s="679"/>
    </row>
    <row r="46889" spans="32:32" x14ac:dyDescent="0.2">
      <c r="AF46889" s="679"/>
    </row>
    <row r="46890" spans="32:32" x14ac:dyDescent="0.2">
      <c r="AF46890" s="679"/>
    </row>
    <row r="46891" spans="32:32" x14ac:dyDescent="0.2">
      <c r="AF46891" s="679"/>
    </row>
    <row r="46892" spans="32:32" x14ac:dyDescent="0.2">
      <c r="AF46892" s="679"/>
    </row>
    <row r="46893" spans="32:32" x14ac:dyDescent="0.2">
      <c r="AF46893" s="679"/>
    </row>
    <row r="46894" spans="32:32" x14ac:dyDescent="0.2">
      <c r="AF46894" s="679"/>
    </row>
    <row r="46895" spans="32:32" x14ac:dyDescent="0.2">
      <c r="AF46895" s="679"/>
    </row>
    <row r="46896" spans="32:32" x14ac:dyDescent="0.2">
      <c r="AF46896" s="679"/>
    </row>
    <row r="46897" spans="32:32" x14ac:dyDescent="0.2">
      <c r="AF46897" s="679"/>
    </row>
    <row r="46898" spans="32:32" x14ac:dyDescent="0.2">
      <c r="AF46898" s="679"/>
    </row>
    <row r="46899" spans="32:32" x14ac:dyDescent="0.2">
      <c r="AF46899" s="679"/>
    </row>
    <row r="46900" spans="32:32" x14ac:dyDescent="0.2">
      <c r="AF46900" s="679"/>
    </row>
    <row r="46901" spans="32:32" x14ac:dyDescent="0.2">
      <c r="AF46901" s="679"/>
    </row>
    <row r="46902" spans="32:32" x14ac:dyDescent="0.2">
      <c r="AF46902" s="679"/>
    </row>
    <row r="46903" spans="32:32" x14ac:dyDescent="0.2">
      <c r="AF46903" s="679"/>
    </row>
    <row r="46904" spans="32:32" x14ac:dyDescent="0.2">
      <c r="AF46904" s="679"/>
    </row>
    <row r="46905" spans="32:32" x14ac:dyDescent="0.2">
      <c r="AF46905" s="679"/>
    </row>
    <row r="46906" spans="32:32" x14ac:dyDescent="0.2">
      <c r="AF46906" s="679"/>
    </row>
    <row r="46907" spans="32:32" x14ac:dyDescent="0.2">
      <c r="AF46907" s="679"/>
    </row>
    <row r="46908" spans="32:32" x14ac:dyDescent="0.2">
      <c r="AF46908" s="679"/>
    </row>
    <row r="46909" spans="32:32" x14ac:dyDescent="0.2">
      <c r="AF46909" s="679"/>
    </row>
    <row r="46910" spans="32:32" x14ac:dyDescent="0.2">
      <c r="AF46910" s="679"/>
    </row>
    <row r="46911" spans="32:32" x14ac:dyDescent="0.2">
      <c r="AF46911" s="679"/>
    </row>
    <row r="46912" spans="32:32" x14ac:dyDescent="0.2">
      <c r="AF46912" s="679"/>
    </row>
    <row r="46913" spans="32:32" x14ac:dyDescent="0.2">
      <c r="AF46913" s="679"/>
    </row>
    <row r="46914" spans="32:32" x14ac:dyDescent="0.2">
      <c r="AF46914" s="679"/>
    </row>
    <row r="46915" spans="32:32" x14ac:dyDescent="0.2">
      <c r="AF46915" s="679"/>
    </row>
    <row r="46916" spans="32:32" x14ac:dyDescent="0.2">
      <c r="AF46916" s="679"/>
    </row>
    <row r="46917" spans="32:32" x14ac:dyDescent="0.2">
      <c r="AF46917" s="679"/>
    </row>
    <row r="46918" spans="32:32" x14ac:dyDescent="0.2">
      <c r="AF46918" s="679"/>
    </row>
    <row r="46919" spans="32:32" x14ac:dyDescent="0.2">
      <c r="AF46919" s="679"/>
    </row>
    <row r="46920" spans="32:32" x14ac:dyDescent="0.2">
      <c r="AF46920" s="679"/>
    </row>
    <row r="46921" spans="32:32" x14ac:dyDescent="0.2">
      <c r="AF46921" s="679"/>
    </row>
    <row r="46922" spans="32:32" x14ac:dyDescent="0.2">
      <c r="AF46922" s="679"/>
    </row>
    <row r="46923" spans="32:32" x14ac:dyDescent="0.2">
      <c r="AF46923" s="679"/>
    </row>
    <row r="46924" spans="32:32" x14ac:dyDescent="0.2">
      <c r="AF46924" s="679"/>
    </row>
    <row r="46925" spans="32:32" x14ac:dyDescent="0.2">
      <c r="AF46925" s="679"/>
    </row>
    <row r="46926" spans="32:32" x14ac:dyDescent="0.2">
      <c r="AF46926" s="679"/>
    </row>
    <row r="46927" spans="32:32" x14ac:dyDescent="0.2">
      <c r="AF46927" s="679"/>
    </row>
    <row r="46928" spans="32:32" x14ac:dyDescent="0.2">
      <c r="AF46928" s="679"/>
    </row>
    <row r="46929" spans="32:32" x14ac:dyDescent="0.2">
      <c r="AF46929" s="679"/>
    </row>
    <row r="46930" spans="32:32" x14ac:dyDescent="0.2">
      <c r="AF46930" s="679"/>
    </row>
    <row r="46931" spans="32:32" x14ac:dyDescent="0.2">
      <c r="AF46931" s="679"/>
    </row>
    <row r="46932" spans="32:32" x14ac:dyDescent="0.2">
      <c r="AF46932" s="679"/>
    </row>
    <row r="46933" spans="32:32" x14ac:dyDescent="0.2">
      <c r="AF46933" s="679"/>
    </row>
    <row r="46934" spans="32:32" x14ac:dyDescent="0.2">
      <c r="AF46934" s="679"/>
    </row>
    <row r="46935" spans="32:32" x14ac:dyDescent="0.2">
      <c r="AF46935" s="679"/>
    </row>
    <row r="46936" spans="32:32" x14ac:dyDescent="0.2">
      <c r="AF46936" s="679"/>
    </row>
    <row r="46937" spans="32:32" x14ac:dyDescent="0.2">
      <c r="AF46937" s="679"/>
    </row>
    <row r="46938" spans="32:32" x14ac:dyDescent="0.2">
      <c r="AF46938" s="679"/>
    </row>
    <row r="46939" spans="32:32" x14ac:dyDescent="0.2">
      <c r="AF46939" s="679"/>
    </row>
    <row r="46940" spans="32:32" x14ac:dyDescent="0.2">
      <c r="AF46940" s="679"/>
    </row>
    <row r="46941" spans="32:32" x14ac:dyDescent="0.2">
      <c r="AF46941" s="679"/>
    </row>
    <row r="46942" spans="32:32" x14ac:dyDescent="0.2">
      <c r="AF46942" s="679"/>
    </row>
    <row r="46943" spans="32:32" x14ac:dyDescent="0.2">
      <c r="AF46943" s="679"/>
    </row>
    <row r="46944" spans="32:32" x14ac:dyDescent="0.2">
      <c r="AF46944" s="679"/>
    </row>
    <row r="46945" spans="32:32" x14ac:dyDescent="0.2">
      <c r="AF46945" s="679"/>
    </row>
    <row r="46946" spans="32:32" x14ac:dyDescent="0.2">
      <c r="AF46946" s="679"/>
    </row>
    <row r="46947" spans="32:32" x14ac:dyDescent="0.2">
      <c r="AF46947" s="679"/>
    </row>
    <row r="46948" spans="32:32" x14ac:dyDescent="0.2">
      <c r="AF46948" s="679"/>
    </row>
    <row r="46949" spans="32:32" x14ac:dyDescent="0.2">
      <c r="AF46949" s="679"/>
    </row>
    <row r="46950" spans="32:32" x14ac:dyDescent="0.2">
      <c r="AF46950" s="679"/>
    </row>
    <row r="46951" spans="32:32" x14ac:dyDescent="0.2">
      <c r="AF46951" s="679"/>
    </row>
    <row r="46952" spans="32:32" x14ac:dyDescent="0.2">
      <c r="AF46952" s="679"/>
    </row>
    <row r="46953" spans="32:32" x14ac:dyDescent="0.2">
      <c r="AF46953" s="679"/>
    </row>
    <row r="46954" spans="32:32" x14ac:dyDescent="0.2">
      <c r="AF46954" s="679"/>
    </row>
    <row r="46955" spans="32:32" x14ac:dyDescent="0.2">
      <c r="AF46955" s="679"/>
    </row>
    <row r="46956" spans="32:32" x14ac:dyDescent="0.2">
      <c r="AF46956" s="679"/>
    </row>
    <row r="46957" spans="32:32" x14ac:dyDescent="0.2">
      <c r="AF46957" s="679"/>
    </row>
    <row r="46958" spans="32:32" x14ac:dyDescent="0.2">
      <c r="AF46958" s="679"/>
    </row>
    <row r="46959" spans="32:32" x14ac:dyDescent="0.2">
      <c r="AF46959" s="679"/>
    </row>
    <row r="46960" spans="32:32" x14ac:dyDescent="0.2">
      <c r="AF46960" s="679"/>
    </row>
    <row r="46961" spans="32:32" x14ac:dyDescent="0.2">
      <c r="AF46961" s="679"/>
    </row>
    <row r="46962" spans="32:32" x14ac:dyDescent="0.2">
      <c r="AF46962" s="679"/>
    </row>
    <row r="46963" spans="32:32" x14ac:dyDescent="0.2">
      <c r="AF46963" s="679"/>
    </row>
    <row r="46964" spans="32:32" x14ac:dyDescent="0.2">
      <c r="AF46964" s="679"/>
    </row>
    <row r="46965" spans="32:32" x14ac:dyDescent="0.2">
      <c r="AF46965" s="679"/>
    </row>
    <row r="46966" spans="32:32" x14ac:dyDescent="0.2">
      <c r="AF46966" s="679"/>
    </row>
    <row r="46967" spans="32:32" x14ac:dyDescent="0.2">
      <c r="AF46967" s="679"/>
    </row>
    <row r="46968" spans="32:32" x14ac:dyDescent="0.2">
      <c r="AF46968" s="679"/>
    </row>
    <row r="46969" spans="32:32" x14ac:dyDescent="0.2">
      <c r="AF46969" s="679"/>
    </row>
    <row r="46970" spans="32:32" x14ac:dyDescent="0.2">
      <c r="AF46970" s="679"/>
    </row>
    <row r="46971" spans="32:32" x14ac:dyDescent="0.2">
      <c r="AF46971" s="679"/>
    </row>
    <row r="46972" spans="32:32" x14ac:dyDescent="0.2">
      <c r="AF46972" s="679"/>
    </row>
    <row r="46973" spans="32:32" x14ac:dyDescent="0.2">
      <c r="AF46973" s="679"/>
    </row>
    <row r="46974" spans="32:32" x14ac:dyDescent="0.2">
      <c r="AF46974" s="679"/>
    </row>
    <row r="46975" spans="32:32" x14ac:dyDescent="0.2">
      <c r="AF46975" s="679"/>
    </row>
    <row r="46976" spans="32:32" x14ac:dyDescent="0.2">
      <c r="AF46976" s="679"/>
    </row>
    <row r="46977" spans="32:32" x14ac:dyDescent="0.2">
      <c r="AF46977" s="679"/>
    </row>
    <row r="46978" spans="32:32" x14ac:dyDescent="0.2">
      <c r="AF46978" s="679"/>
    </row>
    <row r="46979" spans="32:32" x14ac:dyDescent="0.2">
      <c r="AF46979" s="679"/>
    </row>
    <row r="46980" spans="32:32" x14ac:dyDescent="0.2">
      <c r="AF46980" s="679"/>
    </row>
    <row r="46981" spans="32:32" x14ac:dyDescent="0.2">
      <c r="AF46981" s="679"/>
    </row>
    <row r="46982" spans="32:32" x14ac:dyDescent="0.2">
      <c r="AF46982" s="679"/>
    </row>
    <row r="46983" spans="32:32" x14ac:dyDescent="0.2">
      <c r="AF46983" s="679"/>
    </row>
    <row r="46984" spans="32:32" x14ac:dyDescent="0.2">
      <c r="AF46984" s="679"/>
    </row>
    <row r="46985" spans="32:32" x14ac:dyDescent="0.2">
      <c r="AF46985" s="679"/>
    </row>
    <row r="46986" spans="32:32" x14ac:dyDescent="0.2">
      <c r="AF46986" s="679"/>
    </row>
    <row r="46987" spans="32:32" x14ac:dyDescent="0.2">
      <c r="AF46987" s="679"/>
    </row>
    <row r="46988" spans="32:32" x14ac:dyDescent="0.2">
      <c r="AF46988" s="679"/>
    </row>
    <row r="46989" spans="32:32" x14ac:dyDescent="0.2">
      <c r="AF46989" s="679"/>
    </row>
    <row r="46990" spans="32:32" x14ac:dyDescent="0.2">
      <c r="AF46990" s="679"/>
    </row>
    <row r="46991" spans="32:32" x14ac:dyDescent="0.2">
      <c r="AF46991" s="679"/>
    </row>
    <row r="46992" spans="32:32" x14ac:dyDescent="0.2">
      <c r="AF46992" s="679"/>
    </row>
    <row r="46993" spans="32:32" x14ac:dyDescent="0.2">
      <c r="AF46993" s="679"/>
    </row>
    <row r="46994" spans="32:32" x14ac:dyDescent="0.2">
      <c r="AF46994" s="679"/>
    </row>
    <row r="46995" spans="32:32" x14ac:dyDescent="0.2">
      <c r="AF46995" s="679"/>
    </row>
    <row r="46996" spans="32:32" x14ac:dyDescent="0.2">
      <c r="AF46996" s="679"/>
    </row>
    <row r="46997" spans="32:32" x14ac:dyDescent="0.2">
      <c r="AF46997" s="679"/>
    </row>
    <row r="46998" spans="32:32" x14ac:dyDescent="0.2">
      <c r="AF46998" s="679"/>
    </row>
    <row r="46999" spans="32:32" x14ac:dyDescent="0.2">
      <c r="AF46999" s="679"/>
    </row>
    <row r="47000" spans="32:32" x14ac:dyDescent="0.2">
      <c r="AF47000" s="679"/>
    </row>
    <row r="47001" spans="32:32" x14ac:dyDescent="0.2">
      <c r="AF47001" s="679"/>
    </row>
    <row r="47002" spans="32:32" x14ac:dyDescent="0.2">
      <c r="AF47002" s="679"/>
    </row>
    <row r="47003" spans="32:32" x14ac:dyDescent="0.2">
      <c r="AF47003" s="679"/>
    </row>
    <row r="47004" spans="32:32" x14ac:dyDescent="0.2">
      <c r="AF47004" s="679"/>
    </row>
    <row r="47005" spans="32:32" x14ac:dyDescent="0.2">
      <c r="AF47005" s="679"/>
    </row>
    <row r="47006" spans="32:32" x14ac:dyDescent="0.2">
      <c r="AF47006" s="679"/>
    </row>
    <row r="47007" spans="32:32" x14ac:dyDescent="0.2">
      <c r="AF47007" s="679"/>
    </row>
    <row r="47008" spans="32:32" x14ac:dyDescent="0.2">
      <c r="AF47008" s="679"/>
    </row>
    <row r="47009" spans="32:32" x14ac:dyDescent="0.2">
      <c r="AF47009" s="679"/>
    </row>
    <row r="47010" spans="32:32" x14ac:dyDescent="0.2">
      <c r="AF47010" s="679"/>
    </row>
    <row r="47011" spans="32:32" x14ac:dyDescent="0.2">
      <c r="AF47011" s="679"/>
    </row>
    <row r="47012" spans="32:32" x14ac:dyDescent="0.2">
      <c r="AF47012" s="679"/>
    </row>
    <row r="47013" spans="32:32" x14ac:dyDescent="0.2">
      <c r="AF47013" s="679"/>
    </row>
    <row r="47014" spans="32:32" x14ac:dyDescent="0.2">
      <c r="AF47014" s="679"/>
    </row>
    <row r="47015" spans="32:32" x14ac:dyDescent="0.2">
      <c r="AF47015" s="679"/>
    </row>
    <row r="47016" spans="32:32" x14ac:dyDescent="0.2">
      <c r="AF47016" s="679"/>
    </row>
    <row r="47017" spans="32:32" x14ac:dyDescent="0.2">
      <c r="AF47017" s="679"/>
    </row>
    <row r="47018" spans="32:32" x14ac:dyDescent="0.2">
      <c r="AF47018" s="679"/>
    </row>
    <row r="47019" spans="32:32" x14ac:dyDescent="0.2">
      <c r="AF47019" s="679"/>
    </row>
    <row r="47020" spans="32:32" x14ac:dyDescent="0.2">
      <c r="AF47020" s="679"/>
    </row>
    <row r="47021" spans="32:32" x14ac:dyDescent="0.2">
      <c r="AF47021" s="679"/>
    </row>
    <row r="47022" spans="32:32" x14ac:dyDescent="0.2">
      <c r="AF47022" s="679"/>
    </row>
    <row r="47023" spans="32:32" x14ac:dyDescent="0.2">
      <c r="AF47023" s="679"/>
    </row>
    <row r="47024" spans="32:32" x14ac:dyDescent="0.2">
      <c r="AF47024" s="679"/>
    </row>
    <row r="47025" spans="32:32" x14ac:dyDescent="0.2">
      <c r="AF47025" s="679"/>
    </row>
    <row r="47026" spans="32:32" x14ac:dyDescent="0.2">
      <c r="AF47026" s="679"/>
    </row>
    <row r="47027" spans="32:32" x14ac:dyDescent="0.2">
      <c r="AF47027" s="679"/>
    </row>
    <row r="47028" spans="32:32" x14ac:dyDescent="0.2">
      <c r="AF47028" s="679"/>
    </row>
    <row r="47029" spans="32:32" x14ac:dyDescent="0.2">
      <c r="AF47029" s="679"/>
    </row>
    <row r="47030" spans="32:32" x14ac:dyDescent="0.2">
      <c r="AF47030" s="679"/>
    </row>
    <row r="47031" spans="32:32" x14ac:dyDescent="0.2">
      <c r="AF47031" s="679"/>
    </row>
    <row r="47032" spans="32:32" x14ac:dyDescent="0.2">
      <c r="AF47032" s="679"/>
    </row>
    <row r="47033" spans="32:32" x14ac:dyDescent="0.2">
      <c r="AF47033" s="679"/>
    </row>
    <row r="47034" spans="32:32" x14ac:dyDescent="0.2">
      <c r="AF47034" s="679"/>
    </row>
    <row r="47035" spans="32:32" x14ac:dyDescent="0.2">
      <c r="AF47035" s="679"/>
    </row>
    <row r="47036" spans="32:32" x14ac:dyDescent="0.2">
      <c r="AF47036" s="679"/>
    </row>
    <row r="47037" spans="32:32" x14ac:dyDescent="0.2">
      <c r="AF47037" s="679"/>
    </row>
    <row r="47038" spans="32:32" x14ac:dyDescent="0.2">
      <c r="AF47038" s="679"/>
    </row>
    <row r="47039" spans="32:32" x14ac:dyDescent="0.2">
      <c r="AF47039" s="679"/>
    </row>
    <row r="47040" spans="32:32" x14ac:dyDescent="0.2">
      <c r="AF47040" s="679"/>
    </row>
    <row r="47041" spans="32:32" x14ac:dyDescent="0.2">
      <c r="AF47041" s="679"/>
    </row>
    <row r="47042" spans="32:32" x14ac:dyDescent="0.2">
      <c r="AF47042" s="679"/>
    </row>
    <row r="47043" spans="32:32" x14ac:dyDescent="0.2">
      <c r="AF47043" s="679"/>
    </row>
    <row r="47044" spans="32:32" x14ac:dyDescent="0.2">
      <c r="AF47044" s="679"/>
    </row>
    <row r="47045" spans="32:32" x14ac:dyDescent="0.2">
      <c r="AF47045" s="679"/>
    </row>
    <row r="47046" spans="32:32" x14ac:dyDescent="0.2">
      <c r="AF47046" s="679"/>
    </row>
    <row r="47047" spans="32:32" x14ac:dyDescent="0.2">
      <c r="AF47047" s="679"/>
    </row>
    <row r="47048" spans="32:32" x14ac:dyDescent="0.2">
      <c r="AF47048" s="679"/>
    </row>
    <row r="47049" spans="32:32" x14ac:dyDescent="0.2">
      <c r="AF47049" s="679"/>
    </row>
    <row r="47050" spans="32:32" x14ac:dyDescent="0.2">
      <c r="AF47050" s="679"/>
    </row>
    <row r="47051" spans="32:32" x14ac:dyDescent="0.2">
      <c r="AF47051" s="679"/>
    </row>
    <row r="47052" spans="32:32" x14ac:dyDescent="0.2">
      <c r="AF47052" s="679"/>
    </row>
    <row r="47053" spans="32:32" x14ac:dyDescent="0.2">
      <c r="AF47053" s="679"/>
    </row>
    <row r="47054" spans="32:32" x14ac:dyDescent="0.2">
      <c r="AF47054" s="679"/>
    </row>
    <row r="47055" spans="32:32" x14ac:dyDescent="0.2">
      <c r="AF47055" s="679"/>
    </row>
    <row r="47056" spans="32:32" x14ac:dyDescent="0.2">
      <c r="AF47056" s="679"/>
    </row>
    <row r="47057" spans="32:32" x14ac:dyDescent="0.2">
      <c r="AF47057" s="679"/>
    </row>
    <row r="47058" spans="32:32" x14ac:dyDescent="0.2">
      <c r="AF47058" s="679"/>
    </row>
    <row r="47059" spans="32:32" x14ac:dyDescent="0.2">
      <c r="AF47059" s="679"/>
    </row>
    <row r="47060" spans="32:32" x14ac:dyDescent="0.2">
      <c r="AF47060" s="679"/>
    </row>
    <row r="47061" spans="32:32" x14ac:dyDescent="0.2">
      <c r="AF47061" s="679"/>
    </row>
    <row r="47062" spans="32:32" x14ac:dyDescent="0.2">
      <c r="AF47062" s="679"/>
    </row>
    <row r="47063" spans="32:32" x14ac:dyDescent="0.2">
      <c r="AF47063" s="679"/>
    </row>
    <row r="47064" spans="32:32" x14ac:dyDescent="0.2">
      <c r="AF47064" s="679"/>
    </row>
    <row r="47065" spans="32:32" x14ac:dyDescent="0.2">
      <c r="AF47065" s="679"/>
    </row>
    <row r="47066" spans="32:32" x14ac:dyDescent="0.2">
      <c r="AF47066" s="679"/>
    </row>
    <row r="47067" spans="32:32" x14ac:dyDescent="0.2">
      <c r="AF47067" s="679"/>
    </row>
    <row r="47068" spans="32:32" x14ac:dyDescent="0.2">
      <c r="AF47068" s="679"/>
    </row>
    <row r="47069" spans="32:32" x14ac:dyDescent="0.2">
      <c r="AF47069" s="679"/>
    </row>
    <row r="47070" spans="32:32" x14ac:dyDescent="0.2">
      <c r="AF47070" s="679"/>
    </row>
    <row r="47071" spans="32:32" x14ac:dyDescent="0.2">
      <c r="AF47071" s="679"/>
    </row>
    <row r="47072" spans="32:32" x14ac:dyDescent="0.2">
      <c r="AF47072" s="679"/>
    </row>
    <row r="47073" spans="32:32" x14ac:dyDescent="0.2">
      <c r="AF47073" s="679"/>
    </row>
    <row r="47074" spans="32:32" x14ac:dyDescent="0.2">
      <c r="AF47074" s="679"/>
    </row>
    <row r="47075" spans="32:32" x14ac:dyDescent="0.2">
      <c r="AF47075" s="679"/>
    </row>
    <row r="47076" spans="32:32" x14ac:dyDescent="0.2">
      <c r="AF47076" s="679"/>
    </row>
    <row r="47077" spans="32:32" x14ac:dyDescent="0.2">
      <c r="AF47077" s="679"/>
    </row>
    <row r="47078" spans="32:32" x14ac:dyDescent="0.2">
      <c r="AF47078" s="679"/>
    </row>
    <row r="47079" spans="32:32" x14ac:dyDescent="0.2">
      <c r="AF47079" s="679"/>
    </row>
    <row r="47080" spans="32:32" x14ac:dyDescent="0.2">
      <c r="AF47080" s="679"/>
    </row>
    <row r="47081" spans="32:32" x14ac:dyDescent="0.2">
      <c r="AF47081" s="679"/>
    </row>
    <row r="47082" spans="32:32" x14ac:dyDescent="0.2">
      <c r="AF47082" s="679"/>
    </row>
    <row r="47083" spans="32:32" x14ac:dyDescent="0.2">
      <c r="AF47083" s="679"/>
    </row>
    <row r="47084" spans="32:32" x14ac:dyDescent="0.2">
      <c r="AF47084" s="679"/>
    </row>
    <row r="47085" spans="32:32" x14ac:dyDescent="0.2">
      <c r="AF47085" s="679"/>
    </row>
    <row r="47086" spans="32:32" x14ac:dyDescent="0.2">
      <c r="AF47086" s="679"/>
    </row>
    <row r="47087" spans="32:32" x14ac:dyDescent="0.2">
      <c r="AF47087" s="679"/>
    </row>
    <row r="47088" spans="32:32" x14ac:dyDescent="0.2">
      <c r="AF47088" s="679"/>
    </row>
    <row r="47089" spans="32:32" x14ac:dyDescent="0.2">
      <c r="AF47089" s="679"/>
    </row>
    <row r="47090" spans="32:32" x14ac:dyDescent="0.2">
      <c r="AF47090" s="679"/>
    </row>
    <row r="47091" spans="32:32" x14ac:dyDescent="0.2">
      <c r="AF47091" s="679"/>
    </row>
    <row r="47092" spans="32:32" x14ac:dyDescent="0.2">
      <c r="AF47092" s="679"/>
    </row>
    <row r="47093" spans="32:32" x14ac:dyDescent="0.2">
      <c r="AF47093" s="679"/>
    </row>
    <row r="47094" spans="32:32" x14ac:dyDescent="0.2">
      <c r="AF47094" s="679"/>
    </row>
    <row r="47095" spans="32:32" x14ac:dyDescent="0.2">
      <c r="AF47095" s="679"/>
    </row>
    <row r="47096" spans="32:32" x14ac:dyDescent="0.2">
      <c r="AF47096" s="679"/>
    </row>
    <row r="47097" spans="32:32" x14ac:dyDescent="0.2">
      <c r="AF47097" s="679"/>
    </row>
    <row r="47098" spans="32:32" x14ac:dyDescent="0.2">
      <c r="AF47098" s="679"/>
    </row>
    <row r="47099" spans="32:32" x14ac:dyDescent="0.2">
      <c r="AF47099" s="679"/>
    </row>
    <row r="47100" spans="32:32" x14ac:dyDescent="0.2">
      <c r="AF47100" s="679"/>
    </row>
    <row r="47101" spans="32:32" x14ac:dyDescent="0.2">
      <c r="AF47101" s="679"/>
    </row>
    <row r="47102" spans="32:32" x14ac:dyDescent="0.2">
      <c r="AF47102" s="679"/>
    </row>
    <row r="47103" spans="32:32" x14ac:dyDescent="0.2">
      <c r="AF47103" s="679"/>
    </row>
    <row r="47104" spans="32:32" x14ac:dyDescent="0.2">
      <c r="AF47104" s="679"/>
    </row>
    <row r="47105" spans="32:32" x14ac:dyDescent="0.2">
      <c r="AF47105" s="679"/>
    </row>
    <row r="47106" spans="32:32" x14ac:dyDescent="0.2">
      <c r="AF47106" s="679"/>
    </row>
    <row r="47107" spans="32:32" x14ac:dyDescent="0.2">
      <c r="AF47107" s="679"/>
    </row>
    <row r="47108" spans="32:32" x14ac:dyDescent="0.2">
      <c r="AF47108" s="679"/>
    </row>
    <row r="47109" spans="32:32" x14ac:dyDescent="0.2">
      <c r="AF47109" s="679"/>
    </row>
    <row r="47110" spans="32:32" x14ac:dyDescent="0.2">
      <c r="AF47110" s="679"/>
    </row>
    <row r="47111" spans="32:32" x14ac:dyDescent="0.2">
      <c r="AF47111" s="679"/>
    </row>
    <row r="47112" spans="32:32" x14ac:dyDescent="0.2">
      <c r="AF47112" s="679"/>
    </row>
    <row r="47113" spans="32:32" x14ac:dyDescent="0.2">
      <c r="AF47113" s="679"/>
    </row>
    <row r="47114" spans="32:32" x14ac:dyDescent="0.2">
      <c r="AF47114" s="679"/>
    </row>
    <row r="47115" spans="32:32" x14ac:dyDescent="0.2">
      <c r="AF47115" s="679"/>
    </row>
    <row r="47116" spans="32:32" x14ac:dyDescent="0.2">
      <c r="AF47116" s="679"/>
    </row>
    <row r="47117" spans="32:32" x14ac:dyDescent="0.2">
      <c r="AF47117" s="679"/>
    </row>
    <row r="47118" spans="32:32" x14ac:dyDescent="0.2">
      <c r="AF47118" s="679"/>
    </row>
    <row r="47119" spans="32:32" x14ac:dyDescent="0.2">
      <c r="AF47119" s="679"/>
    </row>
    <row r="47120" spans="32:32" x14ac:dyDescent="0.2">
      <c r="AF47120" s="679"/>
    </row>
    <row r="47121" spans="32:32" x14ac:dyDescent="0.2">
      <c r="AF47121" s="679"/>
    </row>
    <row r="47122" spans="32:32" x14ac:dyDescent="0.2">
      <c r="AF47122" s="679"/>
    </row>
    <row r="47123" spans="32:32" x14ac:dyDescent="0.2">
      <c r="AF47123" s="679"/>
    </row>
    <row r="47124" spans="32:32" x14ac:dyDescent="0.2">
      <c r="AF47124" s="679"/>
    </row>
    <row r="47125" spans="32:32" x14ac:dyDescent="0.2">
      <c r="AF47125" s="679"/>
    </row>
    <row r="47126" spans="32:32" x14ac:dyDescent="0.2">
      <c r="AF47126" s="679"/>
    </row>
    <row r="47127" spans="32:32" x14ac:dyDescent="0.2">
      <c r="AF47127" s="679"/>
    </row>
    <row r="47128" spans="32:32" x14ac:dyDescent="0.2">
      <c r="AF47128" s="679"/>
    </row>
    <row r="47129" spans="32:32" x14ac:dyDescent="0.2">
      <c r="AF47129" s="679"/>
    </row>
    <row r="47130" spans="32:32" x14ac:dyDescent="0.2">
      <c r="AF47130" s="679"/>
    </row>
    <row r="47131" spans="32:32" x14ac:dyDescent="0.2">
      <c r="AF47131" s="679"/>
    </row>
    <row r="47132" spans="32:32" x14ac:dyDescent="0.2">
      <c r="AF47132" s="679"/>
    </row>
    <row r="47133" spans="32:32" x14ac:dyDescent="0.2">
      <c r="AF47133" s="679"/>
    </row>
    <row r="47134" spans="32:32" x14ac:dyDescent="0.2">
      <c r="AF47134" s="679"/>
    </row>
    <row r="47135" spans="32:32" x14ac:dyDescent="0.2">
      <c r="AF47135" s="679"/>
    </row>
    <row r="47136" spans="32:32" x14ac:dyDescent="0.2">
      <c r="AF47136" s="679"/>
    </row>
    <row r="47137" spans="32:32" x14ac:dyDescent="0.2">
      <c r="AF47137" s="679"/>
    </row>
    <row r="47138" spans="32:32" x14ac:dyDescent="0.2">
      <c r="AF47138" s="679"/>
    </row>
    <row r="47139" spans="32:32" x14ac:dyDescent="0.2">
      <c r="AF47139" s="679"/>
    </row>
    <row r="47140" spans="32:32" x14ac:dyDescent="0.2">
      <c r="AF47140" s="679"/>
    </row>
    <row r="47141" spans="32:32" x14ac:dyDescent="0.2">
      <c r="AF47141" s="679"/>
    </row>
    <row r="47142" spans="32:32" x14ac:dyDescent="0.2">
      <c r="AF47142" s="679"/>
    </row>
    <row r="47143" spans="32:32" x14ac:dyDescent="0.2">
      <c r="AF47143" s="679"/>
    </row>
    <row r="47144" spans="32:32" x14ac:dyDescent="0.2">
      <c r="AF47144" s="679"/>
    </row>
    <row r="47145" spans="32:32" x14ac:dyDescent="0.2">
      <c r="AF47145" s="679"/>
    </row>
    <row r="47146" spans="32:32" x14ac:dyDescent="0.2">
      <c r="AF47146" s="679"/>
    </row>
    <row r="47147" spans="32:32" x14ac:dyDescent="0.2">
      <c r="AF47147" s="679"/>
    </row>
    <row r="47148" spans="32:32" x14ac:dyDescent="0.2">
      <c r="AF47148" s="679"/>
    </row>
    <row r="47149" spans="32:32" x14ac:dyDescent="0.2">
      <c r="AF47149" s="679"/>
    </row>
    <row r="47150" spans="32:32" x14ac:dyDescent="0.2">
      <c r="AF47150" s="679"/>
    </row>
    <row r="47151" spans="32:32" x14ac:dyDescent="0.2">
      <c r="AF47151" s="679"/>
    </row>
    <row r="47152" spans="32:32" x14ac:dyDescent="0.2">
      <c r="AF47152" s="679"/>
    </row>
    <row r="47153" spans="32:32" x14ac:dyDescent="0.2">
      <c r="AF47153" s="679"/>
    </row>
    <row r="47154" spans="32:32" x14ac:dyDescent="0.2">
      <c r="AF47154" s="679"/>
    </row>
    <row r="47155" spans="32:32" x14ac:dyDescent="0.2">
      <c r="AF47155" s="679"/>
    </row>
    <row r="47156" spans="32:32" x14ac:dyDescent="0.2">
      <c r="AF47156" s="679"/>
    </row>
    <row r="47157" spans="32:32" x14ac:dyDescent="0.2">
      <c r="AF47157" s="679"/>
    </row>
    <row r="47158" spans="32:32" x14ac:dyDescent="0.2">
      <c r="AF47158" s="679"/>
    </row>
    <row r="47159" spans="32:32" x14ac:dyDescent="0.2">
      <c r="AF47159" s="679"/>
    </row>
    <row r="47160" spans="32:32" x14ac:dyDescent="0.2">
      <c r="AF47160" s="679"/>
    </row>
    <row r="47161" spans="32:32" x14ac:dyDescent="0.2">
      <c r="AF47161" s="679"/>
    </row>
    <row r="47162" spans="32:32" x14ac:dyDescent="0.2">
      <c r="AF47162" s="679"/>
    </row>
    <row r="47163" spans="32:32" x14ac:dyDescent="0.2">
      <c r="AF47163" s="679"/>
    </row>
    <row r="47164" spans="32:32" x14ac:dyDescent="0.2">
      <c r="AF47164" s="679"/>
    </row>
    <row r="47165" spans="32:32" x14ac:dyDescent="0.2">
      <c r="AF47165" s="679"/>
    </row>
    <row r="47166" spans="32:32" x14ac:dyDescent="0.2">
      <c r="AF47166" s="679"/>
    </row>
    <row r="47167" spans="32:32" x14ac:dyDescent="0.2">
      <c r="AF47167" s="679"/>
    </row>
    <row r="47168" spans="32:32" x14ac:dyDescent="0.2">
      <c r="AF47168" s="679"/>
    </row>
    <row r="47169" spans="32:32" x14ac:dyDescent="0.2">
      <c r="AF47169" s="679"/>
    </row>
    <row r="47170" spans="32:32" x14ac:dyDescent="0.2">
      <c r="AF47170" s="679"/>
    </row>
    <row r="47171" spans="32:32" x14ac:dyDescent="0.2">
      <c r="AF47171" s="679"/>
    </row>
    <row r="47172" spans="32:32" x14ac:dyDescent="0.2">
      <c r="AF47172" s="679"/>
    </row>
    <row r="47173" spans="32:32" x14ac:dyDescent="0.2">
      <c r="AF47173" s="679"/>
    </row>
    <row r="47174" spans="32:32" x14ac:dyDescent="0.2">
      <c r="AF47174" s="679"/>
    </row>
    <row r="47175" spans="32:32" x14ac:dyDescent="0.2">
      <c r="AF47175" s="679"/>
    </row>
    <row r="47176" spans="32:32" x14ac:dyDescent="0.2">
      <c r="AF47176" s="679"/>
    </row>
    <row r="47177" spans="32:32" x14ac:dyDescent="0.2">
      <c r="AF47177" s="679"/>
    </row>
    <row r="47178" spans="32:32" x14ac:dyDescent="0.2">
      <c r="AF47178" s="679"/>
    </row>
    <row r="47179" spans="32:32" x14ac:dyDescent="0.2">
      <c r="AF47179" s="679"/>
    </row>
    <row r="47180" spans="32:32" x14ac:dyDescent="0.2">
      <c r="AF47180" s="679"/>
    </row>
    <row r="47181" spans="32:32" x14ac:dyDescent="0.2">
      <c r="AF47181" s="679"/>
    </row>
    <row r="47182" spans="32:32" x14ac:dyDescent="0.2">
      <c r="AF47182" s="679"/>
    </row>
    <row r="47183" spans="32:32" x14ac:dyDescent="0.2">
      <c r="AF47183" s="679"/>
    </row>
    <row r="47184" spans="32:32" x14ac:dyDescent="0.2">
      <c r="AF47184" s="679"/>
    </row>
    <row r="47185" spans="32:32" x14ac:dyDescent="0.2">
      <c r="AF47185" s="679"/>
    </row>
    <row r="47186" spans="32:32" x14ac:dyDescent="0.2">
      <c r="AF47186" s="679"/>
    </row>
    <row r="47187" spans="32:32" x14ac:dyDescent="0.2">
      <c r="AF47187" s="679"/>
    </row>
    <row r="47188" spans="32:32" x14ac:dyDescent="0.2">
      <c r="AF47188" s="679"/>
    </row>
    <row r="47189" spans="32:32" x14ac:dyDescent="0.2">
      <c r="AF47189" s="679"/>
    </row>
    <row r="47190" spans="32:32" x14ac:dyDescent="0.2">
      <c r="AF47190" s="679"/>
    </row>
    <row r="47191" spans="32:32" x14ac:dyDescent="0.2">
      <c r="AF47191" s="679"/>
    </row>
    <row r="47192" spans="32:32" x14ac:dyDescent="0.2">
      <c r="AF47192" s="679"/>
    </row>
    <row r="47193" spans="32:32" x14ac:dyDescent="0.2">
      <c r="AF47193" s="679"/>
    </row>
    <row r="47194" spans="32:32" x14ac:dyDescent="0.2">
      <c r="AF47194" s="679"/>
    </row>
    <row r="47195" spans="32:32" x14ac:dyDescent="0.2">
      <c r="AF47195" s="679"/>
    </row>
    <row r="47196" spans="32:32" x14ac:dyDescent="0.2">
      <c r="AF47196" s="679"/>
    </row>
    <row r="47197" spans="32:32" x14ac:dyDescent="0.2">
      <c r="AF47197" s="679"/>
    </row>
    <row r="47198" spans="32:32" x14ac:dyDescent="0.2">
      <c r="AF47198" s="679"/>
    </row>
    <row r="47199" spans="32:32" x14ac:dyDescent="0.2">
      <c r="AF47199" s="679"/>
    </row>
    <row r="47200" spans="32:32" x14ac:dyDescent="0.2">
      <c r="AF47200" s="679"/>
    </row>
    <row r="47201" spans="32:32" x14ac:dyDescent="0.2">
      <c r="AF47201" s="679"/>
    </row>
    <row r="47202" spans="32:32" x14ac:dyDescent="0.2">
      <c r="AF47202" s="679"/>
    </row>
    <row r="47203" spans="32:32" x14ac:dyDescent="0.2">
      <c r="AF47203" s="679"/>
    </row>
    <row r="47204" spans="32:32" x14ac:dyDescent="0.2">
      <c r="AF47204" s="679"/>
    </row>
    <row r="47205" spans="32:32" x14ac:dyDescent="0.2">
      <c r="AF47205" s="679"/>
    </row>
    <row r="47206" spans="32:32" x14ac:dyDescent="0.2">
      <c r="AF47206" s="679"/>
    </row>
    <row r="47207" spans="32:32" x14ac:dyDescent="0.2">
      <c r="AF47207" s="679"/>
    </row>
    <row r="47208" spans="32:32" x14ac:dyDescent="0.2">
      <c r="AF47208" s="679"/>
    </row>
    <row r="47209" spans="32:32" x14ac:dyDescent="0.2">
      <c r="AF47209" s="679"/>
    </row>
    <row r="47210" spans="32:32" x14ac:dyDescent="0.2">
      <c r="AF47210" s="679"/>
    </row>
    <row r="47211" spans="32:32" x14ac:dyDescent="0.2">
      <c r="AF47211" s="679"/>
    </row>
    <row r="47212" spans="32:32" x14ac:dyDescent="0.2">
      <c r="AF47212" s="679"/>
    </row>
    <row r="47213" spans="32:32" x14ac:dyDescent="0.2">
      <c r="AF47213" s="679"/>
    </row>
    <row r="47214" spans="32:32" x14ac:dyDescent="0.2">
      <c r="AF47214" s="679"/>
    </row>
    <row r="47215" spans="32:32" x14ac:dyDescent="0.2">
      <c r="AF47215" s="679"/>
    </row>
    <row r="47216" spans="32:32" x14ac:dyDescent="0.2">
      <c r="AF47216" s="679"/>
    </row>
    <row r="47217" spans="32:32" x14ac:dyDescent="0.2">
      <c r="AF47217" s="679"/>
    </row>
    <row r="47218" spans="32:32" x14ac:dyDescent="0.2">
      <c r="AF47218" s="679"/>
    </row>
    <row r="47219" spans="32:32" x14ac:dyDescent="0.2">
      <c r="AF47219" s="679"/>
    </row>
    <row r="47220" spans="32:32" x14ac:dyDescent="0.2">
      <c r="AF47220" s="679"/>
    </row>
    <row r="47221" spans="32:32" x14ac:dyDescent="0.2">
      <c r="AF47221" s="679"/>
    </row>
    <row r="47222" spans="32:32" x14ac:dyDescent="0.2">
      <c r="AF47222" s="679"/>
    </row>
    <row r="47223" spans="32:32" x14ac:dyDescent="0.2">
      <c r="AF47223" s="679"/>
    </row>
    <row r="47224" spans="32:32" x14ac:dyDescent="0.2">
      <c r="AF47224" s="679"/>
    </row>
    <row r="47225" spans="32:32" x14ac:dyDescent="0.2">
      <c r="AF47225" s="679"/>
    </row>
    <row r="47226" spans="32:32" x14ac:dyDescent="0.2">
      <c r="AF47226" s="679"/>
    </row>
    <row r="47227" spans="32:32" x14ac:dyDescent="0.2">
      <c r="AF47227" s="679"/>
    </row>
    <row r="47228" spans="32:32" x14ac:dyDescent="0.2">
      <c r="AF47228" s="679"/>
    </row>
    <row r="47229" spans="32:32" x14ac:dyDescent="0.2">
      <c r="AF47229" s="679"/>
    </row>
    <row r="47230" spans="32:32" x14ac:dyDescent="0.2">
      <c r="AF47230" s="679"/>
    </row>
    <row r="47231" spans="32:32" x14ac:dyDescent="0.2">
      <c r="AF47231" s="679"/>
    </row>
    <row r="47232" spans="32:32" x14ac:dyDescent="0.2">
      <c r="AF47232" s="679"/>
    </row>
    <row r="47233" spans="32:32" x14ac:dyDescent="0.2">
      <c r="AF47233" s="679"/>
    </row>
    <row r="47234" spans="32:32" x14ac:dyDescent="0.2">
      <c r="AF47234" s="679"/>
    </row>
    <row r="47235" spans="32:32" x14ac:dyDescent="0.2">
      <c r="AF47235" s="679"/>
    </row>
    <row r="47236" spans="32:32" x14ac:dyDescent="0.2">
      <c r="AF47236" s="679"/>
    </row>
    <row r="47237" spans="32:32" x14ac:dyDescent="0.2">
      <c r="AF47237" s="679"/>
    </row>
    <row r="47238" spans="32:32" x14ac:dyDescent="0.2">
      <c r="AF47238" s="679"/>
    </row>
    <row r="47239" spans="32:32" x14ac:dyDescent="0.2">
      <c r="AF47239" s="679"/>
    </row>
    <row r="47240" spans="32:32" x14ac:dyDescent="0.2">
      <c r="AF47240" s="679"/>
    </row>
    <row r="47241" spans="32:32" x14ac:dyDescent="0.2">
      <c r="AF47241" s="679"/>
    </row>
    <row r="47242" spans="32:32" x14ac:dyDescent="0.2">
      <c r="AF47242" s="679"/>
    </row>
    <row r="47243" spans="32:32" x14ac:dyDescent="0.2">
      <c r="AF47243" s="679"/>
    </row>
    <row r="47244" spans="32:32" x14ac:dyDescent="0.2">
      <c r="AF47244" s="679"/>
    </row>
    <row r="47245" spans="32:32" x14ac:dyDescent="0.2">
      <c r="AF47245" s="679"/>
    </row>
    <row r="47246" spans="32:32" x14ac:dyDescent="0.2">
      <c r="AF47246" s="679"/>
    </row>
    <row r="47247" spans="32:32" x14ac:dyDescent="0.2">
      <c r="AF47247" s="679"/>
    </row>
    <row r="47248" spans="32:32" x14ac:dyDescent="0.2">
      <c r="AF47248" s="679"/>
    </row>
    <row r="47249" spans="32:32" x14ac:dyDescent="0.2">
      <c r="AF47249" s="679"/>
    </row>
    <row r="47250" spans="32:32" x14ac:dyDescent="0.2">
      <c r="AF47250" s="679"/>
    </row>
    <row r="47251" spans="32:32" x14ac:dyDescent="0.2">
      <c r="AF47251" s="679"/>
    </row>
    <row r="47252" spans="32:32" x14ac:dyDescent="0.2">
      <c r="AF47252" s="679"/>
    </row>
    <row r="47253" spans="32:32" x14ac:dyDescent="0.2">
      <c r="AF47253" s="679"/>
    </row>
    <row r="47254" spans="32:32" x14ac:dyDescent="0.2">
      <c r="AF47254" s="679"/>
    </row>
    <row r="47255" spans="32:32" x14ac:dyDescent="0.2">
      <c r="AF47255" s="679"/>
    </row>
    <row r="47256" spans="32:32" x14ac:dyDescent="0.2">
      <c r="AF47256" s="679"/>
    </row>
    <row r="47257" spans="32:32" x14ac:dyDescent="0.2">
      <c r="AF47257" s="679"/>
    </row>
    <row r="47258" spans="32:32" x14ac:dyDescent="0.2">
      <c r="AF47258" s="679"/>
    </row>
    <row r="47259" spans="32:32" x14ac:dyDescent="0.2">
      <c r="AF47259" s="679"/>
    </row>
    <row r="47260" spans="32:32" x14ac:dyDescent="0.2">
      <c r="AF47260" s="679"/>
    </row>
    <row r="47261" spans="32:32" x14ac:dyDescent="0.2">
      <c r="AF47261" s="679"/>
    </row>
    <row r="47262" spans="32:32" x14ac:dyDescent="0.2">
      <c r="AF47262" s="679"/>
    </row>
    <row r="47263" spans="32:32" x14ac:dyDescent="0.2">
      <c r="AF47263" s="679"/>
    </row>
    <row r="47264" spans="32:32" x14ac:dyDescent="0.2">
      <c r="AF47264" s="679"/>
    </row>
    <row r="47265" spans="32:32" x14ac:dyDescent="0.2">
      <c r="AF47265" s="679"/>
    </row>
    <row r="47266" spans="32:32" x14ac:dyDescent="0.2">
      <c r="AF47266" s="679"/>
    </row>
    <row r="47267" spans="32:32" x14ac:dyDescent="0.2">
      <c r="AF47267" s="679"/>
    </row>
    <row r="47268" spans="32:32" x14ac:dyDescent="0.2">
      <c r="AF47268" s="679"/>
    </row>
    <row r="47269" spans="32:32" x14ac:dyDescent="0.2">
      <c r="AF47269" s="679"/>
    </row>
    <row r="47270" spans="32:32" x14ac:dyDescent="0.2">
      <c r="AF47270" s="679"/>
    </row>
    <row r="47271" spans="32:32" x14ac:dyDescent="0.2">
      <c r="AF47271" s="679"/>
    </row>
    <row r="47272" spans="32:32" x14ac:dyDescent="0.2">
      <c r="AF47272" s="679"/>
    </row>
    <row r="47273" spans="32:32" x14ac:dyDescent="0.2">
      <c r="AF47273" s="679"/>
    </row>
    <row r="47274" spans="32:32" x14ac:dyDescent="0.2">
      <c r="AF47274" s="679"/>
    </row>
    <row r="47275" spans="32:32" x14ac:dyDescent="0.2">
      <c r="AF47275" s="679"/>
    </row>
    <row r="47276" spans="32:32" x14ac:dyDescent="0.2">
      <c r="AF47276" s="679"/>
    </row>
    <row r="47277" spans="32:32" x14ac:dyDescent="0.2">
      <c r="AF47277" s="679"/>
    </row>
    <row r="47278" spans="32:32" x14ac:dyDescent="0.2">
      <c r="AF47278" s="679"/>
    </row>
    <row r="47279" spans="32:32" x14ac:dyDescent="0.2">
      <c r="AF47279" s="679"/>
    </row>
    <row r="47280" spans="32:32" x14ac:dyDescent="0.2">
      <c r="AF47280" s="679"/>
    </row>
    <row r="47281" spans="32:32" x14ac:dyDescent="0.2">
      <c r="AF47281" s="679"/>
    </row>
    <row r="47282" spans="32:32" x14ac:dyDescent="0.2">
      <c r="AF47282" s="679"/>
    </row>
    <row r="47283" spans="32:32" x14ac:dyDescent="0.2">
      <c r="AF47283" s="679"/>
    </row>
    <row r="47284" spans="32:32" x14ac:dyDescent="0.2">
      <c r="AF47284" s="679"/>
    </row>
    <row r="47285" spans="32:32" x14ac:dyDescent="0.2">
      <c r="AF47285" s="679"/>
    </row>
    <row r="47286" spans="32:32" x14ac:dyDescent="0.2">
      <c r="AF47286" s="679"/>
    </row>
    <row r="47287" spans="32:32" x14ac:dyDescent="0.2">
      <c r="AF47287" s="679"/>
    </row>
    <row r="47288" spans="32:32" x14ac:dyDescent="0.2">
      <c r="AF47288" s="679"/>
    </row>
    <row r="47289" spans="32:32" x14ac:dyDescent="0.2">
      <c r="AF47289" s="679"/>
    </row>
    <row r="47290" spans="32:32" x14ac:dyDescent="0.2">
      <c r="AF47290" s="679"/>
    </row>
    <row r="47291" spans="32:32" x14ac:dyDescent="0.2">
      <c r="AF47291" s="679"/>
    </row>
    <row r="47292" spans="32:32" x14ac:dyDescent="0.2">
      <c r="AF47292" s="679"/>
    </row>
    <row r="47293" spans="32:32" x14ac:dyDescent="0.2">
      <c r="AF47293" s="679"/>
    </row>
    <row r="47294" spans="32:32" x14ac:dyDescent="0.2">
      <c r="AF47294" s="679"/>
    </row>
    <row r="47295" spans="32:32" x14ac:dyDescent="0.2">
      <c r="AF47295" s="679"/>
    </row>
    <row r="47296" spans="32:32" x14ac:dyDescent="0.2">
      <c r="AF47296" s="679"/>
    </row>
    <row r="47297" spans="32:32" x14ac:dyDescent="0.2">
      <c r="AF47297" s="679"/>
    </row>
    <row r="47298" spans="32:32" x14ac:dyDescent="0.2">
      <c r="AF47298" s="679"/>
    </row>
    <row r="47299" spans="32:32" x14ac:dyDescent="0.2">
      <c r="AF47299" s="679"/>
    </row>
    <row r="47300" spans="32:32" x14ac:dyDescent="0.2">
      <c r="AF47300" s="679"/>
    </row>
    <row r="47301" spans="32:32" x14ac:dyDescent="0.2">
      <c r="AF47301" s="679"/>
    </row>
    <row r="47302" spans="32:32" x14ac:dyDescent="0.2">
      <c r="AF47302" s="679"/>
    </row>
    <row r="47303" spans="32:32" x14ac:dyDescent="0.2">
      <c r="AF47303" s="679"/>
    </row>
    <row r="47304" spans="32:32" x14ac:dyDescent="0.2">
      <c r="AF47304" s="679"/>
    </row>
    <row r="47305" spans="32:32" x14ac:dyDescent="0.2">
      <c r="AF47305" s="679"/>
    </row>
    <row r="47306" spans="32:32" x14ac:dyDescent="0.2">
      <c r="AF47306" s="679"/>
    </row>
    <row r="47307" spans="32:32" x14ac:dyDescent="0.2">
      <c r="AF47307" s="679"/>
    </row>
    <row r="47308" spans="32:32" x14ac:dyDescent="0.2">
      <c r="AF47308" s="679"/>
    </row>
    <row r="47309" spans="32:32" x14ac:dyDescent="0.2">
      <c r="AF47309" s="679"/>
    </row>
    <row r="47310" spans="32:32" x14ac:dyDescent="0.2">
      <c r="AF47310" s="679"/>
    </row>
    <row r="47311" spans="32:32" x14ac:dyDescent="0.2">
      <c r="AF47311" s="679"/>
    </row>
    <row r="47312" spans="32:32" x14ac:dyDescent="0.2">
      <c r="AF47312" s="679"/>
    </row>
    <row r="47313" spans="32:32" x14ac:dyDescent="0.2">
      <c r="AF47313" s="679"/>
    </row>
    <row r="47314" spans="32:32" x14ac:dyDescent="0.2">
      <c r="AF47314" s="679"/>
    </row>
    <row r="47315" spans="32:32" x14ac:dyDescent="0.2">
      <c r="AF47315" s="679"/>
    </row>
    <row r="47316" spans="32:32" x14ac:dyDescent="0.2">
      <c r="AF47316" s="679"/>
    </row>
    <row r="47317" spans="32:32" x14ac:dyDescent="0.2">
      <c r="AF47317" s="679"/>
    </row>
    <row r="47318" spans="32:32" x14ac:dyDescent="0.2">
      <c r="AF47318" s="679"/>
    </row>
    <row r="47319" spans="32:32" x14ac:dyDescent="0.2">
      <c r="AF47319" s="679"/>
    </row>
    <row r="47320" spans="32:32" x14ac:dyDescent="0.2">
      <c r="AF47320" s="679"/>
    </row>
    <row r="47321" spans="32:32" x14ac:dyDescent="0.2">
      <c r="AF47321" s="679"/>
    </row>
    <row r="47322" spans="32:32" x14ac:dyDescent="0.2">
      <c r="AF47322" s="679"/>
    </row>
    <row r="47323" spans="32:32" x14ac:dyDescent="0.2">
      <c r="AF47323" s="679"/>
    </row>
    <row r="47324" spans="32:32" x14ac:dyDescent="0.2">
      <c r="AF47324" s="679"/>
    </row>
    <row r="47325" spans="32:32" x14ac:dyDescent="0.2">
      <c r="AF47325" s="679"/>
    </row>
    <row r="47326" spans="32:32" x14ac:dyDescent="0.2">
      <c r="AF47326" s="679"/>
    </row>
    <row r="47327" spans="32:32" x14ac:dyDescent="0.2">
      <c r="AF47327" s="679"/>
    </row>
    <row r="47328" spans="32:32" x14ac:dyDescent="0.2">
      <c r="AF47328" s="679"/>
    </row>
    <row r="47329" spans="32:32" x14ac:dyDescent="0.2">
      <c r="AF47329" s="679"/>
    </row>
    <row r="47330" spans="32:32" x14ac:dyDescent="0.2">
      <c r="AF47330" s="679"/>
    </row>
    <row r="47331" spans="32:32" x14ac:dyDescent="0.2">
      <c r="AF47331" s="679"/>
    </row>
    <row r="47332" spans="32:32" x14ac:dyDescent="0.2">
      <c r="AF47332" s="679"/>
    </row>
    <row r="47333" spans="32:32" x14ac:dyDescent="0.2">
      <c r="AF47333" s="679"/>
    </row>
    <row r="47334" spans="32:32" x14ac:dyDescent="0.2">
      <c r="AF47334" s="679"/>
    </row>
    <row r="47335" spans="32:32" x14ac:dyDescent="0.2">
      <c r="AF47335" s="679"/>
    </row>
    <row r="47336" spans="32:32" x14ac:dyDescent="0.2">
      <c r="AF47336" s="679"/>
    </row>
    <row r="47337" spans="32:32" x14ac:dyDescent="0.2">
      <c r="AF47337" s="679"/>
    </row>
    <row r="47338" spans="32:32" x14ac:dyDescent="0.2">
      <c r="AF47338" s="679"/>
    </row>
    <row r="47339" spans="32:32" x14ac:dyDescent="0.2">
      <c r="AF47339" s="679"/>
    </row>
    <row r="47340" spans="32:32" x14ac:dyDescent="0.2">
      <c r="AF47340" s="679"/>
    </row>
    <row r="47341" spans="32:32" x14ac:dyDescent="0.2">
      <c r="AF47341" s="679"/>
    </row>
    <row r="47342" spans="32:32" x14ac:dyDescent="0.2">
      <c r="AF47342" s="679"/>
    </row>
    <row r="47343" spans="32:32" x14ac:dyDescent="0.2">
      <c r="AF47343" s="679"/>
    </row>
    <row r="47344" spans="32:32" x14ac:dyDescent="0.2">
      <c r="AF47344" s="679"/>
    </row>
    <row r="47345" spans="32:32" x14ac:dyDescent="0.2">
      <c r="AF47345" s="679"/>
    </row>
    <row r="47346" spans="32:32" x14ac:dyDescent="0.2">
      <c r="AF47346" s="679"/>
    </row>
    <row r="47347" spans="32:32" x14ac:dyDescent="0.2">
      <c r="AF47347" s="679"/>
    </row>
    <row r="47348" spans="32:32" x14ac:dyDescent="0.2">
      <c r="AF47348" s="679"/>
    </row>
    <row r="47349" spans="32:32" x14ac:dyDescent="0.2">
      <c r="AF47349" s="679"/>
    </row>
    <row r="47350" spans="32:32" x14ac:dyDescent="0.2">
      <c r="AF47350" s="679"/>
    </row>
    <row r="47351" spans="32:32" x14ac:dyDescent="0.2">
      <c r="AF47351" s="679"/>
    </row>
    <row r="47352" spans="32:32" x14ac:dyDescent="0.2">
      <c r="AF47352" s="679"/>
    </row>
    <row r="47353" spans="32:32" x14ac:dyDescent="0.2">
      <c r="AF47353" s="679"/>
    </row>
    <row r="47354" spans="32:32" x14ac:dyDescent="0.2">
      <c r="AF47354" s="679"/>
    </row>
    <row r="47355" spans="32:32" x14ac:dyDescent="0.2">
      <c r="AF47355" s="679"/>
    </row>
    <row r="47356" spans="32:32" x14ac:dyDescent="0.2">
      <c r="AF47356" s="679"/>
    </row>
    <row r="47357" spans="32:32" x14ac:dyDescent="0.2">
      <c r="AF47357" s="679"/>
    </row>
    <row r="47358" spans="32:32" x14ac:dyDescent="0.2">
      <c r="AF47358" s="679"/>
    </row>
    <row r="47359" spans="32:32" x14ac:dyDescent="0.2">
      <c r="AF47359" s="679"/>
    </row>
    <row r="47360" spans="32:32" x14ac:dyDescent="0.2">
      <c r="AF47360" s="679"/>
    </row>
    <row r="47361" spans="32:32" x14ac:dyDescent="0.2">
      <c r="AF47361" s="679"/>
    </row>
    <row r="47362" spans="32:32" x14ac:dyDescent="0.2">
      <c r="AF47362" s="679"/>
    </row>
    <row r="47363" spans="32:32" x14ac:dyDescent="0.2">
      <c r="AF47363" s="679"/>
    </row>
    <row r="47364" spans="32:32" x14ac:dyDescent="0.2">
      <c r="AF47364" s="679"/>
    </row>
    <row r="47365" spans="32:32" x14ac:dyDescent="0.2">
      <c r="AF47365" s="679"/>
    </row>
    <row r="47366" spans="32:32" x14ac:dyDescent="0.2">
      <c r="AF47366" s="679"/>
    </row>
    <row r="47367" spans="32:32" x14ac:dyDescent="0.2">
      <c r="AF47367" s="679"/>
    </row>
    <row r="47368" spans="32:32" x14ac:dyDescent="0.2">
      <c r="AF47368" s="679"/>
    </row>
    <row r="47369" spans="32:32" x14ac:dyDescent="0.2">
      <c r="AF47369" s="679"/>
    </row>
    <row r="47370" spans="32:32" x14ac:dyDescent="0.2">
      <c r="AF47370" s="679"/>
    </row>
    <row r="47371" spans="32:32" x14ac:dyDescent="0.2">
      <c r="AF47371" s="679"/>
    </row>
    <row r="47372" spans="32:32" x14ac:dyDescent="0.2">
      <c r="AF47372" s="679"/>
    </row>
    <row r="47373" spans="32:32" x14ac:dyDescent="0.2">
      <c r="AF47373" s="679"/>
    </row>
    <row r="47374" spans="32:32" x14ac:dyDescent="0.2">
      <c r="AF47374" s="679"/>
    </row>
    <row r="47375" spans="32:32" x14ac:dyDescent="0.2">
      <c r="AF47375" s="679"/>
    </row>
    <row r="47376" spans="32:32" x14ac:dyDescent="0.2">
      <c r="AF47376" s="679"/>
    </row>
    <row r="47377" spans="32:32" x14ac:dyDescent="0.2">
      <c r="AF47377" s="679"/>
    </row>
    <row r="47378" spans="32:32" x14ac:dyDescent="0.2">
      <c r="AF47378" s="679"/>
    </row>
    <row r="47379" spans="32:32" x14ac:dyDescent="0.2">
      <c r="AF47379" s="679"/>
    </row>
    <row r="47380" spans="32:32" x14ac:dyDescent="0.2">
      <c r="AF47380" s="679"/>
    </row>
    <row r="47381" spans="32:32" x14ac:dyDescent="0.2">
      <c r="AF47381" s="679"/>
    </row>
    <row r="47382" spans="32:32" x14ac:dyDescent="0.2">
      <c r="AF47382" s="679"/>
    </row>
    <row r="47383" spans="32:32" x14ac:dyDescent="0.2">
      <c r="AF47383" s="679"/>
    </row>
    <row r="47384" spans="32:32" x14ac:dyDescent="0.2">
      <c r="AF47384" s="679"/>
    </row>
    <row r="47385" spans="32:32" x14ac:dyDescent="0.2">
      <c r="AF47385" s="679"/>
    </row>
    <row r="47386" spans="32:32" x14ac:dyDescent="0.2">
      <c r="AF47386" s="679"/>
    </row>
    <row r="47387" spans="32:32" x14ac:dyDescent="0.2">
      <c r="AF47387" s="679"/>
    </row>
    <row r="47388" spans="32:32" x14ac:dyDescent="0.2">
      <c r="AF47388" s="679"/>
    </row>
    <row r="47389" spans="32:32" x14ac:dyDescent="0.2">
      <c r="AF47389" s="679"/>
    </row>
    <row r="47390" spans="32:32" x14ac:dyDescent="0.2">
      <c r="AF47390" s="679"/>
    </row>
    <row r="47391" spans="32:32" x14ac:dyDescent="0.2">
      <c r="AF47391" s="679"/>
    </row>
    <row r="47392" spans="32:32" x14ac:dyDescent="0.2">
      <c r="AF47392" s="679"/>
    </row>
    <row r="47393" spans="32:32" x14ac:dyDescent="0.2">
      <c r="AF47393" s="679"/>
    </row>
    <row r="47394" spans="32:32" x14ac:dyDescent="0.2">
      <c r="AF47394" s="679"/>
    </row>
    <row r="47395" spans="32:32" x14ac:dyDescent="0.2">
      <c r="AF47395" s="679"/>
    </row>
    <row r="47396" spans="32:32" x14ac:dyDescent="0.2">
      <c r="AF47396" s="679"/>
    </row>
    <row r="47397" spans="32:32" x14ac:dyDescent="0.2">
      <c r="AF47397" s="679"/>
    </row>
    <row r="47398" spans="32:32" x14ac:dyDescent="0.2">
      <c r="AF47398" s="679"/>
    </row>
    <row r="47399" spans="32:32" x14ac:dyDescent="0.2">
      <c r="AF47399" s="679"/>
    </row>
    <row r="47400" spans="32:32" x14ac:dyDescent="0.2">
      <c r="AF47400" s="679"/>
    </row>
    <row r="47401" spans="32:32" x14ac:dyDescent="0.2">
      <c r="AF47401" s="679"/>
    </row>
    <row r="47402" spans="32:32" x14ac:dyDescent="0.2">
      <c r="AF47402" s="679"/>
    </row>
    <row r="47403" spans="32:32" x14ac:dyDescent="0.2">
      <c r="AF47403" s="679"/>
    </row>
    <row r="47404" spans="32:32" x14ac:dyDescent="0.2">
      <c r="AF47404" s="679"/>
    </row>
    <row r="47405" spans="32:32" x14ac:dyDescent="0.2">
      <c r="AF47405" s="679"/>
    </row>
    <row r="47406" spans="32:32" x14ac:dyDescent="0.2">
      <c r="AF47406" s="679"/>
    </row>
    <row r="47407" spans="32:32" x14ac:dyDescent="0.2">
      <c r="AF47407" s="679"/>
    </row>
    <row r="47408" spans="32:32" x14ac:dyDescent="0.2">
      <c r="AF47408" s="679"/>
    </row>
    <row r="47409" spans="32:32" x14ac:dyDescent="0.2">
      <c r="AF47409" s="679"/>
    </row>
    <row r="47410" spans="32:32" x14ac:dyDescent="0.2">
      <c r="AF47410" s="679"/>
    </row>
    <row r="47411" spans="32:32" x14ac:dyDescent="0.2">
      <c r="AF47411" s="679"/>
    </row>
    <row r="47412" spans="32:32" x14ac:dyDescent="0.2">
      <c r="AF47412" s="679"/>
    </row>
    <row r="47413" spans="32:32" x14ac:dyDescent="0.2">
      <c r="AF47413" s="679"/>
    </row>
    <row r="47414" spans="32:32" x14ac:dyDescent="0.2">
      <c r="AF47414" s="679"/>
    </row>
    <row r="47415" spans="32:32" x14ac:dyDescent="0.2">
      <c r="AF47415" s="679"/>
    </row>
    <row r="47416" spans="32:32" x14ac:dyDescent="0.2">
      <c r="AF47416" s="679"/>
    </row>
    <row r="47417" spans="32:32" x14ac:dyDescent="0.2">
      <c r="AF47417" s="679"/>
    </row>
    <row r="47418" spans="32:32" x14ac:dyDescent="0.2">
      <c r="AF47418" s="679"/>
    </row>
    <row r="47419" spans="32:32" x14ac:dyDescent="0.2">
      <c r="AF47419" s="679"/>
    </row>
    <row r="47420" spans="32:32" x14ac:dyDescent="0.2">
      <c r="AF47420" s="679"/>
    </row>
    <row r="47421" spans="32:32" x14ac:dyDescent="0.2">
      <c r="AF47421" s="679"/>
    </row>
    <row r="47422" spans="32:32" x14ac:dyDescent="0.2">
      <c r="AF47422" s="679"/>
    </row>
    <row r="47423" spans="32:32" x14ac:dyDescent="0.2">
      <c r="AF47423" s="679"/>
    </row>
    <row r="47424" spans="32:32" x14ac:dyDescent="0.2">
      <c r="AF47424" s="679"/>
    </row>
    <row r="47425" spans="32:32" x14ac:dyDescent="0.2">
      <c r="AF47425" s="679"/>
    </row>
    <row r="47426" spans="32:32" x14ac:dyDescent="0.2">
      <c r="AF47426" s="679"/>
    </row>
    <row r="47427" spans="32:32" x14ac:dyDescent="0.2">
      <c r="AF47427" s="679"/>
    </row>
    <row r="47428" spans="32:32" x14ac:dyDescent="0.2">
      <c r="AF47428" s="679"/>
    </row>
    <row r="47429" spans="32:32" x14ac:dyDescent="0.2">
      <c r="AF47429" s="679"/>
    </row>
    <row r="47430" spans="32:32" x14ac:dyDescent="0.2">
      <c r="AF47430" s="679"/>
    </row>
    <row r="47431" spans="32:32" x14ac:dyDescent="0.2">
      <c r="AF47431" s="679"/>
    </row>
    <row r="47432" spans="32:32" x14ac:dyDescent="0.2">
      <c r="AF47432" s="679"/>
    </row>
    <row r="47433" spans="32:32" x14ac:dyDescent="0.2">
      <c r="AF47433" s="679"/>
    </row>
    <row r="47434" spans="32:32" x14ac:dyDescent="0.2">
      <c r="AF47434" s="679"/>
    </row>
    <row r="47435" spans="32:32" x14ac:dyDescent="0.2">
      <c r="AF47435" s="679"/>
    </row>
    <row r="47436" spans="32:32" x14ac:dyDescent="0.2">
      <c r="AF47436" s="679"/>
    </row>
    <row r="47437" spans="32:32" x14ac:dyDescent="0.2">
      <c r="AF47437" s="679"/>
    </row>
    <row r="47438" spans="32:32" x14ac:dyDescent="0.2">
      <c r="AF47438" s="679"/>
    </row>
    <row r="47439" spans="32:32" x14ac:dyDescent="0.2">
      <c r="AF47439" s="679"/>
    </row>
    <row r="47440" spans="32:32" x14ac:dyDescent="0.2">
      <c r="AF47440" s="679"/>
    </row>
    <row r="47441" spans="32:32" x14ac:dyDescent="0.2">
      <c r="AF47441" s="679"/>
    </row>
    <row r="47442" spans="32:32" x14ac:dyDescent="0.2">
      <c r="AF47442" s="679"/>
    </row>
    <row r="47443" spans="32:32" x14ac:dyDescent="0.2">
      <c r="AF47443" s="679"/>
    </row>
    <row r="47444" spans="32:32" x14ac:dyDescent="0.2">
      <c r="AF47444" s="679"/>
    </row>
    <row r="47445" spans="32:32" x14ac:dyDescent="0.2">
      <c r="AF47445" s="679"/>
    </row>
    <row r="47446" spans="32:32" x14ac:dyDescent="0.2">
      <c r="AF47446" s="679"/>
    </row>
    <row r="47447" spans="32:32" x14ac:dyDescent="0.2">
      <c r="AF47447" s="679"/>
    </row>
    <row r="47448" spans="32:32" x14ac:dyDescent="0.2">
      <c r="AF47448" s="679"/>
    </row>
    <row r="47449" spans="32:32" x14ac:dyDescent="0.2">
      <c r="AF47449" s="679"/>
    </row>
    <row r="47450" spans="32:32" x14ac:dyDescent="0.2">
      <c r="AF47450" s="679"/>
    </row>
    <row r="47451" spans="32:32" x14ac:dyDescent="0.2">
      <c r="AF47451" s="679"/>
    </row>
    <row r="47452" spans="32:32" x14ac:dyDescent="0.2">
      <c r="AF47452" s="679"/>
    </row>
    <row r="47453" spans="32:32" x14ac:dyDescent="0.2">
      <c r="AF47453" s="679"/>
    </row>
    <row r="47454" spans="32:32" x14ac:dyDescent="0.2">
      <c r="AF47454" s="679"/>
    </row>
    <row r="47455" spans="32:32" x14ac:dyDescent="0.2">
      <c r="AF47455" s="679"/>
    </row>
    <row r="47456" spans="32:32" x14ac:dyDescent="0.2">
      <c r="AF47456" s="679"/>
    </row>
    <row r="47457" spans="32:32" x14ac:dyDescent="0.2">
      <c r="AF47457" s="679"/>
    </row>
    <row r="47458" spans="32:32" x14ac:dyDescent="0.2">
      <c r="AF47458" s="679"/>
    </row>
    <row r="47459" spans="32:32" x14ac:dyDescent="0.2">
      <c r="AF47459" s="679"/>
    </row>
    <row r="47460" spans="32:32" x14ac:dyDescent="0.2">
      <c r="AF47460" s="679"/>
    </row>
    <row r="47461" spans="32:32" x14ac:dyDescent="0.2">
      <c r="AF47461" s="679"/>
    </row>
    <row r="47462" spans="32:32" x14ac:dyDescent="0.2">
      <c r="AF47462" s="679"/>
    </row>
    <row r="47463" spans="32:32" x14ac:dyDescent="0.2">
      <c r="AF47463" s="679"/>
    </row>
    <row r="47464" spans="32:32" x14ac:dyDescent="0.2">
      <c r="AF47464" s="679"/>
    </row>
    <row r="47465" spans="32:32" x14ac:dyDescent="0.2">
      <c r="AF47465" s="679"/>
    </row>
    <row r="47466" spans="32:32" x14ac:dyDescent="0.2">
      <c r="AF47466" s="679"/>
    </row>
    <row r="47467" spans="32:32" x14ac:dyDescent="0.2">
      <c r="AF47467" s="679"/>
    </row>
    <row r="47468" spans="32:32" x14ac:dyDescent="0.2">
      <c r="AF47468" s="679"/>
    </row>
    <row r="47469" spans="32:32" x14ac:dyDescent="0.2">
      <c r="AF47469" s="679"/>
    </row>
    <row r="47470" spans="32:32" x14ac:dyDescent="0.2">
      <c r="AF47470" s="679"/>
    </row>
    <row r="47471" spans="32:32" x14ac:dyDescent="0.2">
      <c r="AF47471" s="679"/>
    </row>
    <row r="47472" spans="32:32" x14ac:dyDescent="0.2">
      <c r="AF47472" s="679"/>
    </row>
    <row r="47473" spans="32:32" x14ac:dyDescent="0.2">
      <c r="AF47473" s="679"/>
    </row>
    <row r="47474" spans="32:32" x14ac:dyDescent="0.2">
      <c r="AF47474" s="679"/>
    </row>
    <row r="47475" spans="32:32" x14ac:dyDescent="0.2">
      <c r="AF47475" s="679"/>
    </row>
    <row r="47476" spans="32:32" x14ac:dyDescent="0.2">
      <c r="AF47476" s="679"/>
    </row>
    <row r="47477" spans="32:32" x14ac:dyDescent="0.2">
      <c r="AF47477" s="679"/>
    </row>
    <row r="47478" spans="32:32" x14ac:dyDescent="0.2">
      <c r="AF47478" s="679"/>
    </row>
    <row r="47479" spans="32:32" x14ac:dyDescent="0.2">
      <c r="AF47479" s="679"/>
    </row>
    <row r="47480" spans="32:32" x14ac:dyDescent="0.2">
      <c r="AF47480" s="679"/>
    </row>
    <row r="47481" spans="32:32" x14ac:dyDescent="0.2">
      <c r="AF47481" s="679"/>
    </row>
    <row r="47482" spans="32:32" x14ac:dyDescent="0.2">
      <c r="AF47482" s="679"/>
    </row>
    <row r="47483" spans="32:32" x14ac:dyDescent="0.2">
      <c r="AF47483" s="679"/>
    </row>
    <row r="47484" spans="32:32" x14ac:dyDescent="0.2">
      <c r="AF47484" s="679"/>
    </row>
    <row r="47485" spans="32:32" x14ac:dyDescent="0.2">
      <c r="AF47485" s="679"/>
    </row>
    <row r="47486" spans="32:32" x14ac:dyDescent="0.2">
      <c r="AF47486" s="679"/>
    </row>
    <row r="47487" spans="32:32" x14ac:dyDescent="0.2">
      <c r="AF47487" s="679"/>
    </row>
    <row r="47488" spans="32:32" x14ac:dyDescent="0.2">
      <c r="AF47488" s="679"/>
    </row>
    <row r="47489" spans="32:32" x14ac:dyDescent="0.2">
      <c r="AF47489" s="679"/>
    </row>
    <row r="47490" spans="32:32" x14ac:dyDescent="0.2">
      <c r="AF47490" s="679"/>
    </row>
    <row r="47491" spans="32:32" x14ac:dyDescent="0.2">
      <c r="AF47491" s="679"/>
    </row>
    <row r="47492" spans="32:32" x14ac:dyDescent="0.2">
      <c r="AF47492" s="679"/>
    </row>
    <row r="47493" spans="32:32" x14ac:dyDescent="0.2">
      <c r="AF47493" s="679"/>
    </row>
    <row r="47494" spans="32:32" x14ac:dyDescent="0.2">
      <c r="AF47494" s="679"/>
    </row>
    <row r="47495" spans="32:32" x14ac:dyDescent="0.2">
      <c r="AF47495" s="679"/>
    </row>
    <row r="47496" spans="32:32" x14ac:dyDescent="0.2">
      <c r="AF47496" s="679"/>
    </row>
    <row r="47497" spans="32:32" x14ac:dyDescent="0.2">
      <c r="AF47497" s="679"/>
    </row>
    <row r="47498" spans="32:32" x14ac:dyDescent="0.2">
      <c r="AF47498" s="679"/>
    </row>
    <row r="47499" spans="32:32" x14ac:dyDescent="0.2">
      <c r="AF47499" s="679"/>
    </row>
    <row r="47500" spans="32:32" x14ac:dyDescent="0.2">
      <c r="AF47500" s="679"/>
    </row>
    <row r="47501" spans="32:32" x14ac:dyDescent="0.2">
      <c r="AF47501" s="679"/>
    </row>
    <row r="47502" spans="32:32" x14ac:dyDescent="0.2">
      <c r="AF47502" s="679"/>
    </row>
    <row r="47503" spans="32:32" x14ac:dyDescent="0.2">
      <c r="AF47503" s="679"/>
    </row>
    <row r="47504" spans="32:32" x14ac:dyDescent="0.2">
      <c r="AF47504" s="679"/>
    </row>
    <row r="47505" spans="32:32" x14ac:dyDescent="0.2">
      <c r="AF47505" s="679"/>
    </row>
    <row r="47506" spans="32:32" x14ac:dyDescent="0.2">
      <c r="AF47506" s="679"/>
    </row>
    <row r="47507" spans="32:32" x14ac:dyDescent="0.2">
      <c r="AF47507" s="679"/>
    </row>
    <row r="47508" spans="32:32" x14ac:dyDescent="0.2">
      <c r="AF47508" s="679"/>
    </row>
    <row r="47509" spans="32:32" x14ac:dyDescent="0.2">
      <c r="AF47509" s="679"/>
    </row>
    <row r="47510" spans="32:32" x14ac:dyDescent="0.2">
      <c r="AF47510" s="679"/>
    </row>
    <row r="47511" spans="32:32" x14ac:dyDescent="0.2">
      <c r="AF47511" s="679"/>
    </row>
    <row r="47512" spans="32:32" x14ac:dyDescent="0.2">
      <c r="AF47512" s="679"/>
    </row>
    <row r="47513" spans="32:32" x14ac:dyDescent="0.2">
      <c r="AF47513" s="679"/>
    </row>
    <row r="47514" spans="32:32" x14ac:dyDescent="0.2">
      <c r="AF47514" s="679"/>
    </row>
    <row r="47515" spans="32:32" x14ac:dyDescent="0.2">
      <c r="AF47515" s="679"/>
    </row>
    <row r="47516" spans="32:32" x14ac:dyDescent="0.2">
      <c r="AF47516" s="679"/>
    </row>
    <row r="47517" spans="32:32" x14ac:dyDescent="0.2">
      <c r="AF47517" s="679"/>
    </row>
    <row r="47518" spans="32:32" x14ac:dyDescent="0.2">
      <c r="AF47518" s="679"/>
    </row>
    <row r="47519" spans="32:32" x14ac:dyDescent="0.2">
      <c r="AF47519" s="679"/>
    </row>
    <row r="47520" spans="32:32" x14ac:dyDescent="0.2">
      <c r="AF47520" s="679"/>
    </row>
    <row r="47521" spans="32:32" x14ac:dyDescent="0.2">
      <c r="AF47521" s="679"/>
    </row>
    <row r="47522" spans="32:32" x14ac:dyDescent="0.2">
      <c r="AF47522" s="679"/>
    </row>
    <row r="47523" spans="32:32" x14ac:dyDescent="0.2">
      <c r="AF47523" s="679"/>
    </row>
    <row r="47524" spans="32:32" x14ac:dyDescent="0.2">
      <c r="AF47524" s="679"/>
    </row>
    <row r="47525" spans="32:32" x14ac:dyDescent="0.2">
      <c r="AF47525" s="679"/>
    </row>
    <row r="47526" spans="32:32" x14ac:dyDescent="0.2">
      <c r="AF47526" s="679"/>
    </row>
    <row r="47527" spans="32:32" x14ac:dyDescent="0.2">
      <c r="AF47527" s="679"/>
    </row>
    <row r="47528" spans="32:32" x14ac:dyDescent="0.2">
      <c r="AF47528" s="679"/>
    </row>
    <row r="47529" spans="32:32" x14ac:dyDescent="0.2">
      <c r="AF47529" s="679"/>
    </row>
    <row r="47530" spans="32:32" x14ac:dyDescent="0.2">
      <c r="AF47530" s="679"/>
    </row>
    <row r="47531" spans="32:32" x14ac:dyDescent="0.2">
      <c r="AF47531" s="679"/>
    </row>
    <row r="47532" spans="32:32" x14ac:dyDescent="0.2">
      <c r="AF47532" s="679"/>
    </row>
    <row r="47533" spans="32:32" x14ac:dyDescent="0.2">
      <c r="AF47533" s="679"/>
    </row>
    <row r="47534" spans="32:32" x14ac:dyDescent="0.2">
      <c r="AF47534" s="679"/>
    </row>
    <row r="47535" spans="32:32" x14ac:dyDescent="0.2">
      <c r="AF47535" s="679"/>
    </row>
    <row r="47536" spans="32:32" x14ac:dyDescent="0.2">
      <c r="AF47536" s="679"/>
    </row>
    <row r="47537" spans="32:32" x14ac:dyDescent="0.2">
      <c r="AF47537" s="679"/>
    </row>
    <row r="47538" spans="32:32" x14ac:dyDescent="0.2">
      <c r="AF47538" s="679"/>
    </row>
    <row r="47539" spans="32:32" x14ac:dyDescent="0.2">
      <c r="AF47539" s="679"/>
    </row>
    <row r="47540" spans="32:32" x14ac:dyDescent="0.2">
      <c r="AF47540" s="679"/>
    </row>
    <row r="47541" spans="32:32" x14ac:dyDescent="0.2">
      <c r="AF47541" s="679"/>
    </row>
    <row r="47542" spans="32:32" x14ac:dyDescent="0.2">
      <c r="AF47542" s="679"/>
    </row>
    <row r="47543" spans="32:32" x14ac:dyDescent="0.2">
      <c r="AF47543" s="679"/>
    </row>
    <row r="47544" spans="32:32" x14ac:dyDescent="0.2">
      <c r="AF47544" s="679"/>
    </row>
    <row r="47545" spans="32:32" x14ac:dyDescent="0.2">
      <c r="AF47545" s="679"/>
    </row>
    <row r="47546" spans="32:32" x14ac:dyDescent="0.2">
      <c r="AF47546" s="679"/>
    </row>
    <row r="47547" spans="32:32" x14ac:dyDescent="0.2">
      <c r="AF47547" s="679"/>
    </row>
    <row r="47548" spans="32:32" x14ac:dyDescent="0.2">
      <c r="AF47548" s="679"/>
    </row>
    <row r="47549" spans="32:32" x14ac:dyDescent="0.2">
      <c r="AF47549" s="679"/>
    </row>
    <row r="47550" spans="32:32" x14ac:dyDescent="0.2">
      <c r="AF47550" s="679"/>
    </row>
    <row r="47551" spans="32:32" x14ac:dyDescent="0.2">
      <c r="AF47551" s="679"/>
    </row>
    <row r="47552" spans="32:32" x14ac:dyDescent="0.2">
      <c r="AF47552" s="679"/>
    </row>
    <row r="47553" spans="32:32" x14ac:dyDescent="0.2">
      <c r="AF47553" s="679"/>
    </row>
    <row r="47554" spans="32:32" x14ac:dyDescent="0.2">
      <c r="AF47554" s="679"/>
    </row>
    <row r="47555" spans="32:32" x14ac:dyDescent="0.2">
      <c r="AF47555" s="679"/>
    </row>
    <row r="47556" spans="32:32" x14ac:dyDescent="0.2">
      <c r="AF47556" s="679"/>
    </row>
    <row r="47557" spans="32:32" x14ac:dyDescent="0.2">
      <c r="AF47557" s="679"/>
    </row>
    <row r="47558" spans="32:32" x14ac:dyDescent="0.2">
      <c r="AF47558" s="679"/>
    </row>
    <row r="47559" spans="32:32" x14ac:dyDescent="0.2">
      <c r="AF47559" s="679"/>
    </row>
    <row r="47560" spans="32:32" x14ac:dyDescent="0.2">
      <c r="AF47560" s="679"/>
    </row>
    <row r="47561" spans="32:32" x14ac:dyDescent="0.2">
      <c r="AF47561" s="679"/>
    </row>
    <row r="47562" spans="32:32" x14ac:dyDescent="0.2">
      <c r="AF47562" s="679"/>
    </row>
    <row r="47563" spans="32:32" x14ac:dyDescent="0.2">
      <c r="AF47563" s="679"/>
    </row>
    <row r="47564" spans="32:32" x14ac:dyDescent="0.2">
      <c r="AF47564" s="679"/>
    </row>
    <row r="47565" spans="32:32" x14ac:dyDescent="0.2">
      <c r="AF47565" s="679"/>
    </row>
    <row r="47566" spans="32:32" x14ac:dyDescent="0.2">
      <c r="AF47566" s="679"/>
    </row>
    <row r="47567" spans="32:32" x14ac:dyDescent="0.2">
      <c r="AF47567" s="679"/>
    </row>
    <row r="47568" spans="32:32" x14ac:dyDescent="0.2">
      <c r="AF47568" s="679"/>
    </row>
    <row r="47569" spans="32:32" x14ac:dyDescent="0.2">
      <c r="AF47569" s="679"/>
    </row>
    <row r="47570" spans="32:32" x14ac:dyDescent="0.2">
      <c r="AF47570" s="679"/>
    </row>
    <row r="47571" spans="32:32" x14ac:dyDescent="0.2">
      <c r="AF47571" s="679"/>
    </row>
    <row r="47572" spans="32:32" x14ac:dyDescent="0.2">
      <c r="AF47572" s="679"/>
    </row>
    <row r="47573" spans="32:32" x14ac:dyDescent="0.2">
      <c r="AF47573" s="679"/>
    </row>
    <row r="47574" spans="32:32" x14ac:dyDescent="0.2">
      <c r="AF47574" s="679"/>
    </row>
    <row r="47575" spans="32:32" x14ac:dyDescent="0.2">
      <c r="AF47575" s="679"/>
    </row>
    <row r="47576" spans="32:32" x14ac:dyDescent="0.2">
      <c r="AF47576" s="679"/>
    </row>
    <row r="47577" spans="32:32" x14ac:dyDescent="0.2">
      <c r="AF47577" s="679"/>
    </row>
    <row r="47578" spans="32:32" x14ac:dyDescent="0.2">
      <c r="AF47578" s="679"/>
    </row>
    <row r="47579" spans="32:32" x14ac:dyDescent="0.2">
      <c r="AF47579" s="679"/>
    </row>
    <row r="47580" spans="32:32" x14ac:dyDescent="0.2">
      <c r="AF47580" s="679"/>
    </row>
    <row r="47581" spans="32:32" x14ac:dyDescent="0.2">
      <c r="AF47581" s="679"/>
    </row>
    <row r="47582" spans="32:32" x14ac:dyDescent="0.2">
      <c r="AF47582" s="679"/>
    </row>
    <row r="47583" spans="32:32" x14ac:dyDescent="0.2">
      <c r="AF47583" s="679"/>
    </row>
    <row r="47584" spans="32:32" x14ac:dyDescent="0.2">
      <c r="AF47584" s="679"/>
    </row>
    <row r="47585" spans="32:32" x14ac:dyDescent="0.2">
      <c r="AF47585" s="679"/>
    </row>
    <row r="47586" spans="32:32" x14ac:dyDescent="0.2">
      <c r="AF47586" s="679"/>
    </row>
    <row r="47587" spans="32:32" x14ac:dyDescent="0.2">
      <c r="AF47587" s="679"/>
    </row>
    <row r="47588" spans="32:32" x14ac:dyDescent="0.2">
      <c r="AF47588" s="679"/>
    </row>
    <row r="47589" spans="32:32" x14ac:dyDescent="0.2">
      <c r="AF47589" s="679"/>
    </row>
    <row r="47590" spans="32:32" x14ac:dyDescent="0.2">
      <c r="AF47590" s="679"/>
    </row>
    <row r="47591" spans="32:32" x14ac:dyDescent="0.2">
      <c r="AF47591" s="679"/>
    </row>
    <row r="47592" spans="32:32" x14ac:dyDescent="0.2">
      <c r="AF47592" s="679"/>
    </row>
    <row r="47593" spans="32:32" x14ac:dyDescent="0.2">
      <c r="AF47593" s="679"/>
    </row>
    <row r="47594" spans="32:32" x14ac:dyDescent="0.2">
      <c r="AF47594" s="679"/>
    </row>
    <row r="47595" spans="32:32" x14ac:dyDescent="0.2">
      <c r="AF47595" s="679"/>
    </row>
    <row r="47596" spans="32:32" x14ac:dyDescent="0.2">
      <c r="AF47596" s="679"/>
    </row>
    <row r="47597" spans="32:32" x14ac:dyDescent="0.2">
      <c r="AF47597" s="679"/>
    </row>
    <row r="47598" spans="32:32" x14ac:dyDescent="0.2">
      <c r="AF47598" s="679"/>
    </row>
    <row r="47599" spans="32:32" x14ac:dyDescent="0.2">
      <c r="AF47599" s="679"/>
    </row>
    <row r="47600" spans="32:32" x14ac:dyDescent="0.2">
      <c r="AF47600" s="679"/>
    </row>
    <row r="47601" spans="32:32" x14ac:dyDescent="0.2">
      <c r="AF47601" s="679"/>
    </row>
    <row r="47602" spans="32:32" x14ac:dyDescent="0.2">
      <c r="AF47602" s="679"/>
    </row>
    <row r="47603" spans="32:32" x14ac:dyDescent="0.2">
      <c r="AF47603" s="679"/>
    </row>
    <row r="47604" spans="32:32" x14ac:dyDescent="0.2">
      <c r="AF47604" s="679"/>
    </row>
    <row r="47605" spans="32:32" x14ac:dyDescent="0.2">
      <c r="AF47605" s="679"/>
    </row>
    <row r="47606" spans="32:32" x14ac:dyDescent="0.2">
      <c r="AF47606" s="679"/>
    </row>
    <row r="47607" spans="32:32" x14ac:dyDescent="0.2">
      <c r="AF47607" s="679"/>
    </row>
    <row r="47608" spans="32:32" x14ac:dyDescent="0.2">
      <c r="AF47608" s="679"/>
    </row>
    <row r="47609" spans="32:32" x14ac:dyDescent="0.2">
      <c r="AF47609" s="679"/>
    </row>
    <row r="47610" spans="32:32" x14ac:dyDescent="0.2">
      <c r="AF47610" s="679"/>
    </row>
    <row r="47611" spans="32:32" x14ac:dyDescent="0.2">
      <c r="AF47611" s="679"/>
    </row>
    <row r="47612" spans="32:32" x14ac:dyDescent="0.2">
      <c r="AF47612" s="679"/>
    </row>
    <row r="47613" spans="32:32" x14ac:dyDescent="0.2">
      <c r="AF47613" s="679"/>
    </row>
    <row r="47614" spans="32:32" x14ac:dyDescent="0.2">
      <c r="AF47614" s="679"/>
    </row>
    <row r="47615" spans="32:32" x14ac:dyDescent="0.2">
      <c r="AF47615" s="679"/>
    </row>
    <row r="47616" spans="32:32" x14ac:dyDescent="0.2">
      <c r="AF47616" s="679"/>
    </row>
    <row r="47617" spans="32:32" x14ac:dyDescent="0.2">
      <c r="AF47617" s="679"/>
    </row>
    <row r="47618" spans="32:32" x14ac:dyDescent="0.2">
      <c r="AF47618" s="679"/>
    </row>
    <row r="47619" spans="32:32" x14ac:dyDescent="0.2">
      <c r="AF47619" s="679"/>
    </row>
    <row r="47620" spans="32:32" x14ac:dyDescent="0.2">
      <c r="AF47620" s="679"/>
    </row>
    <row r="47621" spans="32:32" x14ac:dyDescent="0.2">
      <c r="AF47621" s="679"/>
    </row>
    <row r="47622" spans="32:32" x14ac:dyDescent="0.2">
      <c r="AF47622" s="679"/>
    </row>
    <row r="47623" spans="32:32" x14ac:dyDescent="0.2">
      <c r="AF47623" s="679"/>
    </row>
    <row r="47624" spans="32:32" x14ac:dyDescent="0.2">
      <c r="AF47624" s="679"/>
    </row>
    <row r="47625" spans="32:32" x14ac:dyDescent="0.2">
      <c r="AF47625" s="679"/>
    </row>
    <row r="47626" spans="32:32" x14ac:dyDescent="0.2">
      <c r="AF47626" s="679"/>
    </row>
    <row r="47627" spans="32:32" x14ac:dyDescent="0.2">
      <c r="AF47627" s="679"/>
    </row>
    <row r="47628" spans="32:32" x14ac:dyDescent="0.2">
      <c r="AF47628" s="679"/>
    </row>
    <row r="47629" spans="32:32" x14ac:dyDescent="0.2">
      <c r="AF47629" s="679"/>
    </row>
    <row r="47630" spans="32:32" x14ac:dyDescent="0.2">
      <c r="AF47630" s="679"/>
    </row>
    <row r="47631" spans="32:32" x14ac:dyDescent="0.2">
      <c r="AF47631" s="679"/>
    </row>
    <row r="47632" spans="32:32" x14ac:dyDescent="0.2">
      <c r="AF47632" s="679"/>
    </row>
    <row r="47633" spans="32:32" x14ac:dyDescent="0.2">
      <c r="AF47633" s="679"/>
    </row>
    <row r="47634" spans="32:32" x14ac:dyDescent="0.2">
      <c r="AF47634" s="679"/>
    </row>
    <row r="47635" spans="32:32" x14ac:dyDescent="0.2">
      <c r="AF47635" s="679"/>
    </row>
    <row r="47636" spans="32:32" x14ac:dyDescent="0.2">
      <c r="AF47636" s="679"/>
    </row>
    <row r="47637" spans="32:32" x14ac:dyDescent="0.2">
      <c r="AF47637" s="679"/>
    </row>
    <row r="47638" spans="32:32" x14ac:dyDescent="0.2">
      <c r="AF47638" s="679"/>
    </row>
    <row r="47639" spans="32:32" x14ac:dyDescent="0.2">
      <c r="AF47639" s="679"/>
    </row>
    <row r="47640" spans="32:32" x14ac:dyDescent="0.2">
      <c r="AF47640" s="679"/>
    </row>
    <row r="47641" spans="32:32" x14ac:dyDescent="0.2">
      <c r="AF47641" s="679"/>
    </row>
    <row r="47642" spans="32:32" x14ac:dyDescent="0.2">
      <c r="AF47642" s="679"/>
    </row>
    <row r="47643" spans="32:32" x14ac:dyDescent="0.2">
      <c r="AF47643" s="679"/>
    </row>
    <row r="47644" spans="32:32" x14ac:dyDescent="0.2">
      <c r="AF47644" s="679"/>
    </row>
    <row r="47645" spans="32:32" x14ac:dyDescent="0.2">
      <c r="AF47645" s="679"/>
    </row>
    <row r="47646" spans="32:32" x14ac:dyDescent="0.2">
      <c r="AF47646" s="679"/>
    </row>
    <row r="47647" spans="32:32" x14ac:dyDescent="0.2">
      <c r="AF47647" s="679"/>
    </row>
    <row r="47648" spans="32:32" x14ac:dyDescent="0.2">
      <c r="AF47648" s="679"/>
    </row>
    <row r="47649" spans="32:32" x14ac:dyDescent="0.2">
      <c r="AF47649" s="679"/>
    </row>
    <row r="47650" spans="32:32" x14ac:dyDescent="0.2">
      <c r="AF47650" s="679"/>
    </row>
    <row r="47651" spans="32:32" x14ac:dyDescent="0.2">
      <c r="AF47651" s="679"/>
    </row>
    <row r="47652" spans="32:32" x14ac:dyDescent="0.2">
      <c r="AF47652" s="679"/>
    </row>
    <row r="47653" spans="32:32" x14ac:dyDescent="0.2">
      <c r="AF47653" s="679"/>
    </row>
    <row r="47654" spans="32:32" x14ac:dyDescent="0.2">
      <c r="AF47654" s="679"/>
    </row>
    <row r="47655" spans="32:32" x14ac:dyDescent="0.2">
      <c r="AF47655" s="679"/>
    </row>
    <row r="47656" spans="32:32" x14ac:dyDescent="0.2">
      <c r="AF47656" s="679"/>
    </row>
    <row r="47657" spans="32:32" x14ac:dyDescent="0.2">
      <c r="AF47657" s="679"/>
    </row>
    <row r="47658" spans="32:32" x14ac:dyDescent="0.2">
      <c r="AF47658" s="679"/>
    </row>
    <row r="47659" spans="32:32" x14ac:dyDescent="0.2">
      <c r="AF47659" s="679"/>
    </row>
    <row r="47660" spans="32:32" x14ac:dyDescent="0.2">
      <c r="AF47660" s="679"/>
    </row>
    <row r="47661" spans="32:32" x14ac:dyDescent="0.2">
      <c r="AF47661" s="679"/>
    </row>
    <row r="47662" spans="32:32" x14ac:dyDescent="0.2">
      <c r="AF47662" s="679"/>
    </row>
    <row r="47663" spans="32:32" x14ac:dyDescent="0.2">
      <c r="AF47663" s="679"/>
    </row>
    <row r="47664" spans="32:32" x14ac:dyDescent="0.2">
      <c r="AF47664" s="679"/>
    </row>
    <row r="47665" spans="32:32" x14ac:dyDescent="0.2">
      <c r="AF47665" s="679"/>
    </row>
    <row r="47666" spans="32:32" x14ac:dyDescent="0.2">
      <c r="AF47666" s="679"/>
    </row>
    <row r="47667" spans="32:32" x14ac:dyDescent="0.2">
      <c r="AF47667" s="679"/>
    </row>
    <row r="47668" spans="32:32" x14ac:dyDescent="0.2">
      <c r="AF47668" s="679"/>
    </row>
    <row r="47669" spans="32:32" x14ac:dyDescent="0.2">
      <c r="AF47669" s="679"/>
    </row>
    <row r="47670" spans="32:32" x14ac:dyDescent="0.2">
      <c r="AF47670" s="679"/>
    </row>
    <row r="47671" spans="32:32" x14ac:dyDescent="0.2">
      <c r="AF47671" s="679"/>
    </row>
    <row r="47672" spans="32:32" x14ac:dyDescent="0.2">
      <c r="AF47672" s="679"/>
    </row>
    <row r="47673" spans="32:32" x14ac:dyDescent="0.2">
      <c r="AF47673" s="679"/>
    </row>
    <row r="47674" spans="32:32" x14ac:dyDescent="0.2">
      <c r="AF47674" s="679"/>
    </row>
    <row r="47675" spans="32:32" x14ac:dyDescent="0.2">
      <c r="AF47675" s="679"/>
    </row>
    <row r="47676" spans="32:32" x14ac:dyDescent="0.2">
      <c r="AF47676" s="679"/>
    </row>
    <row r="47677" spans="32:32" x14ac:dyDescent="0.2">
      <c r="AF47677" s="679"/>
    </row>
    <row r="47678" spans="32:32" x14ac:dyDescent="0.2">
      <c r="AF47678" s="679"/>
    </row>
    <row r="47679" spans="32:32" x14ac:dyDescent="0.2">
      <c r="AF47679" s="679"/>
    </row>
    <row r="47680" spans="32:32" x14ac:dyDescent="0.2">
      <c r="AF47680" s="679"/>
    </row>
    <row r="47681" spans="32:32" x14ac:dyDescent="0.2">
      <c r="AF47681" s="679"/>
    </row>
    <row r="47682" spans="32:32" x14ac:dyDescent="0.2">
      <c r="AF47682" s="679"/>
    </row>
    <row r="47683" spans="32:32" x14ac:dyDescent="0.2">
      <c r="AF47683" s="679"/>
    </row>
    <row r="47684" spans="32:32" x14ac:dyDescent="0.2">
      <c r="AF47684" s="679"/>
    </row>
    <row r="47685" spans="32:32" x14ac:dyDescent="0.2">
      <c r="AF47685" s="679"/>
    </row>
    <row r="47686" spans="32:32" x14ac:dyDescent="0.2">
      <c r="AF47686" s="679"/>
    </row>
    <row r="47687" spans="32:32" x14ac:dyDescent="0.2">
      <c r="AF47687" s="679"/>
    </row>
    <row r="47688" spans="32:32" x14ac:dyDescent="0.2">
      <c r="AF47688" s="679"/>
    </row>
    <row r="47689" spans="32:32" x14ac:dyDescent="0.2">
      <c r="AF47689" s="679"/>
    </row>
    <row r="47690" spans="32:32" x14ac:dyDescent="0.2">
      <c r="AF47690" s="679"/>
    </row>
    <row r="47691" spans="32:32" x14ac:dyDescent="0.2">
      <c r="AF47691" s="679"/>
    </row>
    <row r="47692" spans="32:32" x14ac:dyDescent="0.2">
      <c r="AF47692" s="679"/>
    </row>
    <row r="47693" spans="32:32" x14ac:dyDescent="0.2">
      <c r="AF47693" s="679"/>
    </row>
    <row r="47694" spans="32:32" x14ac:dyDescent="0.2">
      <c r="AF47694" s="679"/>
    </row>
    <row r="47695" spans="32:32" x14ac:dyDescent="0.2">
      <c r="AF47695" s="679"/>
    </row>
    <row r="47696" spans="32:32" x14ac:dyDescent="0.2">
      <c r="AF47696" s="679"/>
    </row>
    <row r="47697" spans="32:32" x14ac:dyDescent="0.2">
      <c r="AF47697" s="679"/>
    </row>
    <row r="47698" spans="32:32" x14ac:dyDescent="0.2">
      <c r="AF47698" s="679"/>
    </row>
    <row r="47699" spans="32:32" x14ac:dyDescent="0.2">
      <c r="AF47699" s="679"/>
    </row>
    <row r="47700" spans="32:32" x14ac:dyDescent="0.2">
      <c r="AF47700" s="679"/>
    </row>
    <row r="47701" spans="32:32" x14ac:dyDescent="0.2">
      <c r="AF47701" s="679"/>
    </row>
    <row r="47702" spans="32:32" x14ac:dyDescent="0.2">
      <c r="AF47702" s="679"/>
    </row>
    <row r="47703" spans="32:32" x14ac:dyDescent="0.2">
      <c r="AF47703" s="679"/>
    </row>
    <row r="47704" spans="32:32" x14ac:dyDescent="0.2">
      <c r="AF47704" s="679"/>
    </row>
    <row r="47705" spans="32:32" x14ac:dyDescent="0.2">
      <c r="AF47705" s="679"/>
    </row>
    <row r="47706" spans="32:32" x14ac:dyDescent="0.2">
      <c r="AF47706" s="679"/>
    </row>
    <row r="47707" spans="32:32" x14ac:dyDescent="0.2">
      <c r="AF47707" s="679"/>
    </row>
    <row r="47708" spans="32:32" x14ac:dyDescent="0.2">
      <c r="AF47708" s="679"/>
    </row>
    <row r="47709" spans="32:32" x14ac:dyDescent="0.2">
      <c r="AF47709" s="679"/>
    </row>
    <row r="47710" spans="32:32" x14ac:dyDescent="0.2">
      <c r="AF47710" s="679"/>
    </row>
    <row r="47711" spans="32:32" x14ac:dyDescent="0.2">
      <c r="AF47711" s="679"/>
    </row>
    <row r="47712" spans="32:32" x14ac:dyDescent="0.2">
      <c r="AF47712" s="679"/>
    </row>
    <row r="47713" spans="32:32" x14ac:dyDescent="0.2">
      <c r="AF47713" s="679"/>
    </row>
    <row r="47714" spans="32:32" x14ac:dyDescent="0.2">
      <c r="AF47714" s="679"/>
    </row>
    <row r="47715" spans="32:32" x14ac:dyDescent="0.2">
      <c r="AF47715" s="679"/>
    </row>
    <row r="47716" spans="32:32" x14ac:dyDescent="0.2">
      <c r="AF47716" s="679"/>
    </row>
    <row r="47717" spans="32:32" x14ac:dyDescent="0.2">
      <c r="AF47717" s="679"/>
    </row>
    <row r="47718" spans="32:32" x14ac:dyDescent="0.2">
      <c r="AF47718" s="679"/>
    </row>
    <row r="47719" spans="32:32" x14ac:dyDescent="0.2">
      <c r="AF47719" s="679"/>
    </row>
    <row r="47720" spans="32:32" x14ac:dyDescent="0.2">
      <c r="AF47720" s="679"/>
    </row>
    <row r="47721" spans="32:32" x14ac:dyDescent="0.2">
      <c r="AF47721" s="679"/>
    </row>
    <row r="47722" spans="32:32" x14ac:dyDescent="0.2">
      <c r="AF47722" s="679"/>
    </row>
    <row r="47723" spans="32:32" x14ac:dyDescent="0.2">
      <c r="AF47723" s="679"/>
    </row>
    <row r="47724" spans="32:32" x14ac:dyDescent="0.2">
      <c r="AF47724" s="679"/>
    </row>
    <row r="47725" spans="32:32" x14ac:dyDescent="0.2">
      <c r="AF47725" s="679"/>
    </row>
    <row r="47726" spans="32:32" x14ac:dyDescent="0.2">
      <c r="AF47726" s="679"/>
    </row>
    <row r="47727" spans="32:32" x14ac:dyDescent="0.2">
      <c r="AF47727" s="679"/>
    </row>
    <row r="47728" spans="32:32" x14ac:dyDescent="0.2">
      <c r="AF47728" s="679"/>
    </row>
    <row r="47729" spans="32:32" x14ac:dyDescent="0.2">
      <c r="AF47729" s="679"/>
    </row>
    <row r="47730" spans="32:32" x14ac:dyDescent="0.2">
      <c r="AF47730" s="679"/>
    </row>
    <row r="47731" spans="32:32" x14ac:dyDescent="0.2">
      <c r="AF47731" s="679"/>
    </row>
    <row r="47732" spans="32:32" x14ac:dyDescent="0.2">
      <c r="AF47732" s="679"/>
    </row>
    <row r="47733" spans="32:32" x14ac:dyDescent="0.2">
      <c r="AF47733" s="679"/>
    </row>
    <row r="47734" spans="32:32" x14ac:dyDescent="0.2">
      <c r="AF47734" s="679"/>
    </row>
    <row r="47735" spans="32:32" x14ac:dyDescent="0.2">
      <c r="AF47735" s="679"/>
    </row>
    <row r="47736" spans="32:32" x14ac:dyDescent="0.2">
      <c r="AF47736" s="679"/>
    </row>
    <row r="47737" spans="32:32" x14ac:dyDescent="0.2">
      <c r="AF47737" s="679"/>
    </row>
    <row r="47738" spans="32:32" x14ac:dyDescent="0.2">
      <c r="AF47738" s="679"/>
    </row>
    <row r="47739" spans="32:32" x14ac:dyDescent="0.2">
      <c r="AF47739" s="679"/>
    </row>
    <row r="47740" spans="32:32" x14ac:dyDescent="0.2">
      <c r="AF47740" s="679"/>
    </row>
    <row r="47741" spans="32:32" x14ac:dyDescent="0.2">
      <c r="AF47741" s="679"/>
    </row>
    <row r="47742" spans="32:32" x14ac:dyDescent="0.2">
      <c r="AF47742" s="679"/>
    </row>
    <row r="47743" spans="32:32" x14ac:dyDescent="0.2">
      <c r="AF47743" s="679"/>
    </row>
    <row r="47744" spans="32:32" x14ac:dyDescent="0.2">
      <c r="AF47744" s="679"/>
    </row>
    <row r="47745" spans="32:32" x14ac:dyDescent="0.2">
      <c r="AF47745" s="679"/>
    </row>
    <row r="47746" spans="32:32" x14ac:dyDescent="0.2">
      <c r="AF47746" s="679"/>
    </row>
    <row r="47747" spans="32:32" x14ac:dyDescent="0.2">
      <c r="AF47747" s="679"/>
    </row>
    <row r="47748" spans="32:32" x14ac:dyDescent="0.2">
      <c r="AF47748" s="679"/>
    </row>
    <row r="47749" spans="32:32" x14ac:dyDescent="0.2">
      <c r="AF47749" s="679"/>
    </row>
    <row r="47750" spans="32:32" x14ac:dyDescent="0.2">
      <c r="AF47750" s="679"/>
    </row>
    <row r="47751" spans="32:32" x14ac:dyDescent="0.2">
      <c r="AF47751" s="679"/>
    </row>
    <row r="47752" spans="32:32" x14ac:dyDescent="0.2">
      <c r="AF47752" s="679"/>
    </row>
    <row r="47753" spans="32:32" x14ac:dyDescent="0.2">
      <c r="AF47753" s="679"/>
    </row>
    <row r="47754" spans="32:32" x14ac:dyDescent="0.2">
      <c r="AF47754" s="679"/>
    </row>
    <row r="47755" spans="32:32" x14ac:dyDescent="0.2">
      <c r="AF47755" s="679"/>
    </row>
    <row r="47756" spans="32:32" x14ac:dyDescent="0.2">
      <c r="AF47756" s="679"/>
    </row>
    <row r="47757" spans="32:32" x14ac:dyDescent="0.2">
      <c r="AF47757" s="679"/>
    </row>
    <row r="47758" spans="32:32" x14ac:dyDescent="0.2">
      <c r="AF47758" s="679"/>
    </row>
    <row r="47759" spans="32:32" x14ac:dyDescent="0.2">
      <c r="AF47759" s="679"/>
    </row>
    <row r="47760" spans="32:32" x14ac:dyDescent="0.2">
      <c r="AF47760" s="679"/>
    </row>
    <row r="47761" spans="32:32" x14ac:dyDescent="0.2">
      <c r="AF47761" s="679"/>
    </row>
    <row r="47762" spans="32:32" x14ac:dyDescent="0.2">
      <c r="AF47762" s="679"/>
    </row>
    <row r="47763" spans="32:32" x14ac:dyDescent="0.2">
      <c r="AF47763" s="679"/>
    </row>
    <row r="47764" spans="32:32" x14ac:dyDescent="0.2">
      <c r="AF47764" s="679"/>
    </row>
    <row r="47765" spans="32:32" x14ac:dyDescent="0.2">
      <c r="AF47765" s="679"/>
    </row>
    <row r="47766" spans="32:32" x14ac:dyDescent="0.2">
      <c r="AF47766" s="679"/>
    </row>
    <row r="47767" spans="32:32" x14ac:dyDescent="0.2">
      <c r="AF47767" s="679"/>
    </row>
    <row r="47768" spans="32:32" x14ac:dyDescent="0.2">
      <c r="AF47768" s="679"/>
    </row>
    <row r="47769" spans="32:32" x14ac:dyDescent="0.2">
      <c r="AF47769" s="679"/>
    </row>
    <row r="47770" spans="32:32" x14ac:dyDescent="0.2">
      <c r="AF47770" s="679"/>
    </row>
    <row r="47771" spans="32:32" x14ac:dyDescent="0.2">
      <c r="AF47771" s="679"/>
    </row>
    <row r="47772" spans="32:32" x14ac:dyDescent="0.2">
      <c r="AF47772" s="679"/>
    </row>
    <row r="47773" spans="32:32" x14ac:dyDescent="0.2">
      <c r="AF47773" s="679"/>
    </row>
    <row r="47774" spans="32:32" x14ac:dyDescent="0.2">
      <c r="AF47774" s="679"/>
    </row>
    <row r="47775" spans="32:32" x14ac:dyDescent="0.2">
      <c r="AF47775" s="679"/>
    </row>
    <row r="47776" spans="32:32" x14ac:dyDescent="0.2">
      <c r="AF47776" s="679"/>
    </row>
    <row r="47777" spans="32:32" x14ac:dyDescent="0.2">
      <c r="AF47777" s="679"/>
    </row>
    <row r="47778" spans="32:32" x14ac:dyDescent="0.2">
      <c r="AF47778" s="679"/>
    </row>
    <row r="47779" spans="32:32" x14ac:dyDescent="0.2">
      <c r="AF47779" s="679"/>
    </row>
    <row r="47780" spans="32:32" x14ac:dyDescent="0.2">
      <c r="AF47780" s="679"/>
    </row>
    <row r="47781" spans="32:32" x14ac:dyDescent="0.2">
      <c r="AF47781" s="679"/>
    </row>
    <row r="47782" spans="32:32" x14ac:dyDescent="0.2">
      <c r="AF47782" s="679"/>
    </row>
    <row r="47783" spans="32:32" x14ac:dyDescent="0.2">
      <c r="AF47783" s="679"/>
    </row>
    <row r="47784" spans="32:32" x14ac:dyDescent="0.2">
      <c r="AF47784" s="679"/>
    </row>
    <row r="47785" spans="32:32" x14ac:dyDescent="0.2">
      <c r="AF47785" s="679"/>
    </row>
    <row r="47786" spans="32:32" x14ac:dyDescent="0.2">
      <c r="AF47786" s="679"/>
    </row>
    <row r="47787" spans="32:32" x14ac:dyDescent="0.2">
      <c r="AF47787" s="679"/>
    </row>
    <row r="47788" spans="32:32" x14ac:dyDescent="0.2">
      <c r="AF47788" s="679"/>
    </row>
    <row r="47789" spans="32:32" x14ac:dyDescent="0.2">
      <c r="AF47789" s="679"/>
    </row>
    <row r="47790" spans="32:32" x14ac:dyDescent="0.2">
      <c r="AF47790" s="679"/>
    </row>
    <row r="47791" spans="32:32" x14ac:dyDescent="0.2">
      <c r="AF47791" s="679"/>
    </row>
    <row r="47792" spans="32:32" x14ac:dyDescent="0.2">
      <c r="AF47792" s="679"/>
    </row>
    <row r="47793" spans="32:32" x14ac:dyDescent="0.2">
      <c r="AF47793" s="679"/>
    </row>
    <row r="47794" spans="32:32" x14ac:dyDescent="0.2">
      <c r="AF47794" s="679"/>
    </row>
    <row r="47795" spans="32:32" x14ac:dyDescent="0.2">
      <c r="AF47795" s="679"/>
    </row>
    <row r="47796" spans="32:32" x14ac:dyDescent="0.2">
      <c r="AF47796" s="679"/>
    </row>
    <row r="47797" spans="32:32" x14ac:dyDescent="0.2">
      <c r="AF47797" s="679"/>
    </row>
    <row r="47798" spans="32:32" x14ac:dyDescent="0.2">
      <c r="AF47798" s="679"/>
    </row>
    <row r="47799" spans="32:32" x14ac:dyDescent="0.2">
      <c r="AF47799" s="679"/>
    </row>
    <row r="47800" spans="32:32" x14ac:dyDescent="0.2">
      <c r="AF47800" s="679"/>
    </row>
    <row r="47801" spans="32:32" x14ac:dyDescent="0.2">
      <c r="AF47801" s="679"/>
    </row>
    <row r="47802" spans="32:32" x14ac:dyDescent="0.2">
      <c r="AF47802" s="679"/>
    </row>
    <row r="47803" spans="32:32" x14ac:dyDescent="0.2">
      <c r="AF47803" s="679"/>
    </row>
    <row r="47804" spans="32:32" x14ac:dyDescent="0.2">
      <c r="AF47804" s="679"/>
    </row>
    <row r="47805" spans="32:32" x14ac:dyDescent="0.2">
      <c r="AF47805" s="679"/>
    </row>
    <row r="47806" spans="32:32" x14ac:dyDescent="0.2">
      <c r="AF47806" s="679"/>
    </row>
    <row r="47807" spans="32:32" x14ac:dyDescent="0.2">
      <c r="AF47807" s="679"/>
    </row>
    <row r="47808" spans="32:32" x14ac:dyDescent="0.2">
      <c r="AF47808" s="679"/>
    </row>
    <row r="47809" spans="32:32" x14ac:dyDescent="0.2">
      <c r="AF47809" s="679"/>
    </row>
    <row r="47810" spans="32:32" x14ac:dyDescent="0.2">
      <c r="AF47810" s="679"/>
    </row>
    <row r="47811" spans="32:32" x14ac:dyDescent="0.2">
      <c r="AF47811" s="679"/>
    </row>
    <row r="47812" spans="32:32" x14ac:dyDescent="0.2">
      <c r="AF47812" s="679"/>
    </row>
    <row r="47813" spans="32:32" x14ac:dyDescent="0.2">
      <c r="AF47813" s="679"/>
    </row>
    <row r="47814" spans="32:32" x14ac:dyDescent="0.2">
      <c r="AF47814" s="679"/>
    </row>
    <row r="47815" spans="32:32" x14ac:dyDescent="0.2">
      <c r="AF47815" s="679"/>
    </row>
    <row r="47816" spans="32:32" x14ac:dyDescent="0.2">
      <c r="AF47816" s="679"/>
    </row>
    <row r="47817" spans="32:32" x14ac:dyDescent="0.2">
      <c r="AF47817" s="679"/>
    </row>
    <row r="47818" spans="32:32" x14ac:dyDescent="0.2">
      <c r="AF47818" s="679"/>
    </row>
    <row r="47819" spans="32:32" x14ac:dyDescent="0.2">
      <c r="AF47819" s="679"/>
    </row>
    <row r="47820" spans="32:32" x14ac:dyDescent="0.2">
      <c r="AF47820" s="679"/>
    </row>
    <row r="47821" spans="32:32" x14ac:dyDescent="0.2">
      <c r="AF47821" s="679"/>
    </row>
    <row r="47822" spans="32:32" x14ac:dyDescent="0.2">
      <c r="AF47822" s="679"/>
    </row>
    <row r="47823" spans="32:32" x14ac:dyDescent="0.2">
      <c r="AF47823" s="679"/>
    </row>
    <row r="47824" spans="32:32" x14ac:dyDescent="0.2">
      <c r="AF47824" s="679"/>
    </row>
    <row r="47825" spans="32:32" x14ac:dyDescent="0.2">
      <c r="AF47825" s="679"/>
    </row>
    <row r="47826" spans="32:32" x14ac:dyDescent="0.2">
      <c r="AF47826" s="679"/>
    </row>
    <row r="47827" spans="32:32" x14ac:dyDescent="0.2">
      <c r="AF47827" s="679"/>
    </row>
    <row r="47828" spans="32:32" x14ac:dyDescent="0.2">
      <c r="AF47828" s="679"/>
    </row>
    <row r="47829" spans="32:32" x14ac:dyDescent="0.2">
      <c r="AF47829" s="679"/>
    </row>
    <row r="47830" spans="32:32" x14ac:dyDescent="0.2">
      <c r="AF47830" s="679"/>
    </row>
    <row r="47831" spans="32:32" x14ac:dyDescent="0.2">
      <c r="AF47831" s="679"/>
    </row>
    <row r="47832" spans="32:32" x14ac:dyDescent="0.2">
      <c r="AF47832" s="679"/>
    </row>
    <row r="47833" spans="32:32" x14ac:dyDescent="0.2">
      <c r="AF47833" s="679"/>
    </row>
    <row r="47834" spans="32:32" x14ac:dyDescent="0.2">
      <c r="AF47834" s="679"/>
    </row>
    <row r="47835" spans="32:32" x14ac:dyDescent="0.2">
      <c r="AF47835" s="679"/>
    </row>
    <row r="47836" spans="32:32" x14ac:dyDescent="0.2">
      <c r="AF47836" s="679"/>
    </row>
    <row r="47837" spans="32:32" x14ac:dyDescent="0.2">
      <c r="AF47837" s="679"/>
    </row>
    <row r="47838" spans="32:32" x14ac:dyDescent="0.2">
      <c r="AF47838" s="679"/>
    </row>
    <row r="47839" spans="32:32" x14ac:dyDescent="0.2">
      <c r="AF47839" s="679"/>
    </row>
    <row r="47840" spans="32:32" x14ac:dyDescent="0.2">
      <c r="AF47840" s="679"/>
    </row>
    <row r="47841" spans="32:32" x14ac:dyDescent="0.2">
      <c r="AF47841" s="679"/>
    </row>
    <row r="47842" spans="32:32" x14ac:dyDescent="0.2">
      <c r="AF47842" s="679"/>
    </row>
    <row r="47843" spans="32:32" x14ac:dyDescent="0.2">
      <c r="AF47843" s="679"/>
    </row>
    <row r="47844" spans="32:32" x14ac:dyDescent="0.2">
      <c r="AF47844" s="679"/>
    </row>
    <row r="47845" spans="32:32" x14ac:dyDescent="0.2">
      <c r="AF47845" s="679"/>
    </row>
    <row r="47846" spans="32:32" x14ac:dyDescent="0.2">
      <c r="AF47846" s="679"/>
    </row>
    <row r="47847" spans="32:32" x14ac:dyDescent="0.2">
      <c r="AF47847" s="679"/>
    </row>
    <row r="47848" spans="32:32" x14ac:dyDescent="0.2">
      <c r="AF47848" s="679"/>
    </row>
    <row r="47849" spans="32:32" x14ac:dyDescent="0.2">
      <c r="AF47849" s="679"/>
    </row>
    <row r="47850" spans="32:32" x14ac:dyDescent="0.2">
      <c r="AF47850" s="679"/>
    </row>
    <row r="47851" spans="32:32" x14ac:dyDescent="0.2">
      <c r="AF47851" s="679"/>
    </row>
    <row r="47852" spans="32:32" x14ac:dyDescent="0.2">
      <c r="AF47852" s="679"/>
    </row>
    <row r="47853" spans="32:32" x14ac:dyDescent="0.2">
      <c r="AF47853" s="679"/>
    </row>
    <row r="47854" spans="32:32" x14ac:dyDescent="0.2">
      <c r="AF47854" s="679"/>
    </row>
    <row r="47855" spans="32:32" x14ac:dyDescent="0.2">
      <c r="AF47855" s="679"/>
    </row>
    <row r="47856" spans="32:32" x14ac:dyDescent="0.2">
      <c r="AF47856" s="679"/>
    </row>
    <row r="47857" spans="32:32" x14ac:dyDescent="0.2">
      <c r="AF47857" s="679"/>
    </row>
    <row r="47858" spans="32:32" x14ac:dyDescent="0.2">
      <c r="AF47858" s="679"/>
    </row>
    <row r="47859" spans="32:32" x14ac:dyDescent="0.2">
      <c r="AF47859" s="679"/>
    </row>
    <row r="47860" spans="32:32" x14ac:dyDescent="0.2">
      <c r="AF47860" s="679"/>
    </row>
    <row r="47861" spans="32:32" x14ac:dyDescent="0.2">
      <c r="AF47861" s="679"/>
    </row>
    <row r="47862" spans="32:32" x14ac:dyDescent="0.2">
      <c r="AF47862" s="679"/>
    </row>
    <row r="47863" spans="32:32" x14ac:dyDescent="0.2">
      <c r="AF47863" s="679"/>
    </row>
    <row r="47864" spans="32:32" x14ac:dyDescent="0.2">
      <c r="AF47864" s="679"/>
    </row>
    <row r="47865" spans="32:32" x14ac:dyDescent="0.2">
      <c r="AF47865" s="679"/>
    </row>
    <row r="47866" spans="32:32" x14ac:dyDescent="0.2">
      <c r="AF47866" s="679"/>
    </row>
    <row r="47867" spans="32:32" x14ac:dyDescent="0.2">
      <c r="AF47867" s="679"/>
    </row>
    <row r="47868" spans="32:32" x14ac:dyDescent="0.2">
      <c r="AF47868" s="679"/>
    </row>
    <row r="47869" spans="32:32" x14ac:dyDescent="0.2">
      <c r="AF47869" s="679"/>
    </row>
    <row r="47870" spans="32:32" x14ac:dyDescent="0.2">
      <c r="AF47870" s="679"/>
    </row>
    <row r="47871" spans="32:32" x14ac:dyDescent="0.2">
      <c r="AF47871" s="679"/>
    </row>
    <row r="47872" spans="32:32" x14ac:dyDescent="0.2">
      <c r="AF47872" s="679"/>
    </row>
    <row r="47873" spans="32:32" x14ac:dyDescent="0.2">
      <c r="AF47873" s="679"/>
    </row>
    <row r="47874" spans="32:32" x14ac:dyDescent="0.2">
      <c r="AF47874" s="679"/>
    </row>
    <row r="47875" spans="32:32" x14ac:dyDescent="0.2">
      <c r="AF47875" s="679"/>
    </row>
    <row r="47876" spans="32:32" x14ac:dyDescent="0.2">
      <c r="AF47876" s="679"/>
    </row>
    <row r="47877" spans="32:32" x14ac:dyDescent="0.2">
      <c r="AF47877" s="679"/>
    </row>
    <row r="47878" spans="32:32" x14ac:dyDescent="0.2">
      <c r="AF47878" s="679"/>
    </row>
    <row r="47879" spans="32:32" x14ac:dyDescent="0.2">
      <c r="AF47879" s="679"/>
    </row>
    <row r="47880" spans="32:32" x14ac:dyDescent="0.2">
      <c r="AF47880" s="679"/>
    </row>
    <row r="47881" spans="32:32" x14ac:dyDescent="0.2">
      <c r="AF47881" s="679"/>
    </row>
    <row r="47882" spans="32:32" x14ac:dyDescent="0.2">
      <c r="AF47882" s="679"/>
    </row>
    <row r="47883" spans="32:32" x14ac:dyDescent="0.2">
      <c r="AF47883" s="679"/>
    </row>
    <row r="47884" spans="32:32" x14ac:dyDescent="0.2">
      <c r="AF47884" s="679"/>
    </row>
    <row r="47885" spans="32:32" x14ac:dyDescent="0.2">
      <c r="AF47885" s="679"/>
    </row>
    <row r="47886" spans="32:32" x14ac:dyDescent="0.2">
      <c r="AF47886" s="679"/>
    </row>
    <row r="47887" spans="32:32" x14ac:dyDescent="0.2">
      <c r="AF47887" s="679"/>
    </row>
    <row r="47888" spans="32:32" x14ac:dyDescent="0.2">
      <c r="AF47888" s="679"/>
    </row>
    <row r="47889" spans="32:32" x14ac:dyDescent="0.2">
      <c r="AF47889" s="679"/>
    </row>
    <row r="47890" spans="32:32" x14ac:dyDescent="0.2">
      <c r="AF47890" s="679"/>
    </row>
    <row r="47891" spans="32:32" x14ac:dyDescent="0.2">
      <c r="AF47891" s="679"/>
    </row>
    <row r="47892" spans="32:32" x14ac:dyDescent="0.2">
      <c r="AF47892" s="679"/>
    </row>
    <row r="47893" spans="32:32" x14ac:dyDescent="0.2">
      <c r="AF47893" s="679"/>
    </row>
    <row r="47894" spans="32:32" x14ac:dyDescent="0.2">
      <c r="AF47894" s="679"/>
    </row>
    <row r="47895" spans="32:32" x14ac:dyDescent="0.2">
      <c r="AF47895" s="679"/>
    </row>
    <row r="47896" spans="32:32" x14ac:dyDescent="0.2">
      <c r="AF47896" s="679"/>
    </row>
    <row r="47897" spans="32:32" x14ac:dyDescent="0.2">
      <c r="AF47897" s="679"/>
    </row>
    <row r="47898" spans="32:32" x14ac:dyDescent="0.2">
      <c r="AF47898" s="679"/>
    </row>
    <row r="47899" spans="32:32" x14ac:dyDescent="0.2">
      <c r="AF47899" s="679"/>
    </row>
    <row r="47900" spans="32:32" x14ac:dyDescent="0.2">
      <c r="AF47900" s="679"/>
    </row>
    <row r="47901" spans="32:32" x14ac:dyDescent="0.2">
      <c r="AF47901" s="679"/>
    </row>
    <row r="47902" spans="32:32" x14ac:dyDescent="0.2">
      <c r="AF47902" s="679"/>
    </row>
    <row r="47903" spans="32:32" x14ac:dyDescent="0.2">
      <c r="AF47903" s="679"/>
    </row>
    <row r="47904" spans="32:32" x14ac:dyDescent="0.2">
      <c r="AF47904" s="679"/>
    </row>
    <row r="47905" spans="32:32" x14ac:dyDescent="0.2">
      <c r="AF47905" s="679"/>
    </row>
    <row r="47906" spans="32:32" x14ac:dyDescent="0.2">
      <c r="AF47906" s="679"/>
    </row>
    <row r="47907" spans="32:32" x14ac:dyDescent="0.2">
      <c r="AF47907" s="679"/>
    </row>
    <row r="47908" spans="32:32" x14ac:dyDescent="0.2">
      <c r="AF47908" s="679"/>
    </row>
    <row r="47909" spans="32:32" x14ac:dyDescent="0.2">
      <c r="AF47909" s="679"/>
    </row>
    <row r="47910" spans="32:32" x14ac:dyDescent="0.2">
      <c r="AF47910" s="679"/>
    </row>
    <row r="47911" spans="32:32" x14ac:dyDescent="0.2">
      <c r="AF47911" s="679"/>
    </row>
    <row r="47912" spans="32:32" x14ac:dyDescent="0.2">
      <c r="AF47912" s="679"/>
    </row>
    <row r="47913" spans="32:32" x14ac:dyDescent="0.2">
      <c r="AF47913" s="679"/>
    </row>
    <row r="47914" spans="32:32" x14ac:dyDescent="0.2">
      <c r="AF47914" s="679"/>
    </row>
    <row r="47915" spans="32:32" x14ac:dyDescent="0.2">
      <c r="AF47915" s="679"/>
    </row>
    <row r="47916" spans="32:32" x14ac:dyDescent="0.2">
      <c r="AF47916" s="679"/>
    </row>
    <row r="47917" spans="32:32" x14ac:dyDescent="0.2">
      <c r="AF47917" s="679"/>
    </row>
    <row r="47918" spans="32:32" x14ac:dyDescent="0.2">
      <c r="AF47918" s="679"/>
    </row>
    <row r="47919" spans="32:32" x14ac:dyDescent="0.2">
      <c r="AF47919" s="679"/>
    </row>
    <row r="47920" spans="32:32" x14ac:dyDescent="0.2">
      <c r="AF47920" s="679"/>
    </row>
    <row r="47921" spans="32:32" x14ac:dyDescent="0.2">
      <c r="AF47921" s="679"/>
    </row>
    <row r="47922" spans="32:32" x14ac:dyDescent="0.2">
      <c r="AF47922" s="679"/>
    </row>
    <row r="47923" spans="32:32" x14ac:dyDescent="0.2">
      <c r="AF47923" s="679"/>
    </row>
    <row r="47924" spans="32:32" x14ac:dyDescent="0.2">
      <c r="AF47924" s="679"/>
    </row>
    <row r="47925" spans="32:32" x14ac:dyDescent="0.2">
      <c r="AF47925" s="679"/>
    </row>
    <row r="47926" spans="32:32" x14ac:dyDescent="0.2">
      <c r="AF47926" s="679"/>
    </row>
    <row r="47927" spans="32:32" x14ac:dyDescent="0.2">
      <c r="AF47927" s="679"/>
    </row>
    <row r="47928" spans="32:32" x14ac:dyDescent="0.2">
      <c r="AF47928" s="679"/>
    </row>
    <row r="47929" spans="32:32" x14ac:dyDescent="0.2">
      <c r="AF47929" s="679"/>
    </row>
    <row r="47930" spans="32:32" x14ac:dyDescent="0.2">
      <c r="AF47930" s="679"/>
    </row>
    <row r="47931" spans="32:32" x14ac:dyDescent="0.2">
      <c r="AF47931" s="679"/>
    </row>
    <row r="47932" spans="32:32" x14ac:dyDescent="0.2">
      <c r="AF47932" s="679"/>
    </row>
    <row r="47933" spans="32:32" x14ac:dyDescent="0.2">
      <c r="AF47933" s="679"/>
    </row>
    <row r="47934" spans="32:32" x14ac:dyDescent="0.2">
      <c r="AF47934" s="679"/>
    </row>
    <row r="47935" spans="32:32" x14ac:dyDescent="0.2">
      <c r="AF47935" s="679"/>
    </row>
    <row r="47936" spans="32:32" x14ac:dyDescent="0.2">
      <c r="AF47936" s="679"/>
    </row>
    <row r="47937" spans="32:32" x14ac:dyDescent="0.2">
      <c r="AF47937" s="679"/>
    </row>
    <row r="47938" spans="32:32" x14ac:dyDescent="0.2">
      <c r="AF47938" s="679"/>
    </row>
    <row r="47939" spans="32:32" x14ac:dyDescent="0.2">
      <c r="AF47939" s="679"/>
    </row>
    <row r="47940" spans="32:32" x14ac:dyDescent="0.2">
      <c r="AF47940" s="679"/>
    </row>
    <row r="47941" spans="32:32" x14ac:dyDescent="0.2">
      <c r="AF47941" s="679"/>
    </row>
    <row r="47942" spans="32:32" x14ac:dyDescent="0.2">
      <c r="AF47942" s="679"/>
    </row>
    <row r="47943" spans="32:32" x14ac:dyDescent="0.2">
      <c r="AF47943" s="679"/>
    </row>
    <row r="47944" spans="32:32" x14ac:dyDescent="0.2">
      <c r="AF47944" s="679"/>
    </row>
    <row r="47945" spans="32:32" x14ac:dyDescent="0.2">
      <c r="AF47945" s="679"/>
    </row>
    <row r="47946" spans="32:32" x14ac:dyDescent="0.2">
      <c r="AF47946" s="679"/>
    </row>
    <row r="47947" spans="32:32" x14ac:dyDescent="0.2">
      <c r="AF47947" s="679"/>
    </row>
    <row r="47948" spans="32:32" x14ac:dyDescent="0.2">
      <c r="AF47948" s="679"/>
    </row>
    <row r="47949" spans="32:32" x14ac:dyDescent="0.2">
      <c r="AF47949" s="679"/>
    </row>
    <row r="47950" spans="32:32" x14ac:dyDescent="0.2">
      <c r="AF47950" s="679"/>
    </row>
    <row r="47951" spans="32:32" x14ac:dyDescent="0.2">
      <c r="AF47951" s="679"/>
    </row>
    <row r="47952" spans="32:32" x14ac:dyDescent="0.2">
      <c r="AF47952" s="679"/>
    </row>
    <row r="47953" spans="32:32" x14ac:dyDescent="0.2">
      <c r="AF47953" s="679"/>
    </row>
    <row r="47954" spans="32:32" x14ac:dyDescent="0.2">
      <c r="AF47954" s="679"/>
    </row>
    <row r="47955" spans="32:32" x14ac:dyDescent="0.2">
      <c r="AF47955" s="679"/>
    </row>
    <row r="47956" spans="32:32" x14ac:dyDescent="0.2">
      <c r="AF47956" s="679"/>
    </row>
    <row r="47957" spans="32:32" x14ac:dyDescent="0.2">
      <c r="AF47957" s="679"/>
    </row>
    <row r="47958" spans="32:32" x14ac:dyDescent="0.2">
      <c r="AF47958" s="679"/>
    </row>
    <row r="47959" spans="32:32" x14ac:dyDescent="0.2">
      <c r="AF47959" s="679"/>
    </row>
    <row r="47960" spans="32:32" x14ac:dyDescent="0.2">
      <c r="AF47960" s="679"/>
    </row>
    <row r="47961" spans="32:32" x14ac:dyDescent="0.2">
      <c r="AF47961" s="679"/>
    </row>
    <row r="47962" spans="32:32" x14ac:dyDescent="0.2">
      <c r="AF47962" s="679"/>
    </row>
    <row r="47963" spans="32:32" x14ac:dyDescent="0.2">
      <c r="AF47963" s="679"/>
    </row>
    <row r="47964" spans="32:32" x14ac:dyDescent="0.2">
      <c r="AF47964" s="679"/>
    </row>
    <row r="47965" spans="32:32" x14ac:dyDescent="0.2">
      <c r="AF47965" s="679"/>
    </row>
    <row r="47966" spans="32:32" x14ac:dyDescent="0.2">
      <c r="AF47966" s="679"/>
    </row>
    <row r="47967" spans="32:32" x14ac:dyDescent="0.2">
      <c r="AF47967" s="679"/>
    </row>
    <row r="47968" spans="32:32" x14ac:dyDescent="0.2">
      <c r="AF47968" s="679"/>
    </row>
    <row r="47969" spans="32:32" x14ac:dyDescent="0.2">
      <c r="AF47969" s="679"/>
    </row>
    <row r="47970" spans="32:32" x14ac:dyDescent="0.2">
      <c r="AF47970" s="679"/>
    </row>
    <row r="47971" spans="32:32" x14ac:dyDescent="0.2">
      <c r="AF47971" s="679"/>
    </row>
    <row r="47972" spans="32:32" x14ac:dyDescent="0.2">
      <c r="AF47972" s="679"/>
    </row>
    <row r="47973" spans="32:32" x14ac:dyDescent="0.2">
      <c r="AF47973" s="679"/>
    </row>
    <row r="47974" spans="32:32" x14ac:dyDescent="0.2">
      <c r="AF47974" s="679"/>
    </row>
    <row r="47975" spans="32:32" x14ac:dyDescent="0.2">
      <c r="AF47975" s="679"/>
    </row>
    <row r="47976" spans="32:32" x14ac:dyDescent="0.2">
      <c r="AF47976" s="679"/>
    </row>
    <row r="47977" spans="32:32" x14ac:dyDescent="0.2">
      <c r="AF47977" s="679"/>
    </row>
    <row r="47978" spans="32:32" x14ac:dyDescent="0.2">
      <c r="AF47978" s="679"/>
    </row>
    <row r="47979" spans="32:32" x14ac:dyDescent="0.2">
      <c r="AF47979" s="679"/>
    </row>
    <row r="47980" spans="32:32" x14ac:dyDescent="0.2">
      <c r="AF47980" s="679"/>
    </row>
    <row r="47981" spans="32:32" x14ac:dyDescent="0.2">
      <c r="AF47981" s="679"/>
    </row>
    <row r="47982" spans="32:32" x14ac:dyDescent="0.2">
      <c r="AF47982" s="679"/>
    </row>
    <row r="47983" spans="32:32" x14ac:dyDescent="0.2">
      <c r="AF47983" s="679"/>
    </row>
    <row r="47984" spans="32:32" x14ac:dyDescent="0.2">
      <c r="AF47984" s="679"/>
    </row>
    <row r="47985" spans="32:32" x14ac:dyDescent="0.2">
      <c r="AF47985" s="679"/>
    </row>
    <row r="47986" spans="32:32" x14ac:dyDescent="0.2">
      <c r="AF47986" s="679"/>
    </row>
    <row r="47987" spans="32:32" x14ac:dyDescent="0.2">
      <c r="AF47987" s="679"/>
    </row>
    <row r="47988" spans="32:32" x14ac:dyDescent="0.2">
      <c r="AF47988" s="679"/>
    </row>
    <row r="47989" spans="32:32" x14ac:dyDescent="0.2">
      <c r="AF47989" s="679"/>
    </row>
    <row r="47990" spans="32:32" x14ac:dyDescent="0.2">
      <c r="AF47990" s="679"/>
    </row>
    <row r="47991" spans="32:32" x14ac:dyDescent="0.2">
      <c r="AF47991" s="679"/>
    </row>
    <row r="47992" spans="32:32" x14ac:dyDescent="0.2">
      <c r="AF47992" s="679"/>
    </row>
    <row r="47993" spans="32:32" x14ac:dyDescent="0.2">
      <c r="AF47993" s="679"/>
    </row>
    <row r="47994" spans="32:32" x14ac:dyDescent="0.2">
      <c r="AF47994" s="679"/>
    </row>
    <row r="47995" spans="32:32" x14ac:dyDescent="0.2">
      <c r="AF47995" s="679"/>
    </row>
    <row r="47996" spans="32:32" x14ac:dyDescent="0.2">
      <c r="AF47996" s="679"/>
    </row>
    <row r="47997" spans="32:32" x14ac:dyDescent="0.2">
      <c r="AF47997" s="679"/>
    </row>
    <row r="47998" spans="32:32" x14ac:dyDescent="0.2">
      <c r="AF47998" s="679"/>
    </row>
    <row r="47999" spans="32:32" x14ac:dyDescent="0.2">
      <c r="AF47999" s="679"/>
    </row>
    <row r="48000" spans="32:32" x14ac:dyDescent="0.2">
      <c r="AF48000" s="679"/>
    </row>
    <row r="48001" spans="32:32" x14ac:dyDescent="0.2">
      <c r="AF48001" s="679"/>
    </row>
    <row r="48002" spans="32:32" x14ac:dyDescent="0.2">
      <c r="AF48002" s="679"/>
    </row>
    <row r="48003" spans="32:32" x14ac:dyDescent="0.2">
      <c r="AF48003" s="679"/>
    </row>
    <row r="48004" spans="32:32" x14ac:dyDescent="0.2">
      <c r="AF48004" s="679"/>
    </row>
    <row r="48005" spans="32:32" x14ac:dyDescent="0.2">
      <c r="AF48005" s="679"/>
    </row>
    <row r="48006" spans="32:32" x14ac:dyDescent="0.2">
      <c r="AF48006" s="679"/>
    </row>
    <row r="48007" spans="32:32" x14ac:dyDescent="0.2">
      <c r="AF48007" s="679"/>
    </row>
    <row r="48008" spans="32:32" x14ac:dyDescent="0.2">
      <c r="AF48008" s="679"/>
    </row>
    <row r="48009" spans="32:32" x14ac:dyDescent="0.2">
      <c r="AF48009" s="679"/>
    </row>
    <row r="48010" spans="32:32" x14ac:dyDescent="0.2">
      <c r="AF48010" s="679"/>
    </row>
    <row r="48011" spans="32:32" x14ac:dyDescent="0.2">
      <c r="AF48011" s="679"/>
    </row>
    <row r="48012" spans="32:32" x14ac:dyDescent="0.2">
      <c r="AF48012" s="679"/>
    </row>
    <row r="48013" spans="32:32" x14ac:dyDescent="0.2">
      <c r="AF48013" s="679"/>
    </row>
    <row r="48014" spans="32:32" x14ac:dyDescent="0.2">
      <c r="AF48014" s="679"/>
    </row>
    <row r="48015" spans="32:32" x14ac:dyDescent="0.2">
      <c r="AF48015" s="679"/>
    </row>
    <row r="48016" spans="32:32" x14ac:dyDescent="0.2">
      <c r="AF48016" s="679"/>
    </row>
    <row r="48017" spans="32:32" x14ac:dyDescent="0.2">
      <c r="AF48017" s="679"/>
    </row>
    <row r="48018" spans="32:32" x14ac:dyDescent="0.2">
      <c r="AF48018" s="679"/>
    </row>
    <row r="48019" spans="32:32" x14ac:dyDescent="0.2">
      <c r="AF48019" s="679"/>
    </row>
    <row r="48020" spans="32:32" x14ac:dyDescent="0.2">
      <c r="AF48020" s="679"/>
    </row>
    <row r="48021" spans="32:32" x14ac:dyDescent="0.2">
      <c r="AF48021" s="679"/>
    </row>
    <row r="48022" spans="32:32" x14ac:dyDescent="0.2">
      <c r="AF48022" s="679"/>
    </row>
    <row r="48023" spans="32:32" x14ac:dyDescent="0.2">
      <c r="AF48023" s="679"/>
    </row>
    <row r="48024" spans="32:32" x14ac:dyDescent="0.2">
      <c r="AF48024" s="679"/>
    </row>
    <row r="48025" spans="32:32" x14ac:dyDescent="0.2">
      <c r="AF48025" s="679"/>
    </row>
    <row r="48026" spans="32:32" x14ac:dyDescent="0.2">
      <c r="AF48026" s="679"/>
    </row>
    <row r="48027" spans="32:32" x14ac:dyDescent="0.2">
      <c r="AF48027" s="679"/>
    </row>
    <row r="48028" spans="32:32" x14ac:dyDescent="0.2">
      <c r="AF48028" s="679"/>
    </row>
    <row r="48029" spans="32:32" x14ac:dyDescent="0.2">
      <c r="AF48029" s="679"/>
    </row>
    <row r="48030" spans="32:32" x14ac:dyDescent="0.2">
      <c r="AF48030" s="679"/>
    </row>
    <row r="48031" spans="32:32" x14ac:dyDescent="0.2">
      <c r="AF48031" s="679"/>
    </row>
    <row r="48032" spans="32:32" x14ac:dyDescent="0.2">
      <c r="AF48032" s="679"/>
    </row>
    <row r="48033" spans="32:32" x14ac:dyDescent="0.2">
      <c r="AF48033" s="679"/>
    </row>
    <row r="48034" spans="32:32" x14ac:dyDescent="0.2">
      <c r="AF48034" s="679"/>
    </row>
    <row r="48035" spans="32:32" x14ac:dyDescent="0.2">
      <c r="AF48035" s="679"/>
    </row>
    <row r="48036" spans="32:32" x14ac:dyDescent="0.2">
      <c r="AF48036" s="679"/>
    </row>
    <row r="48037" spans="32:32" x14ac:dyDescent="0.2">
      <c r="AF48037" s="679"/>
    </row>
    <row r="48038" spans="32:32" x14ac:dyDescent="0.2">
      <c r="AF48038" s="679"/>
    </row>
    <row r="48039" spans="32:32" x14ac:dyDescent="0.2">
      <c r="AF48039" s="679"/>
    </row>
    <row r="48040" spans="32:32" x14ac:dyDescent="0.2">
      <c r="AF48040" s="679"/>
    </row>
    <row r="48041" spans="32:32" x14ac:dyDescent="0.2">
      <c r="AF48041" s="679"/>
    </row>
    <row r="48042" spans="32:32" x14ac:dyDescent="0.2">
      <c r="AF48042" s="679"/>
    </row>
    <row r="48043" spans="32:32" x14ac:dyDescent="0.2">
      <c r="AF48043" s="679"/>
    </row>
    <row r="48044" spans="32:32" x14ac:dyDescent="0.2">
      <c r="AF48044" s="679"/>
    </row>
    <row r="48045" spans="32:32" x14ac:dyDescent="0.2">
      <c r="AF48045" s="679"/>
    </row>
    <row r="48046" spans="32:32" x14ac:dyDescent="0.2">
      <c r="AF48046" s="679"/>
    </row>
    <row r="48047" spans="32:32" x14ac:dyDescent="0.2">
      <c r="AF48047" s="679"/>
    </row>
    <row r="48048" spans="32:32" x14ac:dyDescent="0.2">
      <c r="AF48048" s="679"/>
    </row>
    <row r="48049" spans="32:32" x14ac:dyDescent="0.2">
      <c r="AF48049" s="679"/>
    </row>
    <row r="48050" spans="32:32" x14ac:dyDescent="0.2">
      <c r="AF48050" s="679"/>
    </row>
    <row r="48051" spans="32:32" x14ac:dyDescent="0.2">
      <c r="AF48051" s="679"/>
    </row>
    <row r="48052" spans="32:32" x14ac:dyDescent="0.2">
      <c r="AF48052" s="679"/>
    </row>
    <row r="48053" spans="32:32" x14ac:dyDescent="0.2">
      <c r="AF48053" s="679"/>
    </row>
    <row r="48054" spans="32:32" x14ac:dyDescent="0.2">
      <c r="AF48054" s="679"/>
    </row>
    <row r="48055" spans="32:32" x14ac:dyDescent="0.2">
      <c r="AF48055" s="679"/>
    </row>
    <row r="48056" spans="32:32" x14ac:dyDescent="0.2">
      <c r="AF48056" s="679"/>
    </row>
    <row r="48057" spans="32:32" x14ac:dyDescent="0.2">
      <c r="AF48057" s="679"/>
    </row>
    <row r="48058" spans="32:32" x14ac:dyDescent="0.2">
      <c r="AF48058" s="679"/>
    </row>
    <row r="48059" spans="32:32" x14ac:dyDescent="0.2">
      <c r="AF48059" s="679"/>
    </row>
    <row r="48060" spans="32:32" x14ac:dyDescent="0.2">
      <c r="AF48060" s="679"/>
    </row>
    <row r="48061" spans="32:32" x14ac:dyDescent="0.2">
      <c r="AF48061" s="679"/>
    </row>
    <row r="48062" spans="32:32" x14ac:dyDescent="0.2">
      <c r="AF48062" s="679"/>
    </row>
    <row r="48063" spans="32:32" x14ac:dyDescent="0.2">
      <c r="AF48063" s="679"/>
    </row>
    <row r="48064" spans="32:32" x14ac:dyDescent="0.2">
      <c r="AF48064" s="679"/>
    </row>
    <row r="48065" spans="32:32" x14ac:dyDescent="0.2">
      <c r="AF48065" s="679"/>
    </row>
    <row r="48066" spans="32:32" x14ac:dyDescent="0.2">
      <c r="AF48066" s="679"/>
    </row>
    <row r="48067" spans="32:32" x14ac:dyDescent="0.2">
      <c r="AF48067" s="679"/>
    </row>
    <row r="48068" spans="32:32" x14ac:dyDescent="0.2">
      <c r="AF48068" s="679"/>
    </row>
    <row r="48069" spans="32:32" x14ac:dyDescent="0.2">
      <c r="AF48069" s="679"/>
    </row>
    <row r="48070" spans="32:32" x14ac:dyDescent="0.2">
      <c r="AF48070" s="679"/>
    </row>
    <row r="48071" spans="32:32" x14ac:dyDescent="0.2">
      <c r="AF48071" s="679"/>
    </row>
    <row r="48072" spans="32:32" x14ac:dyDescent="0.2">
      <c r="AF48072" s="679"/>
    </row>
    <row r="48073" spans="32:32" x14ac:dyDescent="0.2">
      <c r="AF48073" s="679"/>
    </row>
    <row r="48074" spans="32:32" x14ac:dyDescent="0.2">
      <c r="AF48074" s="679"/>
    </row>
    <row r="48075" spans="32:32" x14ac:dyDescent="0.2">
      <c r="AF48075" s="679"/>
    </row>
    <row r="48076" spans="32:32" x14ac:dyDescent="0.2">
      <c r="AF48076" s="679"/>
    </row>
    <row r="48077" spans="32:32" x14ac:dyDescent="0.2">
      <c r="AF48077" s="679"/>
    </row>
    <row r="48078" spans="32:32" x14ac:dyDescent="0.2">
      <c r="AF48078" s="679"/>
    </row>
    <row r="48079" spans="32:32" x14ac:dyDescent="0.2">
      <c r="AF48079" s="679"/>
    </row>
    <row r="48080" spans="32:32" x14ac:dyDescent="0.2">
      <c r="AF48080" s="679"/>
    </row>
    <row r="48081" spans="32:32" x14ac:dyDescent="0.2">
      <c r="AF48081" s="679"/>
    </row>
    <row r="48082" spans="32:32" x14ac:dyDescent="0.2">
      <c r="AF48082" s="679"/>
    </row>
    <row r="48083" spans="32:32" x14ac:dyDescent="0.2">
      <c r="AF48083" s="679"/>
    </row>
    <row r="48084" spans="32:32" x14ac:dyDescent="0.2">
      <c r="AF48084" s="679"/>
    </row>
    <row r="48085" spans="32:32" x14ac:dyDescent="0.2">
      <c r="AF48085" s="679"/>
    </row>
    <row r="48086" spans="32:32" x14ac:dyDescent="0.2">
      <c r="AF48086" s="679"/>
    </row>
    <row r="48087" spans="32:32" x14ac:dyDescent="0.2">
      <c r="AF48087" s="679"/>
    </row>
    <row r="48088" spans="32:32" x14ac:dyDescent="0.2">
      <c r="AF48088" s="679"/>
    </row>
    <row r="48089" spans="32:32" x14ac:dyDescent="0.2">
      <c r="AF48089" s="679"/>
    </row>
    <row r="48090" spans="32:32" x14ac:dyDescent="0.2">
      <c r="AF48090" s="679"/>
    </row>
    <row r="48091" spans="32:32" x14ac:dyDescent="0.2">
      <c r="AF48091" s="679"/>
    </row>
    <row r="48092" spans="32:32" x14ac:dyDescent="0.2">
      <c r="AF48092" s="679"/>
    </row>
    <row r="48093" spans="32:32" x14ac:dyDescent="0.2">
      <c r="AF48093" s="679"/>
    </row>
    <row r="48094" spans="32:32" x14ac:dyDescent="0.2">
      <c r="AF48094" s="679"/>
    </row>
    <row r="48095" spans="32:32" x14ac:dyDescent="0.2">
      <c r="AF48095" s="679"/>
    </row>
    <row r="48096" spans="32:32" x14ac:dyDescent="0.2">
      <c r="AF48096" s="679"/>
    </row>
    <row r="48097" spans="32:32" x14ac:dyDescent="0.2">
      <c r="AF48097" s="679"/>
    </row>
    <row r="48098" spans="32:32" x14ac:dyDescent="0.2">
      <c r="AF48098" s="679"/>
    </row>
    <row r="48099" spans="32:32" x14ac:dyDescent="0.2">
      <c r="AF48099" s="679"/>
    </row>
    <row r="48100" spans="32:32" x14ac:dyDescent="0.2">
      <c r="AF48100" s="679"/>
    </row>
    <row r="48101" spans="32:32" x14ac:dyDescent="0.2">
      <c r="AF48101" s="679"/>
    </row>
    <row r="48102" spans="32:32" x14ac:dyDescent="0.2">
      <c r="AF48102" s="679"/>
    </row>
    <row r="48103" spans="32:32" x14ac:dyDescent="0.2">
      <c r="AF48103" s="679"/>
    </row>
    <row r="48104" spans="32:32" x14ac:dyDescent="0.2">
      <c r="AF48104" s="679"/>
    </row>
    <row r="48105" spans="32:32" x14ac:dyDescent="0.2">
      <c r="AF48105" s="679"/>
    </row>
    <row r="48106" spans="32:32" x14ac:dyDescent="0.2">
      <c r="AF48106" s="679"/>
    </row>
    <row r="48107" spans="32:32" x14ac:dyDescent="0.2">
      <c r="AF48107" s="679"/>
    </row>
    <row r="48108" spans="32:32" x14ac:dyDescent="0.2">
      <c r="AF48108" s="679"/>
    </row>
    <row r="48109" spans="32:32" x14ac:dyDescent="0.2">
      <c r="AF48109" s="679"/>
    </row>
    <row r="48110" spans="32:32" x14ac:dyDescent="0.2">
      <c r="AF48110" s="679"/>
    </row>
    <row r="48111" spans="32:32" x14ac:dyDescent="0.2">
      <c r="AF48111" s="679"/>
    </row>
    <row r="48112" spans="32:32" x14ac:dyDescent="0.2">
      <c r="AF48112" s="679"/>
    </row>
    <row r="48113" spans="32:32" x14ac:dyDescent="0.2">
      <c r="AF48113" s="679"/>
    </row>
    <row r="48114" spans="32:32" x14ac:dyDescent="0.2">
      <c r="AF48114" s="679"/>
    </row>
    <row r="48115" spans="32:32" x14ac:dyDescent="0.2">
      <c r="AF48115" s="679"/>
    </row>
    <row r="48116" spans="32:32" x14ac:dyDescent="0.2">
      <c r="AF48116" s="679"/>
    </row>
    <row r="48117" spans="32:32" x14ac:dyDescent="0.2">
      <c r="AF48117" s="679"/>
    </row>
    <row r="48118" spans="32:32" x14ac:dyDescent="0.2">
      <c r="AF48118" s="679"/>
    </row>
    <row r="48119" spans="32:32" x14ac:dyDescent="0.2">
      <c r="AF48119" s="679"/>
    </row>
    <row r="48120" spans="32:32" x14ac:dyDescent="0.2">
      <c r="AF48120" s="679"/>
    </row>
    <row r="48121" spans="32:32" x14ac:dyDescent="0.2">
      <c r="AF48121" s="679"/>
    </row>
    <row r="48122" spans="32:32" x14ac:dyDescent="0.2">
      <c r="AF48122" s="679"/>
    </row>
    <row r="48123" spans="32:32" x14ac:dyDescent="0.2">
      <c r="AF48123" s="679"/>
    </row>
    <row r="48124" spans="32:32" x14ac:dyDescent="0.2">
      <c r="AF48124" s="679"/>
    </row>
    <row r="48125" spans="32:32" x14ac:dyDescent="0.2">
      <c r="AF48125" s="679"/>
    </row>
    <row r="48126" spans="32:32" x14ac:dyDescent="0.2">
      <c r="AF48126" s="679"/>
    </row>
    <row r="48127" spans="32:32" x14ac:dyDescent="0.2">
      <c r="AF48127" s="679"/>
    </row>
    <row r="48128" spans="32:32" x14ac:dyDescent="0.2">
      <c r="AF48128" s="679"/>
    </row>
    <row r="48129" spans="32:32" x14ac:dyDescent="0.2">
      <c r="AF48129" s="679"/>
    </row>
    <row r="48130" spans="32:32" x14ac:dyDescent="0.2">
      <c r="AF48130" s="679"/>
    </row>
    <row r="48131" spans="32:32" x14ac:dyDescent="0.2">
      <c r="AF48131" s="679"/>
    </row>
    <row r="48132" spans="32:32" x14ac:dyDescent="0.2">
      <c r="AF48132" s="679"/>
    </row>
    <row r="48133" spans="32:32" x14ac:dyDescent="0.2">
      <c r="AF48133" s="679"/>
    </row>
    <row r="48134" spans="32:32" x14ac:dyDescent="0.2">
      <c r="AF48134" s="679"/>
    </row>
    <row r="48135" spans="32:32" x14ac:dyDescent="0.2">
      <c r="AF48135" s="679"/>
    </row>
    <row r="48136" spans="32:32" x14ac:dyDescent="0.2">
      <c r="AF48136" s="679"/>
    </row>
    <row r="48137" spans="32:32" x14ac:dyDescent="0.2">
      <c r="AF48137" s="679"/>
    </row>
    <row r="48138" spans="32:32" x14ac:dyDescent="0.2">
      <c r="AF48138" s="679"/>
    </row>
    <row r="48139" spans="32:32" x14ac:dyDescent="0.2">
      <c r="AF48139" s="679"/>
    </row>
    <row r="48140" spans="32:32" x14ac:dyDescent="0.2">
      <c r="AF48140" s="679"/>
    </row>
    <row r="48141" spans="32:32" x14ac:dyDescent="0.2">
      <c r="AF48141" s="679"/>
    </row>
    <row r="48142" spans="32:32" x14ac:dyDescent="0.2">
      <c r="AF48142" s="679"/>
    </row>
    <row r="48143" spans="32:32" x14ac:dyDescent="0.2">
      <c r="AF48143" s="679"/>
    </row>
    <row r="48144" spans="32:32" x14ac:dyDescent="0.2">
      <c r="AF48144" s="679"/>
    </row>
    <row r="48145" spans="32:32" x14ac:dyDescent="0.2">
      <c r="AF48145" s="679"/>
    </row>
    <row r="48146" spans="32:32" x14ac:dyDescent="0.2">
      <c r="AF48146" s="679"/>
    </row>
    <row r="48147" spans="32:32" x14ac:dyDescent="0.2">
      <c r="AF48147" s="679"/>
    </row>
    <row r="48148" spans="32:32" x14ac:dyDescent="0.2">
      <c r="AF48148" s="679"/>
    </row>
    <row r="48149" spans="32:32" x14ac:dyDescent="0.2">
      <c r="AF48149" s="679"/>
    </row>
    <row r="48150" spans="32:32" x14ac:dyDescent="0.2">
      <c r="AF48150" s="679"/>
    </row>
    <row r="48151" spans="32:32" x14ac:dyDescent="0.2">
      <c r="AF48151" s="679"/>
    </row>
    <row r="48152" spans="32:32" x14ac:dyDescent="0.2">
      <c r="AF48152" s="679"/>
    </row>
    <row r="48153" spans="32:32" x14ac:dyDescent="0.2">
      <c r="AF48153" s="679"/>
    </row>
    <row r="48154" spans="32:32" x14ac:dyDescent="0.2">
      <c r="AF48154" s="679"/>
    </row>
    <row r="48155" spans="32:32" x14ac:dyDescent="0.2">
      <c r="AF48155" s="679"/>
    </row>
    <row r="48156" spans="32:32" x14ac:dyDescent="0.2">
      <c r="AF48156" s="679"/>
    </row>
    <row r="48157" spans="32:32" x14ac:dyDescent="0.2">
      <c r="AF48157" s="679"/>
    </row>
    <row r="48158" spans="32:32" x14ac:dyDescent="0.2">
      <c r="AF48158" s="679"/>
    </row>
    <row r="48159" spans="32:32" x14ac:dyDescent="0.2">
      <c r="AF48159" s="679"/>
    </row>
    <row r="48160" spans="32:32" x14ac:dyDescent="0.2">
      <c r="AF48160" s="679"/>
    </row>
    <row r="48161" spans="32:32" x14ac:dyDescent="0.2">
      <c r="AF48161" s="679"/>
    </row>
    <row r="48162" spans="32:32" x14ac:dyDescent="0.2">
      <c r="AF48162" s="679"/>
    </row>
    <row r="48163" spans="32:32" x14ac:dyDescent="0.2">
      <c r="AF48163" s="679"/>
    </row>
    <row r="48164" spans="32:32" x14ac:dyDescent="0.2">
      <c r="AF48164" s="679"/>
    </row>
    <row r="48165" spans="32:32" x14ac:dyDescent="0.2">
      <c r="AF48165" s="679"/>
    </row>
    <row r="48166" spans="32:32" x14ac:dyDescent="0.2">
      <c r="AF48166" s="679"/>
    </row>
    <row r="48167" spans="32:32" x14ac:dyDescent="0.2">
      <c r="AF48167" s="679"/>
    </row>
    <row r="48168" spans="32:32" x14ac:dyDescent="0.2">
      <c r="AF48168" s="679"/>
    </row>
    <row r="48169" spans="32:32" x14ac:dyDescent="0.2">
      <c r="AF48169" s="679"/>
    </row>
    <row r="48170" spans="32:32" x14ac:dyDescent="0.2">
      <c r="AF48170" s="679"/>
    </row>
    <row r="48171" spans="32:32" x14ac:dyDescent="0.2">
      <c r="AF48171" s="679"/>
    </row>
    <row r="48172" spans="32:32" x14ac:dyDescent="0.2">
      <c r="AF48172" s="679"/>
    </row>
    <row r="48173" spans="32:32" x14ac:dyDescent="0.2">
      <c r="AF48173" s="679"/>
    </row>
    <row r="48174" spans="32:32" x14ac:dyDescent="0.2">
      <c r="AF48174" s="679"/>
    </row>
    <row r="48175" spans="32:32" x14ac:dyDescent="0.2">
      <c r="AF48175" s="679"/>
    </row>
    <row r="48176" spans="32:32" x14ac:dyDescent="0.2">
      <c r="AF48176" s="679"/>
    </row>
    <row r="48177" spans="32:32" x14ac:dyDescent="0.2">
      <c r="AF48177" s="679"/>
    </row>
    <row r="48178" spans="32:32" x14ac:dyDescent="0.2">
      <c r="AF48178" s="679"/>
    </row>
    <row r="48179" spans="32:32" x14ac:dyDescent="0.2">
      <c r="AF48179" s="679"/>
    </row>
    <row r="48180" spans="32:32" x14ac:dyDescent="0.2">
      <c r="AF48180" s="679"/>
    </row>
    <row r="48181" spans="32:32" x14ac:dyDescent="0.2">
      <c r="AF48181" s="679"/>
    </row>
    <row r="48182" spans="32:32" x14ac:dyDescent="0.2">
      <c r="AF48182" s="679"/>
    </row>
    <row r="48183" spans="32:32" x14ac:dyDescent="0.2">
      <c r="AF48183" s="679"/>
    </row>
    <row r="48184" spans="32:32" x14ac:dyDescent="0.2">
      <c r="AF48184" s="679"/>
    </row>
    <row r="48185" spans="32:32" x14ac:dyDescent="0.2">
      <c r="AF48185" s="679"/>
    </row>
    <row r="48186" spans="32:32" x14ac:dyDescent="0.2">
      <c r="AF48186" s="679"/>
    </row>
    <row r="48187" spans="32:32" x14ac:dyDescent="0.2">
      <c r="AF48187" s="679"/>
    </row>
    <row r="48188" spans="32:32" x14ac:dyDescent="0.2">
      <c r="AF48188" s="679"/>
    </row>
    <row r="48189" spans="32:32" x14ac:dyDescent="0.2">
      <c r="AF48189" s="679"/>
    </row>
    <row r="48190" spans="32:32" x14ac:dyDescent="0.2">
      <c r="AF48190" s="679"/>
    </row>
    <row r="48191" spans="32:32" x14ac:dyDescent="0.2">
      <c r="AF48191" s="679"/>
    </row>
    <row r="48192" spans="32:32" x14ac:dyDescent="0.2">
      <c r="AF48192" s="679"/>
    </row>
    <row r="48193" spans="32:32" x14ac:dyDescent="0.2">
      <c r="AF48193" s="679"/>
    </row>
    <row r="48194" spans="32:32" x14ac:dyDescent="0.2">
      <c r="AF48194" s="679"/>
    </row>
    <row r="48195" spans="32:32" x14ac:dyDescent="0.2">
      <c r="AF48195" s="679"/>
    </row>
    <row r="48196" spans="32:32" x14ac:dyDescent="0.2">
      <c r="AF48196" s="679"/>
    </row>
    <row r="48197" spans="32:32" x14ac:dyDescent="0.2">
      <c r="AF48197" s="679"/>
    </row>
    <row r="48198" spans="32:32" x14ac:dyDescent="0.2">
      <c r="AF48198" s="679"/>
    </row>
    <row r="48199" spans="32:32" x14ac:dyDescent="0.2">
      <c r="AF48199" s="679"/>
    </row>
    <row r="48200" spans="32:32" x14ac:dyDescent="0.2">
      <c r="AF48200" s="679"/>
    </row>
    <row r="48201" spans="32:32" x14ac:dyDescent="0.2">
      <c r="AF48201" s="679"/>
    </row>
    <row r="48202" spans="32:32" x14ac:dyDescent="0.2">
      <c r="AF48202" s="679"/>
    </row>
    <row r="48203" spans="32:32" x14ac:dyDescent="0.2">
      <c r="AF48203" s="679"/>
    </row>
    <row r="48204" spans="32:32" x14ac:dyDescent="0.2">
      <c r="AF48204" s="679"/>
    </row>
    <row r="48205" spans="32:32" x14ac:dyDescent="0.2">
      <c r="AF48205" s="679"/>
    </row>
    <row r="48206" spans="32:32" x14ac:dyDescent="0.2">
      <c r="AF48206" s="679"/>
    </row>
    <row r="48207" spans="32:32" x14ac:dyDescent="0.2">
      <c r="AF48207" s="679"/>
    </row>
    <row r="48208" spans="32:32" x14ac:dyDescent="0.2">
      <c r="AF48208" s="679"/>
    </row>
    <row r="48209" spans="32:32" x14ac:dyDescent="0.2">
      <c r="AF48209" s="679"/>
    </row>
    <row r="48210" spans="32:32" x14ac:dyDescent="0.2">
      <c r="AF48210" s="679"/>
    </row>
    <row r="48211" spans="32:32" x14ac:dyDescent="0.2">
      <c r="AF48211" s="679"/>
    </row>
    <row r="48212" spans="32:32" x14ac:dyDescent="0.2">
      <c r="AF48212" s="679"/>
    </row>
    <row r="48213" spans="32:32" x14ac:dyDescent="0.2">
      <c r="AF48213" s="679"/>
    </row>
    <row r="48214" spans="32:32" x14ac:dyDescent="0.2">
      <c r="AF48214" s="679"/>
    </row>
    <row r="48215" spans="32:32" x14ac:dyDescent="0.2">
      <c r="AF48215" s="679"/>
    </row>
    <row r="48216" spans="32:32" x14ac:dyDescent="0.2">
      <c r="AF48216" s="679"/>
    </row>
    <row r="48217" spans="32:32" x14ac:dyDescent="0.2">
      <c r="AF48217" s="679"/>
    </row>
    <row r="48218" spans="32:32" x14ac:dyDescent="0.2">
      <c r="AF48218" s="679"/>
    </row>
    <row r="48219" spans="32:32" x14ac:dyDescent="0.2">
      <c r="AF48219" s="679"/>
    </row>
    <row r="48220" spans="32:32" x14ac:dyDescent="0.2">
      <c r="AF48220" s="679"/>
    </row>
    <row r="48221" spans="32:32" x14ac:dyDescent="0.2">
      <c r="AF48221" s="679"/>
    </row>
    <row r="48222" spans="32:32" x14ac:dyDescent="0.2">
      <c r="AF48222" s="679"/>
    </row>
    <row r="48223" spans="32:32" x14ac:dyDescent="0.2">
      <c r="AF48223" s="679"/>
    </row>
    <row r="48224" spans="32:32" x14ac:dyDescent="0.2">
      <c r="AF48224" s="679"/>
    </row>
    <row r="48225" spans="32:32" x14ac:dyDescent="0.2">
      <c r="AF48225" s="679"/>
    </row>
    <row r="48226" spans="32:32" x14ac:dyDescent="0.2">
      <c r="AF48226" s="679"/>
    </row>
    <row r="48227" spans="32:32" x14ac:dyDescent="0.2">
      <c r="AF48227" s="679"/>
    </row>
    <row r="48228" spans="32:32" x14ac:dyDescent="0.2">
      <c r="AF48228" s="679"/>
    </row>
    <row r="48229" spans="32:32" x14ac:dyDescent="0.2">
      <c r="AF48229" s="679"/>
    </row>
    <row r="48230" spans="32:32" x14ac:dyDescent="0.2">
      <c r="AF48230" s="679"/>
    </row>
    <row r="48231" spans="32:32" x14ac:dyDescent="0.2">
      <c r="AF48231" s="679"/>
    </row>
    <row r="48232" spans="32:32" x14ac:dyDescent="0.2">
      <c r="AF48232" s="679"/>
    </row>
    <row r="48233" spans="32:32" x14ac:dyDescent="0.2">
      <c r="AF48233" s="679"/>
    </row>
    <row r="48234" spans="32:32" x14ac:dyDescent="0.2">
      <c r="AF48234" s="679"/>
    </row>
    <row r="48235" spans="32:32" x14ac:dyDescent="0.2">
      <c r="AF48235" s="679"/>
    </row>
    <row r="48236" spans="32:32" x14ac:dyDescent="0.2">
      <c r="AF48236" s="679"/>
    </row>
    <row r="48237" spans="32:32" x14ac:dyDescent="0.2">
      <c r="AF48237" s="679"/>
    </row>
    <row r="48238" spans="32:32" x14ac:dyDescent="0.2">
      <c r="AF48238" s="679"/>
    </row>
    <row r="48239" spans="32:32" x14ac:dyDescent="0.2">
      <c r="AF48239" s="679"/>
    </row>
    <row r="48240" spans="32:32" x14ac:dyDescent="0.2">
      <c r="AF48240" s="679"/>
    </row>
    <row r="48241" spans="32:32" x14ac:dyDescent="0.2">
      <c r="AF48241" s="679"/>
    </row>
    <row r="48242" spans="32:32" x14ac:dyDescent="0.2">
      <c r="AF48242" s="679"/>
    </row>
    <row r="48243" spans="32:32" x14ac:dyDescent="0.2">
      <c r="AF48243" s="679"/>
    </row>
    <row r="48244" spans="32:32" x14ac:dyDescent="0.2">
      <c r="AF48244" s="679"/>
    </row>
    <row r="48245" spans="32:32" x14ac:dyDescent="0.2">
      <c r="AF48245" s="679"/>
    </row>
    <row r="48246" spans="32:32" x14ac:dyDescent="0.2">
      <c r="AF48246" s="679"/>
    </row>
    <row r="48247" spans="32:32" x14ac:dyDescent="0.2">
      <c r="AF48247" s="679"/>
    </row>
    <row r="48248" spans="32:32" x14ac:dyDescent="0.2">
      <c r="AF48248" s="679"/>
    </row>
    <row r="48249" spans="32:32" x14ac:dyDescent="0.2">
      <c r="AF48249" s="679"/>
    </row>
    <row r="48250" spans="32:32" x14ac:dyDescent="0.2">
      <c r="AF48250" s="679"/>
    </row>
    <row r="48251" spans="32:32" x14ac:dyDescent="0.2">
      <c r="AF48251" s="679"/>
    </row>
    <row r="48252" spans="32:32" x14ac:dyDescent="0.2">
      <c r="AF48252" s="679"/>
    </row>
    <row r="48253" spans="32:32" x14ac:dyDescent="0.2">
      <c r="AF48253" s="679"/>
    </row>
    <row r="48254" spans="32:32" x14ac:dyDescent="0.2">
      <c r="AF48254" s="679"/>
    </row>
    <row r="48255" spans="32:32" x14ac:dyDescent="0.2">
      <c r="AF48255" s="679"/>
    </row>
    <row r="48256" spans="32:32" x14ac:dyDescent="0.2">
      <c r="AF48256" s="679"/>
    </row>
    <row r="48257" spans="32:32" x14ac:dyDescent="0.2">
      <c r="AF48257" s="679"/>
    </row>
    <row r="48258" spans="32:32" x14ac:dyDescent="0.2">
      <c r="AF48258" s="679"/>
    </row>
    <row r="48259" spans="32:32" x14ac:dyDescent="0.2">
      <c r="AF48259" s="679"/>
    </row>
    <row r="48260" spans="32:32" x14ac:dyDescent="0.2">
      <c r="AF48260" s="679"/>
    </row>
    <row r="48261" spans="32:32" x14ac:dyDescent="0.2">
      <c r="AF48261" s="679"/>
    </row>
    <row r="48262" spans="32:32" x14ac:dyDescent="0.2">
      <c r="AF48262" s="679"/>
    </row>
    <row r="48263" spans="32:32" x14ac:dyDescent="0.2">
      <c r="AF48263" s="679"/>
    </row>
    <row r="48264" spans="32:32" x14ac:dyDescent="0.2">
      <c r="AF48264" s="679"/>
    </row>
    <row r="48265" spans="32:32" x14ac:dyDescent="0.2">
      <c r="AF48265" s="679"/>
    </row>
    <row r="48266" spans="32:32" x14ac:dyDescent="0.2">
      <c r="AF48266" s="679"/>
    </row>
    <row r="48267" spans="32:32" x14ac:dyDescent="0.2">
      <c r="AF48267" s="679"/>
    </row>
    <row r="48268" spans="32:32" x14ac:dyDescent="0.2">
      <c r="AF48268" s="679"/>
    </row>
    <row r="48269" spans="32:32" x14ac:dyDescent="0.2">
      <c r="AF48269" s="679"/>
    </row>
    <row r="48270" spans="32:32" x14ac:dyDescent="0.2">
      <c r="AF48270" s="679"/>
    </row>
    <row r="48271" spans="32:32" x14ac:dyDescent="0.2">
      <c r="AF48271" s="679"/>
    </row>
    <row r="48272" spans="32:32" x14ac:dyDescent="0.2">
      <c r="AF48272" s="679"/>
    </row>
    <row r="48273" spans="32:32" x14ac:dyDescent="0.2">
      <c r="AF48273" s="679"/>
    </row>
    <row r="48274" spans="32:32" x14ac:dyDescent="0.2">
      <c r="AF48274" s="679"/>
    </row>
    <row r="48275" spans="32:32" x14ac:dyDescent="0.2">
      <c r="AF48275" s="679"/>
    </row>
    <row r="48276" spans="32:32" x14ac:dyDescent="0.2">
      <c r="AF48276" s="679"/>
    </row>
    <row r="48277" spans="32:32" x14ac:dyDescent="0.2">
      <c r="AF48277" s="679"/>
    </row>
    <row r="48278" spans="32:32" x14ac:dyDescent="0.2">
      <c r="AF48278" s="679"/>
    </row>
    <row r="48279" spans="32:32" x14ac:dyDescent="0.2">
      <c r="AF48279" s="679"/>
    </row>
    <row r="48280" spans="32:32" x14ac:dyDescent="0.2">
      <c r="AF48280" s="679"/>
    </row>
    <row r="48281" spans="32:32" x14ac:dyDescent="0.2">
      <c r="AF48281" s="679"/>
    </row>
    <row r="48282" spans="32:32" x14ac:dyDescent="0.2">
      <c r="AF48282" s="679"/>
    </row>
    <row r="48283" spans="32:32" x14ac:dyDescent="0.2">
      <c r="AF48283" s="679"/>
    </row>
    <row r="48284" spans="32:32" x14ac:dyDescent="0.2">
      <c r="AF48284" s="679"/>
    </row>
    <row r="48285" spans="32:32" x14ac:dyDescent="0.2">
      <c r="AF48285" s="679"/>
    </row>
    <row r="48286" spans="32:32" x14ac:dyDescent="0.2">
      <c r="AF48286" s="679"/>
    </row>
    <row r="48287" spans="32:32" x14ac:dyDescent="0.2">
      <c r="AF48287" s="679"/>
    </row>
    <row r="48288" spans="32:32" x14ac:dyDescent="0.2">
      <c r="AF48288" s="679"/>
    </row>
    <row r="48289" spans="32:32" x14ac:dyDescent="0.2">
      <c r="AF48289" s="679"/>
    </row>
    <row r="48290" spans="32:32" x14ac:dyDescent="0.2">
      <c r="AF48290" s="679"/>
    </row>
    <row r="48291" spans="32:32" x14ac:dyDescent="0.2">
      <c r="AF48291" s="679"/>
    </row>
    <row r="48292" spans="32:32" x14ac:dyDescent="0.2">
      <c r="AF48292" s="679"/>
    </row>
    <row r="48293" spans="32:32" x14ac:dyDescent="0.2">
      <c r="AF48293" s="679"/>
    </row>
    <row r="48294" spans="32:32" x14ac:dyDescent="0.2">
      <c r="AF48294" s="679"/>
    </row>
    <row r="48295" spans="32:32" x14ac:dyDescent="0.2">
      <c r="AF48295" s="679"/>
    </row>
    <row r="48296" spans="32:32" x14ac:dyDescent="0.2">
      <c r="AF48296" s="679"/>
    </row>
    <row r="48297" spans="32:32" x14ac:dyDescent="0.2">
      <c r="AF48297" s="679"/>
    </row>
    <row r="48298" spans="32:32" x14ac:dyDescent="0.2">
      <c r="AF48298" s="679"/>
    </row>
    <row r="48299" spans="32:32" x14ac:dyDescent="0.2">
      <c r="AF48299" s="679"/>
    </row>
    <row r="48300" spans="32:32" x14ac:dyDescent="0.2">
      <c r="AF48300" s="679"/>
    </row>
    <row r="48301" spans="32:32" x14ac:dyDescent="0.2">
      <c r="AF48301" s="679"/>
    </row>
    <row r="48302" spans="32:32" x14ac:dyDescent="0.2">
      <c r="AF48302" s="679"/>
    </row>
    <row r="48303" spans="32:32" x14ac:dyDescent="0.2">
      <c r="AF48303" s="679"/>
    </row>
    <row r="48304" spans="32:32" x14ac:dyDescent="0.2">
      <c r="AF48304" s="679"/>
    </row>
    <row r="48305" spans="32:32" x14ac:dyDescent="0.2">
      <c r="AF48305" s="679"/>
    </row>
    <row r="48306" spans="32:32" x14ac:dyDescent="0.2">
      <c r="AF48306" s="679"/>
    </row>
    <row r="48307" spans="32:32" x14ac:dyDescent="0.2">
      <c r="AF48307" s="679"/>
    </row>
    <row r="48308" spans="32:32" x14ac:dyDescent="0.2">
      <c r="AF48308" s="679"/>
    </row>
    <row r="48309" spans="32:32" x14ac:dyDescent="0.2">
      <c r="AF48309" s="679"/>
    </row>
    <row r="48310" spans="32:32" x14ac:dyDescent="0.2">
      <c r="AF48310" s="679"/>
    </row>
    <row r="48311" spans="32:32" x14ac:dyDescent="0.2">
      <c r="AF48311" s="679"/>
    </row>
    <row r="48312" spans="32:32" x14ac:dyDescent="0.2">
      <c r="AF48312" s="679"/>
    </row>
    <row r="48313" spans="32:32" x14ac:dyDescent="0.2">
      <c r="AF48313" s="679"/>
    </row>
    <row r="48314" spans="32:32" x14ac:dyDescent="0.2">
      <c r="AF48314" s="679"/>
    </row>
    <row r="48315" spans="32:32" x14ac:dyDescent="0.2">
      <c r="AF48315" s="679"/>
    </row>
    <row r="48316" spans="32:32" x14ac:dyDescent="0.2">
      <c r="AF48316" s="679"/>
    </row>
    <row r="48317" spans="32:32" x14ac:dyDescent="0.2">
      <c r="AF48317" s="679"/>
    </row>
    <row r="48318" spans="32:32" x14ac:dyDescent="0.2">
      <c r="AF48318" s="679"/>
    </row>
    <row r="48319" spans="32:32" x14ac:dyDescent="0.2">
      <c r="AF48319" s="679"/>
    </row>
    <row r="48320" spans="32:32" x14ac:dyDescent="0.2">
      <c r="AF48320" s="679"/>
    </row>
    <row r="48321" spans="32:32" x14ac:dyDescent="0.2">
      <c r="AF48321" s="679"/>
    </row>
    <row r="48322" spans="32:32" x14ac:dyDescent="0.2">
      <c r="AF48322" s="679"/>
    </row>
    <row r="48323" spans="32:32" x14ac:dyDescent="0.2">
      <c r="AF48323" s="679"/>
    </row>
    <row r="48324" spans="32:32" x14ac:dyDescent="0.2">
      <c r="AF48324" s="679"/>
    </row>
    <row r="48325" spans="32:32" x14ac:dyDescent="0.2">
      <c r="AF48325" s="679"/>
    </row>
    <row r="48326" spans="32:32" x14ac:dyDescent="0.2">
      <c r="AF48326" s="679"/>
    </row>
    <row r="48327" spans="32:32" x14ac:dyDescent="0.2">
      <c r="AF48327" s="679"/>
    </row>
    <row r="48328" spans="32:32" x14ac:dyDescent="0.2">
      <c r="AF48328" s="679"/>
    </row>
    <row r="48329" spans="32:32" x14ac:dyDescent="0.2">
      <c r="AF48329" s="679"/>
    </row>
    <row r="48330" spans="32:32" x14ac:dyDescent="0.2">
      <c r="AF48330" s="679"/>
    </row>
    <row r="48331" spans="32:32" x14ac:dyDescent="0.2">
      <c r="AF48331" s="679"/>
    </row>
    <row r="48332" spans="32:32" x14ac:dyDescent="0.2">
      <c r="AF48332" s="679"/>
    </row>
    <row r="48333" spans="32:32" x14ac:dyDescent="0.2">
      <c r="AF48333" s="679"/>
    </row>
    <row r="48334" spans="32:32" x14ac:dyDescent="0.2">
      <c r="AF48334" s="679"/>
    </row>
    <row r="48335" spans="32:32" x14ac:dyDescent="0.2">
      <c r="AF48335" s="679"/>
    </row>
    <row r="48336" spans="32:32" x14ac:dyDescent="0.2">
      <c r="AF48336" s="679"/>
    </row>
    <row r="48337" spans="32:32" x14ac:dyDescent="0.2">
      <c r="AF48337" s="679"/>
    </row>
    <row r="48338" spans="32:32" x14ac:dyDescent="0.2">
      <c r="AF48338" s="679"/>
    </row>
    <row r="48339" spans="32:32" x14ac:dyDescent="0.2">
      <c r="AF48339" s="679"/>
    </row>
    <row r="48340" spans="32:32" x14ac:dyDescent="0.2">
      <c r="AF48340" s="679"/>
    </row>
    <row r="48341" spans="32:32" x14ac:dyDescent="0.2">
      <c r="AF48341" s="679"/>
    </row>
    <row r="48342" spans="32:32" x14ac:dyDescent="0.2">
      <c r="AF48342" s="679"/>
    </row>
    <row r="48343" spans="32:32" x14ac:dyDescent="0.2">
      <c r="AF48343" s="679"/>
    </row>
    <row r="48344" spans="32:32" x14ac:dyDescent="0.2">
      <c r="AF48344" s="679"/>
    </row>
    <row r="48345" spans="32:32" x14ac:dyDescent="0.2">
      <c r="AF48345" s="679"/>
    </row>
    <row r="48346" spans="32:32" x14ac:dyDescent="0.2">
      <c r="AF48346" s="679"/>
    </row>
    <row r="48347" spans="32:32" x14ac:dyDescent="0.2">
      <c r="AF48347" s="679"/>
    </row>
    <row r="48348" spans="32:32" x14ac:dyDescent="0.2">
      <c r="AF48348" s="679"/>
    </row>
    <row r="48349" spans="32:32" x14ac:dyDescent="0.2">
      <c r="AF48349" s="679"/>
    </row>
    <row r="48350" spans="32:32" x14ac:dyDescent="0.2">
      <c r="AF48350" s="679"/>
    </row>
    <row r="48351" spans="32:32" x14ac:dyDescent="0.2">
      <c r="AF48351" s="679"/>
    </row>
    <row r="48352" spans="32:32" x14ac:dyDescent="0.2">
      <c r="AF48352" s="679"/>
    </row>
    <row r="48353" spans="32:32" x14ac:dyDescent="0.2">
      <c r="AF48353" s="679"/>
    </row>
    <row r="48354" spans="32:32" x14ac:dyDescent="0.2">
      <c r="AF48354" s="679"/>
    </row>
    <row r="48355" spans="32:32" x14ac:dyDescent="0.2">
      <c r="AF48355" s="679"/>
    </row>
    <row r="48356" spans="32:32" x14ac:dyDescent="0.2">
      <c r="AF48356" s="679"/>
    </row>
    <row r="48357" spans="32:32" x14ac:dyDescent="0.2">
      <c r="AF48357" s="679"/>
    </row>
    <row r="48358" spans="32:32" x14ac:dyDescent="0.2">
      <c r="AF48358" s="679"/>
    </row>
    <row r="48359" spans="32:32" x14ac:dyDescent="0.2">
      <c r="AF48359" s="679"/>
    </row>
    <row r="48360" spans="32:32" x14ac:dyDescent="0.2">
      <c r="AF48360" s="679"/>
    </row>
    <row r="48361" spans="32:32" x14ac:dyDescent="0.2">
      <c r="AF48361" s="679"/>
    </row>
    <row r="48362" spans="32:32" x14ac:dyDescent="0.2">
      <c r="AF48362" s="679"/>
    </row>
    <row r="48363" spans="32:32" x14ac:dyDescent="0.2">
      <c r="AF48363" s="679"/>
    </row>
    <row r="48364" spans="32:32" x14ac:dyDescent="0.2">
      <c r="AF48364" s="679"/>
    </row>
    <row r="48365" spans="32:32" x14ac:dyDescent="0.2">
      <c r="AF48365" s="679"/>
    </row>
    <row r="48366" spans="32:32" x14ac:dyDescent="0.2">
      <c r="AF48366" s="679"/>
    </row>
    <row r="48367" spans="32:32" x14ac:dyDescent="0.2">
      <c r="AF48367" s="679"/>
    </row>
    <row r="48368" spans="32:32" x14ac:dyDescent="0.2">
      <c r="AF48368" s="679"/>
    </row>
    <row r="48369" spans="32:32" x14ac:dyDescent="0.2">
      <c r="AF48369" s="679"/>
    </row>
    <row r="48370" spans="32:32" x14ac:dyDescent="0.2">
      <c r="AF48370" s="679"/>
    </row>
    <row r="48371" spans="32:32" x14ac:dyDescent="0.2">
      <c r="AF48371" s="679"/>
    </row>
    <row r="48372" spans="32:32" x14ac:dyDescent="0.2">
      <c r="AF48372" s="679"/>
    </row>
    <row r="48373" spans="32:32" x14ac:dyDescent="0.2">
      <c r="AF48373" s="679"/>
    </row>
    <row r="48374" spans="32:32" x14ac:dyDescent="0.2">
      <c r="AF48374" s="679"/>
    </row>
    <row r="48375" spans="32:32" x14ac:dyDescent="0.2">
      <c r="AF48375" s="679"/>
    </row>
    <row r="48376" spans="32:32" x14ac:dyDescent="0.2">
      <c r="AF48376" s="679"/>
    </row>
    <row r="48377" spans="32:32" x14ac:dyDescent="0.2">
      <c r="AF48377" s="679"/>
    </row>
    <row r="48378" spans="32:32" x14ac:dyDescent="0.2">
      <c r="AF48378" s="679"/>
    </row>
    <row r="48379" spans="32:32" x14ac:dyDescent="0.2">
      <c r="AF48379" s="679"/>
    </row>
    <row r="48380" spans="32:32" x14ac:dyDescent="0.2">
      <c r="AF48380" s="679"/>
    </row>
    <row r="48381" spans="32:32" x14ac:dyDescent="0.2">
      <c r="AF48381" s="679"/>
    </row>
    <row r="48382" spans="32:32" x14ac:dyDescent="0.2">
      <c r="AF48382" s="679"/>
    </row>
    <row r="48383" spans="32:32" x14ac:dyDescent="0.2">
      <c r="AF48383" s="679"/>
    </row>
    <row r="48384" spans="32:32" x14ac:dyDescent="0.2">
      <c r="AF48384" s="679"/>
    </row>
    <row r="48385" spans="32:32" x14ac:dyDescent="0.2">
      <c r="AF48385" s="679"/>
    </row>
    <row r="48386" spans="32:32" x14ac:dyDescent="0.2">
      <c r="AF48386" s="679"/>
    </row>
    <row r="48387" spans="32:32" x14ac:dyDescent="0.2">
      <c r="AF48387" s="679"/>
    </row>
    <row r="48388" spans="32:32" x14ac:dyDescent="0.2">
      <c r="AF48388" s="679"/>
    </row>
    <row r="48389" spans="32:32" x14ac:dyDescent="0.2">
      <c r="AF48389" s="679"/>
    </row>
    <row r="48390" spans="32:32" x14ac:dyDescent="0.2">
      <c r="AF48390" s="679"/>
    </row>
    <row r="48391" spans="32:32" x14ac:dyDescent="0.2">
      <c r="AF48391" s="679"/>
    </row>
    <row r="48392" spans="32:32" x14ac:dyDescent="0.2">
      <c r="AF48392" s="679"/>
    </row>
    <row r="48393" spans="32:32" x14ac:dyDescent="0.2">
      <c r="AF48393" s="679"/>
    </row>
    <row r="48394" spans="32:32" x14ac:dyDescent="0.2">
      <c r="AF48394" s="679"/>
    </row>
    <row r="48395" spans="32:32" x14ac:dyDescent="0.2">
      <c r="AF48395" s="679"/>
    </row>
    <row r="48396" spans="32:32" x14ac:dyDescent="0.2">
      <c r="AF48396" s="679"/>
    </row>
    <row r="48397" spans="32:32" x14ac:dyDescent="0.2">
      <c r="AF48397" s="679"/>
    </row>
    <row r="48398" spans="32:32" x14ac:dyDescent="0.2">
      <c r="AF48398" s="679"/>
    </row>
    <row r="48399" spans="32:32" x14ac:dyDescent="0.2">
      <c r="AF48399" s="679"/>
    </row>
    <row r="48400" spans="32:32" x14ac:dyDescent="0.2">
      <c r="AF48400" s="679"/>
    </row>
    <row r="48401" spans="32:32" x14ac:dyDescent="0.2">
      <c r="AF48401" s="679"/>
    </row>
    <row r="48402" spans="32:32" x14ac:dyDescent="0.2">
      <c r="AF48402" s="679"/>
    </row>
    <row r="48403" spans="32:32" x14ac:dyDescent="0.2">
      <c r="AF48403" s="679"/>
    </row>
    <row r="48404" spans="32:32" x14ac:dyDescent="0.2">
      <c r="AF48404" s="679"/>
    </row>
    <row r="48405" spans="32:32" x14ac:dyDescent="0.2">
      <c r="AF48405" s="679"/>
    </row>
    <row r="48406" spans="32:32" x14ac:dyDescent="0.2">
      <c r="AF48406" s="679"/>
    </row>
    <row r="48407" spans="32:32" x14ac:dyDescent="0.2">
      <c r="AF48407" s="679"/>
    </row>
    <row r="48408" spans="32:32" x14ac:dyDescent="0.2">
      <c r="AF48408" s="679"/>
    </row>
    <row r="48409" spans="32:32" x14ac:dyDescent="0.2">
      <c r="AF48409" s="679"/>
    </row>
    <row r="48410" spans="32:32" x14ac:dyDescent="0.2">
      <c r="AF48410" s="679"/>
    </row>
    <row r="48411" spans="32:32" x14ac:dyDescent="0.2">
      <c r="AF48411" s="679"/>
    </row>
    <row r="48412" spans="32:32" x14ac:dyDescent="0.2">
      <c r="AF48412" s="679"/>
    </row>
    <row r="48413" spans="32:32" x14ac:dyDescent="0.2">
      <c r="AF48413" s="679"/>
    </row>
    <row r="48414" spans="32:32" x14ac:dyDescent="0.2">
      <c r="AF48414" s="679"/>
    </row>
    <row r="48415" spans="32:32" x14ac:dyDescent="0.2">
      <c r="AF48415" s="679"/>
    </row>
    <row r="48416" spans="32:32" x14ac:dyDescent="0.2">
      <c r="AF48416" s="679"/>
    </row>
    <row r="48417" spans="32:32" x14ac:dyDescent="0.2">
      <c r="AF48417" s="679"/>
    </row>
    <row r="48418" spans="32:32" x14ac:dyDescent="0.2">
      <c r="AF48418" s="679"/>
    </row>
    <row r="48419" spans="32:32" x14ac:dyDescent="0.2">
      <c r="AF48419" s="679"/>
    </row>
    <row r="48420" spans="32:32" x14ac:dyDescent="0.2">
      <c r="AF48420" s="679"/>
    </row>
    <row r="48421" spans="32:32" x14ac:dyDescent="0.2">
      <c r="AF48421" s="679"/>
    </row>
    <row r="48422" spans="32:32" x14ac:dyDescent="0.2">
      <c r="AF48422" s="679"/>
    </row>
    <row r="48423" spans="32:32" x14ac:dyDescent="0.2">
      <c r="AF48423" s="679"/>
    </row>
    <row r="48424" spans="32:32" x14ac:dyDescent="0.2">
      <c r="AF48424" s="679"/>
    </row>
    <row r="48425" spans="32:32" x14ac:dyDescent="0.2">
      <c r="AF48425" s="679"/>
    </row>
    <row r="48426" spans="32:32" x14ac:dyDescent="0.2">
      <c r="AF48426" s="679"/>
    </row>
    <row r="48427" spans="32:32" x14ac:dyDescent="0.2">
      <c r="AF48427" s="679"/>
    </row>
    <row r="48428" spans="32:32" x14ac:dyDescent="0.2">
      <c r="AF48428" s="679"/>
    </row>
    <row r="48429" spans="32:32" x14ac:dyDescent="0.2">
      <c r="AF48429" s="679"/>
    </row>
    <row r="48430" spans="32:32" x14ac:dyDescent="0.2">
      <c r="AF48430" s="679"/>
    </row>
    <row r="48431" spans="32:32" x14ac:dyDescent="0.2">
      <c r="AF48431" s="679"/>
    </row>
    <row r="48432" spans="32:32" x14ac:dyDescent="0.2">
      <c r="AF48432" s="679"/>
    </row>
    <row r="48433" spans="32:32" x14ac:dyDescent="0.2">
      <c r="AF48433" s="679"/>
    </row>
    <row r="48434" spans="32:32" x14ac:dyDescent="0.2">
      <c r="AF48434" s="679"/>
    </row>
    <row r="48435" spans="32:32" x14ac:dyDescent="0.2">
      <c r="AF48435" s="679"/>
    </row>
    <row r="48436" spans="32:32" x14ac:dyDescent="0.2">
      <c r="AF48436" s="679"/>
    </row>
    <row r="48437" spans="32:32" x14ac:dyDescent="0.2">
      <c r="AF48437" s="679"/>
    </row>
    <row r="48438" spans="32:32" x14ac:dyDescent="0.2">
      <c r="AF48438" s="679"/>
    </row>
    <row r="48439" spans="32:32" x14ac:dyDescent="0.2">
      <c r="AF48439" s="679"/>
    </row>
    <row r="48440" spans="32:32" x14ac:dyDescent="0.2">
      <c r="AF48440" s="679"/>
    </row>
    <row r="48441" spans="32:32" x14ac:dyDescent="0.2">
      <c r="AF48441" s="679"/>
    </row>
    <row r="48442" spans="32:32" x14ac:dyDescent="0.2">
      <c r="AF48442" s="679"/>
    </row>
    <row r="48443" spans="32:32" x14ac:dyDescent="0.2">
      <c r="AF48443" s="679"/>
    </row>
    <row r="48444" spans="32:32" x14ac:dyDescent="0.2">
      <c r="AF48444" s="679"/>
    </row>
    <row r="48445" spans="32:32" x14ac:dyDescent="0.2">
      <c r="AF48445" s="679"/>
    </row>
    <row r="48446" spans="32:32" x14ac:dyDescent="0.2">
      <c r="AF48446" s="679"/>
    </row>
    <row r="48447" spans="32:32" x14ac:dyDescent="0.2">
      <c r="AF48447" s="679"/>
    </row>
    <row r="48448" spans="32:32" x14ac:dyDescent="0.2">
      <c r="AF48448" s="679"/>
    </row>
    <row r="48449" spans="32:32" x14ac:dyDescent="0.2">
      <c r="AF48449" s="679"/>
    </row>
    <row r="48450" spans="32:32" x14ac:dyDescent="0.2">
      <c r="AF48450" s="679"/>
    </row>
    <row r="48451" spans="32:32" x14ac:dyDescent="0.2">
      <c r="AF48451" s="679"/>
    </row>
    <row r="48452" spans="32:32" x14ac:dyDescent="0.2">
      <c r="AF48452" s="679"/>
    </row>
    <row r="48453" spans="32:32" x14ac:dyDescent="0.2">
      <c r="AF48453" s="679"/>
    </row>
    <row r="48454" spans="32:32" x14ac:dyDescent="0.2">
      <c r="AF48454" s="679"/>
    </row>
    <row r="48455" spans="32:32" x14ac:dyDescent="0.2">
      <c r="AF48455" s="679"/>
    </row>
    <row r="48456" spans="32:32" x14ac:dyDescent="0.2">
      <c r="AF48456" s="679"/>
    </row>
    <row r="48457" spans="32:32" x14ac:dyDescent="0.2">
      <c r="AF48457" s="679"/>
    </row>
    <row r="48458" spans="32:32" x14ac:dyDescent="0.2">
      <c r="AF48458" s="679"/>
    </row>
    <row r="48459" spans="32:32" x14ac:dyDescent="0.2">
      <c r="AF48459" s="679"/>
    </row>
    <row r="48460" spans="32:32" x14ac:dyDescent="0.2">
      <c r="AF48460" s="679"/>
    </row>
    <row r="48461" spans="32:32" x14ac:dyDescent="0.2">
      <c r="AF48461" s="679"/>
    </row>
    <row r="48462" spans="32:32" x14ac:dyDescent="0.2">
      <c r="AF48462" s="679"/>
    </row>
    <row r="48463" spans="32:32" x14ac:dyDescent="0.2">
      <c r="AF48463" s="679"/>
    </row>
    <row r="48464" spans="32:32" x14ac:dyDescent="0.2">
      <c r="AF48464" s="679"/>
    </row>
    <row r="48465" spans="32:32" x14ac:dyDescent="0.2">
      <c r="AF48465" s="679"/>
    </row>
    <row r="48466" spans="32:32" x14ac:dyDescent="0.2">
      <c r="AF48466" s="679"/>
    </row>
    <row r="48467" spans="32:32" x14ac:dyDescent="0.2">
      <c r="AF48467" s="679"/>
    </row>
    <row r="48468" spans="32:32" x14ac:dyDescent="0.2">
      <c r="AF48468" s="679"/>
    </row>
    <row r="48469" spans="32:32" x14ac:dyDescent="0.2">
      <c r="AF48469" s="679"/>
    </row>
    <row r="48470" spans="32:32" x14ac:dyDescent="0.2">
      <c r="AF48470" s="679"/>
    </row>
    <row r="48471" spans="32:32" x14ac:dyDescent="0.2">
      <c r="AF48471" s="679"/>
    </row>
    <row r="48472" spans="32:32" x14ac:dyDescent="0.2">
      <c r="AF48472" s="679"/>
    </row>
    <row r="48473" spans="32:32" x14ac:dyDescent="0.2">
      <c r="AF48473" s="679"/>
    </row>
    <row r="48474" spans="32:32" x14ac:dyDescent="0.2">
      <c r="AF48474" s="679"/>
    </row>
    <row r="48475" spans="32:32" x14ac:dyDescent="0.2">
      <c r="AF48475" s="679"/>
    </row>
    <row r="48476" spans="32:32" x14ac:dyDescent="0.2">
      <c r="AF48476" s="679"/>
    </row>
    <row r="48477" spans="32:32" x14ac:dyDescent="0.2">
      <c r="AF48477" s="679"/>
    </row>
    <row r="48478" spans="32:32" x14ac:dyDescent="0.2">
      <c r="AF48478" s="679"/>
    </row>
    <row r="48479" spans="32:32" x14ac:dyDescent="0.2">
      <c r="AF48479" s="679"/>
    </row>
    <row r="48480" spans="32:32" x14ac:dyDescent="0.2">
      <c r="AF48480" s="679"/>
    </row>
    <row r="48481" spans="32:32" x14ac:dyDescent="0.2">
      <c r="AF48481" s="679"/>
    </row>
    <row r="48482" spans="32:32" x14ac:dyDescent="0.2">
      <c r="AF48482" s="679"/>
    </row>
    <row r="48483" spans="32:32" x14ac:dyDescent="0.2">
      <c r="AF48483" s="679"/>
    </row>
    <row r="48484" spans="32:32" x14ac:dyDescent="0.2">
      <c r="AF48484" s="679"/>
    </row>
    <row r="48485" spans="32:32" x14ac:dyDescent="0.2">
      <c r="AF48485" s="679"/>
    </row>
    <row r="48486" spans="32:32" x14ac:dyDescent="0.2">
      <c r="AF48486" s="679"/>
    </row>
    <row r="48487" spans="32:32" x14ac:dyDescent="0.2">
      <c r="AF48487" s="679"/>
    </row>
    <row r="48488" spans="32:32" x14ac:dyDescent="0.2">
      <c r="AF48488" s="679"/>
    </row>
    <row r="48489" spans="32:32" x14ac:dyDescent="0.2">
      <c r="AF48489" s="679"/>
    </row>
    <row r="48490" spans="32:32" x14ac:dyDescent="0.2">
      <c r="AF48490" s="679"/>
    </row>
    <row r="48491" spans="32:32" x14ac:dyDescent="0.2">
      <c r="AF48491" s="679"/>
    </row>
    <row r="48492" spans="32:32" x14ac:dyDescent="0.2">
      <c r="AF48492" s="679"/>
    </row>
    <row r="48493" spans="32:32" x14ac:dyDescent="0.2">
      <c r="AF48493" s="679"/>
    </row>
    <row r="48494" spans="32:32" x14ac:dyDescent="0.2">
      <c r="AF48494" s="679"/>
    </row>
    <row r="48495" spans="32:32" x14ac:dyDescent="0.2">
      <c r="AF48495" s="679"/>
    </row>
    <row r="48496" spans="32:32" x14ac:dyDescent="0.2">
      <c r="AF48496" s="679"/>
    </row>
    <row r="48497" spans="32:32" x14ac:dyDescent="0.2">
      <c r="AF48497" s="679"/>
    </row>
    <row r="48498" spans="32:32" x14ac:dyDescent="0.2">
      <c r="AF48498" s="679"/>
    </row>
    <row r="48499" spans="32:32" x14ac:dyDescent="0.2">
      <c r="AF48499" s="679"/>
    </row>
    <row r="48500" spans="32:32" x14ac:dyDescent="0.2">
      <c r="AF48500" s="679"/>
    </row>
    <row r="48501" spans="32:32" x14ac:dyDescent="0.2">
      <c r="AF48501" s="679"/>
    </row>
    <row r="48502" spans="32:32" x14ac:dyDescent="0.2">
      <c r="AF48502" s="679"/>
    </row>
    <row r="48503" spans="32:32" x14ac:dyDescent="0.2">
      <c r="AF48503" s="679"/>
    </row>
    <row r="48504" spans="32:32" x14ac:dyDescent="0.2">
      <c r="AF48504" s="679"/>
    </row>
    <row r="48505" spans="32:32" x14ac:dyDescent="0.2">
      <c r="AF48505" s="679"/>
    </row>
    <row r="48506" spans="32:32" x14ac:dyDescent="0.2">
      <c r="AF48506" s="679"/>
    </row>
    <row r="48507" spans="32:32" x14ac:dyDescent="0.2">
      <c r="AF48507" s="679"/>
    </row>
    <row r="48508" spans="32:32" x14ac:dyDescent="0.2">
      <c r="AF48508" s="679"/>
    </row>
    <row r="48509" spans="32:32" x14ac:dyDescent="0.2">
      <c r="AF48509" s="679"/>
    </row>
    <row r="48510" spans="32:32" x14ac:dyDescent="0.2">
      <c r="AF48510" s="679"/>
    </row>
    <row r="48511" spans="32:32" x14ac:dyDescent="0.2">
      <c r="AF48511" s="679"/>
    </row>
    <row r="48512" spans="32:32" x14ac:dyDescent="0.2">
      <c r="AF48512" s="679"/>
    </row>
    <row r="48513" spans="32:32" x14ac:dyDescent="0.2">
      <c r="AF48513" s="679"/>
    </row>
    <row r="48514" spans="32:32" x14ac:dyDescent="0.2">
      <c r="AF48514" s="679"/>
    </row>
    <row r="48515" spans="32:32" x14ac:dyDescent="0.2">
      <c r="AF48515" s="679"/>
    </row>
    <row r="48516" spans="32:32" x14ac:dyDescent="0.2">
      <c r="AF48516" s="679"/>
    </row>
    <row r="48517" spans="32:32" x14ac:dyDescent="0.2">
      <c r="AF48517" s="679"/>
    </row>
    <row r="48518" spans="32:32" x14ac:dyDescent="0.2">
      <c r="AF48518" s="679"/>
    </row>
    <row r="48519" spans="32:32" x14ac:dyDescent="0.2">
      <c r="AF48519" s="679"/>
    </row>
    <row r="48520" spans="32:32" x14ac:dyDescent="0.2">
      <c r="AF48520" s="679"/>
    </row>
    <row r="48521" spans="32:32" x14ac:dyDescent="0.2">
      <c r="AF48521" s="679"/>
    </row>
    <row r="48522" spans="32:32" x14ac:dyDescent="0.2">
      <c r="AF48522" s="679"/>
    </row>
    <row r="48523" spans="32:32" x14ac:dyDescent="0.2">
      <c r="AF48523" s="679"/>
    </row>
    <row r="48524" spans="32:32" x14ac:dyDescent="0.2">
      <c r="AF48524" s="679"/>
    </row>
    <row r="48525" spans="32:32" x14ac:dyDescent="0.2">
      <c r="AF48525" s="679"/>
    </row>
    <row r="48526" spans="32:32" x14ac:dyDescent="0.2">
      <c r="AF48526" s="679"/>
    </row>
    <row r="48527" spans="32:32" x14ac:dyDescent="0.2">
      <c r="AF48527" s="679"/>
    </row>
    <row r="48528" spans="32:32" x14ac:dyDescent="0.2">
      <c r="AF48528" s="679"/>
    </row>
    <row r="48529" spans="32:32" x14ac:dyDescent="0.2">
      <c r="AF48529" s="679"/>
    </row>
    <row r="48530" spans="32:32" x14ac:dyDescent="0.2">
      <c r="AF48530" s="679"/>
    </row>
    <row r="48531" spans="32:32" x14ac:dyDescent="0.2">
      <c r="AF48531" s="679"/>
    </row>
    <row r="48532" spans="32:32" x14ac:dyDescent="0.2">
      <c r="AF48532" s="679"/>
    </row>
    <row r="48533" spans="32:32" x14ac:dyDescent="0.2">
      <c r="AF48533" s="679"/>
    </row>
    <row r="48534" spans="32:32" x14ac:dyDescent="0.2">
      <c r="AF48534" s="679"/>
    </row>
    <row r="48535" spans="32:32" x14ac:dyDescent="0.2">
      <c r="AF48535" s="679"/>
    </row>
    <row r="48536" spans="32:32" x14ac:dyDescent="0.2">
      <c r="AF48536" s="679"/>
    </row>
    <row r="48537" spans="32:32" x14ac:dyDescent="0.2">
      <c r="AF48537" s="679"/>
    </row>
    <row r="48538" spans="32:32" x14ac:dyDescent="0.2">
      <c r="AF48538" s="679"/>
    </row>
    <row r="48539" spans="32:32" x14ac:dyDescent="0.2">
      <c r="AF48539" s="679"/>
    </row>
    <row r="48540" spans="32:32" x14ac:dyDescent="0.2">
      <c r="AF48540" s="679"/>
    </row>
    <row r="48541" spans="32:32" x14ac:dyDescent="0.2">
      <c r="AF48541" s="679"/>
    </row>
    <row r="48542" spans="32:32" x14ac:dyDescent="0.2">
      <c r="AF48542" s="679"/>
    </row>
    <row r="48543" spans="32:32" x14ac:dyDescent="0.2">
      <c r="AF48543" s="679"/>
    </row>
    <row r="48544" spans="32:32" x14ac:dyDescent="0.2">
      <c r="AF48544" s="679"/>
    </row>
    <row r="48545" spans="32:32" x14ac:dyDescent="0.2">
      <c r="AF48545" s="679"/>
    </row>
    <row r="48546" spans="32:32" x14ac:dyDescent="0.2">
      <c r="AF48546" s="679"/>
    </row>
    <row r="48547" spans="32:32" x14ac:dyDescent="0.2">
      <c r="AF48547" s="679"/>
    </row>
    <row r="48548" spans="32:32" x14ac:dyDescent="0.2">
      <c r="AF48548" s="679"/>
    </row>
    <row r="48549" spans="32:32" x14ac:dyDescent="0.2">
      <c r="AF48549" s="679"/>
    </row>
    <row r="48550" spans="32:32" x14ac:dyDescent="0.2">
      <c r="AF48550" s="679"/>
    </row>
    <row r="48551" spans="32:32" x14ac:dyDescent="0.2">
      <c r="AF48551" s="679"/>
    </row>
    <row r="48552" spans="32:32" x14ac:dyDescent="0.2">
      <c r="AF48552" s="679"/>
    </row>
    <row r="48553" spans="32:32" x14ac:dyDescent="0.2">
      <c r="AF48553" s="679"/>
    </row>
    <row r="48554" spans="32:32" x14ac:dyDescent="0.2">
      <c r="AF48554" s="679"/>
    </row>
    <row r="48555" spans="32:32" x14ac:dyDescent="0.2">
      <c r="AF48555" s="679"/>
    </row>
    <row r="48556" spans="32:32" x14ac:dyDescent="0.2">
      <c r="AF48556" s="679"/>
    </row>
    <row r="48557" spans="32:32" x14ac:dyDescent="0.2">
      <c r="AF48557" s="679"/>
    </row>
    <row r="48558" spans="32:32" x14ac:dyDescent="0.2">
      <c r="AF48558" s="679"/>
    </row>
    <row r="48559" spans="32:32" x14ac:dyDescent="0.2">
      <c r="AF48559" s="679"/>
    </row>
    <row r="48560" spans="32:32" x14ac:dyDescent="0.2">
      <c r="AF48560" s="679"/>
    </row>
    <row r="48561" spans="32:32" x14ac:dyDescent="0.2">
      <c r="AF48561" s="679"/>
    </row>
    <row r="48562" spans="32:32" x14ac:dyDescent="0.2">
      <c r="AF48562" s="679"/>
    </row>
    <row r="48563" spans="32:32" x14ac:dyDescent="0.2">
      <c r="AF48563" s="679"/>
    </row>
    <row r="48564" spans="32:32" x14ac:dyDescent="0.2">
      <c r="AF48564" s="679"/>
    </row>
    <row r="48565" spans="32:32" x14ac:dyDescent="0.2">
      <c r="AF48565" s="679"/>
    </row>
    <row r="48566" spans="32:32" x14ac:dyDescent="0.2">
      <c r="AF48566" s="679"/>
    </row>
    <row r="48567" spans="32:32" x14ac:dyDescent="0.2">
      <c r="AF48567" s="679"/>
    </row>
    <row r="48568" spans="32:32" x14ac:dyDescent="0.2">
      <c r="AF48568" s="679"/>
    </row>
    <row r="48569" spans="32:32" x14ac:dyDescent="0.2">
      <c r="AF48569" s="679"/>
    </row>
    <row r="48570" spans="32:32" x14ac:dyDescent="0.2">
      <c r="AF48570" s="679"/>
    </row>
    <row r="48571" spans="32:32" x14ac:dyDescent="0.2">
      <c r="AF48571" s="679"/>
    </row>
    <row r="48572" spans="32:32" x14ac:dyDescent="0.2">
      <c r="AF48572" s="679"/>
    </row>
    <row r="48573" spans="32:32" x14ac:dyDescent="0.2">
      <c r="AF48573" s="679"/>
    </row>
    <row r="48574" spans="32:32" x14ac:dyDescent="0.2">
      <c r="AF48574" s="679"/>
    </row>
    <row r="48575" spans="32:32" x14ac:dyDescent="0.2">
      <c r="AF48575" s="679"/>
    </row>
    <row r="48576" spans="32:32" x14ac:dyDescent="0.2">
      <c r="AF48576" s="679"/>
    </row>
    <row r="48577" spans="32:32" x14ac:dyDescent="0.2">
      <c r="AF48577" s="679"/>
    </row>
    <row r="48578" spans="32:32" x14ac:dyDescent="0.2">
      <c r="AF48578" s="679"/>
    </row>
    <row r="48579" spans="32:32" x14ac:dyDescent="0.2">
      <c r="AF48579" s="679"/>
    </row>
    <row r="48580" spans="32:32" x14ac:dyDescent="0.2">
      <c r="AF48580" s="679"/>
    </row>
    <row r="48581" spans="32:32" x14ac:dyDescent="0.2">
      <c r="AF48581" s="679"/>
    </row>
    <row r="48582" spans="32:32" x14ac:dyDescent="0.2">
      <c r="AF48582" s="679"/>
    </row>
    <row r="48583" spans="32:32" x14ac:dyDescent="0.2">
      <c r="AF48583" s="679"/>
    </row>
    <row r="48584" spans="32:32" x14ac:dyDescent="0.2">
      <c r="AF48584" s="679"/>
    </row>
    <row r="48585" spans="32:32" x14ac:dyDescent="0.2">
      <c r="AF48585" s="679"/>
    </row>
    <row r="48586" spans="32:32" x14ac:dyDescent="0.2">
      <c r="AF48586" s="679"/>
    </row>
    <row r="48587" spans="32:32" x14ac:dyDescent="0.2">
      <c r="AF48587" s="679"/>
    </row>
    <row r="48588" spans="32:32" x14ac:dyDescent="0.2">
      <c r="AF48588" s="679"/>
    </row>
    <row r="48589" spans="32:32" x14ac:dyDescent="0.2">
      <c r="AF48589" s="679"/>
    </row>
    <row r="48590" spans="32:32" x14ac:dyDescent="0.2">
      <c r="AF48590" s="679"/>
    </row>
    <row r="48591" spans="32:32" x14ac:dyDescent="0.2">
      <c r="AF48591" s="679"/>
    </row>
    <row r="48592" spans="32:32" x14ac:dyDescent="0.2">
      <c r="AF48592" s="679"/>
    </row>
    <row r="48593" spans="32:32" x14ac:dyDescent="0.2">
      <c r="AF48593" s="679"/>
    </row>
    <row r="48594" spans="32:32" x14ac:dyDescent="0.2">
      <c r="AF48594" s="679"/>
    </row>
    <row r="48595" spans="32:32" x14ac:dyDescent="0.2">
      <c r="AF48595" s="679"/>
    </row>
    <row r="48596" spans="32:32" x14ac:dyDescent="0.2">
      <c r="AF48596" s="679"/>
    </row>
    <row r="48597" spans="32:32" x14ac:dyDescent="0.2">
      <c r="AF48597" s="679"/>
    </row>
    <row r="48598" spans="32:32" x14ac:dyDescent="0.2">
      <c r="AF48598" s="679"/>
    </row>
    <row r="48599" spans="32:32" x14ac:dyDescent="0.2">
      <c r="AF48599" s="679"/>
    </row>
    <row r="48600" spans="32:32" x14ac:dyDescent="0.2">
      <c r="AF48600" s="679"/>
    </row>
    <row r="48601" spans="32:32" x14ac:dyDescent="0.2">
      <c r="AF48601" s="679"/>
    </row>
    <row r="48602" spans="32:32" x14ac:dyDescent="0.2">
      <c r="AF48602" s="679"/>
    </row>
    <row r="48603" spans="32:32" x14ac:dyDescent="0.2">
      <c r="AF48603" s="679"/>
    </row>
    <row r="48604" spans="32:32" x14ac:dyDescent="0.2">
      <c r="AF48604" s="679"/>
    </row>
    <row r="48605" spans="32:32" x14ac:dyDescent="0.2">
      <c r="AF48605" s="679"/>
    </row>
    <row r="48606" spans="32:32" x14ac:dyDescent="0.2">
      <c r="AF48606" s="679"/>
    </row>
    <row r="48607" spans="32:32" x14ac:dyDescent="0.2">
      <c r="AF48607" s="679"/>
    </row>
    <row r="48608" spans="32:32" x14ac:dyDescent="0.2">
      <c r="AF48608" s="679"/>
    </row>
    <row r="48609" spans="32:32" x14ac:dyDescent="0.2">
      <c r="AF48609" s="679"/>
    </row>
    <row r="48610" spans="32:32" x14ac:dyDescent="0.2">
      <c r="AF48610" s="679"/>
    </row>
    <row r="48611" spans="32:32" x14ac:dyDescent="0.2">
      <c r="AF48611" s="679"/>
    </row>
    <row r="48612" spans="32:32" x14ac:dyDescent="0.2">
      <c r="AF48612" s="679"/>
    </row>
    <row r="48613" spans="32:32" x14ac:dyDescent="0.2">
      <c r="AF48613" s="679"/>
    </row>
    <row r="48614" spans="32:32" x14ac:dyDescent="0.2">
      <c r="AF48614" s="679"/>
    </row>
    <row r="48615" spans="32:32" x14ac:dyDescent="0.2">
      <c r="AF48615" s="679"/>
    </row>
    <row r="48616" spans="32:32" x14ac:dyDescent="0.2">
      <c r="AF48616" s="679"/>
    </row>
    <row r="48617" spans="32:32" x14ac:dyDescent="0.2">
      <c r="AF48617" s="679"/>
    </row>
    <row r="48618" spans="32:32" x14ac:dyDescent="0.2">
      <c r="AF48618" s="679"/>
    </row>
    <row r="48619" spans="32:32" x14ac:dyDescent="0.2">
      <c r="AF48619" s="679"/>
    </row>
    <row r="48620" spans="32:32" x14ac:dyDescent="0.2">
      <c r="AF48620" s="679"/>
    </row>
    <row r="48621" spans="32:32" x14ac:dyDescent="0.2">
      <c r="AF48621" s="679"/>
    </row>
    <row r="48622" spans="32:32" x14ac:dyDescent="0.2">
      <c r="AF48622" s="679"/>
    </row>
    <row r="48623" spans="32:32" x14ac:dyDescent="0.2">
      <c r="AF48623" s="679"/>
    </row>
    <row r="48624" spans="32:32" x14ac:dyDescent="0.2">
      <c r="AF48624" s="679"/>
    </row>
    <row r="48625" spans="32:32" x14ac:dyDescent="0.2">
      <c r="AF48625" s="679"/>
    </row>
    <row r="48626" spans="32:32" x14ac:dyDescent="0.2">
      <c r="AF48626" s="679"/>
    </row>
    <row r="48627" spans="32:32" x14ac:dyDescent="0.2">
      <c r="AF48627" s="679"/>
    </row>
    <row r="48628" spans="32:32" x14ac:dyDescent="0.2">
      <c r="AF48628" s="679"/>
    </row>
    <row r="48629" spans="32:32" x14ac:dyDescent="0.2">
      <c r="AF48629" s="679"/>
    </row>
    <row r="48630" spans="32:32" x14ac:dyDescent="0.2">
      <c r="AF48630" s="679"/>
    </row>
    <row r="48631" spans="32:32" x14ac:dyDescent="0.2">
      <c r="AF48631" s="679"/>
    </row>
    <row r="48632" spans="32:32" x14ac:dyDescent="0.2">
      <c r="AF48632" s="679"/>
    </row>
    <row r="48633" spans="32:32" x14ac:dyDescent="0.2">
      <c r="AF48633" s="679"/>
    </row>
    <row r="48634" spans="32:32" x14ac:dyDescent="0.2">
      <c r="AF48634" s="679"/>
    </row>
    <row r="48635" spans="32:32" x14ac:dyDescent="0.2">
      <c r="AF48635" s="679"/>
    </row>
    <row r="48636" spans="32:32" x14ac:dyDescent="0.2">
      <c r="AF48636" s="679"/>
    </row>
    <row r="48637" spans="32:32" x14ac:dyDescent="0.2">
      <c r="AF48637" s="679"/>
    </row>
    <row r="48638" spans="32:32" x14ac:dyDescent="0.2">
      <c r="AF48638" s="679"/>
    </row>
    <row r="48639" spans="32:32" x14ac:dyDescent="0.2">
      <c r="AF48639" s="679"/>
    </row>
    <row r="48640" spans="32:32" x14ac:dyDescent="0.2">
      <c r="AF48640" s="679"/>
    </row>
    <row r="48641" spans="32:32" x14ac:dyDescent="0.2">
      <c r="AF48641" s="679"/>
    </row>
    <row r="48642" spans="32:32" x14ac:dyDescent="0.2">
      <c r="AF48642" s="679"/>
    </row>
    <row r="48643" spans="32:32" x14ac:dyDescent="0.2">
      <c r="AF48643" s="679"/>
    </row>
    <row r="48644" spans="32:32" x14ac:dyDescent="0.2">
      <c r="AF48644" s="679"/>
    </row>
    <row r="48645" spans="32:32" x14ac:dyDescent="0.2">
      <c r="AF48645" s="679"/>
    </row>
    <row r="48646" spans="32:32" x14ac:dyDescent="0.2">
      <c r="AF48646" s="679"/>
    </row>
    <row r="48647" spans="32:32" x14ac:dyDescent="0.2">
      <c r="AF48647" s="679"/>
    </row>
    <row r="48648" spans="32:32" x14ac:dyDescent="0.2">
      <c r="AF48648" s="679"/>
    </row>
    <row r="48649" spans="32:32" x14ac:dyDescent="0.2">
      <c r="AF48649" s="679"/>
    </row>
    <row r="48650" spans="32:32" x14ac:dyDescent="0.2">
      <c r="AF48650" s="679"/>
    </row>
    <row r="48651" spans="32:32" x14ac:dyDescent="0.2">
      <c r="AF48651" s="679"/>
    </row>
    <row r="48652" spans="32:32" x14ac:dyDescent="0.2">
      <c r="AF48652" s="679"/>
    </row>
    <row r="48653" spans="32:32" x14ac:dyDescent="0.2">
      <c r="AF48653" s="679"/>
    </row>
    <row r="48654" spans="32:32" x14ac:dyDescent="0.2">
      <c r="AF48654" s="679"/>
    </row>
    <row r="48655" spans="32:32" x14ac:dyDescent="0.2">
      <c r="AF48655" s="679"/>
    </row>
    <row r="48656" spans="32:32" x14ac:dyDescent="0.2">
      <c r="AF48656" s="679"/>
    </row>
    <row r="48657" spans="32:32" x14ac:dyDescent="0.2">
      <c r="AF48657" s="679"/>
    </row>
    <row r="48658" spans="32:32" x14ac:dyDescent="0.2">
      <c r="AF48658" s="679"/>
    </row>
    <row r="48659" spans="32:32" x14ac:dyDescent="0.2">
      <c r="AF48659" s="679"/>
    </row>
    <row r="48660" spans="32:32" x14ac:dyDescent="0.2">
      <c r="AF48660" s="679"/>
    </row>
    <row r="48661" spans="32:32" x14ac:dyDescent="0.2">
      <c r="AF48661" s="679"/>
    </row>
    <row r="48662" spans="32:32" x14ac:dyDescent="0.2">
      <c r="AF48662" s="679"/>
    </row>
    <row r="48663" spans="32:32" x14ac:dyDescent="0.2">
      <c r="AF48663" s="679"/>
    </row>
    <row r="48664" spans="32:32" x14ac:dyDescent="0.2">
      <c r="AF48664" s="679"/>
    </row>
    <row r="48665" spans="32:32" x14ac:dyDescent="0.2">
      <c r="AF48665" s="679"/>
    </row>
    <row r="48666" spans="32:32" x14ac:dyDescent="0.2">
      <c r="AF48666" s="679"/>
    </row>
    <row r="48667" spans="32:32" x14ac:dyDescent="0.2">
      <c r="AF48667" s="679"/>
    </row>
    <row r="48668" spans="32:32" x14ac:dyDescent="0.2">
      <c r="AF48668" s="679"/>
    </row>
    <row r="48669" spans="32:32" x14ac:dyDescent="0.2">
      <c r="AF48669" s="679"/>
    </row>
    <row r="48670" spans="32:32" x14ac:dyDescent="0.2">
      <c r="AF48670" s="679"/>
    </row>
    <row r="48671" spans="32:32" x14ac:dyDescent="0.2">
      <c r="AF48671" s="679"/>
    </row>
    <row r="48672" spans="32:32" x14ac:dyDescent="0.2">
      <c r="AF48672" s="679"/>
    </row>
    <row r="48673" spans="32:32" x14ac:dyDescent="0.2">
      <c r="AF48673" s="679"/>
    </row>
    <row r="48674" spans="32:32" x14ac:dyDescent="0.2">
      <c r="AF48674" s="679"/>
    </row>
    <row r="48675" spans="32:32" x14ac:dyDescent="0.2">
      <c r="AF48675" s="679"/>
    </row>
    <row r="48676" spans="32:32" x14ac:dyDescent="0.2">
      <c r="AF48676" s="679"/>
    </row>
    <row r="48677" spans="32:32" x14ac:dyDescent="0.2">
      <c r="AF48677" s="679"/>
    </row>
    <row r="48678" spans="32:32" x14ac:dyDescent="0.2">
      <c r="AF48678" s="679"/>
    </row>
    <row r="48679" spans="32:32" x14ac:dyDescent="0.2">
      <c r="AF48679" s="679"/>
    </row>
    <row r="48680" spans="32:32" x14ac:dyDescent="0.2">
      <c r="AF48680" s="679"/>
    </row>
    <row r="48681" spans="32:32" x14ac:dyDescent="0.2">
      <c r="AF48681" s="679"/>
    </row>
    <row r="48682" spans="32:32" x14ac:dyDescent="0.2">
      <c r="AF48682" s="679"/>
    </row>
    <row r="48683" spans="32:32" x14ac:dyDescent="0.2">
      <c r="AF48683" s="679"/>
    </row>
    <row r="48684" spans="32:32" x14ac:dyDescent="0.2">
      <c r="AF48684" s="679"/>
    </row>
    <row r="48685" spans="32:32" x14ac:dyDescent="0.2">
      <c r="AF48685" s="679"/>
    </row>
    <row r="48686" spans="32:32" x14ac:dyDescent="0.2">
      <c r="AF48686" s="679"/>
    </row>
    <row r="48687" spans="32:32" x14ac:dyDescent="0.2">
      <c r="AF48687" s="679"/>
    </row>
    <row r="48688" spans="32:32" x14ac:dyDescent="0.2">
      <c r="AF48688" s="679"/>
    </row>
    <row r="48689" spans="32:32" x14ac:dyDescent="0.2">
      <c r="AF48689" s="679"/>
    </row>
    <row r="48690" spans="32:32" x14ac:dyDescent="0.2">
      <c r="AF48690" s="679"/>
    </row>
    <row r="48691" spans="32:32" x14ac:dyDescent="0.2">
      <c r="AF48691" s="679"/>
    </row>
    <row r="48692" spans="32:32" x14ac:dyDescent="0.2">
      <c r="AF48692" s="679"/>
    </row>
    <row r="48693" spans="32:32" x14ac:dyDescent="0.2">
      <c r="AF48693" s="679"/>
    </row>
    <row r="48694" spans="32:32" x14ac:dyDescent="0.2">
      <c r="AF48694" s="679"/>
    </row>
    <row r="48695" spans="32:32" x14ac:dyDescent="0.2">
      <c r="AF48695" s="679"/>
    </row>
    <row r="48696" spans="32:32" x14ac:dyDescent="0.2">
      <c r="AF48696" s="679"/>
    </row>
    <row r="48697" spans="32:32" x14ac:dyDescent="0.2">
      <c r="AF48697" s="679"/>
    </row>
    <row r="48698" spans="32:32" x14ac:dyDescent="0.2">
      <c r="AF48698" s="679"/>
    </row>
    <row r="48699" spans="32:32" x14ac:dyDescent="0.2">
      <c r="AF48699" s="679"/>
    </row>
    <row r="48700" spans="32:32" x14ac:dyDescent="0.2">
      <c r="AF48700" s="679"/>
    </row>
    <row r="48701" spans="32:32" x14ac:dyDescent="0.2">
      <c r="AF48701" s="679"/>
    </row>
    <row r="48702" spans="32:32" x14ac:dyDescent="0.2">
      <c r="AF48702" s="679"/>
    </row>
    <row r="48703" spans="32:32" x14ac:dyDescent="0.2">
      <c r="AF48703" s="679"/>
    </row>
    <row r="48704" spans="32:32" x14ac:dyDescent="0.2">
      <c r="AF48704" s="679"/>
    </row>
    <row r="48705" spans="32:32" x14ac:dyDescent="0.2">
      <c r="AF48705" s="679"/>
    </row>
    <row r="48706" spans="32:32" x14ac:dyDescent="0.2">
      <c r="AF48706" s="679"/>
    </row>
    <row r="48707" spans="32:32" x14ac:dyDescent="0.2">
      <c r="AF48707" s="679"/>
    </row>
    <row r="48708" spans="32:32" x14ac:dyDescent="0.2">
      <c r="AF48708" s="679"/>
    </row>
    <row r="48709" spans="32:32" x14ac:dyDescent="0.2">
      <c r="AF48709" s="679"/>
    </row>
    <row r="48710" spans="32:32" x14ac:dyDescent="0.2">
      <c r="AF48710" s="679"/>
    </row>
    <row r="48711" spans="32:32" x14ac:dyDescent="0.2">
      <c r="AF48711" s="679"/>
    </row>
    <row r="48712" spans="32:32" x14ac:dyDescent="0.2">
      <c r="AF48712" s="679"/>
    </row>
    <row r="48713" spans="32:32" x14ac:dyDescent="0.2">
      <c r="AF48713" s="679"/>
    </row>
    <row r="48714" spans="32:32" x14ac:dyDescent="0.2">
      <c r="AF48714" s="679"/>
    </row>
    <row r="48715" spans="32:32" x14ac:dyDescent="0.2">
      <c r="AF48715" s="679"/>
    </row>
    <row r="48716" spans="32:32" x14ac:dyDescent="0.2">
      <c r="AF48716" s="679"/>
    </row>
    <row r="48717" spans="32:32" x14ac:dyDescent="0.2">
      <c r="AF48717" s="679"/>
    </row>
    <row r="48718" spans="32:32" x14ac:dyDescent="0.2">
      <c r="AF48718" s="679"/>
    </row>
    <row r="48719" spans="32:32" x14ac:dyDescent="0.2">
      <c r="AF48719" s="679"/>
    </row>
    <row r="48720" spans="32:32" x14ac:dyDescent="0.2">
      <c r="AF48720" s="679"/>
    </row>
    <row r="48721" spans="32:32" x14ac:dyDescent="0.2">
      <c r="AF48721" s="679"/>
    </row>
    <row r="48722" spans="32:32" x14ac:dyDescent="0.2">
      <c r="AF48722" s="679"/>
    </row>
    <row r="48723" spans="32:32" x14ac:dyDescent="0.2">
      <c r="AF48723" s="679"/>
    </row>
    <row r="48724" spans="32:32" x14ac:dyDescent="0.2">
      <c r="AF48724" s="679"/>
    </row>
    <row r="48725" spans="32:32" x14ac:dyDescent="0.2">
      <c r="AF48725" s="679"/>
    </row>
    <row r="48726" spans="32:32" x14ac:dyDescent="0.2">
      <c r="AF48726" s="679"/>
    </row>
    <row r="48727" spans="32:32" x14ac:dyDescent="0.2">
      <c r="AF48727" s="679"/>
    </row>
    <row r="48728" spans="32:32" x14ac:dyDescent="0.2">
      <c r="AF48728" s="679"/>
    </row>
    <row r="48729" spans="32:32" x14ac:dyDescent="0.2">
      <c r="AF48729" s="679"/>
    </row>
    <row r="48730" spans="32:32" x14ac:dyDescent="0.2">
      <c r="AF48730" s="679"/>
    </row>
    <row r="48731" spans="32:32" x14ac:dyDescent="0.2">
      <c r="AF48731" s="679"/>
    </row>
    <row r="48732" spans="32:32" x14ac:dyDescent="0.2">
      <c r="AF48732" s="679"/>
    </row>
    <row r="48733" spans="32:32" x14ac:dyDescent="0.2">
      <c r="AF48733" s="679"/>
    </row>
    <row r="48734" spans="32:32" x14ac:dyDescent="0.2">
      <c r="AF48734" s="679"/>
    </row>
    <row r="48735" spans="32:32" x14ac:dyDescent="0.2">
      <c r="AF48735" s="679"/>
    </row>
    <row r="48736" spans="32:32" x14ac:dyDescent="0.2">
      <c r="AF48736" s="679"/>
    </row>
    <row r="48737" spans="32:32" x14ac:dyDescent="0.2">
      <c r="AF48737" s="679"/>
    </row>
    <row r="48738" spans="32:32" x14ac:dyDescent="0.2">
      <c r="AF48738" s="679"/>
    </row>
    <row r="48739" spans="32:32" x14ac:dyDescent="0.2">
      <c r="AF48739" s="679"/>
    </row>
    <row r="48740" spans="32:32" x14ac:dyDescent="0.2">
      <c r="AF48740" s="679"/>
    </row>
    <row r="48741" spans="32:32" x14ac:dyDescent="0.2">
      <c r="AF48741" s="679"/>
    </row>
    <row r="48742" spans="32:32" x14ac:dyDescent="0.2">
      <c r="AF48742" s="679"/>
    </row>
    <row r="48743" spans="32:32" x14ac:dyDescent="0.2">
      <c r="AF48743" s="679"/>
    </row>
    <row r="48744" spans="32:32" x14ac:dyDescent="0.2">
      <c r="AF48744" s="679"/>
    </row>
    <row r="48745" spans="32:32" x14ac:dyDescent="0.2">
      <c r="AF48745" s="679"/>
    </row>
    <row r="48746" spans="32:32" x14ac:dyDescent="0.2">
      <c r="AF48746" s="679"/>
    </row>
    <row r="48747" spans="32:32" x14ac:dyDescent="0.2">
      <c r="AF48747" s="679"/>
    </row>
    <row r="48748" spans="32:32" x14ac:dyDescent="0.2">
      <c r="AF48748" s="679"/>
    </row>
    <row r="48749" spans="32:32" x14ac:dyDescent="0.2">
      <c r="AF48749" s="679"/>
    </row>
    <row r="48750" spans="32:32" x14ac:dyDescent="0.2">
      <c r="AF48750" s="679"/>
    </row>
    <row r="48751" spans="32:32" x14ac:dyDescent="0.2">
      <c r="AF48751" s="679"/>
    </row>
    <row r="48752" spans="32:32" x14ac:dyDescent="0.2">
      <c r="AF48752" s="679"/>
    </row>
    <row r="48753" spans="32:32" x14ac:dyDescent="0.2">
      <c r="AF48753" s="679"/>
    </row>
    <row r="48754" spans="32:32" x14ac:dyDescent="0.2">
      <c r="AF48754" s="679"/>
    </row>
    <row r="48755" spans="32:32" x14ac:dyDescent="0.2">
      <c r="AF48755" s="679"/>
    </row>
    <row r="48756" spans="32:32" x14ac:dyDescent="0.2">
      <c r="AF48756" s="679"/>
    </row>
    <row r="48757" spans="32:32" x14ac:dyDescent="0.2">
      <c r="AF48757" s="679"/>
    </row>
    <row r="48758" spans="32:32" x14ac:dyDescent="0.2">
      <c r="AF48758" s="679"/>
    </row>
    <row r="48759" spans="32:32" x14ac:dyDescent="0.2">
      <c r="AF48759" s="679"/>
    </row>
    <row r="48760" spans="32:32" x14ac:dyDescent="0.2">
      <c r="AF48760" s="679"/>
    </row>
    <row r="48761" spans="32:32" x14ac:dyDescent="0.2">
      <c r="AF48761" s="679"/>
    </row>
    <row r="48762" spans="32:32" x14ac:dyDescent="0.2">
      <c r="AF48762" s="679"/>
    </row>
    <row r="48763" spans="32:32" x14ac:dyDescent="0.2">
      <c r="AF48763" s="679"/>
    </row>
    <row r="48764" spans="32:32" x14ac:dyDescent="0.2">
      <c r="AF48764" s="679"/>
    </row>
    <row r="48765" spans="32:32" x14ac:dyDescent="0.2">
      <c r="AF48765" s="679"/>
    </row>
    <row r="48766" spans="32:32" x14ac:dyDescent="0.2">
      <c r="AF48766" s="679"/>
    </row>
    <row r="48767" spans="32:32" x14ac:dyDescent="0.2">
      <c r="AF48767" s="679"/>
    </row>
    <row r="48768" spans="32:32" x14ac:dyDescent="0.2">
      <c r="AF48768" s="679"/>
    </row>
    <row r="48769" spans="32:32" x14ac:dyDescent="0.2">
      <c r="AF48769" s="679"/>
    </row>
    <row r="48770" spans="32:32" x14ac:dyDescent="0.2">
      <c r="AF48770" s="679"/>
    </row>
    <row r="48771" spans="32:32" x14ac:dyDescent="0.2">
      <c r="AF48771" s="679"/>
    </row>
    <row r="48772" spans="32:32" x14ac:dyDescent="0.2">
      <c r="AF48772" s="679"/>
    </row>
    <row r="48773" spans="32:32" x14ac:dyDescent="0.2">
      <c r="AF48773" s="679"/>
    </row>
    <row r="48774" spans="32:32" x14ac:dyDescent="0.2">
      <c r="AF48774" s="679"/>
    </row>
    <row r="48775" spans="32:32" x14ac:dyDescent="0.2">
      <c r="AF48775" s="679"/>
    </row>
    <row r="48776" spans="32:32" x14ac:dyDescent="0.2">
      <c r="AF48776" s="679"/>
    </row>
    <row r="48777" spans="32:32" x14ac:dyDescent="0.2">
      <c r="AF48777" s="679"/>
    </row>
    <row r="48778" spans="32:32" x14ac:dyDescent="0.2">
      <c r="AF48778" s="679"/>
    </row>
    <row r="48779" spans="32:32" x14ac:dyDescent="0.2">
      <c r="AF48779" s="679"/>
    </row>
    <row r="48780" spans="32:32" x14ac:dyDescent="0.2">
      <c r="AF48780" s="679"/>
    </row>
    <row r="48781" spans="32:32" x14ac:dyDescent="0.2">
      <c r="AF48781" s="679"/>
    </row>
    <row r="48782" spans="32:32" x14ac:dyDescent="0.2">
      <c r="AF48782" s="679"/>
    </row>
    <row r="48783" spans="32:32" x14ac:dyDescent="0.2">
      <c r="AF48783" s="679"/>
    </row>
    <row r="48784" spans="32:32" x14ac:dyDescent="0.2">
      <c r="AF48784" s="679"/>
    </row>
    <row r="48785" spans="32:32" x14ac:dyDescent="0.2">
      <c r="AF48785" s="679"/>
    </row>
    <row r="48786" spans="32:32" x14ac:dyDescent="0.2">
      <c r="AF48786" s="679"/>
    </row>
    <row r="48787" spans="32:32" x14ac:dyDescent="0.2">
      <c r="AF48787" s="679"/>
    </row>
    <row r="48788" spans="32:32" x14ac:dyDescent="0.2">
      <c r="AF48788" s="679"/>
    </row>
    <row r="48789" spans="32:32" x14ac:dyDescent="0.2">
      <c r="AF48789" s="679"/>
    </row>
    <row r="48790" spans="32:32" x14ac:dyDescent="0.2">
      <c r="AF48790" s="679"/>
    </row>
    <row r="48791" spans="32:32" x14ac:dyDescent="0.2">
      <c r="AF48791" s="679"/>
    </row>
    <row r="48792" spans="32:32" x14ac:dyDescent="0.2">
      <c r="AF48792" s="679"/>
    </row>
    <row r="48793" spans="32:32" x14ac:dyDescent="0.2">
      <c r="AF48793" s="679"/>
    </row>
    <row r="48794" spans="32:32" x14ac:dyDescent="0.2">
      <c r="AF48794" s="679"/>
    </row>
    <row r="48795" spans="32:32" x14ac:dyDescent="0.2">
      <c r="AF48795" s="679"/>
    </row>
    <row r="48796" spans="32:32" x14ac:dyDescent="0.2">
      <c r="AF48796" s="679"/>
    </row>
    <row r="48797" spans="32:32" x14ac:dyDescent="0.2">
      <c r="AF48797" s="679"/>
    </row>
    <row r="48798" spans="32:32" x14ac:dyDescent="0.2">
      <c r="AF48798" s="679"/>
    </row>
    <row r="48799" spans="32:32" x14ac:dyDescent="0.2">
      <c r="AF48799" s="679"/>
    </row>
    <row r="48800" spans="32:32" x14ac:dyDescent="0.2">
      <c r="AF48800" s="679"/>
    </row>
    <row r="48801" spans="32:32" x14ac:dyDescent="0.2">
      <c r="AF48801" s="679"/>
    </row>
    <row r="48802" spans="32:32" x14ac:dyDescent="0.2">
      <c r="AF48802" s="679"/>
    </row>
    <row r="48803" spans="32:32" x14ac:dyDescent="0.2">
      <c r="AF48803" s="679"/>
    </row>
    <row r="48804" spans="32:32" x14ac:dyDescent="0.2">
      <c r="AF48804" s="679"/>
    </row>
    <row r="48805" spans="32:32" x14ac:dyDescent="0.2">
      <c r="AF48805" s="679"/>
    </row>
    <row r="48806" spans="32:32" x14ac:dyDescent="0.2">
      <c r="AF48806" s="679"/>
    </row>
    <row r="48807" spans="32:32" x14ac:dyDescent="0.2">
      <c r="AF48807" s="679"/>
    </row>
    <row r="48808" spans="32:32" x14ac:dyDescent="0.2">
      <c r="AF48808" s="679"/>
    </row>
    <row r="48809" spans="32:32" x14ac:dyDescent="0.2">
      <c r="AF48809" s="679"/>
    </row>
    <row r="48810" spans="32:32" x14ac:dyDescent="0.2">
      <c r="AF48810" s="679"/>
    </row>
    <row r="48811" spans="32:32" x14ac:dyDescent="0.2">
      <c r="AF48811" s="679"/>
    </row>
    <row r="48812" spans="32:32" x14ac:dyDescent="0.2">
      <c r="AF48812" s="679"/>
    </row>
    <row r="48813" spans="32:32" x14ac:dyDescent="0.2">
      <c r="AF48813" s="679"/>
    </row>
    <row r="48814" spans="32:32" x14ac:dyDescent="0.2">
      <c r="AF48814" s="679"/>
    </row>
    <row r="48815" spans="32:32" x14ac:dyDescent="0.2">
      <c r="AF48815" s="679"/>
    </row>
    <row r="48816" spans="32:32" x14ac:dyDescent="0.2">
      <c r="AF48816" s="679"/>
    </row>
    <row r="48817" spans="32:32" x14ac:dyDescent="0.2">
      <c r="AF48817" s="679"/>
    </row>
    <row r="48818" spans="32:32" x14ac:dyDescent="0.2">
      <c r="AF48818" s="679"/>
    </row>
    <row r="48819" spans="32:32" x14ac:dyDescent="0.2">
      <c r="AF48819" s="679"/>
    </row>
    <row r="48820" spans="32:32" x14ac:dyDescent="0.2">
      <c r="AF48820" s="679"/>
    </row>
    <row r="48821" spans="32:32" x14ac:dyDescent="0.2">
      <c r="AF48821" s="679"/>
    </row>
    <row r="48822" spans="32:32" x14ac:dyDescent="0.2">
      <c r="AF48822" s="679"/>
    </row>
    <row r="48823" spans="32:32" x14ac:dyDescent="0.2">
      <c r="AF48823" s="679"/>
    </row>
    <row r="48824" spans="32:32" x14ac:dyDescent="0.2">
      <c r="AF48824" s="679"/>
    </row>
    <row r="48825" spans="32:32" x14ac:dyDescent="0.2">
      <c r="AF48825" s="679"/>
    </row>
    <row r="48826" spans="32:32" x14ac:dyDescent="0.2">
      <c r="AF48826" s="679"/>
    </row>
    <row r="48827" spans="32:32" x14ac:dyDescent="0.2">
      <c r="AF48827" s="679"/>
    </row>
    <row r="48828" spans="32:32" x14ac:dyDescent="0.2">
      <c r="AF48828" s="679"/>
    </row>
    <row r="48829" spans="32:32" x14ac:dyDescent="0.2">
      <c r="AF48829" s="679"/>
    </row>
    <row r="48830" spans="32:32" x14ac:dyDescent="0.2">
      <c r="AF48830" s="679"/>
    </row>
    <row r="48831" spans="32:32" x14ac:dyDescent="0.2">
      <c r="AF48831" s="679"/>
    </row>
    <row r="48832" spans="32:32" x14ac:dyDescent="0.2">
      <c r="AF48832" s="679"/>
    </row>
    <row r="48833" spans="32:32" x14ac:dyDescent="0.2">
      <c r="AF48833" s="679"/>
    </row>
    <row r="48834" spans="32:32" x14ac:dyDescent="0.2">
      <c r="AF48834" s="679"/>
    </row>
    <row r="48835" spans="32:32" x14ac:dyDescent="0.2">
      <c r="AF48835" s="679"/>
    </row>
    <row r="48836" spans="32:32" x14ac:dyDescent="0.2">
      <c r="AF48836" s="679"/>
    </row>
    <row r="48837" spans="32:32" x14ac:dyDescent="0.2">
      <c r="AF48837" s="679"/>
    </row>
    <row r="48838" spans="32:32" x14ac:dyDescent="0.2">
      <c r="AF48838" s="679"/>
    </row>
    <row r="48839" spans="32:32" x14ac:dyDescent="0.2">
      <c r="AF48839" s="679"/>
    </row>
    <row r="48840" spans="32:32" x14ac:dyDescent="0.2">
      <c r="AF48840" s="679"/>
    </row>
    <row r="48841" spans="32:32" x14ac:dyDescent="0.2">
      <c r="AF48841" s="679"/>
    </row>
    <row r="48842" spans="32:32" x14ac:dyDescent="0.2">
      <c r="AF48842" s="679"/>
    </row>
    <row r="48843" spans="32:32" x14ac:dyDescent="0.2">
      <c r="AF48843" s="679"/>
    </row>
    <row r="48844" spans="32:32" x14ac:dyDescent="0.2">
      <c r="AF48844" s="679"/>
    </row>
    <row r="48845" spans="32:32" x14ac:dyDescent="0.2">
      <c r="AF48845" s="679"/>
    </row>
    <row r="48846" spans="32:32" x14ac:dyDescent="0.2">
      <c r="AF48846" s="679"/>
    </row>
    <row r="48847" spans="32:32" x14ac:dyDescent="0.2">
      <c r="AF48847" s="679"/>
    </row>
    <row r="48848" spans="32:32" x14ac:dyDescent="0.2">
      <c r="AF48848" s="679"/>
    </row>
    <row r="48849" spans="32:32" x14ac:dyDescent="0.2">
      <c r="AF48849" s="679"/>
    </row>
    <row r="48850" spans="32:32" x14ac:dyDescent="0.2">
      <c r="AF48850" s="679"/>
    </row>
    <row r="48851" spans="32:32" x14ac:dyDescent="0.2">
      <c r="AF48851" s="679"/>
    </row>
    <row r="48852" spans="32:32" x14ac:dyDescent="0.2">
      <c r="AF48852" s="679"/>
    </row>
    <row r="48853" spans="32:32" x14ac:dyDescent="0.2">
      <c r="AF48853" s="679"/>
    </row>
    <row r="48854" spans="32:32" x14ac:dyDescent="0.2">
      <c r="AF48854" s="679"/>
    </row>
    <row r="48855" spans="32:32" x14ac:dyDescent="0.2">
      <c r="AF48855" s="679"/>
    </row>
    <row r="48856" spans="32:32" x14ac:dyDescent="0.2">
      <c r="AF48856" s="679"/>
    </row>
    <row r="48857" spans="32:32" x14ac:dyDescent="0.2">
      <c r="AF48857" s="679"/>
    </row>
    <row r="48858" spans="32:32" x14ac:dyDescent="0.2">
      <c r="AF48858" s="679"/>
    </row>
    <row r="48859" spans="32:32" x14ac:dyDescent="0.2">
      <c r="AF48859" s="679"/>
    </row>
    <row r="48860" spans="32:32" x14ac:dyDescent="0.2">
      <c r="AF48860" s="679"/>
    </row>
    <row r="48861" spans="32:32" x14ac:dyDescent="0.2">
      <c r="AF48861" s="679"/>
    </row>
    <row r="48862" spans="32:32" x14ac:dyDescent="0.2">
      <c r="AF48862" s="679"/>
    </row>
    <row r="48863" spans="32:32" x14ac:dyDescent="0.2">
      <c r="AF48863" s="679"/>
    </row>
    <row r="48864" spans="32:32" x14ac:dyDescent="0.2">
      <c r="AF48864" s="679"/>
    </row>
    <row r="48865" spans="32:32" x14ac:dyDescent="0.2">
      <c r="AF48865" s="679"/>
    </row>
    <row r="48866" spans="32:32" x14ac:dyDescent="0.2">
      <c r="AF48866" s="679"/>
    </row>
    <row r="48867" spans="32:32" x14ac:dyDescent="0.2">
      <c r="AF48867" s="679"/>
    </row>
    <row r="48868" spans="32:32" x14ac:dyDescent="0.2">
      <c r="AF48868" s="679"/>
    </row>
    <row r="48869" spans="32:32" x14ac:dyDescent="0.2">
      <c r="AF48869" s="679"/>
    </row>
    <row r="48870" spans="32:32" x14ac:dyDescent="0.2">
      <c r="AF48870" s="679"/>
    </row>
    <row r="48871" spans="32:32" x14ac:dyDescent="0.2">
      <c r="AF48871" s="679"/>
    </row>
    <row r="48872" spans="32:32" x14ac:dyDescent="0.2">
      <c r="AF48872" s="679"/>
    </row>
    <row r="48873" spans="32:32" x14ac:dyDescent="0.2">
      <c r="AF48873" s="679"/>
    </row>
    <row r="48874" spans="32:32" x14ac:dyDescent="0.2">
      <c r="AF48874" s="679"/>
    </row>
    <row r="48875" spans="32:32" x14ac:dyDescent="0.2">
      <c r="AF48875" s="679"/>
    </row>
    <row r="48876" spans="32:32" x14ac:dyDescent="0.2">
      <c r="AF48876" s="679"/>
    </row>
    <row r="48877" spans="32:32" x14ac:dyDescent="0.2">
      <c r="AF48877" s="679"/>
    </row>
    <row r="48878" spans="32:32" x14ac:dyDescent="0.2">
      <c r="AF48878" s="679"/>
    </row>
    <row r="48879" spans="32:32" x14ac:dyDescent="0.2">
      <c r="AF48879" s="679"/>
    </row>
    <row r="48880" spans="32:32" x14ac:dyDescent="0.2">
      <c r="AF48880" s="679"/>
    </row>
    <row r="48881" spans="32:32" x14ac:dyDescent="0.2">
      <c r="AF48881" s="679"/>
    </row>
    <row r="48882" spans="32:32" x14ac:dyDescent="0.2">
      <c r="AF48882" s="679"/>
    </row>
    <row r="48883" spans="32:32" x14ac:dyDescent="0.2">
      <c r="AF48883" s="679"/>
    </row>
    <row r="48884" spans="32:32" x14ac:dyDescent="0.2">
      <c r="AF48884" s="679"/>
    </row>
    <row r="48885" spans="32:32" x14ac:dyDescent="0.2">
      <c r="AF48885" s="679"/>
    </row>
    <row r="48886" spans="32:32" x14ac:dyDescent="0.2">
      <c r="AF48886" s="679"/>
    </row>
    <row r="48887" spans="32:32" x14ac:dyDescent="0.2">
      <c r="AF48887" s="679"/>
    </row>
    <row r="48888" spans="32:32" x14ac:dyDescent="0.2">
      <c r="AF48888" s="679"/>
    </row>
    <row r="48889" spans="32:32" x14ac:dyDescent="0.2">
      <c r="AF48889" s="679"/>
    </row>
    <row r="48890" spans="32:32" x14ac:dyDescent="0.2">
      <c r="AF48890" s="679"/>
    </row>
    <row r="48891" spans="32:32" x14ac:dyDescent="0.2">
      <c r="AF48891" s="679"/>
    </row>
    <row r="48892" spans="32:32" x14ac:dyDescent="0.2">
      <c r="AF48892" s="679"/>
    </row>
    <row r="48893" spans="32:32" x14ac:dyDescent="0.2">
      <c r="AF48893" s="679"/>
    </row>
    <row r="48894" spans="32:32" x14ac:dyDescent="0.2">
      <c r="AF48894" s="679"/>
    </row>
    <row r="48895" spans="32:32" x14ac:dyDescent="0.2">
      <c r="AF48895" s="679"/>
    </row>
    <row r="48896" spans="32:32" x14ac:dyDescent="0.2">
      <c r="AF48896" s="679"/>
    </row>
    <row r="48897" spans="32:32" x14ac:dyDescent="0.2">
      <c r="AF48897" s="679"/>
    </row>
    <row r="48898" spans="32:32" x14ac:dyDescent="0.2">
      <c r="AF48898" s="679"/>
    </row>
    <row r="48899" spans="32:32" x14ac:dyDescent="0.2">
      <c r="AF48899" s="679"/>
    </row>
    <row r="48900" spans="32:32" x14ac:dyDescent="0.2">
      <c r="AF48900" s="679"/>
    </row>
    <row r="48901" spans="32:32" x14ac:dyDescent="0.2">
      <c r="AF48901" s="679"/>
    </row>
    <row r="48902" spans="32:32" x14ac:dyDescent="0.2">
      <c r="AF48902" s="679"/>
    </row>
    <row r="48903" spans="32:32" x14ac:dyDescent="0.2">
      <c r="AF48903" s="679"/>
    </row>
    <row r="48904" spans="32:32" x14ac:dyDescent="0.2">
      <c r="AF48904" s="679"/>
    </row>
    <row r="48905" spans="32:32" x14ac:dyDescent="0.2">
      <c r="AF48905" s="679"/>
    </row>
    <row r="48906" spans="32:32" x14ac:dyDescent="0.2">
      <c r="AF48906" s="679"/>
    </row>
    <row r="48907" spans="32:32" x14ac:dyDescent="0.2">
      <c r="AF48907" s="679"/>
    </row>
    <row r="48908" spans="32:32" x14ac:dyDescent="0.2">
      <c r="AF48908" s="679"/>
    </row>
    <row r="48909" spans="32:32" x14ac:dyDescent="0.2">
      <c r="AF48909" s="679"/>
    </row>
    <row r="48910" spans="32:32" x14ac:dyDescent="0.2">
      <c r="AF48910" s="679"/>
    </row>
    <row r="48911" spans="32:32" x14ac:dyDescent="0.2">
      <c r="AF48911" s="679"/>
    </row>
    <row r="48912" spans="32:32" x14ac:dyDescent="0.2">
      <c r="AF48912" s="679"/>
    </row>
    <row r="48913" spans="32:32" x14ac:dyDescent="0.2">
      <c r="AF48913" s="679"/>
    </row>
    <row r="48914" spans="32:32" x14ac:dyDescent="0.2">
      <c r="AF48914" s="679"/>
    </row>
    <row r="48915" spans="32:32" x14ac:dyDescent="0.2">
      <c r="AF48915" s="679"/>
    </row>
    <row r="48916" spans="32:32" x14ac:dyDescent="0.2">
      <c r="AF48916" s="679"/>
    </row>
    <row r="48917" spans="32:32" x14ac:dyDescent="0.2">
      <c r="AF48917" s="679"/>
    </row>
    <row r="48918" spans="32:32" x14ac:dyDescent="0.2">
      <c r="AF48918" s="679"/>
    </row>
    <row r="48919" spans="32:32" x14ac:dyDescent="0.2">
      <c r="AF48919" s="679"/>
    </row>
    <row r="48920" spans="32:32" x14ac:dyDescent="0.2">
      <c r="AF48920" s="679"/>
    </row>
    <row r="48921" spans="32:32" x14ac:dyDescent="0.2">
      <c r="AF48921" s="679"/>
    </row>
    <row r="48922" spans="32:32" x14ac:dyDescent="0.2">
      <c r="AF48922" s="679"/>
    </row>
    <row r="48923" spans="32:32" x14ac:dyDescent="0.2">
      <c r="AF48923" s="679"/>
    </row>
    <row r="48924" spans="32:32" x14ac:dyDescent="0.2">
      <c r="AF48924" s="679"/>
    </row>
    <row r="48925" spans="32:32" x14ac:dyDescent="0.2">
      <c r="AF48925" s="679"/>
    </row>
    <row r="48926" spans="32:32" x14ac:dyDescent="0.2">
      <c r="AF48926" s="679"/>
    </row>
    <row r="48927" spans="32:32" x14ac:dyDescent="0.2">
      <c r="AF48927" s="679"/>
    </row>
    <row r="48928" spans="32:32" x14ac:dyDescent="0.2">
      <c r="AF48928" s="679"/>
    </row>
    <row r="48929" spans="32:32" x14ac:dyDescent="0.2">
      <c r="AF48929" s="679"/>
    </row>
    <row r="48930" spans="32:32" x14ac:dyDescent="0.2">
      <c r="AF48930" s="679"/>
    </row>
    <row r="48931" spans="32:32" x14ac:dyDescent="0.2">
      <c r="AF48931" s="679"/>
    </row>
    <row r="48932" spans="32:32" x14ac:dyDescent="0.2">
      <c r="AF48932" s="679"/>
    </row>
    <row r="48933" spans="32:32" x14ac:dyDescent="0.2">
      <c r="AF48933" s="679"/>
    </row>
    <row r="48934" spans="32:32" x14ac:dyDescent="0.2">
      <c r="AF48934" s="679"/>
    </row>
    <row r="48935" spans="32:32" x14ac:dyDescent="0.2">
      <c r="AF48935" s="679"/>
    </row>
    <row r="48936" spans="32:32" x14ac:dyDescent="0.2">
      <c r="AF48936" s="679"/>
    </row>
    <row r="48937" spans="32:32" x14ac:dyDescent="0.2">
      <c r="AF48937" s="679"/>
    </row>
    <row r="48938" spans="32:32" x14ac:dyDescent="0.2">
      <c r="AF48938" s="679"/>
    </row>
    <row r="48939" spans="32:32" x14ac:dyDescent="0.2">
      <c r="AF48939" s="679"/>
    </row>
    <row r="48940" spans="32:32" x14ac:dyDescent="0.2">
      <c r="AF48940" s="679"/>
    </row>
    <row r="48941" spans="32:32" x14ac:dyDescent="0.2">
      <c r="AF48941" s="679"/>
    </row>
    <row r="48942" spans="32:32" x14ac:dyDescent="0.2">
      <c r="AF48942" s="679"/>
    </row>
    <row r="48943" spans="32:32" x14ac:dyDescent="0.2">
      <c r="AF48943" s="679"/>
    </row>
    <row r="48944" spans="32:32" x14ac:dyDescent="0.2">
      <c r="AF48944" s="679"/>
    </row>
    <row r="48945" spans="32:32" x14ac:dyDescent="0.2">
      <c r="AF48945" s="679"/>
    </row>
    <row r="48946" spans="32:32" x14ac:dyDescent="0.2">
      <c r="AF48946" s="679"/>
    </row>
    <row r="48947" spans="32:32" x14ac:dyDescent="0.2">
      <c r="AF48947" s="679"/>
    </row>
    <row r="48948" spans="32:32" x14ac:dyDescent="0.2">
      <c r="AF48948" s="679"/>
    </row>
    <row r="48949" spans="32:32" x14ac:dyDescent="0.2">
      <c r="AF48949" s="679"/>
    </row>
    <row r="48950" spans="32:32" x14ac:dyDescent="0.2">
      <c r="AF48950" s="679"/>
    </row>
    <row r="48951" spans="32:32" x14ac:dyDescent="0.2">
      <c r="AF48951" s="679"/>
    </row>
    <row r="48952" spans="32:32" x14ac:dyDescent="0.2">
      <c r="AF48952" s="679"/>
    </row>
    <row r="48953" spans="32:32" x14ac:dyDescent="0.2">
      <c r="AF48953" s="679"/>
    </row>
    <row r="48954" spans="32:32" x14ac:dyDescent="0.2">
      <c r="AF48954" s="679"/>
    </row>
    <row r="48955" spans="32:32" x14ac:dyDescent="0.2">
      <c r="AF48955" s="679"/>
    </row>
    <row r="48956" spans="32:32" x14ac:dyDescent="0.2">
      <c r="AF48956" s="679"/>
    </row>
    <row r="48957" spans="32:32" x14ac:dyDescent="0.2">
      <c r="AF48957" s="679"/>
    </row>
    <row r="48958" spans="32:32" x14ac:dyDescent="0.2">
      <c r="AF48958" s="679"/>
    </row>
    <row r="48959" spans="32:32" x14ac:dyDescent="0.2">
      <c r="AF48959" s="679"/>
    </row>
    <row r="48960" spans="32:32" x14ac:dyDescent="0.2">
      <c r="AF48960" s="679"/>
    </row>
    <row r="48961" spans="32:32" x14ac:dyDescent="0.2">
      <c r="AF48961" s="679"/>
    </row>
    <row r="48962" spans="32:32" x14ac:dyDescent="0.2">
      <c r="AF48962" s="679"/>
    </row>
    <row r="48963" spans="32:32" x14ac:dyDescent="0.2">
      <c r="AF48963" s="679"/>
    </row>
    <row r="48964" spans="32:32" x14ac:dyDescent="0.2">
      <c r="AF48964" s="679"/>
    </row>
    <row r="48965" spans="32:32" x14ac:dyDescent="0.2">
      <c r="AF48965" s="679"/>
    </row>
    <row r="48966" spans="32:32" x14ac:dyDescent="0.2">
      <c r="AF48966" s="679"/>
    </row>
    <row r="48967" spans="32:32" x14ac:dyDescent="0.2">
      <c r="AF48967" s="679"/>
    </row>
    <row r="48968" spans="32:32" x14ac:dyDescent="0.2">
      <c r="AF48968" s="679"/>
    </row>
    <row r="48969" spans="32:32" x14ac:dyDescent="0.2">
      <c r="AF48969" s="679"/>
    </row>
    <row r="48970" spans="32:32" x14ac:dyDescent="0.2">
      <c r="AF48970" s="679"/>
    </row>
    <row r="48971" spans="32:32" x14ac:dyDescent="0.2">
      <c r="AF48971" s="679"/>
    </row>
    <row r="48972" spans="32:32" x14ac:dyDescent="0.2">
      <c r="AF48972" s="679"/>
    </row>
    <row r="48973" spans="32:32" x14ac:dyDescent="0.2">
      <c r="AF48973" s="679"/>
    </row>
    <row r="48974" spans="32:32" x14ac:dyDescent="0.2">
      <c r="AF48974" s="679"/>
    </row>
    <row r="48975" spans="32:32" x14ac:dyDescent="0.2">
      <c r="AF48975" s="679"/>
    </row>
    <row r="48976" spans="32:32" x14ac:dyDescent="0.2">
      <c r="AF48976" s="679"/>
    </row>
    <row r="48977" spans="32:32" x14ac:dyDescent="0.2">
      <c r="AF48977" s="679"/>
    </row>
    <row r="48978" spans="32:32" x14ac:dyDescent="0.2">
      <c r="AF48978" s="679"/>
    </row>
    <row r="48979" spans="32:32" x14ac:dyDescent="0.2">
      <c r="AF48979" s="679"/>
    </row>
    <row r="48980" spans="32:32" x14ac:dyDescent="0.2">
      <c r="AF48980" s="679"/>
    </row>
    <row r="48981" spans="32:32" x14ac:dyDescent="0.2">
      <c r="AF48981" s="679"/>
    </row>
    <row r="48982" spans="32:32" x14ac:dyDescent="0.2">
      <c r="AF48982" s="679"/>
    </row>
    <row r="48983" spans="32:32" x14ac:dyDescent="0.2">
      <c r="AF48983" s="679"/>
    </row>
    <row r="48984" spans="32:32" x14ac:dyDescent="0.2">
      <c r="AF48984" s="679"/>
    </row>
    <row r="48985" spans="32:32" x14ac:dyDescent="0.2">
      <c r="AF48985" s="679"/>
    </row>
    <row r="48986" spans="32:32" x14ac:dyDescent="0.2">
      <c r="AF48986" s="679"/>
    </row>
    <row r="48987" spans="32:32" x14ac:dyDescent="0.2">
      <c r="AF48987" s="679"/>
    </row>
    <row r="48988" spans="32:32" x14ac:dyDescent="0.2">
      <c r="AF48988" s="679"/>
    </row>
    <row r="48989" spans="32:32" x14ac:dyDescent="0.2">
      <c r="AF48989" s="679"/>
    </row>
    <row r="48990" spans="32:32" x14ac:dyDescent="0.2">
      <c r="AF48990" s="679"/>
    </row>
    <row r="48991" spans="32:32" x14ac:dyDescent="0.2">
      <c r="AF48991" s="679"/>
    </row>
    <row r="48992" spans="32:32" x14ac:dyDescent="0.2">
      <c r="AF48992" s="679"/>
    </row>
    <row r="48993" spans="32:32" x14ac:dyDescent="0.2">
      <c r="AF48993" s="679"/>
    </row>
    <row r="48994" spans="32:32" x14ac:dyDescent="0.2">
      <c r="AF48994" s="679"/>
    </row>
    <row r="48995" spans="32:32" x14ac:dyDescent="0.2">
      <c r="AF48995" s="679"/>
    </row>
    <row r="48996" spans="32:32" x14ac:dyDescent="0.2">
      <c r="AF48996" s="679"/>
    </row>
    <row r="48997" spans="32:32" x14ac:dyDescent="0.2">
      <c r="AF48997" s="679"/>
    </row>
    <row r="48998" spans="32:32" x14ac:dyDescent="0.2">
      <c r="AF48998" s="679"/>
    </row>
    <row r="48999" spans="32:32" x14ac:dyDescent="0.2">
      <c r="AF48999" s="679"/>
    </row>
    <row r="49000" spans="32:32" x14ac:dyDescent="0.2">
      <c r="AF49000" s="679"/>
    </row>
    <row r="49001" spans="32:32" x14ac:dyDescent="0.2">
      <c r="AF49001" s="679"/>
    </row>
    <row r="49002" spans="32:32" x14ac:dyDescent="0.2">
      <c r="AF49002" s="679"/>
    </row>
    <row r="49003" spans="32:32" x14ac:dyDescent="0.2">
      <c r="AF49003" s="679"/>
    </row>
    <row r="49004" spans="32:32" x14ac:dyDescent="0.2">
      <c r="AF49004" s="679"/>
    </row>
    <row r="49005" spans="32:32" x14ac:dyDescent="0.2">
      <c r="AF49005" s="679"/>
    </row>
    <row r="49006" spans="32:32" x14ac:dyDescent="0.2">
      <c r="AF49006" s="679"/>
    </row>
    <row r="49007" spans="32:32" x14ac:dyDescent="0.2">
      <c r="AF49007" s="679"/>
    </row>
    <row r="49008" spans="32:32" x14ac:dyDescent="0.2">
      <c r="AF49008" s="679"/>
    </row>
    <row r="49009" spans="32:32" x14ac:dyDescent="0.2">
      <c r="AF49009" s="679"/>
    </row>
    <row r="49010" spans="32:32" x14ac:dyDescent="0.2">
      <c r="AF49010" s="679"/>
    </row>
    <row r="49011" spans="32:32" x14ac:dyDescent="0.2">
      <c r="AF49011" s="679"/>
    </row>
    <row r="49012" spans="32:32" x14ac:dyDescent="0.2">
      <c r="AF49012" s="679"/>
    </row>
    <row r="49013" spans="32:32" x14ac:dyDescent="0.2">
      <c r="AF49013" s="679"/>
    </row>
    <row r="49014" spans="32:32" x14ac:dyDescent="0.2">
      <c r="AF49014" s="679"/>
    </row>
    <row r="49015" spans="32:32" x14ac:dyDescent="0.2">
      <c r="AF49015" s="679"/>
    </row>
    <row r="49016" spans="32:32" x14ac:dyDescent="0.2">
      <c r="AF49016" s="679"/>
    </row>
    <row r="49017" spans="32:32" x14ac:dyDescent="0.2">
      <c r="AF49017" s="679"/>
    </row>
    <row r="49018" spans="32:32" x14ac:dyDescent="0.2">
      <c r="AF49018" s="679"/>
    </row>
    <row r="49019" spans="32:32" x14ac:dyDescent="0.2">
      <c r="AF49019" s="679"/>
    </row>
    <row r="49020" spans="32:32" x14ac:dyDescent="0.2">
      <c r="AF49020" s="679"/>
    </row>
    <row r="49021" spans="32:32" x14ac:dyDescent="0.2">
      <c r="AF49021" s="679"/>
    </row>
    <row r="49022" spans="32:32" x14ac:dyDescent="0.2">
      <c r="AF49022" s="679"/>
    </row>
    <row r="49023" spans="32:32" x14ac:dyDescent="0.2">
      <c r="AF49023" s="679"/>
    </row>
    <row r="49024" spans="32:32" x14ac:dyDescent="0.2">
      <c r="AF49024" s="679"/>
    </row>
    <row r="49025" spans="32:32" x14ac:dyDescent="0.2">
      <c r="AF49025" s="679"/>
    </row>
    <row r="49026" spans="32:32" x14ac:dyDescent="0.2">
      <c r="AF49026" s="679"/>
    </row>
    <row r="49027" spans="32:32" x14ac:dyDescent="0.2">
      <c r="AF49027" s="679"/>
    </row>
    <row r="49028" spans="32:32" x14ac:dyDescent="0.2">
      <c r="AF49028" s="679"/>
    </row>
    <row r="49029" spans="32:32" x14ac:dyDescent="0.2">
      <c r="AF49029" s="679"/>
    </row>
    <row r="49030" spans="32:32" x14ac:dyDescent="0.2">
      <c r="AF49030" s="679"/>
    </row>
    <row r="49031" spans="32:32" x14ac:dyDescent="0.2">
      <c r="AF49031" s="679"/>
    </row>
    <row r="49032" spans="32:32" x14ac:dyDescent="0.2">
      <c r="AF49032" s="679"/>
    </row>
    <row r="49033" spans="32:32" x14ac:dyDescent="0.2">
      <c r="AF49033" s="679"/>
    </row>
    <row r="49034" spans="32:32" x14ac:dyDescent="0.2">
      <c r="AF49034" s="679"/>
    </row>
    <row r="49035" spans="32:32" x14ac:dyDescent="0.2">
      <c r="AF49035" s="679"/>
    </row>
    <row r="49036" spans="32:32" x14ac:dyDescent="0.2">
      <c r="AF49036" s="679"/>
    </row>
    <row r="49037" spans="32:32" x14ac:dyDescent="0.2">
      <c r="AF49037" s="679"/>
    </row>
    <row r="49038" spans="32:32" x14ac:dyDescent="0.2">
      <c r="AF49038" s="679"/>
    </row>
    <row r="49039" spans="32:32" x14ac:dyDescent="0.2">
      <c r="AF49039" s="679"/>
    </row>
    <row r="49040" spans="32:32" x14ac:dyDescent="0.2">
      <c r="AF49040" s="679"/>
    </row>
    <row r="49041" spans="32:32" x14ac:dyDescent="0.2">
      <c r="AF49041" s="679"/>
    </row>
    <row r="49042" spans="32:32" x14ac:dyDescent="0.2">
      <c r="AF49042" s="679"/>
    </row>
    <row r="49043" spans="32:32" x14ac:dyDescent="0.2">
      <c r="AF49043" s="679"/>
    </row>
    <row r="49044" spans="32:32" x14ac:dyDescent="0.2">
      <c r="AF49044" s="679"/>
    </row>
    <row r="49045" spans="32:32" x14ac:dyDescent="0.2">
      <c r="AF49045" s="679"/>
    </row>
    <row r="49046" spans="32:32" x14ac:dyDescent="0.2">
      <c r="AF49046" s="679"/>
    </row>
    <row r="49047" spans="32:32" x14ac:dyDescent="0.2">
      <c r="AF49047" s="679"/>
    </row>
    <row r="49048" spans="32:32" x14ac:dyDescent="0.2">
      <c r="AF49048" s="679"/>
    </row>
    <row r="49049" spans="32:32" x14ac:dyDescent="0.2">
      <c r="AF49049" s="679"/>
    </row>
    <row r="49050" spans="32:32" x14ac:dyDescent="0.2">
      <c r="AF49050" s="679"/>
    </row>
    <row r="49051" spans="32:32" x14ac:dyDescent="0.2">
      <c r="AF49051" s="679"/>
    </row>
    <row r="49052" spans="32:32" x14ac:dyDescent="0.2">
      <c r="AF49052" s="679"/>
    </row>
    <row r="49053" spans="32:32" x14ac:dyDescent="0.2">
      <c r="AF49053" s="679"/>
    </row>
    <row r="49054" spans="32:32" x14ac:dyDescent="0.2">
      <c r="AF49054" s="679"/>
    </row>
    <row r="49055" spans="32:32" x14ac:dyDescent="0.2">
      <c r="AF49055" s="679"/>
    </row>
    <row r="49056" spans="32:32" x14ac:dyDescent="0.2">
      <c r="AF49056" s="679"/>
    </row>
    <row r="49057" spans="32:32" x14ac:dyDescent="0.2">
      <c r="AF49057" s="679"/>
    </row>
    <row r="49058" spans="32:32" x14ac:dyDescent="0.2">
      <c r="AF49058" s="679"/>
    </row>
    <row r="49059" spans="32:32" x14ac:dyDescent="0.2">
      <c r="AF49059" s="679"/>
    </row>
    <row r="49060" spans="32:32" x14ac:dyDescent="0.2">
      <c r="AF49060" s="679"/>
    </row>
    <row r="49061" spans="32:32" x14ac:dyDescent="0.2">
      <c r="AF49061" s="679"/>
    </row>
    <row r="49062" spans="32:32" x14ac:dyDescent="0.2">
      <c r="AF49062" s="679"/>
    </row>
    <row r="49063" spans="32:32" x14ac:dyDescent="0.2">
      <c r="AF49063" s="679"/>
    </row>
    <row r="49064" spans="32:32" x14ac:dyDescent="0.2">
      <c r="AF49064" s="679"/>
    </row>
    <row r="49065" spans="32:32" x14ac:dyDescent="0.2">
      <c r="AF49065" s="679"/>
    </row>
    <row r="49066" spans="32:32" x14ac:dyDescent="0.2">
      <c r="AF49066" s="679"/>
    </row>
    <row r="49067" spans="32:32" x14ac:dyDescent="0.2">
      <c r="AF49067" s="679"/>
    </row>
    <row r="49068" spans="32:32" x14ac:dyDescent="0.2">
      <c r="AF49068" s="679"/>
    </row>
    <row r="49069" spans="32:32" x14ac:dyDescent="0.2">
      <c r="AF49069" s="679"/>
    </row>
    <row r="49070" spans="32:32" x14ac:dyDescent="0.2">
      <c r="AF49070" s="679"/>
    </row>
    <row r="49071" spans="32:32" x14ac:dyDescent="0.2">
      <c r="AF49071" s="679"/>
    </row>
    <row r="49072" spans="32:32" x14ac:dyDescent="0.2">
      <c r="AF49072" s="679"/>
    </row>
    <row r="49073" spans="32:32" x14ac:dyDescent="0.2">
      <c r="AF49073" s="679"/>
    </row>
    <row r="49074" spans="32:32" x14ac:dyDescent="0.2">
      <c r="AF49074" s="679"/>
    </row>
    <row r="49075" spans="32:32" x14ac:dyDescent="0.2">
      <c r="AF49075" s="679"/>
    </row>
    <row r="49076" spans="32:32" x14ac:dyDescent="0.2">
      <c r="AF49076" s="679"/>
    </row>
    <row r="49077" spans="32:32" x14ac:dyDescent="0.2">
      <c r="AF49077" s="679"/>
    </row>
    <row r="49078" spans="32:32" x14ac:dyDescent="0.2">
      <c r="AF49078" s="679"/>
    </row>
    <row r="49079" spans="32:32" x14ac:dyDescent="0.2">
      <c r="AF49079" s="679"/>
    </row>
    <row r="49080" spans="32:32" x14ac:dyDescent="0.2">
      <c r="AF49080" s="679"/>
    </row>
    <row r="49081" spans="32:32" x14ac:dyDescent="0.2">
      <c r="AF49081" s="679"/>
    </row>
    <row r="49082" spans="32:32" x14ac:dyDescent="0.2">
      <c r="AF49082" s="679"/>
    </row>
    <row r="49083" spans="32:32" x14ac:dyDescent="0.2">
      <c r="AF49083" s="679"/>
    </row>
    <row r="49084" spans="32:32" x14ac:dyDescent="0.2">
      <c r="AF49084" s="679"/>
    </row>
    <row r="49085" spans="32:32" x14ac:dyDescent="0.2">
      <c r="AF49085" s="679"/>
    </row>
    <row r="49086" spans="32:32" x14ac:dyDescent="0.2">
      <c r="AF49086" s="679"/>
    </row>
    <row r="49087" spans="32:32" x14ac:dyDescent="0.2">
      <c r="AF49087" s="679"/>
    </row>
    <row r="49088" spans="32:32" x14ac:dyDescent="0.2">
      <c r="AF49088" s="679"/>
    </row>
    <row r="49089" spans="32:32" x14ac:dyDescent="0.2">
      <c r="AF49089" s="679"/>
    </row>
    <row r="49090" spans="32:32" x14ac:dyDescent="0.2">
      <c r="AF49090" s="679"/>
    </row>
    <row r="49091" spans="32:32" x14ac:dyDescent="0.2">
      <c r="AF49091" s="679"/>
    </row>
    <row r="49092" spans="32:32" x14ac:dyDescent="0.2">
      <c r="AF49092" s="679"/>
    </row>
    <row r="49093" spans="32:32" x14ac:dyDescent="0.2">
      <c r="AF49093" s="679"/>
    </row>
    <row r="49094" spans="32:32" x14ac:dyDescent="0.2">
      <c r="AF49094" s="679"/>
    </row>
    <row r="49095" spans="32:32" x14ac:dyDescent="0.2">
      <c r="AF49095" s="679"/>
    </row>
    <row r="49096" spans="32:32" x14ac:dyDescent="0.2">
      <c r="AF49096" s="679"/>
    </row>
    <row r="49097" spans="32:32" x14ac:dyDescent="0.2">
      <c r="AF49097" s="679"/>
    </row>
    <row r="49098" spans="32:32" x14ac:dyDescent="0.2">
      <c r="AF49098" s="679"/>
    </row>
    <row r="49099" spans="32:32" x14ac:dyDescent="0.2">
      <c r="AF49099" s="679"/>
    </row>
    <row r="49100" spans="32:32" x14ac:dyDescent="0.2">
      <c r="AF49100" s="679"/>
    </row>
    <row r="49101" spans="32:32" x14ac:dyDescent="0.2">
      <c r="AF49101" s="679"/>
    </row>
    <row r="49102" spans="32:32" x14ac:dyDescent="0.2">
      <c r="AF49102" s="679"/>
    </row>
    <row r="49103" spans="32:32" x14ac:dyDescent="0.2">
      <c r="AF49103" s="679"/>
    </row>
    <row r="49104" spans="32:32" x14ac:dyDescent="0.2">
      <c r="AF49104" s="679"/>
    </row>
    <row r="49105" spans="32:32" x14ac:dyDescent="0.2">
      <c r="AF49105" s="679"/>
    </row>
    <row r="49106" spans="32:32" x14ac:dyDescent="0.2">
      <c r="AF49106" s="679"/>
    </row>
    <row r="49107" spans="32:32" x14ac:dyDescent="0.2">
      <c r="AF49107" s="679"/>
    </row>
    <row r="49108" spans="32:32" x14ac:dyDescent="0.2">
      <c r="AF49108" s="679"/>
    </row>
    <row r="49109" spans="32:32" x14ac:dyDescent="0.2">
      <c r="AF49109" s="679"/>
    </row>
    <row r="49110" spans="32:32" x14ac:dyDescent="0.2">
      <c r="AF49110" s="679"/>
    </row>
    <row r="49111" spans="32:32" x14ac:dyDescent="0.2">
      <c r="AF49111" s="679"/>
    </row>
    <row r="49112" spans="32:32" x14ac:dyDescent="0.2">
      <c r="AF49112" s="679"/>
    </row>
    <row r="49113" spans="32:32" x14ac:dyDescent="0.2">
      <c r="AF49113" s="679"/>
    </row>
    <row r="49114" spans="32:32" x14ac:dyDescent="0.2">
      <c r="AF49114" s="679"/>
    </row>
    <row r="49115" spans="32:32" x14ac:dyDescent="0.2">
      <c r="AF49115" s="679"/>
    </row>
    <row r="49116" spans="32:32" x14ac:dyDescent="0.2">
      <c r="AF49116" s="679"/>
    </row>
    <row r="49117" spans="32:32" x14ac:dyDescent="0.2">
      <c r="AF49117" s="679"/>
    </row>
    <row r="49118" spans="32:32" x14ac:dyDescent="0.2">
      <c r="AF49118" s="679"/>
    </row>
    <row r="49119" spans="32:32" x14ac:dyDescent="0.2">
      <c r="AF49119" s="679"/>
    </row>
    <row r="49120" spans="32:32" x14ac:dyDescent="0.2">
      <c r="AF49120" s="679"/>
    </row>
    <row r="49121" spans="32:32" x14ac:dyDescent="0.2">
      <c r="AF49121" s="679"/>
    </row>
    <row r="49122" spans="32:32" x14ac:dyDescent="0.2">
      <c r="AF49122" s="679"/>
    </row>
    <row r="49123" spans="32:32" x14ac:dyDescent="0.2">
      <c r="AF49123" s="679"/>
    </row>
    <row r="49124" spans="32:32" x14ac:dyDescent="0.2">
      <c r="AF49124" s="679"/>
    </row>
    <row r="49125" spans="32:32" x14ac:dyDescent="0.2">
      <c r="AF49125" s="679"/>
    </row>
    <row r="49126" spans="32:32" x14ac:dyDescent="0.2">
      <c r="AF49126" s="679"/>
    </row>
    <row r="49127" spans="32:32" x14ac:dyDescent="0.2">
      <c r="AF49127" s="679"/>
    </row>
    <row r="49128" spans="32:32" x14ac:dyDescent="0.2">
      <c r="AF49128" s="679"/>
    </row>
    <row r="49129" spans="32:32" x14ac:dyDescent="0.2">
      <c r="AF49129" s="679"/>
    </row>
    <row r="49130" spans="32:32" x14ac:dyDescent="0.2">
      <c r="AF49130" s="679"/>
    </row>
    <row r="49131" spans="32:32" x14ac:dyDescent="0.2">
      <c r="AF49131" s="679"/>
    </row>
    <row r="49132" spans="32:32" x14ac:dyDescent="0.2">
      <c r="AF49132" s="679"/>
    </row>
    <row r="49133" spans="32:32" x14ac:dyDescent="0.2">
      <c r="AF49133" s="679"/>
    </row>
    <row r="49134" spans="32:32" x14ac:dyDescent="0.2">
      <c r="AF49134" s="679"/>
    </row>
    <row r="49135" spans="32:32" x14ac:dyDescent="0.2">
      <c r="AF49135" s="679"/>
    </row>
    <row r="49136" spans="32:32" x14ac:dyDescent="0.2">
      <c r="AF49136" s="679"/>
    </row>
    <row r="49137" spans="32:32" x14ac:dyDescent="0.2">
      <c r="AF49137" s="679"/>
    </row>
    <row r="49138" spans="32:32" x14ac:dyDescent="0.2">
      <c r="AF49138" s="679"/>
    </row>
    <row r="49139" spans="32:32" x14ac:dyDescent="0.2">
      <c r="AF49139" s="679"/>
    </row>
    <row r="49140" spans="32:32" x14ac:dyDescent="0.2">
      <c r="AF49140" s="679"/>
    </row>
    <row r="49141" spans="32:32" x14ac:dyDescent="0.2">
      <c r="AF49141" s="679"/>
    </row>
    <row r="49142" spans="32:32" x14ac:dyDescent="0.2">
      <c r="AF49142" s="679"/>
    </row>
    <row r="49143" spans="32:32" x14ac:dyDescent="0.2">
      <c r="AF49143" s="679"/>
    </row>
    <row r="49144" spans="32:32" x14ac:dyDescent="0.2">
      <c r="AF49144" s="679"/>
    </row>
    <row r="49145" spans="32:32" x14ac:dyDescent="0.2">
      <c r="AF49145" s="679"/>
    </row>
    <row r="49146" spans="32:32" x14ac:dyDescent="0.2">
      <c r="AF49146" s="679"/>
    </row>
    <row r="49147" spans="32:32" x14ac:dyDescent="0.2">
      <c r="AF49147" s="679"/>
    </row>
    <row r="49148" spans="32:32" x14ac:dyDescent="0.2">
      <c r="AF49148" s="679"/>
    </row>
    <row r="49149" spans="32:32" x14ac:dyDescent="0.2">
      <c r="AF49149" s="679"/>
    </row>
    <row r="49150" spans="32:32" x14ac:dyDescent="0.2">
      <c r="AF49150" s="679"/>
    </row>
    <row r="49151" spans="32:32" x14ac:dyDescent="0.2">
      <c r="AF49151" s="679"/>
    </row>
    <row r="49152" spans="32:32" x14ac:dyDescent="0.2">
      <c r="AF49152" s="679"/>
    </row>
    <row r="49153" spans="32:32" x14ac:dyDescent="0.2">
      <c r="AF49153" s="679"/>
    </row>
    <row r="49154" spans="32:32" x14ac:dyDescent="0.2">
      <c r="AF49154" s="679"/>
    </row>
    <row r="49155" spans="32:32" x14ac:dyDescent="0.2">
      <c r="AF49155" s="679"/>
    </row>
    <row r="49156" spans="32:32" x14ac:dyDescent="0.2">
      <c r="AF49156" s="679"/>
    </row>
    <row r="49157" spans="32:32" x14ac:dyDescent="0.2">
      <c r="AF49157" s="679"/>
    </row>
    <row r="49158" spans="32:32" x14ac:dyDescent="0.2">
      <c r="AF49158" s="679"/>
    </row>
    <row r="49159" spans="32:32" x14ac:dyDescent="0.2">
      <c r="AF49159" s="679"/>
    </row>
    <row r="49160" spans="32:32" x14ac:dyDescent="0.2">
      <c r="AF49160" s="679"/>
    </row>
    <row r="49161" spans="32:32" x14ac:dyDescent="0.2">
      <c r="AF49161" s="679"/>
    </row>
    <row r="49162" spans="32:32" x14ac:dyDescent="0.2">
      <c r="AF49162" s="679"/>
    </row>
    <row r="49163" spans="32:32" x14ac:dyDescent="0.2">
      <c r="AF49163" s="679"/>
    </row>
    <row r="49164" spans="32:32" x14ac:dyDescent="0.2">
      <c r="AF49164" s="679"/>
    </row>
    <row r="49165" spans="32:32" x14ac:dyDescent="0.2">
      <c r="AF49165" s="679"/>
    </row>
    <row r="49166" spans="32:32" x14ac:dyDescent="0.2">
      <c r="AF49166" s="679"/>
    </row>
    <row r="49167" spans="32:32" x14ac:dyDescent="0.2">
      <c r="AF49167" s="679"/>
    </row>
    <row r="49168" spans="32:32" x14ac:dyDescent="0.2">
      <c r="AF49168" s="679"/>
    </row>
    <row r="49169" spans="32:32" x14ac:dyDescent="0.2">
      <c r="AF49169" s="679"/>
    </row>
    <row r="49170" spans="32:32" x14ac:dyDescent="0.2">
      <c r="AF49170" s="679"/>
    </row>
    <row r="49171" spans="32:32" x14ac:dyDescent="0.2">
      <c r="AF49171" s="679"/>
    </row>
    <row r="49172" spans="32:32" x14ac:dyDescent="0.2">
      <c r="AF49172" s="679"/>
    </row>
    <row r="49173" spans="32:32" x14ac:dyDescent="0.2">
      <c r="AF49173" s="679"/>
    </row>
    <row r="49174" spans="32:32" x14ac:dyDescent="0.2">
      <c r="AF49174" s="679"/>
    </row>
    <row r="49175" spans="32:32" x14ac:dyDescent="0.2">
      <c r="AF49175" s="679"/>
    </row>
    <row r="49176" spans="32:32" x14ac:dyDescent="0.2">
      <c r="AF49176" s="679"/>
    </row>
    <row r="49177" spans="32:32" x14ac:dyDescent="0.2">
      <c r="AF49177" s="679"/>
    </row>
    <row r="49178" spans="32:32" x14ac:dyDescent="0.2">
      <c r="AF49178" s="679"/>
    </row>
    <row r="49179" spans="32:32" x14ac:dyDescent="0.2">
      <c r="AF49179" s="679"/>
    </row>
    <row r="49180" spans="32:32" x14ac:dyDescent="0.2">
      <c r="AF49180" s="679"/>
    </row>
    <row r="49181" spans="32:32" x14ac:dyDescent="0.2">
      <c r="AF49181" s="679"/>
    </row>
    <row r="49182" spans="32:32" x14ac:dyDescent="0.2">
      <c r="AF49182" s="679"/>
    </row>
    <row r="49183" spans="32:32" x14ac:dyDescent="0.2">
      <c r="AF49183" s="679"/>
    </row>
    <row r="49184" spans="32:32" x14ac:dyDescent="0.2">
      <c r="AF49184" s="679"/>
    </row>
    <row r="49185" spans="32:32" x14ac:dyDescent="0.2">
      <c r="AF49185" s="679"/>
    </row>
    <row r="49186" spans="32:32" x14ac:dyDescent="0.2">
      <c r="AF49186" s="679"/>
    </row>
    <row r="49187" spans="32:32" x14ac:dyDescent="0.2">
      <c r="AF49187" s="679"/>
    </row>
    <row r="49188" spans="32:32" x14ac:dyDescent="0.2">
      <c r="AF49188" s="679"/>
    </row>
    <row r="49189" spans="32:32" x14ac:dyDescent="0.2">
      <c r="AF49189" s="679"/>
    </row>
    <row r="49190" spans="32:32" x14ac:dyDescent="0.2">
      <c r="AF49190" s="679"/>
    </row>
    <row r="49191" spans="32:32" x14ac:dyDescent="0.2">
      <c r="AF49191" s="679"/>
    </row>
    <row r="49192" spans="32:32" x14ac:dyDescent="0.2">
      <c r="AF49192" s="679"/>
    </row>
    <row r="49193" spans="32:32" x14ac:dyDescent="0.2">
      <c r="AF49193" s="679"/>
    </row>
    <row r="49194" spans="32:32" x14ac:dyDescent="0.2">
      <c r="AF49194" s="679"/>
    </row>
    <row r="49195" spans="32:32" x14ac:dyDescent="0.2">
      <c r="AF49195" s="679"/>
    </row>
    <row r="49196" spans="32:32" x14ac:dyDescent="0.2">
      <c r="AF49196" s="679"/>
    </row>
    <row r="49197" spans="32:32" x14ac:dyDescent="0.2">
      <c r="AF49197" s="679"/>
    </row>
    <row r="49198" spans="32:32" x14ac:dyDescent="0.2">
      <c r="AF49198" s="679"/>
    </row>
    <row r="49199" spans="32:32" x14ac:dyDescent="0.2">
      <c r="AF49199" s="679"/>
    </row>
    <row r="49200" spans="32:32" x14ac:dyDescent="0.2">
      <c r="AF49200" s="679"/>
    </row>
    <row r="49201" spans="32:32" x14ac:dyDescent="0.2">
      <c r="AF49201" s="679"/>
    </row>
    <row r="49202" spans="32:32" x14ac:dyDescent="0.2">
      <c r="AF49202" s="679"/>
    </row>
    <row r="49203" spans="32:32" x14ac:dyDescent="0.2">
      <c r="AF49203" s="679"/>
    </row>
    <row r="49204" spans="32:32" x14ac:dyDescent="0.2">
      <c r="AF49204" s="679"/>
    </row>
    <row r="49205" spans="32:32" x14ac:dyDescent="0.2">
      <c r="AF49205" s="679"/>
    </row>
    <row r="49206" spans="32:32" x14ac:dyDescent="0.2">
      <c r="AF49206" s="679"/>
    </row>
    <row r="49207" spans="32:32" x14ac:dyDescent="0.2">
      <c r="AF49207" s="679"/>
    </row>
    <row r="49208" spans="32:32" x14ac:dyDescent="0.2">
      <c r="AF49208" s="679"/>
    </row>
    <row r="49209" spans="32:32" x14ac:dyDescent="0.2">
      <c r="AF49209" s="679"/>
    </row>
    <row r="49210" spans="32:32" x14ac:dyDescent="0.2">
      <c r="AF49210" s="679"/>
    </row>
    <row r="49211" spans="32:32" x14ac:dyDescent="0.2">
      <c r="AF49211" s="679"/>
    </row>
    <row r="49212" spans="32:32" x14ac:dyDescent="0.2">
      <c r="AF49212" s="679"/>
    </row>
    <row r="49213" spans="32:32" x14ac:dyDescent="0.2">
      <c r="AF49213" s="679"/>
    </row>
    <row r="49214" spans="32:32" x14ac:dyDescent="0.2">
      <c r="AF49214" s="679"/>
    </row>
    <row r="49215" spans="32:32" x14ac:dyDescent="0.2">
      <c r="AF49215" s="679"/>
    </row>
    <row r="49216" spans="32:32" x14ac:dyDescent="0.2">
      <c r="AF49216" s="679"/>
    </row>
    <row r="49217" spans="32:32" x14ac:dyDescent="0.2">
      <c r="AF49217" s="679"/>
    </row>
    <row r="49218" spans="32:32" x14ac:dyDescent="0.2">
      <c r="AF49218" s="679"/>
    </row>
    <row r="49219" spans="32:32" x14ac:dyDescent="0.2">
      <c r="AF49219" s="679"/>
    </row>
    <row r="49220" spans="32:32" x14ac:dyDescent="0.2">
      <c r="AF49220" s="679"/>
    </row>
    <row r="49221" spans="32:32" x14ac:dyDescent="0.2">
      <c r="AF49221" s="679"/>
    </row>
    <row r="49222" spans="32:32" x14ac:dyDescent="0.2">
      <c r="AF49222" s="679"/>
    </row>
    <row r="49223" spans="32:32" x14ac:dyDescent="0.2">
      <c r="AF49223" s="679"/>
    </row>
    <row r="49224" spans="32:32" x14ac:dyDescent="0.2">
      <c r="AF49224" s="679"/>
    </row>
    <row r="49225" spans="32:32" x14ac:dyDescent="0.2">
      <c r="AF49225" s="679"/>
    </row>
    <row r="49226" spans="32:32" x14ac:dyDescent="0.2">
      <c r="AF49226" s="679"/>
    </row>
    <row r="49227" spans="32:32" x14ac:dyDescent="0.2">
      <c r="AF49227" s="679"/>
    </row>
    <row r="49228" spans="32:32" x14ac:dyDescent="0.2">
      <c r="AF49228" s="679"/>
    </row>
    <row r="49229" spans="32:32" x14ac:dyDescent="0.2">
      <c r="AF49229" s="679"/>
    </row>
    <row r="49230" spans="32:32" x14ac:dyDescent="0.2">
      <c r="AF49230" s="679"/>
    </row>
    <row r="49231" spans="32:32" x14ac:dyDescent="0.2">
      <c r="AF49231" s="679"/>
    </row>
    <row r="49232" spans="32:32" x14ac:dyDescent="0.2">
      <c r="AF49232" s="679"/>
    </row>
    <row r="49233" spans="32:32" x14ac:dyDescent="0.2">
      <c r="AF49233" s="679"/>
    </row>
    <row r="49234" spans="32:32" x14ac:dyDescent="0.2">
      <c r="AF49234" s="679"/>
    </row>
    <row r="49235" spans="32:32" x14ac:dyDescent="0.2">
      <c r="AF49235" s="679"/>
    </row>
    <row r="49236" spans="32:32" x14ac:dyDescent="0.2">
      <c r="AF49236" s="679"/>
    </row>
    <row r="49237" spans="32:32" x14ac:dyDescent="0.2">
      <c r="AF49237" s="679"/>
    </row>
    <row r="49238" spans="32:32" x14ac:dyDescent="0.2">
      <c r="AF49238" s="679"/>
    </row>
    <row r="49239" spans="32:32" x14ac:dyDescent="0.2">
      <c r="AF49239" s="679"/>
    </row>
    <row r="49240" spans="32:32" x14ac:dyDescent="0.2">
      <c r="AF49240" s="679"/>
    </row>
    <row r="49241" spans="32:32" x14ac:dyDescent="0.2">
      <c r="AF49241" s="679"/>
    </row>
    <row r="49242" spans="32:32" x14ac:dyDescent="0.2">
      <c r="AF49242" s="679"/>
    </row>
    <row r="49243" spans="32:32" x14ac:dyDescent="0.2">
      <c r="AF49243" s="679"/>
    </row>
    <row r="49244" spans="32:32" x14ac:dyDescent="0.2">
      <c r="AF49244" s="679"/>
    </row>
    <row r="49245" spans="32:32" x14ac:dyDescent="0.2">
      <c r="AF49245" s="679"/>
    </row>
    <row r="49246" spans="32:32" x14ac:dyDescent="0.2">
      <c r="AF49246" s="679"/>
    </row>
    <row r="49247" spans="32:32" x14ac:dyDescent="0.2">
      <c r="AF49247" s="679"/>
    </row>
    <row r="49248" spans="32:32" x14ac:dyDescent="0.2">
      <c r="AF49248" s="679"/>
    </row>
    <row r="49249" spans="32:32" x14ac:dyDescent="0.2">
      <c r="AF49249" s="679"/>
    </row>
    <row r="49250" spans="32:32" x14ac:dyDescent="0.2">
      <c r="AF49250" s="679"/>
    </row>
    <row r="49251" spans="32:32" x14ac:dyDescent="0.2">
      <c r="AF49251" s="679"/>
    </row>
    <row r="49252" spans="32:32" x14ac:dyDescent="0.2">
      <c r="AF49252" s="679"/>
    </row>
    <row r="49253" spans="32:32" x14ac:dyDescent="0.2">
      <c r="AF49253" s="679"/>
    </row>
    <row r="49254" spans="32:32" x14ac:dyDescent="0.2">
      <c r="AF49254" s="679"/>
    </row>
    <row r="49255" spans="32:32" x14ac:dyDescent="0.2">
      <c r="AF49255" s="679"/>
    </row>
    <row r="49256" spans="32:32" x14ac:dyDescent="0.2">
      <c r="AF49256" s="679"/>
    </row>
    <row r="49257" spans="32:32" x14ac:dyDescent="0.2">
      <c r="AF49257" s="679"/>
    </row>
    <row r="49258" spans="32:32" x14ac:dyDescent="0.2">
      <c r="AF49258" s="679"/>
    </row>
    <row r="49259" spans="32:32" x14ac:dyDescent="0.2">
      <c r="AF49259" s="679"/>
    </row>
    <row r="49260" spans="32:32" x14ac:dyDescent="0.2">
      <c r="AF49260" s="679"/>
    </row>
    <row r="49261" spans="32:32" x14ac:dyDescent="0.2">
      <c r="AF49261" s="679"/>
    </row>
    <row r="49262" spans="32:32" x14ac:dyDescent="0.2">
      <c r="AF49262" s="679"/>
    </row>
    <row r="49263" spans="32:32" x14ac:dyDescent="0.2">
      <c r="AF49263" s="679"/>
    </row>
    <row r="49264" spans="32:32" x14ac:dyDescent="0.2">
      <c r="AF49264" s="679"/>
    </row>
    <row r="49265" spans="32:32" x14ac:dyDescent="0.2">
      <c r="AF49265" s="679"/>
    </row>
    <row r="49266" spans="32:32" x14ac:dyDescent="0.2">
      <c r="AF49266" s="679"/>
    </row>
    <row r="49267" spans="32:32" x14ac:dyDescent="0.2">
      <c r="AF49267" s="679"/>
    </row>
    <row r="49268" spans="32:32" x14ac:dyDescent="0.2">
      <c r="AF49268" s="679"/>
    </row>
    <row r="49269" spans="32:32" x14ac:dyDescent="0.2">
      <c r="AF49269" s="679"/>
    </row>
    <row r="49270" spans="32:32" x14ac:dyDescent="0.2">
      <c r="AF49270" s="679"/>
    </row>
    <row r="49271" spans="32:32" x14ac:dyDescent="0.2">
      <c r="AF49271" s="679"/>
    </row>
    <row r="49272" spans="32:32" x14ac:dyDescent="0.2">
      <c r="AF49272" s="679"/>
    </row>
    <row r="49273" spans="32:32" x14ac:dyDescent="0.2">
      <c r="AF49273" s="679"/>
    </row>
    <row r="49274" spans="32:32" x14ac:dyDescent="0.2">
      <c r="AF49274" s="679"/>
    </row>
    <row r="49275" spans="32:32" x14ac:dyDescent="0.2">
      <c r="AF49275" s="679"/>
    </row>
    <row r="49276" spans="32:32" x14ac:dyDescent="0.2">
      <c r="AF49276" s="679"/>
    </row>
    <row r="49277" spans="32:32" x14ac:dyDescent="0.2">
      <c r="AF49277" s="679"/>
    </row>
    <row r="49278" spans="32:32" x14ac:dyDescent="0.2">
      <c r="AF49278" s="679"/>
    </row>
    <row r="49279" spans="32:32" x14ac:dyDescent="0.2">
      <c r="AF49279" s="679"/>
    </row>
    <row r="49280" spans="32:32" x14ac:dyDescent="0.2">
      <c r="AF49280" s="679"/>
    </row>
    <row r="49281" spans="32:32" x14ac:dyDescent="0.2">
      <c r="AF49281" s="679"/>
    </row>
    <row r="49282" spans="32:32" x14ac:dyDescent="0.2">
      <c r="AF49282" s="679"/>
    </row>
    <row r="49283" spans="32:32" x14ac:dyDescent="0.2">
      <c r="AF49283" s="679"/>
    </row>
    <row r="49284" spans="32:32" x14ac:dyDescent="0.2">
      <c r="AF49284" s="679"/>
    </row>
    <row r="49285" spans="32:32" x14ac:dyDescent="0.2">
      <c r="AF49285" s="679"/>
    </row>
    <row r="49286" spans="32:32" x14ac:dyDescent="0.2">
      <c r="AF49286" s="679"/>
    </row>
    <row r="49287" spans="32:32" x14ac:dyDescent="0.2">
      <c r="AF49287" s="679"/>
    </row>
    <row r="49288" spans="32:32" x14ac:dyDescent="0.2">
      <c r="AF49288" s="679"/>
    </row>
    <row r="49289" spans="32:32" x14ac:dyDescent="0.2">
      <c r="AF49289" s="679"/>
    </row>
    <row r="49290" spans="32:32" x14ac:dyDescent="0.2">
      <c r="AF49290" s="679"/>
    </row>
    <row r="49291" spans="32:32" x14ac:dyDescent="0.2">
      <c r="AF49291" s="679"/>
    </row>
    <row r="49292" spans="32:32" x14ac:dyDescent="0.2">
      <c r="AF49292" s="679"/>
    </row>
    <row r="49293" spans="32:32" x14ac:dyDescent="0.2">
      <c r="AF49293" s="679"/>
    </row>
    <row r="49294" spans="32:32" x14ac:dyDescent="0.2">
      <c r="AF49294" s="679"/>
    </row>
    <row r="49295" spans="32:32" x14ac:dyDescent="0.2">
      <c r="AF49295" s="679"/>
    </row>
    <row r="49296" spans="32:32" x14ac:dyDescent="0.2">
      <c r="AF49296" s="679"/>
    </row>
    <row r="49297" spans="32:32" x14ac:dyDescent="0.2">
      <c r="AF49297" s="679"/>
    </row>
    <row r="49298" spans="32:32" x14ac:dyDescent="0.2">
      <c r="AF49298" s="679"/>
    </row>
    <row r="49299" spans="32:32" x14ac:dyDescent="0.2">
      <c r="AF49299" s="679"/>
    </row>
    <row r="49300" spans="32:32" x14ac:dyDescent="0.2">
      <c r="AF49300" s="679"/>
    </row>
    <row r="49301" spans="32:32" x14ac:dyDescent="0.2">
      <c r="AF49301" s="679"/>
    </row>
    <row r="49302" spans="32:32" x14ac:dyDescent="0.2">
      <c r="AF49302" s="679"/>
    </row>
    <row r="49303" spans="32:32" x14ac:dyDescent="0.2">
      <c r="AF49303" s="679"/>
    </row>
    <row r="49304" spans="32:32" x14ac:dyDescent="0.2">
      <c r="AF49304" s="679"/>
    </row>
    <row r="49305" spans="32:32" x14ac:dyDescent="0.2">
      <c r="AF49305" s="679"/>
    </row>
    <row r="49306" spans="32:32" x14ac:dyDescent="0.2">
      <c r="AF49306" s="679"/>
    </row>
    <row r="49307" spans="32:32" x14ac:dyDescent="0.2">
      <c r="AF49307" s="679"/>
    </row>
    <row r="49308" spans="32:32" x14ac:dyDescent="0.2">
      <c r="AF49308" s="679"/>
    </row>
    <row r="49309" spans="32:32" x14ac:dyDescent="0.2">
      <c r="AF49309" s="679"/>
    </row>
    <row r="49310" spans="32:32" x14ac:dyDescent="0.2">
      <c r="AF49310" s="679"/>
    </row>
    <row r="49311" spans="32:32" x14ac:dyDescent="0.2">
      <c r="AF49311" s="679"/>
    </row>
    <row r="49312" spans="32:32" x14ac:dyDescent="0.2">
      <c r="AF49312" s="679"/>
    </row>
    <row r="49313" spans="32:32" x14ac:dyDescent="0.2">
      <c r="AF49313" s="679"/>
    </row>
    <row r="49314" spans="32:32" x14ac:dyDescent="0.2">
      <c r="AF49314" s="679"/>
    </row>
    <row r="49315" spans="32:32" x14ac:dyDescent="0.2">
      <c r="AF49315" s="679"/>
    </row>
    <row r="49316" spans="32:32" x14ac:dyDescent="0.2">
      <c r="AF49316" s="679"/>
    </row>
    <row r="49317" spans="32:32" x14ac:dyDescent="0.2">
      <c r="AF49317" s="679"/>
    </row>
    <row r="49318" spans="32:32" x14ac:dyDescent="0.2">
      <c r="AF49318" s="679"/>
    </row>
    <row r="49319" spans="32:32" x14ac:dyDescent="0.2">
      <c r="AF49319" s="679"/>
    </row>
    <row r="49320" spans="32:32" x14ac:dyDescent="0.2">
      <c r="AF49320" s="679"/>
    </row>
    <row r="49321" spans="32:32" x14ac:dyDescent="0.2">
      <c r="AF49321" s="679"/>
    </row>
    <row r="49322" spans="32:32" x14ac:dyDescent="0.2">
      <c r="AF49322" s="679"/>
    </row>
    <row r="49323" spans="32:32" x14ac:dyDescent="0.2">
      <c r="AF49323" s="679"/>
    </row>
    <row r="49324" spans="32:32" x14ac:dyDescent="0.2">
      <c r="AF49324" s="679"/>
    </row>
    <row r="49325" spans="32:32" x14ac:dyDescent="0.2">
      <c r="AF49325" s="679"/>
    </row>
    <row r="49326" spans="32:32" x14ac:dyDescent="0.2">
      <c r="AF49326" s="679"/>
    </row>
    <row r="49327" spans="32:32" x14ac:dyDescent="0.2">
      <c r="AF49327" s="679"/>
    </row>
    <row r="49328" spans="32:32" x14ac:dyDescent="0.2">
      <c r="AF49328" s="679"/>
    </row>
    <row r="49329" spans="32:32" x14ac:dyDescent="0.2">
      <c r="AF49329" s="679"/>
    </row>
    <row r="49330" spans="32:32" x14ac:dyDescent="0.2">
      <c r="AF49330" s="679"/>
    </row>
    <row r="49331" spans="32:32" x14ac:dyDescent="0.2">
      <c r="AF49331" s="679"/>
    </row>
    <row r="49332" spans="32:32" x14ac:dyDescent="0.2">
      <c r="AF49332" s="679"/>
    </row>
    <row r="49333" spans="32:32" x14ac:dyDescent="0.2">
      <c r="AF49333" s="679"/>
    </row>
    <row r="49334" spans="32:32" x14ac:dyDescent="0.2">
      <c r="AF49334" s="679"/>
    </row>
    <row r="49335" spans="32:32" x14ac:dyDescent="0.2">
      <c r="AF49335" s="679"/>
    </row>
    <row r="49336" spans="32:32" x14ac:dyDescent="0.2">
      <c r="AF49336" s="679"/>
    </row>
    <row r="49337" spans="32:32" x14ac:dyDescent="0.2">
      <c r="AF49337" s="679"/>
    </row>
    <row r="49338" spans="32:32" x14ac:dyDescent="0.2">
      <c r="AF49338" s="679"/>
    </row>
    <row r="49339" spans="32:32" x14ac:dyDescent="0.2">
      <c r="AF49339" s="679"/>
    </row>
    <row r="49340" spans="32:32" x14ac:dyDescent="0.2">
      <c r="AF49340" s="679"/>
    </row>
    <row r="49341" spans="32:32" x14ac:dyDescent="0.2">
      <c r="AF49341" s="679"/>
    </row>
    <row r="49342" spans="32:32" x14ac:dyDescent="0.2">
      <c r="AF49342" s="679"/>
    </row>
    <row r="49343" spans="32:32" x14ac:dyDescent="0.2">
      <c r="AF49343" s="679"/>
    </row>
    <row r="49344" spans="32:32" x14ac:dyDescent="0.2">
      <c r="AF49344" s="679"/>
    </row>
    <row r="49345" spans="32:32" x14ac:dyDescent="0.2">
      <c r="AF49345" s="679"/>
    </row>
    <row r="49346" spans="32:32" x14ac:dyDescent="0.2">
      <c r="AF49346" s="679"/>
    </row>
    <row r="49347" spans="32:32" x14ac:dyDescent="0.2">
      <c r="AF49347" s="679"/>
    </row>
    <row r="49348" spans="32:32" x14ac:dyDescent="0.2">
      <c r="AF49348" s="679"/>
    </row>
    <row r="49349" spans="32:32" x14ac:dyDescent="0.2">
      <c r="AF49349" s="679"/>
    </row>
    <row r="49350" spans="32:32" x14ac:dyDescent="0.2">
      <c r="AF49350" s="679"/>
    </row>
    <row r="49351" spans="32:32" x14ac:dyDescent="0.2">
      <c r="AF49351" s="679"/>
    </row>
    <row r="49352" spans="32:32" x14ac:dyDescent="0.2">
      <c r="AF49352" s="679"/>
    </row>
    <row r="49353" spans="32:32" x14ac:dyDescent="0.2">
      <c r="AF49353" s="679"/>
    </row>
    <row r="49354" spans="32:32" x14ac:dyDescent="0.2">
      <c r="AF49354" s="679"/>
    </row>
    <row r="49355" spans="32:32" x14ac:dyDescent="0.2">
      <c r="AF49355" s="679"/>
    </row>
    <row r="49356" spans="32:32" x14ac:dyDescent="0.2">
      <c r="AF49356" s="679"/>
    </row>
    <row r="49357" spans="32:32" x14ac:dyDescent="0.2">
      <c r="AF49357" s="679"/>
    </row>
    <row r="49358" spans="32:32" x14ac:dyDescent="0.2">
      <c r="AF49358" s="679"/>
    </row>
    <row r="49359" spans="32:32" x14ac:dyDescent="0.2">
      <c r="AF49359" s="679"/>
    </row>
    <row r="49360" spans="32:32" x14ac:dyDescent="0.2">
      <c r="AF49360" s="679"/>
    </row>
    <row r="49361" spans="32:32" x14ac:dyDescent="0.2">
      <c r="AF49361" s="679"/>
    </row>
    <row r="49362" spans="32:32" x14ac:dyDescent="0.2">
      <c r="AF49362" s="679"/>
    </row>
    <row r="49363" spans="32:32" x14ac:dyDescent="0.2">
      <c r="AF49363" s="679"/>
    </row>
    <row r="49364" spans="32:32" x14ac:dyDescent="0.2">
      <c r="AF49364" s="679"/>
    </row>
    <row r="49365" spans="32:32" x14ac:dyDescent="0.2">
      <c r="AF49365" s="679"/>
    </row>
    <row r="49366" spans="32:32" x14ac:dyDescent="0.2">
      <c r="AF49366" s="679"/>
    </row>
    <row r="49367" spans="32:32" x14ac:dyDescent="0.2">
      <c r="AF49367" s="679"/>
    </row>
    <row r="49368" spans="32:32" x14ac:dyDescent="0.2">
      <c r="AF49368" s="679"/>
    </row>
    <row r="49369" spans="32:32" x14ac:dyDescent="0.2">
      <c r="AF49369" s="679"/>
    </row>
    <row r="49370" spans="32:32" x14ac:dyDescent="0.2">
      <c r="AF49370" s="679"/>
    </row>
    <row r="49371" spans="32:32" x14ac:dyDescent="0.2">
      <c r="AF49371" s="679"/>
    </row>
    <row r="49372" spans="32:32" x14ac:dyDescent="0.2">
      <c r="AF49372" s="679"/>
    </row>
    <row r="49373" spans="32:32" x14ac:dyDescent="0.2">
      <c r="AF49373" s="679"/>
    </row>
    <row r="49374" spans="32:32" x14ac:dyDescent="0.2">
      <c r="AF49374" s="679"/>
    </row>
    <row r="49375" spans="32:32" x14ac:dyDescent="0.2">
      <c r="AF49375" s="679"/>
    </row>
    <row r="49376" spans="32:32" x14ac:dyDescent="0.2">
      <c r="AF49376" s="679"/>
    </row>
    <row r="49377" spans="32:32" x14ac:dyDescent="0.2">
      <c r="AF49377" s="679"/>
    </row>
    <row r="49378" spans="32:32" x14ac:dyDescent="0.2">
      <c r="AF49378" s="679"/>
    </row>
    <row r="49379" spans="32:32" x14ac:dyDescent="0.2">
      <c r="AF49379" s="679"/>
    </row>
    <row r="49380" spans="32:32" x14ac:dyDescent="0.2">
      <c r="AF49380" s="679"/>
    </row>
    <row r="49381" spans="32:32" x14ac:dyDescent="0.2">
      <c r="AF49381" s="679"/>
    </row>
    <row r="49382" spans="32:32" x14ac:dyDescent="0.2">
      <c r="AF49382" s="679"/>
    </row>
    <row r="49383" spans="32:32" x14ac:dyDescent="0.2">
      <c r="AF49383" s="679"/>
    </row>
    <row r="49384" spans="32:32" x14ac:dyDescent="0.2">
      <c r="AF49384" s="679"/>
    </row>
    <row r="49385" spans="32:32" x14ac:dyDescent="0.2">
      <c r="AF49385" s="679"/>
    </row>
    <row r="49386" spans="32:32" x14ac:dyDescent="0.2">
      <c r="AF49386" s="679"/>
    </row>
    <row r="49387" spans="32:32" x14ac:dyDescent="0.2">
      <c r="AF49387" s="679"/>
    </row>
    <row r="49388" spans="32:32" x14ac:dyDescent="0.2">
      <c r="AF49388" s="679"/>
    </row>
    <row r="49389" spans="32:32" x14ac:dyDescent="0.2">
      <c r="AF49389" s="679"/>
    </row>
    <row r="49390" spans="32:32" x14ac:dyDescent="0.2">
      <c r="AF49390" s="679"/>
    </row>
    <row r="49391" spans="32:32" x14ac:dyDescent="0.2">
      <c r="AF49391" s="679"/>
    </row>
    <row r="49392" spans="32:32" x14ac:dyDescent="0.2">
      <c r="AF49392" s="679"/>
    </row>
    <row r="49393" spans="32:32" x14ac:dyDescent="0.2">
      <c r="AF49393" s="679"/>
    </row>
    <row r="49394" spans="32:32" x14ac:dyDescent="0.2">
      <c r="AF49394" s="679"/>
    </row>
    <row r="49395" spans="32:32" x14ac:dyDescent="0.2">
      <c r="AF49395" s="679"/>
    </row>
    <row r="49396" spans="32:32" x14ac:dyDescent="0.2">
      <c r="AF49396" s="679"/>
    </row>
    <row r="49397" spans="32:32" x14ac:dyDescent="0.2">
      <c r="AF49397" s="679"/>
    </row>
    <row r="49398" spans="32:32" x14ac:dyDescent="0.2">
      <c r="AF49398" s="679"/>
    </row>
    <row r="49399" spans="32:32" x14ac:dyDescent="0.2">
      <c r="AF49399" s="679"/>
    </row>
    <row r="49400" spans="32:32" x14ac:dyDescent="0.2">
      <c r="AF49400" s="679"/>
    </row>
    <row r="49401" spans="32:32" x14ac:dyDescent="0.2">
      <c r="AF49401" s="679"/>
    </row>
    <row r="49402" spans="32:32" x14ac:dyDescent="0.2">
      <c r="AF49402" s="679"/>
    </row>
    <row r="49403" spans="32:32" x14ac:dyDescent="0.2">
      <c r="AF49403" s="679"/>
    </row>
    <row r="49404" spans="32:32" x14ac:dyDescent="0.2">
      <c r="AF49404" s="679"/>
    </row>
    <row r="49405" spans="32:32" x14ac:dyDescent="0.2">
      <c r="AF49405" s="679"/>
    </row>
    <row r="49406" spans="32:32" x14ac:dyDescent="0.2">
      <c r="AF49406" s="679"/>
    </row>
    <row r="49407" spans="32:32" x14ac:dyDescent="0.2">
      <c r="AF49407" s="679"/>
    </row>
    <row r="49408" spans="32:32" x14ac:dyDescent="0.2">
      <c r="AF49408" s="679"/>
    </row>
    <row r="49409" spans="32:32" x14ac:dyDescent="0.2">
      <c r="AF49409" s="679"/>
    </row>
    <row r="49410" spans="32:32" x14ac:dyDescent="0.2">
      <c r="AF49410" s="679"/>
    </row>
    <row r="49411" spans="32:32" x14ac:dyDescent="0.2">
      <c r="AF49411" s="679"/>
    </row>
    <row r="49412" spans="32:32" x14ac:dyDescent="0.2">
      <c r="AF49412" s="679"/>
    </row>
    <row r="49413" spans="32:32" x14ac:dyDescent="0.2">
      <c r="AF49413" s="679"/>
    </row>
    <row r="49414" spans="32:32" x14ac:dyDescent="0.2">
      <c r="AF49414" s="679"/>
    </row>
    <row r="49415" spans="32:32" x14ac:dyDescent="0.2">
      <c r="AF49415" s="679"/>
    </row>
    <row r="49416" spans="32:32" x14ac:dyDescent="0.2">
      <c r="AF49416" s="679"/>
    </row>
    <row r="49417" spans="32:32" x14ac:dyDescent="0.2">
      <c r="AF49417" s="679"/>
    </row>
    <row r="49418" spans="32:32" x14ac:dyDescent="0.2">
      <c r="AF49418" s="679"/>
    </row>
    <row r="49419" spans="32:32" x14ac:dyDescent="0.2">
      <c r="AF49419" s="679"/>
    </row>
    <row r="49420" spans="32:32" x14ac:dyDescent="0.2">
      <c r="AF49420" s="679"/>
    </row>
    <row r="49421" spans="32:32" x14ac:dyDescent="0.2">
      <c r="AF49421" s="679"/>
    </row>
    <row r="49422" spans="32:32" x14ac:dyDescent="0.2">
      <c r="AF49422" s="679"/>
    </row>
    <row r="49423" spans="32:32" x14ac:dyDescent="0.2">
      <c r="AF49423" s="679"/>
    </row>
    <row r="49424" spans="32:32" x14ac:dyDescent="0.2">
      <c r="AF49424" s="679"/>
    </row>
    <row r="49425" spans="32:32" x14ac:dyDescent="0.2">
      <c r="AF49425" s="679"/>
    </row>
    <row r="49426" spans="32:32" x14ac:dyDescent="0.2">
      <c r="AF49426" s="679"/>
    </row>
    <row r="49427" spans="32:32" x14ac:dyDescent="0.2">
      <c r="AF49427" s="679"/>
    </row>
    <row r="49428" spans="32:32" x14ac:dyDescent="0.2">
      <c r="AF49428" s="679"/>
    </row>
    <row r="49429" spans="32:32" x14ac:dyDescent="0.2">
      <c r="AF49429" s="679"/>
    </row>
    <row r="49430" spans="32:32" x14ac:dyDescent="0.2">
      <c r="AF49430" s="679"/>
    </row>
    <row r="49431" spans="32:32" x14ac:dyDescent="0.2">
      <c r="AF49431" s="679"/>
    </row>
    <row r="49432" spans="32:32" x14ac:dyDescent="0.2">
      <c r="AF49432" s="679"/>
    </row>
    <row r="49433" spans="32:32" x14ac:dyDescent="0.2">
      <c r="AF49433" s="679"/>
    </row>
    <row r="49434" spans="32:32" x14ac:dyDescent="0.2">
      <c r="AF49434" s="679"/>
    </row>
    <row r="49435" spans="32:32" x14ac:dyDescent="0.2">
      <c r="AF49435" s="679"/>
    </row>
    <row r="49436" spans="32:32" x14ac:dyDescent="0.2">
      <c r="AF49436" s="679"/>
    </row>
    <row r="49437" spans="32:32" x14ac:dyDescent="0.2">
      <c r="AF49437" s="679"/>
    </row>
    <row r="49438" spans="32:32" x14ac:dyDescent="0.2">
      <c r="AF49438" s="679"/>
    </row>
    <row r="49439" spans="32:32" x14ac:dyDescent="0.2">
      <c r="AF49439" s="679"/>
    </row>
    <row r="49440" spans="32:32" x14ac:dyDescent="0.2">
      <c r="AF49440" s="679"/>
    </row>
    <row r="49441" spans="32:32" x14ac:dyDescent="0.2">
      <c r="AF49441" s="679"/>
    </row>
    <row r="49442" spans="32:32" x14ac:dyDescent="0.2">
      <c r="AF49442" s="679"/>
    </row>
    <row r="49443" spans="32:32" x14ac:dyDescent="0.2">
      <c r="AF49443" s="679"/>
    </row>
    <row r="49444" spans="32:32" x14ac:dyDescent="0.2">
      <c r="AF49444" s="679"/>
    </row>
    <row r="49445" spans="32:32" x14ac:dyDescent="0.2">
      <c r="AF49445" s="679"/>
    </row>
    <row r="49446" spans="32:32" x14ac:dyDescent="0.2">
      <c r="AF49446" s="679"/>
    </row>
    <row r="49447" spans="32:32" x14ac:dyDescent="0.2">
      <c r="AF49447" s="679"/>
    </row>
    <row r="49448" spans="32:32" x14ac:dyDescent="0.2">
      <c r="AF49448" s="679"/>
    </row>
    <row r="49449" spans="32:32" x14ac:dyDescent="0.2">
      <c r="AF49449" s="679"/>
    </row>
    <row r="49450" spans="32:32" x14ac:dyDescent="0.2">
      <c r="AF49450" s="679"/>
    </row>
    <row r="49451" spans="32:32" x14ac:dyDescent="0.2">
      <c r="AF49451" s="679"/>
    </row>
    <row r="49452" spans="32:32" x14ac:dyDescent="0.2">
      <c r="AF49452" s="679"/>
    </row>
    <row r="49453" spans="32:32" x14ac:dyDescent="0.2">
      <c r="AF49453" s="679"/>
    </row>
    <row r="49454" spans="32:32" x14ac:dyDescent="0.2">
      <c r="AF49454" s="679"/>
    </row>
    <row r="49455" spans="32:32" x14ac:dyDescent="0.2">
      <c r="AF49455" s="679"/>
    </row>
    <row r="49456" spans="32:32" x14ac:dyDescent="0.2">
      <c r="AF49456" s="679"/>
    </row>
    <row r="49457" spans="32:32" x14ac:dyDescent="0.2">
      <c r="AF49457" s="679"/>
    </row>
    <row r="49458" spans="32:32" x14ac:dyDescent="0.2">
      <c r="AF49458" s="679"/>
    </row>
    <row r="49459" spans="32:32" x14ac:dyDescent="0.2">
      <c r="AF49459" s="679"/>
    </row>
    <row r="49460" spans="32:32" x14ac:dyDescent="0.2">
      <c r="AF49460" s="679"/>
    </row>
    <row r="49461" spans="32:32" x14ac:dyDescent="0.2">
      <c r="AF49461" s="679"/>
    </row>
    <row r="49462" spans="32:32" x14ac:dyDescent="0.2">
      <c r="AF49462" s="679"/>
    </row>
    <row r="49463" spans="32:32" x14ac:dyDescent="0.2">
      <c r="AF49463" s="679"/>
    </row>
    <row r="49464" spans="32:32" x14ac:dyDescent="0.2">
      <c r="AF49464" s="679"/>
    </row>
    <row r="49465" spans="32:32" x14ac:dyDescent="0.2">
      <c r="AF49465" s="679"/>
    </row>
    <row r="49466" spans="32:32" x14ac:dyDescent="0.2">
      <c r="AF49466" s="679"/>
    </row>
    <row r="49467" spans="32:32" x14ac:dyDescent="0.2">
      <c r="AF49467" s="679"/>
    </row>
    <row r="49468" spans="32:32" x14ac:dyDescent="0.2">
      <c r="AF49468" s="679"/>
    </row>
    <row r="49469" spans="32:32" x14ac:dyDescent="0.2">
      <c r="AF49469" s="679"/>
    </row>
    <row r="49470" spans="32:32" x14ac:dyDescent="0.2">
      <c r="AF49470" s="679"/>
    </row>
    <row r="49471" spans="32:32" x14ac:dyDescent="0.2">
      <c r="AF49471" s="679"/>
    </row>
    <row r="49472" spans="32:32" x14ac:dyDescent="0.2">
      <c r="AF49472" s="679"/>
    </row>
    <row r="49473" spans="32:32" x14ac:dyDescent="0.2">
      <c r="AF49473" s="679"/>
    </row>
    <row r="49474" spans="32:32" x14ac:dyDescent="0.2">
      <c r="AF49474" s="679"/>
    </row>
    <row r="49475" spans="32:32" x14ac:dyDescent="0.2">
      <c r="AF49475" s="679"/>
    </row>
    <row r="49476" spans="32:32" x14ac:dyDescent="0.2">
      <c r="AF49476" s="679"/>
    </row>
    <row r="49477" spans="32:32" x14ac:dyDescent="0.2">
      <c r="AF49477" s="679"/>
    </row>
    <row r="49478" spans="32:32" x14ac:dyDescent="0.2">
      <c r="AF49478" s="679"/>
    </row>
    <row r="49479" spans="32:32" x14ac:dyDescent="0.2">
      <c r="AF49479" s="679"/>
    </row>
    <row r="49480" spans="32:32" x14ac:dyDescent="0.2">
      <c r="AF49480" s="679"/>
    </row>
    <row r="49481" spans="32:32" x14ac:dyDescent="0.2">
      <c r="AF49481" s="679"/>
    </row>
    <row r="49482" spans="32:32" x14ac:dyDescent="0.2">
      <c r="AF49482" s="679"/>
    </row>
    <row r="49483" spans="32:32" x14ac:dyDescent="0.2">
      <c r="AF49483" s="679"/>
    </row>
    <row r="49484" spans="32:32" x14ac:dyDescent="0.2">
      <c r="AF49484" s="679"/>
    </row>
    <row r="49485" spans="32:32" x14ac:dyDescent="0.2">
      <c r="AF49485" s="679"/>
    </row>
    <row r="49486" spans="32:32" x14ac:dyDescent="0.2">
      <c r="AF49486" s="679"/>
    </row>
    <row r="49487" spans="32:32" x14ac:dyDescent="0.2">
      <c r="AF49487" s="679"/>
    </row>
    <row r="49488" spans="32:32" x14ac:dyDescent="0.2">
      <c r="AF49488" s="679"/>
    </row>
    <row r="49489" spans="32:32" x14ac:dyDescent="0.2">
      <c r="AF49489" s="679"/>
    </row>
    <row r="49490" spans="32:32" x14ac:dyDescent="0.2">
      <c r="AF49490" s="679"/>
    </row>
    <row r="49491" spans="32:32" x14ac:dyDescent="0.2">
      <c r="AF49491" s="679"/>
    </row>
    <row r="49492" spans="32:32" x14ac:dyDescent="0.2">
      <c r="AF49492" s="679"/>
    </row>
    <row r="49493" spans="32:32" x14ac:dyDescent="0.2">
      <c r="AF49493" s="679"/>
    </row>
    <row r="49494" spans="32:32" x14ac:dyDescent="0.2">
      <c r="AF49494" s="679"/>
    </row>
    <row r="49495" spans="32:32" x14ac:dyDescent="0.2">
      <c r="AF49495" s="679"/>
    </row>
    <row r="49496" spans="32:32" x14ac:dyDescent="0.2">
      <c r="AF49496" s="679"/>
    </row>
    <row r="49497" spans="32:32" x14ac:dyDescent="0.2">
      <c r="AF49497" s="679"/>
    </row>
    <row r="49498" spans="32:32" x14ac:dyDescent="0.2">
      <c r="AF49498" s="679"/>
    </row>
    <row r="49499" spans="32:32" x14ac:dyDescent="0.2">
      <c r="AF49499" s="679"/>
    </row>
    <row r="49500" spans="32:32" x14ac:dyDescent="0.2">
      <c r="AF49500" s="679"/>
    </row>
    <row r="49501" spans="32:32" x14ac:dyDescent="0.2">
      <c r="AF49501" s="679"/>
    </row>
    <row r="49502" spans="32:32" x14ac:dyDescent="0.2">
      <c r="AF49502" s="679"/>
    </row>
    <row r="49503" spans="32:32" x14ac:dyDescent="0.2">
      <c r="AF49503" s="679"/>
    </row>
    <row r="49504" spans="32:32" x14ac:dyDescent="0.2">
      <c r="AF49504" s="679"/>
    </row>
    <row r="49505" spans="32:32" x14ac:dyDescent="0.2">
      <c r="AF49505" s="679"/>
    </row>
    <row r="49506" spans="32:32" x14ac:dyDescent="0.2">
      <c r="AF49506" s="679"/>
    </row>
    <row r="49507" spans="32:32" x14ac:dyDescent="0.2">
      <c r="AF49507" s="679"/>
    </row>
    <row r="49508" spans="32:32" x14ac:dyDescent="0.2">
      <c r="AF49508" s="679"/>
    </row>
    <row r="49509" spans="32:32" x14ac:dyDescent="0.2">
      <c r="AF49509" s="679"/>
    </row>
    <row r="49510" spans="32:32" x14ac:dyDescent="0.2">
      <c r="AF49510" s="679"/>
    </row>
    <row r="49511" spans="32:32" x14ac:dyDescent="0.2">
      <c r="AF49511" s="679"/>
    </row>
    <row r="49512" spans="32:32" x14ac:dyDescent="0.2">
      <c r="AF49512" s="679"/>
    </row>
    <row r="49513" spans="32:32" x14ac:dyDescent="0.2">
      <c r="AF49513" s="679"/>
    </row>
    <row r="49514" spans="32:32" x14ac:dyDescent="0.2">
      <c r="AF49514" s="679"/>
    </row>
    <row r="49515" spans="32:32" x14ac:dyDescent="0.2">
      <c r="AF49515" s="679"/>
    </row>
    <row r="49516" spans="32:32" x14ac:dyDescent="0.2">
      <c r="AF49516" s="679"/>
    </row>
    <row r="49517" spans="32:32" x14ac:dyDescent="0.2">
      <c r="AF49517" s="679"/>
    </row>
    <row r="49518" spans="32:32" x14ac:dyDescent="0.2">
      <c r="AF49518" s="679"/>
    </row>
    <row r="49519" spans="32:32" x14ac:dyDescent="0.2">
      <c r="AF49519" s="679"/>
    </row>
    <row r="49520" spans="32:32" x14ac:dyDescent="0.2">
      <c r="AF49520" s="679"/>
    </row>
    <row r="49521" spans="32:32" x14ac:dyDescent="0.2">
      <c r="AF49521" s="679"/>
    </row>
    <row r="49522" spans="32:32" x14ac:dyDescent="0.2">
      <c r="AF49522" s="679"/>
    </row>
    <row r="49523" spans="32:32" x14ac:dyDescent="0.2">
      <c r="AF49523" s="679"/>
    </row>
    <row r="49524" spans="32:32" x14ac:dyDescent="0.2">
      <c r="AF49524" s="679"/>
    </row>
    <row r="49525" spans="32:32" x14ac:dyDescent="0.2">
      <c r="AF49525" s="679"/>
    </row>
    <row r="49526" spans="32:32" x14ac:dyDescent="0.2">
      <c r="AF49526" s="679"/>
    </row>
    <row r="49527" spans="32:32" x14ac:dyDescent="0.2">
      <c r="AF49527" s="679"/>
    </row>
    <row r="49528" spans="32:32" x14ac:dyDescent="0.2">
      <c r="AF49528" s="679"/>
    </row>
    <row r="49529" spans="32:32" x14ac:dyDescent="0.2">
      <c r="AF49529" s="679"/>
    </row>
    <row r="49530" spans="32:32" x14ac:dyDescent="0.2">
      <c r="AF49530" s="679"/>
    </row>
    <row r="49531" spans="32:32" x14ac:dyDescent="0.2">
      <c r="AF49531" s="679"/>
    </row>
    <row r="49532" spans="32:32" x14ac:dyDescent="0.2">
      <c r="AF49532" s="679"/>
    </row>
    <row r="49533" spans="32:32" x14ac:dyDescent="0.2">
      <c r="AF49533" s="679"/>
    </row>
    <row r="49534" spans="32:32" x14ac:dyDescent="0.2">
      <c r="AF49534" s="679"/>
    </row>
    <row r="49535" spans="32:32" x14ac:dyDescent="0.2">
      <c r="AF49535" s="679"/>
    </row>
    <row r="49536" spans="32:32" x14ac:dyDescent="0.2">
      <c r="AF49536" s="679"/>
    </row>
    <row r="49537" spans="32:32" x14ac:dyDescent="0.2">
      <c r="AF49537" s="679"/>
    </row>
    <row r="49538" spans="32:32" x14ac:dyDescent="0.2">
      <c r="AF49538" s="679"/>
    </row>
    <row r="49539" spans="32:32" x14ac:dyDescent="0.2">
      <c r="AF49539" s="679"/>
    </row>
    <row r="49540" spans="32:32" x14ac:dyDescent="0.2">
      <c r="AF49540" s="679"/>
    </row>
    <row r="49541" spans="32:32" x14ac:dyDescent="0.2">
      <c r="AF49541" s="679"/>
    </row>
    <row r="49542" spans="32:32" x14ac:dyDescent="0.2">
      <c r="AF49542" s="679"/>
    </row>
    <row r="49543" spans="32:32" x14ac:dyDescent="0.2">
      <c r="AF49543" s="679"/>
    </row>
    <row r="49544" spans="32:32" x14ac:dyDescent="0.2">
      <c r="AF49544" s="679"/>
    </row>
    <row r="49545" spans="32:32" x14ac:dyDescent="0.2">
      <c r="AF49545" s="679"/>
    </row>
    <row r="49546" spans="32:32" x14ac:dyDescent="0.2">
      <c r="AF49546" s="679"/>
    </row>
    <row r="49547" spans="32:32" x14ac:dyDescent="0.2">
      <c r="AF49547" s="679"/>
    </row>
    <row r="49548" spans="32:32" x14ac:dyDescent="0.2">
      <c r="AF49548" s="679"/>
    </row>
    <row r="49549" spans="32:32" x14ac:dyDescent="0.2">
      <c r="AF49549" s="679"/>
    </row>
    <row r="49550" spans="32:32" x14ac:dyDescent="0.2">
      <c r="AF49550" s="679"/>
    </row>
    <row r="49551" spans="32:32" x14ac:dyDescent="0.2">
      <c r="AF49551" s="679"/>
    </row>
    <row r="49552" spans="32:32" x14ac:dyDescent="0.2">
      <c r="AF49552" s="679"/>
    </row>
    <row r="49553" spans="32:32" x14ac:dyDescent="0.2">
      <c r="AF49553" s="679"/>
    </row>
    <row r="49554" spans="32:32" x14ac:dyDescent="0.2">
      <c r="AF49554" s="679"/>
    </row>
    <row r="49555" spans="32:32" x14ac:dyDescent="0.2">
      <c r="AF49555" s="679"/>
    </row>
    <row r="49556" spans="32:32" x14ac:dyDescent="0.2">
      <c r="AF49556" s="679"/>
    </row>
    <row r="49557" spans="32:32" x14ac:dyDescent="0.2">
      <c r="AF49557" s="679"/>
    </row>
    <row r="49558" spans="32:32" x14ac:dyDescent="0.2">
      <c r="AF49558" s="679"/>
    </row>
    <row r="49559" spans="32:32" x14ac:dyDescent="0.2">
      <c r="AF49559" s="679"/>
    </row>
    <row r="49560" spans="32:32" x14ac:dyDescent="0.2">
      <c r="AF49560" s="679"/>
    </row>
    <row r="49561" spans="32:32" x14ac:dyDescent="0.2">
      <c r="AF49561" s="679"/>
    </row>
    <row r="49562" spans="32:32" x14ac:dyDescent="0.2">
      <c r="AF49562" s="679"/>
    </row>
    <row r="49563" spans="32:32" x14ac:dyDescent="0.2">
      <c r="AF49563" s="679"/>
    </row>
    <row r="49564" spans="32:32" x14ac:dyDescent="0.2">
      <c r="AF49564" s="679"/>
    </row>
    <row r="49565" spans="32:32" x14ac:dyDescent="0.2">
      <c r="AF49565" s="679"/>
    </row>
    <row r="49566" spans="32:32" x14ac:dyDescent="0.2">
      <c r="AF49566" s="679"/>
    </row>
    <row r="49567" spans="32:32" x14ac:dyDescent="0.2">
      <c r="AF49567" s="679"/>
    </row>
    <row r="49568" spans="32:32" x14ac:dyDescent="0.2">
      <c r="AF49568" s="679"/>
    </row>
    <row r="49569" spans="32:32" x14ac:dyDescent="0.2">
      <c r="AF49569" s="679"/>
    </row>
    <row r="49570" spans="32:32" x14ac:dyDescent="0.2">
      <c r="AF49570" s="679"/>
    </row>
    <row r="49571" spans="32:32" x14ac:dyDescent="0.2">
      <c r="AF49571" s="679"/>
    </row>
    <row r="49572" spans="32:32" x14ac:dyDescent="0.2">
      <c r="AF49572" s="679"/>
    </row>
    <row r="49573" spans="32:32" x14ac:dyDescent="0.2">
      <c r="AF49573" s="679"/>
    </row>
    <row r="49574" spans="32:32" x14ac:dyDescent="0.2">
      <c r="AF49574" s="679"/>
    </row>
    <row r="49575" spans="32:32" x14ac:dyDescent="0.2">
      <c r="AF49575" s="679"/>
    </row>
    <row r="49576" spans="32:32" x14ac:dyDescent="0.2">
      <c r="AF49576" s="679"/>
    </row>
    <row r="49577" spans="32:32" x14ac:dyDescent="0.2">
      <c r="AF49577" s="679"/>
    </row>
    <row r="49578" spans="32:32" x14ac:dyDescent="0.2">
      <c r="AF49578" s="679"/>
    </row>
    <row r="49579" spans="32:32" x14ac:dyDescent="0.2">
      <c r="AF49579" s="679"/>
    </row>
    <row r="49580" spans="32:32" x14ac:dyDescent="0.2">
      <c r="AF49580" s="679"/>
    </row>
    <row r="49581" spans="32:32" x14ac:dyDescent="0.2">
      <c r="AF49581" s="679"/>
    </row>
    <row r="49582" spans="32:32" x14ac:dyDescent="0.2">
      <c r="AF49582" s="679"/>
    </row>
    <row r="49583" spans="32:32" x14ac:dyDescent="0.2">
      <c r="AF49583" s="679"/>
    </row>
    <row r="49584" spans="32:32" x14ac:dyDescent="0.2">
      <c r="AF49584" s="679"/>
    </row>
    <row r="49585" spans="32:32" x14ac:dyDescent="0.2">
      <c r="AF49585" s="679"/>
    </row>
    <row r="49586" spans="32:32" x14ac:dyDescent="0.2">
      <c r="AF49586" s="679"/>
    </row>
    <row r="49587" spans="32:32" x14ac:dyDescent="0.2">
      <c r="AF49587" s="679"/>
    </row>
    <row r="49588" spans="32:32" x14ac:dyDescent="0.2">
      <c r="AF49588" s="679"/>
    </row>
    <row r="49589" spans="32:32" x14ac:dyDescent="0.2">
      <c r="AF49589" s="679"/>
    </row>
    <row r="49590" spans="32:32" x14ac:dyDescent="0.2">
      <c r="AF49590" s="679"/>
    </row>
    <row r="49591" spans="32:32" x14ac:dyDescent="0.2">
      <c r="AF49591" s="679"/>
    </row>
    <row r="49592" spans="32:32" x14ac:dyDescent="0.2">
      <c r="AF49592" s="679"/>
    </row>
    <row r="49593" spans="32:32" x14ac:dyDescent="0.2">
      <c r="AF49593" s="679"/>
    </row>
    <row r="49594" spans="32:32" x14ac:dyDescent="0.2">
      <c r="AF49594" s="679"/>
    </row>
    <row r="49595" spans="32:32" x14ac:dyDescent="0.2">
      <c r="AF49595" s="679"/>
    </row>
    <row r="49596" spans="32:32" x14ac:dyDescent="0.2">
      <c r="AF49596" s="679"/>
    </row>
    <row r="49597" spans="32:32" x14ac:dyDescent="0.2">
      <c r="AF49597" s="679"/>
    </row>
    <row r="49598" spans="32:32" x14ac:dyDescent="0.2">
      <c r="AF49598" s="679"/>
    </row>
    <row r="49599" spans="32:32" x14ac:dyDescent="0.2">
      <c r="AF49599" s="679"/>
    </row>
    <row r="49600" spans="32:32" x14ac:dyDescent="0.2">
      <c r="AF49600" s="679"/>
    </row>
    <row r="49601" spans="32:32" x14ac:dyDescent="0.2">
      <c r="AF49601" s="679"/>
    </row>
    <row r="49602" spans="32:32" x14ac:dyDescent="0.2">
      <c r="AF49602" s="679"/>
    </row>
    <row r="49603" spans="32:32" x14ac:dyDescent="0.2">
      <c r="AF49603" s="679"/>
    </row>
    <row r="49604" spans="32:32" x14ac:dyDescent="0.2">
      <c r="AF49604" s="679"/>
    </row>
    <row r="49605" spans="32:32" x14ac:dyDescent="0.2">
      <c r="AF49605" s="679"/>
    </row>
    <row r="49606" spans="32:32" x14ac:dyDescent="0.2">
      <c r="AF49606" s="679"/>
    </row>
    <row r="49607" spans="32:32" x14ac:dyDescent="0.2">
      <c r="AF49607" s="679"/>
    </row>
    <row r="49608" spans="32:32" x14ac:dyDescent="0.2">
      <c r="AF49608" s="679"/>
    </row>
    <row r="49609" spans="32:32" x14ac:dyDescent="0.2">
      <c r="AF49609" s="679"/>
    </row>
    <row r="49610" spans="32:32" x14ac:dyDescent="0.2">
      <c r="AF49610" s="679"/>
    </row>
    <row r="49611" spans="32:32" x14ac:dyDescent="0.2">
      <c r="AF49611" s="679"/>
    </row>
    <row r="49612" spans="32:32" x14ac:dyDescent="0.2">
      <c r="AF49612" s="679"/>
    </row>
    <row r="49613" spans="32:32" x14ac:dyDescent="0.2">
      <c r="AF49613" s="679"/>
    </row>
    <row r="49614" spans="32:32" x14ac:dyDescent="0.2">
      <c r="AF49614" s="679"/>
    </row>
    <row r="49615" spans="32:32" x14ac:dyDescent="0.2">
      <c r="AF49615" s="679"/>
    </row>
    <row r="49616" spans="32:32" x14ac:dyDescent="0.2">
      <c r="AF49616" s="679"/>
    </row>
    <row r="49617" spans="32:32" x14ac:dyDescent="0.2">
      <c r="AF49617" s="679"/>
    </row>
    <row r="49618" spans="32:32" x14ac:dyDescent="0.2">
      <c r="AF49618" s="679"/>
    </row>
    <row r="49619" spans="32:32" x14ac:dyDescent="0.2">
      <c r="AF49619" s="679"/>
    </row>
    <row r="49620" spans="32:32" x14ac:dyDescent="0.2">
      <c r="AF49620" s="679"/>
    </row>
    <row r="49621" spans="32:32" x14ac:dyDescent="0.2">
      <c r="AF49621" s="679"/>
    </row>
    <row r="49622" spans="32:32" x14ac:dyDescent="0.2">
      <c r="AF49622" s="679"/>
    </row>
    <row r="49623" spans="32:32" x14ac:dyDescent="0.2">
      <c r="AF49623" s="679"/>
    </row>
    <row r="49624" spans="32:32" x14ac:dyDescent="0.2">
      <c r="AF49624" s="679"/>
    </row>
    <row r="49625" spans="32:32" x14ac:dyDescent="0.2">
      <c r="AF49625" s="679"/>
    </row>
    <row r="49626" spans="32:32" x14ac:dyDescent="0.2">
      <c r="AF49626" s="679"/>
    </row>
    <row r="49627" spans="32:32" x14ac:dyDescent="0.2">
      <c r="AF49627" s="679"/>
    </row>
    <row r="49628" spans="32:32" x14ac:dyDescent="0.2">
      <c r="AF49628" s="679"/>
    </row>
    <row r="49629" spans="32:32" x14ac:dyDescent="0.2">
      <c r="AF49629" s="679"/>
    </row>
    <row r="49630" spans="32:32" x14ac:dyDescent="0.2">
      <c r="AF49630" s="679"/>
    </row>
    <row r="49631" spans="32:32" x14ac:dyDescent="0.2">
      <c r="AF49631" s="679"/>
    </row>
    <row r="49632" spans="32:32" x14ac:dyDescent="0.2">
      <c r="AF49632" s="679"/>
    </row>
    <row r="49633" spans="32:32" x14ac:dyDescent="0.2">
      <c r="AF49633" s="679"/>
    </row>
    <row r="49634" spans="32:32" x14ac:dyDescent="0.2">
      <c r="AF49634" s="679"/>
    </row>
    <row r="49635" spans="32:32" x14ac:dyDescent="0.2">
      <c r="AF49635" s="679"/>
    </row>
    <row r="49636" spans="32:32" x14ac:dyDescent="0.2">
      <c r="AF49636" s="679"/>
    </row>
    <row r="49637" spans="32:32" x14ac:dyDescent="0.2">
      <c r="AF49637" s="679"/>
    </row>
    <row r="49638" spans="32:32" x14ac:dyDescent="0.2">
      <c r="AF49638" s="679"/>
    </row>
    <row r="49639" spans="32:32" x14ac:dyDescent="0.2">
      <c r="AF49639" s="679"/>
    </row>
    <row r="49640" spans="32:32" x14ac:dyDescent="0.2">
      <c r="AF49640" s="679"/>
    </row>
    <row r="49641" spans="32:32" x14ac:dyDescent="0.2">
      <c r="AF49641" s="679"/>
    </row>
    <row r="49642" spans="32:32" x14ac:dyDescent="0.2">
      <c r="AF49642" s="679"/>
    </row>
    <row r="49643" spans="32:32" x14ac:dyDescent="0.2">
      <c r="AF49643" s="679"/>
    </row>
    <row r="49644" spans="32:32" x14ac:dyDescent="0.2">
      <c r="AF49644" s="679"/>
    </row>
    <row r="49645" spans="32:32" x14ac:dyDescent="0.2">
      <c r="AF49645" s="679"/>
    </row>
    <row r="49646" spans="32:32" x14ac:dyDescent="0.2">
      <c r="AF49646" s="679"/>
    </row>
    <row r="49647" spans="32:32" x14ac:dyDescent="0.2">
      <c r="AF49647" s="679"/>
    </row>
    <row r="49648" spans="32:32" x14ac:dyDescent="0.2">
      <c r="AF49648" s="679"/>
    </row>
    <row r="49649" spans="32:32" x14ac:dyDescent="0.2">
      <c r="AF49649" s="679"/>
    </row>
    <row r="49650" spans="32:32" x14ac:dyDescent="0.2">
      <c r="AF49650" s="679"/>
    </row>
    <row r="49651" spans="32:32" x14ac:dyDescent="0.2">
      <c r="AF49651" s="679"/>
    </row>
    <row r="49652" spans="32:32" x14ac:dyDescent="0.2">
      <c r="AF49652" s="679"/>
    </row>
    <row r="49653" spans="32:32" x14ac:dyDescent="0.2">
      <c r="AF49653" s="679"/>
    </row>
    <row r="49654" spans="32:32" x14ac:dyDescent="0.2">
      <c r="AF49654" s="679"/>
    </row>
    <row r="49655" spans="32:32" x14ac:dyDescent="0.2">
      <c r="AF49655" s="679"/>
    </row>
    <row r="49656" spans="32:32" x14ac:dyDescent="0.2">
      <c r="AF49656" s="679"/>
    </row>
    <row r="49657" spans="32:32" x14ac:dyDescent="0.2">
      <c r="AF49657" s="679"/>
    </row>
    <row r="49658" spans="32:32" x14ac:dyDescent="0.2">
      <c r="AF49658" s="679"/>
    </row>
    <row r="49659" spans="32:32" x14ac:dyDescent="0.2">
      <c r="AF49659" s="679"/>
    </row>
    <row r="49660" spans="32:32" x14ac:dyDescent="0.2">
      <c r="AF49660" s="679"/>
    </row>
    <row r="49661" spans="32:32" x14ac:dyDescent="0.2">
      <c r="AF49661" s="679"/>
    </row>
    <row r="49662" spans="32:32" x14ac:dyDescent="0.2">
      <c r="AF49662" s="679"/>
    </row>
    <row r="49663" spans="32:32" x14ac:dyDescent="0.2">
      <c r="AF49663" s="679"/>
    </row>
    <row r="49664" spans="32:32" x14ac:dyDescent="0.2">
      <c r="AF49664" s="679"/>
    </row>
    <row r="49665" spans="32:32" x14ac:dyDescent="0.2">
      <c r="AF49665" s="679"/>
    </row>
    <row r="49666" spans="32:32" x14ac:dyDescent="0.2">
      <c r="AF49666" s="679"/>
    </row>
    <row r="49667" spans="32:32" x14ac:dyDescent="0.2">
      <c r="AF49667" s="679"/>
    </row>
    <row r="49668" spans="32:32" x14ac:dyDescent="0.2">
      <c r="AF49668" s="679"/>
    </row>
    <row r="49669" spans="32:32" x14ac:dyDescent="0.2">
      <c r="AF49669" s="679"/>
    </row>
    <row r="49670" spans="32:32" x14ac:dyDescent="0.2">
      <c r="AF49670" s="679"/>
    </row>
    <row r="49671" spans="32:32" x14ac:dyDescent="0.2">
      <c r="AF49671" s="679"/>
    </row>
    <row r="49672" spans="32:32" x14ac:dyDescent="0.2">
      <c r="AF49672" s="679"/>
    </row>
    <row r="49673" spans="32:32" x14ac:dyDescent="0.2">
      <c r="AF49673" s="679"/>
    </row>
    <row r="49674" spans="32:32" x14ac:dyDescent="0.2">
      <c r="AF49674" s="679"/>
    </row>
    <row r="49675" spans="32:32" x14ac:dyDescent="0.2">
      <c r="AF49675" s="679"/>
    </row>
    <row r="49676" spans="32:32" x14ac:dyDescent="0.2">
      <c r="AF49676" s="679"/>
    </row>
    <row r="49677" spans="32:32" x14ac:dyDescent="0.2">
      <c r="AF49677" s="679"/>
    </row>
    <row r="49678" spans="32:32" x14ac:dyDescent="0.2">
      <c r="AF49678" s="679"/>
    </row>
    <row r="49679" spans="32:32" x14ac:dyDescent="0.2">
      <c r="AF49679" s="679"/>
    </row>
    <row r="49680" spans="32:32" x14ac:dyDescent="0.2">
      <c r="AF49680" s="679"/>
    </row>
    <row r="49681" spans="32:32" x14ac:dyDescent="0.2">
      <c r="AF49681" s="679"/>
    </row>
    <row r="49682" spans="32:32" x14ac:dyDescent="0.2">
      <c r="AF49682" s="679"/>
    </row>
    <row r="49683" spans="32:32" x14ac:dyDescent="0.2">
      <c r="AF49683" s="679"/>
    </row>
    <row r="49684" spans="32:32" x14ac:dyDescent="0.2">
      <c r="AF49684" s="679"/>
    </row>
    <row r="49685" spans="32:32" x14ac:dyDescent="0.2">
      <c r="AF49685" s="679"/>
    </row>
    <row r="49686" spans="32:32" x14ac:dyDescent="0.2">
      <c r="AF49686" s="679"/>
    </row>
    <row r="49687" spans="32:32" x14ac:dyDescent="0.2">
      <c r="AF49687" s="679"/>
    </row>
    <row r="49688" spans="32:32" x14ac:dyDescent="0.2">
      <c r="AF49688" s="679"/>
    </row>
    <row r="49689" spans="32:32" x14ac:dyDescent="0.2">
      <c r="AF49689" s="679"/>
    </row>
    <row r="49690" spans="32:32" x14ac:dyDescent="0.2">
      <c r="AF49690" s="679"/>
    </row>
    <row r="49691" spans="32:32" x14ac:dyDescent="0.2">
      <c r="AF49691" s="679"/>
    </row>
    <row r="49692" spans="32:32" x14ac:dyDescent="0.2">
      <c r="AF49692" s="679"/>
    </row>
    <row r="49693" spans="32:32" x14ac:dyDescent="0.2">
      <c r="AF49693" s="679"/>
    </row>
    <row r="49694" spans="32:32" x14ac:dyDescent="0.2">
      <c r="AF49694" s="679"/>
    </row>
    <row r="49695" spans="32:32" x14ac:dyDescent="0.2">
      <c r="AF49695" s="679"/>
    </row>
    <row r="49696" spans="32:32" x14ac:dyDescent="0.2">
      <c r="AF49696" s="679"/>
    </row>
    <row r="49697" spans="32:32" x14ac:dyDescent="0.2">
      <c r="AF49697" s="679"/>
    </row>
    <row r="49698" spans="32:32" x14ac:dyDescent="0.2">
      <c r="AF49698" s="679"/>
    </row>
    <row r="49699" spans="32:32" x14ac:dyDescent="0.2">
      <c r="AF49699" s="679"/>
    </row>
    <row r="49700" spans="32:32" x14ac:dyDescent="0.2">
      <c r="AF49700" s="679"/>
    </row>
    <row r="49701" spans="32:32" x14ac:dyDescent="0.2">
      <c r="AF49701" s="679"/>
    </row>
    <row r="49702" spans="32:32" x14ac:dyDescent="0.2">
      <c r="AF49702" s="679"/>
    </row>
    <row r="49703" spans="32:32" x14ac:dyDescent="0.2">
      <c r="AF49703" s="679"/>
    </row>
    <row r="49704" spans="32:32" x14ac:dyDescent="0.2">
      <c r="AF49704" s="679"/>
    </row>
    <row r="49705" spans="32:32" x14ac:dyDescent="0.2">
      <c r="AF49705" s="679"/>
    </row>
    <row r="49706" spans="32:32" x14ac:dyDescent="0.2">
      <c r="AF49706" s="679"/>
    </row>
    <row r="49707" spans="32:32" x14ac:dyDescent="0.2">
      <c r="AF49707" s="679"/>
    </row>
    <row r="49708" spans="32:32" x14ac:dyDescent="0.2">
      <c r="AF49708" s="679"/>
    </row>
    <row r="49709" spans="32:32" x14ac:dyDescent="0.2">
      <c r="AF49709" s="679"/>
    </row>
    <row r="49710" spans="32:32" x14ac:dyDescent="0.2">
      <c r="AF49710" s="679"/>
    </row>
    <row r="49711" spans="32:32" x14ac:dyDescent="0.2">
      <c r="AF49711" s="679"/>
    </row>
    <row r="49712" spans="32:32" x14ac:dyDescent="0.2">
      <c r="AF49712" s="679"/>
    </row>
    <row r="49713" spans="32:32" x14ac:dyDescent="0.2">
      <c r="AF49713" s="679"/>
    </row>
    <row r="49714" spans="32:32" x14ac:dyDescent="0.2">
      <c r="AF49714" s="679"/>
    </row>
    <row r="49715" spans="32:32" x14ac:dyDescent="0.2">
      <c r="AF49715" s="679"/>
    </row>
    <row r="49716" spans="32:32" x14ac:dyDescent="0.2">
      <c r="AF49716" s="679"/>
    </row>
    <row r="49717" spans="32:32" x14ac:dyDescent="0.2">
      <c r="AF49717" s="679"/>
    </row>
    <row r="49718" spans="32:32" x14ac:dyDescent="0.2">
      <c r="AF49718" s="679"/>
    </row>
    <row r="49719" spans="32:32" x14ac:dyDescent="0.2">
      <c r="AF49719" s="679"/>
    </row>
    <row r="49720" spans="32:32" x14ac:dyDescent="0.2">
      <c r="AF49720" s="679"/>
    </row>
    <row r="49721" spans="32:32" x14ac:dyDescent="0.2">
      <c r="AF49721" s="679"/>
    </row>
    <row r="49722" spans="32:32" x14ac:dyDescent="0.2">
      <c r="AF49722" s="679"/>
    </row>
    <row r="49723" spans="32:32" x14ac:dyDescent="0.2">
      <c r="AF49723" s="679"/>
    </row>
    <row r="49724" spans="32:32" x14ac:dyDescent="0.2">
      <c r="AF49724" s="679"/>
    </row>
    <row r="49725" spans="32:32" x14ac:dyDescent="0.2">
      <c r="AF49725" s="679"/>
    </row>
    <row r="49726" spans="32:32" x14ac:dyDescent="0.2">
      <c r="AF49726" s="679"/>
    </row>
    <row r="49727" spans="32:32" x14ac:dyDescent="0.2">
      <c r="AF49727" s="679"/>
    </row>
    <row r="49728" spans="32:32" x14ac:dyDescent="0.2">
      <c r="AF49728" s="679"/>
    </row>
    <row r="49729" spans="32:32" x14ac:dyDescent="0.2">
      <c r="AF49729" s="679"/>
    </row>
    <row r="49730" spans="32:32" x14ac:dyDescent="0.2">
      <c r="AF49730" s="679"/>
    </row>
    <row r="49731" spans="32:32" x14ac:dyDescent="0.2">
      <c r="AF49731" s="679"/>
    </row>
    <row r="49732" spans="32:32" x14ac:dyDescent="0.2">
      <c r="AF49732" s="679"/>
    </row>
    <row r="49733" spans="32:32" x14ac:dyDescent="0.2">
      <c r="AF49733" s="679"/>
    </row>
    <row r="49734" spans="32:32" x14ac:dyDescent="0.2">
      <c r="AF49734" s="679"/>
    </row>
    <row r="49735" spans="32:32" x14ac:dyDescent="0.2">
      <c r="AF49735" s="679"/>
    </row>
    <row r="49736" spans="32:32" x14ac:dyDescent="0.2">
      <c r="AF49736" s="679"/>
    </row>
    <row r="49737" spans="32:32" x14ac:dyDescent="0.2">
      <c r="AF49737" s="679"/>
    </row>
    <row r="49738" spans="32:32" x14ac:dyDescent="0.2">
      <c r="AF49738" s="679"/>
    </row>
    <row r="49739" spans="32:32" x14ac:dyDescent="0.2">
      <c r="AF49739" s="679"/>
    </row>
    <row r="49740" spans="32:32" x14ac:dyDescent="0.2">
      <c r="AF49740" s="679"/>
    </row>
    <row r="49741" spans="32:32" x14ac:dyDescent="0.2">
      <c r="AF49741" s="679"/>
    </row>
    <row r="49742" spans="32:32" x14ac:dyDescent="0.2">
      <c r="AF49742" s="679"/>
    </row>
    <row r="49743" spans="32:32" x14ac:dyDescent="0.2">
      <c r="AF49743" s="679"/>
    </row>
    <row r="49744" spans="32:32" x14ac:dyDescent="0.2">
      <c r="AF49744" s="679"/>
    </row>
    <row r="49745" spans="32:32" x14ac:dyDescent="0.2">
      <c r="AF49745" s="679"/>
    </row>
    <row r="49746" spans="32:32" x14ac:dyDescent="0.2">
      <c r="AF49746" s="679"/>
    </row>
    <row r="49747" spans="32:32" x14ac:dyDescent="0.2">
      <c r="AF49747" s="679"/>
    </row>
    <row r="49748" spans="32:32" x14ac:dyDescent="0.2">
      <c r="AF49748" s="679"/>
    </row>
    <row r="49749" spans="32:32" x14ac:dyDescent="0.2">
      <c r="AF49749" s="679"/>
    </row>
    <row r="49750" spans="32:32" x14ac:dyDescent="0.2">
      <c r="AF49750" s="679"/>
    </row>
    <row r="49751" spans="32:32" x14ac:dyDescent="0.2">
      <c r="AF49751" s="679"/>
    </row>
    <row r="49752" spans="32:32" x14ac:dyDescent="0.2">
      <c r="AF49752" s="679"/>
    </row>
    <row r="49753" spans="32:32" x14ac:dyDescent="0.2">
      <c r="AF49753" s="679"/>
    </row>
    <row r="49754" spans="32:32" x14ac:dyDescent="0.2">
      <c r="AF49754" s="679"/>
    </row>
    <row r="49755" spans="32:32" x14ac:dyDescent="0.2">
      <c r="AF49755" s="679"/>
    </row>
    <row r="49756" spans="32:32" x14ac:dyDescent="0.2">
      <c r="AF49756" s="679"/>
    </row>
    <row r="49757" spans="32:32" x14ac:dyDescent="0.2">
      <c r="AF49757" s="679"/>
    </row>
    <row r="49758" spans="32:32" x14ac:dyDescent="0.2">
      <c r="AF49758" s="679"/>
    </row>
    <row r="49759" spans="32:32" x14ac:dyDescent="0.2">
      <c r="AF49759" s="679"/>
    </row>
    <row r="49760" spans="32:32" x14ac:dyDescent="0.2">
      <c r="AF49760" s="679"/>
    </row>
    <row r="49761" spans="32:32" x14ac:dyDescent="0.2">
      <c r="AF49761" s="679"/>
    </row>
    <row r="49762" spans="32:32" x14ac:dyDescent="0.2">
      <c r="AF49762" s="679"/>
    </row>
    <row r="49763" spans="32:32" x14ac:dyDescent="0.2">
      <c r="AF49763" s="679"/>
    </row>
    <row r="49764" spans="32:32" x14ac:dyDescent="0.2">
      <c r="AF49764" s="679"/>
    </row>
    <row r="49765" spans="32:32" x14ac:dyDescent="0.2">
      <c r="AF49765" s="679"/>
    </row>
    <row r="49766" spans="32:32" x14ac:dyDescent="0.2">
      <c r="AF49766" s="679"/>
    </row>
    <row r="49767" spans="32:32" x14ac:dyDescent="0.2">
      <c r="AF49767" s="679"/>
    </row>
    <row r="49768" spans="32:32" x14ac:dyDescent="0.2">
      <c r="AF49768" s="679"/>
    </row>
    <row r="49769" spans="32:32" x14ac:dyDescent="0.2">
      <c r="AF49769" s="679"/>
    </row>
    <row r="49770" spans="32:32" x14ac:dyDescent="0.2">
      <c r="AF49770" s="679"/>
    </row>
    <row r="49771" spans="32:32" x14ac:dyDescent="0.2">
      <c r="AF49771" s="679"/>
    </row>
    <row r="49772" spans="32:32" x14ac:dyDescent="0.2">
      <c r="AF49772" s="679"/>
    </row>
    <row r="49773" spans="32:32" x14ac:dyDescent="0.2">
      <c r="AF49773" s="679"/>
    </row>
    <row r="49774" spans="32:32" x14ac:dyDescent="0.2">
      <c r="AF49774" s="679"/>
    </row>
    <row r="49775" spans="32:32" x14ac:dyDescent="0.2">
      <c r="AF49775" s="679"/>
    </row>
    <row r="49776" spans="32:32" x14ac:dyDescent="0.2">
      <c r="AF49776" s="679"/>
    </row>
    <row r="49777" spans="32:32" x14ac:dyDescent="0.2">
      <c r="AF49777" s="679"/>
    </row>
    <row r="49778" spans="32:32" x14ac:dyDescent="0.2">
      <c r="AF49778" s="679"/>
    </row>
    <row r="49779" spans="32:32" x14ac:dyDescent="0.2">
      <c r="AF49779" s="679"/>
    </row>
    <row r="49780" spans="32:32" x14ac:dyDescent="0.2">
      <c r="AF49780" s="679"/>
    </row>
    <row r="49781" spans="32:32" x14ac:dyDescent="0.2">
      <c r="AF49781" s="679"/>
    </row>
    <row r="49782" spans="32:32" x14ac:dyDescent="0.2">
      <c r="AF49782" s="679"/>
    </row>
    <row r="49783" spans="32:32" x14ac:dyDescent="0.2">
      <c r="AF49783" s="679"/>
    </row>
    <row r="49784" spans="32:32" x14ac:dyDescent="0.2">
      <c r="AF49784" s="679"/>
    </row>
    <row r="49785" spans="32:32" x14ac:dyDescent="0.2">
      <c r="AF49785" s="679"/>
    </row>
    <row r="49786" spans="32:32" x14ac:dyDescent="0.2">
      <c r="AF49786" s="679"/>
    </row>
    <row r="49787" spans="32:32" x14ac:dyDescent="0.2">
      <c r="AF49787" s="679"/>
    </row>
    <row r="49788" spans="32:32" x14ac:dyDescent="0.2">
      <c r="AF49788" s="679"/>
    </row>
    <row r="49789" spans="32:32" x14ac:dyDescent="0.2">
      <c r="AF49789" s="679"/>
    </row>
    <row r="49790" spans="32:32" x14ac:dyDescent="0.2">
      <c r="AF49790" s="679"/>
    </row>
    <row r="49791" spans="32:32" x14ac:dyDescent="0.2">
      <c r="AF49791" s="679"/>
    </row>
    <row r="49792" spans="32:32" x14ac:dyDescent="0.2">
      <c r="AF49792" s="679"/>
    </row>
    <row r="49793" spans="32:32" x14ac:dyDescent="0.2">
      <c r="AF49793" s="679"/>
    </row>
    <row r="49794" spans="32:32" x14ac:dyDescent="0.2">
      <c r="AF49794" s="679"/>
    </row>
    <row r="49795" spans="32:32" x14ac:dyDescent="0.2">
      <c r="AF49795" s="679"/>
    </row>
    <row r="49796" spans="32:32" x14ac:dyDescent="0.2">
      <c r="AF49796" s="679"/>
    </row>
    <row r="49797" spans="32:32" x14ac:dyDescent="0.2">
      <c r="AF49797" s="679"/>
    </row>
    <row r="49798" spans="32:32" x14ac:dyDescent="0.2">
      <c r="AF49798" s="679"/>
    </row>
    <row r="49799" spans="32:32" x14ac:dyDescent="0.2">
      <c r="AF49799" s="679"/>
    </row>
    <row r="49800" spans="32:32" x14ac:dyDescent="0.2">
      <c r="AF49800" s="679"/>
    </row>
    <row r="49801" spans="32:32" x14ac:dyDescent="0.2">
      <c r="AF49801" s="679"/>
    </row>
    <row r="49802" spans="32:32" x14ac:dyDescent="0.2">
      <c r="AF49802" s="679"/>
    </row>
    <row r="49803" spans="32:32" x14ac:dyDescent="0.2">
      <c r="AF49803" s="679"/>
    </row>
    <row r="49804" spans="32:32" x14ac:dyDescent="0.2">
      <c r="AF49804" s="679"/>
    </row>
    <row r="49805" spans="32:32" x14ac:dyDescent="0.2">
      <c r="AF49805" s="679"/>
    </row>
    <row r="49806" spans="32:32" x14ac:dyDescent="0.2">
      <c r="AF49806" s="679"/>
    </row>
    <row r="49807" spans="32:32" x14ac:dyDescent="0.2">
      <c r="AF49807" s="679"/>
    </row>
    <row r="49808" spans="32:32" x14ac:dyDescent="0.2">
      <c r="AF49808" s="679"/>
    </row>
    <row r="49809" spans="32:32" x14ac:dyDescent="0.2">
      <c r="AF49809" s="679"/>
    </row>
    <row r="49810" spans="32:32" x14ac:dyDescent="0.2">
      <c r="AF49810" s="679"/>
    </row>
    <row r="49811" spans="32:32" x14ac:dyDescent="0.2">
      <c r="AF49811" s="679"/>
    </row>
    <row r="49812" spans="32:32" x14ac:dyDescent="0.2">
      <c r="AF49812" s="679"/>
    </row>
    <row r="49813" spans="32:32" x14ac:dyDescent="0.2">
      <c r="AF49813" s="679"/>
    </row>
    <row r="49814" spans="32:32" x14ac:dyDescent="0.2">
      <c r="AF49814" s="679"/>
    </row>
    <row r="49815" spans="32:32" x14ac:dyDescent="0.2">
      <c r="AF49815" s="679"/>
    </row>
    <row r="49816" spans="32:32" x14ac:dyDescent="0.2">
      <c r="AF49816" s="679"/>
    </row>
    <row r="49817" spans="32:32" x14ac:dyDescent="0.2">
      <c r="AF49817" s="679"/>
    </row>
    <row r="49818" spans="32:32" x14ac:dyDescent="0.2">
      <c r="AF49818" s="679"/>
    </row>
    <row r="49819" spans="32:32" x14ac:dyDescent="0.2">
      <c r="AF49819" s="679"/>
    </row>
    <row r="49820" spans="32:32" x14ac:dyDescent="0.2">
      <c r="AF49820" s="679"/>
    </row>
    <row r="49821" spans="32:32" x14ac:dyDescent="0.2">
      <c r="AF49821" s="679"/>
    </row>
    <row r="49822" spans="32:32" x14ac:dyDescent="0.2">
      <c r="AF49822" s="679"/>
    </row>
    <row r="49823" spans="32:32" x14ac:dyDescent="0.2">
      <c r="AF49823" s="679"/>
    </row>
    <row r="49824" spans="32:32" x14ac:dyDescent="0.2">
      <c r="AF49824" s="679"/>
    </row>
    <row r="49825" spans="32:32" x14ac:dyDescent="0.2">
      <c r="AF49825" s="679"/>
    </row>
    <row r="49826" spans="32:32" x14ac:dyDescent="0.2">
      <c r="AF49826" s="679"/>
    </row>
    <row r="49827" spans="32:32" x14ac:dyDescent="0.2">
      <c r="AF49827" s="679"/>
    </row>
    <row r="49828" spans="32:32" x14ac:dyDescent="0.2">
      <c r="AF49828" s="679"/>
    </row>
    <row r="49829" spans="32:32" x14ac:dyDescent="0.2">
      <c r="AF49829" s="679"/>
    </row>
    <row r="49830" spans="32:32" x14ac:dyDescent="0.2">
      <c r="AF49830" s="679"/>
    </row>
    <row r="49831" spans="32:32" x14ac:dyDescent="0.2">
      <c r="AF49831" s="679"/>
    </row>
    <row r="49832" spans="32:32" x14ac:dyDescent="0.2">
      <c r="AF49832" s="679"/>
    </row>
    <row r="49833" spans="32:32" x14ac:dyDescent="0.2">
      <c r="AF49833" s="679"/>
    </row>
    <row r="49834" spans="32:32" x14ac:dyDescent="0.2">
      <c r="AF49834" s="679"/>
    </row>
    <row r="49835" spans="32:32" x14ac:dyDescent="0.2">
      <c r="AF49835" s="679"/>
    </row>
    <row r="49836" spans="32:32" x14ac:dyDescent="0.2">
      <c r="AF49836" s="679"/>
    </row>
    <row r="49837" spans="32:32" x14ac:dyDescent="0.2">
      <c r="AF49837" s="679"/>
    </row>
    <row r="49838" spans="32:32" x14ac:dyDescent="0.2">
      <c r="AF49838" s="679"/>
    </row>
    <row r="49839" spans="32:32" x14ac:dyDescent="0.2">
      <c r="AF49839" s="679"/>
    </row>
    <row r="49840" spans="32:32" x14ac:dyDescent="0.2">
      <c r="AF49840" s="679"/>
    </row>
    <row r="49841" spans="32:32" x14ac:dyDescent="0.2">
      <c r="AF49841" s="679"/>
    </row>
    <row r="49842" spans="32:32" x14ac:dyDescent="0.2">
      <c r="AF49842" s="679"/>
    </row>
    <row r="49843" spans="32:32" x14ac:dyDescent="0.2">
      <c r="AF49843" s="679"/>
    </row>
    <row r="49844" spans="32:32" x14ac:dyDescent="0.2">
      <c r="AF49844" s="679"/>
    </row>
    <row r="49845" spans="32:32" x14ac:dyDescent="0.2">
      <c r="AF49845" s="679"/>
    </row>
    <row r="49846" spans="32:32" x14ac:dyDescent="0.2">
      <c r="AF49846" s="679"/>
    </row>
    <row r="49847" spans="32:32" x14ac:dyDescent="0.2">
      <c r="AF49847" s="679"/>
    </row>
    <row r="49848" spans="32:32" x14ac:dyDescent="0.2">
      <c r="AF49848" s="679"/>
    </row>
    <row r="49849" spans="32:32" x14ac:dyDescent="0.2">
      <c r="AF49849" s="679"/>
    </row>
    <row r="49850" spans="32:32" x14ac:dyDescent="0.2">
      <c r="AF49850" s="679"/>
    </row>
    <row r="49851" spans="32:32" x14ac:dyDescent="0.2">
      <c r="AF49851" s="679"/>
    </row>
    <row r="49852" spans="32:32" x14ac:dyDescent="0.2">
      <c r="AF49852" s="679"/>
    </row>
    <row r="49853" spans="32:32" x14ac:dyDescent="0.2">
      <c r="AF49853" s="679"/>
    </row>
    <row r="49854" spans="32:32" x14ac:dyDescent="0.2">
      <c r="AF49854" s="679"/>
    </row>
    <row r="49855" spans="32:32" x14ac:dyDescent="0.2">
      <c r="AF49855" s="679"/>
    </row>
    <row r="49856" spans="32:32" x14ac:dyDescent="0.2">
      <c r="AF49856" s="679"/>
    </row>
    <row r="49857" spans="32:32" x14ac:dyDescent="0.2">
      <c r="AF49857" s="679"/>
    </row>
    <row r="49858" spans="32:32" x14ac:dyDescent="0.2">
      <c r="AF49858" s="679"/>
    </row>
    <row r="49859" spans="32:32" x14ac:dyDescent="0.2">
      <c r="AF49859" s="679"/>
    </row>
    <row r="49860" spans="32:32" x14ac:dyDescent="0.2">
      <c r="AF49860" s="679"/>
    </row>
    <row r="49861" spans="32:32" x14ac:dyDescent="0.2">
      <c r="AF49861" s="679"/>
    </row>
    <row r="49862" spans="32:32" x14ac:dyDescent="0.2">
      <c r="AF49862" s="679"/>
    </row>
    <row r="49863" spans="32:32" x14ac:dyDescent="0.2">
      <c r="AF49863" s="679"/>
    </row>
    <row r="49864" spans="32:32" x14ac:dyDescent="0.2">
      <c r="AF49864" s="679"/>
    </row>
    <row r="49865" spans="32:32" x14ac:dyDescent="0.2">
      <c r="AF49865" s="679"/>
    </row>
    <row r="49866" spans="32:32" x14ac:dyDescent="0.2">
      <c r="AF49866" s="679"/>
    </row>
    <row r="49867" spans="32:32" x14ac:dyDescent="0.2">
      <c r="AF49867" s="679"/>
    </row>
    <row r="49868" spans="32:32" x14ac:dyDescent="0.2">
      <c r="AF49868" s="679"/>
    </row>
    <row r="49869" spans="32:32" x14ac:dyDescent="0.2">
      <c r="AF49869" s="679"/>
    </row>
    <row r="49870" spans="32:32" x14ac:dyDescent="0.2">
      <c r="AF49870" s="679"/>
    </row>
    <row r="49871" spans="32:32" x14ac:dyDescent="0.2">
      <c r="AF49871" s="679"/>
    </row>
    <row r="49872" spans="32:32" x14ac:dyDescent="0.2">
      <c r="AF49872" s="679"/>
    </row>
    <row r="49873" spans="32:32" x14ac:dyDescent="0.2">
      <c r="AF49873" s="679"/>
    </row>
    <row r="49874" spans="32:32" x14ac:dyDescent="0.2">
      <c r="AF49874" s="679"/>
    </row>
    <row r="49875" spans="32:32" x14ac:dyDescent="0.2">
      <c r="AF49875" s="679"/>
    </row>
    <row r="49876" spans="32:32" x14ac:dyDescent="0.2">
      <c r="AF49876" s="679"/>
    </row>
    <row r="49877" spans="32:32" x14ac:dyDescent="0.2">
      <c r="AF49877" s="679"/>
    </row>
    <row r="49878" spans="32:32" x14ac:dyDescent="0.2">
      <c r="AF49878" s="679"/>
    </row>
    <row r="49879" spans="32:32" x14ac:dyDescent="0.2">
      <c r="AF49879" s="679"/>
    </row>
    <row r="49880" spans="32:32" x14ac:dyDescent="0.2">
      <c r="AF49880" s="679"/>
    </row>
    <row r="49881" spans="32:32" x14ac:dyDescent="0.2">
      <c r="AF49881" s="679"/>
    </row>
    <row r="49882" spans="32:32" x14ac:dyDescent="0.2">
      <c r="AF49882" s="679"/>
    </row>
    <row r="49883" spans="32:32" x14ac:dyDescent="0.2">
      <c r="AF49883" s="679"/>
    </row>
    <row r="49884" spans="32:32" x14ac:dyDescent="0.2">
      <c r="AF49884" s="679"/>
    </row>
    <row r="49885" spans="32:32" x14ac:dyDescent="0.2">
      <c r="AF49885" s="679"/>
    </row>
    <row r="49886" spans="32:32" x14ac:dyDescent="0.2">
      <c r="AF49886" s="679"/>
    </row>
    <row r="49887" spans="32:32" x14ac:dyDescent="0.2">
      <c r="AF49887" s="679"/>
    </row>
    <row r="49888" spans="32:32" x14ac:dyDescent="0.2">
      <c r="AF49888" s="679"/>
    </row>
    <row r="49889" spans="32:32" x14ac:dyDescent="0.2">
      <c r="AF49889" s="679"/>
    </row>
    <row r="49890" spans="32:32" x14ac:dyDescent="0.2">
      <c r="AF49890" s="679"/>
    </row>
    <row r="49891" spans="32:32" x14ac:dyDescent="0.2">
      <c r="AF49891" s="679"/>
    </row>
    <row r="49892" spans="32:32" x14ac:dyDescent="0.2">
      <c r="AF49892" s="679"/>
    </row>
    <row r="49893" spans="32:32" x14ac:dyDescent="0.2">
      <c r="AF49893" s="679"/>
    </row>
    <row r="49894" spans="32:32" x14ac:dyDescent="0.2">
      <c r="AF49894" s="679"/>
    </row>
    <row r="49895" spans="32:32" x14ac:dyDescent="0.2">
      <c r="AF49895" s="679"/>
    </row>
    <row r="49896" spans="32:32" x14ac:dyDescent="0.2">
      <c r="AF49896" s="679"/>
    </row>
    <row r="49897" spans="32:32" x14ac:dyDescent="0.2">
      <c r="AF49897" s="679"/>
    </row>
    <row r="49898" spans="32:32" x14ac:dyDescent="0.2">
      <c r="AF49898" s="679"/>
    </row>
    <row r="49899" spans="32:32" x14ac:dyDescent="0.2">
      <c r="AF49899" s="679"/>
    </row>
    <row r="49900" spans="32:32" x14ac:dyDescent="0.2">
      <c r="AF49900" s="679"/>
    </row>
    <row r="49901" spans="32:32" x14ac:dyDescent="0.2">
      <c r="AF49901" s="679"/>
    </row>
    <row r="49902" spans="32:32" x14ac:dyDescent="0.2">
      <c r="AF49902" s="679"/>
    </row>
    <row r="49903" spans="32:32" x14ac:dyDescent="0.2">
      <c r="AF49903" s="679"/>
    </row>
    <row r="49904" spans="32:32" x14ac:dyDescent="0.2">
      <c r="AF49904" s="679"/>
    </row>
    <row r="49905" spans="32:32" x14ac:dyDescent="0.2">
      <c r="AF49905" s="679"/>
    </row>
    <row r="49906" spans="32:32" x14ac:dyDescent="0.2">
      <c r="AF49906" s="679"/>
    </row>
    <row r="49907" spans="32:32" x14ac:dyDescent="0.2">
      <c r="AF49907" s="679"/>
    </row>
    <row r="49908" spans="32:32" x14ac:dyDescent="0.2">
      <c r="AF49908" s="679"/>
    </row>
    <row r="49909" spans="32:32" x14ac:dyDescent="0.2">
      <c r="AF49909" s="679"/>
    </row>
    <row r="49910" spans="32:32" x14ac:dyDescent="0.2">
      <c r="AF49910" s="679"/>
    </row>
    <row r="49911" spans="32:32" x14ac:dyDescent="0.2">
      <c r="AF49911" s="679"/>
    </row>
    <row r="49912" spans="32:32" x14ac:dyDescent="0.2">
      <c r="AF49912" s="679"/>
    </row>
    <row r="49913" spans="32:32" x14ac:dyDescent="0.2">
      <c r="AF49913" s="679"/>
    </row>
    <row r="49914" spans="32:32" x14ac:dyDescent="0.2">
      <c r="AF49914" s="679"/>
    </row>
    <row r="49915" spans="32:32" x14ac:dyDescent="0.2">
      <c r="AF49915" s="679"/>
    </row>
    <row r="49916" spans="32:32" x14ac:dyDescent="0.2">
      <c r="AF49916" s="679"/>
    </row>
    <row r="49917" spans="32:32" x14ac:dyDescent="0.2">
      <c r="AF49917" s="679"/>
    </row>
    <row r="49918" spans="32:32" x14ac:dyDescent="0.2">
      <c r="AF49918" s="679"/>
    </row>
    <row r="49919" spans="32:32" x14ac:dyDescent="0.2">
      <c r="AF49919" s="679"/>
    </row>
    <row r="49920" spans="32:32" x14ac:dyDescent="0.2">
      <c r="AF49920" s="679"/>
    </row>
    <row r="49921" spans="32:32" x14ac:dyDescent="0.2">
      <c r="AF49921" s="679"/>
    </row>
    <row r="49922" spans="32:32" x14ac:dyDescent="0.2">
      <c r="AF49922" s="679"/>
    </row>
    <row r="49923" spans="32:32" x14ac:dyDescent="0.2">
      <c r="AF49923" s="679"/>
    </row>
    <row r="49924" spans="32:32" x14ac:dyDescent="0.2">
      <c r="AF49924" s="679"/>
    </row>
    <row r="49925" spans="32:32" x14ac:dyDescent="0.2">
      <c r="AF49925" s="679"/>
    </row>
    <row r="49926" spans="32:32" x14ac:dyDescent="0.2">
      <c r="AF49926" s="679"/>
    </row>
    <row r="49927" spans="32:32" x14ac:dyDescent="0.2">
      <c r="AF49927" s="679"/>
    </row>
    <row r="49928" spans="32:32" x14ac:dyDescent="0.2">
      <c r="AF49928" s="679"/>
    </row>
    <row r="49929" spans="32:32" x14ac:dyDescent="0.2">
      <c r="AF49929" s="679"/>
    </row>
    <row r="49930" spans="32:32" x14ac:dyDescent="0.2">
      <c r="AF49930" s="679"/>
    </row>
    <row r="49931" spans="32:32" x14ac:dyDescent="0.2">
      <c r="AF49931" s="679"/>
    </row>
    <row r="49932" spans="32:32" x14ac:dyDescent="0.2">
      <c r="AF49932" s="679"/>
    </row>
    <row r="49933" spans="32:32" x14ac:dyDescent="0.2">
      <c r="AF49933" s="679"/>
    </row>
    <row r="49934" spans="32:32" x14ac:dyDescent="0.2">
      <c r="AF49934" s="679"/>
    </row>
    <row r="49935" spans="32:32" x14ac:dyDescent="0.2">
      <c r="AF49935" s="679"/>
    </row>
    <row r="49936" spans="32:32" x14ac:dyDescent="0.2">
      <c r="AF49936" s="679"/>
    </row>
    <row r="49937" spans="32:32" x14ac:dyDescent="0.2">
      <c r="AF49937" s="679"/>
    </row>
    <row r="49938" spans="32:32" x14ac:dyDescent="0.2">
      <c r="AF49938" s="679"/>
    </row>
    <row r="49939" spans="32:32" x14ac:dyDescent="0.2">
      <c r="AF49939" s="679"/>
    </row>
    <row r="49940" spans="32:32" x14ac:dyDescent="0.2">
      <c r="AF49940" s="679"/>
    </row>
    <row r="49941" spans="32:32" x14ac:dyDescent="0.2">
      <c r="AF49941" s="679"/>
    </row>
    <row r="49942" spans="32:32" x14ac:dyDescent="0.2">
      <c r="AF49942" s="679"/>
    </row>
    <row r="49943" spans="32:32" x14ac:dyDescent="0.2">
      <c r="AF49943" s="679"/>
    </row>
    <row r="49944" spans="32:32" x14ac:dyDescent="0.2">
      <c r="AF49944" s="679"/>
    </row>
    <row r="49945" spans="32:32" x14ac:dyDescent="0.2">
      <c r="AF49945" s="679"/>
    </row>
    <row r="49946" spans="32:32" x14ac:dyDescent="0.2">
      <c r="AF49946" s="679"/>
    </row>
    <row r="49947" spans="32:32" x14ac:dyDescent="0.2">
      <c r="AF49947" s="679"/>
    </row>
    <row r="49948" spans="32:32" x14ac:dyDescent="0.2">
      <c r="AF49948" s="679"/>
    </row>
    <row r="49949" spans="32:32" x14ac:dyDescent="0.2">
      <c r="AF49949" s="679"/>
    </row>
    <row r="49950" spans="32:32" x14ac:dyDescent="0.2">
      <c r="AF49950" s="679"/>
    </row>
    <row r="49951" spans="32:32" x14ac:dyDescent="0.2">
      <c r="AF49951" s="679"/>
    </row>
    <row r="49952" spans="32:32" x14ac:dyDescent="0.2">
      <c r="AF49952" s="679"/>
    </row>
    <row r="49953" spans="32:32" x14ac:dyDescent="0.2">
      <c r="AF49953" s="679"/>
    </row>
    <row r="49954" spans="32:32" x14ac:dyDescent="0.2">
      <c r="AF49954" s="679"/>
    </row>
    <row r="49955" spans="32:32" x14ac:dyDescent="0.2">
      <c r="AF49955" s="679"/>
    </row>
    <row r="49956" spans="32:32" x14ac:dyDescent="0.2">
      <c r="AF49956" s="679"/>
    </row>
    <row r="49957" spans="32:32" x14ac:dyDescent="0.2">
      <c r="AF49957" s="679"/>
    </row>
    <row r="49958" spans="32:32" x14ac:dyDescent="0.2">
      <c r="AF49958" s="679"/>
    </row>
    <row r="49959" spans="32:32" x14ac:dyDescent="0.2">
      <c r="AF49959" s="679"/>
    </row>
    <row r="49960" spans="32:32" x14ac:dyDescent="0.2">
      <c r="AF49960" s="679"/>
    </row>
    <row r="49961" spans="32:32" x14ac:dyDescent="0.2">
      <c r="AF49961" s="679"/>
    </row>
    <row r="49962" spans="32:32" x14ac:dyDescent="0.2">
      <c r="AF49962" s="679"/>
    </row>
    <row r="49963" spans="32:32" x14ac:dyDescent="0.2">
      <c r="AF49963" s="679"/>
    </row>
    <row r="49964" spans="32:32" x14ac:dyDescent="0.2">
      <c r="AF49964" s="679"/>
    </row>
    <row r="49965" spans="32:32" x14ac:dyDescent="0.2">
      <c r="AF49965" s="679"/>
    </row>
    <row r="49966" spans="32:32" x14ac:dyDescent="0.2">
      <c r="AF49966" s="679"/>
    </row>
    <row r="49967" spans="32:32" x14ac:dyDescent="0.2">
      <c r="AF49967" s="679"/>
    </row>
    <row r="49968" spans="32:32" x14ac:dyDescent="0.2">
      <c r="AF49968" s="679"/>
    </row>
    <row r="49969" spans="32:32" x14ac:dyDescent="0.2">
      <c r="AF49969" s="679"/>
    </row>
    <row r="49970" spans="32:32" x14ac:dyDescent="0.2">
      <c r="AF49970" s="679"/>
    </row>
    <row r="49971" spans="32:32" x14ac:dyDescent="0.2">
      <c r="AF49971" s="679"/>
    </row>
    <row r="49972" spans="32:32" x14ac:dyDescent="0.2">
      <c r="AF49972" s="679"/>
    </row>
    <row r="49973" spans="32:32" x14ac:dyDescent="0.2">
      <c r="AF49973" s="679"/>
    </row>
    <row r="49974" spans="32:32" x14ac:dyDescent="0.2">
      <c r="AF49974" s="679"/>
    </row>
    <row r="49975" spans="32:32" x14ac:dyDescent="0.2">
      <c r="AF49975" s="679"/>
    </row>
    <row r="49976" spans="32:32" x14ac:dyDescent="0.2">
      <c r="AF49976" s="679"/>
    </row>
    <row r="49977" spans="32:32" x14ac:dyDescent="0.2">
      <c r="AF49977" s="679"/>
    </row>
    <row r="49978" spans="32:32" x14ac:dyDescent="0.2">
      <c r="AF49978" s="679"/>
    </row>
    <row r="49979" spans="32:32" x14ac:dyDescent="0.2">
      <c r="AF49979" s="679"/>
    </row>
    <row r="49980" spans="32:32" x14ac:dyDescent="0.2">
      <c r="AF49980" s="679"/>
    </row>
    <row r="49981" spans="32:32" x14ac:dyDescent="0.2">
      <c r="AF49981" s="679"/>
    </row>
    <row r="49982" spans="32:32" x14ac:dyDescent="0.2">
      <c r="AF49982" s="679"/>
    </row>
    <row r="49983" spans="32:32" x14ac:dyDescent="0.2">
      <c r="AF49983" s="679"/>
    </row>
    <row r="49984" spans="32:32" x14ac:dyDescent="0.2">
      <c r="AF49984" s="679"/>
    </row>
    <row r="49985" spans="32:32" x14ac:dyDescent="0.2">
      <c r="AF49985" s="679"/>
    </row>
    <row r="49986" spans="32:32" x14ac:dyDescent="0.2">
      <c r="AF49986" s="679"/>
    </row>
    <row r="49987" spans="32:32" x14ac:dyDescent="0.2">
      <c r="AF49987" s="679"/>
    </row>
    <row r="49988" spans="32:32" x14ac:dyDescent="0.2">
      <c r="AF49988" s="679"/>
    </row>
    <row r="49989" spans="32:32" x14ac:dyDescent="0.2">
      <c r="AF49989" s="679"/>
    </row>
    <row r="49990" spans="32:32" x14ac:dyDescent="0.2">
      <c r="AF49990" s="679"/>
    </row>
    <row r="49991" spans="32:32" x14ac:dyDescent="0.2">
      <c r="AF49991" s="679"/>
    </row>
    <row r="49992" spans="32:32" x14ac:dyDescent="0.2">
      <c r="AF49992" s="679"/>
    </row>
    <row r="49993" spans="32:32" x14ac:dyDescent="0.2">
      <c r="AF49993" s="679"/>
    </row>
    <row r="49994" spans="32:32" x14ac:dyDescent="0.2">
      <c r="AF49994" s="679"/>
    </row>
    <row r="49995" spans="32:32" x14ac:dyDescent="0.2">
      <c r="AF49995" s="679"/>
    </row>
    <row r="49996" spans="32:32" x14ac:dyDescent="0.2">
      <c r="AF49996" s="679"/>
    </row>
    <row r="49997" spans="32:32" x14ac:dyDescent="0.2">
      <c r="AF49997" s="679"/>
    </row>
    <row r="49998" spans="32:32" x14ac:dyDescent="0.2">
      <c r="AF49998" s="679"/>
    </row>
    <row r="49999" spans="32:32" x14ac:dyDescent="0.2">
      <c r="AF49999" s="679"/>
    </row>
    <row r="50000" spans="32:32" x14ac:dyDescent="0.2">
      <c r="AF50000" s="679"/>
    </row>
    <row r="50001" spans="32:32" x14ac:dyDescent="0.2">
      <c r="AF50001" s="679"/>
    </row>
    <row r="50002" spans="32:32" x14ac:dyDescent="0.2">
      <c r="AF50002" s="679"/>
    </row>
    <row r="50003" spans="32:32" x14ac:dyDescent="0.2">
      <c r="AF50003" s="679"/>
    </row>
    <row r="50004" spans="32:32" x14ac:dyDescent="0.2">
      <c r="AF50004" s="679"/>
    </row>
    <row r="50005" spans="32:32" x14ac:dyDescent="0.2">
      <c r="AF50005" s="679"/>
    </row>
    <row r="50006" spans="32:32" x14ac:dyDescent="0.2">
      <c r="AF50006" s="679"/>
    </row>
    <row r="50007" spans="32:32" x14ac:dyDescent="0.2">
      <c r="AF50007" s="679"/>
    </row>
    <row r="50008" spans="32:32" x14ac:dyDescent="0.2">
      <c r="AF50008" s="679"/>
    </row>
    <row r="50009" spans="32:32" x14ac:dyDescent="0.2">
      <c r="AF50009" s="679"/>
    </row>
    <row r="50010" spans="32:32" x14ac:dyDescent="0.2">
      <c r="AF50010" s="679"/>
    </row>
    <row r="50011" spans="32:32" x14ac:dyDescent="0.2">
      <c r="AF50011" s="679"/>
    </row>
    <row r="50012" spans="32:32" x14ac:dyDescent="0.2">
      <c r="AF50012" s="679"/>
    </row>
    <row r="50013" spans="32:32" x14ac:dyDescent="0.2">
      <c r="AF50013" s="679"/>
    </row>
    <row r="50014" spans="32:32" x14ac:dyDescent="0.2">
      <c r="AF50014" s="679"/>
    </row>
    <row r="50015" spans="32:32" x14ac:dyDescent="0.2">
      <c r="AF50015" s="679"/>
    </row>
    <row r="50016" spans="32:32" x14ac:dyDescent="0.2">
      <c r="AF50016" s="679"/>
    </row>
    <row r="50017" spans="32:32" x14ac:dyDescent="0.2">
      <c r="AF50017" s="679"/>
    </row>
    <row r="50018" spans="32:32" x14ac:dyDescent="0.2">
      <c r="AF50018" s="679"/>
    </row>
    <row r="50019" spans="32:32" x14ac:dyDescent="0.2">
      <c r="AF50019" s="679"/>
    </row>
    <row r="50020" spans="32:32" x14ac:dyDescent="0.2">
      <c r="AF50020" s="679"/>
    </row>
    <row r="50021" spans="32:32" x14ac:dyDescent="0.2">
      <c r="AF50021" s="679"/>
    </row>
    <row r="50022" spans="32:32" x14ac:dyDescent="0.2">
      <c r="AF50022" s="679"/>
    </row>
    <row r="50023" spans="32:32" x14ac:dyDescent="0.2">
      <c r="AF50023" s="679"/>
    </row>
    <row r="50024" spans="32:32" x14ac:dyDescent="0.2">
      <c r="AF50024" s="679"/>
    </row>
    <row r="50025" spans="32:32" x14ac:dyDescent="0.2">
      <c r="AF50025" s="679"/>
    </row>
    <row r="50026" spans="32:32" x14ac:dyDescent="0.2">
      <c r="AF50026" s="679"/>
    </row>
    <row r="50027" spans="32:32" x14ac:dyDescent="0.2">
      <c r="AF50027" s="679"/>
    </row>
    <row r="50028" spans="32:32" x14ac:dyDescent="0.2">
      <c r="AF50028" s="679"/>
    </row>
    <row r="50029" spans="32:32" x14ac:dyDescent="0.2">
      <c r="AF50029" s="679"/>
    </row>
    <row r="50030" spans="32:32" x14ac:dyDescent="0.2">
      <c r="AF50030" s="679"/>
    </row>
    <row r="50031" spans="32:32" x14ac:dyDescent="0.2">
      <c r="AF50031" s="679"/>
    </row>
    <row r="50032" spans="32:32" x14ac:dyDescent="0.2">
      <c r="AF50032" s="679"/>
    </row>
    <row r="50033" spans="32:32" x14ac:dyDescent="0.2">
      <c r="AF50033" s="679"/>
    </row>
    <row r="50034" spans="32:32" x14ac:dyDescent="0.2">
      <c r="AF50034" s="679"/>
    </row>
    <row r="50035" spans="32:32" x14ac:dyDescent="0.2">
      <c r="AF50035" s="679"/>
    </row>
    <row r="50036" spans="32:32" x14ac:dyDescent="0.2">
      <c r="AF50036" s="679"/>
    </row>
    <row r="50037" spans="32:32" x14ac:dyDescent="0.2">
      <c r="AF50037" s="679"/>
    </row>
    <row r="50038" spans="32:32" x14ac:dyDescent="0.2">
      <c r="AF50038" s="679"/>
    </row>
    <row r="50039" spans="32:32" x14ac:dyDescent="0.2">
      <c r="AF50039" s="679"/>
    </row>
    <row r="50040" spans="32:32" x14ac:dyDescent="0.2">
      <c r="AF50040" s="679"/>
    </row>
    <row r="50041" spans="32:32" x14ac:dyDescent="0.2">
      <c r="AF50041" s="679"/>
    </row>
    <row r="50042" spans="32:32" x14ac:dyDescent="0.2">
      <c r="AF50042" s="679"/>
    </row>
    <row r="50043" spans="32:32" x14ac:dyDescent="0.2">
      <c r="AF50043" s="679"/>
    </row>
    <row r="50044" spans="32:32" x14ac:dyDescent="0.2">
      <c r="AF50044" s="679"/>
    </row>
    <row r="50045" spans="32:32" x14ac:dyDescent="0.2">
      <c r="AF50045" s="679"/>
    </row>
    <row r="50046" spans="32:32" x14ac:dyDescent="0.2">
      <c r="AF50046" s="679"/>
    </row>
    <row r="50047" spans="32:32" x14ac:dyDescent="0.2">
      <c r="AF50047" s="679"/>
    </row>
    <row r="50048" spans="32:32" x14ac:dyDescent="0.2">
      <c r="AF50048" s="679"/>
    </row>
    <row r="50049" spans="32:32" x14ac:dyDescent="0.2">
      <c r="AF50049" s="679"/>
    </row>
    <row r="50050" spans="32:32" x14ac:dyDescent="0.2">
      <c r="AF50050" s="679"/>
    </row>
    <row r="50051" spans="32:32" x14ac:dyDescent="0.2">
      <c r="AF50051" s="679"/>
    </row>
    <row r="50052" spans="32:32" x14ac:dyDescent="0.2">
      <c r="AF50052" s="679"/>
    </row>
    <row r="50053" spans="32:32" x14ac:dyDescent="0.2">
      <c r="AF50053" s="679"/>
    </row>
    <row r="50054" spans="32:32" x14ac:dyDescent="0.2">
      <c r="AF50054" s="679"/>
    </row>
    <row r="50055" spans="32:32" x14ac:dyDescent="0.2">
      <c r="AF50055" s="679"/>
    </row>
    <row r="50056" spans="32:32" x14ac:dyDescent="0.2">
      <c r="AF50056" s="679"/>
    </row>
    <row r="50057" spans="32:32" x14ac:dyDescent="0.2">
      <c r="AF50057" s="679"/>
    </row>
    <row r="50058" spans="32:32" x14ac:dyDescent="0.2">
      <c r="AF50058" s="679"/>
    </row>
    <row r="50059" spans="32:32" x14ac:dyDescent="0.2">
      <c r="AF50059" s="679"/>
    </row>
    <row r="50060" spans="32:32" x14ac:dyDescent="0.2">
      <c r="AF50060" s="679"/>
    </row>
    <row r="50061" spans="32:32" x14ac:dyDescent="0.2">
      <c r="AF50061" s="679"/>
    </row>
    <row r="50062" spans="32:32" x14ac:dyDescent="0.2">
      <c r="AF50062" s="679"/>
    </row>
    <row r="50063" spans="32:32" x14ac:dyDescent="0.2">
      <c r="AF50063" s="679"/>
    </row>
    <row r="50064" spans="32:32" x14ac:dyDescent="0.2">
      <c r="AF50064" s="679"/>
    </row>
    <row r="50065" spans="32:32" x14ac:dyDescent="0.2">
      <c r="AF50065" s="679"/>
    </row>
    <row r="50066" spans="32:32" x14ac:dyDescent="0.2">
      <c r="AF50066" s="679"/>
    </row>
    <row r="50067" spans="32:32" x14ac:dyDescent="0.2">
      <c r="AF50067" s="679"/>
    </row>
    <row r="50068" spans="32:32" x14ac:dyDescent="0.2">
      <c r="AF50068" s="679"/>
    </row>
    <row r="50069" spans="32:32" x14ac:dyDescent="0.2">
      <c r="AF50069" s="679"/>
    </row>
    <row r="50070" spans="32:32" x14ac:dyDescent="0.2">
      <c r="AF50070" s="679"/>
    </row>
    <row r="50071" spans="32:32" x14ac:dyDescent="0.2">
      <c r="AF50071" s="679"/>
    </row>
    <row r="50072" spans="32:32" x14ac:dyDescent="0.2">
      <c r="AF50072" s="679"/>
    </row>
    <row r="50073" spans="32:32" x14ac:dyDescent="0.2">
      <c r="AF50073" s="679"/>
    </row>
    <row r="50074" spans="32:32" x14ac:dyDescent="0.2">
      <c r="AF50074" s="679"/>
    </row>
    <row r="50075" spans="32:32" x14ac:dyDescent="0.2">
      <c r="AF50075" s="679"/>
    </row>
    <row r="50076" spans="32:32" x14ac:dyDescent="0.2">
      <c r="AF50076" s="679"/>
    </row>
    <row r="50077" spans="32:32" x14ac:dyDescent="0.2">
      <c r="AF50077" s="679"/>
    </row>
    <row r="50078" spans="32:32" x14ac:dyDescent="0.2">
      <c r="AF50078" s="679"/>
    </row>
    <row r="50079" spans="32:32" x14ac:dyDescent="0.2">
      <c r="AF50079" s="679"/>
    </row>
    <row r="50080" spans="32:32" x14ac:dyDescent="0.2">
      <c r="AF50080" s="679"/>
    </row>
    <row r="50081" spans="32:32" x14ac:dyDescent="0.2">
      <c r="AF50081" s="679"/>
    </row>
    <row r="50082" spans="32:32" x14ac:dyDescent="0.2">
      <c r="AF50082" s="679"/>
    </row>
    <row r="50083" spans="32:32" x14ac:dyDescent="0.2">
      <c r="AF50083" s="679"/>
    </row>
    <row r="50084" spans="32:32" x14ac:dyDescent="0.2">
      <c r="AF50084" s="679"/>
    </row>
    <row r="50085" spans="32:32" x14ac:dyDescent="0.2">
      <c r="AF50085" s="679"/>
    </row>
    <row r="50086" spans="32:32" x14ac:dyDescent="0.2">
      <c r="AF50086" s="679"/>
    </row>
    <row r="50087" spans="32:32" x14ac:dyDescent="0.2">
      <c r="AF50087" s="679"/>
    </row>
    <row r="50088" spans="32:32" x14ac:dyDescent="0.2">
      <c r="AF50088" s="679"/>
    </row>
    <row r="50089" spans="32:32" x14ac:dyDescent="0.2">
      <c r="AF50089" s="679"/>
    </row>
    <row r="50090" spans="32:32" x14ac:dyDescent="0.2">
      <c r="AF50090" s="679"/>
    </row>
    <row r="50091" spans="32:32" x14ac:dyDescent="0.2">
      <c r="AF50091" s="679"/>
    </row>
    <row r="50092" spans="32:32" x14ac:dyDescent="0.2">
      <c r="AF50092" s="679"/>
    </row>
    <row r="50093" spans="32:32" x14ac:dyDescent="0.2">
      <c r="AF50093" s="679"/>
    </row>
    <row r="50094" spans="32:32" x14ac:dyDescent="0.2">
      <c r="AF50094" s="679"/>
    </row>
    <row r="50095" spans="32:32" x14ac:dyDescent="0.2">
      <c r="AF50095" s="679"/>
    </row>
    <row r="50096" spans="32:32" x14ac:dyDescent="0.2">
      <c r="AF50096" s="679"/>
    </row>
    <row r="50097" spans="32:32" x14ac:dyDescent="0.2">
      <c r="AF50097" s="679"/>
    </row>
    <row r="50098" spans="32:32" x14ac:dyDescent="0.2">
      <c r="AF50098" s="679"/>
    </row>
    <row r="50099" spans="32:32" x14ac:dyDescent="0.2">
      <c r="AF50099" s="679"/>
    </row>
    <row r="50100" spans="32:32" x14ac:dyDescent="0.2">
      <c r="AF50100" s="679"/>
    </row>
    <row r="50101" spans="32:32" x14ac:dyDescent="0.2">
      <c r="AF50101" s="679"/>
    </row>
    <row r="50102" spans="32:32" x14ac:dyDescent="0.2">
      <c r="AF50102" s="679"/>
    </row>
    <row r="50103" spans="32:32" x14ac:dyDescent="0.2">
      <c r="AF50103" s="679"/>
    </row>
    <row r="50104" spans="32:32" x14ac:dyDescent="0.2">
      <c r="AF50104" s="679"/>
    </row>
    <row r="50105" spans="32:32" x14ac:dyDescent="0.2">
      <c r="AF50105" s="679"/>
    </row>
    <row r="50106" spans="32:32" x14ac:dyDescent="0.2">
      <c r="AF50106" s="679"/>
    </row>
    <row r="50107" spans="32:32" x14ac:dyDescent="0.2">
      <c r="AF50107" s="679"/>
    </row>
    <row r="50108" spans="32:32" x14ac:dyDescent="0.2">
      <c r="AF50108" s="679"/>
    </row>
    <row r="50109" spans="32:32" x14ac:dyDescent="0.2">
      <c r="AF50109" s="679"/>
    </row>
    <row r="50110" spans="32:32" x14ac:dyDescent="0.2">
      <c r="AF50110" s="679"/>
    </row>
    <row r="50111" spans="32:32" x14ac:dyDescent="0.2">
      <c r="AF50111" s="679"/>
    </row>
    <row r="50112" spans="32:32" x14ac:dyDescent="0.2">
      <c r="AF50112" s="679"/>
    </row>
    <row r="50113" spans="32:32" x14ac:dyDescent="0.2">
      <c r="AF50113" s="679"/>
    </row>
    <row r="50114" spans="32:32" x14ac:dyDescent="0.2">
      <c r="AF50114" s="679"/>
    </row>
    <row r="50115" spans="32:32" x14ac:dyDescent="0.2">
      <c r="AF50115" s="679"/>
    </row>
    <row r="50116" spans="32:32" x14ac:dyDescent="0.2">
      <c r="AF50116" s="679"/>
    </row>
    <row r="50117" spans="32:32" x14ac:dyDescent="0.2">
      <c r="AF50117" s="679"/>
    </row>
    <row r="50118" spans="32:32" x14ac:dyDescent="0.2">
      <c r="AF50118" s="679"/>
    </row>
    <row r="50119" spans="32:32" x14ac:dyDescent="0.2">
      <c r="AF50119" s="679"/>
    </row>
    <row r="50120" spans="32:32" x14ac:dyDescent="0.2">
      <c r="AF50120" s="679"/>
    </row>
    <row r="50121" spans="32:32" x14ac:dyDescent="0.2">
      <c r="AF50121" s="679"/>
    </row>
    <row r="50122" spans="32:32" x14ac:dyDescent="0.2">
      <c r="AF50122" s="679"/>
    </row>
    <row r="50123" spans="32:32" x14ac:dyDescent="0.2">
      <c r="AF50123" s="679"/>
    </row>
    <row r="50124" spans="32:32" x14ac:dyDescent="0.2">
      <c r="AF50124" s="679"/>
    </row>
    <row r="50125" spans="32:32" x14ac:dyDescent="0.2">
      <c r="AF50125" s="679"/>
    </row>
    <row r="50126" spans="32:32" x14ac:dyDescent="0.2">
      <c r="AF50126" s="679"/>
    </row>
    <row r="50127" spans="32:32" x14ac:dyDescent="0.2">
      <c r="AF50127" s="679"/>
    </row>
    <row r="50128" spans="32:32" x14ac:dyDescent="0.2">
      <c r="AF50128" s="679"/>
    </row>
    <row r="50129" spans="32:32" x14ac:dyDescent="0.2">
      <c r="AF50129" s="679"/>
    </row>
    <row r="50130" spans="32:32" x14ac:dyDescent="0.2">
      <c r="AF50130" s="679"/>
    </row>
    <row r="50131" spans="32:32" x14ac:dyDescent="0.2">
      <c r="AF50131" s="679"/>
    </row>
    <row r="50132" spans="32:32" x14ac:dyDescent="0.2">
      <c r="AF50132" s="679"/>
    </row>
    <row r="50133" spans="32:32" x14ac:dyDescent="0.2">
      <c r="AF50133" s="679"/>
    </row>
    <row r="50134" spans="32:32" x14ac:dyDescent="0.2">
      <c r="AF50134" s="679"/>
    </row>
    <row r="50135" spans="32:32" x14ac:dyDescent="0.2">
      <c r="AF50135" s="679"/>
    </row>
    <row r="50136" spans="32:32" x14ac:dyDescent="0.2">
      <c r="AF50136" s="679"/>
    </row>
    <row r="50137" spans="32:32" x14ac:dyDescent="0.2">
      <c r="AF50137" s="679"/>
    </row>
    <row r="50138" spans="32:32" x14ac:dyDescent="0.2">
      <c r="AF50138" s="679"/>
    </row>
    <row r="50139" spans="32:32" x14ac:dyDescent="0.2">
      <c r="AF50139" s="679"/>
    </row>
    <row r="50140" spans="32:32" x14ac:dyDescent="0.2">
      <c r="AF50140" s="679"/>
    </row>
    <row r="50141" spans="32:32" x14ac:dyDescent="0.2">
      <c r="AF50141" s="679"/>
    </row>
    <row r="50142" spans="32:32" x14ac:dyDescent="0.2">
      <c r="AF50142" s="679"/>
    </row>
    <row r="50143" spans="32:32" x14ac:dyDescent="0.2">
      <c r="AF50143" s="679"/>
    </row>
    <row r="50144" spans="32:32" x14ac:dyDescent="0.2">
      <c r="AF50144" s="679"/>
    </row>
    <row r="50145" spans="32:32" x14ac:dyDescent="0.2">
      <c r="AF50145" s="679"/>
    </row>
    <row r="50146" spans="32:32" x14ac:dyDescent="0.2">
      <c r="AF50146" s="679"/>
    </row>
    <row r="50147" spans="32:32" x14ac:dyDescent="0.2">
      <c r="AF50147" s="679"/>
    </row>
    <row r="50148" spans="32:32" x14ac:dyDescent="0.2">
      <c r="AF50148" s="679"/>
    </row>
    <row r="50149" spans="32:32" x14ac:dyDescent="0.2">
      <c r="AF50149" s="679"/>
    </row>
    <row r="50150" spans="32:32" x14ac:dyDescent="0.2">
      <c r="AF50150" s="679"/>
    </row>
    <row r="50151" spans="32:32" x14ac:dyDescent="0.2">
      <c r="AF50151" s="679"/>
    </row>
    <row r="50152" spans="32:32" x14ac:dyDescent="0.2">
      <c r="AF50152" s="679"/>
    </row>
    <row r="50153" spans="32:32" x14ac:dyDescent="0.2">
      <c r="AF50153" s="679"/>
    </row>
    <row r="50154" spans="32:32" x14ac:dyDescent="0.2">
      <c r="AF50154" s="679"/>
    </row>
    <row r="50155" spans="32:32" x14ac:dyDescent="0.2">
      <c r="AF50155" s="679"/>
    </row>
    <row r="50156" spans="32:32" x14ac:dyDescent="0.2">
      <c r="AF50156" s="679"/>
    </row>
    <row r="50157" spans="32:32" x14ac:dyDescent="0.2">
      <c r="AF50157" s="679"/>
    </row>
    <row r="50158" spans="32:32" x14ac:dyDescent="0.2">
      <c r="AF50158" s="679"/>
    </row>
    <row r="50159" spans="32:32" x14ac:dyDescent="0.2">
      <c r="AF50159" s="679"/>
    </row>
    <row r="50160" spans="32:32" x14ac:dyDescent="0.2">
      <c r="AF50160" s="679"/>
    </row>
    <row r="50161" spans="32:32" x14ac:dyDescent="0.2">
      <c r="AF50161" s="679"/>
    </row>
    <row r="50162" spans="32:32" x14ac:dyDescent="0.2">
      <c r="AF50162" s="679"/>
    </row>
    <row r="50163" spans="32:32" x14ac:dyDescent="0.2">
      <c r="AF50163" s="679"/>
    </row>
    <row r="50164" spans="32:32" x14ac:dyDescent="0.2">
      <c r="AF50164" s="679"/>
    </row>
    <row r="50165" spans="32:32" x14ac:dyDescent="0.2">
      <c r="AF50165" s="679"/>
    </row>
    <row r="50166" spans="32:32" x14ac:dyDescent="0.2">
      <c r="AF50166" s="679"/>
    </row>
    <row r="50167" spans="32:32" x14ac:dyDescent="0.2">
      <c r="AF50167" s="679"/>
    </row>
    <row r="50168" spans="32:32" x14ac:dyDescent="0.2">
      <c r="AF50168" s="679"/>
    </row>
    <row r="50169" spans="32:32" x14ac:dyDescent="0.2">
      <c r="AF50169" s="679"/>
    </row>
    <row r="50170" spans="32:32" x14ac:dyDescent="0.2">
      <c r="AF50170" s="679"/>
    </row>
    <row r="50171" spans="32:32" x14ac:dyDescent="0.2">
      <c r="AF50171" s="679"/>
    </row>
    <row r="50172" spans="32:32" x14ac:dyDescent="0.2">
      <c r="AF50172" s="679"/>
    </row>
    <row r="50173" spans="32:32" x14ac:dyDescent="0.2">
      <c r="AF50173" s="679"/>
    </row>
    <row r="50174" spans="32:32" x14ac:dyDescent="0.2">
      <c r="AF50174" s="679"/>
    </row>
    <row r="50175" spans="32:32" x14ac:dyDescent="0.2">
      <c r="AF50175" s="679"/>
    </row>
    <row r="50176" spans="32:32" x14ac:dyDescent="0.2">
      <c r="AF50176" s="679"/>
    </row>
    <row r="50177" spans="32:32" x14ac:dyDescent="0.2">
      <c r="AF50177" s="679"/>
    </row>
    <row r="50178" spans="32:32" x14ac:dyDescent="0.2">
      <c r="AF50178" s="679"/>
    </row>
    <row r="50179" spans="32:32" x14ac:dyDescent="0.2">
      <c r="AF50179" s="679"/>
    </row>
    <row r="50180" spans="32:32" x14ac:dyDescent="0.2">
      <c r="AF50180" s="679"/>
    </row>
    <row r="50181" spans="32:32" x14ac:dyDescent="0.2">
      <c r="AF50181" s="679"/>
    </row>
    <row r="50182" spans="32:32" x14ac:dyDescent="0.2">
      <c r="AF50182" s="679"/>
    </row>
    <row r="50183" spans="32:32" x14ac:dyDescent="0.2">
      <c r="AF50183" s="679"/>
    </row>
    <row r="50184" spans="32:32" x14ac:dyDescent="0.2">
      <c r="AF50184" s="679"/>
    </row>
    <row r="50185" spans="32:32" x14ac:dyDescent="0.2">
      <c r="AF50185" s="679"/>
    </row>
    <row r="50186" spans="32:32" x14ac:dyDescent="0.2">
      <c r="AF50186" s="679"/>
    </row>
    <row r="50187" spans="32:32" x14ac:dyDescent="0.2">
      <c r="AF50187" s="679"/>
    </row>
    <row r="50188" spans="32:32" x14ac:dyDescent="0.2">
      <c r="AF50188" s="679"/>
    </row>
    <row r="50189" spans="32:32" x14ac:dyDescent="0.2">
      <c r="AF50189" s="679"/>
    </row>
    <row r="50190" spans="32:32" x14ac:dyDescent="0.2">
      <c r="AF50190" s="679"/>
    </row>
    <row r="50191" spans="32:32" x14ac:dyDescent="0.2">
      <c r="AF50191" s="679"/>
    </row>
    <row r="50192" spans="32:32" x14ac:dyDescent="0.2">
      <c r="AF50192" s="679"/>
    </row>
    <row r="50193" spans="32:32" x14ac:dyDescent="0.2">
      <c r="AF50193" s="679"/>
    </row>
    <row r="50194" spans="32:32" x14ac:dyDescent="0.2">
      <c r="AF50194" s="679"/>
    </row>
    <row r="50195" spans="32:32" x14ac:dyDescent="0.2">
      <c r="AF50195" s="679"/>
    </row>
    <row r="50196" spans="32:32" x14ac:dyDescent="0.2">
      <c r="AF50196" s="679"/>
    </row>
    <row r="50197" spans="32:32" x14ac:dyDescent="0.2">
      <c r="AF50197" s="679"/>
    </row>
    <row r="50198" spans="32:32" x14ac:dyDescent="0.2">
      <c r="AF50198" s="679"/>
    </row>
    <row r="50199" spans="32:32" x14ac:dyDescent="0.2">
      <c r="AF50199" s="679"/>
    </row>
    <row r="50200" spans="32:32" x14ac:dyDescent="0.2">
      <c r="AF50200" s="679"/>
    </row>
    <row r="50201" spans="32:32" x14ac:dyDescent="0.2">
      <c r="AF50201" s="679"/>
    </row>
    <row r="50202" spans="32:32" x14ac:dyDescent="0.2">
      <c r="AF50202" s="679"/>
    </row>
    <row r="50203" spans="32:32" x14ac:dyDescent="0.2">
      <c r="AF50203" s="679"/>
    </row>
    <row r="50204" spans="32:32" x14ac:dyDescent="0.2">
      <c r="AF50204" s="679"/>
    </row>
    <row r="50205" spans="32:32" x14ac:dyDescent="0.2">
      <c r="AF50205" s="679"/>
    </row>
    <row r="50206" spans="32:32" x14ac:dyDescent="0.2">
      <c r="AF50206" s="679"/>
    </row>
    <row r="50207" spans="32:32" x14ac:dyDescent="0.2">
      <c r="AF50207" s="679"/>
    </row>
    <row r="50208" spans="32:32" x14ac:dyDescent="0.2">
      <c r="AF50208" s="679"/>
    </row>
    <row r="50209" spans="32:32" x14ac:dyDescent="0.2">
      <c r="AF50209" s="679"/>
    </row>
    <row r="50210" spans="32:32" x14ac:dyDescent="0.2">
      <c r="AF50210" s="679"/>
    </row>
    <row r="50211" spans="32:32" x14ac:dyDescent="0.2">
      <c r="AF50211" s="679"/>
    </row>
    <row r="50212" spans="32:32" x14ac:dyDescent="0.2">
      <c r="AF50212" s="679"/>
    </row>
    <row r="50213" spans="32:32" x14ac:dyDescent="0.2">
      <c r="AF50213" s="679"/>
    </row>
    <row r="50214" spans="32:32" x14ac:dyDescent="0.2">
      <c r="AF50214" s="679"/>
    </row>
    <row r="50215" spans="32:32" x14ac:dyDescent="0.2">
      <c r="AF50215" s="679"/>
    </row>
    <row r="50216" spans="32:32" x14ac:dyDescent="0.2">
      <c r="AF50216" s="679"/>
    </row>
    <row r="50217" spans="32:32" x14ac:dyDescent="0.2">
      <c r="AF50217" s="679"/>
    </row>
    <row r="50218" spans="32:32" x14ac:dyDescent="0.2">
      <c r="AF50218" s="679"/>
    </row>
    <row r="50219" spans="32:32" x14ac:dyDescent="0.2">
      <c r="AF50219" s="679"/>
    </row>
    <row r="50220" spans="32:32" x14ac:dyDescent="0.2">
      <c r="AF50220" s="679"/>
    </row>
    <row r="50221" spans="32:32" x14ac:dyDescent="0.2">
      <c r="AF50221" s="679"/>
    </row>
    <row r="50222" spans="32:32" x14ac:dyDescent="0.2">
      <c r="AF50222" s="679"/>
    </row>
    <row r="50223" spans="32:32" x14ac:dyDescent="0.2">
      <c r="AF50223" s="679"/>
    </row>
    <row r="50224" spans="32:32" x14ac:dyDescent="0.2">
      <c r="AF50224" s="679"/>
    </row>
    <row r="50225" spans="32:32" x14ac:dyDescent="0.2">
      <c r="AF50225" s="679"/>
    </row>
    <row r="50226" spans="32:32" x14ac:dyDescent="0.2">
      <c r="AF50226" s="679"/>
    </row>
    <row r="50227" spans="32:32" x14ac:dyDescent="0.2">
      <c r="AF50227" s="679"/>
    </row>
    <row r="50228" spans="32:32" x14ac:dyDescent="0.2">
      <c r="AF50228" s="679"/>
    </row>
    <row r="50229" spans="32:32" x14ac:dyDescent="0.2">
      <c r="AF50229" s="679"/>
    </row>
    <row r="50230" spans="32:32" x14ac:dyDescent="0.2">
      <c r="AF50230" s="679"/>
    </row>
    <row r="50231" spans="32:32" x14ac:dyDescent="0.2">
      <c r="AF50231" s="679"/>
    </row>
    <row r="50232" spans="32:32" x14ac:dyDescent="0.2">
      <c r="AF50232" s="679"/>
    </row>
    <row r="50233" spans="32:32" x14ac:dyDescent="0.2">
      <c r="AF50233" s="679"/>
    </row>
    <row r="50234" spans="32:32" x14ac:dyDescent="0.2">
      <c r="AF50234" s="679"/>
    </row>
    <row r="50235" spans="32:32" x14ac:dyDescent="0.2">
      <c r="AF50235" s="679"/>
    </row>
    <row r="50236" spans="32:32" x14ac:dyDescent="0.2">
      <c r="AF50236" s="679"/>
    </row>
    <row r="50237" spans="32:32" x14ac:dyDescent="0.2">
      <c r="AF50237" s="679"/>
    </row>
    <row r="50238" spans="32:32" x14ac:dyDescent="0.2">
      <c r="AF50238" s="679"/>
    </row>
    <row r="50239" spans="32:32" x14ac:dyDescent="0.2">
      <c r="AF50239" s="679"/>
    </row>
    <row r="50240" spans="32:32" x14ac:dyDescent="0.2">
      <c r="AF50240" s="679"/>
    </row>
    <row r="50241" spans="32:32" x14ac:dyDescent="0.2">
      <c r="AF50241" s="679"/>
    </row>
    <row r="50242" spans="32:32" x14ac:dyDescent="0.2">
      <c r="AF50242" s="679"/>
    </row>
    <row r="50243" spans="32:32" x14ac:dyDescent="0.2">
      <c r="AF50243" s="679"/>
    </row>
    <row r="50244" spans="32:32" x14ac:dyDescent="0.2">
      <c r="AF50244" s="679"/>
    </row>
    <row r="50245" spans="32:32" x14ac:dyDescent="0.2">
      <c r="AF50245" s="679"/>
    </row>
    <row r="50246" spans="32:32" x14ac:dyDescent="0.2">
      <c r="AF50246" s="679"/>
    </row>
    <row r="50247" spans="32:32" x14ac:dyDescent="0.2">
      <c r="AF50247" s="679"/>
    </row>
    <row r="50248" spans="32:32" x14ac:dyDescent="0.2">
      <c r="AF50248" s="679"/>
    </row>
    <row r="50249" spans="32:32" x14ac:dyDescent="0.2">
      <c r="AF50249" s="679"/>
    </row>
    <row r="50250" spans="32:32" x14ac:dyDescent="0.2">
      <c r="AF50250" s="679"/>
    </row>
    <row r="50251" spans="32:32" x14ac:dyDescent="0.2">
      <c r="AF50251" s="679"/>
    </row>
    <row r="50252" spans="32:32" x14ac:dyDescent="0.2">
      <c r="AF50252" s="679"/>
    </row>
    <row r="50253" spans="32:32" x14ac:dyDescent="0.2">
      <c r="AF50253" s="679"/>
    </row>
    <row r="50254" spans="32:32" x14ac:dyDescent="0.2">
      <c r="AF50254" s="679"/>
    </row>
    <row r="50255" spans="32:32" x14ac:dyDescent="0.2">
      <c r="AF50255" s="679"/>
    </row>
    <row r="50256" spans="32:32" x14ac:dyDescent="0.2">
      <c r="AF50256" s="679"/>
    </row>
    <row r="50257" spans="32:32" x14ac:dyDescent="0.2">
      <c r="AF50257" s="679"/>
    </row>
    <row r="50258" spans="32:32" x14ac:dyDescent="0.2">
      <c r="AF50258" s="679"/>
    </row>
    <row r="50259" spans="32:32" x14ac:dyDescent="0.2">
      <c r="AF50259" s="679"/>
    </row>
    <row r="50260" spans="32:32" x14ac:dyDescent="0.2">
      <c r="AF50260" s="679"/>
    </row>
    <row r="50261" spans="32:32" x14ac:dyDescent="0.2">
      <c r="AF50261" s="679"/>
    </row>
    <row r="50262" spans="32:32" x14ac:dyDescent="0.2">
      <c r="AF50262" s="679"/>
    </row>
    <row r="50263" spans="32:32" x14ac:dyDescent="0.2">
      <c r="AF50263" s="679"/>
    </row>
    <row r="50264" spans="32:32" x14ac:dyDescent="0.2">
      <c r="AF50264" s="679"/>
    </row>
    <row r="50265" spans="32:32" x14ac:dyDescent="0.2">
      <c r="AF50265" s="679"/>
    </row>
    <row r="50266" spans="32:32" x14ac:dyDescent="0.2">
      <c r="AF50266" s="679"/>
    </row>
    <row r="50267" spans="32:32" x14ac:dyDescent="0.2">
      <c r="AF50267" s="679"/>
    </row>
    <row r="50268" spans="32:32" x14ac:dyDescent="0.2">
      <c r="AF50268" s="679"/>
    </row>
    <row r="50269" spans="32:32" x14ac:dyDescent="0.2">
      <c r="AF50269" s="679"/>
    </row>
    <row r="50270" spans="32:32" x14ac:dyDescent="0.2">
      <c r="AF50270" s="679"/>
    </row>
    <row r="50271" spans="32:32" x14ac:dyDescent="0.2">
      <c r="AF50271" s="679"/>
    </row>
    <row r="50272" spans="32:32" x14ac:dyDescent="0.2">
      <c r="AF50272" s="679"/>
    </row>
    <row r="50273" spans="32:32" x14ac:dyDescent="0.2">
      <c r="AF50273" s="679"/>
    </row>
    <row r="50274" spans="32:32" x14ac:dyDescent="0.2">
      <c r="AF50274" s="679"/>
    </row>
    <row r="50275" spans="32:32" x14ac:dyDescent="0.2">
      <c r="AF50275" s="679"/>
    </row>
    <row r="50276" spans="32:32" x14ac:dyDescent="0.2">
      <c r="AF50276" s="679"/>
    </row>
    <row r="50277" spans="32:32" x14ac:dyDescent="0.2">
      <c r="AF50277" s="679"/>
    </row>
    <row r="50278" spans="32:32" x14ac:dyDescent="0.2">
      <c r="AF50278" s="679"/>
    </row>
    <row r="50279" spans="32:32" x14ac:dyDescent="0.2">
      <c r="AF50279" s="679"/>
    </row>
    <row r="50280" spans="32:32" x14ac:dyDescent="0.2">
      <c r="AF50280" s="679"/>
    </row>
    <row r="50281" spans="32:32" x14ac:dyDescent="0.2">
      <c r="AF50281" s="679"/>
    </row>
    <row r="50282" spans="32:32" x14ac:dyDescent="0.2">
      <c r="AF50282" s="679"/>
    </row>
    <row r="50283" spans="32:32" x14ac:dyDescent="0.2">
      <c r="AF50283" s="679"/>
    </row>
    <row r="50284" spans="32:32" x14ac:dyDescent="0.2">
      <c r="AF50284" s="679"/>
    </row>
    <row r="50285" spans="32:32" x14ac:dyDescent="0.2">
      <c r="AF50285" s="679"/>
    </row>
    <row r="50286" spans="32:32" x14ac:dyDescent="0.2">
      <c r="AF50286" s="679"/>
    </row>
    <row r="50287" spans="32:32" x14ac:dyDescent="0.2">
      <c r="AF50287" s="679"/>
    </row>
    <row r="50288" spans="32:32" x14ac:dyDescent="0.2">
      <c r="AF50288" s="679"/>
    </row>
    <row r="50289" spans="32:32" x14ac:dyDescent="0.2">
      <c r="AF50289" s="679"/>
    </row>
    <row r="50290" spans="32:32" x14ac:dyDescent="0.2">
      <c r="AF50290" s="679"/>
    </row>
    <row r="50291" spans="32:32" x14ac:dyDescent="0.2">
      <c r="AF50291" s="679"/>
    </row>
    <row r="50292" spans="32:32" x14ac:dyDescent="0.2">
      <c r="AF50292" s="679"/>
    </row>
    <row r="50293" spans="32:32" x14ac:dyDescent="0.2">
      <c r="AF50293" s="679"/>
    </row>
    <row r="50294" spans="32:32" x14ac:dyDescent="0.2">
      <c r="AF50294" s="679"/>
    </row>
    <row r="50295" spans="32:32" x14ac:dyDescent="0.2">
      <c r="AF50295" s="679"/>
    </row>
    <row r="50296" spans="32:32" x14ac:dyDescent="0.2">
      <c r="AF50296" s="679"/>
    </row>
    <row r="50297" spans="32:32" x14ac:dyDescent="0.2">
      <c r="AF50297" s="679"/>
    </row>
    <row r="50298" spans="32:32" x14ac:dyDescent="0.2">
      <c r="AF50298" s="679"/>
    </row>
    <row r="50299" spans="32:32" x14ac:dyDescent="0.2">
      <c r="AF50299" s="679"/>
    </row>
    <row r="50300" spans="32:32" x14ac:dyDescent="0.2">
      <c r="AF50300" s="679"/>
    </row>
    <row r="50301" spans="32:32" x14ac:dyDescent="0.2">
      <c r="AF50301" s="679"/>
    </row>
    <row r="50302" spans="32:32" x14ac:dyDescent="0.2">
      <c r="AF50302" s="679"/>
    </row>
    <row r="50303" spans="32:32" x14ac:dyDescent="0.2">
      <c r="AF50303" s="679"/>
    </row>
    <row r="50304" spans="32:32" x14ac:dyDescent="0.2">
      <c r="AF50304" s="679"/>
    </row>
    <row r="50305" spans="32:32" x14ac:dyDescent="0.2">
      <c r="AF50305" s="679"/>
    </row>
    <row r="50306" spans="32:32" x14ac:dyDescent="0.2">
      <c r="AF50306" s="679"/>
    </row>
    <row r="50307" spans="32:32" x14ac:dyDescent="0.2">
      <c r="AF50307" s="679"/>
    </row>
    <row r="50308" spans="32:32" x14ac:dyDescent="0.2">
      <c r="AF50308" s="679"/>
    </row>
    <row r="50309" spans="32:32" x14ac:dyDescent="0.2">
      <c r="AF50309" s="679"/>
    </row>
    <row r="50310" spans="32:32" x14ac:dyDescent="0.2">
      <c r="AF50310" s="679"/>
    </row>
    <row r="50311" spans="32:32" x14ac:dyDescent="0.2">
      <c r="AF50311" s="679"/>
    </row>
    <row r="50312" spans="32:32" x14ac:dyDescent="0.2">
      <c r="AF50312" s="679"/>
    </row>
    <row r="50313" spans="32:32" x14ac:dyDescent="0.2">
      <c r="AF50313" s="679"/>
    </row>
    <row r="50314" spans="32:32" x14ac:dyDescent="0.2">
      <c r="AF50314" s="679"/>
    </row>
    <row r="50315" spans="32:32" x14ac:dyDescent="0.2">
      <c r="AF50315" s="679"/>
    </row>
    <row r="50316" spans="32:32" x14ac:dyDescent="0.2">
      <c r="AF50316" s="679"/>
    </row>
    <row r="50317" spans="32:32" x14ac:dyDescent="0.2">
      <c r="AF50317" s="679"/>
    </row>
    <row r="50318" spans="32:32" x14ac:dyDescent="0.2">
      <c r="AF50318" s="679"/>
    </row>
    <row r="50319" spans="32:32" x14ac:dyDescent="0.2">
      <c r="AF50319" s="679"/>
    </row>
    <row r="50320" spans="32:32" x14ac:dyDescent="0.2">
      <c r="AF50320" s="679"/>
    </row>
    <row r="50321" spans="32:32" x14ac:dyDescent="0.2">
      <c r="AF50321" s="679"/>
    </row>
    <row r="50322" spans="32:32" x14ac:dyDescent="0.2">
      <c r="AF50322" s="679"/>
    </row>
    <row r="50323" spans="32:32" x14ac:dyDescent="0.2">
      <c r="AF50323" s="679"/>
    </row>
    <row r="50324" spans="32:32" x14ac:dyDescent="0.2">
      <c r="AF50324" s="679"/>
    </row>
    <row r="50325" spans="32:32" x14ac:dyDescent="0.2">
      <c r="AF50325" s="679"/>
    </row>
    <row r="50326" spans="32:32" x14ac:dyDescent="0.2">
      <c r="AF50326" s="679"/>
    </row>
    <row r="50327" spans="32:32" x14ac:dyDescent="0.2">
      <c r="AF50327" s="679"/>
    </row>
    <row r="50328" spans="32:32" x14ac:dyDescent="0.2">
      <c r="AF50328" s="679"/>
    </row>
    <row r="50329" spans="32:32" x14ac:dyDescent="0.2">
      <c r="AF50329" s="679"/>
    </row>
    <row r="50330" spans="32:32" x14ac:dyDescent="0.2">
      <c r="AF50330" s="679"/>
    </row>
    <row r="50331" spans="32:32" x14ac:dyDescent="0.2">
      <c r="AF50331" s="679"/>
    </row>
    <row r="50332" spans="32:32" x14ac:dyDescent="0.2">
      <c r="AF50332" s="679"/>
    </row>
    <row r="50333" spans="32:32" x14ac:dyDescent="0.2">
      <c r="AF50333" s="679"/>
    </row>
    <row r="50334" spans="32:32" x14ac:dyDescent="0.2">
      <c r="AF50334" s="679"/>
    </row>
    <row r="50335" spans="32:32" x14ac:dyDescent="0.2">
      <c r="AF50335" s="679"/>
    </row>
    <row r="50336" spans="32:32" x14ac:dyDescent="0.2">
      <c r="AF50336" s="679"/>
    </row>
    <row r="50337" spans="32:32" x14ac:dyDescent="0.2">
      <c r="AF50337" s="679"/>
    </row>
    <row r="50338" spans="32:32" x14ac:dyDescent="0.2">
      <c r="AF50338" s="679"/>
    </row>
    <row r="50339" spans="32:32" x14ac:dyDescent="0.2">
      <c r="AF50339" s="679"/>
    </row>
    <row r="50340" spans="32:32" x14ac:dyDescent="0.2">
      <c r="AF50340" s="679"/>
    </row>
    <row r="50341" spans="32:32" x14ac:dyDescent="0.2">
      <c r="AF50341" s="679"/>
    </row>
    <row r="50342" spans="32:32" x14ac:dyDescent="0.2">
      <c r="AF50342" s="679"/>
    </row>
    <row r="50343" spans="32:32" x14ac:dyDescent="0.2">
      <c r="AF50343" s="679"/>
    </row>
    <row r="50344" spans="32:32" x14ac:dyDescent="0.2">
      <c r="AF50344" s="679"/>
    </row>
    <row r="50345" spans="32:32" x14ac:dyDescent="0.2">
      <c r="AF50345" s="679"/>
    </row>
    <row r="50346" spans="32:32" x14ac:dyDescent="0.2">
      <c r="AF50346" s="679"/>
    </row>
    <row r="50347" spans="32:32" x14ac:dyDescent="0.2">
      <c r="AF50347" s="679"/>
    </row>
    <row r="50348" spans="32:32" x14ac:dyDescent="0.2">
      <c r="AF50348" s="679"/>
    </row>
    <row r="50349" spans="32:32" x14ac:dyDescent="0.2">
      <c r="AF50349" s="679"/>
    </row>
    <row r="50350" spans="32:32" x14ac:dyDescent="0.2">
      <c r="AF50350" s="679"/>
    </row>
    <row r="50351" spans="32:32" x14ac:dyDescent="0.2">
      <c r="AF50351" s="679"/>
    </row>
    <row r="50352" spans="32:32" x14ac:dyDescent="0.2">
      <c r="AF50352" s="679"/>
    </row>
    <row r="50353" spans="32:32" x14ac:dyDescent="0.2">
      <c r="AF50353" s="679"/>
    </row>
    <row r="50354" spans="32:32" x14ac:dyDescent="0.2">
      <c r="AF50354" s="679"/>
    </row>
    <row r="50355" spans="32:32" x14ac:dyDescent="0.2">
      <c r="AF50355" s="679"/>
    </row>
    <row r="50356" spans="32:32" x14ac:dyDescent="0.2">
      <c r="AF50356" s="679"/>
    </row>
    <row r="50357" spans="32:32" x14ac:dyDescent="0.2">
      <c r="AF50357" s="679"/>
    </row>
    <row r="50358" spans="32:32" x14ac:dyDescent="0.2">
      <c r="AF50358" s="679"/>
    </row>
    <row r="50359" spans="32:32" x14ac:dyDescent="0.2">
      <c r="AF50359" s="679"/>
    </row>
    <row r="50360" spans="32:32" x14ac:dyDescent="0.2">
      <c r="AF50360" s="679"/>
    </row>
    <row r="50361" spans="32:32" x14ac:dyDescent="0.2">
      <c r="AF50361" s="679"/>
    </row>
    <row r="50362" spans="32:32" x14ac:dyDescent="0.2">
      <c r="AF50362" s="679"/>
    </row>
    <row r="50363" spans="32:32" x14ac:dyDescent="0.2">
      <c r="AF50363" s="679"/>
    </row>
    <row r="50364" spans="32:32" x14ac:dyDescent="0.2">
      <c r="AF50364" s="679"/>
    </row>
    <row r="50365" spans="32:32" x14ac:dyDescent="0.2">
      <c r="AF50365" s="679"/>
    </row>
    <row r="50366" spans="32:32" x14ac:dyDescent="0.2">
      <c r="AF50366" s="679"/>
    </row>
    <row r="50367" spans="32:32" x14ac:dyDescent="0.2">
      <c r="AF50367" s="679"/>
    </row>
    <row r="50368" spans="32:32" x14ac:dyDescent="0.2">
      <c r="AF50368" s="679"/>
    </row>
    <row r="50369" spans="32:32" x14ac:dyDescent="0.2">
      <c r="AF50369" s="679"/>
    </row>
    <row r="50370" spans="32:32" x14ac:dyDescent="0.2">
      <c r="AF50370" s="679"/>
    </row>
    <row r="50371" spans="32:32" x14ac:dyDescent="0.2">
      <c r="AF50371" s="679"/>
    </row>
    <row r="50372" spans="32:32" x14ac:dyDescent="0.2">
      <c r="AF50372" s="679"/>
    </row>
    <row r="50373" spans="32:32" x14ac:dyDescent="0.2">
      <c r="AF50373" s="679"/>
    </row>
    <row r="50374" spans="32:32" x14ac:dyDescent="0.2">
      <c r="AF50374" s="679"/>
    </row>
    <row r="50375" spans="32:32" x14ac:dyDescent="0.2">
      <c r="AF50375" s="679"/>
    </row>
    <row r="50376" spans="32:32" x14ac:dyDescent="0.2">
      <c r="AF50376" s="679"/>
    </row>
    <row r="50377" spans="32:32" x14ac:dyDescent="0.2">
      <c r="AF50377" s="679"/>
    </row>
    <row r="50378" spans="32:32" x14ac:dyDescent="0.2">
      <c r="AF50378" s="679"/>
    </row>
    <row r="50379" spans="32:32" x14ac:dyDescent="0.2">
      <c r="AF50379" s="679"/>
    </row>
    <row r="50380" spans="32:32" x14ac:dyDescent="0.2">
      <c r="AF50380" s="679"/>
    </row>
    <row r="50381" spans="32:32" x14ac:dyDescent="0.2">
      <c r="AF50381" s="679"/>
    </row>
    <row r="50382" spans="32:32" x14ac:dyDescent="0.2">
      <c r="AF50382" s="679"/>
    </row>
    <row r="50383" spans="32:32" x14ac:dyDescent="0.2">
      <c r="AF50383" s="679"/>
    </row>
    <row r="50384" spans="32:32" x14ac:dyDescent="0.2">
      <c r="AF50384" s="679"/>
    </row>
    <row r="50385" spans="32:32" x14ac:dyDescent="0.2">
      <c r="AF50385" s="679"/>
    </row>
    <row r="50386" spans="32:32" x14ac:dyDescent="0.2">
      <c r="AF50386" s="679"/>
    </row>
    <row r="50387" spans="32:32" x14ac:dyDescent="0.2">
      <c r="AF50387" s="679"/>
    </row>
    <row r="50388" spans="32:32" x14ac:dyDescent="0.2">
      <c r="AF50388" s="679"/>
    </row>
    <row r="50389" spans="32:32" x14ac:dyDescent="0.2">
      <c r="AF50389" s="679"/>
    </row>
    <row r="50390" spans="32:32" x14ac:dyDescent="0.2">
      <c r="AF50390" s="679"/>
    </row>
    <row r="50391" spans="32:32" x14ac:dyDescent="0.2">
      <c r="AF50391" s="679"/>
    </row>
    <row r="50392" spans="32:32" x14ac:dyDescent="0.2">
      <c r="AF50392" s="679"/>
    </row>
    <row r="50393" spans="32:32" x14ac:dyDescent="0.2">
      <c r="AF50393" s="679"/>
    </row>
    <row r="50394" spans="32:32" x14ac:dyDescent="0.2">
      <c r="AF50394" s="679"/>
    </row>
    <row r="50395" spans="32:32" x14ac:dyDescent="0.2">
      <c r="AF50395" s="679"/>
    </row>
    <row r="50396" spans="32:32" x14ac:dyDescent="0.2">
      <c r="AF50396" s="679"/>
    </row>
    <row r="50397" spans="32:32" x14ac:dyDescent="0.2">
      <c r="AF50397" s="679"/>
    </row>
    <row r="50398" spans="32:32" x14ac:dyDescent="0.2">
      <c r="AF50398" s="679"/>
    </row>
    <row r="50399" spans="32:32" x14ac:dyDescent="0.2">
      <c r="AF50399" s="679"/>
    </row>
    <row r="50400" spans="32:32" x14ac:dyDescent="0.2">
      <c r="AF50400" s="679"/>
    </row>
    <row r="50401" spans="32:32" x14ac:dyDescent="0.2">
      <c r="AF50401" s="679"/>
    </row>
    <row r="50402" spans="32:32" x14ac:dyDescent="0.2">
      <c r="AF50402" s="679"/>
    </row>
    <row r="50403" spans="32:32" x14ac:dyDescent="0.2">
      <c r="AF50403" s="679"/>
    </row>
    <row r="50404" spans="32:32" x14ac:dyDescent="0.2">
      <c r="AF50404" s="679"/>
    </row>
    <row r="50405" spans="32:32" x14ac:dyDescent="0.2">
      <c r="AF50405" s="679"/>
    </row>
    <row r="50406" spans="32:32" x14ac:dyDescent="0.2">
      <c r="AF50406" s="679"/>
    </row>
    <row r="50407" spans="32:32" x14ac:dyDescent="0.2">
      <c r="AF50407" s="679"/>
    </row>
    <row r="50408" spans="32:32" x14ac:dyDescent="0.2">
      <c r="AF50408" s="679"/>
    </row>
    <row r="50409" spans="32:32" x14ac:dyDescent="0.2">
      <c r="AF50409" s="679"/>
    </row>
    <row r="50410" spans="32:32" x14ac:dyDescent="0.2">
      <c r="AF50410" s="679"/>
    </row>
    <row r="50411" spans="32:32" x14ac:dyDescent="0.2">
      <c r="AF50411" s="679"/>
    </row>
    <row r="50412" spans="32:32" x14ac:dyDescent="0.2">
      <c r="AF50412" s="679"/>
    </row>
    <row r="50413" spans="32:32" x14ac:dyDescent="0.2">
      <c r="AF50413" s="679"/>
    </row>
    <row r="50414" spans="32:32" x14ac:dyDescent="0.2">
      <c r="AF50414" s="679"/>
    </row>
    <row r="50415" spans="32:32" x14ac:dyDescent="0.2">
      <c r="AF50415" s="679"/>
    </row>
    <row r="50416" spans="32:32" x14ac:dyDescent="0.2">
      <c r="AF50416" s="679"/>
    </row>
    <row r="50417" spans="32:32" x14ac:dyDescent="0.2">
      <c r="AF50417" s="679"/>
    </row>
    <row r="50418" spans="32:32" x14ac:dyDescent="0.2">
      <c r="AF50418" s="679"/>
    </row>
    <row r="50419" spans="32:32" x14ac:dyDescent="0.2">
      <c r="AF50419" s="679"/>
    </row>
    <row r="50420" spans="32:32" x14ac:dyDescent="0.2">
      <c r="AF50420" s="679"/>
    </row>
    <row r="50421" spans="32:32" x14ac:dyDescent="0.2">
      <c r="AF50421" s="679"/>
    </row>
    <row r="50422" spans="32:32" x14ac:dyDescent="0.2">
      <c r="AF50422" s="679"/>
    </row>
    <row r="50423" spans="32:32" x14ac:dyDescent="0.2">
      <c r="AF50423" s="679"/>
    </row>
    <row r="50424" spans="32:32" x14ac:dyDescent="0.2">
      <c r="AF50424" s="679"/>
    </row>
    <row r="50425" spans="32:32" x14ac:dyDescent="0.2">
      <c r="AF50425" s="679"/>
    </row>
    <row r="50426" spans="32:32" x14ac:dyDescent="0.2">
      <c r="AF50426" s="679"/>
    </row>
    <row r="50427" spans="32:32" x14ac:dyDescent="0.2">
      <c r="AF50427" s="679"/>
    </row>
    <row r="50428" spans="32:32" x14ac:dyDescent="0.2">
      <c r="AF50428" s="679"/>
    </row>
    <row r="50429" spans="32:32" x14ac:dyDescent="0.2">
      <c r="AF50429" s="679"/>
    </row>
    <row r="50430" spans="32:32" x14ac:dyDescent="0.2">
      <c r="AF50430" s="679"/>
    </row>
    <row r="50431" spans="32:32" x14ac:dyDescent="0.2">
      <c r="AF50431" s="679"/>
    </row>
    <row r="50432" spans="32:32" x14ac:dyDescent="0.2">
      <c r="AF50432" s="679"/>
    </row>
    <row r="50433" spans="32:32" x14ac:dyDescent="0.2">
      <c r="AF50433" s="679"/>
    </row>
    <row r="50434" spans="32:32" x14ac:dyDescent="0.2">
      <c r="AF50434" s="679"/>
    </row>
    <row r="50435" spans="32:32" x14ac:dyDescent="0.2">
      <c r="AF50435" s="679"/>
    </row>
    <row r="50436" spans="32:32" x14ac:dyDescent="0.2">
      <c r="AF50436" s="679"/>
    </row>
    <row r="50437" spans="32:32" x14ac:dyDescent="0.2">
      <c r="AF50437" s="679"/>
    </row>
    <row r="50438" spans="32:32" x14ac:dyDescent="0.2">
      <c r="AF50438" s="679"/>
    </row>
    <row r="50439" spans="32:32" x14ac:dyDescent="0.2">
      <c r="AF50439" s="679"/>
    </row>
    <row r="50440" spans="32:32" x14ac:dyDescent="0.2">
      <c r="AF50440" s="679"/>
    </row>
    <row r="50441" spans="32:32" x14ac:dyDescent="0.2">
      <c r="AF50441" s="679"/>
    </row>
    <row r="50442" spans="32:32" x14ac:dyDescent="0.2">
      <c r="AF50442" s="679"/>
    </row>
    <row r="50443" spans="32:32" x14ac:dyDescent="0.2">
      <c r="AF50443" s="679"/>
    </row>
    <row r="50444" spans="32:32" x14ac:dyDescent="0.2">
      <c r="AF50444" s="679"/>
    </row>
    <row r="50445" spans="32:32" x14ac:dyDescent="0.2">
      <c r="AF50445" s="679"/>
    </row>
    <row r="50446" spans="32:32" x14ac:dyDescent="0.2">
      <c r="AF50446" s="679"/>
    </row>
    <row r="50447" spans="32:32" x14ac:dyDescent="0.2">
      <c r="AF50447" s="679"/>
    </row>
    <row r="50448" spans="32:32" x14ac:dyDescent="0.2">
      <c r="AF50448" s="679"/>
    </row>
    <row r="50449" spans="32:32" x14ac:dyDescent="0.2">
      <c r="AF50449" s="679"/>
    </row>
    <row r="50450" spans="32:32" x14ac:dyDescent="0.2">
      <c r="AF50450" s="679"/>
    </row>
    <row r="50451" spans="32:32" x14ac:dyDescent="0.2">
      <c r="AF50451" s="679"/>
    </row>
    <row r="50452" spans="32:32" x14ac:dyDescent="0.2">
      <c r="AF50452" s="679"/>
    </row>
    <row r="50453" spans="32:32" x14ac:dyDescent="0.2">
      <c r="AF50453" s="679"/>
    </row>
    <row r="50454" spans="32:32" x14ac:dyDescent="0.2">
      <c r="AF50454" s="679"/>
    </row>
    <row r="50455" spans="32:32" x14ac:dyDescent="0.2">
      <c r="AF50455" s="679"/>
    </row>
    <row r="50456" spans="32:32" x14ac:dyDescent="0.2">
      <c r="AF50456" s="679"/>
    </row>
    <row r="50457" spans="32:32" x14ac:dyDescent="0.2">
      <c r="AF50457" s="679"/>
    </row>
    <row r="50458" spans="32:32" x14ac:dyDescent="0.2">
      <c r="AF50458" s="679"/>
    </row>
    <row r="50459" spans="32:32" x14ac:dyDescent="0.2">
      <c r="AF50459" s="679"/>
    </row>
    <row r="50460" spans="32:32" x14ac:dyDescent="0.2">
      <c r="AF50460" s="679"/>
    </row>
    <row r="50461" spans="32:32" x14ac:dyDescent="0.2">
      <c r="AF50461" s="679"/>
    </row>
    <row r="50462" spans="32:32" x14ac:dyDescent="0.2">
      <c r="AF50462" s="679"/>
    </row>
    <row r="50463" spans="32:32" x14ac:dyDescent="0.2">
      <c r="AF50463" s="679"/>
    </row>
    <row r="50464" spans="32:32" x14ac:dyDescent="0.2">
      <c r="AF50464" s="679"/>
    </row>
    <row r="50465" spans="32:32" x14ac:dyDescent="0.2">
      <c r="AF50465" s="679"/>
    </row>
    <row r="50466" spans="32:32" x14ac:dyDescent="0.2">
      <c r="AF50466" s="679"/>
    </row>
    <row r="50467" spans="32:32" x14ac:dyDescent="0.2">
      <c r="AF50467" s="679"/>
    </row>
    <row r="50468" spans="32:32" x14ac:dyDescent="0.2">
      <c r="AF50468" s="679"/>
    </row>
    <row r="50469" spans="32:32" x14ac:dyDescent="0.2">
      <c r="AF50469" s="679"/>
    </row>
    <row r="50470" spans="32:32" x14ac:dyDescent="0.2">
      <c r="AF50470" s="679"/>
    </row>
    <row r="50471" spans="32:32" x14ac:dyDescent="0.2">
      <c r="AF50471" s="679"/>
    </row>
    <row r="50472" spans="32:32" x14ac:dyDescent="0.2">
      <c r="AF50472" s="679"/>
    </row>
    <row r="50473" spans="32:32" x14ac:dyDescent="0.2">
      <c r="AF50473" s="679"/>
    </row>
    <row r="50474" spans="32:32" x14ac:dyDescent="0.2">
      <c r="AF50474" s="679"/>
    </row>
    <row r="50475" spans="32:32" x14ac:dyDescent="0.2">
      <c r="AF50475" s="679"/>
    </row>
    <row r="50476" spans="32:32" x14ac:dyDescent="0.2">
      <c r="AF50476" s="679"/>
    </row>
    <row r="50477" spans="32:32" x14ac:dyDescent="0.2">
      <c r="AF50477" s="679"/>
    </row>
    <row r="50478" spans="32:32" x14ac:dyDescent="0.2">
      <c r="AF50478" s="679"/>
    </row>
    <row r="50479" spans="32:32" x14ac:dyDescent="0.2">
      <c r="AF50479" s="679"/>
    </row>
    <row r="50480" spans="32:32" x14ac:dyDescent="0.2">
      <c r="AF50480" s="679"/>
    </row>
    <row r="50481" spans="32:32" x14ac:dyDescent="0.2">
      <c r="AF50481" s="679"/>
    </row>
    <row r="50482" spans="32:32" x14ac:dyDescent="0.2">
      <c r="AF50482" s="679"/>
    </row>
    <row r="50483" spans="32:32" x14ac:dyDescent="0.2">
      <c r="AF50483" s="679"/>
    </row>
    <row r="50484" spans="32:32" x14ac:dyDescent="0.2">
      <c r="AF50484" s="679"/>
    </row>
    <row r="50485" spans="32:32" x14ac:dyDescent="0.2">
      <c r="AF50485" s="679"/>
    </row>
    <row r="50486" spans="32:32" x14ac:dyDescent="0.2">
      <c r="AF50486" s="679"/>
    </row>
    <row r="50487" spans="32:32" x14ac:dyDescent="0.2">
      <c r="AF50487" s="679"/>
    </row>
    <row r="50488" spans="32:32" x14ac:dyDescent="0.2">
      <c r="AF50488" s="679"/>
    </row>
    <row r="50489" spans="32:32" x14ac:dyDescent="0.2">
      <c r="AF50489" s="679"/>
    </row>
    <row r="50490" spans="32:32" x14ac:dyDescent="0.2">
      <c r="AF50490" s="679"/>
    </row>
    <row r="50491" spans="32:32" x14ac:dyDescent="0.2">
      <c r="AF50491" s="679"/>
    </row>
    <row r="50492" spans="32:32" x14ac:dyDescent="0.2">
      <c r="AF50492" s="679"/>
    </row>
    <row r="50493" spans="32:32" x14ac:dyDescent="0.2">
      <c r="AF50493" s="679"/>
    </row>
    <row r="50494" spans="32:32" x14ac:dyDescent="0.2">
      <c r="AF50494" s="679"/>
    </row>
    <row r="50495" spans="32:32" x14ac:dyDescent="0.2">
      <c r="AF50495" s="679"/>
    </row>
    <row r="50496" spans="32:32" x14ac:dyDescent="0.2">
      <c r="AF50496" s="679"/>
    </row>
    <row r="50497" spans="32:32" x14ac:dyDescent="0.2">
      <c r="AF50497" s="679"/>
    </row>
    <row r="50498" spans="32:32" x14ac:dyDescent="0.2">
      <c r="AF50498" s="679"/>
    </row>
    <row r="50499" spans="32:32" x14ac:dyDescent="0.2">
      <c r="AF50499" s="679"/>
    </row>
    <row r="50500" spans="32:32" x14ac:dyDescent="0.2">
      <c r="AF50500" s="679"/>
    </row>
    <row r="50501" spans="32:32" x14ac:dyDescent="0.2">
      <c r="AF50501" s="679"/>
    </row>
    <row r="50502" spans="32:32" x14ac:dyDescent="0.2">
      <c r="AF50502" s="679"/>
    </row>
    <row r="50503" spans="32:32" x14ac:dyDescent="0.2">
      <c r="AF50503" s="679"/>
    </row>
    <row r="50504" spans="32:32" x14ac:dyDescent="0.2">
      <c r="AF50504" s="679"/>
    </row>
    <row r="50505" spans="32:32" x14ac:dyDescent="0.2">
      <c r="AF50505" s="679"/>
    </row>
    <row r="50506" spans="32:32" x14ac:dyDescent="0.2">
      <c r="AF50506" s="679"/>
    </row>
    <row r="50507" spans="32:32" x14ac:dyDescent="0.2">
      <c r="AF50507" s="679"/>
    </row>
    <row r="50508" spans="32:32" x14ac:dyDescent="0.2">
      <c r="AF50508" s="679"/>
    </row>
    <row r="50509" spans="32:32" x14ac:dyDescent="0.2">
      <c r="AF50509" s="679"/>
    </row>
    <row r="50510" spans="32:32" x14ac:dyDescent="0.2">
      <c r="AF50510" s="679"/>
    </row>
    <row r="50511" spans="32:32" x14ac:dyDescent="0.2">
      <c r="AF50511" s="679"/>
    </row>
    <row r="50512" spans="32:32" x14ac:dyDescent="0.2">
      <c r="AF50512" s="679"/>
    </row>
    <row r="50513" spans="32:32" x14ac:dyDescent="0.2">
      <c r="AF50513" s="679"/>
    </row>
    <row r="50514" spans="32:32" x14ac:dyDescent="0.2">
      <c r="AF50514" s="679"/>
    </row>
    <row r="50515" spans="32:32" x14ac:dyDescent="0.2">
      <c r="AF50515" s="679"/>
    </row>
    <row r="50516" spans="32:32" x14ac:dyDescent="0.2">
      <c r="AF50516" s="679"/>
    </row>
    <row r="50517" spans="32:32" x14ac:dyDescent="0.2">
      <c r="AF50517" s="679"/>
    </row>
    <row r="50518" spans="32:32" x14ac:dyDescent="0.2">
      <c r="AF50518" s="679"/>
    </row>
    <row r="50519" spans="32:32" x14ac:dyDescent="0.2">
      <c r="AF50519" s="679"/>
    </row>
    <row r="50520" spans="32:32" x14ac:dyDescent="0.2">
      <c r="AF50520" s="679"/>
    </row>
    <row r="50521" spans="32:32" x14ac:dyDescent="0.2">
      <c r="AF50521" s="679"/>
    </row>
    <row r="50522" spans="32:32" x14ac:dyDescent="0.2">
      <c r="AF50522" s="679"/>
    </row>
    <row r="50523" spans="32:32" x14ac:dyDescent="0.2">
      <c r="AF50523" s="679"/>
    </row>
    <row r="50524" spans="32:32" x14ac:dyDescent="0.2">
      <c r="AF50524" s="679"/>
    </row>
    <row r="50525" spans="32:32" x14ac:dyDescent="0.2">
      <c r="AF50525" s="679"/>
    </row>
    <row r="50526" spans="32:32" x14ac:dyDescent="0.2">
      <c r="AF50526" s="679"/>
    </row>
    <row r="50527" spans="32:32" x14ac:dyDescent="0.2">
      <c r="AF50527" s="679"/>
    </row>
    <row r="50528" spans="32:32" x14ac:dyDescent="0.2">
      <c r="AF50528" s="679"/>
    </row>
    <row r="50529" spans="32:32" x14ac:dyDescent="0.2">
      <c r="AF50529" s="679"/>
    </row>
    <row r="50530" spans="32:32" x14ac:dyDescent="0.2">
      <c r="AF50530" s="679"/>
    </row>
    <row r="50531" spans="32:32" x14ac:dyDescent="0.2">
      <c r="AF50531" s="679"/>
    </row>
    <row r="50532" spans="32:32" x14ac:dyDescent="0.2">
      <c r="AF50532" s="679"/>
    </row>
    <row r="50533" spans="32:32" x14ac:dyDescent="0.2">
      <c r="AF50533" s="679"/>
    </row>
    <row r="50534" spans="32:32" x14ac:dyDescent="0.2">
      <c r="AF50534" s="679"/>
    </row>
    <row r="50535" spans="32:32" x14ac:dyDescent="0.2">
      <c r="AF50535" s="679"/>
    </row>
    <row r="50536" spans="32:32" x14ac:dyDescent="0.2">
      <c r="AF50536" s="679"/>
    </row>
    <row r="50537" spans="32:32" x14ac:dyDescent="0.2">
      <c r="AF50537" s="679"/>
    </row>
    <row r="50538" spans="32:32" x14ac:dyDescent="0.2">
      <c r="AF50538" s="679"/>
    </row>
    <row r="50539" spans="32:32" x14ac:dyDescent="0.2">
      <c r="AF50539" s="679"/>
    </row>
    <row r="50540" spans="32:32" x14ac:dyDescent="0.2">
      <c r="AF50540" s="679"/>
    </row>
    <row r="50541" spans="32:32" x14ac:dyDescent="0.2">
      <c r="AF50541" s="679"/>
    </row>
    <row r="50542" spans="32:32" x14ac:dyDescent="0.2">
      <c r="AF50542" s="679"/>
    </row>
    <row r="50543" spans="32:32" x14ac:dyDescent="0.2">
      <c r="AF50543" s="679"/>
    </row>
    <row r="50544" spans="32:32" x14ac:dyDescent="0.2">
      <c r="AF50544" s="679"/>
    </row>
    <row r="50545" spans="32:32" x14ac:dyDescent="0.2">
      <c r="AF50545" s="679"/>
    </row>
    <row r="50546" spans="32:32" x14ac:dyDescent="0.2">
      <c r="AF50546" s="679"/>
    </row>
    <row r="50547" spans="32:32" x14ac:dyDescent="0.2">
      <c r="AF50547" s="679"/>
    </row>
    <row r="50548" spans="32:32" x14ac:dyDescent="0.2">
      <c r="AF50548" s="679"/>
    </row>
    <row r="50549" spans="32:32" x14ac:dyDescent="0.2">
      <c r="AF50549" s="679"/>
    </row>
    <row r="50550" spans="32:32" x14ac:dyDescent="0.2">
      <c r="AF50550" s="679"/>
    </row>
    <row r="50551" spans="32:32" x14ac:dyDescent="0.2">
      <c r="AF50551" s="679"/>
    </row>
    <row r="50552" spans="32:32" x14ac:dyDescent="0.2">
      <c r="AF50552" s="679"/>
    </row>
    <row r="50553" spans="32:32" x14ac:dyDescent="0.2">
      <c r="AF50553" s="679"/>
    </row>
    <row r="50554" spans="32:32" x14ac:dyDescent="0.2">
      <c r="AF50554" s="679"/>
    </row>
    <row r="50555" spans="32:32" x14ac:dyDescent="0.2">
      <c r="AF50555" s="679"/>
    </row>
    <row r="50556" spans="32:32" x14ac:dyDescent="0.2">
      <c r="AF50556" s="679"/>
    </row>
    <row r="50557" spans="32:32" x14ac:dyDescent="0.2">
      <c r="AF50557" s="679"/>
    </row>
    <row r="50558" spans="32:32" x14ac:dyDescent="0.2">
      <c r="AF50558" s="679"/>
    </row>
    <row r="50559" spans="32:32" x14ac:dyDescent="0.2">
      <c r="AF50559" s="679"/>
    </row>
    <row r="50560" spans="32:32" x14ac:dyDescent="0.2">
      <c r="AF50560" s="679"/>
    </row>
    <row r="50561" spans="32:32" x14ac:dyDescent="0.2">
      <c r="AF50561" s="679"/>
    </row>
    <row r="50562" spans="32:32" x14ac:dyDescent="0.2">
      <c r="AF50562" s="679"/>
    </row>
    <row r="50563" spans="32:32" x14ac:dyDescent="0.2">
      <c r="AF50563" s="679"/>
    </row>
    <row r="50564" spans="32:32" x14ac:dyDescent="0.2">
      <c r="AF50564" s="679"/>
    </row>
    <row r="50565" spans="32:32" x14ac:dyDescent="0.2">
      <c r="AF50565" s="679"/>
    </row>
    <row r="50566" spans="32:32" x14ac:dyDescent="0.2">
      <c r="AF50566" s="679"/>
    </row>
    <row r="50567" spans="32:32" x14ac:dyDescent="0.2">
      <c r="AF50567" s="679"/>
    </row>
    <row r="50568" spans="32:32" x14ac:dyDescent="0.2">
      <c r="AF50568" s="679"/>
    </row>
    <row r="50569" spans="32:32" x14ac:dyDescent="0.2">
      <c r="AF50569" s="679"/>
    </row>
    <row r="50570" spans="32:32" x14ac:dyDescent="0.2">
      <c r="AF50570" s="679"/>
    </row>
    <row r="50571" spans="32:32" x14ac:dyDescent="0.2">
      <c r="AF50571" s="679"/>
    </row>
    <row r="50572" spans="32:32" x14ac:dyDescent="0.2">
      <c r="AF50572" s="679"/>
    </row>
    <row r="50573" spans="32:32" x14ac:dyDescent="0.2">
      <c r="AF50573" s="679"/>
    </row>
    <row r="50574" spans="32:32" x14ac:dyDescent="0.2">
      <c r="AF50574" s="679"/>
    </row>
    <row r="50575" spans="32:32" x14ac:dyDescent="0.2">
      <c r="AF50575" s="679"/>
    </row>
    <row r="50576" spans="32:32" x14ac:dyDescent="0.2">
      <c r="AF50576" s="679"/>
    </row>
    <row r="50577" spans="32:32" x14ac:dyDescent="0.2">
      <c r="AF50577" s="679"/>
    </row>
    <row r="50578" spans="32:32" x14ac:dyDescent="0.2">
      <c r="AF50578" s="679"/>
    </row>
    <row r="50579" spans="32:32" x14ac:dyDescent="0.2">
      <c r="AF50579" s="679"/>
    </row>
    <row r="50580" spans="32:32" x14ac:dyDescent="0.2">
      <c r="AF50580" s="679"/>
    </row>
    <row r="50581" spans="32:32" x14ac:dyDescent="0.2">
      <c r="AF50581" s="679"/>
    </row>
    <row r="50582" spans="32:32" x14ac:dyDescent="0.2">
      <c r="AF50582" s="679"/>
    </row>
    <row r="50583" spans="32:32" x14ac:dyDescent="0.2">
      <c r="AF50583" s="679"/>
    </row>
    <row r="50584" spans="32:32" x14ac:dyDescent="0.2">
      <c r="AF50584" s="679"/>
    </row>
    <row r="50585" spans="32:32" x14ac:dyDescent="0.2">
      <c r="AF50585" s="679"/>
    </row>
    <row r="50586" spans="32:32" x14ac:dyDescent="0.2">
      <c r="AF50586" s="679"/>
    </row>
    <row r="50587" spans="32:32" x14ac:dyDescent="0.2">
      <c r="AF50587" s="679"/>
    </row>
    <row r="50588" spans="32:32" x14ac:dyDescent="0.2">
      <c r="AF50588" s="679"/>
    </row>
    <row r="50589" spans="32:32" x14ac:dyDescent="0.2">
      <c r="AF50589" s="679"/>
    </row>
    <row r="50590" spans="32:32" x14ac:dyDescent="0.2">
      <c r="AF50590" s="679"/>
    </row>
    <row r="50591" spans="32:32" x14ac:dyDescent="0.2">
      <c r="AF50591" s="679"/>
    </row>
    <row r="50592" spans="32:32" x14ac:dyDescent="0.2">
      <c r="AF50592" s="679"/>
    </row>
    <row r="50593" spans="32:32" x14ac:dyDescent="0.2">
      <c r="AF50593" s="679"/>
    </row>
    <row r="50594" spans="32:32" x14ac:dyDescent="0.2">
      <c r="AF50594" s="679"/>
    </row>
    <row r="50595" spans="32:32" x14ac:dyDescent="0.2">
      <c r="AF50595" s="679"/>
    </row>
    <row r="50596" spans="32:32" x14ac:dyDescent="0.2">
      <c r="AF50596" s="679"/>
    </row>
    <row r="50597" spans="32:32" x14ac:dyDescent="0.2">
      <c r="AF50597" s="679"/>
    </row>
    <row r="50598" spans="32:32" x14ac:dyDescent="0.2">
      <c r="AF50598" s="679"/>
    </row>
    <row r="50599" spans="32:32" x14ac:dyDescent="0.2">
      <c r="AF50599" s="679"/>
    </row>
    <row r="50600" spans="32:32" x14ac:dyDescent="0.2">
      <c r="AF50600" s="679"/>
    </row>
    <row r="50601" spans="32:32" x14ac:dyDescent="0.2">
      <c r="AF50601" s="679"/>
    </row>
    <row r="50602" spans="32:32" x14ac:dyDescent="0.2">
      <c r="AF50602" s="679"/>
    </row>
    <row r="50603" spans="32:32" x14ac:dyDescent="0.2">
      <c r="AF50603" s="679"/>
    </row>
    <row r="50604" spans="32:32" x14ac:dyDescent="0.2">
      <c r="AF50604" s="679"/>
    </row>
    <row r="50605" spans="32:32" x14ac:dyDescent="0.2">
      <c r="AF50605" s="679"/>
    </row>
    <row r="50606" spans="32:32" x14ac:dyDescent="0.2">
      <c r="AF50606" s="679"/>
    </row>
    <row r="50607" spans="32:32" x14ac:dyDescent="0.2">
      <c r="AF50607" s="679"/>
    </row>
    <row r="50608" spans="32:32" x14ac:dyDescent="0.2">
      <c r="AF50608" s="679"/>
    </row>
    <row r="50609" spans="32:32" x14ac:dyDescent="0.2">
      <c r="AF50609" s="679"/>
    </row>
    <row r="50610" spans="32:32" x14ac:dyDescent="0.2">
      <c r="AF50610" s="679"/>
    </row>
    <row r="50611" spans="32:32" x14ac:dyDescent="0.2">
      <c r="AF50611" s="679"/>
    </row>
    <row r="50612" spans="32:32" x14ac:dyDescent="0.2">
      <c r="AF50612" s="679"/>
    </row>
    <row r="50613" spans="32:32" x14ac:dyDescent="0.2">
      <c r="AF50613" s="679"/>
    </row>
    <row r="50614" spans="32:32" x14ac:dyDescent="0.2">
      <c r="AF50614" s="679"/>
    </row>
    <row r="50615" spans="32:32" x14ac:dyDescent="0.2">
      <c r="AF50615" s="679"/>
    </row>
    <row r="50616" spans="32:32" x14ac:dyDescent="0.2">
      <c r="AF50616" s="679"/>
    </row>
    <row r="50617" spans="32:32" x14ac:dyDescent="0.2">
      <c r="AF50617" s="679"/>
    </row>
    <row r="50618" spans="32:32" x14ac:dyDescent="0.2">
      <c r="AF50618" s="679"/>
    </row>
    <row r="50619" spans="32:32" x14ac:dyDescent="0.2">
      <c r="AF50619" s="679"/>
    </row>
    <row r="50620" spans="32:32" x14ac:dyDescent="0.2">
      <c r="AF50620" s="679"/>
    </row>
    <row r="50621" spans="32:32" x14ac:dyDescent="0.2">
      <c r="AF50621" s="679"/>
    </row>
    <row r="50622" spans="32:32" x14ac:dyDescent="0.2">
      <c r="AF50622" s="679"/>
    </row>
    <row r="50623" spans="32:32" x14ac:dyDescent="0.2">
      <c r="AF50623" s="679"/>
    </row>
    <row r="50624" spans="32:32" x14ac:dyDescent="0.2">
      <c r="AF50624" s="679"/>
    </row>
    <row r="50625" spans="32:32" x14ac:dyDescent="0.2">
      <c r="AF50625" s="679"/>
    </row>
    <row r="50626" spans="32:32" x14ac:dyDescent="0.2">
      <c r="AF50626" s="679"/>
    </row>
    <row r="50627" spans="32:32" x14ac:dyDescent="0.2">
      <c r="AF50627" s="679"/>
    </row>
    <row r="50628" spans="32:32" x14ac:dyDescent="0.2">
      <c r="AF50628" s="679"/>
    </row>
    <row r="50629" spans="32:32" x14ac:dyDescent="0.2">
      <c r="AF50629" s="679"/>
    </row>
    <row r="50630" spans="32:32" x14ac:dyDescent="0.2">
      <c r="AF50630" s="679"/>
    </row>
    <row r="50631" spans="32:32" x14ac:dyDescent="0.2">
      <c r="AF50631" s="679"/>
    </row>
    <row r="50632" spans="32:32" x14ac:dyDescent="0.2">
      <c r="AF50632" s="679"/>
    </row>
    <row r="50633" spans="32:32" x14ac:dyDescent="0.2">
      <c r="AF50633" s="679"/>
    </row>
    <row r="50634" spans="32:32" x14ac:dyDescent="0.2">
      <c r="AF50634" s="679"/>
    </row>
    <row r="50635" spans="32:32" x14ac:dyDescent="0.2">
      <c r="AF50635" s="679"/>
    </row>
    <row r="50636" spans="32:32" x14ac:dyDescent="0.2">
      <c r="AF50636" s="679"/>
    </row>
    <row r="50637" spans="32:32" x14ac:dyDescent="0.2">
      <c r="AF50637" s="679"/>
    </row>
    <row r="50638" spans="32:32" x14ac:dyDescent="0.2">
      <c r="AF50638" s="679"/>
    </row>
    <row r="50639" spans="32:32" x14ac:dyDescent="0.2">
      <c r="AF50639" s="679"/>
    </row>
    <row r="50640" spans="32:32" x14ac:dyDescent="0.2">
      <c r="AF50640" s="679"/>
    </row>
    <row r="50641" spans="32:32" x14ac:dyDescent="0.2">
      <c r="AF50641" s="679"/>
    </row>
    <row r="50642" spans="32:32" x14ac:dyDescent="0.2">
      <c r="AF50642" s="679"/>
    </row>
    <row r="50643" spans="32:32" x14ac:dyDescent="0.2">
      <c r="AF50643" s="679"/>
    </row>
    <row r="50644" spans="32:32" x14ac:dyDescent="0.2">
      <c r="AF50644" s="679"/>
    </row>
    <row r="50645" spans="32:32" x14ac:dyDescent="0.2">
      <c r="AF50645" s="679"/>
    </row>
    <row r="50646" spans="32:32" x14ac:dyDescent="0.2">
      <c r="AF50646" s="679"/>
    </row>
    <row r="50647" spans="32:32" x14ac:dyDescent="0.2">
      <c r="AF50647" s="679"/>
    </row>
    <row r="50648" spans="32:32" x14ac:dyDescent="0.2">
      <c r="AF50648" s="679"/>
    </row>
    <row r="50649" spans="32:32" x14ac:dyDescent="0.2">
      <c r="AF50649" s="679"/>
    </row>
    <row r="50650" spans="32:32" x14ac:dyDescent="0.2">
      <c r="AF50650" s="679"/>
    </row>
    <row r="50651" spans="32:32" x14ac:dyDescent="0.2">
      <c r="AF50651" s="679"/>
    </row>
    <row r="50652" spans="32:32" x14ac:dyDescent="0.2">
      <c r="AF50652" s="679"/>
    </row>
    <row r="50653" spans="32:32" x14ac:dyDescent="0.2">
      <c r="AF50653" s="679"/>
    </row>
    <row r="50654" spans="32:32" x14ac:dyDescent="0.2">
      <c r="AF50654" s="679"/>
    </row>
    <row r="50655" spans="32:32" x14ac:dyDescent="0.2">
      <c r="AF50655" s="679"/>
    </row>
    <row r="50656" spans="32:32" x14ac:dyDescent="0.2">
      <c r="AF50656" s="679"/>
    </row>
    <row r="50657" spans="32:32" x14ac:dyDescent="0.2">
      <c r="AF50657" s="679"/>
    </row>
    <row r="50658" spans="32:32" x14ac:dyDescent="0.2">
      <c r="AF50658" s="679"/>
    </row>
    <row r="50659" spans="32:32" x14ac:dyDescent="0.2">
      <c r="AF50659" s="679"/>
    </row>
    <row r="50660" spans="32:32" x14ac:dyDescent="0.2">
      <c r="AF50660" s="679"/>
    </row>
    <row r="50661" spans="32:32" x14ac:dyDescent="0.2">
      <c r="AF50661" s="679"/>
    </row>
    <row r="50662" spans="32:32" x14ac:dyDescent="0.2">
      <c r="AF50662" s="679"/>
    </row>
    <row r="50663" spans="32:32" x14ac:dyDescent="0.2">
      <c r="AF50663" s="679"/>
    </row>
    <row r="50664" spans="32:32" x14ac:dyDescent="0.2">
      <c r="AF50664" s="679"/>
    </row>
    <row r="50665" spans="32:32" x14ac:dyDescent="0.2">
      <c r="AF50665" s="679"/>
    </row>
    <row r="50666" spans="32:32" x14ac:dyDescent="0.2">
      <c r="AF50666" s="679"/>
    </row>
    <row r="50667" spans="32:32" x14ac:dyDescent="0.2">
      <c r="AF50667" s="679"/>
    </row>
    <row r="50668" spans="32:32" x14ac:dyDescent="0.2">
      <c r="AF50668" s="679"/>
    </row>
    <row r="50669" spans="32:32" x14ac:dyDescent="0.2">
      <c r="AF50669" s="679"/>
    </row>
    <row r="50670" spans="32:32" x14ac:dyDescent="0.2">
      <c r="AF50670" s="679"/>
    </row>
    <row r="50671" spans="32:32" x14ac:dyDescent="0.2">
      <c r="AF50671" s="679"/>
    </row>
    <row r="50672" spans="32:32" x14ac:dyDescent="0.2">
      <c r="AF50672" s="679"/>
    </row>
    <row r="50673" spans="32:32" x14ac:dyDescent="0.2">
      <c r="AF50673" s="679"/>
    </row>
    <row r="50674" spans="32:32" x14ac:dyDescent="0.2">
      <c r="AF50674" s="679"/>
    </row>
    <row r="50675" spans="32:32" x14ac:dyDescent="0.2">
      <c r="AF50675" s="679"/>
    </row>
    <row r="50676" spans="32:32" x14ac:dyDescent="0.2">
      <c r="AF50676" s="679"/>
    </row>
    <row r="50677" spans="32:32" x14ac:dyDescent="0.2">
      <c r="AF50677" s="679"/>
    </row>
    <row r="50678" spans="32:32" x14ac:dyDescent="0.2">
      <c r="AF50678" s="679"/>
    </row>
    <row r="50679" spans="32:32" x14ac:dyDescent="0.2">
      <c r="AF50679" s="679"/>
    </row>
    <row r="50680" spans="32:32" x14ac:dyDescent="0.2">
      <c r="AF50680" s="679"/>
    </row>
    <row r="50681" spans="32:32" x14ac:dyDescent="0.2">
      <c r="AF50681" s="679"/>
    </row>
    <row r="50682" spans="32:32" x14ac:dyDescent="0.2">
      <c r="AF50682" s="679"/>
    </row>
    <row r="50683" spans="32:32" x14ac:dyDescent="0.2">
      <c r="AF50683" s="679"/>
    </row>
    <row r="50684" spans="32:32" x14ac:dyDescent="0.2">
      <c r="AF50684" s="679"/>
    </row>
    <row r="50685" spans="32:32" x14ac:dyDescent="0.2">
      <c r="AF50685" s="679"/>
    </row>
    <row r="50686" spans="32:32" x14ac:dyDescent="0.2">
      <c r="AF50686" s="679"/>
    </row>
    <row r="50687" spans="32:32" x14ac:dyDescent="0.2">
      <c r="AF50687" s="679"/>
    </row>
    <row r="50688" spans="32:32" x14ac:dyDescent="0.2">
      <c r="AF50688" s="679"/>
    </row>
    <row r="50689" spans="32:32" x14ac:dyDescent="0.2">
      <c r="AF50689" s="679"/>
    </row>
    <row r="50690" spans="32:32" x14ac:dyDescent="0.2">
      <c r="AF50690" s="679"/>
    </row>
    <row r="50691" spans="32:32" x14ac:dyDescent="0.2">
      <c r="AF50691" s="679"/>
    </row>
    <row r="50692" spans="32:32" x14ac:dyDescent="0.2">
      <c r="AF50692" s="679"/>
    </row>
    <row r="50693" spans="32:32" x14ac:dyDescent="0.2">
      <c r="AF50693" s="679"/>
    </row>
    <row r="50694" spans="32:32" x14ac:dyDescent="0.2">
      <c r="AF50694" s="679"/>
    </row>
    <row r="50695" spans="32:32" x14ac:dyDescent="0.2">
      <c r="AF50695" s="679"/>
    </row>
    <row r="50696" spans="32:32" x14ac:dyDescent="0.2">
      <c r="AF50696" s="679"/>
    </row>
    <row r="50697" spans="32:32" x14ac:dyDescent="0.2">
      <c r="AF50697" s="679"/>
    </row>
    <row r="50698" spans="32:32" x14ac:dyDescent="0.2">
      <c r="AF50698" s="679"/>
    </row>
    <row r="50699" spans="32:32" x14ac:dyDescent="0.2">
      <c r="AF50699" s="679"/>
    </row>
    <row r="50700" spans="32:32" x14ac:dyDescent="0.2">
      <c r="AF50700" s="679"/>
    </row>
    <row r="50701" spans="32:32" x14ac:dyDescent="0.2">
      <c r="AF50701" s="679"/>
    </row>
    <row r="50702" spans="32:32" x14ac:dyDescent="0.2">
      <c r="AF50702" s="679"/>
    </row>
    <row r="50703" spans="32:32" x14ac:dyDescent="0.2">
      <c r="AF50703" s="679"/>
    </row>
    <row r="50704" spans="32:32" x14ac:dyDescent="0.2">
      <c r="AF50704" s="679"/>
    </row>
    <row r="50705" spans="32:32" x14ac:dyDescent="0.2">
      <c r="AF50705" s="679"/>
    </row>
    <row r="50706" spans="32:32" x14ac:dyDescent="0.2">
      <c r="AF50706" s="679"/>
    </row>
    <row r="50707" spans="32:32" x14ac:dyDescent="0.2">
      <c r="AF50707" s="679"/>
    </row>
    <row r="50708" spans="32:32" x14ac:dyDescent="0.2">
      <c r="AF50708" s="679"/>
    </row>
    <row r="50709" spans="32:32" x14ac:dyDescent="0.2">
      <c r="AF50709" s="679"/>
    </row>
    <row r="50710" spans="32:32" x14ac:dyDescent="0.2">
      <c r="AF50710" s="679"/>
    </row>
    <row r="50711" spans="32:32" x14ac:dyDescent="0.2">
      <c r="AF50711" s="679"/>
    </row>
    <row r="50712" spans="32:32" x14ac:dyDescent="0.2">
      <c r="AF50712" s="679"/>
    </row>
    <row r="50713" spans="32:32" x14ac:dyDescent="0.2">
      <c r="AF50713" s="679"/>
    </row>
    <row r="50714" spans="32:32" x14ac:dyDescent="0.2">
      <c r="AF50714" s="679"/>
    </row>
    <row r="50715" spans="32:32" x14ac:dyDescent="0.2">
      <c r="AF50715" s="679"/>
    </row>
    <row r="50716" spans="32:32" x14ac:dyDescent="0.2">
      <c r="AF50716" s="679"/>
    </row>
    <row r="50717" spans="32:32" x14ac:dyDescent="0.2">
      <c r="AF50717" s="679"/>
    </row>
    <row r="50718" spans="32:32" x14ac:dyDescent="0.2">
      <c r="AF50718" s="679"/>
    </row>
    <row r="50719" spans="32:32" x14ac:dyDescent="0.2">
      <c r="AF50719" s="679"/>
    </row>
    <row r="50720" spans="32:32" x14ac:dyDescent="0.2">
      <c r="AF50720" s="679"/>
    </row>
    <row r="50721" spans="32:32" x14ac:dyDescent="0.2">
      <c r="AF50721" s="679"/>
    </row>
    <row r="50722" spans="32:32" x14ac:dyDescent="0.2">
      <c r="AF50722" s="679"/>
    </row>
    <row r="50723" spans="32:32" x14ac:dyDescent="0.2">
      <c r="AF50723" s="679"/>
    </row>
    <row r="50724" spans="32:32" x14ac:dyDescent="0.2">
      <c r="AF50724" s="679"/>
    </row>
    <row r="50725" spans="32:32" x14ac:dyDescent="0.2">
      <c r="AF50725" s="679"/>
    </row>
    <row r="50726" spans="32:32" x14ac:dyDescent="0.2">
      <c r="AF50726" s="679"/>
    </row>
    <row r="50727" spans="32:32" x14ac:dyDescent="0.2">
      <c r="AF50727" s="679"/>
    </row>
    <row r="50728" spans="32:32" x14ac:dyDescent="0.2">
      <c r="AF50728" s="679"/>
    </row>
    <row r="50729" spans="32:32" x14ac:dyDescent="0.2">
      <c r="AF50729" s="679"/>
    </row>
    <row r="50730" spans="32:32" x14ac:dyDescent="0.2">
      <c r="AF50730" s="679"/>
    </row>
    <row r="50731" spans="32:32" x14ac:dyDescent="0.2">
      <c r="AF50731" s="679"/>
    </row>
    <row r="50732" spans="32:32" x14ac:dyDescent="0.2">
      <c r="AF50732" s="679"/>
    </row>
    <row r="50733" spans="32:32" x14ac:dyDescent="0.2">
      <c r="AF50733" s="679"/>
    </row>
    <row r="50734" spans="32:32" x14ac:dyDescent="0.2">
      <c r="AF50734" s="679"/>
    </row>
    <row r="50735" spans="32:32" x14ac:dyDescent="0.2">
      <c r="AF50735" s="679"/>
    </row>
    <row r="50736" spans="32:32" x14ac:dyDescent="0.2">
      <c r="AF50736" s="679"/>
    </row>
    <row r="50737" spans="32:32" x14ac:dyDescent="0.2">
      <c r="AF50737" s="679"/>
    </row>
    <row r="50738" spans="32:32" x14ac:dyDescent="0.2">
      <c r="AF50738" s="679"/>
    </row>
    <row r="50739" spans="32:32" x14ac:dyDescent="0.2">
      <c r="AF50739" s="679"/>
    </row>
    <row r="50740" spans="32:32" x14ac:dyDescent="0.2">
      <c r="AF50740" s="679"/>
    </row>
    <row r="50741" spans="32:32" x14ac:dyDescent="0.2">
      <c r="AF50741" s="679"/>
    </row>
    <row r="50742" spans="32:32" x14ac:dyDescent="0.2">
      <c r="AF50742" s="679"/>
    </row>
    <row r="50743" spans="32:32" x14ac:dyDescent="0.2">
      <c r="AF50743" s="679"/>
    </row>
    <row r="50744" spans="32:32" x14ac:dyDescent="0.2">
      <c r="AF50744" s="679"/>
    </row>
    <row r="50745" spans="32:32" x14ac:dyDescent="0.2">
      <c r="AF50745" s="679"/>
    </row>
    <row r="50746" spans="32:32" x14ac:dyDescent="0.2">
      <c r="AF50746" s="679"/>
    </row>
    <row r="50747" spans="32:32" x14ac:dyDescent="0.2">
      <c r="AF50747" s="679"/>
    </row>
    <row r="50748" spans="32:32" x14ac:dyDescent="0.2">
      <c r="AF50748" s="679"/>
    </row>
    <row r="50749" spans="32:32" x14ac:dyDescent="0.2">
      <c r="AF50749" s="679"/>
    </row>
    <row r="50750" spans="32:32" x14ac:dyDescent="0.2">
      <c r="AF50750" s="679"/>
    </row>
    <row r="50751" spans="32:32" x14ac:dyDescent="0.2">
      <c r="AF50751" s="679"/>
    </row>
    <row r="50752" spans="32:32" x14ac:dyDescent="0.2">
      <c r="AF50752" s="679"/>
    </row>
    <row r="50753" spans="32:32" x14ac:dyDescent="0.2">
      <c r="AF50753" s="679"/>
    </row>
    <row r="50754" spans="32:32" x14ac:dyDescent="0.2">
      <c r="AF50754" s="679"/>
    </row>
    <row r="50755" spans="32:32" x14ac:dyDescent="0.2">
      <c r="AF50755" s="679"/>
    </row>
    <row r="50756" spans="32:32" x14ac:dyDescent="0.2">
      <c r="AF50756" s="679"/>
    </row>
    <row r="50757" spans="32:32" x14ac:dyDescent="0.2">
      <c r="AF50757" s="679"/>
    </row>
    <row r="50758" spans="32:32" x14ac:dyDescent="0.2">
      <c r="AF50758" s="679"/>
    </row>
    <row r="50759" spans="32:32" x14ac:dyDescent="0.2">
      <c r="AF50759" s="679"/>
    </row>
    <row r="50760" spans="32:32" x14ac:dyDescent="0.2">
      <c r="AF50760" s="679"/>
    </row>
    <row r="50761" spans="32:32" x14ac:dyDescent="0.2">
      <c r="AF50761" s="679"/>
    </row>
    <row r="50762" spans="32:32" x14ac:dyDescent="0.2">
      <c r="AF50762" s="679"/>
    </row>
    <row r="50763" spans="32:32" x14ac:dyDescent="0.2">
      <c r="AF50763" s="679"/>
    </row>
    <row r="50764" spans="32:32" x14ac:dyDescent="0.2">
      <c r="AF50764" s="679"/>
    </row>
    <row r="50765" spans="32:32" x14ac:dyDescent="0.2">
      <c r="AF50765" s="679"/>
    </row>
    <row r="50766" spans="32:32" x14ac:dyDescent="0.2">
      <c r="AF50766" s="679"/>
    </row>
    <row r="50767" spans="32:32" x14ac:dyDescent="0.2">
      <c r="AF50767" s="679"/>
    </row>
    <row r="50768" spans="32:32" x14ac:dyDescent="0.2">
      <c r="AF50768" s="679"/>
    </row>
    <row r="50769" spans="32:32" x14ac:dyDescent="0.2">
      <c r="AF50769" s="679"/>
    </row>
    <row r="50770" spans="32:32" x14ac:dyDescent="0.2">
      <c r="AF50770" s="679"/>
    </row>
    <row r="50771" spans="32:32" x14ac:dyDescent="0.2">
      <c r="AF50771" s="679"/>
    </row>
    <row r="50772" spans="32:32" x14ac:dyDescent="0.2">
      <c r="AF50772" s="679"/>
    </row>
    <row r="50773" spans="32:32" x14ac:dyDescent="0.2">
      <c r="AF50773" s="679"/>
    </row>
    <row r="50774" spans="32:32" x14ac:dyDescent="0.2">
      <c r="AF50774" s="679"/>
    </row>
    <row r="50775" spans="32:32" x14ac:dyDescent="0.2">
      <c r="AF50775" s="679"/>
    </row>
    <row r="50776" spans="32:32" x14ac:dyDescent="0.2">
      <c r="AF50776" s="679"/>
    </row>
    <row r="50777" spans="32:32" x14ac:dyDescent="0.2">
      <c r="AF50777" s="679"/>
    </row>
    <row r="50778" spans="32:32" x14ac:dyDescent="0.2">
      <c r="AF50778" s="679"/>
    </row>
    <row r="50779" spans="32:32" x14ac:dyDescent="0.2">
      <c r="AF50779" s="679"/>
    </row>
    <row r="50780" spans="32:32" x14ac:dyDescent="0.2">
      <c r="AF50780" s="679"/>
    </row>
    <row r="50781" spans="32:32" x14ac:dyDescent="0.2">
      <c r="AF50781" s="679"/>
    </row>
    <row r="50782" spans="32:32" x14ac:dyDescent="0.2">
      <c r="AF50782" s="679"/>
    </row>
    <row r="50783" spans="32:32" x14ac:dyDescent="0.2">
      <c r="AF50783" s="679"/>
    </row>
    <row r="50784" spans="32:32" x14ac:dyDescent="0.2">
      <c r="AF50784" s="679"/>
    </row>
    <row r="50785" spans="32:32" x14ac:dyDescent="0.2">
      <c r="AF50785" s="679"/>
    </row>
    <row r="50786" spans="32:32" x14ac:dyDescent="0.2">
      <c r="AF50786" s="679"/>
    </row>
    <row r="50787" spans="32:32" x14ac:dyDescent="0.2">
      <c r="AF50787" s="679"/>
    </row>
    <row r="50788" spans="32:32" x14ac:dyDescent="0.2">
      <c r="AF50788" s="679"/>
    </row>
    <row r="50789" spans="32:32" x14ac:dyDescent="0.2">
      <c r="AF50789" s="679"/>
    </row>
    <row r="50790" spans="32:32" x14ac:dyDescent="0.2">
      <c r="AF50790" s="679"/>
    </row>
    <row r="50791" spans="32:32" x14ac:dyDescent="0.2">
      <c r="AF50791" s="679"/>
    </row>
    <row r="50792" spans="32:32" x14ac:dyDescent="0.2">
      <c r="AF50792" s="679"/>
    </row>
    <row r="50793" spans="32:32" x14ac:dyDescent="0.2">
      <c r="AF50793" s="679"/>
    </row>
    <row r="50794" spans="32:32" x14ac:dyDescent="0.2">
      <c r="AF50794" s="679"/>
    </row>
    <row r="50795" spans="32:32" x14ac:dyDescent="0.2">
      <c r="AF50795" s="679"/>
    </row>
    <row r="50796" spans="32:32" x14ac:dyDescent="0.2">
      <c r="AF50796" s="679"/>
    </row>
    <row r="50797" spans="32:32" x14ac:dyDescent="0.2">
      <c r="AF50797" s="679"/>
    </row>
    <row r="50798" spans="32:32" x14ac:dyDescent="0.2">
      <c r="AF50798" s="679"/>
    </row>
    <row r="50799" spans="32:32" x14ac:dyDescent="0.2">
      <c r="AF50799" s="679"/>
    </row>
    <row r="50800" spans="32:32" x14ac:dyDescent="0.2">
      <c r="AF50800" s="679"/>
    </row>
    <row r="50801" spans="32:32" x14ac:dyDescent="0.2">
      <c r="AF50801" s="679"/>
    </row>
    <row r="50802" spans="32:32" x14ac:dyDescent="0.2">
      <c r="AF50802" s="679"/>
    </row>
    <row r="50803" spans="32:32" x14ac:dyDescent="0.2">
      <c r="AF50803" s="679"/>
    </row>
    <row r="50804" spans="32:32" x14ac:dyDescent="0.2">
      <c r="AF50804" s="679"/>
    </row>
    <row r="50805" spans="32:32" x14ac:dyDescent="0.2">
      <c r="AF50805" s="679"/>
    </row>
    <row r="50806" spans="32:32" x14ac:dyDescent="0.2">
      <c r="AF50806" s="679"/>
    </row>
    <row r="50807" spans="32:32" x14ac:dyDescent="0.2">
      <c r="AF50807" s="679"/>
    </row>
    <row r="50808" spans="32:32" x14ac:dyDescent="0.2">
      <c r="AF50808" s="679"/>
    </row>
    <row r="50809" spans="32:32" x14ac:dyDescent="0.2">
      <c r="AF50809" s="679"/>
    </row>
    <row r="50810" spans="32:32" x14ac:dyDescent="0.2">
      <c r="AF50810" s="679"/>
    </row>
    <row r="50811" spans="32:32" x14ac:dyDescent="0.2">
      <c r="AF50811" s="679"/>
    </row>
    <row r="50812" spans="32:32" x14ac:dyDescent="0.2">
      <c r="AF50812" s="679"/>
    </row>
    <row r="50813" spans="32:32" x14ac:dyDescent="0.2">
      <c r="AF50813" s="679"/>
    </row>
    <row r="50814" spans="32:32" x14ac:dyDescent="0.2">
      <c r="AF50814" s="679"/>
    </row>
    <row r="50815" spans="32:32" x14ac:dyDescent="0.2">
      <c r="AF50815" s="679"/>
    </row>
    <row r="50816" spans="32:32" x14ac:dyDescent="0.2">
      <c r="AF50816" s="679"/>
    </row>
    <row r="50817" spans="32:32" x14ac:dyDescent="0.2">
      <c r="AF50817" s="679"/>
    </row>
    <row r="50818" spans="32:32" x14ac:dyDescent="0.2">
      <c r="AF50818" s="679"/>
    </row>
    <row r="50819" spans="32:32" x14ac:dyDescent="0.2">
      <c r="AF50819" s="679"/>
    </row>
    <row r="50820" spans="32:32" x14ac:dyDescent="0.2">
      <c r="AF50820" s="679"/>
    </row>
    <row r="50821" spans="32:32" x14ac:dyDescent="0.2">
      <c r="AF50821" s="679"/>
    </row>
    <row r="50822" spans="32:32" x14ac:dyDescent="0.2">
      <c r="AF50822" s="679"/>
    </row>
    <row r="50823" spans="32:32" x14ac:dyDescent="0.2">
      <c r="AF50823" s="679"/>
    </row>
    <row r="50824" spans="32:32" x14ac:dyDescent="0.2">
      <c r="AF50824" s="679"/>
    </row>
    <row r="50825" spans="32:32" x14ac:dyDescent="0.2">
      <c r="AF50825" s="679"/>
    </row>
    <row r="50826" spans="32:32" x14ac:dyDescent="0.2">
      <c r="AF50826" s="679"/>
    </row>
    <row r="50827" spans="32:32" x14ac:dyDescent="0.2">
      <c r="AF50827" s="679"/>
    </row>
    <row r="50828" spans="32:32" x14ac:dyDescent="0.2">
      <c r="AF50828" s="679"/>
    </row>
    <row r="50829" spans="32:32" x14ac:dyDescent="0.2">
      <c r="AF50829" s="679"/>
    </row>
    <row r="50830" spans="32:32" x14ac:dyDescent="0.2">
      <c r="AF50830" s="679"/>
    </row>
    <row r="50831" spans="32:32" x14ac:dyDescent="0.2">
      <c r="AF50831" s="679"/>
    </row>
    <row r="50832" spans="32:32" x14ac:dyDescent="0.2">
      <c r="AF50832" s="679"/>
    </row>
    <row r="50833" spans="32:32" x14ac:dyDescent="0.2">
      <c r="AF50833" s="679"/>
    </row>
    <row r="50834" spans="32:32" x14ac:dyDescent="0.2">
      <c r="AF50834" s="679"/>
    </row>
    <row r="50835" spans="32:32" x14ac:dyDescent="0.2">
      <c r="AF50835" s="679"/>
    </row>
    <row r="50836" spans="32:32" x14ac:dyDescent="0.2">
      <c r="AF50836" s="679"/>
    </row>
    <row r="50837" spans="32:32" x14ac:dyDescent="0.2">
      <c r="AF50837" s="679"/>
    </row>
    <row r="50838" spans="32:32" x14ac:dyDescent="0.2">
      <c r="AF50838" s="679"/>
    </row>
    <row r="50839" spans="32:32" x14ac:dyDescent="0.2">
      <c r="AF50839" s="679"/>
    </row>
    <row r="50840" spans="32:32" x14ac:dyDescent="0.2">
      <c r="AF50840" s="679"/>
    </row>
    <row r="50841" spans="32:32" x14ac:dyDescent="0.2">
      <c r="AF50841" s="679"/>
    </row>
    <row r="50842" spans="32:32" x14ac:dyDescent="0.2">
      <c r="AF50842" s="679"/>
    </row>
    <row r="50843" spans="32:32" x14ac:dyDescent="0.2">
      <c r="AF50843" s="679"/>
    </row>
    <row r="50844" spans="32:32" x14ac:dyDescent="0.2">
      <c r="AF50844" s="679"/>
    </row>
    <row r="50845" spans="32:32" x14ac:dyDescent="0.2">
      <c r="AF50845" s="679"/>
    </row>
    <row r="50846" spans="32:32" x14ac:dyDescent="0.2">
      <c r="AF50846" s="679"/>
    </row>
    <row r="50847" spans="32:32" x14ac:dyDescent="0.2">
      <c r="AF50847" s="679"/>
    </row>
    <row r="50848" spans="32:32" x14ac:dyDescent="0.2">
      <c r="AF50848" s="679"/>
    </row>
    <row r="50849" spans="32:32" x14ac:dyDescent="0.2">
      <c r="AF50849" s="679"/>
    </row>
    <row r="50850" spans="32:32" x14ac:dyDescent="0.2">
      <c r="AF50850" s="679"/>
    </row>
    <row r="50851" spans="32:32" x14ac:dyDescent="0.2">
      <c r="AF50851" s="679"/>
    </row>
    <row r="50852" spans="32:32" x14ac:dyDescent="0.2">
      <c r="AF50852" s="679"/>
    </row>
    <row r="50853" spans="32:32" x14ac:dyDescent="0.2">
      <c r="AF50853" s="679"/>
    </row>
    <row r="50854" spans="32:32" x14ac:dyDescent="0.2">
      <c r="AF50854" s="679"/>
    </row>
    <row r="50855" spans="32:32" x14ac:dyDescent="0.2">
      <c r="AF50855" s="679"/>
    </row>
    <row r="50856" spans="32:32" x14ac:dyDescent="0.2">
      <c r="AF50856" s="679"/>
    </row>
    <row r="50857" spans="32:32" x14ac:dyDescent="0.2">
      <c r="AF50857" s="679"/>
    </row>
    <row r="50858" spans="32:32" x14ac:dyDescent="0.2">
      <c r="AF50858" s="679"/>
    </row>
    <row r="50859" spans="32:32" x14ac:dyDescent="0.2">
      <c r="AF50859" s="679"/>
    </row>
    <row r="50860" spans="32:32" x14ac:dyDescent="0.2">
      <c r="AF50860" s="679"/>
    </row>
    <row r="50861" spans="32:32" x14ac:dyDescent="0.2">
      <c r="AF50861" s="679"/>
    </row>
    <row r="50862" spans="32:32" x14ac:dyDescent="0.2">
      <c r="AF50862" s="679"/>
    </row>
    <row r="50863" spans="32:32" x14ac:dyDescent="0.2">
      <c r="AF50863" s="679"/>
    </row>
    <row r="50864" spans="32:32" x14ac:dyDescent="0.2">
      <c r="AF50864" s="679"/>
    </row>
    <row r="50865" spans="32:32" x14ac:dyDescent="0.2">
      <c r="AF50865" s="679"/>
    </row>
    <row r="50866" spans="32:32" x14ac:dyDescent="0.2">
      <c r="AF50866" s="679"/>
    </row>
    <row r="50867" spans="32:32" x14ac:dyDescent="0.2">
      <c r="AF50867" s="679"/>
    </row>
    <row r="50868" spans="32:32" x14ac:dyDescent="0.2">
      <c r="AF50868" s="679"/>
    </row>
    <row r="50869" spans="32:32" x14ac:dyDescent="0.2">
      <c r="AF50869" s="679"/>
    </row>
    <row r="50870" spans="32:32" x14ac:dyDescent="0.2">
      <c r="AF50870" s="679"/>
    </row>
    <row r="50871" spans="32:32" x14ac:dyDescent="0.2">
      <c r="AF50871" s="679"/>
    </row>
    <row r="50872" spans="32:32" x14ac:dyDescent="0.2">
      <c r="AF50872" s="679"/>
    </row>
    <row r="50873" spans="32:32" x14ac:dyDescent="0.2">
      <c r="AF50873" s="679"/>
    </row>
    <row r="50874" spans="32:32" x14ac:dyDescent="0.2">
      <c r="AF50874" s="679"/>
    </row>
    <row r="50875" spans="32:32" x14ac:dyDescent="0.2">
      <c r="AF50875" s="679"/>
    </row>
    <row r="50876" spans="32:32" x14ac:dyDescent="0.2">
      <c r="AF50876" s="679"/>
    </row>
    <row r="50877" spans="32:32" x14ac:dyDescent="0.2">
      <c r="AF50877" s="679"/>
    </row>
    <row r="50878" spans="32:32" x14ac:dyDescent="0.2">
      <c r="AF50878" s="679"/>
    </row>
    <row r="50879" spans="32:32" x14ac:dyDescent="0.2">
      <c r="AF50879" s="679"/>
    </row>
    <row r="50880" spans="32:32" x14ac:dyDescent="0.2">
      <c r="AF50880" s="679"/>
    </row>
    <row r="50881" spans="32:32" x14ac:dyDescent="0.2">
      <c r="AF50881" s="679"/>
    </row>
    <row r="50882" spans="32:32" x14ac:dyDescent="0.2">
      <c r="AF50882" s="679"/>
    </row>
    <row r="50883" spans="32:32" x14ac:dyDescent="0.2">
      <c r="AF50883" s="679"/>
    </row>
    <row r="50884" spans="32:32" x14ac:dyDescent="0.2">
      <c r="AF50884" s="679"/>
    </row>
    <row r="50885" spans="32:32" x14ac:dyDescent="0.2">
      <c r="AF50885" s="679"/>
    </row>
    <row r="50886" spans="32:32" x14ac:dyDescent="0.2">
      <c r="AF50886" s="679"/>
    </row>
    <row r="50887" spans="32:32" x14ac:dyDescent="0.2">
      <c r="AF50887" s="679"/>
    </row>
    <row r="50888" spans="32:32" x14ac:dyDescent="0.2">
      <c r="AF50888" s="679"/>
    </row>
    <row r="50889" spans="32:32" x14ac:dyDescent="0.2">
      <c r="AF50889" s="679"/>
    </row>
    <row r="50890" spans="32:32" x14ac:dyDescent="0.2">
      <c r="AF50890" s="679"/>
    </row>
    <row r="50891" spans="32:32" x14ac:dyDescent="0.2">
      <c r="AF50891" s="679"/>
    </row>
    <row r="50892" spans="32:32" x14ac:dyDescent="0.2">
      <c r="AF50892" s="679"/>
    </row>
    <row r="50893" spans="32:32" x14ac:dyDescent="0.2">
      <c r="AF50893" s="679"/>
    </row>
    <row r="50894" spans="32:32" x14ac:dyDescent="0.2">
      <c r="AF50894" s="679"/>
    </row>
    <row r="50895" spans="32:32" x14ac:dyDescent="0.2">
      <c r="AF50895" s="679"/>
    </row>
    <row r="50896" spans="32:32" x14ac:dyDescent="0.2">
      <c r="AF50896" s="679"/>
    </row>
    <row r="50897" spans="32:32" x14ac:dyDescent="0.2">
      <c r="AF50897" s="679"/>
    </row>
    <row r="50898" spans="32:32" x14ac:dyDescent="0.2">
      <c r="AF50898" s="679"/>
    </row>
    <row r="50899" spans="32:32" x14ac:dyDescent="0.2">
      <c r="AF50899" s="679"/>
    </row>
    <row r="50900" spans="32:32" x14ac:dyDescent="0.2">
      <c r="AF50900" s="679"/>
    </row>
    <row r="50901" spans="32:32" x14ac:dyDescent="0.2">
      <c r="AF50901" s="679"/>
    </row>
    <row r="50902" spans="32:32" x14ac:dyDescent="0.2">
      <c r="AF50902" s="679"/>
    </row>
    <row r="50903" spans="32:32" x14ac:dyDescent="0.2">
      <c r="AF50903" s="679"/>
    </row>
    <row r="50904" spans="32:32" x14ac:dyDescent="0.2">
      <c r="AF50904" s="679"/>
    </row>
    <row r="50905" spans="32:32" x14ac:dyDescent="0.2">
      <c r="AF50905" s="679"/>
    </row>
    <row r="50906" spans="32:32" x14ac:dyDescent="0.2">
      <c r="AF50906" s="679"/>
    </row>
    <row r="50907" spans="32:32" x14ac:dyDescent="0.2">
      <c r="AF50907" s="679"/>
    </row>
    <row r="50908" spans="32:32" x14ac:dyDescent="0.2">
      <c r="AF50908" s="679"/>
    </row>
    <row r="50909" spans="32:32" x14ac:dyDescent="0.2">
      <c r="AF50909" s="679"/>
    </row>
    <row r="50910" spans="32:32" x14ac:dyDescent="0.2">
      <c r="AF50910" s="679"/>
    </row>
    <row r="50911" spans="32:32" x14ac:dyDescent="0.2">
      <c r="AF50911" s="679"/>
    </row>
    <row r="50912" spans="32:32" x14ac:dyDescent="0.2">
      <c r="AF50912" s="679"/>
    </row>
    <row r="50913" spans="32:32" x14ac:dyDescent="0.2">
      <c r="AF50913" s="679"/>
    </row>
    <row r="50914" spans="32:32" x14ac:dyDescent="0.2">
      <c r="AF50914" s="679"/>
    </row>
    <row r="50915" spans="32:32" x14ac:dyDescent="0.2">
      <c r="AF50915" s="679"/>
    </row>
    <row r="50916" spans="32:32" x14ac:dyDescent="0.2">
      <c r="AF50916" s="679"/>
    </row>
    <row r="50917" spans="32:32" x14ac:dyDescent="0.2">
      <c r="AF50917" s="679"/>
    </row>
    <row r="50918" spans="32:32" x14ac:dyDescent="0.2">
      <c r="AF50918" s="679"/>
    </row>
    <row r="50919" spans="32:32" x14ac:dyDescent="0.2">
      <c r="AF50919" s="679"/>
    </row>
    <row r="50920" spans="32:32" x14ac:dyDescent="0.2">
      <c r="AF50920" s="679"/>
    </row>
    <row r="50921" spans="32:32" x14ac:dyDescent="0.2">
      <c r="AF50921" s="679"/>
    </row>
    <row r="50922" spans="32:32" x14ac:dyDescent="0.2">
      <c r="AF50922" s="679"/>
    </row>
    <row r="50923" spans="32:32" x14ac:dyDescent="0.2">
      <c r="AF50923" s="679"/>
    </row>
    <row r="50924" spans="32:32" x14ac:dyDescent="0.2">
      <c r="AF50924" s="679"/>
    </row>
    <row r="50925" spans="32:32" x14ac:dyDescent="0.2">
      <c r="AF50925" s="679"/>
    </row>
    <row r="50926" spans="32:32" x14ac:dyDescent="0.2">
      <c r="AF50926" s="679"/>
    </row>
    <row r="50927" spans="32:32" x14ac:dyDescent="0.2">
      <c r="AF50927" s="679"/>
    </row>
    <row r="50928" spans="32:32" x14ac:dyDescent="0.2">
      <c r="AF50928" s="679"/>
    </row>
    <row r="50929" spans="32:32" x14ac:dyDescent="0.2">
      <c r="AF50929" s="679"/>
    </row>
    <row r="50930" spans="32:32" x14ac:dyDescent="0.2">
      <c r="AF50930" s="679"/>
    </row>
    <row r="50931" spans="32:32" x14ac:dyDescent="0.2">
      <c r="AF50931" s="679"/>
    </row>
    <row r="50932" spans="32:32" x14ac:dyDescent="0.2">
      <c r="AF50932" s="679"/>
    </row>
    <row r="50933" spans="32:32" x14ac:dyDescent="0.2">
      <c r="AF50933" s="679"/>
    </row>
    <row r="50934" spans="32:32" x14ac:dyDescent="0.2">
      <c r="AF50934" s="679"/>
    </row>
    <row r="50935" spans="32:32" x14ac:dyDescent="0.2">
      <c r="AF50935" s="679"/>
    </row>
    <row r="50936" spans="32:32" x14ac:dyDescent="0.2">
      <c r="AF50936" s="679"/>
    </row>
    <row r="50937" spans="32:32" x14ac:dyDescent="0.2">
      <c r="AF50937" s="679"/>
    </row>
    <row r="50938" spans="32:32" x14ac:dyDescent="0.2">
      <c r="AF50938" s="679"/>
    </row>
    <row r="50939" spans="32:32" x14ac:dyDescent="0.2">
      <c r="AF50939" s="679"/>
    </row>
    <row r="50940" spans="32:32" x14ac:dyDescent="0.2">
      <c r="AF50940" s="679"/>
    </row>
    <row r="50941" spans="32:32" x14ac:dyDescent="0.2">
      <c r="AF50941" s="679"/>
    </row>
    <row r="50942" spans="32:32" x14ac:dyDescent="0.2">
      <c r="AF50942" s="679"/>
    </row>
    <row r="50943" spans="32:32" x14ac:dyDescent="0.2">
      <c r="AF50943" s="679"/>
    </row>
    <row r="50944" spans="32:32" x14ac:dyDescent="0.2">
      <c r="AF50944" s="679"/>
    </row>
    <row r="50945" spans="32:32" x14ac:dyDescent="0.2">
      <c r="AF50945" s="679"/>
    </row>
    <row r="50946" spans="32:32" x14ac:dyDescent="0.2">
      <c r="AF50946" s="679"/>
    </row>
    <row r="50947" spans="32:32" x14ac:dyDescent="0.2">
      <c r="AF50947" s="679"/>
    </row>
    <row r="50948" spans="32:32" x14ac:dyDescent="0.2">
      <c r="AF50948" s="679"/>
    </row>
    <row r="50949" spans="32:32" x14ac:dyDescent="0.2">
      <c r="AF50949" s="679"/>
    </row>
    <row r="50950" spans="32:32" x14ac:dyDescent="0.2">
      <c r="AF50950" s="679"/>
    </row>
    <row r="50951" spans="32:32" x14ac:dyDescent="0.2">
      <c r="AF50951" s="679"/>
    </row>
    <row r="50952" spans="32:32" x14ac:dyDescent="0.2">
      <c r="AF50952" s="679"/>
    </row>
    <row r="50953" spans="32:32" x14ac:dyDescent="0.2">
      <c r="AF50953" s="679"/>
    </row>
    <row r="50954" spans="32:32" x14ac:dyDescent="0.2">
      <c r="AF50954" s="679"/>
    </row>
    <row r="50955" spans="32:32" x14ac:dyDescent="0.2">
      <c r="AF50955" s="679"/>
    </row>
    <row r="50956" spans="32:32" x14ac:dyDescent="0.2">
      <c r="AF50956" s="679"/>
    </row>
    <row r="50957" spans="32:32" x14ac:dyDescent="0.2">
      <c r="AF50957" s="679"/>
    </row>
    <row r="50958" spans="32:32" x14ac:dyDescent="0.2">
      <c r="AF50958" s="679"/>
    </row>
    <row r="50959" spans="32:32" x14ac:dyDescent="0.2">
      <c r="AF50959" s="679"/>
    </row>
    <row r="50960" spans="32:32" x14ac:dyDescent="0.2">
      <c r="AF50960" s="679"/>
    </row>
    <row r="50961" spans="32:32" x14ac:dyDescent="0.2">
      <c r="AF50961" s="679"/>
    </row>
    <row r="50962" spans="32:32" x14ac:dyDescent="0.2">
      <c r="AF50962" s="679"/>
    </row>
    <row r="50963" spans="32:32" x14ac:dyDescent="0.2">
      <c r="AF50963" s="679"/>
    </row>
    <row r="50964" spans="32:32" x14ac:dyDescent="0.2">
      <c r="AF50964" s="679"/>
    </row>
    <row r="50965" spans="32:32" x14ac:dyDescent="0.2">
      <c r="AF50965" s="679"/>
    </row>
    <row r="50966" spans="32:32" x14ac:dyDescent="0.2">
      <c r="AF50966" s="679"/>
    </row>
    <row r="50967" spans="32:32" x14ac:dyDescent="0.2">
      <c r="AF50967" s="679"/>
    </row>
    <row r="50968" spans="32:32" x14ac:dyDescent="0.2">
      <c r="AF50968" s="679"/>
    </row>
    <row r="50969" spans="32:32" x14ac:dyDescent="0.2">
      <c r="AF50969" s="679"/>
    </row>
    <row r="50970" spans="32:32" x14ac:dyDescent="0.2">
      <c r="AF50970" s="679"/>
    </row>
    <row r="50971" spans="32:32" x14ac:dyDescent="0.2">
      <c r="AF50971" s="679"/>
    </row>
    <row r="50972" spans="32:32" x14ac:dyDescent="0.2">
      <c r="AF50972" s="679"/>
    </row>
    <row r="50973" spans="32:32" x14ac:dyDescent="0.2">
      <c r="AF50973" s="679"/>
    </row>
    <row r="50974" spans="32:32" x14ac:dyDescent="0.2">
      <c r="AF50974" s="679"/>
    </row>
    <row r="50975" spans="32:32" x14ac:dyDescent="0.2">
      <c r="AF50975" s="679"/>
    </row>
    <row r="50976" spans="32:32" x14ac:dyDescent="0.2">
      <c r="AF50976" s="679"/>
    </row>
    <row r="50977" spans="32:32" x14ac:dyDescent="0.2">
      <c r="AF50977" s="679"/>
    </row>
    <row r="50978" spans="32:32" x14ac:dyDescent="0.2">
      <c r="AF50978" s="679"/>
    </row>
    <row r="50979" spans="32:32" x14ac:dyDescent="0.2">
      <c r="AF50979" s="679"/>
    </row>
    <row r="50980" spans="32:32" x14ac:dyDescent="0.2">
      <c r="AF50980" s="679"/>
    </row>
    <row r="50981" spans="32:32" x14ac:dyDescent="0.2">
      <c r="AF50981" s="679"/>
    </row>
    <row r="50982" spans="32:32" x14ac:dyDescent="0.2">
      <c r="AF50982" s="679"/>
    </row>
    <row r="50983" spans="32:32" x14ac:dyDescent="0.2">
      <c r="AF50983" s="679"/>
    </row>
    <row r="50984" spans="32:32" x14ac:dyDescent="0.2">
      <c r="AF50984" s="679"/>
    </row>
    <row r="50985" spans="32:32" x14ac:dyDescent="0.2">
      <c r="AF50985" s="679"/>
    </row>
    <row r="50986" spans="32:32" x14ac:dyDescent="0.2">
      <c r="AF50986" s="679"/>
    </row>
    <row r="50987" spans="32:32" x14ac:dyDescent="0.2">
      <c r="AF50987" s="679"/>
    </row>
    <row r="50988" spans="32:32" x14ac:dyDescent="0.2">
      <c r="AF50988" s="679"/>
    </row>
    <row r="50989" spans="32:32" x14ac:dyDescent="0.2">
      <c r="AF50989" s="679"/>
    </row>
    <row r="50990" spans="32:32" x14ac:dyDescent="0.2">
      <c r="AF50990" s="679"/>
    </row>
    <row r="50991" spans="32:32" x14ac:dyDescent="0.2">
      <c r="AF50991" s="679"/>
    </row>
    <row r="50992" spans="32:32" x14ac:dyDescent="0.2">
      <c r="AF50992" s="679"/>
    </row>
    <row r="50993" spans="32:32" x14ac:dyDescent="0.2">
      <c r="AF50993" s="679"/>
    </row>
    <row r="50994" spans="32:32" x14ac:dyDescent="0.2">
      <c r="AF50994" s="679"/>
    </row>
    <row r="50995" spans="32:32" x14ac:dyDescent="0.2">
      <c r="AF50995" s="679"/>
    </row>
    <row r="50996" spans="32:32" x14ac:dyDescent="0.2">
      <c r="AF50996" s="679"/>
    </row>
    <row r="50997" spans="32:32" x14ac:dyDescent="0.2">
      <c r="AF50997" s="679"/>
    </row>
    <row r="50998" spans="32:32" x14ac:dyDescent="0.2">
      <c r="AF50998" s="679"/>
    </row>
    <row r="50999" spans="32:32" x14ac:dyDescent="0.2">
      <c r="AF50999" s="679"/>
    </row>
    <row r="51000" spans="32:32" x14ac:dyDescent="0.2">
      <c r="AF51000" s="679"/>
    </row>
    <row r="51001" spans="32:32" x14ac:dyDescent="0.2">
      <c r="AF51001" s="679"/>
    </row>
    <row r="51002" spans="32:32" x14ac:dyDescent="0.2">
      <c r="AF51002" s="679"/>
    </row>
    <row r="51003" spans="32:32" x14ac:dyDescent="0.2">
      <c r="AF51003" s="679"/>
    </row>
    <row r="51004" spans="32:32" x14ac:dyDescent="0.2">
      <c r="AF51004" s="679"/>
    </row>
    <row r="51005" spans="32:32" x14ac:dyDescent="0.2">
      <c r="AF51005" s="679"/>
    </row>
    <row r="51006" spans="32:32" x14ac:dyDescent="0.2">
      <c r="AF51006" s="679"/>
    </row>
    <row r="51007" spans="32:32" x14ac:dyDescent="0.2">
      <c r="AF51007" s="679"/>
    </row>
    <row r="51008" spans="32:32" x14ac:dyDescent="0.2">
      <c r="AF51008" s="679"/>
    </row>
    <row r="51009" spans="32:32" x14ac:dyDescent="0.2">
      <c r="AF51009" s="679"/>
    </row>
    <row r="51010" spans="32:32" x14ac:dyDescent="0.2">
      <c r="AF51010" s="679"/>
    </row>
    <row r="51011" spans="32:32" x14ac:dyDescent="0.2">
      <c r="AF51011" s="679"/>
    </row>
    <row r="51012" spans="32:32" x14ac:dyDescent="0.2">
      <c r="AF51012" s="679"/>
    </row>
    <row r="51013" spans="32:32" x14ac:dyDescent="0.2">
      <c r="AF51013" s="679"/>
    </row>
    <row r="51014" spans="32:32" x14ac:dyDescent="0.2">
      <c r="AF51014" s="679"/>
    </row>
    <row r="51015" spans="32:32" x14ac:dyDescent="0.2">
      <c r="AF51015" s="679"/>
    </row>
    <row r="51016" spans="32:32" x14ac:dyDescent="0.2">
      <c r="AF51016" s="679"/>
    </row>
    <row r="51017" spans="32:32" x14ac:dyDescent="0.2">
      <c r="AF51017" s="679"/>
    </row>
    <row r="51018" spans="32:32" x14ac:dyDescent="0.2">
      <c r="AF51018" s="679"/>
    </row>
    <row r="51019" spans="32:32" x14ac:dyDescent="0.2">
      <c r="AF51019" s="679"/>
    </row>
    <row r="51020" spans="32:32" x14ac:dyDescent="0.2">
      <c r="AF51020" s="679"/>
    </row>
    <row r="51021" spans="32:32" x14ac:dyDescent="0.2">
      <c r="AF51021" s="679"/>
    </row>
    <row r="51022" spans="32:32" x14ac:dyDescent="0.2">
      <c r="AF51022" s="679"/>
    </row>
    <row r="51023" spans="32:32" x14ac:dyDescent="0.2">
      <c r="AF51023" s="679"/>
    </row>
    <row r="51024" spans="32:32" x14ac:dyDescent="0.2">
      <c r="AF51024" s="679"/>
    </row>
    <row r="51025" spans="32:32" x14ac:dyDescent="0.2">
      <c r="AF51025" s="679"/>
    </row>
    <row r="51026" spans="32:32" x14ac:dyDescent="0.2">
      <c r="AF51026" s="679"/>
    </row>
    <row r="51027" spans="32:32" x14ac:dyDescent="0.2">
      <c r="AF51027" s="679"/>
    </row>
    <row r="51028" spans="32:32" x14ac:dyDescent="0.2">
      <c r="AF51028" s="679"/>
    </row>
    <row r="51029" spans="32:32" x14ac:dyDescent="0.2">
      <c r="AF51029" s="679"/>
    </row>
    <row r="51030" spans="32:32" x14ac:dyDescent="0.2">
      <c r="AF51030" s="679"/>
    </row>
    <row r="51031" spans="32:32" x14ac:dyDescent="0.2">
      <c r="AF51031" s="679"/>
    </row>
    <row r="51032" spans="32:32" x14ac:dyDescent="0.2">
      <c r="AF51032" s="679"/>
    </row>
    <row r="51033" spans="32:32" x14ac:dyDescent="0.2">
      <c r="AF51033" s="679"/>
    </row>
    <row r="51034" spans="32:32" x14ac:dyDescent="0.2">
      <c r="AF51034" s="679"/>
    </row>
    <row r="51035" spans="32:32" x14ac:dyDescent="0.2">
      <c r="AF51035" s="679"/>
    </row>
    <row r="51036" spans="32:32" x14ac:dyDescent="0.2">
      <c r="AF51036" s="679"/>
    </row>
    <row r="51037" spans="32:32" x14ac:dyDescent="0.2">
      <c r="AF51037" s="679"/>
    </row>
    <row r="51038" spans="32:32" x14ac:dyDescent="0.2">
      <c r="AF51038" s="679"/>
    </row>
    <row r="51039" spans="32:32" x14ac:dyDescent="0.2">
      <c r="AF51039" s="679"/>
    </row>
    <row r="51040" spans="32:32" x14ac:dyDescent="0.2">
      <c r="AF51040" s="679"/>
    </row>
    <row r="51041" spans="32:32" x14ac:dyDescent="0.2">
      <c r="AF51041" s="679"/>
    </row>
    <row r="51042" spans="32:32" x14ac:dyDescent="0.2">
      <c r="AF51042" s="679"/>
    </row>
    <row r="51043" spans="32:32" x14ac:dyDescent="0.2">
      <c r="AF51043" s="679"/>
    </row>
    <row r="51044" spans="32:32" x14ac:dyDescent="0.2">
      <c r="AF51044" s="679"/>
    </row>
    <row r="51045" spans="32:32" x14ac:dyDescent="0.2">
      <c r="AF51045" s="679"/>
    </row>
    <row r="51046" spans="32:32" x14ac:dyDescent="0.2">
      <c r="AF51046" s="679"/>
    </row>
    <row r="51047" spans="32:32" x14ac:dyDescent="0.2">
      <c r="AF51047" s="679"/>
    </row>
    <row r="51048" spans="32:32" x14ac:dyDescent="0.2">
      <c r="AF51048" s="679"/>
    </row>
    <row r="51049" spans="32:32" x14ac:dyDescent="0.2">
      <c r="AF51049" s="679"/>
    </row>
    <row r="51050" spans="32:32" x14ac:dyDescent="0.2">
      <c r="AF51050" s="679"/>
    </row>
    <row r="51051" spans="32:32" x14ac:dyDescent="0.2">
      <c r="AF51051" s="679"/>
    </row>
    <row r="51052" spans="32:32" x14ac:dyDescent="0.2">
      <c r="AF51052" s="679"/>
    </row>
    <row r="51053" spans="32:32" x14ac:dyDescent="0.2">
      <c r="AF51053" s="679"/>
    </row>
    <row r="51054" spans="32:32" x14ac:dyDescent="0.2">
      <c r="AF51054" s="679"/>
    </row>
    <row r="51055" spans="32:32" x14ac:dyDescent="0.2">
      <c r="AF51055" s="679"/>
    </row>
    <row r="51056" spans="32:32" x14ac:dyDescent="0.2">
      <c r="AF51056" s="679"/>
    </row>
    <row r="51057" spans="32:32" x14ac:dyDescent="0.2">
      <c r="AF51057" s="679"/>
    </row>
    <row r="51058" spans="32:32" x14ac:dyDescent="0.2">
      <c r="AF51058" s="679"/>
    </row>
    <row r="51059" spans="32:32" x14ac:dyDescent="0.2">
      <c r="AF51059" s="679"/>
    </row>
    <row r="51060" spans="32:32" x14ac:dyDescent="0.2">
      <c r="AF51060" s="679"/>
    </row>
    <row r="51061" spans="32:32" x14ac:dyDescent="0.2">
      <c r="AF51061" s="679"/>
    </row>
    <row r="51062" spans="32:32" x14ac:dyDescent="0.2">
      <c r="AF51062" s="679"/>
    </row>
    <row r="51063" spans="32:32" x14ac:dyDescent="0.2">
      <c r="AF51063" s="679"/>
    </row>
    <row r="51064" spans="32:32" x14ac:dyDescent="0.2">
      <c r="AF51064" s="679"/>
    </row>
    <row r="51065" spans="32:32" x14ac:dyDescent="0.2">
      <c r="AF51065" s="679"/>
    </row>
    <row r="51066" spans="32:32" x14ac:dyDescent="0.2">
      <c r="AF51066" s="679"/>
    </row>
    <row r="51067" spans="32:32" x14ac:dyDescent="0.2">
      <c r="AF51067" s="679"/>
    </row>
    <row r="51068" spans="32:32" x14ac:dyDescent="0.2">
      <c r="AF51068" s="679"/>
    </row>
    <row r="51069" spans="32:32" x14ac:dyDescent="0.2">
      <c r="AF51069" s="679"/>
    </row>
    <row r="51070" spans="32:32" x14ac:dyDescent="0.2">
      <c r="AF51070" s="679"/>
    </row>
    <row r="51071" spans="32:32" x14ac:dyDescent="0.2">
      <c r="AF51071" s="679"/>
    </row>
    <row r="51072" spans="32:32" x14ac:dyDescent="0.2">
      <c r="AF51072" s="679"/>
    </row>
    <row r="51073" spans="32:32" x14ac:dyDescent="0.2">
      <c r="AF51073" s="679"/>
    </row>
    <row r="51074" spans="32:32" x14ac:dyDescent="0.2">
      <c r="AF51074" s="679"/>
    </row>
    <row r="51075" spans="32:32" x14ac:dyDescent="0.2">
      <c r="AF51075" s="679"/>
    </row>
    <row r="51076" spans="32:32" x14ac:dyDescent="0.2">
      <c r="AF51076" s="679"/>
    </row>
    <row r="51077" spans="32:32" x14ac:dyDescent="0.2">
      <c r="AF51077" s="679"/>
    </row>
    <row r="51078" spans="32:32" x14ac:dyDescent="0.2">
      <c r="AF51078" s="679"/>
    </row>
    <row r="51079" spans="32:32" x14ac:dyDescent="0.2">
      <c r="AF51079" s="679"/>
    </row>
    <row r="51080" spans="32:32" x14ac:dyDescent="0.2">
      <c r="AF51080" s="679"/>
    </row>
    <row r="51081" spans="32:32" x14ac:dyDescent="0.2">
      <c r="AF51081" s="679"/>
    </row>
    <row r="51082" spans="32:32" x14ac:dyDescent="0.2">
      <c r="AF51082" s="679"/>
    </row>
    <row r="51083" spans="32:32" x14ac:dyDescent="0.2">
      <c r="AF51083" s="679"/>
    </row>
    <row r="51084" spans="32:32" x14ac:dyDescent="0.2">
      <c r="AF51084" s="679"/>
    </row>
    <row r="51085" spans="32:32" x14ac:dyDescent="0.2">
      <c r="AF51085" s="679"/>
    </row>
    <row r="51086" spans="32:32" x14ac:dyDescent="0.2">
      <c r="AF51086" s="679"/>
    </row>
    <row r="51087" spans="32:32" x14ac:dyDescent="0.2">
      <c r="AF51087" s="679"/>
    </row>
    <row r="51088" spans="32:32" x14ac:dyDescent="0.2">
      <c r="AF51088" s="679"/>
    </row>
    <row r="51089" spans="32:32" x14ac:dyDescent="0.2">
      <c r="AF51089" s="679"/>
    </row>
    <row r="51090" spans="32:32" x14ac:dyDescent="0.2">
      <c r="AF51090" s="679"/>
    </row>
    <row r="51091" spans="32:32" x14ac:dyDescent="0.2">
      <c r="AF51091" s="679"/>
    </row>
    <row r="51092" spans="32:32" x14ac:dyDescent="0.2">
      <c r="AF51092" s="679"/>
    </row>
    <row r="51093" spans="32:32" x14ac:dyDescent="0.2">
      <c r="AF51093" s="679"/>
    </row>
    <row r="51094" spans="32:32" x14ac:dyDescent="0.2">
      <c r="AF51094" s="679"/>
    </row>
    <row r="51095" spans="32:32" x14ac:dyDescent="0.2">
      <c r="AF51095" s="679"/>
    </row>
    <row r="51096" spans="32:32" x14ac:dyDescent="0.2">
      <c r="AF51096" s="679"/>
    </row>
    <row r="51097" spans="32:32" x14ac:dyDescent="0.2">
      <c r="AF51097" s="679"/>
    </row>
    <row r="51098" spans="32:32" x14ac:dyDescent="0.2">
      <c r="AF51098" s="679"/>
    </row>
    <row r="51099" spans="32:32" x14ac:dyDescent="0.2">
      <c r="AF51099" s="679"/>
    </row>
    <row r="51100" spans="32:32" x14ac:dyDescent="0.2">
      <c r="AF51100" s="679"/>
    </row>
    <row r="51101" spans="32:32" x14ac:dyDescent="0.2">
      <c r="AF51101" s="679"/>
    </row>
    <row r="51102" spans="32:32" x14ac:dyDescent="0.2">
      <c r="AF51102" s="679"/>
    </row>
    <row r="51103" spans="32:32" x14ac:dyDescent="0.2">
      <c r="AF51103" s="679"/>
    </row>
    <row r="51104" spans="32:32" x14ac:dyDescent="0.2">
      <c r="AF51104" s="679"/>
    </row>
    <row r="51105" spans="32:32" x14ac:dyDescent="0.2">
      <c r="AF51105" s="679"/>
    </row>
    <row r="51106" spans="32:32" x14ac:dyDescent="0.2">
      <c r="AF51106" s="679"/>
    </row>
    <row r="51107" spans="32:32" x14ac:dyDescent="0.2">
      <c r="AF51107" s="679"/>
    </row>
    <row r="51108" spans="32:32" x14ac:dyDescent="0.2">
      <c r="AF51108" s="679"/>
    </row>
    <row r="51109" spans="32:32" x14ac:dyDescent="0.2">
      <c r="AF51109" s="679"/>
    </row>
    <row r="51110" spans="32:32" x14ac:dyDescent="0.2">
      <c r="AF51110" s="679"/>
    </row>
    <row r="51111" spans="32:32" x14ac:dyDescent="0.2">
      <c r="AF51111" s="679"/>
    </row>
    <row r="51112" spans="32:32" x14ac:dyDescent="0.2">
      <c r="AF51112" s="679"/>
    </row>
    <row r="51113" spans="32:32" x14ac:dyDescent="0.2">
      <c r="AF51113" s="679"/>
    </row>
    <row r="51114" spans="32:32" x14ac:dyDescent="0.2">
      <c r="AF51114" s="679"/>
    </row>
    <row r="51115" spans="32:32" x14ac:dyDescent="0.2">
      <c r="AF51115" s="679"/>
    </row>
    <row r="51116" spans="32:32" x14ac:dyDescent="0.2">
      <c r="AF51116" s="679"/>
    </row>
    <row r="51117" spans="32:32" x14ac:dyDescent="0.2">
      <c r="AF51117" s="679"/>
    </row>
    <row r="51118" spans="32:32" x14ac:dyDescent="0.2">
      <c r="AF51118" s="679"/>
    </row>
    <row r="51119" spans="32:32" x14ac:dyDescent="0.2">
      <c r="AF51119" s="679"/>
    </row>
    <row r="51120" spans="32:32" x14ac:dyDescent="0.2">
      <c r="AF51120" s="679"/>
    </row>
    <row r="51121" spans="32:32" x14ac:dyDescent="0.2">
      <c r="AF51121" s="679"/>
    </row>
    <row r="51122" spans="32:32" x14ac:dyDescent="0.2">
      <c r="AF51122" s="679"/>
    </row>
    <row r="51123" spans="32:32" x14ac:dyDescent="0.2">
      <c r="AF51123" s="679"/>
    </row>
    <row r="51124" spans="32:32" x14ac:dyDescent="0.2">
      <c r="AF51124" s="679"/>
    </row>
    <row r="51125" spans="32:32" x14ac:dyDescent="0.2">
      <c r="AF51125" s="679"/>
    </row>
    <row r="51126" spans="32:32" x14ac:dyDescent="0.2">
      <c r="AF51126" s="679"/>
    </row>
    <row r="51127" spans="32:32" x14ac:dyDescent="0.2">
      <c r="AF51127" s="679"/>
    </row>
    <row r="51128" spans="32:32" x14ac:dyDescent="0.2">
      <c r="AF51128" s="679"/>
    </row>
    <row r="51129" spans="32:32" x14ac:dyDescent="0.2">
      <c r="AF51129" s="679"/>
    </row>
    <row r="51130" spans="32:32" x14ac:dyDescent="0.2">
      <c r="AF51130" s="679"/>
    </row>
    <row r="51131" spans="32:32" x14ac:dyDescent="0.2">
      <c r="AF51131" s="679"/>
    </row>
    <row r="51132" spans="32:32" x14ac:dyDescent="0.2">
      <c r="AF51132" s="679"/>
    </row>
    <row r="51133" spans="32:32" x14ac:dyDescent="0.2">
      <c r="AF51133" s="679"/>
    </row>
    <row r="51134" spans="32:32" x14ac:dyDescent="0.2">
      <c r="AF51134" s="679"/>
    </row>
    <row r="51135" spans="32:32" x14ac:dyDescent="0.2">
      <c r="AF51135" s="679"/>
    </row>
    <row r="51136" spans="32:32" x14ac:dyDescent="0.2">
      <c r="AF51136" s="679"/>
    </row>
    <row r="51137" spans="32:32" x14ac:dyDescent="0.2">
      <c r="AF51137" s="679"/>
    </row>
    <row r="51138" spans="32:32" x14ac:dyDescent="0.2">
      <c r="AF51138" s="679"/>
    </row>
    <row r="51139" spans="32:32" x14ac:dyDescent="0.2">
      <c r="AF51139" s="679"/>
    </row>
    <row r="51140" spans="32:32" x14ac:dyDescent="0.2">
      <c r="AF51140" s="679"/>
    </row>
    <row r="51141" spans="32:32" x14ac:dyDescent="0.2">
      <c r="AF51141" s="679"/>
    </row>
    <row r="51142" spans="32:32" x14ac:dyDescent="0.2">
      <c r="AF51142" s="679"/>
    </row>
    <row r="51143" spans="32:32" x14ac:dyDescent="0.2">
      <c r="AF51143" s="679"/>
    </row>
    <row r="51144" spans="32:32" x14ac:dyDescent="0.2">
      <c r="AF51144" s="679"/>
    </row>
    <row r="51145" spans="32:32" x14ac:dyDescent="0.2">
      <c r="AF51145" s="679"/>
    </row>
    <row r="51146" spans="32:32" x14ac:dyDescent="0.2">
      <c r="AF51146" s="679"/>
    </row>
    <row r="51147" spans="32:32" x14ac:dyDescent="0.2">
      <c r="AF51147" s="679"/>
    </row>
    <row r="51148" spans="32:32" x14ac:dyDescent="0.2">
      <c r="AF51148" s="679"/>
    </row>
    <row r="51149" spans="32:32" x14ac:dyDescent="0.2">
      <c r="AF51149" s="679"/>
    </row>
    <row r="51150" spans="32:32" x14ac:dyDescent="0.2">
      <c r="AF51150" s="679"/>
    </row>
    <row r="51151" spans="32:32" x14ac:dyDescent="0.2">
      <c r="AF51151" s="679"/>
    </row>
    <row r="51152" spans="32:32" x14ac:dyDescent="0.2">
      <c r="AF51152" s="679"/>
    </row>
    <row r="51153" spans="32:32" x14ac:dyDescent="0.2">
      <c r="AF51153" s="679"/>
    </row>
    <row r="51154" spans="32:32" x14ac:dyDescent="0.2">
      <c r="AF51154" s="679"/>
    </row>
    <row r="51155" spans="32:32" x14ac:dyDescent="0.2">
      <c r="AF51155" s="679"/>
    </row>
    <row r="51156" spans="32:32" x14ac:dyDescent="0.2">
      <c r="AF51156" s="679"/>
    </row>
    <row r="51157" spans="32:32" x14ac:dyDescent="0.2">
      <c r="AF51157" s="679"/>
    </row>
    <row r="51158" spans="32:32" x14ac:dyDescent="0.2">
      <c r="AF51158" s="679"/>
    </row>
    <row r="51159" spans="32:32" x14ac:dyDescent="0.2">
      <c r="AF51159" s="679"/>
    </row>
    <row r="51160" spans="32:32" x14ac:dyDescent="0.2">
      <c r="AF51160" s="679"/>
    </row>
    <row r="51161" spans="32:32" x14ac:dyDescent="0.2">
      <c r="AF51161" s="679"/>
    </row>
    <row r="51162" spans="32:32" x14ac:dyDescent="0.2">
      <c r="AF51162" s="679"/>
    </row>
    <row r="51163" spans="32:32" x14ac:dyDescent="0.2">
      <c r="AF51163" s="679"/>
    </row>
    <row r="51164" spans="32:32" x14ac:dyDescent="0.2">
      <c r="AF51164" s="679"/>
    </row>
    <row r="51165" spans="32:32" x14ac:dyDescent="0.2">
      <c r="AF51165" s="679"/>
    </row>
    <row r="51166" spans="32:32" x14ac:dyDescent="0.2">
      <c r="AF51166" s="679"/>
    </row>
    <row r="51167" spans="32:32" x14ac:dyDescent="0.2">
      <c r="AF51167" s="679"/>
    </row>
    <row r="51168" spans="32:32" x14ac:dyDescent="0.2">
      <c r="AF51168" s="679"/>
    </row>
    <row r="51169" spans="32:32" x14ac:dyDescent="0.2">
      <c r="AF51169" s="679"/>
    </row>
    <row r="51170" spans="32:32" x14ac:dyDescent="0.2">
      <c r="AF51170" s="679"/>
    </row>
    <row r="51171" spans="32:32" x14ac:dyDescent="0.2">
      <c r="AF51171" s="679"/>
    </row>
    <row r="51172" spans="32:32" x14ac:dyDescent="0.2">
      <c r="AF51172" s="679"/>
    </row>
    <row r="51173" spans="32:32" x14ac:dyDescent="0.2">
      <c r="AF51173" s="679"/>
    </row>
    <row r="51174" spans="32:32" x14ac:dyDescent="0.2">
      <c r="AF51174" s="679"/>
    </row>
    <row r="51175" spans="32:32" x14ac:dyDescent="0.2">
      <c r="AF51175" s="679"/>
    </row>
    <row r="51176" spans="32:32" x14ac:dyDescent="0.2">
      <c r="AF51176" s="679"/>
    </row>
    <row r="51177" spans="32:32" x14ac:dyDescent="0.2">
      <c r="AF51177" s="679"/>
    </row>
    <row r="51178" spans="32:32" x14ac:dyDescent="0.2">
      <c r="AF51178" s="679"/>
    </row>
    <row r="51179" spans="32:32" x14ac:dyDescent="0.2">
      <c r="AF51179" s="679"/>
    </row>
    <row r="51180" spans="32:32" x14ac:dyDescent="0.2">
      <c r="AF51180" s="679"/>
    </row>
    <row r="51181" spans="32:32" x14ac:dyDescent="0.2">
      <c r="AF51181" s="679"/>
    </row>
    <row r="51182" spans="32:32" x14ac:dyDescent="0.2">
      <c r="AF51182" s="679"/>
    </row>
    <row r="51183" spans="32:32" x14ac:dyDescent="0.2">
      <c r="AF51183" s="679"/>
    </row>
    <row r="51184" spans="32:32" x14ac:dyDescent="0.2">
      <c r="AF51184" s="679"/>
    </row>
    <row r="51185" spans="32:32" x14ac:dyDescent="0.2">
      <c r="AF51185" s="679"/>
    </row>
    <row r="51186" spans="32:32" x14ac:dyDescent="0.2">
      <c r="AF51186" s="679"/>
    </row>
    <row r="51187" spans="32:32" x14ac:dyDescent="0.2">
      <c r="AF51187" s="679"/>
    </row>
    <row r="51188" spans="32:32" x14ac:dyDescent="0.2">
      <c r="AF51188" s="679"/>
    </row>
    <row r="51189" spans="32:32" x14ac:dyDescent="0.2">
      <c r="AF51189" s="679"/>
    </row>
    <row r="51190" spans="32:32" x14ac:dyDescent="0.2">
      <c r="AF51190" s="679"/>
    </row>
    <row r="51191" spans="32:32" x14ac:dyDescent="0.2">
      <c r="AF51191" s="679"/>
    </row>
    <row r="51192" spans="32:32" x14ac:dyDescent="0.2">
      <c r="AF51192" s="679"/>
    </row>
    <row r="51193" spans="32:32" x14ac:dyDescent="0.2">
      <c r="AF51193" s="679"/>
    </row>
    <row r="51194" spans="32:32" x14ac:dyDescent="0.2">
      <c r="AF51194" s="679"/>
    </row>
    <row r="51195" spans="32:32" x14ac:dyDescent="0.2">
      <c r="AF51195" s="679"/>
    </row>
    <row r="51196" spans="32:32" x14ac:dyDescent="0.2">
      <c r="AF51196" s="679"/>
    </row>
    <row r="51197" spans="32:32" x14ac:dyDescent="0.2">
      <c r="AF51197" s="679"/>
    </row>
    <row r="51198" spans="32:32" x14ac:dyDescent="0.2">
      <c r="AF51198" s="679"/>
    </row>
    <row r="51199" spans="32:32" x14ac:dyDescent="0.2">
      <c r="AF51199" s="679"/>
    </row>
    <row r="51200" spans="32:32" x14ac:dyDescent="0.2">
      <c r="AF51200" s="679"/>
    </row>
    <row r="51201" spans="32:32" x14ac:dyDescent="0.2">
      <c r="AF51201" s="679"/>
    </row>
    <row r="51202" spans="32:32" x14ac:dyDescent="0.2">
      <c r="AF51202" s="679"/>
    </row>
    <row r="51203" spans="32:32" x14ac:dyDescent="0.2">
      <c r="AF51203" s="679"/>
    </row>
    <row r="51204" spans="32:32" x14ac:dyDescent="0.2">
      <c r="AF51204" s="679"/>
    </row>
    <row r="51205" spans="32:32" x14ac:dyDescent="0.2">
      <c r="AF51205" s="679"/>
    </row>
    <row r="51206" spans="32:32" x14ac:dyDescent="0.2">
      <c r="AF51206" s="679"/>
    </row>
    <row r="51207" spans="32:32" x14ac:dyDescent="0.2">
      <c r="AF51207" s="679"/>
    </row>
    <row r="51208" spans="32:32" x14ac:dyDescent="0.2">
      <c r="AF51208" s="679"/>
    </row>
    <row r="51209" spans="32:32" x14ac:dyDescent="0.2">
      <c r="AF51209" s="679"/>
    </row>
    <row r="51210" spans="32:32" x14ac:dyDescent="0.2">
      <c r="AF51210" s="679"/>
    </row>
    <row r="51211" spans="32:32" x14ac:dyDescent="0.2">
      <c r="AF51211" s="679"/>
    </row>
    <row r="51212" spans="32:32" x14ac:dyDescent="0.2">
      <c r="AF51212" s="679"/>
    </row>
    <row r="51213" spans="32:32" x14ac:dyDescent="0.2">
      <c r="AF51213" s="679"/>
    </row>
    <row r="51214" spans="32:32" x14ac:dyDescent="0.2">
      <c r="AF51214" s="679"/>
    </row>
    <row r="51215" spans="32:32" x14ac:dyDescent="0.2">
      <c r="AF51215" s="679"/>
    </row>
    <row r="51216" spans="32:32" x14ac:dyDescent="0.2">
      <c r="AF51216" s="679"/>
    </row>
    <row r="51217" spans="32:32" x14ac:dyDescent="0.2">
      <c r="AF51217" s="679"/>
    </row>
    <row r="51218" spans="32:32" x14ac:dyDescent="0.2">
      <c r="AF51218" s="679"/>
    </row>
    <row r="51219" spans="32:32" x14ac:dyDescent="0.2">
      <c r="AF51219" s="679"/>
    </row>
    <row r="51220" spans="32:32" x14ac:dyDescent="0.2">
      <c r="AF51220" s="679"/>
    </row>
    <row r="51221" spans="32:32" x14ac:dyDescent="0.2">
      <c r="AF51221" s="679"/>
    </row>
    <row r="51222" spans="32:32" x14ac:dyDescent="0.2">
      <c r="AF51222" s="679"/>
    </row>
    <row r="51223" spans="32:32" x14ac:dyDescent="0.2">
      <c r="AF51223" s="679"/>
    </row>
    <row r="51224" spans="32:32" x14ac:dyDescent="0.2">
      <c r="AF51224" s="679"/>
    </row>
    <row r="51225" spans="32:32" x14ac:dyDescent="0.2">
      <c r="AF51225" s="679"/>
    </row>
    <row r="51226" spans="32:32" x14ac:dyDescent="0.2">
      <c r="AF51226" s="679"/>
    </row>
    <row r="51227" spans="32:32" x14ac:dyDescent="0.2">
      <c r="AF51227" s="679"/>
    </row>
    <row r="51228" spans="32:32" x14ac:dyDescent="0.2">
      <c r="AF51228" s="679"/>
    </row>
    <row r="51229" spans="32:32" x14ac:dyDescent="0.2">
      <c r="AF51229" s="679"/>
    </row>
    <row r="51230" spans="32:32" x14ac:dyDescent="0.2">
      <c r="AF51230" s="679"/>
    </row>
    <row r="51231" spans="32:32" x14ac:dyDescent="0.2">
      <c r="AF51231" s="679"/>
    </row>
    <row r="51232" spans="32:32" x14ac:dyDescent="0.2">
      <c r="AF51232" s="679"/>
    </row>
    <row r="51233" spans="32:32" x14ac:dyDescent="0.2">
      <c r="AF51233" s="679"/>
    </row>
    <row r="51234" spans="32:32" x14ac:dyDescent="0.2">
      <c r="AF51234" s="679"/>
    </row>
    <row r="51235" spans="32:32" x14ac:dyDescent="0.2">
      <c r="AF51235" s="679"/>
    </row>
    <row r="51236" spans="32:32" x14ac:dyDescent="0.2">
      <c r="AF51236" s="679"/>
    </row>
    <row r="51237" spans="32:32" x14ac:dyDescent="0.2">
      <c r="AF51237" s="679"/>
    </row>
    <row r="51238" spans="32:32" x14ac:dyDescent="0.2">
      <c r="AF51238" s="679"/>
    </row>
    <row r="51239" spans="32:32" x14ac:dyDescent="0.2">
      <c r="AF51239" s="679"/>
    </row>
    <row r="51240" spans="32:32" x14ac:dyDescent="0.2">
      <c r="AF51240" s="679"/>
    </row>
    <row r="51241" spans="32:32" x14ac:dyDescent="0.2">
      <c r="AF51241" s="679"/>
    </row>
    <row r="51242" spans="32:32" x14ac:dyDescent="0.2">
      <c r="AF51242" s="679"/>
    </row>
    <row r="51243" spans="32:32" x14ac:dyDescent="0.2">
      <c r="AF51243" s="679"/>
    </row>
    <row r="51244" spans="32:32" x14ac:dyDescent="0.2">
      <c r="AF51244" s="679"/>
    </row>
    <row r="51245" spans="32:32" x14ac:dyDescent="0.2">
      <c r="AF51245" s="679"/>
    </row>
    <row r="51246" spans="32:32" x14ac:dyDescent="0.2">
      <c r="AF51246" s="679"/>
    </row>
    <row r="51247" spans="32:32" x14ac:dyDescent="0.2">
      <c r="AF51247" s="679"/>
    </row>
    <row r="51248" spans="32:32" x14ac:dyDescent="0.2">
      <c r="AF51248" s="679"/>
    </row>
    <row r="51249" spans="32:32" x14ac:dyDescent="0.2">
      <c r="AF51249" s="679"/>
    </row>
    <row r="51250" spans="32:32" x14ac:dyDescent="0.2">
      <c r="AF51250" s="679"/>
    </row>
    <row r="51251" spans="32:32" x14ac:dyDescent="0.2">
      <c r="AF51251" s="679"/>
    </row>
    <row r="51252" spans="32:32" x14ac:dyDescent="0.2">
      <c r="AF51252" s="679"/>
    </row>
    <row r="51253" spans="32:32" x14ac:dyDescent="0.2">
      <c r="AF51253" s="679"/>
    </row>
    <row r="51254" spans="32:32" x14ac:dyDescent="0.2">
      <c r="AF51254" s="679"/>
    </row>
    <row r="51255" spans="32:32" x14ac:dyDescent="0.2">
      <c r="AF51255" s="679"/>
    </row>
    <row r="51256" spans="32:32" x14ac:dyDescent="0.2">
      <c r="AF51256" s="679"/>
    </row>
    <row r="51257" spans="32:32" x14ac:dyDescent="0.2">
      <c r="AF51257" s="679"/>
    </row>
    <row r="51258" spans="32:32" x14ac:dyDescent="0.2">
      <c r="AF51258" s="679"/>
    </row>
    <row r="51259" spans="32:32" x14ac:dyDescent="0.2">
      <c r="AF51259" s="679"/>
    </row>
    <row r="51260" spans="32:32" x14ac:dyDescent="0.2">
      <c r="AF51260" s="679"/>
    </row>
    <row r="51261" spans="32:32" x14ac:dyDescent="0.2">
      <c r="AF51261" s="679"/>
    </row>
    <row r="51262" spans="32:32" x14ac:dyDescent="0.2">
      <c r="AF51262" s="679"/>
    </row>
    <row r="51263" spans="32:32" x14ac:dyDescent="0.2">
      <c r="AF51263" s="679"/>
    </row>
    <row r="51264" spans="32:32" x14ac:dyDescent="0.2">
      <c r="AF51264" s="679"/>
    </row>
    <row r="51265" spans="32:32" x14ac:dyDescent="0.2">
      <c r="AF51265" s="679"/>
    </row>
    <row r="51266" spans="32:32" x14ac:dyDescent="0.2">
      <c r="AF51266" s="679"/>
    </row>
    <row r="51267" spans="32:32" x14ac:dyDescent="0.2">
      <c r="AF51267" s="679"/>
    </row>
    <row r="51268" spans="32:32" x14ac:dyDescent="0.2">
      <c r="AF51268" s="679"/>
    </row>
    <row r="51269" spans="32:32" x14ac:dyDescent="0.2">
      <c r="AF51269" s="679"/>
    </row>
    <row r="51270" spans="32:32" x14ac:dyDescent="0.2">
      <c r="AF51270" s="679"/>
    </row>
    <row r="51271" spans="32:32" x14ac:dyDescent="0.2">
      <c r="AF51271" s="679"/>
    </row>
    <row r="51272" spans="32:32" x14ac:dyDescent="0.2">
      <c r="AF51272" s="679"/>
    </row>
    <row r="51273" spans="32:32" x14ac:dyDescent="0.2">
      <c r="AF51273" s="679"/>
    </row>
    <row r="51274" spans="32:32" x14ac:dyDescent="0.2">
      <c r="AF51274" s="679"/>
    </row>
    <row r="51275" spans="32:32" x14ac:dyDescent="0.2">
      <c r="AF51275" s="679"/>
    </row>
    <row r="51276" spans="32:32" x14ac:dyDescent="0.2">
      <c r="AF51276" s="679"/>
    </row>
    <row r="51277" spans="32:32" x14ac:dyDescent="0.2">
      <c r="AF51277" s="679"/>
    </row>
    <row r="51278" spans="32:32" x14ac:dyDescent="0.2">
      <c r="AF51278" s="679"/>
    </row>
    <row r="51279" spans="32:32" x14ac:dyDescent="0.2">
      <c r="AF51279" s="679"/>
    </row>
    <row r="51280" spans="32:32" x14ac:dyDescent="0.2">
      <c r="AF51280" s="679"/>
    </row>
    <row r="51281" spans="32:32" x14ac:dyDescent="0.2">
      <c r="AF51281" s="679"/>
    </row>
    <row r="51282" spans="32:32" x14ac:dyDescent="0.2">
      <c r="AF51282" s="679"/>
    </row>
    <row r="51283" spans="32:32" x14ac:dyDescent="0.2">
      <c r="AF51283" s="679"/>
    </row>
    <row r="51284" spans="32:32" x14ac:dyDescent="0.2">
      <c r="AF51284" s="679"/>
    </row>
    <row r="51285" spans="32:32" x14ac:dyDescent="0.2">
      <c r="AF51285" s="679"/>
    </row>
    <row r="51286" spans="32:32" x14ac:dyDescent="0.2">
      <c r="AF51286" s="679"/>
    </row>
    <row r="51287" spans="32:32" x14ac:dyDescent="0.2">
      <c r="AF51287" s="679"/>
    </row>
    <row r="51288" spans="32:32" x14ac:dyDescent="0.2">
      <c r="AF51288" s="679"/>
    </row>
    <row r="51289" spans="32:32" x14ac:dyDescent="0.2">
      <c r="AF51289" s="679"/>
    </row>
    <row r="51290" spans="32:32" x14ac:dyDescent="0.2">
      <c r="AF51290" s="679"/>
    </row>
    <row r="51291" spans="32:32" x14ac:dyDescent="0.2">
      <c r="AF51291" s="679"/>
    </row>
    <row r="51292" spans="32:32" x14ac:dyDescent="0.2">
      <c r="AF51292" s="679"/>
    </row>
    <row r="51293" spans="32:32" x14ac:dyDescent="0.2">
      <c r="AF51293" s="679"/>
    </row>
    <row r="51294" spans="32:32" x14ac:dyDescent="0.2">
      <c r="AF51294" s="679"/>
    </row>
    <row r="51295" spans="32:32" x14ac:dyDescent="0.2">
      <c r="AF51295" s="679"/>
    </row>
    <row r="51296" spans="32:32" x14ac:dyDescent="0.2">
      <c r="AF51296" s="679"/>
    </row>
    <row r="51297" spans="32:32" x14ac:dyDescent="0.2">
      <c r="AF51297" s="679"/>
    </row>
    <row r="51298" spans="32:32" x14ac:dyDescent="0.2">
      <c r="AF51298" s="679"/>
    </row>
    <row r="51299" spans="32:32" x14ac:dyDescent="0.2">
      <c r="AF51299" s="679"/>
    </row>
    <row r="51300" spans="32:32" x14ac:dyDescent="0.2">
      <c r="AF51300" s="679"/>
    </row>
    <row r="51301" spans="32:32" x14ac:dyDescent="0.2">
      <c r="AF51301" s="679"/>
    </row>
    <row r="51302" spans="32:32" x14ac:dyDescent="0.2">
      <c r="AF51302" s="679"/>
    </row>
    <row r="51303" spans="32:32" x14ac:dyDescent="0.2">
      <c r="AF51303" s="679"/>
    </row>
    <row r="51304" spans="32:32" x14ac:dyDescent="0.2">
      <c r="AF51304" s="679"/>
    </row>
    <row r="51305" spans="32:32" x14ac:dyDescent="0.2">
      <c r="AF51305" s="679"/>
    </row>
    <row r="51306" spans="32:32" x14ac:dyDescent="0.2">
      <c r="AF51306" s="679"/>
    </row>
    <row r="51307" spans="32:32" x14ac:dyDescent="0.2">
      <c r="AF51307" s="679"/>
    </row>
    <row r="51308" spans="32:32" x14ac:dyDescent="0.2">
      <c r="AF51308" s="679"/>
    </row>
    <row r="51309" spans="32:32" x14ac:dyDescent="0.2">
      <c r="AF51309" s="679"/>
    </row>
    <row r="51310" spans="32:32" x14ac:dyDescent="0.2">
      <c r="AF51310" s="679"/>
    </row>
    <row r="51311" spans="32:32" x14ac:dyDescent="0.2">
      <c r="AF51311" s="679"/>
    </row>
    <row r="51312" spans="32:32" x14ac:dyDescent="0.2">
      <c r="AF51312" s="679"/>
    </row>
    <row r="51313" spans="32:32" x14ac:dyDescent="0.2">
      <c r="AF51313" s="679"/>
    </row>
    <row r="51314" spans="32:32" x14ac:dyDescent="0.2">
      <c r="AF51314" s="679"/>
    </row>
    <row r="51315" spans="32:32" x14ac:dyDescent="0.2">
      <c r="AF51315" s="679"/>
    </row>
    <row r="51316" spans="32:32" x14ac:dyDescent="0.2">
      <c r="AF51316" s="679"/>
    </row>
    <row r="51317" spans="32:32" x14ac:dyDescent="0.2">
      <c r="AF51317" s="679"/>
    </row>
    <row r="51318" spans="32:32" x14ac:dyDescent="0.2">
      <c r="AF51318" s="679"/>
    </row>
    <row r="51319" spans="32:32" x14ac:dyDescent="0.2">
      <c r="AF51319" s="679"/>
    </row>
    <row r="51320" spans="32:32" x14ac:dyDescent="0.2">
      <c r="AF51320" s="679"/>
    </row>
    <row r="51321" spans="32:32" x14ac:dyDescent="0.2">
      <c r="AF51321" s="679"/>
    </row>
    <row r="51322" spans="32:32" x14ac:dyDescent="0.2">
      <c r="AF51322" s="679"/>
    </row>
    <row r="51323" spans="32:32" x14ac:dyDescent="0.2">
      <c r="AF51323" s="679"/>
    </row>
    <row r="51324" spans="32:32" x14ac:dyDescent="0.2">
      <c r="AF51324" s="679"/>
    </row>
    <row r="51325" spans="32:32" x14ac:dyDescent="0.2">
      <c r="AF51325" s="679"/>
    </row>
    <row r="51326" spans="32:32" x14ac:dyDescent="0.2">
      <c r="AF51326" s="679"/>
    </row>
    <row r="51327" spans="32:32" x14ac:dyDescent="0.2">
      <c r="AF51327" s="679"/>
    </row>
    <row r="51328" spans="32:32" x14ac:dyDescent="0.2">
      <c r="AF51328" s="679"/>
    </row>
    <row r="51329" spans="32:32" x14ac:dyDescent="0.2">
      <c r="AF51329" s="679"/>
    </row>
    <row r="51330" spans="32:32" x14ac:dyDescent="0.2">
      <c r="AF51330" s="679"/>
    </row>
    <row r="51331" spans="32:32" x14ac:dyDescent="0.2">
      <c r="AF51331" s="679"/>
    </row>
    <row r="51332" spans="32:32" x14ac:dyDescent="0.2">
      <c r="AF51332" s="679"/>
    </row>
    <row r="51333" spans="32:32" x14ac:dyDescent="0.2">
      <c r="AF51333" s="679"/>
    </row>
    <row r="51334" spans="32:32" x14ac:dyDescent="0.2">
      <c r="AF51334" s="679"/>
    </row>
    <row r="51335" spans="32:32" x14ac:dyDescent="0.2">
      <c r="AF51335" s="679"/>
    </row>
    <row r="51336" spans="32:32" x14ac:dyDescent="0.2">
      <c r="AF51336" s="679"/>
    </row>
    <row r="51337" spans="32:32" x14ac:dyDescent="0.2">
      <c r="AF51337" s="679"/>
    </row>
    <row r="51338" spans="32:32" x14ac:dyDescent="0.2">
      <c r="AF51338" s="679"/>
    </row>
    <row r="51339" spans="32:32" x14ac:dyDescent="0.2">
      <c r="AF51339" s="679"/>
    </row>
    <row r="51340" spans="32:32" x14ac:dyDescent="0.2">
      <c r="AF51340" s="679"/>
    </row>
    <row r="51341" spans="32:32" x14ac:dyDescent="0.2">
      <c r="AF51341" s="679"/>
    </row>
    <row r="51342" spans="32:32" x14ac:dyDescent="0.2">
      <c r="AF51342" s="679"/>
    </row>
    <row r="51343" spans="32:32" x14ac:dyDescent="0.2">
      <c r="AF51343" s="679"/>
    </row>
    <row r="51344" spans="32:32" x14ac:dyDescent="0.2">
      <c r="AF51344" s="679"/>
    </row>
    <row r="51345" spans="32:32" x14ac:dyDescent="0.2">
      <c r="AF51345" s="679"/>
    </row>
    <row r="51346" spans="32:32" x14ac:dyDescent="0.2">
      <c r="AF51346" s="679"/>
    </row>
    <row r="51347" spans="32:32" x14ac:dyDescent="0.2">
      <c r="AF51347" s="679"/>
    </row>
    <row r="51348" spans="32:32" x14ac:dyDescent="0.2">
      <c r="AF51348" s="679"/>
    </row>
    <row r="51349" spans="32:32" x14ac:dyDescent="0.2">
      <c r="AF51349" s="679"/>
    </row>
    <row r="51350" spans="32:32" x14ac:dyDescent="0.2">
      <c r="AF51350" s="679"/>
    </row>
    <row r="51351" spans="32:32" x14ac:dyDescent="0.2">
      <c r="AF51351" s="679"/>
    </row>
    <row r="51352" spans="32:32" x14ac:dyDescent="0.2">
      <c r="AF51352" s="679"/>
    </row>
    <row r="51353" spans="32:32" x14ac:dyDescent="0.2">
      <c r="AF51353" s="679"/>
    </row>
    <row r="51354" spans="32:32" x14ac:dyDescent="0.2">
      <c r="AF51354" s="679"/>
    </row>
    <row r="51355" spans="32:32" x14ac:dyDescent="0.2">
      <c r="AF51355" s="679"/>
    </row>
    <row r="51356" spans="32:32" x14ac:dyDescent="0.2">
      <c r="AF51356" s="679"/>
    </row>
    <row r="51357" spans="32:32" x14ac:dyDescent="0.2">
      <c r="AF51357" s="679"/>
    </row>
    <row r="51358" spans="32:32" x14ac:dyDescent="0.2">
      <c r="AF51358" s="679"/>
    </row>
    <row r="51359" spans="32:32" x14ac:dyDescent="0.2">
      <c r="AF51359" s="679"/>
    </row>
    <row r="51360" spans="32:32" x14ac:dyDescent="0.2">
      <c r="AF51360" s="679"/>
    </row>
    <row r="51361" spans="32:32" x14ac:dyDescent="0.2">
      <c r="AF51361" s="679"/>
    </row>
    <row r="51362" spans="32:32" x14ac:dyDescent="0.2">
      <c r="AF51362" s="679"/>
    </row>
    <row r="51363" spans="32:32" x14ac:dyDescent="0.2">
      <c r="AF51363" s="679"/>
    </row>
    <row r="51364" spans="32:32" x14ac:dyDescent="0.2">
      <c r="AF51364" s="679"/>
    </row>
    <row r="51365" spans="32:32" x14ac:dyDescent="0.2">
      <c r="AF51365" s="679"/>
    </row>
    <row r="51366" spans="32:32" x14ac:dyDescent="0.2">
      <c r="AF51366" s="679"/>
    </row>
    <row r="51367" spans="32:32" x14ac:dyDescent="0.2">
      <c r="AF51367" s="679"/>
    </row>
    <row r="51368" spans="32:32" x14ac:dyDescent="0.2">
      <c r="AF51368" s="679"/>
    </row>
    <row r="51369" spans="32:32" x14ac:dyDescent="0.2">
      <c r="AF51369" s="679"/>
    </row>
    <row r="51370" spans="32:32" x14ac:dyDescent="0.2">
      <c r="AF51370" s="679"/>
    </row>
    <row r="51371" spans="32:32" x14ac:dyDescent="0.2">
      <c r="AF51371" s="679"/>
    </row>
    <row r="51372" spans="32:32" x14ac:dyDescent="0.2">
      <c r="AF51372" s="679"/>
    </row>
    <row r="51373" spans="32:32" x14ac:dyDescent="0.2">
      <c r="AF51373" s="679"/>
    </row>
    <row r="51374" spans="32:32" x14ac:dyDescent="0.2">
      <c r="AF51374" s="679"/>
    </row>
    <row r="51375" spans="32:32" x14ac:dyDescent="0.2">
      <c r="AF51375" s="679"/>
    </row>
    <row r="51376" spans="32:32" x14ac:dyDescent="0.2">
      <c r="AF51376" s="679"/>
    </row>
    <row r="51377" spans="32:32" x14ac:dyDescent="0.2">
      <c r="AF51377" s="679"/>
    </row>
    <row r="51378" spans="32:32" x14ac:dyDescent="0.2">
      <c r="AF51378" s="679"/>
    </row>
    <row r="51379" spans="32:32" x14ac:dyDescent="0.2">
      <c r="AF51379" s="679"/>
    </row>
    <row r="51380" spans="32:32" x14ac:dyDescent="0.2">
      <c r="AF51380" s="679"/>
    </row>
    <row r="51381" spans="32:32" x14ac:dyDescent="0.2">
      <c r="AF51381" s="679"/>
    </row>
    <row r="51382" spans="32:32" x14ac:dyDescent="0.2">
      <c r="AF51382" s="679"/>
    </row>
    <row r="51383" spans="32:32" x14ac:dyDescent="0.2">
      <c r="AF51383" s="679"/>
    </row>
    <row r="51384" spans="32:32" x14ac:dyDescent="0.2">
      <c r="AF51384" s="679"/>
    </row>
    <row r="51385" spans="32:32" x14ac:dyDescent="0.2">
      <c r="AF51385" s="679"/>
    </row>
    <row r="51386" spans="32:32" x14ac:dyDescent="0.2">
      <c r="AF51386" s="679"/>
    </row>
    <row r="51387" spans="32:32" x14ac:dyDescent="0.2">
      <c r="AF51387" s="679"/>
    </row>
    <row r="51388" spans="32:32" x14ac:dyDescent="0.2">
      <c r="AF51388" s="679"/>
    </row>
    <row r="51389" spans="32:32" x14ac:dyDescent="0.2">
      <c r="AF51389" s="679"/>
    </row>
    <row r="51390" spans="32:32" x14ac:dyDescent="0.2">
      <c r="AF51390" s="679"/>
    </row>
    <row r="51391" spans="32:32" x14ac:dyDescent="0.2">
      <c r="AF51391" s="679"/>
    </row>
    <row r="51392" spans="32:32" x14ac:dyDescent="0.2">
      <c r="AF51392" s="679"/>
    </row>
    <row r="51393" spans="32:32" x14ac:dyDescent="0.2">
      <c r="AF51393" s="679"/>
    </row>
    <row r="51394" spans="32:32" x14ac:dyDescent="0.2">
      <c r="AF51394" s="679"/>
    </row>
    <row r="51395" spans="32:32" x14ac:dyDescent="0.2">
      <c r="AF51395" s="679"/>
    </row>
    <row r="51396" spans="32:32" x14ac:dyDescent="0.2">
      <c r="AF51396" s="679"/>
    </row>
    <row r="51397" spans="32:32" x14ac:dyDescent="0.2">
      <c r="AF51397" s="679"/>
    </row>
    <row r="51398" spans="32:32" x14ac:dyDescent="0.2">
      <c r="AF51398" s="679"/>
    </row>
    <row r="51399" spans="32:32" x14ac:dyDescent="0.2">
      <c r="AF51399" s="679"/>
    </row>
    <row r="51400" spans="32:32" x14ac:dyDescent="0.2">
      <c r="AF51400" s="679"/>
    </row>
    <row r="51401" spans="32:32" x14ac:dyDescent="0.2">
      <c r="AF51401" s="679"/>
    </row>
    <row r="51402" spans="32:32" x14ac:dyDescent="0.2">
      <c r="AF51402" s="679"/>
    </row>
    <row r="51403" spans="32:32" x14ac:dyDescent="0.2">
      <c r="AF51403" s="679"/>
    </row>
    <row r="51404" spans="32:32" x14ac:dyDescent="0.2">
      <c r="AF51404" s="679"/>
    </row>
    <row r="51405" spans="32:32" x14ac:dyDescent="0.2">
      <c r="AF51405" s="679"/>
    </row>
    <row r="51406" spans="32:32" x14ac:dyDescent="0.2">
      <c r="AF51406" s="679"/>
    </row>
    <row r="51407" spans="32:32" x14ac:dyDescent="0.2">
      <c r="AF51407" s="679"/>
    </row>
    <row r="51408" spans="32:32" x14ac:dyDescent="0.2">
      <c r="AF51408" s="679"/>
    </row>
    <row r="51409" spans="32:32" x14ac:dyDescent="0.2">
      <c r="AF51409" s="679"/>
    </row>
    <row r="51410" spans="32:32" x14ac:dyDescent="0.2">
      <c r="AF51410" s="679"/>
    </row>
    <row r="51411" spans="32:32" x14ac:dyDescent="0.2">
      <c r="AF51411" s="679"/>
    </row>
    <row r="51412" spans="32:32" x14ac:dyDescent="0.2">
      <c r="AF51412" s="679"/>
    </row>
    <row r="51413" spans="32:32" x14ac:dyDescent="0.2">
      <c r="AF51413" s="679"/>
    </row>
    <row r="51414" spans="32:32" x14ac:dyDescent="0.2">
      <c r="AF51414" s="679"/>
    </row>
    <row r="51415" spans="32:32" x14ac:dyDescent="0.2">
      <c r="AF51415" s="679"/>
    </row>
    <row r="51416" spans="32:32" x14ac:dyDescent="0.2">
      <c r="AF51416" s="679"/>
    </row>
    <row r="51417" spans="32:32" x14ac:dyDescent="0.2">
      <c r="AF51417" s="679"/>
    </row>
    <row r="51418" spans="32:32" x14ac:dyDescent="0.2">
      <c r="AF51418" s="679"/>
    </row>
    <row r="51419" spans="32:32" x14ac:dyDescent="0.2">
      <c r="AF51419" s="679"/>
    </row>
    <row r="51420" spans="32:32" x14ac:dyDescent="0.2">
      <c r="AF51420" s="679"/>
    </row>
    <row r="51421" spans="32:32" x14ac:dyDescent="0.2">
      <c r="AF51421" s="679"/>
    </row>
    <row r="51422" spans="32:32" x14ac:dyDescent="0.2">
      <c r="AF51422" s="679"/>
    </row>
    <row r="51423" spans="32:32" x14ac:dyDescent="0.2">
      <c r="AF51423" s="679"/>
    </row>
    <row r="51424" spans="32:32" x14ac:dyDescent="0.2">
      <c r="AF51424" s="679"/>
    </row>
    <row r="51425" spans="32:32" x14ac:dyDescent="0.2">
      <c r="AF51425" s="679"/>
    </row>
    <row r="51426" spans="32:32" x14ac:dyDescent="0.2">
      <c r="AF51426" s="679"/>
    </row>
    <row r="51427" spans="32:32" x14ac:dyDescent="0.2">
      <c r="AF51427" s="679"/>
    </row>
    <row r="51428" spans="32:32" x14ac:dyDescent="0.2">
      <c r="AF51428" s="679"/>
    </row>
    <row r="51429" spans="32:32" x14ac:dyDescent="0.2">
      <c r="AF51429" s="679"/>
    </row>
    <row r="51430" spans="32:32" x14ac:dyDescent="0.2">
      <c r="AF51430" s="679"/>
    </row>
    <row r="51431" spans="32:32" x14ac:dyDescent="0.2">
      <c r="AF51431" s="679"/>
    </row>
    <row r="51432" spans="32:32" x14ac:dyDescent="0.2">
      <c r="AF51432" s="679"/>
    </row>
    <row r="51433" spans="32:32" x14ac:dyDescent="0.2">
      <c r="AF51433" s="679"/>
    </row>
    <row r="51434" spans="32:32" x14ac:dyDescent="0.2">
      <c r="AF51434" s="679"/>
    </row>
    <row r="51435" spans="32:32" x14ac:dyDescent="0.2">
      <c r="AF51435" s="679"/>
    </row>
    <row r="51436" spans="32:32" x14ac:dyDescent="0.2">
      <c r="AF51436" s="679"/>
    </row>
    <row r="51437" spans="32:32" x14ac:dyDescent="0.2">
      <c r="AF51437" s="679"/>
    </row>
    <row r="51438" spans="32:32" x14ac:dyDescent="0.2">
      <c r="AF51438" s="679"/>
    </row>
    <row r="51439" spans="32:32" x14ac:dyDescent="0.2">
      <c r="AF51439" s="679"/>
    </row>
    <row r="51440" spans="32:32" x14ac:dyDescent="0.2">
      <c r="AF51440" s="679"/>
    </row>
    <row r="51441" spans="32:32" x14ac:dyDescent="0.2">
      <c r="AF51441" s="679"/>
    </row>
    <row r="51442" spans="32:32" x14ac:dyDescent="0.2">
      <c r="AF51442" s="679"/>
    </row>
    <row r="51443" spans="32:32" x14ac:dyDescent="0.2">
      <c r="AF51443" s="679"/>
    </row>
    <row r="51444" spans="32:32" x14ac:dyDescent="0.2">
      <c r="AF51444" s="679"/>
    </row>
    <row r="51445" spans="32:32" x14ac:dyDescent="0.2">
      <c r="AF51445" s="679"/>
    </row>
    <row r="51446" spans="32:32" x14ac:dyDescent="0.2">
      <c r="AF51446" s="679"/>
    </row>
    <row r="51447" spans="32:32" x14ac:dyDescent="0.2">
      <c r="AF51447" s="679"/>
    </row>
    <row r="51448" spans="32:32" x14ac:dyDescent="0.2">
      <c r="AF51448" s="679"/>
    </row>
    <row r="51449" spans="32:32" x14ac:dyDescent="0.2">
      <c r="AF51449" s="679"/>
    </row>
    <row r="51450" spans="32:32" x14ac:dyDescent="0.2">
      <c r="AF51450" s="679"/>
    </row>
    <row r="51451" spans="32:32" x14ac:dyDescent="0.2">
      <c r="AF51451" s="679"/>
    </row>
    <row r="51452" spans="32:32" x14ac:dyDescent="0.2">
      <c r="AF51452" s="679"/>
    </row>
    <row r="51453" spans="32:32" x14ac:dyDescent="0.2">
      <c r="AF51453" s="679"/>
    </row>
    <row r="51454" spans="32:32" x14ac:dyDescent="0.2">
      <c r="AF51454" s="679"/>
    </row>
    <row r="51455" spans="32:32" x14ac:dyDescent="0.2">
      <c r="AF51455" s="679"/>
    </row>
    <row r="51456" spans="32:32" x14ac:dyDescent="0.2">
      <c r="AF51456" s="679"/>
    </row>
    <row r="51457" spans="32:32" x14ac:dyDescent="0.2">
      <c r="AF51457" s="679"/>
    </row>
    <row r="51458" spans="32:32" x14ac:dyDescent="0.2">
      <c r="AF51458" s="679"/>
    </row>
    <row r="51459" spans="32:32" x14ac:dyDescent="0.2">
      <c r="AF51459" s="679"/>
    </row>
    <row r="51460" spans="32:32" x14ac:dyDescent="0.2">
      <c r="AF51460" s="679"/>
    </row>
    <row r="51461" spans="32:32" x14ac:dyDescent="0.2">
      <c r="AF51461" s="679"/>
    </row>
    <row r="51462" spans="32:32" x14ac:dyDescent="0.2">
      <c r="AF51462" s="679"/>
    </row>
    <row r="51463" spans="32:32" x14ac:dyDescent="0.2">
      <c r="AF51463" s="679"/>
    </row>
    <row r="51464" spans="32:32" x14ac:dyDescent="0.2">
      <c r="AF51464" s="679"/>
    </row>
    <row r="51465" spans="32:32" x14ac:dyDescent="0.2">
      <c r="AF51465" s="679"/>
    </row>
    <row r="51466" spans="32:32" x14ac:dyDescent="0.2">
      <c r="AF51466" s="679"/>
    </row>
    <row r="51467" spans="32:32" x14ac:dyDescent="0.2">
      <c r="AF51467" s="679"/>
    </row>
    <row r="51468" spans="32:32" x14ac:dyDescent="0.2">
      <c r="AF51468" s="679"/>
    </row>
    <row r="51469" spans="32:32" x14ac:dyDescent="0.2">
      <c r="AF51469" s="679"/>
    </row>
    <row r="51470" spans="32:32" x14ac:dyDescent="0.2">
      <c r="AF51470" s="679"/>
    </row>
    <row r="51471" spans="32:32" x14ac:dyDescent="0.2">
      <c r="AF51471" s="679"/>
    </row>
    <row r="51472" spans="32:32" x14ac:dyDescent="0.2">
      <c r="AF51472" s="679"/>
    </row>
    <row r="51473" spans="32:32" x14ac:dyDescent="0.2">
      <c r="AF51473" s="679"/>
    </row>
    <row r="51474" spans="32:32" x14ac:dyDescent="0.2">
      <c r="AF51474" s="679"/>
    </row>
    <row r="51475" spans="32:32" x14ac:dyDescent="0.2">
      <c r="AF51475" s="679"/>
    </row>
    <row r="51476" spans="32:32" x14ac:dyDescent="0.2">
      <c r="AF51476" s="679"/>
    </row>
    <row r="51477" spans="32:32" x14ac:dyDescent="0.2">
      <c r="AF51477" s="679"/>
    </row>
    <row r="51478" spans="32:32" x14ac:dyDescent="0.2">
      <c r="AF51478" s="679"/>
    </row>
    <row r="51479" spans="32:32" x14ac:dyDescent="0.2">
      <c r="AF51479" s="679"/>
    </row>
    <row r="51480" spans="32:32" x14ac:dyDescent="0.2">
      <c r="AF51480" s="679"/>
    </row>
    <row r="51481" spans="32:32" x14ac:dyDescent="0.2">
      <c r="AF51481" s="679"/>
    </row>
    <row r="51482" spans="32:32" x14ac:dyDescent="0.2">
      <c r="AF51482" s="679"/>
    </row>
    <row r="51483" spans="32:32" x14ac:dyDescent="0.2">
      <c r="AF51483" s="679"/>
    </row>
    <row r="51484" spans="32:32" x14ac:dyDescent="0.2">
      <c r="AF51484" s="679"/>
    </row>
    <row r="51485" spans="32:32" x14ac:dyDescent="0.2">
      <c r="AF51485" s="679"/>
    </row>
    <row r="51486" spans="32:32" x14ac:dyDescent="0.2">
      <c r="AF51486" s="679"/>
    </row>
    <row r="51487" spans="32:32" x14ac:dyDescent="0.2">
      <c r="AF51487" s="679"/>
    </row>
    <row r="51488" spans="32:32" x14ac:dyDescent="0.2">
      <c r="AF51488" s="679"/>
    </row>
    <row r="51489" spans="32:32" x14ac:dyDescent="0.2">
      <c r="AF51489" s="679"/>
    </row>
    <row r="51490" spans="32:32" x14ac:dyDescent="0.2">
      <c r="AF51490" s="679"/>
    </row>
    <row r="51491" spans="32:32" x14ac:dyDescent="0.2">
      <c r="AF51491" s="679"/>
    </row>
    <row r="51492" spans="32:32" x14ac:dyDescent="0.2">
      <c r="AF51492" s="679"/>
    </row>
    <row r="51493" spans="32:32" x14ac:dyDescent="0.2">
      <c r="AF51493" s="679"/>
    </row>
    <row r="51494" spans="32:32" x14ac:dyDescent="0.2">
      <c r="AF51494" s="679"/>
    </row>
    <row r="51495" spans="32:32" x14ac:dyDescent="0.2">
      <c r="AF51495" s="679"/>
    </row>
    <row r="51496" spans="32:32" x14ac:dyDescent="0.2">
      <c r="AF51496" s="679"/>
    </row>
    <row r="51497" spans="32:32" x14ac:dyDescent="0.2">
      <c r="AF51497" s="679"/>
    </row>
    <row r="51498" spans="32:32" x14ac:dyDescent="0.2">
      <c r="AF51498" s="679"/>
    </row>
    <row r="51499" spans="32:32" x14ac:dyDescent="0.2">
      <c r="AF51499" s="679"/>
    </row>
    <row r="51500" spans="32:32" x14ac:dyDescent="0.2">
      <c r="AF51500" s="679"/>
    </row>
    <row r="51501" spans="32:32" x14ac:dyDescent="0.2">
      <c r="AF51501" s="679"/>
    </row>
    <row r="51502" spans="32:32" x14ac:dyDescent="0.2">
      <c r="AF51502" s="679"/>
    </row>
    <row r="51503" spans="32:32" x14ac:dyDescent="0.2">
      <c r="AF51503" s="679"/>
    </row>
    <row r="51504" spans="32:32" x14ac:dyDescent="0.2">
      <c r="AF51504" s="679"/>
    </row>
    <row r="51505" spans="32:32" x14ac:dyDescent="0.2">
      <c r="AF51505" s="679"/>
    </row>
    <row r="51506" spans="32:32" x14ac:dyDescent="0.2">
      <c r="AF51506" s="679"/>
    </row>
    <row r="51507" spans="32:32" x14ac:dyDescent="0.2">
      <c r="AF51507" s="679"/>
    </row>
    <row r="51508" spans="32:32" x14ac:dyDescent="0.2">
      <c r="AF51508" s="679"/>
    </row>
    <row r="51509" spans="32:32" x14ac:dyDescent="0.2">
      <c r="AF51509" s="679"/>
    </row>
    <row r="51510" spans="32:32" x14ac:dyDescent="0.2">
      <c r="AF51510" s="679"/>
    </row>
    <row r="51511" spans="32:32" x14ac:dyDescent="0.2">
      <c r="AF51511" s="679"/>
    </row>
    <row r="51512" spans="32:32" x14ac:dyDescent="0.2">
      <c r="AF51512" s="679"/>
    </row>
    <row r="51513" spans="32:32" x14ac:dyDescent="0.2">
      <c r="AF51513" s="679"/>
    </row>
    <row r="51514" spans="32:32" x14ac:dyDescent="0.2">
      <c r="AF51514" s="679"/>
    </row>
    <row r="51515" spans="32:32" x14ac:dyDescent="0.2">
      <c r="AF51515" s="679"/>
    </row>
    <row r="51516" spans="32:32" x14ac:dyDescent="0.2">
      <c r="AF51516" s="679"/>
    </row>
    <row r="51517" spans="32:32" x14ac:dyDescent="0.2">
      <c r="AF51517" s="679"/>
    </row>
    <row r="51518" spans="32:32" x14ac:dyDescent="0.2">
      <c r="AF51518" s="679"/>
    </row>
    <row r="51519" spans="32:32" x14ac:dyDescent="0.2">
      <c r="AF51519" s="679"/>
    </row>
    <row r="51520" spans="32:32" x14ac:dyDescent="0.2">
      <c r="AF51520" s="679"/>
    </row>
    <row r="51521" spans="32:32" x14ac:dyDescent="0.2">
      <c r="AF51521" s="679"/>
    </row>
    <row r="51522" spans="32:32" x14ac:dyDescent="0.2">
      <c r="AF51522" s="679"/>
    </row>
    <row r="51523" spans="32:32" x14ac:dyDescent="0.2">
      <c r="AF51523" s="679"/>
    </row>
    <row r="51524" spans="32:32" x14ac:dyDescent="0.2">
      <c r="AF51524" s="679"/>
    </row>
    <row r="51525" spans="32:32" x14ac:dyDescent="0.2">
      <c r="AF51525" s="679"/>
    </row>
    <row r="51526" spans="32:32" x14ac:dyDescent="0.2">
      <c r="AF51526" s="679"/>
    </row>
    <row r="51527" spans="32:32" x14ac:dyDescent="0.2">
      <c r="AF51527" s="679"/>
    </row>
    <row r="51528" spans="32:32" x14ac:dyDescent="0.2">
      <c r="AF51528" s="679"/>
    </row>
    <row r="51529" spans="32:32" x14ac:dyDescent="0.2">
      <c r="AF51529" s="679"/>
    </row>
    <row r="51530" spans="32:32" x14ac:dyDescent="0.2">
      <c r="AF51530" s="679"/>
    </row>
    <row r="51531" spans="32:32" x14ac:dyDescent="0.2">
      <c r="AF51531" s="679"/>
    </row>
    <row r="51532" spans="32:32" x14ac:dyDescent="0.2">
      <c r="AF51532" s="679"/>
    </row>
    <row r="51533" spans="32:32" x14ac:dyDescent="0.2">
      <c r="AF51533" s="679"/>
    </row>
    <row r="51534" spans="32:32" x14ac:dyDescent="0.2">
      <c r="AF51534" s="679"/>
    </row>
    <row r="51535" spans="32:32" x14ac:dyDescent="0.2">
      <c r="AF51535" s="679"/>
    </row>
    <row r="51536" spans="32:32" x14ac:dyDescent="0.2">
      <c r="AF51536" s="679"/>
    </row>
    <row r="51537" spans="32:32" x14ac:dyDescent="0.2">
      <c r="AF51537" s="679"/>
    </row>
    <row r="51538" spans="32:32" x14ac:dyDescent="0.2">
      <c r="AF51538" s="679"/>
    </row>
    <row r="51539" spans="32:32" x14ac:dyDescent="0.2">
      <c r="AF51539" s="679"/>
    </row>
    <row r="51540" spans="32:32" x14ac:dyDescent="0.2">
      <c r="AF51540" s="679"/>
    </row>
    <row r="51541" spans="32:32" x14ac:dyDescent="0.2">
      <c r="AF51541" s="679"/>
    </row>
    <row r="51542" spans="32:32" x14ac:dyDescent="0.2">
      <c r="AF51542" s="679"/>
    </row>
    <row r="51543" spans="32:32" x14ac:dyDescent="0.2">
      <c r="AF51543" s="679"/>
    </row>
    <row r="51544" spans="32:32" x14ac:dyDescent="0.2">
      <c r="AF51544" s="679"/>
    </row>
    <row r="51545" spans="32:32" x14ac:dyDescent="0.2">
      <c r="AF51545" s="679"/>
    </row>
    <row r="51546" spans="32:32" x14ac:dyDescent="0.2">
      <c r="AF51546" s="679"/>
    </row>
    <row r="51547" spans="32:32" x14ac:dyDescent="0.2">
      <c r="AF51547" s="679"/>
    </row>
    <row r="51548" spans="32:32" x14ac:dyDescent="0.2">
      <c r="AF51548" s="679"/>
    </row>
    <row r="51549" spans="32:32" x14ac:dyDescent="0.2">
      <c r="AF51549" s="679"/>
    </row>
    <row r="51550" spans="32:32" x14ac:dyDescent="0.2">
      <c r="AF51550" s="679"/>
    </row>
    <row r="51551" spans="32:32" x14ac:dyDescent="0.2">
      <c r="AF51551" s="679"/>
    </row>
    <row r="51552" spans="32:32" x14ac:dyDescent="0.2">
      <c r="AF51552" s="679"/>
    </row>
    <row r="51553" spans="32:32" x14ac:dyDescent="0.2">
      <c r="AF51553" s="679"/>
    </row>
    <row r="51554" spans="32:32" x14ac:dyDescent="0.2">
      <c r="AF51554" s="679"/>
    </row>
    <row r="51555" spans="32:32" x14ac:dyDescent="0.2">
      <c r="AF51555" s="679"/>
    </row>
    <row r="51556" spans="32:32" x14ac:dyDescent="0.2">
      <c r="AF51556" s="679"/>
    </row>
    <row r="51557" spans="32:32" x14ac:dyDescent="0.2">
      <c r="AF51557" s="679"/>
    </row>
    <row r="51558" spans="32:32" x14ac:dyDescent="0.2">
      <c r="AF51558" s="679"/>
    </row>
    <row r="51559" spans="32:32" x14ac:dyDescent="0.2">
      <c r="AF51559" s="679"/>
    </row>
    <row r="51560" spans="32:32" x14ac:dyDescent="0.2">
      <c r="AF51560" s="679"/>
    </row>
    <row r="51561" spans="32:32" x14ac:dyDescent="0.2">
      <c r="AF51561" s="679"/>
    </row>
    <row r="51562" spans="32:32" x14ac:dyDescent="0.2">
      <c r="AF51562" s="679"/>
    </row>
    <row r="51563" spans="32:32" x14ac:dyDescent="0.2">
      <c r="AF51563" s="679"/>
    </row>
    <row r="51564" spans="32:32" x14ac:dyDescent="0.2">
      <c r="AF51564" s="679"/>
    </row>
    <row r="51565" spans="32:32" x14ac:dyDescent="0.2">
      <c r="AF51565" s="679"/>
    </row>
    <row r="51566" spans="32:32" x14ac:dyDescent="0.2">
      <c r="AF51566" s="679"/>
    </row>
    <row r="51567" spans="32:32" x14ac:dyDescent="0.2">
      <c r="AF51567" s="679"/>
    </row>
    <row r="51568" spans="32:32" x14ac:dyDescent="0.2">
      <c r="AF51568" s="679"/>
    </row>
    <row r="51569" spans="32:32" x14ac:dyDescent="0.2">
      <c r="AF51569" s="679"/>
    </row>
    <row r="51570" spans="32:32" x14ac:dyDescent="0.2">
      <c r="AF51570" s="679"/>
    </row>
    <row r="51571" spans="32:32" x14ac:dyDescent="0.2">
      <c r="AF51571" s="679"/>
    </row>
    <row r="51572" spans="32:32" x14ac:dyDescent="0.2">
      <c r="AF51572" s="679"/>
    </row>
    <row r="51573" spans="32:32" x14ac:dyDescent="0.2">
      <c r="AF51573" s="679"/>
    </row>
    <row r="51574" spans="32:32" x14ac:dyDescent="0.2">
      <c r="AF51574" s="679"/>
    </row>
    <row r="51575" spans="32:32" x14ac:dyDescent="0.2">
      <c r="AF51575" s="679"/>
    </row>
    <row r="51576" spans="32:32" x14ac:dyDescent="0.2">
      <c r="AF51576" s="679"/>
    </row>
    <row r="51577" spans="32:32" x14ac:dyDescent="0.2">
      <c r="AF51577" s="679"/>
    </row>
    <row r="51578" spans="32:32" x14ac:dyDescent="0.2">
      <c r="AF51578" s="679"/>
    </row>
    <row r="51579" spans="32:32" x14ac:dyDescent="0.2">
      <c r="AF51579" s="679"/>
    </row>
    <row r="51580" spans="32:32" x14ac:dyDescent="0.2">
      <c r="AF51580" s="679"/>
    </row>
    <row r="51581" spans="32:32" x14ac:dyDescent="0.2">
      <c r="AF51581" s="679"/>
    </row>
    <row r="51582" spans="32:32" x14ac:dyDescent="0.2">
      <c r="AF51582" s="679"/>
    </row>
    <row r="51583" spans="32:32" x14ac:dyDescent="0.2">
      <c r="AF51583" s="679"/>
    </row>
    <row r="51584" spans="32:32" x14ac:dyDescent="0.2">
      <c r="AF51584" s="679"/>
    </row>
    <row r="51585" spans="32:32" x14ac:dyDescent="0.2">
      <c r="AF51585" s="679"/>
    </row>
    <row r="51586" spans="32:32" x14ac:dyDescent="0.2">
      <c r="AF51586" s="679"/>
    </row>
    <row r="51587" spans="32:32" x14ac:dyDescent="0.2">
      <c r="AF51587" s="679"/>
    </row>
    <row r="51588" spans="32:32" x14ac:dyDescent="0.2">
      <c r="AF51588" s="679"/>
    </row>
    <row r="51589" spans="32:32" x14ac:dyDescent="0.2">
      <c r="AF51589" s="679"/>
    </row>
    <row r="51590" spans="32:32" x14ac:dyDescent="0.2">
      <c r="AF51590" s="679"/>
    </row>
    <row r="51591" spans="32:32" x14ac:dyDescent="0.2">
      <c r="AF51591" s="679"/>
    </row>
    <row r="51592" spans="32:32" x14ac:dyDescent="0.2">
      <c r="AF51592" s="679"/>
    </row>
    <row r="51593" spans="32:32" x14ac:dyDescent="0.2">
      <c r="AF51593" s="679"/>
    </row>
    <row r="51594" spans="32:32" x14ac:dyDescent="0.2">
      <c r="AF51594" s="679"/>
    </row>
    <row r="51595" spans="32:32" x14ac:dyDescent="0.2">
      <c r="AF51595" s="679"/>
    </row>
    <row r="51596" spans="32:32" x14ac:dyDescent="0.2">
      <c r="AF51596" s="679"/>
    </row>
    <row r="51597" spans="32:32" x14ac:dyDescent="0.2">
      <c r="AF51597" s="679"/>
    </row>
    <row r="51598" spans="32:32" x14ac:dyDescent="0.2">
      <c r="AF51598" s="679"/>
    </row>
    <row r="51599" spans="32:32" x14ac:dyDescent="0.2">
      <c r="AF51599" s="679"/>
    </row>
    <row r="51600" spans="32:32" x14ac:dyDescent="0.2">
      <c r="AF51600" s="679"/>
    </row>
    <row r="51601" spans="32:32" x14ac:dyDescent="0.2">
      <c r="AF51601" s="679"/>
    </row>
    <row r="51602" spans="32:32" x14ac:dyDescent="0.2">
      <c r="AF51602" s="679"/>
    </row>
    <row r="51603" spans="32:32" x14ac:dyDescent="0.2">
      <c r="AF51603" s="679"/>
    </row>
    <row r="51604" spans="32:32" x14ac:dyDescent="0.2">
      <c r="AF51604" s="679"/>
    </row>
    <row r="51605" spans="32:32" x14ac:dyDescent="0.2">
      <c r="AF51605" s="679"/>
    </row>
    <row r="51606" spans="32:32" x14ac:dyDescent="0.2">
      <c r="AF51606" s="679"/>
    </row>
    <row r="51607" spans="32:32" x14ac:dyDescent="0.2">
      <c r="AF51607" s="679"/>
    </row>
    <row r="51608" spans="32:32" x14ac:dyDescent="0.2">
      <c r="AF51608" s="679"/>
    </row>
    <row r="51609" spans="32:32" x14ac:dyDescent="0.2">
      <c r="AF51609" s="679"/>
    </row>
    <row r="51610" spans="32:32" x14ac:dyDescent="0.2">
      <c r="AF51610" s="679"/>
    </row>
    <row r="51611" spans="32:32" x14ac:dyDescent="0.2">
      <c r="AF51611" s="679"/>
    </row>
    <row r="51612" spans="32:32" x14ac:dyDescent="0.2">
      <c r="AF51612" s="679"/>
    </row>
    <row r="51613" spans="32:32" x14ac:dyDescent="0.2">
      <c r="AF51613" s="679"/>
    </row>
    <row r="51614" spans="32:32" x14ac:dyDescent="0.2">
      <c r="AF51614" s="679"/>
    </row>
    <row r="51615" spans="32:32" x14ac:dyDescent="0.2">
      <c r="AF51615" s="679"/>
    </row>
    <row r="51616" spans="32:32" x14ac:dyDescent="0.2">
      <c r="AF51616" s="679"/>
    </row>
    <row r="51617" spans="32:32" x14ac:dyDescent="0.2">
      <c r="AF51617" s="679"/>
    </row>
    <row r="51618" spans="32:32" x14ac:dyDescent="0.2">
      <c r="AF51618" s="679"/>
    </row>
    <row r="51619" spans="32:32" x14ac:dyDescent="0.2">
      <c r="AF51619" s="679"/>
    </row>
    <row r="51620" spans="32:32" x14ac:dyDescent="0.2">
      <c r="AF51620" s="679"/>
    </row>
    <row r="51621" spans="32:32" x14ac:dyDescent="0.2">
      <c r="AF51621" s="679"/>
    </row>
    <row r="51622" spans="32:32" x14ac:dyDescent="0.2">
      <c r="AF51622" s="679"/>
    </row>
    <row r="51623" spans="32:32" x14ac:dyDescent="0.2">
      <c r="AF51623" s="679"/>
    </row>
    <row r="51624" spans="32:32" x14ac:dyDescent="0.2">
      <c r="AF51624" s="679"/>
    </row>
    <row r="51625" spans="32:32" x14ac:dyDescent="0.2">
      <c r="AF51625" s="679"/>
    </row>
    <row r="51626" spans="32:32" x14ac:dyDescent="0.2">
      <c r="AF51626" s="679"/>
    </row>
    <row r="51627" spans="32:32" x14ac:dyDescent="0.2">
      <c r="AF51627" s="679"/>
    </row>
    <row r="51628" spans="32:32" x14ac:dyDescent="0.2">
      <c r="AF51628" s="679"/>
    </row>
    <row r="51629" spans="32:32" x14ac:dyDescent="0.2">
      <c r="AF51629" s="679"/>
    </row>
    <row r="51630" spans="32:32" x14ac:dyDescent="0.2">
      <c r="AF51630" s="679"/>
    </row>
    <row r="51631" spans="32:32" x14ac:dyDescent="0.2">
      <c r="AF51631" s="679"/>
    </row>
    <row r="51632" spans="32:32" x14ac:dyDescent="0.2">
      <c r="AF51632" s="679"/>
    </row>
    <row r="51633" spans="32:32" x14ac:dyDescent="0.2">
      <c r="AF51633" s="679"/>
    </row>
    <row r="51634" spans="32:32" x14ac:dyDescent="0.2">
      <c r="AF51634" s="679"/>
    </row>
    <row r="51635" spans="32:32" x14ac:dyDescent="0.2">
      <c r="AF51635" s="679"/>
    </row>
    <row r="51636" spans="32:32" x14ac:dyDescent="0.2">
      <c r="AF51636" s="679"/>
    </row>
    <row r="51637" spans="32:32" x14ac:dyDescent="0.2">
      <c r="AF51637" s="679"/>
    </row>
    <row r="51638" spans="32:32" x14ac:dyDescent="0.2">
      <c r="AF51638" s="679"/>
    </row>
    <row r="51639" spans="32:32" x14ac:dyDescent="0.2">
      <c r="AF51639" s="679"/>
    </row>
    <row r="51640" spans="32:32" x14ac:dyDescent="0.2">
      <c r="AF51640" s="679"/>
    </row>
    <row r="51641" spans="32:32" x14ac:dyDescent="0.2">
      <c r="AF51641" s="679"/>
    </row>
    <row r="51642" spans="32:32" x14ac:dyDescent="0.2">
      <c r="AF51642" s="679"/>
    </row>
    <row r="51643" spans="32:32" x14ac:dyDescent="0.2">
      <c r="AF51643" s="679"/>
    </row>
    <row r="51644" spans="32:32" x14ac:dyDescent="0.2">
      <c r="AF51644" s="679"/>
    </row>
    <row r="51645" spans="32:32" x14ac:dyDescent="0.2">
      <c r="AF51645" s="679"/>
    </row>
    <row r="51646" spans="32:32" x14ac:dyDescent="0.2">
      <c r="AF51646" s="679"/>
    </row>
    <row r="51647" spans="32:32" x14ac:dyDescent="0.2">
      <c r="AF51647" s="679"/>
    </row>
    <row r="51648" spans="32:32" x14ac:dyDescent="0.2">
      <c r="AF51648" s="679"/>
    </row>
    <row r="51649" spans="32:32" x14ac:dyDescent="0.2">
      <c r="AF51649" s="679"/>
    </row>
    <row r="51650" spans="32:32" x14ac:dyDescent="0.2">
      <c r="AF51650" s="679"/>
    </row>
    <row r="51651" spans="32:32" x14ac:dyDescent="0.2">
      <c r="AF51651" s="679"/>
    </row>
    <row r="51652" spans="32:32" x14ac:dyDescent="0.2">
      <c r="AF51652" s="679"/>
    </row>
    <row r="51653" spans="32:32" x14ac:dyDescent="0.2">
      <c r="AF51653" s="679"/>
    </row>
    <row r="51654" spans="32:32" x14ac:dyDescent="0.2">
      <c r="AF51654" s="679"/>
    </row>
    <row r="51655" spans="32:32" x14ac:dyDescent="0.2">
      <c r="AF51655" s="679"/>
    </row>
    <row r="51656" spans="32:32" x14ac:dyDescent="0.2">
      <c r="AF51656" s="679"/>
    </row>
    <row r="51657" spans="32:32" x14ac:dyDescent="0.2">
      <c r="AF51657" s="679"/>
    </row>
    <row r="51658" spans="32:32" x14ac:dyDescent="0.2">
      <c r="AF51658" s="679"/>
    </row>
    <row r="51659" spans="32:32" x14ac:dyDescent="0.2">
      <c r="AF51659" s="679"/>
    </row>
    <row r="51660" spans="32:32" x14ac:dyDescent="0.2">
      <c r="AF51660" s="679"/>
    </row>
    <row r="51661" spans="32:32" x14ac:dyDescent="0.2">
      <c r="AF51661" s="679"/>
    </row>
    <row r="51662" spans="32:32" x14ac:dyDescent="0.2">
      <c r="AF51662" s="679"/>
    </row>
    <row r="51663" spans="32:32" x14ac:dyDescent="0.2">
      <c r="AF51663" s="679"/>
    </row>
    <row r="51664" spans="32:32" x14ac:dyDescent="0.2">
      <c r="AF51664" s="679"/>
    </row>
    <row r="51665" spans="32:32" x14ac:dyDescent="0.2">
      <c r="AF51665" s="679"/>
    </row>
    <row r="51666" spans="32:32" x14ac:dyDescent="0.2">
      <c r="AF51666" s="679"/>
    </row>
    <row r="51667" spans="32:32" x14ac:dyDescent="0.2">
      <c r="AF51667" s="679"/>
    </row>
    <row r="51668" spans="32:32" x14ac:dyDescent="0.2">
      <c r="AF51668" s="679"/>
    </row>
    <row r="51669" spans="32:32" x14ac:dyDescent="0.2">
      <c r="AF51669" s="679"/>
    </row>
    <row r="51670" spans="32:32" x14ac:dyDescent="0.2">
      <c r="AF51670" s="679"/>
    </row>
    <row r="51671" spans="32:32" x14ac:dyDescent="0.2">
      <c r="AF51671" s="679"/>
    </row>
    <row r="51672" spans="32:32" x14ac:dyDescent="0.2">
      <c r="AF51672" s="679"/>
    </row>
    <row r="51673" spans="32:32" x14ac:dyDescent="0.2">
      <c r="AF51673" s="679"/>
    </row>
    <row r="51674" spans="32:32" x14ac:dyDescent="0.2">
      <c r="AF51674" s="679"/>
    </row>
    <row r="51675" spans="32:32" x14ac:dyDescent="0.2">
      <c r="AF51675" s="679"/>
    </row>
    <row r="51676" spans="32:32" x14ac:dyDescent="0.2">
      <c r="AF51676" s="679"/>
    </row>
    <row r="51677" spans="32:32" x14ac:dyDescent="0.2">
      <c r="AF51677" s="679"/>
    </row>
    <row r="51678" spans="32:32" x14ac:dyDescent="0.2">
      <c r="AF51678" s="679"/>
    </row>
    <row r="51679" spans="32:32" x14ac:dyDescent="0.2">
      <c r="AF51679" s="679"/>
    </row>
    <row r="51680" spans="32:32" x14ac:dyDescent="0.2">
      <c r="AF51680" s="679"/>
    </row>
    <row r="51681" spans="32:32" x14ac:dyDescent="0.2">
      <c r="AF51681" s="679"/>
    </row>
    <row r="51682" spans="32:32" x14ac:dyDescent="0.2">
      <c r="AF51682" s="679"/>
    </row>
    <row r="51683" spans="32:32" x14ac:dyDescent="0.2">
      <c r="AF51683" s="679"/>
    </row>
    <row r="51684" spans="32:32" x14ac:dyDescent="0.2">
      <c r="AF51684" s="679"/>
    </row>
    <row r="51685" spans="32:32" x14ac:dyDescent="0.2">
      <c r="AF51685" s="679"/>
    </row>
    <row r="51686" spans="32:32" x14ac:dyDescent="0.2">
      <c r="AF51686" s="679"/>
    </row>
    <row r="51687" spans="32:32" x14ac:dyDescent="0.2">
      <c r="AF51687" s="679"/>
    </row>
    <row r="51688" spans="32:32" x14ac:dyDescent="0.2">
      <c r="AF51688" s="679"/>
    </row>
    <row r="51689" spans="32:32" x14ac:dyDescent="0.2">
      <c r="AF51689" s="679"/>
    </row>
    <row r="51690" spans="32:32" x14ac:dyDescent="0.2">
      <c r="AF51690" s="679"/>
    </row>
    <row r="51691" spans="32:32" x14ac:dyDescent="0.2">
      <c r="AF51691" s="679"/>
    </row>
    <row r="51692" spans="32:32" x14ac:dyDescent="0.2">
      <c r="AF51692" s="679"/>
    </row>
    <row r="51693" spans="32:32" x14ac:dyDescent="0.2">
      <c r="AF51693" s="679"/>
    </row>
    <row r="51694" spans="32:32" x14ac:dyDescent="0.2">
      <c r="AF51694" s="679"/>
    </row>
    <row r="51695" spans="32:32" x14ac:dyDescent="0.2">
      <c r="AF51695" s="679"/>
    </row>
    <row r="51696" spans="32:32" x14ac:dyDescent="0.2">
      <c r="AF51696" s="679"/>
    </row>
    <row r="51697" spans="32:32" x14ac:dyDescent="0.2">
      <c r="AF51697" s="679"/>
    </row>
    <row r="51698" spans="32:32" x14ac:dyDescent="0.2">
      <c r="AF51698" s="679"/>
    </row>
    <row r="51699" spans="32:32" x14ac:dyDescent="0.2">
      <c r="AF51699" s="679"/>
    </row>
    <row r="51700" spans="32:32" x14ac:dyDescent="0.2">
      <c r="AF51700" s="679"/>
    </row>
    <row r="51701" spans="32:32" x14ac:dyDescent="0.2">
      <c r="AF51701" s="679"/>
    </row>
    <row r="51702" spans="32:32" x14ac:dyDescent="0.2">
      <c r="AF51702" s="679"/>
    </row>
    <row r="51703" spans="32:32" x14ac:dyDescent="0.2">
      <c r="AF51703" s="679"/>
    </row>
    <row r="51704" spans="32:32" x14ac:dyDescent="0.2">
      <c r="AF51704" s="679"/>
    </row>
    <row r="51705" spans="32:32" x14ac:dyDescent="0.2">
      <c r="AF51705" s="679"/>
    </row>
    <row r="51706" spans="32:32" x14ac:dyDescent="0.2">
      <c r="AF51706" s="679"/>
    </row>
    <row r="51707" spans="32:32" x14ac:dyDescent="0.2">
      <c r="AF51707" s="679"/>
    </row>
    <row r="51708" spans="32:32" x14ac:dyDescent="0.2">
      <c r="AF51708" s="679"/>
    </row>
    <row r="51709" spans="32:32" x14ac:dyDescent="0.2">
      <c r="AF51709" s="679"/>
    </row>
    <row r="51710" spans="32:32" x14ac:dyDescent="0.2">
      <c r="AF51710" s="679"/>
    </row>
    <row r="51711" spans="32:32" x14ac:dyDescent="0.2">
      <c r="AF51711" s="679"/>
    </row>
    <row r="51712" spans="32:32" x14ac:dyDescent="0.2">
      <c r="AF51712" s="679"/>
    </row>
    <row r="51713" spans="32:32" x14ac:dyDescent="0.2">
      <c r="AF51713" s="679"/>
    </row>
    <row r="51714" spans="32:32" x14ac:dyDescent="0.2">
      <c r="AF51714" s="679"/>
    </row>
    <row r="51715" spans="32:32" x14ac:dyDescent="0.2">
      <c r="AF51715" s="679"/>
    </row>
    <row r="51716" spans="32:32" x14ac:dyDescent="0.2">
      <c r="AF51716" s="679"/>
    </row>
    <row r="51717" spans="32:32" x14ac:dyDescent="0.2">
      <c r="AF51717" s="679"/>
    </row>
    <row r="51718" spans="32:32" x14ac:dyDescent="0.2">
      <c r="AF51718" s="679"/>
    </row>
    <row r="51719" spans="32:32" x14ac:dyDescent="0.2">
      <c r="AF51719" s="679"/>
    </row>
    <row r="51720" spans="32:32" x14ac:dyDescent="0.2">
      <c r="AF51720" s="679"/>
    </row>
    <row r="51721" spans="32:32" x14ac:dyDescent="0.2">
      <c r="AF51721" s="679"/>
    </row>
    <row r="51722" spans="32:32" x14ac:dyDescent="0.2">
      <c r="AF51722" s="679"/>
    </row>
    <row r="51723" spans="32:32" x14ac:dyDescent="0.2">
      <c r="AF51723" s="679"/>
    </row>
    <row r="51724" spans="32:32" x14ac:dyDescent="0.2">
      <c r="AF51724" s="679"/>
    </row>
    <row r="51725" spans="32:32" x14ac:dyDescent="0.2">
      <c r="AF51725" s="679"/>
    </row>
    <row r="51726" spans="32:32" x14ac:dyDescent="0.2">
      <c r="AF51726" s="679"/>
    </row>
    <row r="51727" spans="32:32" x14ac:dyDescent="0.2">
      <c r="AF51727" s="679"/>
    </row>
    <row r="51728" spans="32:32" x14ac:dyDescent="0.2">
      <c r="AF51728" s="679"/>
    </row>
    <row r="51729" spans="32:32" x14ac:dyDescent="0.2">
      <c r="AF51729" s="679"/>
    </row>
    <row r="51730" spans="32:32" x14ac:dyDescent="0.2">
      <c r="AF51730" s="679"/>
    </row>
    <row r="51731" spans="32:32" x14ac:dyDescent="0.2">
      <c r="AF51731" s="679"/>
    </row>
    <row r="51732" spans="32:32" x14ac:dyDescent="0.2">
      <c r="AF51732" s="679"/>
    </row>
    <row r="51733" spans="32:32" x14ac:dyDescent="0.2">
      <c r="AF51733" s="679"/>
    </row>
    <row r="51734" spans="32:32" x14ac:dyDescent="0.2">
      <c r="AF51734" s="679"/>
    </row>
    <row r="51735" spans="32:32" x14ac:dyDescent="0.2">
      <c r="AF51735" s="679"/>
    </row>
    <row r="51736" spans="32:32" x14ac:dyDescent="0.2">
      <c r="AF51736" s="679"/>
    </row>
    <row r="51737" spans="32:32" x14ac:dyDescent="0.2">
      <c r="AF51737" s="679"/>
    </row>
    <row r="51738" spans="32:32" x14ac:dyDescent="0.2">
      <c r="AF51738" s="679"/>
    </row>
    <row r="51739" spans="32:32" x14ac:dyDescent="0.2">
      <c r="AF51739" s="679"/>
    </row>
    <row r="51740" spans="32:32" x14ac:dyDescent="0.2">
      <c r="AF51740" s="679"/>
    </row>
    <row r="51741" spans="32:32" x14ac:dyDescent="0.2">
      <c r="AF51741" s="679"/>
    </row>
    <row r="51742" spans="32:32" x14ac:dyDescent="0.2">
      <c r="AF51742" s="679"/>
    </row>
    <row r="51743" spans="32:32" x14ac:dyDescent="0.2">
      <c r="AF51743" s="679"/>
    </row>
    <row r="51744" spans="32:32" x14ac:dyDescent="0.2">
      <c r="AF51744" s="679"/>
    </row>
    <row r="51745" spans="32:32" x14ac:dyDescent="0.2">
      <c r="AF51745" s="679"/>
    </row>
    <row r="51746" spans="32:32" x14ac:dyDescent="0.2">
      <c r="AF51746" s="679"/>
    </row>
    <row r="51747" spans="32:32" x14ac:dyDescent="0.2">
      <c r="AF51747" s="679"/>
    </row>
    <row r="51748" spans="32:32" x14ac:dyDescent="0.2">
      <c r="AF51748" s="679"/>
    </row>
    <row r="51749" spans="32:32" x14ac:dyDescent="0.2">
      <c r="AF51749" s="679"/>
    </row>
    <row r="51750" spans="32:32" x14ac:dyDescent="0.2">
      <c r="AF51750" s="679"/>
    </row>
    <row r="51751" spans="32:32" x14ac:dyDescent="0.2">
      <c r="AF51751" s="679"/>
    </row>
    <row r="51752" spans="32:32" x14ac:dyDescent="0.2">
      <c r="AF51752" s="679"/>
    </row>
    <row r="51753" spans="32:32" x14ac:dyDescent="0.2">
      <c r="AF51753" s="679"/>
    </row>
    <row r="51754" spans="32:32" x14ac:dyDescent="0.2">
      <c r="AF51754" s="679"/>
    </row>
    <row r="51755" spans="32:32" x14ac:dyDescent="0.2">
      <c r="AF51755" s="679"/>
    </row>
    <row r="51756" spans="32:32" x14ac:dyDescent="0.2">
      <c r="AF51756" s="679"/>
    </row>
    <row r="51757" spans="32:32" x14ac:dyDescent="0.2">
      <c r="AF51757" s="679"/>
    </row>
    <row r="51758" spans="32:32" x14ac:dyDescent="0.2">
      <c r="AF51758" s="679"/>
    </row>
    <row r="51759" spans="32:32" x14ac:dyDescent="0.2">
      <c r="AF51759" s="679"/>
    </row>
    <row r="51760" spans="32:32" x14ac:dyDescent="0.2">
      <c r="AF51760" s="679"/>
    </row>
    <row r="51761" spans="32:32" x14ac:dyDescent="0.2">
      <c r="AF51761" s="679"/>
    </row>
    <row r="51762" spans="32:32" x14ac:dyDescent="0.2">
      <c r="AF51762" s="679"/>
    </row>
    <row r="51763" spans="32:32" x14ac:dyDescent="0.2">
      <c r="AF51763" s="679"/>
    </row>
    <row r="51764" spans="32:32" x14ac:dyDescent="0.2">
      <c r="AF51764" s="679"/>
    </row>
    <row r="51765" spans="32:32" x14ac:dyDescent="0.2">
      <c r="AF51765" s="679"/>
    </row>
    <row r="51766" spans="32:32" x14ac:dyDescent="0.2">
      <c r="AF51766" s="679"/>
    </row>
    <row r="51767" spans="32:32" x14ac:dyDescent="0.2">
      <c r="AF51767" s="679"/>
    </row>
    <row r="51768" spans="32:32" x14ac:dyDescent="0.2">
      <c r="AF51768" s="679"/>
    </row>
    <row r="51769" spans="32:32" x14ac:dyDescent="0.2">
      <c r="AF51769" s="679"/>
    </row>
    <row r="51770" spans="32:32" x14ac:dyDescent="0.2">
      <c r="AF51770" s="679"/>
    </row>
    <row r="51771" spans="32:32" x14ac:dyDescent="0.2">
      <c r="AF51771" s="679"/>
    </row>
    <row r="51772" spans="32:32" x14ac:dyDescent="0.2">
      <c r="AF51772" s="679"/>
    </row>
    <row r="51773" spans="32:32" x14ac:dyDescent="0.2">
      <c r="AF51773" s="679"/>
    </row>
    <row r="51774" spans="32:32" x14ac:dyDescent="0.2">
      <c r="AF51774" s="679"/>
    </row>
    <row r="51775" spans="32:32" x14ac:dyDescent="0.2">
      <c r="AF51775" s="679"/>
    </row>
    <row r="51776" spans="32:32" x14ac:dyDescent="0.2">
      <c r="AF51776" s="679"/>
    </row>
    <row r="51777" spans="32:32" x14ac:dyDescent="0.2">
      <c r="AF51777" s="679"/>
    </row>
    <row r="51778" spans="32:32" x14ac:dyDescent="0.2">
      <c r="AF51778" s="679"/>
    </row>
    <row r="51779" spans="32:32" x14ac:dyDescent="0.2">
      <c r="AF51779" s="679"/>
    </row>
    <row r="51780" spans="32:32" x14ac:dyDescent="0.2">
      <c r="AF51780" s="679"/>
    </row>
    <row r="51781" spans="32:32" x14ac:dyDescent="0.2">
      <c r="AF51781" s="679"/>
    </row>
    <row r="51782" spans="32:32" x14ac:dyDescent="0.2">
      <c r="AF51782" s="679"/>
    </row>
    <row r="51783" spans="32:32" x14ac:dyDescent="0.2">
      <c r="AF51783" s="679"/>
    </row>
    <row r="51784" spans="32:32" x14ac:dyDescent="0.2">
      <c r="AF51784" s="679"/>
    </row>
    <row r="51785" spans="32:32" x14ac:dyDescent="0.2">
      <c r="AF51785" s="679"/>
    </row>
    <row r="51786" spans="32:32" x14ac:dyDescent="0.2">
      <c r="AF51786" s="679"/>
    </row>
    <row r="51787" spans="32:32" x14ac:dyDescent="0.2">
      <c r="AF51787" s="679"/>
    </row>
    <row r="51788" spans="32:32" x14ac:dyDescent="0.2">
      <c r="AF51788" s="679"/>
    </row>
    <row r="51789" spans="32:32" x14ac:dyDescent="0.2">
      <c r="AF51789" s="679"/>
    </row>
    <row r="51790" spans="32:32" x14ac:dyDescent="0.2">
      <c r="AF51790" s="679"/>
    </row>
    <row r="51791" spans="32:32" x14ac:dyDescent="0.2">
      <c r="AF51791" s="679"/>
    </row>
    <row r="51792" spans="32:32" x14ac:dyDescent="0.2">
      <c r="AF51792" s="679"/>
    </row>
    <row r="51793" spans="32:32" x14ac:dyDescent="0.2">
      <c r="AF51793" s="679"/>
    </row>
    <row r="51794" spans="32:32" x14ac:dyDescent="0.2">
      <c r="AF51794" s="679"/>
    </row>
    <row r="51795" spans="32:32" x14ac:dyDescent="0.2">
      <c r="AF51795" s="679"/>
    </row>
    <row r="51796" spans="32:32" x14ac:dyDescent="0.2">
      <c r="AF51796" s="679"/>
    </row>
    <row r="51797" spans="32:32" x14ac:dyDescent="0.2">
      <c r="AF51797" s="679"/>
    </row>
    <row r="51798" spans="32:32" x14ac:dyDescent="0.2">
      <c r="AF51798" s="679"/>
    </row>
    <row r="51799" spans="32:32" x14ac:dyDescent="0.2">
      <c r="AF51799" s="679"/>
    </row>
    <row r="51800" spans="32:32" x14ac:dyDescent="0.2">
      <c r="AF51800" s="679"/>
    </row>
    <row r="51801" spans="32:32" x14ac:dyDescent="0.2">
      <c r="AF51801" s="679"/>
    </row>
    <row r="51802" spans="32:32" x14ac:dyDescent="0.2">
      <c r="AF51802" s="679"/>
    </row>
    <row r="51803" spans="32:32" x14ac:dyDescent="0.2">
      <c r="AF51803" s="679"/>
    </row>
    <row r="51804" spans="32:32" x14ac:dyDescent="0.2">
      <c r="AF51804" s="679"/>
    </row>
    <row r="51805" spans="32:32" x14ac:dyDescent="0.2">
      <c r="AF51805" s="679"/>
    </row>
    <row r="51806" spans="32:32" x14ac:dyDescent="0.2">
      <c r="AF51806" s="679"/>
    </row>
    <row r="51807" spans="32:32" x14ac:dyDescent="0.2">
      <c r="AF51807" s="679"/>
    </row>
    <row r="51808" spans="32:32" x14ac:dyDescent="0.2">
      <c r="AF51808" s="679"/>
    </row>
    <row r="51809" spans="32:32" x14ac:dyDescent="0.2">
      <c r="AF51809" s="679"/>
    </row>
    <row r="51810" spans="32:32" x14ac:dyDescent="0.2">
      <c r="AF51810" s="679"/>
    </row>
    <row r="51811" spans="32:32" x14ac:dyDescent="0.2">
      <c r="AF51811" s="679"/>
    </row>
    <row r="51812" spans="32:32" x14ac:dyDescent="0.2">
      <c r="AF51812" s="679"/>
    </row>
    <row r="51813" spans="32:32" x14ac:dyDescent="0.2">
      <c r="AF51813" s="679"/>
    </row>
    <row r="51814" spans="32:32" x14ac:dyDescent="0.2">
      <c r="AF51814" s="679"/>
    </row>
    <row r="51815" spans="32:32" x14ac:dyDescent="0.2">
      <c r="AF51815" s="679"/>
    </row>
    <row r="51816" spans="32:32" x14ac:dyDescent="0.2">
      <c r="AF51816" s="679"/>
    </row>
    <row r="51817" spans="32:32" x14ac:dyDescent="0.2">
      <c r="AF51817" s="679"/>
    </row>
    <row r="51818" spans="32:32" x14ac:dyDescent="0.2">
      <c r="AF51818" s="679"/>
    </row>
    <row r="51819" spans="32:32" x14ac:dyDescent="0.2">
      <c r="AF51819" s="679"/>
    </row>
    <row r="51820" spans="32:32" x14ac:dyDescent="0.2">
      <c r="AF51820" s="679"/>
    </row>
    <row r="51821" spans="32:32" x14ac:dyDescent="0.2">
      <c r="AF51821" s="679"/>
    </row>
    <row r="51822" spans="32:32" x14ac:dyDescent="0.2">
      <c r="AF51822" s="679"/>
    </row>
    <row r="51823" spans="32:32" x14ac:dyDescent="0.2">
      <c r="AF51823" s="679"/>
    </row>
    <row r="51824" spans="32:32" x14ac:dyDescent="0.2">
      <c r="AF51824" s="679"/>
    </row>
    <row r="51825" spans="32:32" x14ac:dyDescent="0.2">
      <c r="AF51825" s="679"/>
    </row>
    <row r="51826" spans="32:32" x14ac:dyDescent="0.2">
      <c r="AF51826" s="679"/>
    </row>
    <row r="51827" spans="32:32" x14ac:dyDescent="0.2">
      <c r="AF51827" s="679"/>
    </row>
    <row r="51828" spans="32:32" x14ac:dyDescent="0.2">
      <c r="AF51828" s="679"/>
    </row>
    <row r="51829" spans="32:32" x14ac:dyDescent="0.2">
      <c r="AF51829" s="679"/>
    </row>
    <row r="51830" spans="32:32" x14ac:dyDescent="0.2">
      <c r="AF51830" s="679"/>
    </row>
    <row r="51831" spans="32:32" x14ac:dyDescent="0.2">
      <c r="AF51831" s="679"/>
    </row>
    <row r="51832" spans="32:32" x14ac:dyDescent="0.2">
      <c r="AF51832" s="679"/>
    </row>
    <row r="51833" spans="32:32" x14ac:dyDescent="0.2">
      <c r="AF51833" s="679"/>
    </row>
    <row r="51834" spans="32:32" x14ac:dyDescent="0.2">
      <c r="AF51834" s="679"/>
    </row>
    <row r="51835" spans="32:32" x14ac:dyDescent="0.2">
      <c r="AF51835" s="679"/>
    </row>
    <row r="51836" spans="32:32" x14ac:dyDescent="0.2">
      <c r="AF51836" s="679"/>
    </row>
    <row r="51837" spans="32:32" x14ac:dyDescent="0.2">
      <c r="AF51837" s="679"/>
    </row>
    <row r="51838" spans="32:32" x14ac:dyDescent="0.2">
      <c r="AF51838" s="679"/>
    </row>
    <row r="51839" spans="32:32" x14ac:dyDescent="0.2">
      <c r="AF51839" s="679"/>
    </row>
    <row r="51840" spans="32:32" x14ac:dyDescent="0.2">
      <c r="AF51840" s="679"/>
    </row>
    <row r="51841" spans="32:32" x14ac:dyDescent="0.2">
      <c r="AF51841" s="679"/>
    </row>
    <row r="51842" spans="32:32" x14ac:dyDescent="0.2">
      <c r="AF51842" s="679"/>
    </row>
    <row r="51843" spans="32:32" x14ac:dyDescent="0.2">
      <c r="AF51843" s="679"/>
    </row>
    <row r="51844" spans="32:32" x14ac:dyDescent="0.2">
      <c r="AF51844" s="679"/>
    </row>
    <row r="51845" spans="32:32" x14ac:dyDescent="0.2">
      <c r="AF51845" s="679"/>
    </row>
    <row r="51846" spans="32:32" x14ac:dyDescent="0.2">
      <c r="AF51846" s="679"/>
    </row>
    <row r="51847" spans="32:32" x14ac:dyDescent="0.2">
      <c r="AF51847" s="679"/>
    </row>
    <row r="51848" spans="32:32" x14ac:dyDescent="0.2">
      <c r="AF51848" s="679"/>
    </row>
    <row r="51849" spans="32:32" x14ac:dyDescent="0.2">
      <c r="AF51849" s="679"/>
    </row>
    <row r="51850" spans="32:32" x14ac:dyDescent="0.2">
      <c r="AF51850" s="679"/>
    </row>
    <row r="51851" spans="32:32" x14ac:dyDescent="0.2">
      <c r="AF51851" s="679"/>
    </row>
    <row r="51852" spans="32:32" x14ac:dyDescent="0.2">
      <c r="AF51852" s="679"/>
    </row>
    <row r="51853" spans="32:32" x14ac:dyDescent="0.2">
      <c r="AF51853" s="679"/>
    </row>
    <row r="51854" spans="32:32" x14ac:dyDescent="0.2">
      <c r="AF51854" s="679"/>
    </row>
    <row r="51855" spans="32:32" x14ac:dyDescent="0.2">
      <c r="AF51855" s="679"/>
    </row>
    <row r="51856" spans="32:32" x14ac:dyDescent="0.2">
      <c r="AF51856" s="679"/>
    </row>
    <row r="51857" spans="32:32" x14ac:dyDescent="0.2">
      <c r="AF51857" s="679"/>
    </row>
    <row r="51858" spans="32:32" x14ac:dyDescent="0.2">
      <c r="AF51858" s="679"/>
    </row>
    <row r="51859" spans="32:32" x14ac:dyDescent="0.2">
      <c r="AF51859" s="679"/>
    </row>
    <row r="51860" spans="32:32" x14ac:dyDescent="0.2">
      <c r="AF51860" s="679"/>
    </row>
    <row r="51861" spans="32:32" x14ac:dyDescent="0.2">
      <c r="AF51861" s="679"/>
    </row>
    <row r="51862" spans="32:32" x14ac:dyDescent="0.2">
      <c r="AF51862" s="679"/>
    </row>
    <row r="51863" spans="32:32" x14ac:dyDescent="0.2">
      <c r="AF51863" s="679"/>
    </row>
    <row r="51864" spans="32:32" x14ac:dyDescent="0.2">
      <c r="AF51864" s="679"/>
    </row>
    <row r="51865" spans="32:32" x14ac:dyDescent="0.2">
      <c r="AF51865" s="679"/>
    </row>
    <row r="51866" spans="32:32" x14ac:dyDescent="0.2">
      <c r="AF51866" s="679"/>
    </row>
    <row r="51867" spans="32:32" x14ac:dyDescent="0.2">
      <c r="AF51867" s="679"/>
    </row>
    <row r="51868" spans="32:32" x14ac:dyDescent="0.2">
      <c r="AF51868" s="679"/>
    </row>
    <row r="51869" spans="32:32" x14ac:dyDescent="0.2">
      <c r="AF51869" s="679"/>
    </row>
    <row r="51870" spans="32:32" x14ac:dyDescent="0.2">
      <c r="AF51870" s="679"/>
    </row>
    <row r="51871" spans="32:32" x14ac:dyDescent="0.2">
      <c r="AF51871" s="679"/>
    </row>
    <row r="51872" spans="32:32" x14ac:dyDescent="0.2">
      <c r="AF51872" s="679"/>
    </row>
    <row r="51873" spans="32:32" x14ac:dyDescent="0.2">
      <c r="AF51873" s="679"/>
    </row>
    <row r="51874" spans="32:32" x14ac:dyDescent="0.2">
      <c r="AF51874" s="679"/>
    </row>
    <row r="51875" spans="32:32" x14ac:dyDescent="0.2">
      <c r="AF51875" s="679"/>
    </row>
    <row r="51876" spans="32:32" x14ac:dyDescent="0.2">
      <c r="AF51876" s="679"/>
    </row>
    <row r="51877" spans="32:32" x14ac:dyDescent="0.2">
      <c r="AF51877" s="679"/>
    </row>
    <row r="51878" spans="32:32" x14ac:dyDescent="0.2">
      <c r="AF51878" s="679"/>
    </row>
    <row r="51879" spans="32:32" x14ac:dyDescent="0.2">
      <c r="AF51879" s="679"/>
    </row>
    <row r="51880" spans="32:32" x14ac:dyDescent="0.2">
      <c r="AF51880" s="679"/>
    </row>
    <row r="51881" spans="32:32" x14ac:dyDescent="0.2">
      <c r="AF51881" s="679"/>
    </row>
    <row r="51882" spans="32:32" x14ac:dyDescent="0.2">
      <c r="AF51882" s="679"/>
    </row>
    <row r="51883" spans="32:32" x14ac:dyDescent="0.2">
      <c r="AF51883" s="679"/>
    </row>
    <row r="51884" spans="32:32" x14ac:dyDescent="0.2">
      <c r="AF51884" s="679"/>
    </row>
    <row r="51885" spans="32:32" x14ac:dyDescent="0.2">
      <c r="AF51885" s="679"/>
    </row>
    <row r="51886" spans="32:32" x14ac:dyDescent="0.2">
      <c r="AF51886" s="679"/>
    </row>
    <row r="51887" spans="32:32" x14ac:dyDescent="0.2">
      <c r="AF51887" s="679"/>
    </row>
    <row r="51888" spans="32:32" x14ac:dyDescent="0.2">
      <c r="AF51888" s="679"/>
    </row>
    <row r="51889" spans="32:32" x14ac:dyDescent="0.2">
      <c r="AF51889" s="679"/>
    </row>
    <row r="51890" spans="32:32" x14ac:dyDescent="0.2">
      <c r="AF51890" s="679"/>
    </row>
    <row r="51891" spans="32:32" x14ac:dyDescent="0.2">
      <c r="AF51891" s="679"/>
    </row>
    <row r="51892" spans="32:32" x14ac:dyDescent="0.2">
      <c r="AF51892" s="679"/>
    </row>
    <row r="51893" spans="32:32" x14ac:dyDescent="0.2">
      <c r="AF51893" s="679"/>
    </row>
    <row r="51894" spans="32:32" x14ac:dyDescent="0.2">
      <c r="AF51894" s="679"/>
    </row>
    <row r="51895" spans="32:32" x14ac:dyDescent="0.2">
      <c r="AF51895" s="679"/>
    </row>
    <row r="51896" spans="32:32" x14ac:dyDescent="0.2">
      <c r="AF51896" s="679"/>
    </row>
    <row r="51897" spans="32:32" x14ac:dyDescent="0.2">
      <c r="AF51897" s="679"/>
    </row>
    <row r="51898" spans="32:32" x14ac:dyDescent="0.2">
      <c r="AF51898" s="679"/>
    </row>
    <row r="51899" spans="32:32" x14ac:dyDescent="0.2">
      <c r="AF51899" s="679"/>
    </row>
    <row r="51900" spans="32:32" x14ac:dyDescent="0.2">
      <c r="AF51900" s="679"/>
    </row>
    <row r="51901" spans="32:32" x14ac:dyDescent="0.2">
      <c r="AF51901" s="679"/>
    </row>
    <row r="51902" spans="32:32" x14ac:dyDescent="0.2">
      <c r="AF51902" s="679"/>
    </row>
    <row r="51903" spans="32:32" x14ac:dyDescent="0.2">
      <c r="AF51903" s="679"/>
    </row>
    <row r="51904" spans="32:32" x14ac:dyDescent="0.2">
      <c r="AF51904" s="679"/>
    </row>
    <row r="51905" spans="32:32" x14ac:dyDescent="0.2">
      <c r="AF51905" s="679"/>
    </row>
    <row r="51906" spans="32:32" x14ac:dyDescent="0.2">
      <c r="AF51906" s="679"/>
    </row>
    <row r="51907" spans="32:32" x14ac:dyDescent="0.2">
      <c r="AF51907" s="679"/>
    </row>
    <row r="51908" spans="32:32" x14ac:dyDescent="0.2">
      <c r="AF51908" s="679"/>
    </row>
    <row r="51909" spans="32:32" x14ac:dyDescent="0.2">
      <c r="AF51909" s="679"/>
    </row>
    <row r="51910" spans="32:32" x14ac:dyDescent="0.2">
      <c r="AF51910" s="679"/>
    </row>
    <row r="51911" spans="32:32" x14ac:dyDescent="0.2">
      <c r="AF51911" s="679"/>
    </row>
    <row r="51912" spans="32:32" x14ac:dyDescent="0.2">
      <c r="AF51912" s="679"/>
    </row>
    <row r="51913" spans="32:32" x14ac:dyDescent="0.2">
      <c r="AF51913" s="679"/>
    </row>
    <row r="51914" spans="32:32" x14ac:dyDescent="0.2">
      <c r="AF51914" s="679"/>
    </row>
    <row r="51915" spans="32:32" x14ac:dyDescent="0.2">
      <c r="AF51915" s="679"/>
    </row>
    <row r="51916" spans="32:32" x14ac:dyDescent="0.2">
      <c r="AF51916" s="679"/>
    </row>
    <row r="51917" spans="32:32" x14ac:dyDescent="0.2">
      <c r="AF51917" s="679"/>
    </row>
    <row r="51918" spans="32:32" x14ac:dyDescent="0.2">
      <c r="AF51918" s="679"/>
    </row>
    <row r="51919" spans="32:32" x14ac:dyDescent="0.2">
      <c r="AF51919" s="679"/>
    </row>
    <row r="51920" spans="32:32" x14ac:dyDescent="0.2">
      <c r="AF51920" s="679"/>
    </row>
    <row r="51921" spans="32:32" x14ac:dyDescent="0.2">
      <c r="AF51921" s="679"/>
    </row>
    <row r="51922" spans="32:32" x14ac:dyDescent="0.2">
      <c r="AF51922" s="679"/>
    </row>
    <row r="51923" spans="32:32" x14ac:dyDescent="0.2">
      <c r="AF51923" s="679"/>
    </row>
    <row r="51924" spans="32:32" x14ac:dyDescent="0.2">
      <c r="AF51924" s="679"/>
    </row>
    <row r="51925" spans="32:32" x14ac:dyDescent="0.2">
      <c r="AF51925" s="679"/>
    </row>
    <row r="51926" spans="32:32" x14ac:dyDescent="0.2">
      <c r="AF51926" s="679"/>
    </row>
    <row r="51927" spans="32:32" x14ac:dyDescent="0.2">
      <c r="AF51927" s="679"/>
    </row>
    <row r="51928" spans="32:32" x14ac:dyDescent="0.2">
      <c r="AF51928" s="679"/>
    </row>
    <row r="51929" spans="32:32" x14ac:dyDescent="0.2">
      <c r="AF51929" s="679"/>
    </row>
    <row r="51930" spans="32:32" x14ac:dyDescent="0.2">
      <c r="AF51930" s="679"/>
    </row>
    <row r="51931" spans="32:32" x14ac:dyDescent="0.2">
      <c r="AF51931" s="679"/>
    </row>
    <row r="51932" spans="32:32" x14ac:dyDescent="0.2">
      <c r="AF51932" s="679"/>
    </row>
    <row r="51933" spans="32:32" x14ac:dyDescent="0.2">
      <c r="AF51933" s="679"/>
    </row>
    <row r="51934" spans="32:32" x14ac:dyDescent="0.2">
      <c r="AF51934" s="679"/>
    </row>
    <row r="51935" spans="32:32" x14ac:dyDescent="0.2">
      <c r="AF51935" s="679"/>
    </row>
    <row r="51936" spans="32:32" x14ac:dyDescent="0.2">
      <c r="AF51936" s="679"/>
    </row>
    <row r="51937" spans="32:32" x14ac:dyDescent="0.2">
      <c r="AF51937" s="679"/>
    </row>
    <row r="51938" spans="32:32" x14ac:dyDescent="0.2">
      <c r="AF51938" s="679"/>
    </row>
    <row r="51939" spans="32:32" x14ac:dyDescent="0.2">
      <c r="AF51939" s="679"/>
    </row>
    <row r="51940" spans="32:32" x14ac:dyDescent="0.2">
      <c r="AF51940" s="679"/>
    </row>
    <row r="51941" spans="32:32" x14ac:dyDescent="0.2">
      <c r="AF51941" s="679"/>
    </row>
    <row r="51942" spans="32:32" x14ac:dyDescent="0.2">
      <c r="AF51942" s="679"/>
    </row>
    <row r="51943" spans="32:32" x14ac:dyDescent="0.2">
      <c r="AF51943" s="679"/>
    </row>
    <row r="51944" spans="32:32" x14ac:dyDescent="0.2">
      <c r="AF51944" s="679"/>
    </row>
    <row r="51945" spans="32:32" x14ac:dyDescent="0.2">
      <c r="AF51945" s="679"/>
    </row>
    <row r="51946" spans="32:32" x14ac:dyDescent="0.2">
      <c r="AF51946" s="679"/>
    </row>
    <row r="51947" spans="32:32" x14ac:dyDescent="0.2">
      <c r="AF51947" s="679"/>
    </row>
    <row r="51948" spans="32:32" x14ac:dyDescent="0.2">
      <c r="AF51948" s="679"/>
    </row>
    <row r="51949" spans="32:32" x14ac:dyDescent="0.2">
      <c r="AF51949" s="679"/>
    </row>
    <row r="51950" spans="32:32" x14ac:dyDescent="0.2">
      <c r="AF51950" s="679"/>
    </row>
    <row r="51951" spans="32:32" x14ac:dyDescent="0.2">
      <c r="AF51951" s="679"/>
    </row>
    <row r="51952" spans="32:32" x14ac:dyDescent="0.2">
      <c r="AF51952" s="679"/>
    </row>
    <row r="51953" spans="32:32" x14ac:dyDescent="0.2">
      <c r="AF51953" s="679"/>
    </row>
    <row r="51954" spans="32:32" x14ac:dyDescent="0.2">
      <c r="AF51954" s="679"/>
    </row>
    <row r="51955" spans="32:32" x14ac:dyDescent="0.2">
      <c r="AF51955" s="679"/>
    </row>
    <row r="51956" spans="32:32" x14ac:dyDescent="0.2">
      <c r="AF51956" s="679"/>
    </row>
    <row r="51957" spans="32:32" x14ac:dyDescent="0.2">
      <c r="AF51957" s="679"/>
    </row>
    <row r="51958" spans="32:32" x14ac:dyDescent="0.2">
      <c r="AF51958" s="679"/>
    </row>
    <row r="51959" spans="32:32" x14ac:dyDescent="0.2">
      <c r="AF51959" s="679"/>
    </row>
    <row r="51960" spans="32:32" x14ac:dyDescent="0.2">
      <c r="AF51960" s="679"/>
    </row>
    <row r="51961" spans="32:32" x14ac:dyDescent="0.2">
      <c r="AF51961" s="679"/>
    </row>
    <row r="51962" spans="32:32" x14ac:dyDescent="0.2">
      <c r="AF51962" s="679"/>
    </row>
    <row r="51963" spans="32:32" x14ac:dyDescent="0.2">
      <c r="AF51963" s="679"/>
    </row>
    <row r="51964" spans="32:32" x14ac:dyDescent="0.2">
      <c r="AF51964" s="679"/>
    </row>
    <row r="51965" spans="32:32" x14ac:dyDescent="0.2">
      <c r="AF51965" s="679"/>
    </row>
    <row r="51966" spans="32:32" x14ac:dyDescent="0.2">
      <c r="AF51966" s="679"/>
    </row>
    <row r="51967" spans="32:32" x14ac:dyDescent="0.2">
      <c r="AF51967" s="679"/>
    </row>
    <row r="51968" spans="32:32" x14ac:dyDescent="0.2">
      <c r="AF51968" s="679"/>
    </row>
    <row r="51969" spans="32:32" x14ac:dyDescent="0.2">
      <c r="AF51969" s="679"/>
    </row>
    <row r="51970" spans="32:32" x14ac:dyDescent="0.2">
      <c r="AF51970" s="679"/>
    </row>
    <row r="51971" spans="32:32" x14ac:dyDescent="0.2">
      <c r="AF51971" s="679"/>
    </row>
    <row r="51972" spans="32:32" x14ac:dyDescent="0.2">
      <c r="AF51972" s="679"/>
    </row>
    <row r="51973" spans="32:32" x14ac:dyDescent="0.2">
      <c r="AF51973" s="679"/>
    </row>
    <row r="51974" spans="32:32" x14ac:dyDescent="0.2">
      <c r="AF51974" s="679"/>
    </row>
    <row r="51975" spans="32:32" x14ac:dyDescent="0.2">
      <c r="AF51975" s="679"/>
    </row>
    <row r="51976" spans="32:32" x14ac:dyDescent="0.2">
      <c r="AF51976" s="679"/>
    </row>
    <row r="51977" spans="32:32" x14ac:dyDescent="0.2">
      <c r="AF51977" s="679"/>
    </row>
    <row r="51978" spans="32:32" x14ac:dyDescent="0.2">
      <c r="AF51978" s="679"/>
    </row>
    <row r="51979" spans="32:32" x14ac:dyDescent="0.2">
      <c r="AF51979" s="679"/>
    </row>
    <row r="51980" spans="32:32" x14ac:dyDescent="0.2">
      <c r="AF51980" s="679"/>
    </row>
    <row r="51981" spans="32:32" x14ac:dyDescent="0.2">
      <c r="AF51981" s="679"/>
    </row>
    <row r="51982" spans="32:32" x14ac:dyDescent="0.2">
      <c r="AF51982" s="679"/>
    </row>
    <row r="51983" spans="32:32" x14ac:dyDescent="0.2">
      <c r="AF51983" s="679"/>
    </row>
    <row r="51984" spans="32:32" x14ac:dyDescent="0.2">
      <c r="AF51984" s="679"/>
    </row>
    <row r="51985" spans="32:32" x14ac:dyDescent="0.2">
      <c r="AF51985" s="679"/>
    </row>
    <row r="51986" spans="32:32" x14ac:dyDescent="0.2">
      <c r="AF51986" s="679"/>
    </row>
    <row r="51987" spans="32:32" x14ac:dyDescent="0.2">
      <c r="AF51987" s="679"/>
    </row>
    <row r="51988" spans="32:32" x14ac:dyDescent="0.2">
      <c r="AF51988" s="679"/>
    </row>
    <row r="51989" spans="32:32" x14ac:dyDescent="0.2">
      <c r="AF51989" s="679"/>
    </row>
    <row r="51990" spans="32:32" x14ac:dyDescent="0.2">
      <c r="AF51990" s="679"/>
    </row>
    <row r="51991" spans="32:32" x14ac:dyDescent="0.2">
      <c r="AF51991" s="679"/>
    </row>
    <row r="51992" spans="32:32" x14ac:dyDescent="0.2">
      <c r="AF51992" s="679"/>
    </row>
    <row r="51993" spans="32:32" x14ac:dyDescent="0.2">
      <c r="AF51993" s="679"/>
    </row>
    <row r="51994" spans="32:32" x14ac:dyDescent="0.2">
      <c r="AF51994" s="679"/>
    </row>
    <row r="51995" spans="32:32" x14ac:dyDescent="0.2">
      <c r="AF51995" s="679"/>
    </row>
    <row r="51996" spans="32:32" x14ac:dyDescent="0.2">
      <c r="AF51996" s="679"/>
    </row>
    <row r="51997" spans="32:32" x14ac:dyDescent="0.2">
      <c r="AF51997" s="679"/>
    </row>
    <row r="51998" spans="32:32" x14ac:dyDescent="0.2">
      <c r="AF51998" s="679"/>
    </row>
    <row r="51999" spans="32:32" x14ac:dyDescent="0.2">
      <c r="AF51999" s="679"/>
    </row>
    <row r="52000" spans="32:32" x14ac:dyDescent="0.2">
      <c r="AF52000" s="679"/>
    </row>
    <row r="52001" spans="32:32" x14ac:dyDescent="0.2">
      <c r="AF52001" s="679"/>
    </row>
    <row r="52002" spans="32:32" x14ac:dyDescent="0.2">
      <c r="AF52002" s="679"/>
    </row>
    <row r="52003" spans="32:32" x14ac:dyDescent="0.2">
      <c r="AF52003" s="679"/>
    </row>
    <row r="52004" spans="32:32" x14ac:dyDescent="0.2">
      <c r="AF52004" s="679"/>
    </row>
    <row r="52005" spans="32:32" x14ac:dyDescent="0.2">
      <c r="AF52005" s="679"/>
    </row>
    <row r="52006" spans="32:32" x14ac:dyDescent="0.2">
      <c r="AF52006" s="679"/>
    </row>
    <row r="52007" spans="32:32" x14ac:dyDescent="0.2">
      <c r="AF52007" s="679"/>
    </row>
    <row r="52008" spans="32:32" x14ac:dyDescent="0.2">
      <c r="AF52008" s="679"/>
    </row>
    <row r="52009" spans="32:32" x14ac:dyDescent="0.2">
      <c r="AF52009" s="679"/>
    </row>
    <row r="52010" spans="32:32" x14ac:dyDescent="0.2">
      <c r="AF52010" s="679"/>
    </row>
    <row r="52011" spans="32:32" x14ac:dyDescent="0.2">
      <c r="AF52011" s="679"/>
    </row>
    <row r="52012" spans="32:32" x14ac:dyDescent="0.2">
      <c r="AF52012" s="679"/>
    </row>
    <row r="52013" spans="32:32" x14ac:dyDescent="0.2">
      <c r="AF52013" s="679"/>
    </row>
    <row r="52014" spans="32:32" x14ac:dyDescent="0.2">
      <c r="AF52014" s="679"/>
    </row>
    <row r="52015" spans="32:32" x14ac:dyDescent="0.2">
      <c r="AF52015" s="679"/>
    </row>
    <row r="52016" spans="32:32" x14ac:dyDescent="0.2">
      <c r="AF52016" s="679"/>
    </row>
    <row r="52017" spans="32:32" x14ac:dyDescent="0.2">
      <c r="AF52017" s="679"/>
    </row>
    <row r="52018" spans="32:32" x14ac:dyDescent="0.2">
      <c r="AF52018" s="679"/>
    </row>
    <row r="52019" spans="32:32" x14ac:dyDescent="0.2">
      <c r="AF52019" s="679"/>
    </row>
    <row r="52020" spans="32:32" x14ac:dyDescent="0.2">
      <c r="AF52020" s="679"/>
    </row>
    <row r="52021" spans="32:32" x14ac:dyDescent="0.2">
      <c r="AF52021" s="679"/>
    </row>
    <row r="52022" spans="32:32" x14ac:dyDescent="0.2">
      <c r="AF52022" s="679"/>
    </row>
    <row r="52023" spans="32:32" x14ac:dyDescent="0.2">
      <c r="AF52023" s="679"/>
    </row>
    <row r="52024" spans="32:32" x14ac:dyDescent="0.2">
      <c r="AF52024" s="679"/>
    </row>
    <row r="52025" spans="32:32" x14ac:dyDescent="0.2">
      <c r="AF52025" s="679"/>
    </row>
    <row r="52026" spans="32:32" x14ac:dyDescent="0.2">
      <c r="AF52026" s="679"/>
    </row>
    <row r="52027" spans="32:32" x14ac:dyDescent="0.2">
      <c r="AF52027" s="679"/>
    </row>
    <row r="52028" spans="32:32" x14ac:dyDescent="0.2">
      <c r="AF52028" s="679"/>
    </row>
    <row r="52029" spans="32:32" x14ac:dyDescent="0.2">
      <c r="AF52029" s="679"/>
    </row>
    <row r="52030" spans="32:32" x14ac:dyDescent="0.2">
      <c r="AF52030" s="679"/>
    </row>
    <row r="52031" spans="32:32" x14ac:dyDescent="0.2">
      <c r="AF52031" s="679"/>
    </row>
    <row r="52032" spans="32:32" x14ac:dyDescent="0.2">
      <c r="AF52032" s="679"/>
    </row>
    <row r="52033" spans="32:32" x14ac:dyDescent="0.2">
      <c r="AF52033" s="679"/>
    </row>
    <row r="52034" spans="32:32" x14ac:dyDescent="0.2">
      <c r="AF52034" s="679"/>
    </row>
    <row r="52035" spans="32:32" x14ac:dyDescent="0.2">
      <c r="AF52035" s="679"/>
    </row>
    <row r="52036" spans="32:32" x14ac:dyDescent="0.2">
      <c r="AF52036" s="679"/>
    </row>
    <row r="52037" spans="32:32" x14ac:dyDescent="0.2">
      <c r="AF52037" s="679"/>
    </row>
    <row r="52038" spans="32:32" x14ac:dyDescent="0.2">
      <c r="AF52038" s="679"/>
    </row>
    <row r="52039" spans="32:32" x14ac:dyDescent="0.2">
      <c r="AF52039" s="679"/>
    </row>
    <row r="52040" spans="32:32" x14ac:dyDescent="0.2">
      <c r="AF52040" s="679"/>
    </row>
    <row r="52041" spans="32:32" x14ac:dyDescent="0.2">
      <c r="AF52041" s="679"/>
    </row>
    <row r="52042" spans="32:32" x14ac:dyDescent="0.2">
      <c r="AF52042" s="679"/>
    </row>
    <row r="52043" spans="32:32" x14ac:dyDescent="0.2">
      <c r="AF52043" s="679"/>
    </row>
    <row r="52044" spans="32:32" x14ac:dyDescent="0.2">
      <c r="AF52044" s="679"/>
    </row>
    <row r="52045" spans="32:32" x14ac:dyDescent="0.2">
      <c r="AF52045" s="679"/>
    </row>
    <row r="52046" spans="32:32" x14ac:dyDescent="0.2">
      <c r="AF52046" s="679"/>
    </row>
    <row r="52047" spans="32:32" x14ac:dyDescent="0.2">
      <c r="AF52047" s="679"/>
    </row>
    <row r="52048" spans="32:32" x14ac:dyDescent="0.2">
      <c r="AF52048" s="679"/>
    </row>
    <row r="52049" spans="32:32" x14ac:dyDescent="0.2">
      <c r="AF52049" s="679"/>
    </row>
    <row r="52050" spans="32:32" x14ac:dyDescent="0.2">
      <c r="AF52050" s="679"/>
    </row>
    <row r="52051" spans="32:32" x14ac:dyDescent="0.2">
      <c r="AF52051" s="679"/>
    </row>
    <row r="52052" spans="32:32" x14ac:dyDescent="0.2">
      <c r="AF52052" s="679"/>
    </row>
    <row r="52053" spans="32:32" x14ac:dyDescent="0.2">
      <c r="AF52053" s="679"/>
    </row>
    <row r="52054" spans="32:32" x14ac:dyDescent="0.2">
      <c r="AF52054" s="679"/>
    </row>
    <row r="52055" spans="32:32" x14ac:dyDescent="0.2">
      <c r="AF52055" s="679"/>
    </row>
    <row r="52056" spans="32:32" x14ac:dyDescent="0.2">
      <c r="AF52056" s="679"/>
    </row>
    <row r="52057" spans="32:32" x14ac:dyDescent="0.2">
      <c r="AF52057" s="679"/>
    </row>
    <row r="52058" spans="32:32" x14ac:dyDescent="0.2">
      <c r="AF52058" s="679"/>
    </row>
    <row r="52059" spans="32:32" x14ac:dyDescent="0.2">
      <c r="AF52059" s="679"/>
    </row>
    <row r="52060" spans="32:32" x14ac:dyDescent="0.2">
      <c r="AF52060" s="679"/>
    </row>
    <row r="52061" spans="32:32" x14ac:dyDescent="0.2">
      <c r="AF52061" s="679"/>
    </row>
    <row r="52062" spans="32:32" x14ac:dyDescent="0.2">
      <c r="AF52062" s="679"/>
    </row>
    <row r="52063" spans="32:32" x14ac:dyDescent="0.2">
      <c r="AF52063" s="679"/>
    </row>
    <row r="52064" spans="32:32" x14ac:dyDescent="0.2">
      <c r="AF52064" s="679"/>
    </row>
    <row r="52065" spans="32:32" x14ac:dyDescent="0.2">
      <c r="AF52065" s="679"/>
    </row>
    <row r="52066" spans="32:32" x14ac:dyDescent="0.2">
      <c r="AF52066" s="679"/>
    </row>
    <row r="52067" spans="32:32" x14ac:dyDescent="0.2">
      <c r="AF52067" s="679"/>
    </row>
    <row r="52068" spans="32:32" x14ac:dyDescent="0.2">
      <c r="AF52068" s="679"/>
    </row>
    <row r="52069" spans="32:32" x14ac:dyDescent="0.2">
      <c r="AF52069" s="679"/>
    </row>
    <row r="52070" spans="32:32" x14ac:dyDescent="0.2">
      <c r="AF52070" s="679"/>
    </row>
    <row r="52071" spans="32:32" x14ac:dyDescent="0.2">
      <c r="AF52071" s="679"/>
    </row>
    <row r="52072" spans="32:32" x14ac:dyDescent="0.2">
      <c r="AF52072" s="679"/>
    </row>
    <row r="52073" spans="32:32" x14ac:dyDescent="0.2">
      <c r="AF52073" s="679"/>
    </row>
    <row r="52074" spans="32:32" x14ac:dyDescent="0.2">
      <c r="AF52074" s="679"/>
    </row>
    <row r="52075" spans="32:32" x14ac:dyDescent="0.2">
      <c r="AF52075" s="679"/>
    </row>
    <row r="52076" spans="32:32" x14ac:dyDescent="0.2">
      <c r="AF52076" s="679"/>
    </row>
    <row r="52077" spans="32:32" x14ac:dyDescent="0.2">
      <c r="AF52077" s="679"/>
    </row>
    <row r="52078" spans="32:32" x14ac:dyDescent="0.2">
      <c r="AF52078" s="679"/>
    </row>
    <row r="52079" spans="32:32" x14ac:dyDescent="0.2">
      <c r="AF52079" s="679"/>
    </row>
    <row r="52080" spans="32:32" x14ac:dyDescent="0.2">
      <c r="AF52080" s="679"/>
    </row>
    <row r="52081" spans="32:32" x14ac:dyDescent="0.2">
      <c r="AF52081" s="679"/>
    </row>
    <row r="52082" spans="32:32" x14ac:dyDescent="0.2">
      <c r="AF52082" s="679"/>
    </row>
    <row r="52083" spans="32:32" x14ac:dyDescent="0.2">
      <c r="AF52083" s="679"/>
    </row>
    <row r="52084" spans="32:32" x14ac:dyDescent="0.2">
      <c r="AF52084" s="679"/>
    </row>
    <row r="52085" spans="32:32" x14ac:dyDescent="0.2">
      <c r="AF52085" s="679"/>
    </row>
    <row r="52086" spans="32:32" x14ac:dyDescent="0.2">
      <c r="AF52086" s="679"/>
    </row>
    <row r="52087" spans="32:32" x14ac:dyDescent="0.2">
      <c r="AF52087" s="679"/>
    </row>
    <row r="52088" spans="32:32" x14ac:dyDescent="0.2">
      <c r="AF52088" s="679"/>
    </row>
    <row r="52089" spans="32:32" x14ac:dyDescent="0.2">
      <c r="AF52089" s="679"/>
    </row>
    <row r="52090" spans="32:32" x14ac:dyDescent="0.2">
      <c r="AF52090" s="679"/>
    </row>
    <row r="52091" spans="32:32" x14ac:dyDescent="0.2">
      <c r="AF52091" s="679"/>
    </row>
    <row r="52092" spans="32:32" x14ac:dyDescent="0.2">
      <c r="AF52092" s="679"/>
    </row>
    <row r="52093" spans="32:32" x14ac:dyDescent="0.2">
      <c r="AF52093" s="679"/>
    </row>
    <row r="52094" spans="32:32" x14ac:dyDescent="0.2">
      <c r="AF52094" s="679"/>
    </row>
    <row r="52095" spans="32:32" x14ac:dyDescent="0.2">
      <c r="AF52095" s="679"/>
    </row>
    <row r="52096" spans="32:32" x14ac:dyDescent="0.2">
      <c r="AF52096" s="679"/>
    </row>
    <row r="52097" spans="32:32" x14ac:dyDescent="0.2">
      <c r="AF52097" s="679"/>
    </row>
    <row r="52098" spans="32:32" x14ac:dyDescent="0.2">
      <c r="AF52098" s="679"/>
    </row>
    <row r="52099" spans="32:32" x14ac:dyDescent="0.2">
      <c r="AF52099" s="679"/>
    </row>
    <row r="52100" spans="32:32" x14ac:dyDescent="0.2">
      <c r="AF52100" s="679"/>
    </row>
    <row r="52101" spans="32:32" x14ac:dyDescent="0.2">
      <c r="AF52101" s="679"/>
    </row>
    <row r="52102" spans="32:32" x14ac:dyDescent="0.2">
      <c r="AF52102" s="679"/>
    </row>
    <row r="52103" spans="32:32" x14ac:dyDescent="0.2">
      <c r="AF52103" s="679"/>
    </row>
    <row r="52104" spans="32:32" x14ac:dyDescent="0.2">
      <c r="AF52104" s="679"/>
    </row>
    <row r="52105" spans="32:32" x14ac:dyDescent="0.2">
      <c r="AF52105" s="679"/>
    </row>
    <row r="52106" spans="32:32" x14ac:dyDescent="0.2">
      <c r="AF52106" s="679"/>
    </row>
    <row r="52107" spans="32:32" x14ac:dyDescent="0.2">
      <c r="AF52107" s="679"/>
    </row>
    <row r="52108" spans="32:32" x14ac:dyDescent="0.2">
      <c r="AF52108" s="679"/>
    </row>
    <row r="52109" spans="32:32" x14ac:dyDescent="0.2">
      <c r="AF52109" s="679"/>
    </row>
    <row r="52110" spans="32:32" x14ac:dyDescent="0.2">
      <c r="AF52110" s="679"/>
    </row>
    <row r="52111" spans="32:32" x14ac:dyDescent="0.2">
      <c r="AF52111" s="679"/>
    </row>
    <row r="52112" spans="32:32" x14ac:dyDescent="0.2">
      <c r="AF52112" s="679"/>
    </row>
    <row r="52113" spans="32:32" x14ac:dyDescent="0.2">
      <c r="AF52113" s="679"/>
    </row>
    <row r="52114" spans="32:32" x14ac:dyDescent="0.2">
      <c r="AF52114" s="679"/>
    </row>
    <row r="52115" spans="32:32" x14ac:dyDescent="0.2">
      <c r="AF52115" s="679"/>
    </row>
    <row r="52116" spans="32:32" x14ac:dyDescent="0.2">
      <c r="AF52116" s="679"/>
    </row>
    <row r="52117" spans="32:32" x14ac:dyDescent="0.2">
      <c r="AF52117" s="679"/>
    </row>
    <row r="52118" spans="32:32" x14ac:dyDescent="0.2">
      <c r="AF52118" s="679"/>
    </row>
    <row r="52119" spans="32:32" x14ac:dyDescent="0.2">
      <c r="AF52119" s="679"/>
    </row>
    <row r="52120" spans="32:32" x14ac:dyDescent="0.2">
      <c r="AF52120" s="679"/>
    </row>
    <row r="52121" spans="32:32" x14ac:dyDescent="0.2">
      <c r="AF52121" s="679"/>
    </row>
    <row r="52122" spans="32:32" x14ac:dyDescent="0.2">
      <c r="AF52122" s="679"/>
    </row>
    <row r="52123" spans="32:32" x14ac:dyDescent="0.2">
      <c r="AF52123" s="679"/>
    </row>
    <row r="52124" spans="32:32" x14ac:dyDescent="0.2">
      <c r="AF52124" s="679"/>
    </row>
    <row r="52125" spans="32:32" x14ac:dyDescent="0.2">
      <c r="AF52125" s="679"/>
    </row>
    <row r="52126" spans="32:32" x14ac:dyDescent="0.2">
      <c r="AF52126" s="679"/>
    </row>
    <row r="52127" spans="32:32" x14ac:dyDescent="0.2">
      <c r="AF52127" s="679"/>
    </row>
    <row r="52128" spans="32:32" x14ac:dyDescent="0.2">
      <c r="AF52128" s="679"/>
    </row>
    <row r="52129" spans="32:32" x14ac:dyDescent="0.2">
      <c r="AF52129" s="679"/>
    </row>
    <row r="52130" spans="32:32" x14ac:dyDescent="0.2">
      <c r="AF52130" s="679"/>
    </row>
    <row r="52131" spans="32:32" x14ac:dyDescent="0.2">
      <c r="AF52131" s="679"/>
    </row>
    <row r="52132" spans="32:32" x14ac:dyDescent="0.2">
      <c r="AF52132" s="679"/>
    </row>
    <row r="52133" spans="32:32" x14ac:dyDescent="0.2">
      <c r="AF52133" s="679"/>
    </row>
    <row r="52134" spans="32:32" x14ac:dyDescent="0.2">
      <c r="AF52134" s="679"/>
    </row>
    <row r="52135" spans="32:32" x14ac:dyDescent="0.2">
      <c r="AF52135" s="679"/>
    </row>
    <row r="52136" spans="32:32" x14ac:dyDescent="0.2">
      <c r="AF52136" s="679"/>
    </row>
    <row r="52137" spans="32:32" x14ac:dyDescent="0.2">
      <c r="AF52137" s="679"/>
    </row>
    <row r="52138" spans="32:32" x14ac:dyDescent="0.2">
      <c r="AF52138" s="679"/>
    </row>
    <row r="52139" spans="32:32" x14ac:dyDescent="0.2">
      <c r="AF52139" s="679"/>
    </row>
    <row r="52140" spans="32:32" x14ac:dyDescent="0.2">
      <c r="AF52140" s="679"/>
    </row>
    <row r="52141" spans="32:32" x14ac:dyDescent="0.2">
      <c r="AF52141" s="679"/>
    </row>
    <row r="52142" spans="32:32" x14ac:dyDescent="0.2">
      <c r="AF52142" s="679"/>
    </row>
    <row r="52143" spans="32:32" x14ac:dyDescent="0.2">
      <c r="AF52143" s="679"/>
    </row>
    <row r="52144" spans="32:32" x14ac:dyDescent="0.2">
      <c r="AF52144" s="679"/>
    </row>
    <row r="52145" spans="32:32" x14ac:dyDescent="0.2">
      <c r="AF52145" s="679"/>
    </row>
    <row r="52146" spans="32:32" x14ac:dyDescent="0.2">
      <c r="AF52146" s="679"/>
    </row>
    <row r="52147" spans="32:32" x14ac:dyDescent="0.2">
      <c r="AF52147" s="679"/>
    </row>
    <row r="52148" spans="32:32" x14ac:dyDescent="0.2">
      <c r="AF52148" s="679"/>
    </row>
    <row r="52149" spans="32:32" x14ac:dyDescent="0.2">
      <c r="AF52149" s="679"/>
    </row>
    <row r="52150" spans="32:32" x14ac:dyDescent="0.2">
      <c r="AF52150" s="679"/>
    </row>
    <row r="52151" spans="32:32" x14ac:dyDescent="0.2">
      <c r="AF52151" s="679"/>
    </row>
    <row r="52152" spans="32:32" x14ac:dyDescent="0.2">
      <c r="AF52152" s="679"/>
    </row>
    <row r="52153" spans="32:32" x14ac:dyDescent="0.2">
      <c r="AF52153" s="679"/>
    </row>
    <row r="52154" spans="32:32" x14ac:dyDescent="0.2">
      <c r="AF52154" s="679"/>
    </row>
    <row r="52155" spans="32:32" x14ac:dyDescent="0.2">
      <c r="AF52155" s="679"/>
    </row>
    <row r="52156" spans="32:32" x14ac:dyDescent="0.2">
      <c r="AF52156" s="679"/>
    </row>
    <row r="52157" spans="32:32" x14ac:dyDescent="0.2">
      <c r="AF52157" s="679"/>
    </row>
    <row r="52158" spans="32:32" x14ac:dyDescent="0.2">
      <c r="AF52158" s="679"/>
    </row>
    <row r="52159" spans="32:32" x14ac:dyDescent="0.2">
      <c r="AF52159" s="679"/>
    </row>
    <row r="52160" spans="32:32" x14ac:dyDescent="0.2">
      <c r="AF52160" s="679"/>
    </row>
    <row r="52161" spans="32:32" x14ac:dyDescent="0.2">
      <c r="AF52161" s="679"/>
    </row>
    <row r="52162" spans="32:32" x14ac:dyDescent="0.2">
      <c r="AF52162" s="679"/>
    </row>
    <row r="52163" spans="32:32" x14ac:dyDescent="0.2">
      <c r="AF52163" s="679"/>
    </row>
    <row r="52164" spans="32:32" x14ac:dyDescent="0.2">
      <c r="AF52164" s="679"/>
    </row>
    <row r="52165" spans="32:32" x14ac:dyDescent="0.2">
      <c r="AF52165" s="679"/>
    </row>
    <row r="52166" spans="32:32" x14ac:dyDescent="0.2">
      <c r="AF52166" s="679"/>
    </row>
    <row r="52167" spans="32:32" x14ac:dyDescent="0.2">
      <c r="AF52167" s="679"/>
    </row>
    <row r="52168" spans="32:32" x14ac:dyDescent="0.2">
      <c r="AF52168" s="679"/>
    </row>
    <row r="52169" spans="32:32" x14ac:dyDescent="0.2">
      <c r="AF52169" s="679"/>
    </row>
    <row r="52170" spans="32:32" x14ac:dyDescent="0.2">
      <c r="AF52170" s="679"/>
    </row>
    <row r="52171" spans="32:32" x14ac:dyDescent="0.2">
      <c r="AF52171" s="679"/>
    </row>
    <row r="52172" spans="32:32" x14ac:dyDescent="0.2">
      <c r="AF52172" s="679"/>
    </row>
    <row r="52173" spans="32:32" x14ac:dyDescent="0.2">
      <c r="AF52173" s="679"/>
    </row>
    <row r="52174" spans="32:32" x14ac:dyDescent="0.2">
      <c r="AF52174" s="679"/>
    </row>
    <row r="52175" spans="32:32" x14ac:dyDescent="0.2">
      <c r="AF52175" s="679"/>
    </row>
    <row r="52176" spans="32:32" x14ac:dyDescent="0.2">
      <c r="AF52176" s="679"/>
    </row>
    <row r="52177" spans="32:32" x14ac:dyDescent="0.2">
      <c r="AF52177" s="679"/>
    </row>
    <row r="52178" spans="32:32" x14ac:dyDescent="0.2">
      <c r="AF52178" s="679"/>
    </row>
    <row r="52179" spans="32:32" x14ac:dyDescent="0.2">
      <c r="AF52179" s="679"/>
    </row>
    <row r="52180" spans="32:32" x14ac:dyDescent="0.2">
      <c r="AF52180" s="679"/>
    </row>
    <row r="52181" spans="32:32" x14ac:dyDescent="0.2">
      <c r="AF52181" s="679"/>
    </row>
    <row r="52182" spans="32:32" x14ac:dyDescent="0.2">
      <c r="AF52182" s="679"/>
    </row>
    <row r="52183" spans="32:32" x14ac:dyDescent="0.2">
      <c r="AF52183" s="679"/>
    </row>
    <row r="52184" spans="32:32" x14ac:dyDescent="0.2">
      <c r="AF52184" s="679"/>
    </row>
    <row r="52185" spans="32:32" x14ac:dyDescent="0.2">
      <c r="AF52185" s="679"/>
    </row>
    <row r="52186" spans="32:32" x14ac:dyDescent="0.2">
      <c r="AF52186" s="679"/>
    </row>
    <row r="52187" spans="32:32" x14ac:dyDescent="0.2">
      <c r="AF52187" s="679"/>
    </row>
    <row r="52188" spans="32:32" x14ac:dyDescent="0.2">
      <c r="AF52188" s="679"/>
    </row>
    <row r="52189" spans="32:32" x14ac:dyDescent="0.2">
      <c r="AF52189" s="679"/>
    </row>
    <row r="52190" spans="32:32" x14ac:dyDescent="0.2">
      <c r="AF52190" s="679"/>
    </row>
    <row r="52191" spans="32:32" x14ac:dyDescent="0.2">
      <c r="AF52191" s="679"/>
    </row>
    <row r="52192" spans="32:32" x14ac:dyDescent="0.2">
      <c r="AF52192" s="679"/>
    </row>
    <row r="52193" spans="32:32" x14ac:dyDescent="0.2">
      <c r="AF52193" s="679"/>
    </row>
    <row r="52194" spans="32:32" x14ac:dyDescent="0.2">
      <c r="AF52194" s="679"/>
    </row>
    <row r="52195" spans="32:32" x14ac:dyDescent="0.2">
      <c r="AF52195" s="679"/>
    </row>
    <row r="52196" spans="32:32" x14ac:dyDescent="0.2">
      <c r="AF52196" s="679"/>
    </row>
    <row r="52197" spans="32:32" x14ac:dyDescent="0.2">
      <c r="AF52197" s="679"/>
    </row>
    <row r="52198" spans="32:32" x14ac:dyDescent="0.2">
      <c r="AF52198" s="679"/>
    </row>
    <row r="52199" spans="32:32" x14ac:dyDescent="0.2">
      <c r="AF52199" s="679"/>
    </row>
    <row r="52200" spans="32:32" x14ac:dyDescent="0.2">
      <c r="AF52200" s="679"/>
    </row>
    <row r="52201" spans="32:32" x14ac:dyDescent="0.2">
      <c r="AF52201" s="679"/>
    </row>
    <row r="52202" spans="32:32" x14ac:dyDescent="0.2">
      <c r="AF52202" s="679"/>
    </row>
    <row r="52203" spans="32:32" x14ac:dyDescent="0.2">
      <c r="AF52203" s="679"/>
    </row>
    <row r="52204" spans="32:32" x14ac:dyDescent="0.2">
      <c r="AF52204" s="679"/>
    </row>
    <row r="52205" spans="32:32" x14ac:dyDescent="0.2">
      <c r="AF52205" s="679"/>
    </row>
    <row r="52206" spans="32:32" x14ac:dyDescent="0.2">
      <c r="AF52206" s="679"/>
    </row>
    <row r="52207" spans="32:32" x14ac:dyDescent="0.2">
      <c r="AF52207" s="679"/>
    </row>
    <row r="52208" spans="32:32" x14ac:dyDescent="0.2">
      <c r="AF52208" s="679"/>
    </row>
    <row r="52209" spans="32:32" x14ac:dyDescent="0.2">
      <c r="AF52209" s="679"/>
    </row>
    <row r="52210" spans="32:32" x14ac:dyDescent="0.2">
      <c r="AF52210" s="679"/>
    </row>
    <row r="52211" spans="32:32" x14ac:dyDescent="0.2">
      <c r="AF52211" s="679"/>
    </row>
    <row r="52212" spans="32:32" x14ac:dyDescent="0.2">
      <c r="AF52212" s="679"/>
    </row>
    <row r="52213" spans="32:32" x14ac:dyDescent="0.2">
      <c r="AF52213" s="679"/>
    </row>
    <row r="52214" spans="32:32" x14ac:dyDescent="0.2">
      <c r="AF52214" s="679"/>
    </row>
    <row r="52215" spans="32:32" x14ac:dyDescent="0.2">
      <c r="AF52215" s="679"/>
    </row>
    <row r="52216" spans="32:32" x14ac:dyDescent="0.2">
      <c r="AF52216" s="679"/>
    </row>
    <row r="52217" spans="32:32" x14ac:dyDescent="0.2">
      <c r="AF52217" s="679"/>
    </row>
    <row r="52218" spans="32:32" x14ac:dyDescent="0.2">
      <c r="AF52218" s="679"/>
    </row>
    <row r="52219" spans="32:32" x14ac:dyDescent="0.2">
      <c r="AF52219" s="679"/>
    </row>
    <row r="52220" spans="32:32" x14ac:dyDescent="0.2">
      <c r="AF52220" s="679"/>
    </row>
    <row r="52221" spans="32:32" x14ac:dyDescent="0.2">
      <c r="AF52221" s="679"/>
    </row>
    <row r="52222" spans="32:32" x14ac:dyDescent="0.2">
      <c r="AF52222" s="679"/>
    </row>
    <row r="52223" spans="32:32" x14ac:dyDescent="0.2">
      <c r="AF52223" s="679"/>
    </row>
    <row r="52224" spans="32:32" x14ac:dyDescent="0.2">
      <c r="AF52224" s="679"/>
    </row>
    <row r="52225" spans="32:32" x14ac:dyDescent="0.2">
      <c r="AF52225" s="679"/>
    </row>
    <row r="52226" spans="32:32" x14ac:dyDescent="0.2">
      <c r="AF52226" s="679"/>
    </row>
    <row r="52227" spans="32:32" x14ac:dyDescent="0.2">
      <c r="AF52227" s="679"/>
    </row>
    <row r="52228" spans="32:32" x14ac:dyDescent="0.2">
      <c r="AF52228" s="679"/>
    </row>
    <row r="52229" spans="32:32" x14ac:dyDescent="0.2">
      <c r="AF52229" s="679"/>
    </row>
    <row r="52230" spans="32:32" x14ac:dyDescent="0.2">
      <c r="AF52230" s="679"/>
    </row>
    <row r="52231" spans="32:32" x14ac:dyDescent="0.2">
      <c r="AF52231" s="679"/>
    </row>
    <row r="52232" spans="32:32" x14ac:dyDescent="0.2">
      <c r="AF52232" s="679"/>
    </row>
    <row r="52233" spans="32:32" x14ac:dyDescent="0.2">
      <c r="AF52233" s="679"/>
    </row>
    <row r="52234" spans="32:32" x14ac:dyDescent="0.2">
      <c r="AF52234" s="679"/>
    </row>
    <row r="52235" spans="32:32" x14ac:dyDescent="0.2">
      <c r="AF52235" s="679"/>
    </row>
    <row r="52236" spans="32:32" x14ac:dyDescent="0.2">
      <c r="AF52236" s="679"/>
    </row>
    <row r="52237" spans="32:32" x14ac:dyDescent="0.2">
      <c r="AF52237" s="679"/>
    </row>
    <row r="52238" spans="32:32" x14ac:dyDescent="0.2">
      <c r="AF52238" s="679"/>
    </row>
    <row r="52239" spans="32:32" x14ac:dyDescent="0.2">
      <c r="AF52239" s="679"/>
    </row>
    <row r="52240" spans="32:32" x14ac:dyDescent="0.2">
      <c r="AF52240" s="679"/>
    </row>
    <row r="52241" spans="32:32" x14ac:dyDescent="0.2">
      <c r="AF52241" s="679"/>
    </row>
    <row r="52242" spans="32:32" x14ac:dyDescent="0.2">
      <c r="AF52242" s="679"/>
    </row>
    <row r="52243" spans="32:32" x14ac:dyDescent="0.2">
      <c r="AF52243" s="679"/>
    </row>
    <row r="52244" spans="32:32" x14ac:dyDescent="0.2">
      <c r="AF52244" s="679"/>
    </row>
    <row r="52245" spans="32:32" x14ac:dyDescent="0.2">
      <c r="AF52245" s="679"/>
    </row>
    <row r="52246" spans="32:32" x14ac:dyDescent="0.2">
      <c r="AF52246" s="679"/>
    </row>
    <row r="52247" spans="32:32" x14ac:dyDescent="0.2">
      <c r="AF52247" s="679"/>
    </row>
    <row r="52248" spans="32:32" x14ac:dyDescent="0.2">
      <c r="AF52248" s="679"/>
    </row>
    <row r="52249" spans="32:32" x14ac:dyDescent="0.2">
      <c r="AF52249" s="679"/>
    </row>
    <row r="52250" spans="32:32" x14ac:dyDescent="0.2">
      <c r="AF52250" s="679"/>
    </row>
    <row r="52251" spans="32:32" x14ac:dyDescent="0.2">
      <c r="AF52251" s="679"/>
    </row>
    <row r="52252" spans="32:32" x14ac:dyDescent="0.2">
      <c r="AF52252" s="679"/>
    </row>
    <row r="52253" spans="32:32" x14ac:dyDescent="0.2">
      <c r="AF52253" s="679"/>
    </row>
    <row r="52254" spans="32:32" x14ac:dyDescent="0.2">
      <c r="AF52254" s="679"/>
    </row>
    <row r="52255" spans="32:32" x14ac:dyDescent="0.2">
      <c r="AF52255" s="679"/>
    </row>
    <row r="52256" spans="32:32" x14ac:dyDescent="0.2">
      <c r="AF52256" s="679"/>
    </row>
    <row r="52257" spans="32:32" x14ac:dyDescent="0.2">
      <c r="AF52257" s="679"/>
    </row>
    <row r="52258" spans="32:32" x14ac:dyDescent="0.2">
      <c r="AF52258" s="679"/>
    </row>
    <row r="52259" spans="32:32" x14ac:dyDescent="0.2">
      <c r="AF52259" s="679"/>
    </row>
    <row r="52260" spans="32:32" x14ac:dyDescent="0.2">
      <c r="AF52260" s="679"/>
    </row>
    <row r="52261" spans="32:32" x14ac:dyDescent="0.2">
      <c r="AF52261" s="679"/>
    </row>
    <row r="52262" spans="32:32" x14ac:dyDescent="0.2">
      <c r="AF52262" s="679"/>
    </row>
    <row r="52263" spans="32:32" x14ac:dyDescent="0.2">
      <c r="AF52263" s="679"/>
    </row>
    <row r="52264" spans="32:32" x14ac:dyDescent="0.2">
      <c r="AF52264" s="679"/>
    </row>
    <row r="52265" spans="32:32" x14ac:dyDescent="0.2">
      <c r="AF52265" s="679"/>
    </row>
    <row r="52266" spans="32:32" x14ac:dyDescent="0.2">
      <c r="AF52266" s="679"/>
    </row>
    <row r="52267" spans="32:32" x14ac:dyDescent="0.2">
      <c r="AF52267" s="679"/>
    </row>
    <row r="52268" spans="32:32" x14ac:dyDescent="0.2">
      <c r="AF52268" s="679"/>
    </row>
    <row r="52269" spans="32:32" x14ac:dyDescent="0.2">
      <c r="AF52269" s="679"/>
    </row>
    <row r="52270" spans="32:32" x14ac:dyDescent="0.2">
      <c r="AF52270" s="679"/>
    </row>
    <row r="52271" spans="32:32" x14ac:dyDescent="0.2">
      <c r="AF52271" s="679"/>
    </row>
    <row r="52272" spans="32:32" x14ac:dyDescent="0.2">
      <c r="AF52272" s="679"/>
    </row>
    <row r="52273" spans="32:32" x14ac:dyDescent="0.2">
      <c r="AF52273" s="679"/>
    </row>
    <row r="52274" spans="32:32" x14ac:dyDescent="0.2">
      <c r="AF52274" s="679"/>
    </row>
    <row r="52275" spans="32:32" x14ac:dyDescent="0.2">
      <c r="AF52275" s="679"/>
    </row>
    <row r="52276" spans="32:32" x14ac:dyDescent="0.2">
      <c r="AF52276" s="679"/>
    </row>
    <row r="52277" spans="32:32" x14ac:dyDescent="0.2">
      <c r="AF52277" s="679"/>
    </row>
    <row r="52278" spans="32:32" x14ac:dyDescent="0.2">
      <c r="AF52278" s="679"/>
    </row>
    <row r="52279" spans="32:32" x14ac:dyDescent="0.2">
      <c r="AF52279" s="679"/>
    </row>
    <row r="52280" spans="32:32" x14ac:dyDescent="0.2">
      <c r="AF52280" s="679"/>
    </row>
    <row r="52281" spans="32:32" x14ac:dyDescent="0.2">
      <c r="AF52281" s="679"/>
    </row>
    <row r="52282" spans="32:32" x14ac:dyDescent="0.2">
      <c r="AF52282" s="679"/>
    </row>
    <row r="52283" spans="32:32" x14ac:dyDescent="0.2">
      <c r="AF52283" s="679"/>
    </row>
    <row r="52284" spans="32:32" x14ac:dyDescent="0.2">
      <c r="AF52284" s="679"/>
    </row>
    <row r="52285" spans="32:32" x14ac:dyDescent="0.2">
      <c r="AF52285" s="679"/>
    </row>
    <row r="52286" spans="32:32" x14ac:dyDescent="0.2">
      <c r="AF52286" s="679"/>
    </row>
    <row r="52287" spans="32:32" x14ac:dyDescent="0.2">
      <c r="AF52287" s="679"/>
    </row>
    <row r="52288" spans="32:32" x14ac:dyDescent="0.2">
      <c r="AF52288" s="679"/>
    </row>
    <row r="52289" spans="32:32" x14ac:dyDescent="0.2">
      <c r="AF52289" s="679"/>
    </row>
    <row r="52290" spans="32:32" x14ac:dyDescent="0.2">
      <c r="AF52290" s="679"/>
    </row>
    <row r="52291" spans="32:32" x14ac:dyDescent="0.2">
      <c r="AF52291" s="679"/>
    </row>
    <row r="52292" spans="32:32" x14ac:dyDescent="0.2">
      <c r="AF52292" s="679"/>
    </row>
    <row r="52293" spans="32:32" x14ac:dyDescent="0.2">
      <c r="AF52293" s="679"/>
    </row>
    <row r="52294" spans="32:32" x14ac:dyDescent="0.2">
      <c r="AF52294" s="679"/>
    </row>
    <row r="52295" spans="32:32" x14ac:dyDescent="0.2">
      <c r="AF52295" s="679"/>
    </row>
    <row r="52296" spans="32:32" x14ac:dyDescent="0.2">
      <c r="AF52296" s="679"/>
    </row>
    <row r="52297" spans="32:32" x14ac:dyDescent="0.2">
      <c r="AF52297" s="679"/>
    </row>
    <row r="52298" spans="32:32" x14ac:dyDescent="0.2">
      <c r="AF52298" s="679"/>
    </row>
    <row r="52299" spans="32:32" x14ac:dyDescent="0.2">
      <c r="AF52299" s="679"/>
    </row>
    <row r="52300" spans="32:32" x14ac:dyDescent="0.2">
      <c r="AF52300" s="679"/>
    </row>
    <row r="52301" spans="32:32" x14ac:dyDescent="0.2">
      <c r="AF52301" s="679"/>
    </row>
    <row r="52302" spans="32:32" x14ac:dyDescent="0.2">
      <c r="AF52302" s="679"/>
    </row>
    <row r="52303" spans="32:32" x14ac:dyDescent="0.2">
      <c r="AF52303" s="679"/>
    </row>
    <row r="52304" spans="32:32" x14ac:dyDescent="0.2">
      <c r="AF52304" s="679"/>
    </row>
    <row r="52305" spans="32:32" x14ac:dyDescent="0.2">
      <c r="AF52305" s="679"/>
    </row>
    <row r="52306" spans="32:32" x14ac:dyDescent="0.2">
      <c r="AF52306" s="679"/>
    </row>
    <row r="52307" spans="32:32" x14ac:dyDescent="0.2">
      <c r="AF52307" s="679"/>
    </row>
    <row r="52308" spans="32:32" x14ac:dyDescent="0.2">
      <c r="AF52308" s="679"/>
    </row>
    <row r="52309" spans="32:32" x14ac:dyDescent="0.2">
      <c r="AF52309" s="679"/>
    </row>
    <row r="52310" spans="32:32" x14ac:dyDescent="0.2">
      <c r="AF52310" s="679"/>
    </row>
    <row r="52311" spans="32:32" x14ac:dyDescent="0.2">
      <c r="AF52311" s="679"/>
    </row>
    <row r="52312" spans="32:32" x14ac:dyDescent="0.2">
      <c r="AF52312" s="679"/>
    </row>
    <row r="52313" spans="32:32" x14ac:dyDescent="0.2">
      <c r="AF52313" s="679"/>
    </row>
    <row r="52314" spans="32:32" x14ac:dyDescent="0.2">
      <c r="AF52314" s="679"/>
    </row>
    <row r="52315" spans="32:32" x14ac:dyDescent="0.2">
      <c r="AF52315" s="679"/>
    </row>
    <row r="52316" spans="32:32" x14ac:dyDescent="0.2">
      <c r="AF52316" s="679"/>
    </row>
    <row r="52317" spans="32:32" x14ac:dyDescent="0.2">
      <c r="AF52317" s="679"/>
    </row>
    <row r="52318" spans="32:32" x14ac:dyDescent="0.2">
      <c r="AF52318" s="679"/>
    </row>
    <row r="52319" spans="32:32" x14ac:dyDescent="0.2">
      <c r="AF52319" s="679"/>
    </row>
    <row r="52320" spans="32:32" x14ac:dyDescent="0.2">
      <c r="AF52320" s="679"/>
    </row>
    <row r="52321" spans="32:32" x14ac:dyDescent="0.2">
      <c r="AF52321" s="679"/>
    </row>
    <row r="52322" spans="32:32" x14ac:dyDescent="0.2">
      <c r="AF52322" s="679"/>
    </row>
    <row r="52323" spans="32:32" x14ac:dyDescent="0.2">
      <c r="AF52323" s="679"/>
    </row>
    <row r="52324" spans="32:32" x14ac:dyDescent="0.2">
      <c r="AF52324" s="679"/>
    </row>
    <row r="52325" spans="32:32" x14ac:dyDescent="0.2">
      <c r="AF52325" s="679"/>
    </row>
    <row r="52326" spans="32:32" x14ac:dyDescent="0.2">
      <c r="AF52326" s="679"/>
    </row>
    <row r="52327" spans="32:32" x14ac:dyDescent="0.2">
      <c r="AF52327" s="679"/>
    </row>
    <row r="52328" spans="32:32" x14ac:dyDescent="0.2">
      <c r="AF52328" s="679"/>
    </row>
    <row r="52329" spans="32:32" x14ac:dyDescent="0.2">
      <c r="AF52329" s="679"/>
    </row>
    <row r="52330" spans="32:32" x14ac:dyDescent="0.2">
      <c r="AF52330" s="679"/>
    </row>
    <row r="52331" spans="32:32" x14ac:dyDescent="0.2">
      <c r="AF52331" s="679"/>
    </row>
    <row r="52332" spans="32:32" x14ac:dyDescent="0.2">
      <c r="AF52332" s="679"/>
    </row>
    <row r="52333" spans="32:32" x14ac:dyDescent="0.2">
      <c r="AF52333" s="679"/>
    </row>
    <row r="52334" spans="32:32" x14ac:dyDescent="0.2">
      <c r="AF52334" s="679"/>
    </row>
    <row r="52335" spans="32:32" x14ac:dyDescent="0.2">
      <c r="AF52335" s="679"/>
    </row>
    <row r="52336" spans="32:32" x14ac:dyDescent="0.2">
      <c r="AF52336" s="679"/>
    </row>
    <row r="52337" spans="32:32" x14ac:dyDescent="0.2">
      <c r="AF52337" s="679"/>
    </row>
    <row r="52338" spans="32:32" x14ac:dyDescent="0.2">
      <c r="AF52338" s="679"/>
    </row>
    <row r="52339" spans="32:32" x14ac:dyDescent="0.2">
      <c r="AF52339" s="679"/>
    </row>
    <row r="52340" spans="32:32" x14ac:dyDescent="0.2">
      <c r="AF52340" s="679"/>
    </row>
    <row r="52341" spans="32:32" x14ac:dyDescent="0.2">
      <c r="AF52341" s="679"/>
    </row>
    <row r="52342" spans="32:32" x14ac:dyDescent="0.2">
      <c r="AF52342" s="679"/>
    </row>
    <row r="52343" spans="32:32" x14ac:dyDescent="0.2">
      <c r="AF52343" s="679"/>
    </row>
    <row r="52344" spans="32:32" x14ac:dyDescent="0.2">
      <c r="AF52344" s="679"/>
    </row>
    <row r="52345" spans="32:32" x14ac:dyDescent="0.2">
      <c r="AF52345" s="679"/>
    </row>
    <row r="52346" spans="32:32" x14ac:dyDescent="0.2">
      <c r="AF52346" s="679"/>
    </row>
    <row r="52347" spans="32:32" x14ac:dyDescent="0.2">
      <c r="AF52347" s="679"/>
    </row>
    <row r="52348" spans="32:32" x14ac:dyDescent="0.2">
      <c r="AF52348" s="679"/>
    </row>
    <row r="52349" spans="32:32" x14ac:dyDescent="0.2">
      <c r="AF52349" s="679"/>
    </row>
    <row r="52350" spans="32:32" x14ac:dyDescent="0.2">
      <c r="AF52350" s="679"/>
    </row>
    <row r="52351" spans="32:32" x14ac:dyDescent="0.2">
      <c r="AF52351" s="679"/>
    </row>
    <row r="52352" spans="32:32" x14ac:dyDescent="0.2">
      <c r="AF52352" s="679"/>
    </row>
    <row r="52353" spans="32:32" x14ac:dyDescent="0.2">
      <c r="AF52353" s="679"/>
    </row>
    <row r="52354" spans="32:32" x14ac:dyDescent="0.2">
      <c r="AF52354" s="679"/>
    </row>
    <row r="52355" spans="32:32" x14ac:dyDescent="0.2">
      <c r="AF52355" s="679"/>
    </row>
    <row r="52356" spans="32:32" x14ac:dyDescent="0.2">
      <c r="AF52356" s="679"/>
    </row>
    <row r="52357" spans="32:32" x14ac:dyDescent="0.2">
      <c r="AF52357" s="679"/>
    </row>
    <row r="52358" spans="32:32" x14ac:dyDescent="0.2">
      <c r="AF52358" s="679"/>
    </row>
    <row r="52359" spans="32:32" x14ac:dyDescent="0.2">
      <c r="AF52359" s="679"/>
    </row>
    <row r="52360" spans="32:32" x14ac:dyDescent="0.2">
      <c r="AF52360" s="679"/>
    </row>
    <row r="52361" spans="32:32" x14ac:dyDescent="0.2">
      <c r="AF52361" s="679"/>
    </row>
    <row r="52362" spans="32:32" x14ac:dyDescent="0.2">
      <c r="AF52362" s="679"/>
    </row>
    <row r="52363" spans="32:32" x14ac:dyDescent="0.2">
      <c r="AF52363" s="679"/>
    </row>
    <row r="52364" spans="32:32" x14ac:dyDescent="0.2">
      <c r="AF52364" s="679"/>
    </row>
    <row r="52365" spans="32:32" x14ac:dyDescent="0.2">
      <c r="AF52365" s="679"/>
    </row>
    <row r="52366" spans="32:32" x14ac:dyDescent="0.2">
      <c r="AF52366" s="679"/>
    </row>
    <row r="52367" spans="32:32" x14ac:dyDescent="0.2">
      <c r="AF52367" s="679"/>
    </row>
    <row r="52368" spans="32:32" x14ac:dyDescent="0.2">
      <c r="AF52368" s="679"/>
    </row>
    <row r="52369" spans="32:32" x14ac:dyDescent="0.2">
      <c r="AF52369" s="679"/>
    </row>
    <row r="52370" spans="32:32" x14ac:dyDescent="0.2">
      <c r="AF52370" s="679"/>
    </row>
    <row r="52371" spans="32:32" x14ac:dyDescent="0.2">
      <c r="AF52371" s="679"/>
    </row>
    <row r="52372" spans="32:32" x14ac:dyDescent="0.2">
      <c r="AF52372" s="679"/>
    </row>
    <row r="52373" spans="32:32" x14ac:dyDescent="0.2">
      <c r="AF52373" s="679"/>
    </row>
    <row r="52374" spans="32:32" x14ac:dyDescent="0.2">
      <c r="AF52374" s="679"/>
    </row>
    <row r="52375" spans="32:32" x14ac:dyDescent="0.2">
      <c r="AF52375" s="679"/>
    </row>
    <row r="52376" spans="32:32" x14ac:dyDescent="0.2">
      <c r="AF52376" s="679"/>
    </row>
    <row r="52377" spans="32:32" x14ac:dyDescent="0.2">
      <c r="AF52377" s="679"/>
    </row>
    <row r="52378" spans="32:32" x14ac:dyDescent="0.2">
      <c r="AF52378" s="679"/>
    </row>
    <row r="52379" spans="32:32" x14ac:dyDescent="0.2">
      <c r="AF52379" s="679"/>
    </row>
    <row r="52380" spans="32:32" x14ac:dyDescent="0.2">
      <c r="AF52380" s="679"/>
    </row>
    <row r="52381" spans="32:32" x14ac:dyDescent="0.2">
      <c r="AF52381" s="679"/>
    </row>
    <row r="52382" spans="32:32" x14ac:dyDescent="0.2">
      <c r="AF52382" s="679"/>
    </row>
    <row r="52383" spans="32:32" x14ac:dyDescent="0.2">
      <c r="AF52383" s="679"/>
    </row>
    <row r="52384" spans="32:32" x14ac:dyDescent="0.2">
      <c r="AF52384" s="679"/>
    </row>
    <row r="52385" spans="32:32" x14ac:dyDescent="0.2">
      <c r="AF52385" s="679"/>
    </row>
    <row r="52386" spans="32:32" x14ac:dyDescent="0.2">
      <c r="AF52386" s="679"/>
    </row>
    <row r="52387" spans="32:32" x14ac:dyDescent="0.2">
      <c r="AF52387" s="679"/>
    </row>
    <row r="52388" spans="32:32" x14ac:dyDescent="0.2">
      <c r="AF52388" s="679"/>
    </row>
    <row r="52389" spans="32:32" x14ac:dyDescent="0.2">
      <c r="AF52389" s="679"/>
    </row>
    <row r="52390" spans="32:32" x14ac:dyDescent="0.2">
      <c r="AF52390" s="679"/>
    </row>
    <row r="52391" spans="32:32" x14ac:dyDescent="0.2">
      <c r="AF52391" s="679"/>
    </row>
    <row r="52392" spans="32:32" x14ac:dyDescent="0.2">
      <c r="AF52392" s="679"/>
    </row>
    <row r="52393" spans="32:32" x14ac:dyDescent="0.2">
      <c r="AF52393" s="679"/>
    </row>
    <row r="52394" spans="32:32" x14ac:dyDescent="0.2">
      <c r="AF52394" s="679"/>
    </row>
    <row r="52395" spans="32:32" x14ac:dyDescent="0.2">
      <c r="AF52395" s="679"/>
    </row>
    <row r="52396" spans="32:32" x14ac:dyDescent="0.2">
      <c r="AF52396" s="679"/>
    </row>
    <row r="52397" spans="32:32" x14ac:dyDescent="0.2">
      <c r="AF52397" s="679"/>
    </row>
    <row r="52398" spans="32:32" x14ac:dyDescent="0.2">
      <c r="AF52398" s="679"/>
    </row>
    <row r="52399" spans="32:32" x14ac:dyDescent="0.2">
      <c r="AF52399" s="679"/>
    </row>
    <row r="52400" spans="32:32" x14ac:dyDescent="0.2">
      <c r="AF52400" s="679"/>
    </row>
    <row r="52401" spans="32:32" x14ac:dyDescent="0.2">
      <c r="AF52401" s="679"/>
    </row>
    <row r="52402" spans="32:32" x14ac:dyDescent="0.2">
      <c r="AF52402" s="679"/>
    </row>
    <row r="52403" spans="32:32" x14ac:dyDescent="0.2">
      <c r="AF52403" s="679"/>
    </row>
    <row r="52404" spans="32:32" x14ac:dyDescent="0.2">
      <c r="AF52404" s="679"/>
    </row>
    <row r="52405" spans="32:32" x14ac:dyDescent="0.2">
      <c r="AF52405" s="679"/>
    </row>
    <row r="52406" spans="32:32" x14ac:dyDescent="0.2">
      <c r="AF52406" s="679"/>
    </row>
    <row r="52407" spans="32:32" x14ac:dyDescent="0.2">
      <c r="AF52407" s="679"/>
    </row>
    <row r="52408" spans="32:32" x14ac:dyDescent="0.2">
      <c r="AF52408" s="679"/>
    </row>
    <row r="52409" spans="32:32" x14ac:dyDescent="0.2">
      <c r="AF52409" s="679"/>
    </row>
    <row r="52410" spans="32:32" x14ac:dyDescent="0.2">
      <c r="AF52410" s="679"/>
    </row>
    <row r="52411" spans="32:32" x14ac:dyDescent="0.2">
      <c r="AF52411" s="679"/>
    </row>
    <row r="52412" spans="32:32" x14ac:dyDescent="0.2">
      <c r="AF52412" s="679"/>
    </row>
    <row r="52413" spans="32:32" x14ac:dyDescent="0.2">
      <c r="AF52413" s="679"/>
    </row>
    <row r="52414" spans="32:32" x14ac:dyDescent="0.2">
      <c r="AF52414" s="679"/>
    </row>
    <row r="52415" spans="32:32" x14ac:dyDescent="0.2">
      <c r="AF52415" s="679"/>
    </row>
    <row r="52416" spans="32:32" x14ac:dyDescent="0.2">
      <c r="AF52416" s="679"/>
    </row>
    <row r="52417" spans="32:32" x14ac:dyDescent="0.2">
      <c r="AF52417" s="679"/>
    </row>
    <row r="52418" spans="32:32" x14ac:dyDescent="0.2">
      <c r="AF52418" s="679"/>
    </row>
    <row r="52419" spans="32:32" x14ac:dyDescent="0.2">
      <c r="AF52419" s="679"/>
    </row>
    <row r="52420" spans="32:32" x14ac:dyDescent="0.2">
      <c r="AF52420" s="679"/>
    </row>
    <row r="52421" spans="32:32" x14ac:dyDescent="0.2">
      <c r="AF52421" s="679"/>
    </row>
    <row r="52422" spans="32:32" x14ac:dyDescent="0.2">
      <c r="AF52422" s="679"/>
    </row>
    <row r="52423" spans="32:32" x14ac:dyDescent="0.2">
      <c r="AF52423" s="679"/>
    </row>
    <row r="52424" spans="32:32" x14ac:dyDescent="0.2">
      <c r="AF52424" s="679"/>
    </row>
    <row r="52425" spans="32:32" x14ac:dyDescent="0.2">
      <c r="AF52425" s="679"/>
    </row>
    <row r="52426" spans="32:32" x14ac:dyDescent="0.2">
      <c r="AF52426" s="679"/>
    </row>
    <row r="52427" spans="32:32" x14ac:dyDescent="0.2">
      <c r="AF52427" s="679"/>
    </row>
    <row r="52428" spans="32:32" x14ac:dyDescent="0.2">
      <c r="AF52428" s="679"/>
    </row>
    <row r="52429" spans="32:32" x14ac:dyDescent="0.2">
      <c r="AF52429" s="679"/>
    </row>
    <row r="52430" spans="32:32" x14ac:dyDescent="0.2">
      <c r="AF52430" s="679"/>
    </row>
    <row r="52431" spans="32:32" x14ac:dyDescent="0.2">
      <c r="AF52431" s="679"/>
    </row>
    <row r="52432" spans="32:32" x14ac:dyDescent="0.2">
      <c r="AF52432" s="679"/>
    </row>
    <row r="52433" spans="32:32" x14ac:dyDescent="0.2">
      <c r="AF52433" s="679"/>
    </row>
    <row r="52434" spans="32:32" x14ac:dyDescent="0.2">
      <c r="AF52434" s="679"/>
    </row>
    <row r="52435" spans="32:32" x14ac:dyDescent="0.2">
      <c r="AF52435" s="679"/>
    </row>
    <row r="52436" spans="32:32" x14ac:dyDescent="0.2">
      <c r="AF52436" s="679"/>
    </row>
    <row r="52437" spans="32:32" x14ac:dyDescent="0.2">
      <c r="AF52437" s="679"/>
    </row>
    <row r="52438" spans="32:32" x14ac:dyDescent="0.2">
      <c r="AF52438" s="679"/>
    </row>
    <row r="52439" spans="32:32" x14ac:dyDescent="0.2">
      <c r="AF52439" s="679"/>
    </row>
    <row r="52440" spans="32:32" x14ac:dyDescent="0.2">
      <c r="AF52440" s="679"/>
    </row>
    <row r="52441" spans="32:32" x14ac:dyDescent="0.2">
      <c r="AF52441" s="679"/>
    </row>
    <row r="52442" spans="32:32" x14ac:dyDescent="0.2">
      <c r="AF52442" s="679"/>
    </row>
    <row r="52443" spans="32:32" x14ac:dyDescent="0.2">
      <c r="AF52443" s="679"/>
    </row>
    <row r="52444" spans="32:32" x14ac:dyDescent="0.2">
      <c r="AF52444" s="679"/>
    </row>
    <row r="52445" spans="32:32" x14ac:dyDescent="0.2">
      <c r="AF52445" s="679"/>
    </row>
    <row r="52446" spans="32:32" x14ac:dyDescent="0.2">
      <c r="AF52446" s="679"/>
    </row>
    <row r="52447" spans="32:32" x14ac:dyDescent="0.2">
      <c r="AF52447" s="679"/>
    </row>
    <row r="52448" spans="32:32" x14ac:dyDescent="0.2">
      <c r="AF52448" s="679"/>
    </row>
    <row r="52449" spans="32:32" x14ac:dyDescent="0.2">
      <c r="AF52449" s="679"/>
    </row>
    <row r="52450" spans="32:32" x14ac:dyDescent="0.2">
      <c r="AF52450" s="679"/>
    </row>
    <row r="52451" spans="32:32" x14ac:dyDescent="0.2">
      <c r="AF52451" s="679"/>
    </row>
    <row r="52452" spans="32:32" x14ac:dyDescent="0.2">
      <c r="AF52452" s="679"/>
    </row>
    <row r="52453" spans="32:32" x14ac:dyDescent="0.2">
      <c r="AF52453" s="679"/>
    </row>
    <row r="52454" spans="32:32" x14ac:dyDescent="0.2">
      <c r="AF52454" s="679"/>
    </row>
    <row r="52455" spans="32:32" x14ac:dyDescent="0.2">
      <c r="AF52455" s="679"/>
    </row>
    <row r="52456" spans="32:32" x14ac:dyDescent="0.2">
      <c r="AF52456" s="679"/>
    </row>
    <row r="52457" spans="32:32" x14ac:dyDescent="0.2">
      <c r="AF52457" s="679"/>
    </row>
    <row r="52458" spans="32:32" x14ac:dyDescent="0.2">
      <c r="AF52458" s="679"/>
    </row>
    <row r="52459" spans="32:32" x14ac:dyDescent="0.2">
      <c r="AF52459" s="679"/>
    </row>
    <row r="52460" spans="32:32" x14ac:dyDescent="0.2">
      <c r="AF52460" s="679"/>
    </row>
    <row r="52461" spans="32:32" x14ac:dyDescent="0.2">
      <c r="AF52461" s="679"/>
    </row>
    <row r="52462" spans="32:32" x14ac:dyDescent="0.2">
      <c r="AF52462" s="679"/>
    </row>
    <row r="52463" spans="32:32" x14ac:dyDescent="0.2">
      <c r="AF52463" s="679"/>
    </row>
    <row r="52464" spans="32:32" x14ac:dyDescent="0.2">
      <c r="AF52464" s="679"/>
    </row>
    <row r="52465" spans="32:32" x14ac:dyDescent="0.2">
      <c r="AF52465" s="679"/>
    </row>
    <row r="52466" spans="32:32" x14ac:dyDescent="0.2">
      <c r="AF52466" s="679"/>
    </row>
    <row r="52467" spans="32:32" x14ac:dyDescent="0.2">
      <c r="AF52467" s="679"/>
    </row>
    <row r="52468" spans="32:32" x14ac:dyDescent="0.2">
      <c r="AF52468" s="679"/>
    </row>
    <row r="52469" spans="32:32" x14ac:dyDescent="0.2">
      <c r="AF52469" s="679"/>
    </row>
    <row r="52470" spans="32:32" x14ac:dyDescent="0.2">
      <c r="AF52470" s="679"/>
    </row>
    <row r="52471" spans="32:32" x14ac:dyDescent="0.2">
      <c r="AF52471" s="679"/>
    </row>
    <row r="52472" spans="32:32" x14ac:dyDescent="0.2">
      <c r="AF52472" s="679"/>
    </row>
    <row r="52473" spans="32:32" x14ac:dyDescent="0.2">
      <c r="AF52473" s="679"/>
    </row>
    <row r="52474" spans="32:32" x14ac:dyDescent="0.2">
      <c r="AF52474" s="679"/>
    </row>
    <row r="52475" spans="32:32" x14ac:dyDescent="0.2">
      <c r="AF52475" s="679"/>
    </row>
    <row r="52476" spans="32:32" x14ac:dyDescent="0.2">
      <c r="AF52476" s="679"/>
    </row>
    <row r="52477" spans="32:32" x14ac:dyDescent="0.2">
      <c r="AF52477" s="679"/>
    </row>
    <row r="52478" spans="32:32" x14ac:dyDescent="0.2">
      <c r="AF52478" s="679"/>
    </row>
    <row r="52479" spans="32:32" x14ac:dyDescent="0.2">
      <c r="AF52479" s="679"/>
    </row>
    <row r="52480" spans="32:32" x14ac:dyDescent="0.2">
      <c r="AF52480" s="679"/>
    </row>
    <row r="52481" spans="32:32" x14ac:dyDescent="0.2">
      <c r="AF52481" s="679"/>
    </row>
    <row r="52482" spans="32:32" x14ac:dyDescent="0.2">
      <c r="AF52482" s="679"/>
    </row>
    <row r="52483" spans="32:32" x14ac:dyDescent="0.2">
      <c r="AF52483" s="679"/>
    </row>
    <row r="52484" spans="32:32" x14ac:dyDescent="0.2">
      <c r="AF52484" s="679"/>
    </row>
    <row r="52485" spans="32:32" x14ac:dyDescent="0.2">
      <c r="AF52485" s="679"/>
    </row>
    <row r="52486" spans="32:32" x14ac:dyDescent="0.2">
      <c r="AF52486" s="679"/>
    </row>
    <row r="52487" spans="32:32" x14ac:dyDescent="0.2">
      <c r="AF52487" s="679"/>
    </row>
    <row r="52488" spans="32:32" x14ac:dyDescent="0.2">
      <c r="AF52488" s="679"/>
    </row>
    <row r="52489" spans="32:32" x14ac:dyDescent="0.2">
      <c r="AF52489" s="679"/>
    </row>
    <row r="52490" spans="32:32" x14ac:dyDescent="0.2">
      <c r="AF52490" s="679"/>
    </row>
    <row r="52491" spans="32:32" x14ac:dyDescent="0.2">
      <c r="AF52491" s="679"/>
    </row>
    <row r="52492" spans="32:32" x14ac:dyDescent="0.2">
      <c r="AF52492" s="679"/>
    </row>
    <row r="52493" spans="32:32" x14ac:dyDescent="0.2">
      <c r="AF52493" s="679"/>
    </row>
    <row r="52494" spans="32:32" x14ac:dyDescent="0.2">
      <c r="AF52494" s="679"/>
    </row>
    <row r="52495" spans="32:32" x14ac:dyDescent="0.2">
      <c r="AF52495" s="679"/>
    </row>
    <row r="52496" spans="32:32" x14ac:dyDescent="0.2">
      <c r="AF52496" s="679"/>
    </row>
    <row r="52497" spans="32:32" x14ac:dyDescent="0.2">
      <c r="AF52497" s="679"/>
    </row>
    <row r="52498" spans="32:32" x14ac:dyDescent="0.2">
      <c r="AF52498" s="679"/>
    </row>
    <row r="52499" spans="32:32" x14ac:dyDescent="0.2">
      <c r="AF52499" s="679"/>
    </row>
    <row r="52500" spans="32:32" x14ac:dyDescent="0.2">
      <c r="AF52500" s="679"/>
    </row>
    <row r="52501" spans="32:32" x14ac:dyDescent="0.2">
      <c r="AF52501" s="679"/>
    </row>
    <row r="52502" spans="32:32" x14ac:dyDescent="0.2">
      <c r="AF52502" s="679"/>
    </row>
    <row r="52503" spans="32:32" x14ac:dyDescent="0.2">
      <c r="AF52503" s="679"/>
    </row>
    <row r="52504" spans="32:32" x14ac:dyDescent="0.2">
      <c r="AF52504" s="679"/>
    </row>
    <row r="52505" spans="32:32" x14ac:dyDescent="0.2">
      <c r="AF52505" s="679"/>
    </row>
    <row r="52506" spans="32:32" x14ac:dyDescent="0.2">
      <c r="AF52506" s="679"/>
    </row>
    <row r="52507" spans="32:32" x14ac:dyDescent="0.2">
      <c r="AF52507" s="679"/>
    </row>
    <row r="52508" spans="32:32" x14ac:dyDescent="0.2">
      <c r="AF52508" s="679"/>
    </row>
    <row r="52509" spans="32:32" x14ac:dyDescent="0.2">
      <c r="AF52509" s="679"/>
    </row>
    <row r="52510" spans="32:32" x14ac:dyDescent="0.2">
      <c r="AF52510" s="679"/>
    </row>
    <row r="52511" spans="32:32" x14ac:dyDescent="0.2">
      <c r="AF52511" s="679"/>
    </row>
    <row r="52512" spans="32:32" x14ac:dyDescent="0.2">
      <c r="AF52512" s="679"/>
    </row>
    <row r="52513" spans="32:32" x14ac:dyDescent="0.2">
      <c r="AF52513" s="679"/>
    </row>
    <row r="52514" spans="32:32" x14ac:dyDescent="0.2">
      <c r="AF52514" s="679"/>
    </row>
    <row r="52515" spans="32:32" x14ac:dyDescent="0.2">
      <c r="AF52515" s="679"/>
    </row>
    <row r="52516" spans="32:32" x14ac:dyDescent="0.2">
      <c r="AF52516" s="679"/>
    </row>
    <row r="52517" spans="32:32" x14ac:dyDescent="0.2">
      <c r="AF52517" s="679"/>
    </row>
    <row r="52518" spans="32:32" x14ac:dyDescent="0.2">
      <c r="AF52518" s="679"/>
    </row>
    <row r="52519" spans="32:32" x14ac:dyDescent="0.2">
      <c r="AF52519" s="679"/>
    </row>
    <row r="52520" spans="32:32" x14ac:dyDescent="0.2">
      <c r="AF52520" s="679"/>
    </row>
    <row r="52521" spans="32:32" x14ac:dyDescent="0.2">
      <c r="AF52521" s="679"/>
    </row>
    <row r="52522" spans="32:32" x14ac:dyDescent="0.2">
      <c r="AF52522" s="679"/>
    </row>
    <row r="52523" spans="32:32" x14ac:dyDescent="0.2">
      <c r="AF52523" s="679"/>
    </row>
    <row r="52524" spans="32:32" x14ac:dyDescent="0.2">
      <c r="AF52524" s="679"/>
    </row>
    <row r="52525" spans="32:32" x14ac:dyDescent="0.2">
      <c r="AF52525" s="679"/>
    </row>
    <row r="52526" spans="32:32" x14ac:dyDescent="0.2">
      <c r="AF52526" s="679"/>
    </row>
    <row r="52527" spans="32:32" x14ac:dyDescent="0.2">
      <c r="AF52527" s="679"/>
    </row>
    <row r="52528" spans="32:32" x14ac:dyDescent="0.2">
      <c r="AF52528" s="679"/>
    </row>
    <row r="52529" spans="32:32" x14ac:dyDescent="0.2">
      <c r="AF52529" s="679"/>
    </row>
    <row r="52530" spans="32:32" x14ac:dyDescent="0.2">
      <c r="AF52530" s="679"/>
    </row>
    <row r="52531" spans="32:32" x14ac:dyDescent="0.2">
      <c r="AF52531" s="679"/>
    </row>
    <row r="52532" spans="32:32" x14ac:dyDescent="0.2">
      <c r="AF52532" s="679"/>
    </row>
    <row r="52533" spans="32:32" x14ac:dyDescent="0.2">
      <c r="AF52533" s="679"/>
    </row>
    <row r="52534" spans="32:32" x14ac:dyDescent="0.2">
      <c r="AF52534" s="679"/>
    </row>
    <row r="52535" spans="32:32" x14ac:dyDescent="0.2">
      <c r="AF52535" s="679"/>
    </row>
    <row r="52536" spans="32:32" x14ac:dyDescent="0.2">
      <c r="AF52536" s="679"/>
    </row>
    <row r="52537" spans="32:32" x14ac:dyDescent="0.2">
      <c r="AF52537" s="679"/>
    </row>
    <row r="52538" spans="32:32" x14ac:dyDescent="0.2">
      <c r="AF52538" s="679"/>
    </row>
    <row r="52539" spans="32:32" x14ac:dyDescent="0.2">
      <c r="AF52539" s="679"/>
    </row>
    <row r="52540" spans="32:32" x14ac:dyDescent="0.2">
      <c r="AF52540" s="679"/>
    </row>
    <row r="52541" spans="32:32" x14ac:dyDescent="0.2">
      <c r="AF52541" s="679"/>
    </row>
    <row r="52542" spans="32:32" x14ac:dyDescent="0.2">
      <c r="AF52542" s="679"/>
    </row>
    <row r="52543" spans="32:32" x14ac:dyDescent="0.2">
      <c r="AF52543" s="679"/>
    </row>
    <row r="52544" spans="32:32" x14ac:dyDescent="0.2">
      <c r="AF52544" s="679"/>
    </row>
    <row r="52545" spans="32:32" x14ac:dyDescent="0.2">
      <c r="AF52545" s="679"/>
    </row>
    <row r="52546" spans="32:32" x14ac:dyDescent="0.2">
      <c r="AF52546" s="679"/>
    </row>
    <row r="52547" spans="32:32" x14ac:dyDescent="0.2">
      <c r="AF52547" s="679"/>
    </row>
    <row r="52548" spans="32:32" x14ac:dyDescent="0.2">
      <c r="AF52548" s="679"/>
    </row>
    <row r="52549" spans="32:32" x14ac:dyDescent="0.2">
      <c r="AF52549" s="679"/>
    </row>
    <row r="52550" spans="32:32" x14ac:dyDescent="0.2">
      <c r="AF52550" s="679"/>
    </row>
    <row r="52551" spans="32:32" x14ac:dyDescent="0.2">
      <c r="AF52551" s="679"/>
    </row>
    <row r="52552" spans="32:32" x14ac:dyDescent="0.2">
      <c r="AF52552" s="679"/>
    </row>
    <row r="52553" spans="32:32" x14ac:dyDescent="0.2">
      <c r="AF52553" s="679"/>
    </row>
    <row r="52554" spans="32:32" x14ac:dyDescent="0.2">
      <c r="AF52554" s="679"/>
    </row>
    <row r="52555" spans="32:32" x14ac:dyDescent="0.2">
      <c r="AF52555" s="679"/>
    </row>
    <row r="52556" spans="32:32" x14ac:dyDescent="0.2">
      <c r="AF52556" s="679"/>
    </row>
    <row r="52557" spans="32:32" x14ac:dyDescent="0.2">
      <c r="AF52557" s="679"/>
    </row>
    <row r="52558" spans="32:32" x14ac:dyDescent="0.2">
      <c r="AF52558" s="679"/>
    </row>
    <row r="52559" spans="32:32" x14ac:dyDescent="0.2">
      <c r="AF52559" s="679"/>
    </row>
    <row r="52560" spans="32:32" x14ac:dyDescent="0.2">
      <c r="AF52560" s="679"/>
    </row>
    <row r="52561" spans="32:32" x14ac:dyDescent="0.2">
      <c r="AF52561" s="679"/>
    </row>
    <row r="52562" spans="32:32" x14ac:dyDescent="0.2">
      <c r="AF52562" s="679"/>
    </row>
    <row r="52563" spans="32:32" x14ac:dyDescent="0.2">
      <c r="AF52563" s="679"/>
    </row>
    <row r="52564" spans="32:32" x14ac:dyDescent="0.2">
      <c r="AF52564" s="679"/>
    </row>
    <row r="52565" spans="32:32" x14ac:dyDescent="0.2">
      <c r="AF52565" s="679"/>
    </row>
    <row r="52566" spans="32:32" x14ac:dyDescent="0.2">
      <c r="AF52566" s="679"/>
    </row>
    <row r="52567" spans="32:32" x14ac:dyDescent="0.2">
      <c r="AF52567" s="679"/>
    </row>
    <row r="52568" spans="32:32" x14ac:dyDescent="0.2">
      <c r="AF52568" s="679"/>
    </row>
    <row r="52569" spans="32:32" x14ac:dyDescent="0.2">
      <c r="AF52569" s="679"/>
    </row>
    <row r="52570" spans="32:32" x14ac:dyDescent="0.2">
      <c r="AF52570" s="679"/>
    </row>
    <row r="52571" spans="32:32" x14ac:dyDescent="0.2">
      <c r="AF52571" s="679"/>
    </row>
    <row r="52572" spans="32:32" x14ac:dyDescent="0.2">
      <c r="AF52572" s="679"/>
    </row>
    <row r="52573" spans="32:32" x14ac:dyDescent="0.2">
      <c r="AF52573" s="679"/>
    </row>
    <row r="52574" spans="32:32" x14ac:dyDescent="0.2">
      <c r="AF52574" s="679"/>
    </row>
    <row r="52575" spans="32:32" x14ac:dyDescent="0.2">
      <c r="AF52575" s="679"/>
    </row>
    <row r="52576" spans="32:32" x14ac:dyDescent="0.2">
      <c r="AF52576" s="679"/>
    </row>
    <row r="52577" spans="32:32" x14ac:dyDescent="0.2">
      <c r="AF52577" s="679"/>
    </row>
    <row r="52578" spans="32:32" x14ac:dyDescent="0.2">
      <c r="AF52578" s="679"/>
    </row>
    <row r="52579" spans="32:32" x14ac:dyDescent="0.2">
      <c r="AF52579" s="679"/>
    </row>
    <row r="52580" spans="32:32" x14ac:dyDescent="0.2">
      <c r="AF52580" s="679"/>
    </row>
    <row r="52581" spans="32:32" x14ac:dyDescent="0.2">
      <c r="AF52581" s="679"/>
    </row>
    <row r="52582" spans="32:32" x14ac:dyDescent="0.2">
      <c r="AF52582" s="679"/>
    </row>
    <row r="52583" spans="32:32" x14ac:dyDescent="0.2">
      <c r="AF52583" s="679"/>
    </row>
    <row r="52584" spans="32:32" x14ac:dyDescent="0.2">
      <c r="AF52584" s="679"/>
    </row>
    <row r="52585" spans="32:32" x14ac:dyDescent="0.2">
      <c r="AF52585" s="679"/>
    </row>
    <row r="52586" spans="32:32" x14ac:dyDescent="0.2">
      <c r="AF52586" s="679"/>
    </row>
    <row r="52587" spans="32:32" x14ac:dyDescent="0.2">
      <c r="AF52587" s="679"/>
    </row>
    <row r="52588" spans="32:32" x14ac:dyDescent="0.2">
      <c r="AF52588" s="679"/>
    </row>
    <row r="52589" spans="32:32" x14ac:dyDescent="0.2">
      <c r="AF52589" s="679"/>
    </row>
    <row r="52590" spans="32:32" x14ac:dyDescent="0.2">
      <c r="AF52590" s="679"/>
    </row>
    <row r="52591" spans="32:32" x14ac:dyDescent="0.2">
      <c r="AF52591" s="679"/>
    </row>
    <row r="52592" spans="32:32" x14ac:dyDescent="0.2">
      <c r="AF52592" s="679"/>
    </row>
    <row r="52593" spans="32:32" x14ac:dyDescent="0.2">
      <c r="AF52593" s="679"/>
    </row>
    <row r="52594" spans="32:32" x14ac:dyDescent="0.2">
      <c r="AF52594" s="679"/>
    </row>
    <row r="52595" spans="32:32" x14ac:dyDescent="0.2">
      <c r="AF52595" s="679"/>
    </row>
    <row r="52596" spans="32:32" x14ac:dyDescent="0.2">
      <c r="AF52596" s="679"/>
    </row>
    <row r="52597" spans="32:32" x14ac:dyDescent="0.2">
      <c r="AF52597" s="679"/>
    </row>
    <row r="52598" spans="32:32" x14ac:dyDescent="0.2">
      <c r="AF52598" s="679"/>
    </row>
    <row r="52599" spans="32:32" x14ac:dyDescent="0.2">
      <c r="AF52599" s="679"/>
    </row>
    <row r="52600" spans="32:32" x14ac:dyDescent="0.2">
      <c r="AF52600" s="679"/>
    </row>
    <row r="52601" spans="32:32" x14ac:dyDescent="0.2">
      <c r="AF52601" s="679"/>
    </row>
    <row r="52602" spans="32:32" x14ac:dyDescent="0.2">
      <c r="AF52602" s="679"/>
    </row>
    <row r="52603" spans="32:32" x14ac:dyDescent="0.2">
      <c r="AF52603" s="679"/>
    </row>
    <row r="52604" spans="32:32" x14ac:dyDescent="0.2">
      <c r="AF52604" s="679"/>
    </row>
    <row r="52605" spans="32:32" x14ac:dyDescent="0.2">
      <c r="AF52605" s="679"/>
    </row>
    <row r="52606" spans="32:32" x14ac:dyDescent="0.2">
      <c r="AF52606" s="679"/>
    </row>
    <row r="52607" spans="32:32" x14ac:dyDescent="0.2">
      <c r="AF52607" s="679"/>
    </row>
    <row r="52608" spans="32:32" x14ac:dyDescent="0.2">
      <c r="AF52608" s="679"/>
    </row>
    <row r="52609" spans="32:32" x14ac:dyDescent="0.2">
      <c r="AF52609" s="679"/>
    </row>
    <row r="52610" spans="32:32" x14ac:dyDescent="0.2">
      <c r="AF52610" s="679"/>
    </row>
    <row r="52611" spans="32:32" x14ac:dyDescent="0.2">
      <c r="AF52611" s="679"/>
    </row>
    <row r="52612" spans="32:32" x14ac:dyDescent="0.2">
      <c r="AF52612" s="679"/>
    </row>
    <row r="52613" spans="32:32" x14ac:dyDescent="0.2">
      <c r="AF52613" s="679"/>
    </row>
    <row r="52614" spans="32:32" x14ac:dyDescent="0.2">
      <c r="AF52614" s="679"/>
    </row>
    <row r="52615" spans="32:32" x14ac:dyDescent="0.2">
      <c r="AF52615" s="679"/>
    </row>
    <row r="52616" spans="32:32" x14ac:dyDescent="0.2">
      <c r="AF52616" s="679"/>
    </row>
    <row r="52617" spans="32:32" x14ac:dyDescent="0.2">
      <c r="AF52617" s="679"/>
    </row>
    <row r="52618" spans="32:32" x14ac:dyDescent="0.2">
      <c r="AF52618" s="679"/>
    </row>
    <row r="52619" spans="32:32" x14ac:dyDescent="0.2">
      <c r="AF52619" s="679"/>
    </row>
    <row r="52620" spans="32:32" x14ac:dyDescent="0.2">
      <c r="AF52620" s="679"/>
    </row>
    <row r="52621" spans="32:32" x14ac:dyDescent="0.2">
      <c r="AF52621" s="679"/>
    </row>
    <row r="52622" spans="32:32" x14ac:dyDescent="0.2">
      <c r="AF52622" s="679"/>
    </row>
    <row r="52623" spans="32:32" x14ac:dyDescent="0.2">
      <c r="AF52623" s="679"/>
    </row>
    <row r="52624" spans="32:32" x14ac:dyDescent="0.2">
      <c r="AF52624" s="679"/>
    </row>
    <row r="52625" spans="32:32" x14ac:dyDescent="0.2">
      <c r="AF52625" s="679"/>
    </row>
    <row r="52626" spans="32:32" x14ac:dyDescent="0.2">
      <c r="AF52626" s="679"/>
    </row>
    <row r="52627" spans="32:32" x14ac:dyDescent="0.2">
      <c r="AF52627" s="679"/>
    </row>
    <row r="52628" spans="32:32" x14ac:dyDescent="0.2">
      <c r="AF52628" s="679"/>
    </row>
    <row r="52629" spans="32:32" x14ac:dyDescent="0.2">
      <c r="AF52629" s="679"/>
    </row>
    <row r="52630" spans="32:32" x14ac:dyDescent="0.2">
      <c r="AF52630" s="679"/>
    </row>
    <row r="52631" spans="32:32" x14ac:dyDescent="0.2">
      <c r="AF52631" s="679"/>
    </row>
    <row r="52632" spans="32:32" x14ac:dyDescent="0.2">
      <c r="AF52632" s="679"/>
    </row>
    <row r="52633" spans="32:32" x14ac:dyDescent="0.2">
      <c r="AF52633" s="679"/>
    </row>
    <row r="52634" spans="32:32" x14ac:dyDescent="0.2">
      <c r="AF52634" s="679"/>
    </row>
    <row r="52635" spans="32:32" x14ac:dyDescent="0.2">
      <c r="AF52635" s="679"/>
    </row>
    <row r="52636" spans="32:32" x14ac:dyDescent="0.2">
      <c r="AF52636" s="679"/>
    </row>
    <row r="52637" spans="32:32" x14ac:dyDescent="0.2">
      <c r="AF52637" s="679"/>
    </row>
    <row r="52638" spans="32:32" x14ac:dyDescent="0.2">
      <c r="AF52638" s="679"/>
    </row>
    <row r="52639" spans="32:32" x14ac:dyDescent="0.2">
      <c r="AF52639" s="679"/>
    </row>
    <row r="52640" spans="32:32" x14ac:dyDescent="0.2">
      <c r="AF52640" s="679"/>
    </row>
    <row r="52641" spans="32:32" x14ac:dyDescent="0.2">
      <c r="AF52641" s="679"/>
    </row>
    <row r="52642" spans="32:32" x14ac:dyDescent="0.2">
      <c r="AF52642" s="679"/>
    </row>
    <row r="52643" spans="32:32" x14ac:dyDescent="0.2">
      <c r="AF52643" s="679"/>
    </row>
    <row r="52644" spans="32:32" x14ac:dyDescent="0.2">
      <c r="AF52644" s="679"/>
    </row>
    <row r="52645" spans="32:32" x14ac:dyDescent="0.2">
      <c r="AF52645" s="679"/>
    </row>
    <row r="52646" spans="32:32" x14ac:dyDescent="0.2">
      <c r="AF52646" s="679"/>
    </row>
    <row r="52647" spans="32:32" x14ac:dyDescent="0.2">
      <c r="AF52647" s="679"/>
    </row>
    <row r="52648" spans="32:32" x14ac:dyDescent="0.2">
      <c r="AF52648" s="679"/>
    </row>
    <row r="52649" spans="32:32" x14ac:dyDescent="0.2">
      <c r="AF52649" s="679"/>
    </row>
    <row r="52650" spans="32:32" x14ac:dyDescent="0.2">
      <c r="AF52650" s="679"/>
    </row>
    <row r="52651" spans="32:32" x14ac:dyDescent="0.2">
      <c r="AF52651" s="679"/>
    </row>
    <row r="52652" spans="32:32" x14ac:dyDescent="0.2">
      <c r="AF52652" s="679"/>
    </row>
    <row r="52653" spans="32:32" x14ac:dyDescent="0.2">
      <c r="AF52653" s="679"/>
    </row>
    <row r="52654" spans="32:32" x14ac:dyDescent="0.2">
      <c r="AF52654" s="679"/>
    </row>
    <row r="52655" spans="32:32" x14ac:dyDescent="0.2">
      <c r="AF52655" s="679"/>
    </row>
    <row r="52656" spans="32:32" x14ac:dyDescent="0.2">
      <c r="AF52656" s="679"/>
    </row>
    <row r="52657" spans="32:32" x14ac:dyDescent="0.2">
      <c r="AF52657" s="679"/>
    </row>
    <row r="52658" spans="32:32" x14ac:dyDescent="0.2">
      <c r="AF52658" s="679"/>
    </row>
    <row r="52659" spans="32:32" x14ac:dyDescent="0.2">
      <c r="AF52659" s="679"/>
    </row>
    <row r="52660" spans="32:32" x14ac:dyDescent="0.2">
      <c r="AF52660" s="679"/>
    </row>
    <row r="52661" spans="32:32" x14ac:dyDescent="0.2">
      <c r="AF52661" s="679"/>
    </row>
    <row r="52662" spans="32:32" x14ac:dyDescent="0.2">
      <c r="AF52662" s="679"/>
    </row>
    <row r="52663" spans="32:32" x14ac:dyDescent="0.2">
      <c r="AF52663" s="679"/>
    </row>
    <row r="52664" spans="32:32" x14ac:dyDescent="0.2">
      <c r="AF52664" s="679"/>
    </row>
    <row r="52665" spans="32:32" x14ac:dyDescent="0.2">
      <c r="AF52665" s="679"/>
    </row>
    <row r="52666" spans="32:32" x14ac:dyDescent="0.2">
      <c r="AF52666" s="679"/>
    </row>
    <row r="52667" spans="32:32" x14ac:dyDescent="0.2">
      <c r="AF52667" s="679"/>
    </row>
    <row r="52668" spans="32:32" x14ac:dyDescent="0.2">
      <c r="AF52668" s="679"/>
    </row>
    <row r="52669" spans="32:32" x14ac:dyDescent="0.2">
      <c r="AF52669" s="679"/>
    </row>
    <row r="52670" spans="32:32" x14ac:dyDescent="0.2">
      <c r="AF52670" s="679"/>
    </row>
    <row r="52671" spans="32:32" x14ac:dyDescent="0.2">
      <c r="AF52671" s="679"/>
    </row>
    <row r="52672" spans="32:32" x14ac:dyDescent="0.2">
      <c r="AF52672" s="679"/>
    </row>
    <row r="52673" spans="32:32" x14ac:dyDescent="0.2">
      <c r="AF52673" s="679"/>
    </row>
    <row r="52674" spans="32:32" x14ac:dyDescent="0.2">
      <c r="AF52674" s="679"/>
    </row>
    <row r="52675" spans="32:32" x14ac:dyDescent="0.2">
      <c r="AF52675" s="679"/>
    </row>
    <row r="52676" spans="32:32" x14ac:dyDescent="0.2">
      <c r="AF52676" s="679"/>
    </row>
    <row r="52677" spans="32:32" x14ac:dyDescent="0.2">
      <c r="AF52677" s="679"/>
    </row>
    <row r="52678" spans="32:32" x14ac:dyDescent="0.2">
      <c r="AF52678" s="679"/>
    </row>
    <row r="52679" spans="32:32" x14ac:dyDescent="0.2">
      <c r="AF52679" s="679"/>
    </row>
    <row r="52680" spans="32:32" x14ac:dyDescent="0.2">
      <c r="AF52680" s="679"/>
    </row>
    <row r="52681" spans="32:32" x14ac:dyDescent="0.2">
      <c r="AF52681" s="679"/>
    </row>
    <row r="52682" spans="32:32" x14ac:dyDescent="0.2">
      <c r="AF52682" s="679"/>
    </row>
    <row r="52683" spans="32:32" x14ac:dyDescent="0.2">
      <c r="AF52683" s="679"/>
    </row>
    <row r="52684" spans="32:32" x14ac:dyDescent="0.2">
      <c r="AF52684" s="679"/>
    </row>
    <row r="52685" spans="32:32" x14ac:dyDescent="0.2">
      <c r="AF52685" s="679"/>
    </row>
    <row r="52686" spans="32:32" x14ac:dyDescent="0.2">
      <c r="AF52686" s="679"/>
    </row>
    <row r="52687" spans="32:32" x14ac:dyDescent="0.2">
      <c r="AF52687" s="679"/>
    </row>
    <row r="52688" spans="32:32" x14ac:dyDescent="0.2">
      <c r="AF52688" s="679"/>
    </row>
    <row r="52689" spans="32:32" x14ac:dyDescent="0.2">
      <c r="AF52689" s="679"/>
    </row>
    <row r="52690" spans="32:32" x14ac:dyDescent="0.2">
      <c r="AF52690" s="679"/>
    </row>
    <row r="52691" spans="32:32" x14ac:dyDescent="0.2">
      <c r="AF52691" s="679"/>
    </row>
    <row r="52692" spans="32:32" x14ac:dyDescent="0.2">
      <c r="AF52692" s="679"/>
    </row>
    <row r="52693" spans="32:32" x14ac:dyDescent="0.2">
      <c r="AF52693" s="679"/>
    </row>
    <row r="52694" spans="32:32" x14ac:dyDescent="0.2">
      <c r="AF52694" s="679"/>
    </row>
    <row r="52695" spans="32:32" x14ac:dyDescent="0.2">
      <c r="AF52695" s="679"/>
    </row>
    <row r="52696" spans="32:32" x14ac:dyDescent="0.2">
      <c r="AF52696" s="679"/>
    </row>
    <row r="52697" spans="32:32" x14ac:dyDescent="0.2">
      <c r="AF52697" s="679"/>
    </row>
    <row r="52698" spans="32:32" x14ac:dyDescent="0.2">
      <c r="AF52698" s="679"/>
    </row>
    <row r="52699" spans="32:32" x14ac:dyDescent="0.2">
      <c r="AF52699" s="679"/>
    </row>
    <row r="52700" spans="32:32" x14ac:dyDescent="0.2">
      <c r="AF52700" s="679"/>
    </row>
    <row r="52701" spans="32:32" x14ac:dyDescent="0.2">
      <c r="AF52701" s="679"/>
    </row>
    <row r="52702" spans="32:32" x14ac:dyDescent="0.2">
      <c r="AF52702" s="679"/>
    </row>
    <row r="52703" spans="32:32" x14ac:dyDescent="0.2">
      <c r="AF52703" s="679"/>
    </row>
    <row r="52704" spans="32:32" x14ac:dyDescent="0.2">
      <c r="AF52704" s="679"/>
    </row>
    <row r="52705" spans="32:32" x14ac:dyDescent="0.2">
      <c r="AF52705" s="679"/>
    </row>
    <row r="52706" spans="32:32" x14ac:dyDescent="0.2">
      <c r="AF52706" s="679"/>
    </row>
    <row r="52707" spans="32:32" x14ac:dyDescent="0.2">
      <c r="AF52707" s="679"/>
    </row>
    <row r="52708" spans="32:32" x14ac:dyDescent="0.2">
      <c r="AF52708" s="679"/>
    </row>
    <row r="52709" spans="32:32" x14ac:dyDescent="0.2">
      <c r="AF52709" s="679"/>
    </row>
    <row r="52710" spans="32:32" x14ac:dyDescent="0.2">
      <c r="AF52710" s="679"/>
    </row>
    <row r="52711" spans="32:32" x14ac:dyDescent="0.2">
      <c r="AF52711" s="679"/>
    </row>
    <row r="52712" spans="32:32" x14ac:dyDescent="0.2">
      <c r="AF52712" s="679"/>
    </row>
    <row r="52713" spans="32:32" x14ac:dyDescent="0.2">
      <c r="AF52713" s="679"/>
    </row>
    <row r="52714" spans="32:32" x14ac:dyDescent="0.2">
      <c r="AF52714" s="679"/>
    </row>
    <row r="52715" spans="32:32" x14ac:dyDescent="0.2">
      <c r="AF52715" s="679"/>
    </row>
    <row r="52716" spans="32:32" x14ac:dyDescent="0.2">
      <c r="AF52716" s="679"/>
    </row>
    <row r="52717" spans="32:32" x14ac:dyDescent="0.2">
      <c r="AF52717" s="679"/>
    </row>
    <row r="52718" spans="32:32" x14ac:dyDescent="0.2">
      <c r="AF52718" s="679"/>
    </row>
    <row r="52719" spans="32:32" x14ac:dyDescent="0.2">
      <c r="AF52719" s="679"/>
    </row>
    <row r="52720" spans="32:32" x14ac:dyDescent="0.2">
      <c r="AF52720" s="679"/>
    </row>
    <row r="52721" spans="32:32" x14ac:dyDescent="0.2">
      <c r="AF52721" s="679"/>
    </row>
    <row r="52722" spans="32:32" x14ac:dyDescent="0.2">
      <c r="AF52722" s="679"/>
    </row>
    <row r="52723" spans="32:32" x14ac:dyDescent="0.2">
      <c r="AF52723" s="679"/>
    </row>
    <row r="52724" spans="32:32" x14ac:dyDescent="0.2">
      <c r="AF52724" s="679"/>
    </row>
    <row r="52725" spans="32:32" x14ac:dyDescent="0.2">
      <c r="AF52725" s="679"/>
    </row>
    <row r="52726" spans="32:32" x14ac:dyDescent="0.2">
      <c r="AF52726" s="679"/>
    </row>
    <row r="52727" spans="32:32" x14ac:dyDescent="0.2">
      <c r="AF52727" s="679"/>
    </row>
    <row r="52728" spans="32:32" x14ac:dyDescent="0.2">
      <c r="AF52728" s="679"/>
    </row>
    <row r="52729" spans="32:32" x14ac:dyDescent="0.2">
      <c r="AF52729" s="679"/>
    </row>
    <row r="52730" spans="32:32" x14ac:dyDescent="0.2">
      <c r="AF52730" s="679"/>
    </row>
    <row r="52731" spans="32:32" x14ac:dyDescent="0.2">
      <c r="AF52731" s="679"/>
    </row>
    <row r="52732" spans="32:32" x14ac:dyDescent="0.2">
      <c r="AF52732" s="679"/>
    </row>
    <row r="52733" spans="32:32" x14ac:dyDescent="0.2">
      <c r="AF52733" s="679"/>
    </row>
    <row r="52734" spans="32:32" x14ac:dyDescent="0.2">
      <c r="AF52734" s="679"/>
    </row>
    <row r="52735" spans="32:32" x14ac:dyDescent="0.2">
      <c r="AF52735" s="679"/>
    </row>
    <row r="52736" spans="32:32" x14ac:dyDescent="0.2">
      <c r="AF52736" s="679"/>
    </row>
    <row r="52737" spans="32:32" x14ac:dyDescent="0.2">
      <c r="AF52737" s="679"/>
    </row>
    <row r="52738" spans="32:32" x14ac:dyDescent="0.2">
      <c r="AF52738" s="679"/>
    </row>
    <row r="52739" spans="32:32" x14ac:dyDescent="0.2">
      <c r="AF52739" s="679"/>
    </row>
    <row r="52740" spans="32:32" x14ac:dyDescent="0.2">
      <c r="AF52740" s="679"/>
    </row>
    <row r="52741" spans="32:32" x14ac:dyDescent="0.2">
      <c r="AF52741" s="679"/>
    </row>
    <row r="52742" spans="32:32" x14ac:dyDescent="0.2">
      <c r="AF52742" s="679"/>
    </row>
    <row r="52743" spans="32:32" x14ac:dyDescent="0.2">
      <c r="AF52743" s="679"/>
    </row>
    <row r="52744" spans="32:32" x14ac:dyDescent="0.2">
      <c r="AF52744" s="679"/>
    </row>
    <row r="52745" spans="32:32" x14ac:dyDescent="0.2">
      <c r="AF52745" s="679"/>
    </row>
    <row r="52746" spans="32:32" x14ac:dyDescent="0.2">
      <c r="AF52746" s="679"/>
    </row>
    <row r="52747" spans="32:32" x14ac:dyDescent="0.2">
      <c r="AF52747" s="679"/>
    </row>
    <row r="52748" spans="32:32" x14ac:dyDescent="0.2">
      <c r="AF52748" s="679"/>
    </row>
    <row r="52749" spans="32:32" x14ac:dyDescent="0.2">
      <c r="AF52749" s="679"/>
    </row>
    <row r="52750" spans="32:32" x14ac:dyDescent="0.2">
      <c r="AF52750" s="679"/>
    </row>
    <row r="52751" spans="32:32" x14ac:dyDescent="0.2">
      <c r="AF52751" s="679"/>
    </row>
    <row r="52752" spans="32:32" x14ac:dyDescent="0.2">
      <c r="AF52752" s="679"/>
    </row>
    <row r="52753" spans="32:32" x14ac:dyDescent="0.2">
      <c r="AF52753" s="679"/>
    </row>
    <row r="52754" spans="32:32" x14ac:dyDescent="0.2">
      <c r="AF52754" s="679"/>
    </row>
    <row r="52755" spans="32:32" x14ac:dyDescent="0.2">
      <c r="AF52755" s="679"/>
    </row>
    <row r="52756" spans="32:32" x14ac:dyDescent="0.2">
      <c r="AF52756" s="679"/>
    </row>
    <row r="52757" spans="32:32" x14ac:dyDescent="0.2">
      <c r="AF52757" s="679"/>
    </row>
    <row r="52758" spans="32:32" x14ac:dyDescent="0.2">
      <c r="AF52758" s="679"/>
    </row>
    <row r="52759" spans="32:32" x14ac:dyDescent="0.2">
      <c r="AF52759" s="679"/>
    </row>
    <row r="52760" spans="32:32" x14ac:dyDescent="0.2">
      <c r="AF52760" s="679"/>
    </row>
    <row r="52761" spans="32:32" x14ac:dyDescent="0.2">
      <c r="AF52761" s="679"/>
    </row>
    <row r="52762" spans="32:32" x14ac:dyDescent="0.2">
      <c r="AF52762" s="679"/>
    </row>
    <row r="52763" spans="32:32" x14ac:dyDescent="0.2">
      <c r="AF52763" s="679"/>
    </row>
    <row r="52764" spans="32:32" x14ac:dyDescent="0.2">
      <c r="AF52764" s="679"/>
    </row>
    <row r="52765" spans="32:32" x14ac:dyDescent="0.2">
      <c r="AF52765" s="679"/>
    </row>
    <row r="52766" spans="32:32" x14ac:dyDescent="0.2">
      <c r="AF52766" s="679"/>
    </row>
    <row r="52767" spans="32:32" x14ac:dyDescent="0.2">
      <c r="AF52767" s="679"/>
    </row>
    <row r="52768" spans="32:32" x14ac:dyDescent="0.2">
      <c r="AF52768" s="679"/>
    </row>
    <row r="52769" spans="32:32" x14ac:dyDescent="0.2">
      <c r="AF52769" s="679"/>
    </row>
    <row r="52770" spans="32:32" x14ac:dyDescent="0.2">
      <c r="AF52770" s="679"/>
    </row>
    <row r="52771" spans="32:32" x14ac:dyDescent="0.2">
      <c r="AF52771" s="679"/>
    </row>
    <row r="52772" spans="32:32" x14ac:dyDescent="0.2">
      <c r="AF52772" s="679"/>
    </row>
    <row r="52773" spans="32:32" x14ac:dyDescent="0.2">
      <c r="AF52773" s="679"/>
    </row>
    <row r="52774" spans="32:32" x14ac:dyDescent="0.2">
      <c r="AF52774" s="679"/>
    </row>
    <row r="52775" spans="32:32" x14ac:dyDescent="0.2">
      <c r="AF52775" s="679"/>
    </row>
    <row r="52776" spans="32:32" x14ac:dyDescent="0.2">
      <c r="AF52776" s="679"/>
    </row>
    <row r="52777" spans="32:32" x14ac:dyDescent="0.2">
      <c r="AF52777" s="679"/>
    </row>
    <row r="52778" spans="32:32" x14ac:dyDescent="0.2">
      <c r="AF52778" s="679"/>
    </row>
    <row r="52779" spans="32:32" x14ac:dyDescent="0.2">
      <c r="AF52779" s="679"/>
    </row>
    <row r="52780" spans="32:32" x14ac:dyDescent="0.2">
      <c r="AF52780" s="679"/>
    </row>
    <row r="52781" spans="32:32" x14ac:dyDescent="0.2">
      <c r="AF52781" s="679"/>
    </row>
    <row r="52782" spans="32:32" x14ac:dyDescent="0.2">
      <c r="AF52782" s="679"/>
    </row>
    <row r="52783" spans="32:32" x14ac:dyDescent="0.2">
      <c r="AF52783" s="679"/>
    </row>
    <row r="52784" spans="32:32" x14ac:dyDescent="0.2">
      <c r="AF52784" s="679"/>
    </row>
    <row r="52785" spans="32:32" x14ac:dyDescent="0.2">
      <c r="AF52785" s="679"/>
    </row>
    <row r="52786" spans="32:32" x14ac:dyDescent="0.2">
      <c r="AF52786" s="679"/>
    </row>
    <row r="52787" spans="32:32" x14ac:dyDescent="0.2">
      <c r="AF52787" s="679"/>
    </row>
    <row r="52788" spans="32:32" x14ac:dyDescent="0.2">
      <c r="AF52788" s="679"/>
    </row>
    <row r="52789" spans="32:32" x14ac:dyDescent="0.2">
      <c r="AF52789" s="679"/>
    </row>
    <row r="52790" spans="32:32" x14ac:dyDescent="0.2">
      <c r="AF52790" s="679"/>
    </row>
    <row r="52791" spans="32:32" x14ac:dyDescent="0.2">
      <c r="AF52791" s="679"/>
    </row>
    <row r="52792" spans="32:32" x14ac:dyDescent="0.2">
      <c r="AF52792" s="679"/>
    </row>
    <row r="52793" spans="32:32" x14ac:dyDescent="0.2">
      <c r="AF52793" s="679"/>
    </row>
    <row r="52794" spans="32:32" x14ac:dyDescent="0.2">
      <c r="AF52794" s="679"/>
    </row>
    <row r="52795" spans="32:32" x14ac:dyDescent="0.2">
      <c r="AF52795" s="679"/>
    </row>
    <row r="52796" spans="32:32" x14ac:dyDescent="0.2">
      <c r="AF52796" s="679"/>
    </row>
    <row r="52797" spans="32:32" x14ac:dyDescent="0.2">
      <c r="AF52797" s="679"/>
    </row>
    <row r="52798" spans="32:32" x14ac:dyDescent="0.2">
      <c r="AF52798" s="679"/>
    </row>
    <row r="52799" spans="32:32" x14ac:dyDescent="0.2">
      <c r="AF52799" s="679"/>
    </row>
    <row r="52800" spans="32:32" x14ac:dyDescent="0.2">
      <c r="AF52800" s="679"/>
    </row>
    <row r="52801" spans="32:32" x14ac:dyDescent="0.2">
      <c r="AF52801" s="679"/>
    </row>
    <row r="52802" spans="32:32" x14ac:dyDescent="0.2">
      <c r="AF52802" s="679"/>
    </row>
    <row r="52803" spans="32:32" x14ac:dyDescent="0.2">
      <c r="AF52803" s="679"/>
    </row>
    <row r="52804" spans="32:32" x14ac:dyDescent="0.2">
      <c r="AF52804" s="679"/>
    </row>
    <row r="52805" spans="32:32" x14ac:dyDescent="0.2">
      <c r="AF52805" s="679"/>
    </row>
    <row r="52806" spans="32:32" x14ac:dyDescent="0.2">
      <c r="AF52806" s="679"/>
    </row>
    <row r="52807" spans="32:32" x14ac:dyDescent="0.2">
      <c r="AF52807" s="679"/>
    </row>
    <row r="52808" spans="32:32" x14ac:dyDescent="0.2">
      <c r="AF52808" s="679"/>
    </row>
    <row r="52809" spans="32:32" x14ac:dyDescent="0.2">
      <c r="AF52809" s="679"/>
    </row>
    <row r="52810" spans="32:32" x14ac:dyDescent="0.2">
      <c r="AF52810" s="679"/>
    </row>
    <row r="52811" spans="32:32" x14ac:dyDescent="0.2">
      <c r="AF52811" s="679"/>
    </row>
    <row r="52812" spans="32:32" x14ac:dyDescent="0.2">
      <c r="AF52812" s="679"/>
    </row>
    <row r="52813" spans="32:32" x14ac:dyDescent="0.2">
      <c r="AF52813" s="679"/>
    </row>
    <row r="52814" spans="32:32" x14ac:dyDescent="0.2">
      <c r="AF52814" s="679"/>
    </row>
    <row r="52815" spans="32:32" x14ac:dyDescent="0.2">
      <c r="AF52815" s="679"/>
    </row>
    <row r="52816" spans="32:32" x14ac:dyDescent="0.2">
      <c r="AF52816" s="679"/>
    </row>
    <row r="52817" spans="32:32" x14ac:dyDescent="0.2">
      <c r="AF52817" s="679"/>
    </row>
    <row r="52818" spans="32:32" x14ac:dyDescent="0.2">
      <c r="AF52818" s="679"/>
    </row>
    <row r="52819" spans="32:32" x14ac:dyDescent="0.2">
      <c r="AF52819" s="679"/>
    </row>
    <row r="52820" spans="32:32" x14ac:dyDescent="0.2">
      <c r="AF52820" s="679"/>
    </row>
    <row r="52821" spans="32:32" x14ac:dyDescent="0.2">
      <c r="AF52821" s="679"/>
    </row>
    <row r="52822" spans="32:32" x14ac:dyDescent="0.2">
      <c r="AF52822" s="679"/>
    </row>
    <row r="52823" spans="32:32" x14ac:dyDescent="0.2">
      <c r="AF52823" s="679"/>
    </row>
    <row r="52824" spans="32:32" x14ac:dyDescent="0.2">
      <c r="AF52824" s="679"/>
    </row>
    <row r="52825" spans="32:32" x14ac:dyDescent="0.2">
      <c r="AF52825" s="679"/>
    </row>
    <row r="52826" spans="32:32" x14ac:dyDescent="0.2">
      <c r="AF52826" s="679"/>
    </row>
    <row r="52827" spans="32:32" x14ac:dyDescent="0.2">
      <c r="AF52827" s="679"/>
    </row>
    <row r="52828" spans="32:32" x14ac:dyDescent="0.2">
      <c r="AF52828" s="679"/>
    </row>
    <row r="52829" spans="32:32" x14ac:dyDescent="0.2">
      <c r="AF52829" s="679"/>
    </row>
    <row r="52830" spans="32:32" x14ac:dyDescent="0.2">
      <c r="AF52830" s="679"/>
    </row>
    <row r="52831" spans="32:32" x14ac:dyDescent="0.2">
      <c r="AF52831" s="679"/>
    </row>
    <row r="52832" spans="32:32" x14ac:dyDescent="0.2">
      <c r="AF52832" s="679"/>
    </row>
    <row r="52833" spans="32:32" x14ac:dyDescent="0.2">
      <c r="AF52833" s="679"/>
    </row>
    <row r="52834" spans="32:32" x14ac:dyDescent="0.2">
      <c r="AF52834" s="679"/>
    </row>
    <row r="52835" spans="32:32" x14ac:dyDescent="0.2">
      <c r="AF52835" s="679"/>
    </row>
    <row r="52836" spans="32:32" x14ac:dyDescent="0.2">
      <c r="AF52836" s="679"/>
    </row>
    <row r="52837" spans="32:32" x14ac:dyDescent="0.2">
      <c r="AF52837" s="679"/>
    </row>
    <row r="52838" spans="32:32" x14ac:dyDescent="0.2">
      <c r="AF52838" s="679"/>
    </row>
    <row r="52839" spans="32:32" x14ac:dyDescent="0.2">
      <c r="AF52839" s="679"/>
    </row>
    <row r="52840" spans="32:32" x14ac:dyDescent="0.2">
      <c r="AF52840" s="679"/>
    </row>
    <row r="52841" spans="32:32" x14ac:dyDescent="0.2">
      <c r="AF52841" s="679"/>
    </row>
    <row r="52842" spans="32:32" x14ac:dyDescent="0.2">
      <c r="AF52842" s="679"/>
    </row>
    <row r="52843" spans="32:32" x14ac:dyDescent="0.2">
      <c r="AF52843" s="679"/>
    </row>
    <row r="52844" spans="32:32" x14ac:dyDescent="0.2">
      <c r="AF52844" s="679"/>
    </row>
    <row r="52845" spans="32:32" x14ac:dyDescent="0.2">
      <c r="AF52845" s="679"/>
    </row>
    <row r="52846" spans="32:32" x14ac:dyDescent="0.2">
      <c r="AF52846" s="679"/>
    </row>
    <row r="52847" spans="32:32" x14ac:dyDescent="0.2">
      <c r="AF52847" s="679"/>
    </row>
    <row r="52848" spans="32:32" x14ac:dyDescent="0.2">
      <c r="AF52848" s="679"/>
    </row>
    <row r="52849" spans="32:32" x14ac:dyDescent="0.2">
      <c r="AF52849" s="679"/>
    </row>
    <row r="52850" spans="32:32" x14ac:dyDescent="0.2">
      <c r="AF52850" s="679"/>
    </row>
    <row r="52851" spans="32:32" x14ac:dyDescent="0.2">
      <c r="AF52851" s="679"/>
    </row>
    <row r="52852" spans="32:32" x14ac:dyDescent="0.2">
      <c r="AF52852" s="679"/>
    </row>
    <row r="52853" spans="32:32" x14ac:dyDescent="0.2">
      <c r="AF52853" s="679"/>
    </row>
    <row r="52854" spans="32:32" x14ac:dyDescent="0.2">
      <c r="AF52854" s="679"/>
    </row>
    <row r="52855" spans="32:32" x14ac:dyDescent="0.2">
      <c r="AF52855" s="679"/>
    </row>
    <row r="52856" spans="32:32" x14ac:dyDescent="0.2">
      <c r="AF52856" s="679"/>
    </row>
    <row r="52857" spans="32:32" x14ac:dyDescent="0.2">
      <c r="AF52857" s="679"/>
    </row>
    <row r="52858" spans="32:32" x14ac:dyDescent="0.2">
      <c r="AF52858" s="679"/>
    </row>
    <row r="52859" spans="32:32" x14ac:dyDescent="0.2">
      <c r="AF52859" s="679"/>
    </row>
    <row r="52860" spans="32:32" x14ac:dyDescent="0.2">
      <c r="AF52860" s="679"/>
    </row>
    <row r="52861" spans="32:32" x14ac:dyDescent="0.2">
      <c r="AF52861" s="679"/>
    </row>
    <row r="52862" spans="32:32" x14ac:dyDescent="0.2">
      <c r="AF52862" s="679"/>
    </row>
    <row r="52863" spans="32:32" x14ac:dyDescent="0.2">
      <c r="AF52863" s="679"/>
    </row>
    <row r="52864" spans="32:32" x14ac:dyDescent="0.2">
      <c r="AF52864" s="679"/>
    </row>
    <row r="52865" spans="32:32" x14ac:dyDescent="0.2">
      <c r="AF52865" s="679"/>
    </row>
    <row r="52866" spans="32:32" x14ac:dyDescent="0.2">
      <c r="AF52866" s="679"/>
    </row>
    <row r="52867" spans="32:32" x14ac:dyDescent="0.2">
      <c r="AF52867" s="679"/>
    </row>
    <row r="52868" spans="32:32" x14ac:dyDescent="0.2">
      <c r="AF52868" s="679"/>
    </row>
    <row r="52869" spans="32:32" x14ac:dyDescent="0.2">
      <c r="AF52869" s="679"/>
    </row>
    <row r="52870" spans="32:32" x14ac:dyDescent="0.2">
      <c r="AF52870" s="679"/>
    </row>
    <row r="52871" spans="32:32" x14ac:dyDescent="0.2">
      <c r="AF52871" s="679"/>
    </row>
    <row r="52872" spans="32:32" x14ac:dyDescent="0.2">
      <c r="AF52872" s="679"/>
    </row>
    <row r="52873" spans="32:32" x14ac:dyDescent="0.2">
      <c r="AF52873" s="679"/>
    </row>
    <row r="52874" spans="32:32" x14ac:dyDescent="0.2">
      <c r="AF52874" s="679"/>
    </row>
    <row r="52875" spans="32:32" x14ac:dyDescent="0.2">
      <c r="AF52875" s="679"/>
    </row>
    <row r="52876" spans="32:32" x14ac:dyDescent="0.2">
      <c r="AF52876" s="679"/>
    </row>
    <row r="52877" spans="32:32" x14ac:dyDescent="0.2">
      <c r="AF52877" s="679"/>
    </row>
    <row r="52878" spans="32:32" x14ac:dyDescent="0.2">
      <c r="AF52878" s="679"/>
    </row>
    <row r="52879" spans="32:32" x14ac:dyDescent="0.2">
      <c r="AF52879" s="679"/>
    </row>
    <row r="52880" spans="32:32" x14ac:dyDescent="0.2">
      <c r="AF52880" s="679"/>
    </row>
    <row r="52881" spans="32:32" x14ac:dyDescent="0.2">
      <c r="AF52881" s="679"/>
    </row>
    <row r="52882" spans="32:32" x14ac:dyDescent="0.2">
      <c r="AF52882" s="679"/>
    </row>
    <row r="52883" spans="32:32" x14ac:dyDescent="0.2">
      <c r="AF52883" s="679"/>
    </row>
    <row r="52884" spans="32:32" x14ac:dyDescent="0.2">
      <c r="AF52884" s="679"/>
    </row>
    <row r="52885" spans="32:32" x14ac:dyDescent="0.2">
      <c r="AF52885" s="679"/>
    </row>
    <row r="52886" spans="32:32" x14ac:dyDescent="0.2">
      <c r="AF52886" s="679"/>
    </row>
    <row r="52887" spans="32:32" x14ac:dyDescent="0.2">
      <c r="AF52887" s="679"/>
    </row>
    <row r="52888" spans="32:32" x14ac:dyDescent="0.2">
      <c r="AF52888" s="679"/>
    </row>
    <row r="52889" spans="32:32" x14ac:dyDescent="0.2">
      <c r="AF52889" s="679"/>
    </row>
    <row r="52890" spans="32:32" x14ac:dyDescent="0.2">
      <c r="AF52890" s="679"/>
    </row>
    <row r="52891" spans="32:32" x14ac:dyDescent="0.2">
      <c r="AF52891" s="679"/>
    </row>
    <row r="52892" spans="32:32" x14ac:dyDescent="0.2">
      <c r="AF52892" s="679"/>
    </row>
    <row r="52893" spans="32:32" x14ac:dyDescent="0.2">
      <c r="AF52893" s="679"/>
    </row>
    <row r="52894" spans="32:32" x14ac:dyDescent="0.2">
      <c r="AF52894" s="679"/>
    </row>
    <row r="52895" spans="32:32" x14ac:dyDescent="0.2">
      <c r="AF52895" s="679"/>
    </row>
    <row r="52896" spans="32:32" x14ac:dyDescent="0.2">
      <c r="AF52896" s="679"/>
    </row>
    <row r="52897" spans="32:32" x14ac:dyDescent="0.2">
      <c r="AF52897" s="679"/>
    </row>
    <row r="52898" spans="32:32" x14ac:dyDescent="0.2">
      <c r="AF52898" s="679"/>
    </row>
    <row r="52899" spans="32:32" x14ac:dyDescent="0.2">
      <c r="AF52899" s="679"/>
    </row>
    <row r="52900" spans="32:32" x14ac:dyDescent="0.2">
      <c r="AF52900" s="679"/>
    </row>
    <row r="52901" spans="32:32" x14ac:dyDescent="0.2">
      <c r="AF52901" s="679"/>
    </row>
    <row r="52902" spans="32:32" x14ac:dyDescent="0.2">
      <c r="AF52902" s="679"/>
    </row>
    <row r="52903" spans="32:32" x14ac:dyDescent="0.2">
      <c r="AF52903" s="679"/>
    </row>
    <row r="52904" spans="32:32" x14ac:dyDescent="0.2">
      <c r="AF52904" s="679"/>
    </row>
    <row r="52905" spans="32:32" x14ac:dyDescent="0.2">
      <c r="AF52905" s="679"/>
    </row>
    <row r="52906" spans="32:32" x14ac:dyDescent="0.2">
      <c r="AF52906" s="679"/>
    </row>
    <row r="52907" spans="32:32" x14ac:dyDescent="0.2">
      <c r="AF52907" s="679"/>
    </row>
    <row r="52908" spans="32:32" x14ac:dyDescent="0.2">
      <c r="AF52908" s="679"/>
    </row>
    <row r="52909" spans="32:32" x14ac:dyDescent="0.2">
      <c r="AF52909" s="679"/>
    </row>
    <row r="52910" spans="32:32" x14ac:dyDescent="0.2">
      <c r="AF52910" s="679"/>
    </row>
    <row r="52911" spans="32:32" x14ac:dyDescent="0.2">
      <c r="AF52911" s="679"/>
    </row>
    <row r="52912" spans="32:32" x14ac:dyDescent="0.2">
      <c r="AF52912" s="679"/>
    </row>
    <row r="52913" spans="32:32" x14ac:dyDescent="0.2">
      <c r="AF52913" s="679"/>
    </row>
    <row r="52914" spans="32:32" x14ac:dyDescent="0.2">
      <c r="AF52914" s="679"/>
    </row>
    <row r="52915" spans="32:32" x14ac:dyDescent="0.2">
      <c r="AF52915" s="679"/>
    </row>
    <row r="52916" spans="32:32" x14ac:dyDescent="0.2">
      <c r="AF52916" s="679"/>
    </row>
    <row r="52917" spans="32:32" x14ac:dyDescent="0.2">
      <c r="AF52917" s="679"/>
    </row>
    <row r="52918" spans="32:32" x14ac:dyDescent="0.2">
      <c r="AF52918" s="679"/>
    </row>
    <row r="52919" spans="32:32" x14ac:dyDescent="0.2">
      <c r="AF52919" s="679"/>
    </row>
    <row r="52920" spans="32:32" x14ac:dyDescent="0.2">
      <c r="AF52920" s="679"/>
    </row>
    <row r="52921" spans="32:32" x14ac:dyDescent="0.2">
      <c r="AF52921" s="679"/>
    </row>
    <row r="52922" spans="32:32" x14ac:dyDescent="0.2">
      <c r="AF52922" s="679"/>
    </row>
    <row r="52923" spans="32:32" x14ac:dyDescent="0.2">
      <c r="AF52923" s="679"/>
    </row>
    <row r="52924" spans="32:32" x14ac:dyDescent="0.2">
      <c r="AF52924" s="679"/>
    </row>
    <row r="52925" spans="32:32" x14ac:dyDescent="0.2">
      <c r="AF52925" s="679"/>
    </row>
    <row r="52926" spans="32:32" x14ac:dyDescent="0.2">
      <c r="AF52926" s="679"/>
    </row>
    <row r="52927" spans="32:32" x14ac:dyDescent="0.2">
      <c r="AF52927" s="679"/>
    </row>
    <row r="52928" spans="32:32" x14ac:dyDescent="0.2">
      <c r="AF52928" s="679"/>
    </row>
    <row r="52929" spans="32:32" x14ac:dyDescent="0.2">
      <c r="AF52929" s="679"/>
    </row>
    <row r="52930" spans="32:32" x14ac:dyDescent="0.2">
      <c r="AF52930" s="679"/>
    </row>
    <row r="52931" spans="32:32" x14ac:dyDescent="0.2">
      <c r="AF52931" s="679"/>
    </row>
    <row r="52932" spans="32:32" x14ac:dyDescent="0.2">
      <c r="AF52932" s="679"/>
    </row>
    <row r="52933" spans="32:32" x14ac:dyDescent="0.2">
      <c r="AF52933" s="679"/>
    </row>
    <row r="52934" spans="32:32" x14ac:dyDescent="0.2">
      <c r="AF52934" s="679"/>
    </row>
    <row r="52935" spans="32:32" x14ac:dyDescent="0.2">
      <c r="AF52935" s="679"/>
    </row>
    <row r="52936" spans="32:32" x14ac:dyDescent="0.2">
      <c r="AF52936" s="679"/>
    </row>
    <row r="52937" spans="32:32" x14ac:dyDescent="0.2">
      <c r="AF52937" s="679"/>
    </row>
    <row r="52938" spans="32:32" x14ac:dyDescent="0.2">
      <c r="AF52938" s="679"/>
    </row>
    <row r="52939" spans="32:32" x14ac:dyDescent="0.2">
      <c r="AF52939" s="679"/>
    </row>
    <row r="52940" spans="32:32" x14ac:dyDescent="0.2">
      <c r="AF52940" s="679"/>
    </row>
    <row r="52941" spans="32:32" x14ac:dyDescent="0.2">
      <c r="AF52941" s="679"/>
    </row>
    <row r="52942" spans="32:32" x14ac:dyDescent="0.2">
      <c r="AF52942" s="679"/>
    </row>
    <row r="52943" spans="32:32" x14ac:dyDescent="0.2">
      <c r="AF52943" s="679"/>
    </row>
    <row r="52944" spans="32:32" x14ac:dyDescent="0.2">
      <c r="AF52944" s="679"/>
    </row>
    <row r="52945" spans="32:32" x14ac:dyDescent="0.2">
      <c r="AF52945" s="679"/>
    </row>
    <row r="52946" spans="32:32" x14ac:dyDescent="0.2">
      <c r="AF52946" s="679"/>
    </row>
    <row r="52947" spans="32:32" x14ac:dyDescent="0.2">
      <c r="AF52947" s="679"/>
    </row>
    <row r="52948" spans="32:32" x14ac:dyDescent="0.2">
      <c r="AF52948" s="679"/>
    </row>
    <row r="52949" spans="32:32" x14ac:dyDescent="0.2">
      <c r="AF52949" s="679"/>
    </row>
    <row r="52950" spans="32:32" x14ac:dyDescent="0.2">
      <c r="AF52950" s="679"/>
    </row>
    <row r="52951" spans="32:32" x14ac:dyDescent="0.2">
      <c r="AF52951" s="679"/>
    </row>
    <row r="52952" spans="32:32" x14ac:dyDescent="0.2">
      <c r="AF52952" s="679"/>
    </row>
    <row r="52953" spans="32:32" x14ac:dyDescent="0.2">
      <c r="AF52953" s="679"/>
    </row>
    <row r="52954" spans="32:32" x14ac:dyDescent="0.2">
      <c r="AF52954" s="679"/>
    </row>
    <row r="52955" spans="32:32" x14ac:dyDescent="0.2">
      <c r="AF52955" s="679"/>
    </row>
    <row r="52956" spans="32:32" x14ac:dyDescent="0.2">
      <c r="AF52956" s="679"/>
    </row>
    <row r="52957" spans="32:32" x14ac:dyDescent="0.2">
      <c r="AF52957" s="679"/>
    </row>
    <row r="52958" spans="32:32" x14ac:dyDescent="0.2">
      <c r="AF52958" s="679"/>
    </row>
    <row r="52959" spans="32:32" x14ac:dyDescent="0.2">
      <c r="AF52959" s="679"/>
    </row>
    <row r="52960" spans="32:32" x14ac:dyDescent="0.2">
      <c r="AF52960" s="679"/>
    </row>
    <row r="52961" spans="32:32" x14ac:dyDescent="0.2">
      <c r="AF52961" s="679"/>
    </row>
    <row r="52962" spans="32:32" x14ac:dyDescent="0.2">
      <c r="AF52962" s="679"/>
    </row>
    <row r="52963" spans="32:32" x14ac:dyDescent="0.2">
      <c r="AF52963" s="679"/>
    </row>
    <row r="52964" spans="32:32" x14ac:dyDescent="0.2">
      <c r="AF52964" s="679"/>
    </row>
    <row r="52965" spans="32:32" x14ac:dyDescent="0.2">
      <c r="AF52965" s="679"/>
    </row>
    <row r="52966" spans="32:32" x14ac:dyDescent="0.2">
      <c r="AF52966" s="679"/>
    </row>
    <row r="52967" spans="32:32" x14ac:dyDescent="0.2">
      <c r="AF52967" s="679"/>
    </row>
    <row r="52968" spans="32:32" x14ac:dyDescent="0.2">
      <c r="AF52968" s="679"/>
    </row>
    <row r="52969" spans="32:32" x14ac:dyDescent="0.2">
      <c r="AF52969" s="679"/>
    </row>
    <row r="52970" spans="32:32" x14ac:dyDescent="0.2">
      <c r="AF52970" s="679"/>
    </row>
    <row r="52971" spans="32:32" x14ac:dyDescent="0.2">
      <c r="AF52971" s="679"/>
    </row>
    <row r="52972" spans="32:32" x14ac:dyDescent="0.2">
      <c r="AF52972" s="679"/>
    </row>
    <row r="52973" spans="32:32" x14ac:dyDescent="0.2">
      <c r="AF52973" s="679"/>
    </row>
    <row r="52974" spans="32:32" x14ac:dyDescent="0.2">
      <c r="AF52974" s="679"/>
    </row>
    <row r="52975" spans="32:32" x14ac:dyDescent="0.2">
      <c r="AF52975" s="679"/>
    </row>
    <row r="52976" spans="32:32" x14ac:dyDescent="0.2">
      <c r="AF52976" s="679"/>
    </row>
    <row r="52977" spans="32:32" x14ac:dyDescent="0.2">
      <c r="AF52977" s="679"/>
    </row>
    <row r="52978" spans="32:32" x14ac:dyDescent="0.2">
      <c r="AF52978" s="679"/>
    </row>
    <row r="52979" spans="32:32" x14ac:dyDescent="0.2">
      <c r="AF52979" s="679"/>
    </row>
    <row r="52980" spans="32:32" x14ac:dyDescent="0.2">
      <c r="AF52980" s="679"/>
    </row>
    <row r="52981" spans="32:32" x14ac:dyDescent="0.2">
      <c r="AF52981" s="679"/>
    </row>
    <row r="52982" spans="32:32" x14ac:dyDescent="0.2">
      <c r="AF52982" s="679"/>
    </row>
    <row r="52983" spans="32:32" x14ac:dyDescent="0.2">
      <c r="AF52983" s="679"/>
    </row>
    <row r="52984" spans="32:32" x14ac:dyDescent="0.2">
      <c r="AF52984" s="679"/>
    </row>
    <row r="52985" spans="32:32" x14ac:dyDescent="0.2">
      <c r="AF52985" s="679"/>
    </row>
    <row r="52986" spans="32:32" x14ac:dyDescent="0.2">
      <c r="AF52986" s="679"/>
    </row>
    <row r="52987" spans="32:32" x14ac:dyDescent="0.2">
      <c r="AF52987" s="679"/>
    </row>
    <row r="52988" spans="32:32" x14ac:dyDescent="0.2">
      <c r="AF52988" s="679"/>
    </row>
    <row r="52989" spans="32:32" x14ac:dyDescent="0.2">
      <c r="AF52989" s="679"/>
    </row>
    <row r="52990" spans="32:32" x14ac:dyDescent="0.2">
      <c r="AF52990" s="679"/>
    </row>
    <row r="52991" spans="32:32" x14ac:dyDescent="0.2">
      <c r="AF52991" s="679"/>
    </row>
    <row r="52992" spans="32:32" x14ac:dyDescent="0.2">
      <c r="AF52992" s="679"/>
    </row>
    <row r="52993" spans="32:32" x14ac:dyDescent="0.2">
      <c r="AF52993" s="679"/>
    </row>
    <row r="52994" spans="32:32" x14ac:dyDescent="0.2">
      <c r="AF52994" s="679"/>
    </row>
    <row r="52995" spans="32:32" x14ac:dyDescent="0.2">
      <c r="AF52995" s="679"/>
    </row>
    <row r="52996" spans="32:32" x14ac:dyDescent="0.2">
      <c r="AF52996" s="679"/>
    </row>
    <row r="52997" spans="32:32" x14ac:dyDescent="0.2">
      <c r="AF52997" s="679"/>
    </row>
    <row r="52998" spans="32:32" x14ac:dyDescent="0.2">
      <c r="AF52998" s="679"/>
    </row>
    <row r="52999" spans="32:32" x14ac:dyDescent="0.2">
      <c r="AF52999" s="679"/>
    </row>
    <row r="53000" spans="32:32" x14ac:dyDescent="0.2">
      <c r="AF53000" s="679"/>
    </row>
    <row r="53001" spans="32:32" x14ac:dyDescent="0.2">
      <c r="AF53001" s="679"/>
    </row>
    <row r="53002" spans="32:32" x14ac:dyDescent="0.2">
      <c r="AF53002" s="679"/>
    </row>
    <row r="53003" spans="32:32" x14ac:dyDescent="0.2">
      <c r="AF53003" s="679"/>
    </row>
    <row r="53004" spans="32:32" x14ac:dyDescent="0.2">
      <c r="AF53004" s="679"/>
    </row>
    <row r="53005" spans="32:32" x14ac:dyDescent="0.2">
      <c r="AF53005" s="679"/>
    </row>
    <row r="53006" spans="32:32" x14ac:dyDescent="0.2">
      <c r="AF53006" s="679"/>
    </row>
    <row r="53007" spans="32:32" x14ac:dyDescent="0.2">
      <c r="AF53007" s="679"/>
    </row>
    <row r="53008" spans="32:32" x14ac:dyDescent="0.2">
      <c r="AF53008" s="679"/>
    </row>
    <row r="53009" spans="32:32" x14ac:dyDescent="0.2">
      <c r="AF53009" s="679"/>
    </row>
    <row r="53010" spans="32:32" x14ac:dyDescent="0.2">
      <c r="AF53010" s="679"/>
    </row>
    <row r="53011" spans="32:32" x14ac:dyDescent="0.2">
      <c r="AF53011" s="679"/>
    </row>
    <row r="53012" spans="32:32" x14ac:dyDescent="0.2">
      <c r="AF53012" s="679"/>
    </row>
    <row r="53013" spans="32:32" x14ac:dyDescent="0.2">
      <c r="AF53013" s="679"/>
    </row>
    <row r="53014" spans="32:32" x14ac:dyDescent="0.2">
      <c r="AF53014" s="679"/>
    </row>
    <row r="53015" spans="32:32" x14ac:dyDescent="0.2">
      <c r="AF53015" s="679"/>
    </row>
    <row r="53016" spans="32:32" x14ac:dyDescent="0.2">
      <c r="AF53016" s="679"/>
    </row>
    <row r="53017" spans="32:32" x14ac:dyDescent="0.2">
      <c r="AF53017" s="679"/>
    </row>
    <row r="53018" spans="32:32" x14ac:dyDescent="0.2">
      <c r="AF53018" s="679"/>
    </row>
    <row r="53019" spans="32:32" x14ac:dyDescent="0.2">
      <c r="AF53019" s="679"/>
    </row>
    <row r="53020" spans="32:32" x14ac:dyDescent="0.2">
      <c r="AF53020" s="679"/>
    </row>
    <row r="53021" spans="32:32" x14ac:dyDescent="0.2">
      <c r="AF53021" s="679"/>
    </row>
    <row r="53022" spans="32:32" x14ac:dyDescent="0.2">
      <c r="AF53022" s="679"/>
    </row>
    <row r="53023" spans="32:32" x14ac:dyDescent="0.2">
      <c r="AF53023" s="679"/>
    </row>
    <row r="53024" spans="32:32" x14ac:dyDescent="0.2">
      <c r="AF53024" s="679"/>
    </row>
    <row r="53025" spans="32:32" x14ac:dyDescent="0.2">
      <c r="AF53025" s="679"/>
    </row>
    <row r="53026" spans="32:32" x14ac:dyDescent="0.2">
      <c r="AF53026" s="679"/>
    </row>
    <row r="53027" spans="32:32" x14ac:dyDescent="0.2">
      <c r="AF53027" s="679"/>
    </row>
    <row r="53028" spans="32:32" x14ac:dyDescent="0.2">
      <c r="AF53028" s="679"/>
    </row>
    <row r="53029" spans="32:32" x14ac:dyDescent="0.2">
      <c r="AF53029" s="679"/>
    </row>
    <row r="53030" spans="32:32" x14ac:dyDescent="0.2">
      <c r="AF53030" s="679"/>
    </row>
    <row r="53031" spans="32:32" x14ac:dyDescent="0.2">
      <c r="AF53031" s="679"/>
    </row>
    <row r="53032" spans="32:32" x14ac:dyDescent="0.2">
      <c r="AF53032" s="679"/>
    </row>
    <row r="53033" spans="32:32" x14ac:dyDescent="0.2">
      <c r="AF53033" s="679"/>
    </row>
    <row r="53034" spans="32:32" x14ac:dyDescent="0.2">
      <c r="AF53034" s="679"/>
    </row>
    <row r="53035" spans="32:32" x14ac:dyDescent="0.2">
      <c r="AF53035" s="679"/>
    </row>
    <row r="53036" spans="32:32" x14ac:dyDescent="0.2">
      <c r="AF53036" s="679"/>
    </row>
    <row r="53037" spans="32:32" x14ac:dyDescent="0.2">
      <c r="AF53037" s="679"/>
    </row>
    <row r="53038" spans="32:32" x14ac:dyDescent="0.2">
      <c r="AF53038" s="679"/>
    </row>
    <row r="53039" spans="32:32" x14ac:dyDescent="0.2">
      <c r="AF53039" s="679"/>
    </row>
    <row r="53040" spans="32:32" x14ac:dyDescent="0.2">
      <c r="AF53040" s="679"/>
    </row>
    <row r="53041" spans="32:32" x14ac:dyDescent="0.2">
      <c r="AF53041" s="679"/>
    </row>
    <row r="53042" spans="32:32" x14ac:dyDescent="0.2">
      <c r="AF53042" s="679"/>
    </row>
    <row r="53043" spans="32:32" x14ac:dyDescent="0.2">
      <c r="AF53043" s="679"/>
    </row>
    <row r="53044" spans="32:32" x14ac:dyDescent="0.2">
      <c r="AF53044" s="679"/>
    </row>
    <row r="53045" spans="32:32" x14ac:dyDescent="0.2">
      <c r="AF53045" s="679"/>
    </row>
    <row r="53046" spans="32:32" x14ac:dyDescent="0.2">
      <c r="AF53046" s="679"/>
    </row>
    <row r="53047" spans="32:32" x14ac:dyDescent="0.2">
      <c r="AF53047" s="679"/>
    </row>
    <row r="53048" spans="32:32" x14ac:dyDescent="0.2">
      <c r="AF53048" s="679"/>
    </row>
    <row r="53049" spans="32:32" x14ac:dyDescent="0.2">
      <c r="AF53049" s="679"/>
    </row>
    <row r="53050" spans="32:32" x14ac:dyDescent="0.2">
      <c r="AF53050" s="679"/>
    </row>
    <row r="53051" spans="32:32" x14ac:dyDescent="0.2">
      <c r="AF53051" s="679"/>
    </row>
    <row r="53052" spans="32:32" x14ac:dyDescent="0.2">
      <c r="AF53052" s="679"/>
    </row>
    <row r="53053" spans="32:32" x14ac:dyDescent="0.2">
      <c r="AF53053" s="679"/>
    </row>
    <row r="53054" spans="32:32" x14ac:dyDescent="0.2">
      <c r="AF53054" s="679"/>
    </row>
    <row r="53055" spans="32:32" x14ac:dyDescent="0.2">
      <c r="AF53055" s="679"/>
    </row>
    <row r="53056" spans="32:32" x14ac:dyDescent="0.2">
      <c r="AF53056" s="679"/>
    </row>
    <row r="53057" spans="32:32" x14ac:dyDescent="0.2">
      <c r="AF53057" s="679"/>
    </row>
    <row r="53058" spans="32:32" x14ac:dyDescent="0.2">
      <c r="AF53058" s="679"/>
    </row>
    <row r="53059" spans="32:32" x14ac:dyDescent="0.2">
      <c r="AF53059" s="679"/>
    </row>
    <row r="53060" spans="32:32" x14ac:dyDescent="0.2">
      <c r="AF53060" s="679"/>
    </row>
    <row r="53061" spans="32:32" x14ac:dyDescent="0.2">
      <c r="AF53061" s="679"/>
    </row>
    <row r="53062" spans="32:32" x14ac:dyDescent="0.2">
      <c r="AF53062" s="679"/>
    </row>
    <row r="53063" spans="32:32" x14ac:dyDescent="0.2">
      <c r="AF53063" s="679"/>
    </row>
    <row r="53064" spans="32:32" x14ac:dyDescent="0.2">
      <c r="AF53064" s="679"/>
    </row>
    <row r="53065" spans="32:32" x14ac:dyDescent="0.2">
      <c r="AF53065" s="679"/>
    </row>
    <row r="53066" spans="32:32" x14ac:dyDescent="0.2">
      <c r="AF53066" s="679"/>
    </row>
    <row r="53067" spans="32:32" x14ac:dyDescent="0.2">
      <c r="AF53067" s="679"/>
    </row>
    <row r="53068" spans="32:32" x14ac:dyDescent="0.2">
      <c r="AF53068" s="679"/>
    </row>
    <row r="53069" spans="32:32" x14ac:dyDescent="0.2">
      <c r="AF53069" s="679"/>
    </row>
    <row r="53070" spans="32:32" x14ac:dyDescent="0.2">
      <c r="AF53070" s="679"/>
    </row>
    <row r="53071" spans="32:32" x14ac:dyDescent="0.2">
      <c r="AF53071" s="679"/>
    </row>
    <row r="53072" spans="32:32" x14ac:dyDescent="0.2">
      <c r="AF53072" s="679"/>
    </row>
    <row r="53073" spans="32:32" x14ac:dyDescent="0.2">
      <c r="AF53073" s="679"/>
    </row>
    <row r="53074" spans="32:32" x14ac:dyDescent="0.2">
      <c r="AF53074" s="679"/>
    </row>
    <row r="53075" spans="32:32" x14ac:dyDescent="0.2">
      <c r="AF53075" s="679"/>
    </row>
    <row r="53076" spans="32:32" x14ac:dyDescent="0.2">
      <c r="AF53076" s="679"/>
    </row>
    <row r="53077" spans="32:32" x14ac:dyDescent="0.2">
      <c r="AF53077" s="679"/>
    </row>
    <row r="53078" spans="32:32" x14ac:dyDescent="0.2">
      <c r="AF53078" s="679"/>
    </row>
    <row r="53079" spans="32:32" x14ac:dyDescent="0.2">
      <c r="AF53079" s="679"/>
    </row>
    <row r="53080" spans="32:32" x14ac:dyDescent="0.2">
      <c r="AF53080" s="679"/>
    </row>
    <row r="53081" spans="32:32" x14ac:dyDescent="0.2">
      <c r="AF53081" s="679"/>
    </row>
    <row r="53082" spans="32:32" x14ac:dyDescent="0.2">
      <c r="AF53082" s="679"/>
    </row>
    <row r="53083" spans="32:32" x14ac:dyDescent="0.2">
      <c r="AF53083" s="679"/>
    </row>
    <row r="53084" spans="32:32" x14ac:dyDescent="0.2">
      <c r="AF53084" s="679"/>
    </row>
    <row r="53085" spans="32:32" x14ac:dyDescent="0.2">
      <c r="AF53085" s="679"/>
    </row>
    <row r="53086" spans="32:32" x14ac:dyDescent="0.2">
      <c r="AF53086" s="679"/>
    </row>
    <row r="53087" spans="32:32" x14ac:dyDescent="0.2">
      <c r="AF53087" s="679"/>
    </row>
    <row r="53088" spans="32:32" x14ac:dyDescent="0.2">
      <c r="AF53088" s="679"/>
    </row>
    <row r="53089" spans="32:32" x14ac:dyDescent="0.2">
      <c r="AF53089" s="679"/>
    </row>
    <row r="53090" spans="32:32" x14ac:dyDescent="0.2">
      <c r="AF53090" s="679"/>
    </row>
    <row r="53091" spans="32:32" x14ac:dyDescent="0.2">
      <c r="AF53091" s="679"/>
    </row>
    <row r="53092" spans="32:32" x14ac:dyDescent="0.2">
      <c r="AF53092" s="679"/>
    </row>
    <row r="53093" spans="32:32" x14ac:dyDescent="0.2">
      <c r="AF53093" s="679"/>
    </row>
    <row r="53094" spans="32:32" x14ac:dyDescent="0.2">
      <c r="AF53094" s="679"/>
    </row>
    <row r="53095" spans="32:32" x14ac:dyDescent="0.2">
      <c r="AF53095" s="679"/>
    </row>
    <row r="53096" spans="32:32" x14ac:dyDescent="0.2">
      <c r="AF53096" s="679"/>
    </row>
    <row r="53097" spans="32:32" x14ac:dyDescent="0.2">
      <c r="AF53097" s="679"/>
    </row>
    <row r="53098" spans="32:32" x14ac:dyDescent="0.2">
      <c r="AF53098" s="679"/>
    </row>
    <row r="53099" spans="32:32" x14ac:dyDescent="0.2">
      <c r="AF53099" s="679"/>
    </row>
    <row r="53100" spans="32:32" x14ac:dyDescent="0.2">
      <c r="AF53100" s="679"/>
    </row>
    <row r="53101" spans="32:32" x14ac:dyDescent="0.2">
      <c r="AF53101" s="679"/>
    </row>
    <row r="53102" spans="32:32" x14ac:dyDescent="0.2">
      <c r="AF53102" s="679"/>
    </row>
    <row r="53103" spans="32:32" x14ac:dyDescent="0.2">
      <c r="AF53103" s="679"/>
    </row>
    <row r="53104" spans="32:32" x14ac:dyDescent="0.2">
      <c r="AF53104" s="679"/>
    </row>
    <row r="53105" spans="32:32" x14ac:dyDescent="0.2">
      <c r="AF53105" s="679"/>
    </row>
    <row r="53106" spans="32:32" x14ac:dyDescent="0.2">
      <c r="AF53106" s="679"/>
    </row>
    <row r="53107" spans="32:32" x14ac:dyDescent="0.2">
      <c r="AF53107" s="679"/>
    </row>
    <row r="53108" spans="32:32" x14ac:dyDescent="0.2">
      <c r="AF53108" s="679"/>
    </row>
    <row r="53109" spans="32:32" x14ac:dyDescent="0.2">
      <c r="AF53109" s="679"/>
    </row>
    <row r="53110" spans="32:32" x14ac:dyDescent="0.2">
      <c r="AF53110" s="679"/>
    </row>
    <row r="53111" spans="32:32" x14ac:dyDescent="0.2">
      <c r="AF53111" s="679"/>
    </row>
    <row r="53112" spans="32:32" x14ac:dyDescent="0.2">
      <c r="AF53112" s="679"/>
    </row>
    <row r="53113" spans="32:32" x14ac:dyDescent="0.2">
      <c r="AF53113" s="679"/>
    </row>
    <row r="53114" spans="32:32" x14ac:dyDescent="0.2">
      <c r="AF53114" s="679"/>
    </row>
    <row r="53115" spans="32:32" x14ac:dyDescent="0.2">
      <c r="AF53115" s="679"/>
    </row>
    <row r="53116" spans="32:32" x14ac:dyDescent="0.2">
      <c r="AF53116" s="679"/>
    </row>
    <row r="53117" spans="32:32" x14ac:dyDescent="0.2">
      <c r="AF53117" s="679"/>
    </row>
    <row r="53118" spans="32:32" x14ac:dyDescent="0.2">
      <c r="AF53118" s="679"/>
    </row>
    <row r="53119" spans="32:32" x14ac:dyDescent="0.2">
      <c r="AF53119" s="679"/>
    </row>
    <row r="53120" spans="32:32" x14ac:dyDescent="0.2">
      <c r="AF53120" s="679"/>
    </row>
    <row r="53121" spans="32:32" x14ac:dyDescent="0.2">
      <c r="AF53121" s="679"/>
    </row>
    <row r="53122" spans="32:32" x14ac:dyDescent="0.2">
      <c r="AF53122" s="679"/>
    </row>
    <row r="53123" spans="32:32" x14ac:dyDescent="0.2">
      <c r="AF53123" s="679"/>
    </row>
    <row r="53124" spans="32:32" x14ac:dyDescent="0.2">
      <c r="AF53124" s="679"/>
    </row>
    <row r="53125" spans="32:32" x14ac:dyDescent="0.2">
      <c r="AF53125" s="679"/>
    </row>
    <row r="53126" spans="32:32" x14ac:dyDescent="0.2">
      <c r="AF53126" s="679"/>
    </row>
    <row r="53127" spans="32:32" x14ac:dyDescent="0.2">
      <c r="AF53127" s="679"/>
    </row>
    <row r="53128" spans="32:32" x14ac:dyDescent="0.2">
      <c r="AF53128" s="679"/>
    </row>
    <row r="53129" spans="32:32" x14ac:dyDescent="0.2">
      <c r="AF53129" s="679"/>
    </row>
    <row r="53130" spans="32:32" x14ac:dyDescent="0.2">
      <c r="AF53130" s="679"/>
    </row>
    <row r="53131" spans="32:32" x14ac:dyDescent="0.2">
      <c r="AF53131" s="679"/>
    </row>
    <row r="53132" spans="32:32" x14ac:dyDescent="0.2">
      <c r="AF53132" s="679"/>
    </row>
    <row r="53133" spans="32:32" x14ac:dyDescent="0.2">
      <c r="AF53133" s="679"/>
    </row>
    <row r="53134" spans="32:32" x14ac:dyDescent="0.2">
      <c r="AF53134" s="679"/>
    </row>
    <row r="53135" spans="32:32" x14ac:dyDescent="0.2">
      <c r="AF53135" s="679"/>
    </row>
    <row r="53136" spans="32:32" x14ac:dyDescent="0.2">
      <c r="AF53136" s="679"/>
    </row>
    <row r="53137" spans="32:32" x14ac:dyDescent="0.2">
      <c r="AF53137" s="679"/>
    </row>
    <row r="53138" spans="32:32" x14ac:dyDescent="0.2">
      <c r="AF53138" s="679"/>
    </row>
    <row r="53139" spans="32:32" x14ac:dyDescent="0.2">
      <c r="AF53139" s="679"/>
    </row>
    <row r="53140" spans="32:32" x14ac:dyDescent="0.2">
      <c r="AF53140" s="679"/>
    </row>
    <row r="53141" spans="32:32" x14ac:dyDescent="0.2">
      <c r="AF53141" s="679"/>
    </row>
    <row r="53142" spans="32:32" x14ac:dyDescent="0.2">
      <c r="AF53142" s="679"/>
    </row>
    <row r="53143" spans="32:32" x14ac:dyDescent="0.2">
      <c r="AF53143" s="679"/>
    </row>
    <row r="53144" spans="32:32" x14ac:dyDescent="0.2">
      <c r="AF53144" s="679"/>
    </row>
    <row r="53145" spans="32:32" x14ac:dyDescent="0.2">
      <c r="AF53145" s="679"/>
    </row>
    <row r="53146" spans="32:32" x14ac:dyDescent="0.2">
      <c r="AF53146" s="679"/>
    </row>
    <row r="53147" spans="32:32" x14ac:dyDescent="0.2">
      <c r="AF53147" s="679"/>
    </row>
    <row r="53148" spans="32:32" x14ac:dyDescent="0.2">
      <c r="AF53148" s="679"/>
    </row>
    <row r="53149" spans="32:32" x14ac:dyDescent="0.2">
      <c r="AF53149" s="679"/>
    </row>
    <row r="53150" spans="32:32" x14ac:dyDescent="0.2">
      <c r="AF53150" s="679"/>
    </row>
    <row r="53151" spans="32:32" x14ac:dyDescent="0.2">
      <c r="AF53151" s="679"/>
    </row>
    <row r="53152" spans="32:32" x14ac:dyDescent="0.2">
      <c r="AF53152" s="679"/>
    </row>
    <row r="53153" spans="32:32" x14ac:dyDescent="0.2">
      <c r="AF53153" s="679"/>
    </row>
    <row r="53154" spans="32:32" x14ac:dyDescent="0.2">
      <c r="AF53154" s="679"/>
    </row>
    <row r="53155" spans="32:32" x14ac:dyDescent="0.2">
      <c r="AF53155" s="679"/>
    </row>
    <row r="53156" spans="32:32" x14ac:dyDescent="0.2">
      <c r="AF53156" s="679"/>
    </row>
    <row r="53157" spans="32:32" x14ac:dyDescent="0.2">
      <c r="AF53157" s="679"/>
    </row>
    <row r="53158" spans="32:32" x14ac:dyDescent="0.2">
      <c r="AF53158" s="679"/>
    </row>
    <row r="53159" spans="32:32" x14ac:dyDescent="0.2">
      <c r="AF53159" s="679"/>
    </row>
    <row r="53160" spans="32:32" x14ac:dyDescent="0.2">
      <c r="AF53160" s="679"/>
    </row>
    <row r="53161" spans="32:32" x14ac:dyDescent="0.2">
      <c r="AF53161" s="679"/>
    </row>
    <row r="53162" spans="32:32" x14ac:dyDescent="0.2">
      <c r="AF53162" s="679"/>
    </row>
    <row r="53163" spans="32:32" x14ac:dyDescent="0.2">
      <c r="AF53163" s="679"/>
    </row>
    <row r="53164" spans="32:32" x14ac:dyDescent="0.2">
      <c r="AF53164" s="679"/>
    </row>
    <row r="53165" spans="32:32" x14ac:dyDescent="0.2">
      <c r="AF53165" s="679"/>
    </row>
    <row r="53166" spans="32:32" x14ac:dyDescent="0.2">
      <c r="AF53166" s="679"/>
    </row>
    <row r="53167" spans="32:32" x14ac:dyDescent="0.2">
      <c r="AF53167" s="679"/>
    </row>
    <row r="53168" spans="32:32" x14ac:dyDescent="0.2">
      <c r="AF53168" s="679"/>
    </row>
    <row r="53169" spans="32:32" x14ac:dyDescent="0.2">
      <c r="AF53169" s="679"/>
    </row>
    <row r="53170" spans="32:32" x14ac:dyDescent="0.2">
      <c r="AF53170" s="679"/>
    </row>
    <row r="53171" spans="32:32" x14ac:dyDescent="0.2">
      <c r="AF53171" s="679"/>
    </row>
    <row r="53172" spans="32:32" x14ac:dyDescent="0.2">
      <c r="AF53172" s="679"/>
    </row>
    <row r="53173" spans="32:32" x14ac:dyDescent="0.2">
      <c r="AF53173" s="679"/>
    </row>
    <row r="53174" spans="32:32" x14ac:dyDescent="0.2">
      <c r="AF53174" s="679"/>
    </row>
    <row r="53175" spans="32:32" x14ac:dyDescent="0.2">
      <c r="AF53175" s="679"/>
    </row>
    <row r="53176" spans="32:32" x14ac:dyDescent="0.2">
      <c r="AF53176" s="679"/>
    </row>
    <row r="53177" spans="32:32" x14ac:dyDescent="0.2">
      <c r="AF53177" s="679"/>
    </row>
    <row r="53178" spans="32:32" x14ac:dyDescent="0.2">
      <c r="AF53178" s="679"/>
    </row>
    <row r="53179" spans="32:32" x14ac:dyDescent="0.2">
      <c r="AF53179" s="679"/>
    </row>
    <row r="53180" spans="32:32" x14ac:dyDescent="0.2">
      <c r="AF53180" s="679"/>
    </row>
    <row r="53181" spans="32:32" x14ac:dyDescent="0.2">
      <c r="AF53181" s="679"/>
    </row>
    <row r="53182" spans="32:32" x14ac:dyDescent="0.2">
      <c r="AF53182" s="679"/>
    </row>
    <row r="53183" spans="32:32" x14ac:dyDescent="0.2">
      <c r="AF53183" s="679"/>
    </row>
    <row r="53184" spans="32:32" x14ac:dyDescent="0.2">
      <c r="AF53184" s="679"/>
    </row>
    <row r="53185" spans="32:32" x14ac:dyDescent="0.2">
      <c r="AF53185" s="679"/>
    </row>
    <row r="53186" spans="32:32" x14ac:dyDescent="0.2">
      <c r="AF53186" s="679"/>
    </row>
    <row r="53187" spans="32:32" x14ac:dyDescent="0.2">
      <c r="AF53187" s="679"/>
    </row>
    <row r="53188" spans="32:32" x14ac:dyDescent="0.2">
      <c r="AF53188" s="679"/>
    </row>
    <row r="53189" spans="32:32" x14ac:dyDescent="0.2">
      <c r="AF53189" s="679"/>
    </row>
    <row r="53190" spans="32:32" x14ac:dyDescent="0.2">
      <c r="AF53190" s="679"/>
    </row>
    <row r="53191" spans="32:32" x14ac:dyDescent="0.2">
      <c r="AF53191" s="679"/>
    </row>
    <row r="53192" spans="32:32" x14ac:dyDescent="0.2">
      <c r="AF53192" s="679"/>
    </row>
    <row r="53193" spans="32:32" x14ac:dyDescent="0.2">
      <c r="AF53193" s="679"/>
    </row>
    <row r="53194" spans="32:32" x14ac:dyDescent="0.2">
      <c r="AF53194" s="679"/>
    </row>
    <row r="53195" spans="32:32" x14ac:dyDescent="0.2">
      <c r="AF53195" s="679"/>
    </row>
    <row r="53196" spans="32:32" x14ac:dyDescent="0.2">
      <c r="AF53196" s="679"/>
    </row>
    <row r="53197" spans="32:32" x14ac:dyDescent="0.2">
      <c r="AF53197" s="679"/>
    </row>
    <row r="53198" spans="32:32" x14ac:dyDescent="0.2">
      <c r="AF53198" s="679"/>
    </row>
    <row r="53199" spans="32:32" x14ac:dyDescent="0.2">
      <c r="AF53199" s="679"/>
    </row>
    <row r="53200" spans="32:32" x14ac:dyDescent="0.2">
      <c r="AF53200" s="679"/>
    </row>
    <row r="53201" spans="32:32" x14ac:dyDescent="0.2">
      <c r="AF53201" s="679"/>
    </row>
    <row r="53202" spans="32:32" x14ac:dyDescent="0.2">
      <c r="AF53202" s="679"/>
    </row>
    <row r="53203" spans="32:32" x14ac:dyDescent="0.2">
      <c r="AF53203" s="679"/>
    </row>
    <row r="53204" spans="32:32" x14ac:dyDescent="0.2">
      <c r="AF53204" s="679"/>
    </row>
    <row r="53205" spans="32:32" x14ac:dyDescent="0.2">
      <c r="AF53205" s="679"/>
    </row>
    <row r="53206" spans="32:32" x14ac:dyDescent="0.2">
      <c r="AF53206" s="679"/>
    </row>
    <row r="53207" spans="32:32" x14ac:dyDescent="0.2">
      <c r="AF53207" s="679"/>
    </row>
    <row r="53208" spans="32:32" x14ac:dyDescent="0.2">
      <c r="AF53208" s="679"/>
    </row>
    <row r="53209" spans="32:32" x14ac:dyDescent="0.2">
      <c r="AF53209" s="679"/>
    </row>
    <row r="53210" spans="32:32" x14ac:dyDescent="0.2">
      <c r="AF53210" s="679"/>
    </row>
    <row r="53211" spans="32:32" x14ac:dyDescent="0.2">
      <c r="AF53211" s="679"/>
    </row>
    <row r="53212" spans="32:32" x14ac:dyDescent="0.2">
      <c r="AF53212" s="679"/>
    </row>
    <row r="53213" spans="32:32" x14ac:dyDescent="0.2">
      <c r="AF53213" s="679"/>
    </row>
    <row r="53214" spans="32:32" x14ac:dyDescent="0.2">
      <c r="AF53214" s="679"/>
    </row>
    <row r="53215" spans="32:32" x14ac:dyDescent="0.2">
      <c r="AF53215" s="679"/>
    </row>
    <row r="53216" spans="32:32" x14ac:dyDescent="0.2">
      <c r="AF53216" s="679"/>
    </row>
    <row r="53217" spans="32:32" x14ac:dyDescent="0.2">
      <c r="AF53217" s="679"/>
    </row>
    <row r="53218" spans="32:32" x14ac:dyDescent="0.2">
      <c r="AF53218" s="679"/>
    </row>
    <row r="53219" spans="32:32" x14ac:dyDescent="0.2">
      <c r="AF53219" s="679"/>
    </row>
    <row r="53220" spans="32:32" x14ac:dyDescent="0.2">
      <c r="AF53220" s="679"/>
    </row>
    <row r="53221" spans="32:32" x14ac:dyDescent="0.2">
      <c r="AF53221" s="679"/>
    </row>
    <row r="53222" spans="32:32" x14ac:dyDescent="0.2">
      <c r="AF53222" s="679"/>
    </row>
    <row r="53223" spans="32:32" x14ac:dyDescent="0.2">
      <c r="AF53223" s="679"/>
    </row>
    <row r="53224" spans="32:32" x14ac:dyDescent="0.2">
      <c r="AF53224" s="679"/>
    </row>
    <row r="53225" spans="32:32" x14ac:dyDescent="0.2">
      <c r="AF53225" s="679"/>
    </row>
    <row r="53226" spans="32:32" x14ac:dyDescent="0.2">
      <c r="AF53226" s="679"/>
    </row>
    <row r="53227" spans="32:32" x14ac:dyDescent="0.2">
      <c r="AF53227" s="679"/>
    </row>
    <row r="53228" spans="32:32" x14ac:dyDescent="0.2">
      <c r="AF53228" s="679"/>
    </row>
    <row r="53229" spans="32:32" x14ac:dyDescent="0.2">
      <c r="AF53229" s="679"/>
    </row>
    <row r="53230" spans="32:32" x14ac:dyDescent="0.2">
      <c r="AF53230" s="679"/>
    </row>
    <row r="53231" spans="32:32" x14ac:dyDescent="0.2">
      <c r="AF53231" s="679"/>
    </row>
    <row r="53232" spans="32:32" x14ac:dyDescent="0.2">
      <c r="AF53232" s="679"/>
    </row>
    <row r="53233" spans="32:32" x14ac:dyDescent="0.2">
      <c r="AF53233" s="679"/>
    </row>
    <row r="53234" spans="32:32" x14ac:dyDescent="0.2">
      <c r="AF53234" s="679"/>
    </row>
    <row r="53235" spans="32:32" x14ac:dyDescent="0.2">
      <c r="AF53235" s="679"/>
    </row>
    <row r="53236" spans="32:32" x14ac:dyDescent="0.2">
      <c r="AF53236" s="679"/>
    </row>
    <row r="53237" spans="32:32" x14ac:dyDescent="0.2">
      <c r="AF53237" s="679"/>
    </row>
    <row r="53238" spans="32:32" x14ac:dyDescent="0.2">
      <c r="AF53238" s="679"/>
    </row>
    <row r="53239" spans="32:32" x14ac:dyDescent="0.2">
      <c r="AF53239" s="679"/>
    </row>
    <row r="53240" spans="32:32" x14ac:dyDescent="0.2">
      <c r="AF53240" s="679"/>
    </row>
    <row r="53241" spans="32:32" x14ac:dyDescent="0.2">
      <c r="AF53241" s="679"/>
    </row>
    <row r="53242" spans="32:32" x14ac:dyDescent="0.2">
      <c r="AF53242" s="679"/>
    </row>
    <row r="53243" spans="32:32" x14ac:dyDescent="0.2">
      <c r="AF53243" s="679"/>
    </row>
    <row r="53244" spans="32:32" x14ac:dyDescent="0.2">
      <c r="AF53244" s="679"/>
    </row>
    <row r="53245" spans="32:32" x14ac:dyDescent="0.2">
      <c r="AF53245" s="679"/>
    </row>
    <row r="53246" spans="32:32" x14ac:dyDescent="0.2">
      <c r="AF53246" s="679"/>
    </row>
    <row r="53247" spans="32:32" x14ac:dyDescent="0.2">
      <c r="AF53247" s="679"/>
    </row>
    <row r="53248" spans="32:32" x14ac:dyDescent="0.2">
      <c r="AF53248" s="679"/>
    </row>
    <row r="53249" spans="32:32" x14ac:dyDescent="0.2">
      <c r="AF53249" s="679"/>
    </row>
    <row r="53250" spans="32:32" x14ac:dyDescent="0.2">
      <c r="AF53250" s="679"/>
    </row>
    <row r="53251" spans="32:32" x14ac:dyDescent="0.2">
      <c r="AF53251" s="679"/>
    </row>
    <row r="53252" spans="32:32" x14ac:dyDescent="0.2">
      <c r="AF53252" s="679"/>
    </row>
    <row r="53253" spans="32:32" x14ac:dyDescent="0.2">
      <c r="AF53253" s="679"/>
    </row>
    <row r="53254" spans="32:32" x14ac:dyDescent="0.2">
      <c r="AF53254" s="679"/>
    </row>
    <row r="53255" spans="32:32" x14ac:dyDescent="0.2">
      <c r="AF53255" s="679"/>
    </row>
    <row r="53256" spans="32:32" x14ac:dyDescent="0.2">
      <c r="AF53256" s="679"/>
    </row>
    <row r="53257" spans="32:32" x14ac:dyDescent="0.2">
      <c r="AF53257" s="679"/>
    </row>
    <row r="53258" spans="32:32" x14ac:dyDescent="0.2">
      <c r="AF53258" s="679"/>
    </row>
    <row r="53259" spans="32:32" x14ac:dyDescent="0.2">
      <c r="AF53259" s="679"/>
    </row>
    <row r="53260" spans="32:32" x14ac:dyDescent="0.2">
      <c r="AF53260" s="679"/>
    </row>
    <row r="53261" spans="32:32" x14ac:dyDescent="0.2">
      <c r="AF53261" s="679"/>
    </row>
    <row r="53262" spans="32:32" x14ac:dyDescent="0.2">
      <c r="AF53262" s="679"/>
    </row>
    <row r="53263" spans="32:32" x14ac:dyDescent="0.2">
      <c r="AF53263" s="679"/>
    </row>
    <row r="53264" spans="32:32" x14ac:dyDescent="0.2">
      <c r="AF53264" s="679"/>
    </row>
    <row r="53265" spans="32:32" x14ac:dyDescent="0.2">
      <c r="AF53265" s="679"/>
    </row>
    <row r="53266" spans="32:32" x14ac:dyDescent="0.2">
      <c r="AF53266" s="679"/>
    </row>
    <row r="53267" spans="32:32" x14ac:dyDescent="0.2">
      <c r="AF53267" s="679"/>
    </row>
    <row r="53268" spans="32:32" x14ac:dyDescent="0.2">
      <c r="AF53268" s="679"/>
    </row>
    <row r="53269" spans="32:32" x14ac:dyDescent="0.2">
      <c r="AF53269" s="679"/>
    </row>
    <row r="53270" spans="32:32" x14ac:dyDescent="0.2">
      <c r="AF53270" s="679"/>
    </row>
    <row r="53271" spans="32:32" x14ac:dyDescent="0.2">
      <c r="AF53271" s="679"/>
    </row>
    <row r="53272" spans="32:32" x14ac:dyDescent="0.2">
      <c r="AF53272" s="679"/>
    </row>
    <row r="53273" spans="32:32" x14ac:dyDescent="0.2">
      <c r="AF53273" s="679"/>
    </row>
    <row r="53274" spans="32:32" x14ac:dyDescent="0.2">
      <c r="AF53274" s="679"/>
    </row>
    <row r="53275" spans="32:32" x14ac:dyDescent="0.2">
      <c r="AF53275" s="679"/>
    </row>
    <row r="53276" spans="32:32" x14ac:dyDescent="0.2">
      <c r="AF53276" s="679"/>
    </row>
    <row r="53277" spans="32:32" x14ac:dyDescent="0.2">
      <c r="AF53277" s="679"/>
    </row>
    <row r="53278" spans="32:32" x14ac:dyDescent="0.2">
      <c r="AF53278" s="679"/>
    </row>
    <row r="53279" spans="32:32" x14ac:dyDescent="0.2">
      <c r="AF53279" s="679"/>
    </row>
    <row r="53280" spans="32:32" x14ac:dyDescent="0.2">
      <c r="AF53280" s="679"/>
    </row>
    <row r="53281" spans="32:32" x14ac:dyDescent="0.2">
      <c r="AF53281" s="679"/>
    </row>
    <row r="53282" spans="32:32" x14ac:dyDescent="0.2">
      <c r="AF53282" s="679"/>
    </row>
    <row r="53283" spans="32:32" x14ac:dyDescent="0.2">
      <c r="AF53283" s="679"/>
    </row>
    <row r="53284" spans="32:32" x14ac:dyDescent="0.2">
      <c r="AF53284" s="679"/>
    </row>
    <row r="53285" spans="32:32" x14ac:dyDescent="0.2">
      <c r="AF53285" s="679"/>
    </row>
    <row r="53286" spans="32:32" x14ac:dyDescent="0.2">
      <c r="AF53286" s="679"/>
    </row>
    <row r="53287" spans="32:32" x14ac:dyDescent="0.2">
      <c r="AF53287" s="679"/>
    </row>
    <row r="53288" spans="32:32" x14ac:dyDescent="0.2">
      <c r="AF53288" s="679"/>
    </row>
    <row r="53289" spans="32:32" x14ac:dyDescent="0.2">
      <c r="AF53289" s="679"/>
    </row>
    <row r="53290" spans="32:32" x14ac:dyDescent="0.2">
      <c r="AF53290" s="679"/>
    </row>
    <row r="53291" spans="32:32" x14ac:dyDescent="0.2">
      <c r="AF53291" s="679"/>
    </row>
    <row r="53292" spans="32:32" x14ac:dyDescent="0.2">
      <c r="AF53292" s="679"/>
    </row>
    <row r="53293" spans="32:32" x14ac:dyDescent="0.2">
      <c r="AF53293" s="679"/>
    </row>
    <row r="53294" spans="32:32" x14ac:dyDescent="0.2">
      <c r="AF53294" s="679"/>
    </row>
    <row r="53295" spans="32:32" x14ac:dyDescent="0.2">
      <c r="AF53295" s="679"/>
    </row>
    <row r="53296" spans="32:32" x14ac:dyDescent="0.2">
      <c r="AF53296" s="679"/>
    </row>
    <row r="53297" spans="32:32" x14ac:dyDescent="0.2">
      <c r="AF53297" s="679"/>
    </row>
    <row r="53298" spans="32:32" x14ac:dyDescent="0.2">
      <c r="AF53298" s="679"/>
    </row>
    <row r="53299" spans="32:32" x14ac:dyDescent="0.2">
      <c r="AF53299" s="679"/>
    </row>
    <row r="53300" spans="32:32" x14ac:dyDescent="0.2">
      <c r="AF53300" s="679"/>
    </row>
    <row r="53301" spans="32:32" x14ac:dyDescent="0.2">
      <c r="AF53301" s="679"/>
    </row>
    <row r="53302" spans="32:32" x14ac:dyDescent="0.2">
      <c r="AF53302" s="679"/>
    </row>
    <row r="53303" spans="32:32" x14ac:dyDescent="0.2">
      <c r="AF53303" s="679"/>
    </row>
    <row r="53304" spans="32:32" x14ac:dyDescent="0.2">
      <c r="AF53304" s="679"/>
    </row>
    <row r="53305" spans="32:32" x14ac:dyDescent="0.2">
      <c r="AF53305" s="679"/>
    </row>
    <row r="53306" spans="32:32" x14ac:dyDescent="0.2">
      <c r="AF53306" s="679"/>
    </row>
    <row r="53307" spans="32:32" x14ac:dyDescent="0.2">
      <c r="AF53307" s="679"/>
    </row>
    <row r="53308" spans="32:32" x14ac:dyDescent="0.2">
      <c r="AF53308" s="679"/>
    </row>
    <row r="53309" spans="32:32" x14ac:dyDescent="0.2">
      <c r="AF53309" s="679"/>
    </row>
    <row r="53310" spans="32:32" x14ac:dyDescent="0.2">
      <c r="AF53310" s="679"/>
    </row>
    <row r="53311" spans="32:32" x14ac:dyDescent="0.2">
      <c r="AF53311" s="679"/>
    </row>
    <row r="53312" spans="32:32" x14ac:dyDescent="0.2">
      <c r="AF53312" s="679"/>
    </row>
    <row r="53313" spans="32:32" x14ac:dyDescent="0.2">
      <c r="AF53313" s="679"/>
    </row>
    <row r="53314" spans="32:32" x14ac:dyDescent="0.2">
      <c r="AF53314" s="679"/>
    </row>
    <row r="53315" spans="32:32" x14ac:dyDescent="0.2">
      <c r="AF53315" s="679"/>
    </row>
    <row r="53316" spans="32:32" x14ac:dyDescent="0.2">
      <c r="AF53316" s="679"/>
    </row>
    <row r="53317" spans="32:32" x14ac:dyDescent="0.2">
      <c r="AF53317" s="679"/>
    </row>
    <row r="53318" spans="32:32" x14ac:dyDescent="0.2">
      <c r="AF53318" s="679"/>
    </row>
    <row r="53319" spans="32:32" x14ac:dyDescent="0.2">
      <c r="AF53319" s="679"/>
    </row>
    <row r="53320" spans="32:32" x14ac:dyDescent="0.2">
      <c r="AF53320" s="679"/>
    </row>
    <row r="53321" spans="32:32" x14ac:dyDescent="0.2">
      <c r="AF53321" s="679"/>
    </row>
    <row r="53322" spans="32:32" x14ac:dyDescent="0.2">
      <c r="AF53322" s="679"/>
    </row>
    <row r="53323" spans="32:32" x14ac:dyDescent="0.2">
      <c r="AF53323" s="679"/>
    </row>
    <row r="53324" spans="32:32" x14ac:dyDescent="0.2">
      <c r="AF53324" s="679"/>
    </row>
    <row r="53325" spans="32:32" x14ac:dyDescent="0.2">
      <c r="AF53325" s="679"/>
    </row>
    <row r="53326" spans="32:32" x14ac:dyDescent="0.2">
      <c r="AF53326" s="679"/>
    </row>
    <row r="53327" spans="32:32" x14ac:dyDescent="0.2">
      <c r="AF53327" s="679"/>
    </row>
    <row r="53328" spans="32:32" x14ac:dyDescent="0.2">
      <c r="AF53328" s="679"/>
    </row>
    <row r="53329" spans="32:32" x14ac:dyDescent="0.2">
      <c r="AF53329" s="679"/>
    </row>
    <row r="53330" spans="32:32" x14ac:dyDescent="0.2">
      <c r="AF53330" s="679"/>
    </row>
    <row r="53331" spans="32:32" x14ac:dyDescent="0.2">
      <c r="AF53331" s="679"/>
    </row>
    <row r="53332" spans="32:32" x14ac:dyDescent="0.2">
      <c r="AF53332" s="679"/>
    </row>
    <row r="53333" spans="32:32" x14ac:dyDescent="0.2">
      <c r="AF53333" s="679"/>
    </row>
    <row r="53334" spans="32:32" x14ac:dyDescent="0.2">
      <c r="AF53334" s="679"/>
    </row>
    <row r="53335" spans="32:32" x14ac:dyDescent="0.2">
      <c r="AF53335" s="679"/>
    </row>
    <row r="53336" spans="32:32" x14ac:dyDescent="0.2">
      <c r="AF53336" s="679"/>
    </row>
    <row r="53337" spans="32:32" x14ac:dyDescent="0.2">
      <c r="AF53337" s="679"/>
    </row>
    <row r="53338" spans="32:32" x14ac:dyDescent="0.2">
      <c r="AF53338" s="679"/>
    </row>
    <row r="53339" spans="32:32" x14ac:dyDescent="0.2">
      <c r="AF53339" s="679"/>
    </row>
    <row r="53340" spans="32:32" x14ac:dyDescent="0.2">
      <c r="AF53340" s="679"/>
    </row>
    <row r="53341" spans="32:32" x14ac:dyDescent="0.2">
      <c r="AF53341" s="679"/>
    </row>
    <row r="53342" spans="32:32" x14ac:dyDescent="0.2">
      <c r="AF53342" s="679"/>
    </row>
    <row r="53343" spans="32:32" x14ac:dyDescent="0.2">
      <c r="AF53343" s="679"/>
    </row>
    <row r="53344" spans="32:32" x14ac:dyDescent="0.2">
      <c r="AF53344" s="679"/>
    </row>
    <row r="53345" spans="32:32" x14ac:dyDescent="0.2">
      <c r="AF53345" s="679"/>
    </row>
    <row r="53346" spans="32:32" x14ac:dyDescent="0.2">
      <c r="AF53346" s="679"/>
    </row>
    <row r="53347" spans="32:32" x14ac:dyDescent="0.2">
      <c r="AF53347" s="679"/>
    </row>
    <row r="53348" spans="32:32" x14ac:dyDescent="0.2">
      <c r="AF53348" s="679"/>
    </row>
    <row r="53349" spans="32:32" x14ac:dyDescent="0.2">
      <c r="AF53349" s="679"/>
    </row>
    <row r="53350" spans="32:32" x14ac:dyDescent="0.2">
      <c r="AF53350" s="679"/>
    </row>
    <row r="53351" spans="32:32" x14ac:dyDescent="0.2">
      <c r="AF53351" s="679"/>
    </row>
    <row r="53352" spans="32:32" x14ac:dyDescent="0.2">
      <c r="AF53352" s="679"/>
    </row>
    <row r="53353" spans="32:32" x14ac:dyDescent="0.2">
      <c r="AF53353" s="679"/>
    </row>
    <row r="53354" spans="32:32" x14ac:dyDescent="0.2">
      <c r="AF53354" s="679"/>
    </row>
    <row r="53355" spans="32:32" x14ac:dyDescent="0.2">
      <c r="AF53355" s="679"/>
    </row>
    <row r="53356" spans="32:32" x14ac:dyDescent="0.2">
      <c r="AF53356" s="679"/>
    </row>
    <row r="53357" spans="32:32" x14ac:dyDescent="0.2">
      <c r="AF53357" s="679"/>
    </row>
    <row r="53358" spans="32:32" x14ac:dyDescent="0.2">
      <c r="AF53358" s="679"/>
    </row>
    <row r="53359" spans="32:32" x14ac:dyDescent="0.2">
      <c r="AF53359" s="679"/>
    </row>
    <row r="53360" spans="32:32" x14ac:dyDescent="0.2">
      <c r="AF53360" s="679"/>
    </row>
    <row r="53361" spans="32:32" x14ac:dyDescent="0.2">
      <c r="AF53361" s="679"/>
    </row>
    <row r="53362" spans="32:32" x14ac:dyDescent="0.2">
      <c r="AF53362" s="679"/>
    </row>
    <row r="53363" spans="32:32" x14ac:dyDescent="0.2">
      <c r="AF53363" s="679"/>
    </row>
    <row r="53364" spans="32:32" x14ac:dyDescent="0.2">
      <c r="AF53364" s="679"/>
    </row>
    <row r="53365" spans="32:32" x14ac:dyDescent="0.2">
      <c r="AF53365" s="679"/>
    </row>
    <row r="53366" spans="32:32" x14ac:dyDescent="0.2">
      <c r="AF53366" s="679"/>
    </row>
    <row r="53367" spans="32:32" x14ac:dyDescent="0.2">
      <c r="AF53367" s="679"/>
    </row>
    <row r="53368" spans="32:32" x14ac:dyDescent="0.2">
      <c r="AF53368" s="679"/>
    </row>
    <row r="53369" spans="32:32" x14ac:dyDescent="0.2">
      <c r="AF53369" s="679"/>
    </row>
    <row r="53370" spans="32:32" x14ac:dyDescent="0.2">
      <c r="AF53370" s="679"/>
    </row>
    <row r="53371" spans="32:32" x14ac:dyDescent="0.2">
      <c r="AF53371" s="679"/>
    </row>
    <row r="53372" spans="32:32" x14ac:dyDescent="0.2">
      <c r="AF53372" s="679"/>
    </row>
    <row r="53373" spans="32:32" x14ac:dyDescent="0.2">
      <c r="AF53373" s="679"/>
    </row>
    <row r="53374" spans="32:32" x14ac:dyDescent="0.2">
      <c r="AF53374" s="679"/>
    </row>
    <row r="53375" spans="32:32" x14ac:dyDescent="0.2">
      <c r="AF53375" s="679"/>
    </row>
    <row r="53376" spans="32:32" x14ac:dyDescent="0.2">
      <c r="AF53376" s="679"/>
    </row>
    <row r="53377" spans="32:32" x14ac:dyDescent="0.2">
      <c r="AF53377" s="679"/>
    </row>
    <row r="53378" spans="32:32" x14ac:dyDescent="0.2">
      <c r="AF53378" s="679"/>
    </row>
    <row r="53379" spans="32:32" x14ac:dyDescent="0.2">
      <c r="AF53379" s="679"/>
    </row>
    <row r="53380" spans="32:32" x14ac:dyDescent="0.2">
      <c r="AF53380" s="679"/>
    </row>
    <row r="53381" spans="32:32" x14ac:dyDescent="0.2">
      <c r="AF53381" s="679"/>
    </row>
    <row r="53382" spans="32:32" x14ac:dyDescent="0.2">
      <c r="AF53382" s="679"/>
    </row>
    <row r="53383" spans="32:32" x14ac:dyDescent="0.2">
      <c r="AF53383" s="679"/>
    </row>
    <row r="53384" spans="32:32" x14ac:dyDescent="0.2">
      <c r="AF53384" s="679"/>
    </row>
    <row r="53385" spans="32:32" x14ac:dyDescent="0.2">
      <c r="AF53385" s="679"/>
    </row>
    <row r="53386" spans="32:32" x14ac:dyDescent="0.2">
      <c r="AF53386" s="679"/>
    </row>
    <row r="53387" spans="32:32" x14ac:dyDescent="0.2">
      <c r="AF53387" s="679"/>
    </row>
    <row r="53388" spans="32:32" x14ac:dyDescent="0.2">
      <c r="AF53388" s="679"/>
    </row>
    <row r="53389" spans="32:32" x14ac:dyDescent="0.2">
      <c r="AF53389" s="679"/>
    </row>
    <row r="53390" spans="32:32" x14ac:dyDescent="0.2">
      <c r="AF53390" s="679"/>
    </row>
    <row r="53391" spans="32:32" x14ac:dyDescent="0.2">
      <c r="AF53391" s="679"/>
    </row>
    <row r="53392" spans="32:32" x14ac:dyDescent="0.2">
      <c r="AF53392" s="679"/>
    </row>
    <row r="53393" spans="32:32" x14ac:dyDescent="0.2">
      <c r="AF53393" s="679"/>
    </row>
    <row r="53394" spans="32:32" x14ac:dyDescent="0.2">
      <c r="AF53394" s="679"/>
    </row>
    <row r="53395" spans="32:32" x14ac:dyDescent="0.2">
      <c r="AF53395" s="679"/>
    </row>
    <row r="53396" spans="32:32" x14ac:dyDescent="0.2">
      <c r="AF53396" s="679"/>
    </row>
    <row r="53397" spans="32:32" x14ac:dyDescent="0.2">
      <c r="AF53397" s="679"/>
    </row>
    <row r="53398" spans="32:32" x14ac:dyDescent="0.2">
      <c r="AF53398" s="679"/>
    </row>
    <row r="53399" spans="32:32" x14ac:dyDescent="0.2">
      <c r="AF53399" s="679"/>
    </row>
    <row r="53400" spans="32:32" x14ac:dyDescent="0.2">
      <c r="AF53400" s="679"/>
    </row>
    <row r="53401" spans="32:32" x14ac:dyDescent="0.2">
      <c r="AF53401" s="679"/>
    </row>
    <row r="53402" spans="32:32" x14ac:dyDescent="0.2">
      <c r="AF53402" s="679"/>
    </row>
    <row r="53403" spans="32:32" x14ac:dyDescent="0.2">
      <c r="AF53403" s="679"/>
    </row>
    <row r="53404" spans="32:32" x14ac:dyDescent="0.2">
      <c r="AF53404" s="679"/>
    </row>
    <row r="53405" spans="32:32" x14ac:dyDescent="0.2">
      <c r="AF53405" s="679"/>
    </row>
    <row r="53406" spans="32:32" x14ac:dyDescent="0.2">
      <c r="AF53406" s="679"/>
    </row>
    <row r="53407" spans="32:32" x14ac:dyDescent="0.2">
      <c r="AF53407" s="679"/>
    </row>
    <row r="53408" spans="32:32" x14ac:dyDescent="0.2">
      <c r="AF53408" s="679"/>
    </row>
    <row r="53409" spans="32:32" x14ac:dyDescent="0.2">
      <c r="AF53409" s="679"/>
    </row>
    <row r="53410" spans="32:32" x14ac:dyDescent="0.2">
      <c r="AF53410" s="679"/>
    </row>
    <row r="53411" spans="32:32" x14ac:dyDescent="0.2">
      <c r="AF53411" s="679"/>
    </row>
    <row r="53412" spans="32:32" x14ac:dyDescent="0.2">
      <c r="AF53412" s="679"/>
    </row>
    <row r="53413" spans="32:32" x14ac:dyDescent="0.2">
      <c r="AF53413" s="679"/>
    </row>
    <row r="53414" spans="32:32" x14ac:dyDescent="0.2">
      <c r="AF53414" s="679"/>
    </row>
    <row r="53415" spans="32:32" x14ac:dyDescent="0.2">
      <c r="AF53415" s="679"/>
    </row>
    <row r="53416" spans="32:32" x14ac:dyDescent="0.2">
      <c r="AF53416" s="679"/>
    </row>
    <row r="53417" spans="32:32" x14ac:dyDescent="0.2">
      <c r="AF53417" s="679"/>
    </row>
    <row r="53418" spans="32:32" x14ac:dyDescent="0.2">
      <c r="AF53418" s="679"/>
    </row>
    <row r="53419" spans="32:32" x14ac:dyDescent="0.2">
      <c r="AF53419" s="679"/>
    </row>
    <row r="53420" spans="32:32" x14ac:dyDescent="0.2">
      <c r="AF53420" s="679"/>
    </row>
    <row r="53421" spans="32:32" x14ac:dyDescent="0.2">
      <c r="AF53421" s="679"/>
    </row>
    <row r="53422" spans="32:32" x14ac:dyDescent="0.2">
      <c r="AF53422" s="679"/>
    </row>
    <row r="53423" spans="32:32" x14ac:dyDescent="0.2">
      <c r="AF53423" s="679"/>
    </row>
    <row r="53424" spans="32:32" x14ac:dyDescent="0.2">
      <c r="AF53424" s="679"/>
    </row>
    <row r="53425" spans="32:32" x14ac:dyDescent="0.2">
      <c r="AF53425" s="679"/>
    </row>
    <row r="53426" spans="32:32" x14ac:dyDescent="0.2">
      <c r="AF53426" s="679"/>
    </row>
    <row r="53427" spans="32:32" x14ac:dyDescent="0.2">
      <c r="AF53427" s="679"/>
    </row>
    <row r="53428" spans="32:32" x14ac:dyDescent="0.2">
      <c r="AF53428" s="679"/>
    </row>
    <row r="53429" spans="32:32" x14ac:dyDescent="0.2">
      <c r="AF53429" s="679"/>
    </row>
    <row r="53430" spans="32:32" x14ac:dyDescent="0.2">
      <c r="AF53430" s="679"/>
    </row>
    <row r="53431" spans="32:32" x14ac:dyDescent="0.2">
      <c r="AF53431" s="679"/>
    </row>
    <row r="53432" spans="32:32" x14ac:dyDescent="0.2">
      <c r="AF53432" s="679"/>
    </row>
    <row r="53433" spans="32:32" x14ac:dyDescent="0.2">
      <c r="AF53433" s="679"/>
    </row>
    <row r="53434" spans="32:32" x14ac:dyDescent="0.2">
      <c r="AF53434" s="679"/>
    </row>
    <row r="53435" spans="32:32" x14ac:dyDescent="0.2">
      <c r="AF53435" s="679"/>
    </row>
    <row r="53436" spans="32:32" x14ac:dyDescent="0.2">
      <c r="AF53436" s="679"/>
    </row>
    <row r="53437" spans="32:32" x14ac:dyDescent="0.2">
      <c r="AF53437" s="679"/>
    </row>
    <row r="53438" spans="32:32" x14ac:dyDescent="0.2">
      <c r="AF53438" s="679"/>
    </row>
    <row r="53439" spans="32:32" x14ac:dyDescent="0.2">
      <c r="AF53439" s="679"/>
    </row>
    <row r="53440" spans="32:32" x14ac:dyDescent="0.2">
      <c r="AF53440" s="679"/>
    </row>
    <row r="53441" spans="32:32" x14ac:dyDescent="0.2">
      <c r="AF53441" s="679"/>
    </row>
    <row r="53442" spans="32:32" x14ac:dyDescent="0.2">
      <c r="AF53442" s="679"/>
    </row>
    <row r="53443" spans="32:32" x14ac:dyDescent="0.2">
      <c r="AF53443" s="679"/>
    </row>
    <row r="53444" spans="32:32" x14ac:dyDescent="0.2">
      <c r="AF53444" s="679"/>
    </row>
    <row r="53445" spans="32:32" x14ac:dyDescent="0.2">
      <c r="AF53445" s="679"/>
    </row>
    <row r="53446" spans="32:32" x14ac:dyDescent="0.2">
      <c r="AF53446" s="679"/>
    </row>
    <row r="53447" spans="32:32" x14ac:dyDescent="0.2">
      <c r="AF53447" s="679"/>
    </row>
    <row r="53448" spans="32:32" x14ac:dyDescent="0.2">
      <c r="AF53448" s="679"/>
    </row>
    <row r="53449" spans="32:32" x14ac:dyDescent="0.2">
      <c r="AF53449" s="679"/>
    </row>
    <row r="53450" spans="32:32" x14ac:dyDescent="0.2">
      <c r="AF53450" s="679"/>
    </row>
    <row r="53451" spans="32:32" x14ac:dyDescent="0.2">
      <c r="AF53451" s="679"/>
    </row>
    <row r="53452" spans="32:32" x14ac:dyDescent="0.2">
      <c r="AF53452" s="679"/>
    </row>
    <row r="53453" spans="32:32" x14ac:dyDescent="0.2">
      <c r="AF53453" s="679"/>
    </row>
    <row r="53454" spans="32:32" x14ac:dyDescent="0.2">
      <c r="AF53454" s="679"/>
    </row>
    <row r="53455" spans="32:32" x14ac:dyDescent="0.2">
      <c r="AF53455" s="679"/>
    </row>
    <row r="53456" spans="32:32" x14ac:dyDescent="0.2">
      <c r="AF53456" s="679"/>
    </row>
    <row r="53457" spans="32:32" x14ac:dyDescent="0.2">
      <c r="AF53457" s="679"/>
    </row>
    <row r="53458" spans="32:32" x14ac:dyDescent="0.2">
      <c r="AF53458" s="679"/>
    </row>
    <row r="53459" spans="32:32" x14ac:dyDescent="0.2">
      <c r="AF53459" s="679"/>
    </row>
    <row r="53460" spans="32:32" x14ac:dyDescent="0.2">
      <c r="AF53460" s="679"/>
    </row>
    <row r="53461" spans="32:32" x14ac:dyDescent="0.2">
      <c r="AF53461" s="679"/>
    </row>
    <row r="53462" spans="32:32" x14ac:dyDescent="0.2">
      <c r="AF53462" s="679"/>
    </row>
    <row r="53463" spans="32:32" x14ac:dyDescent="0.2">
      <c r="AF53463" s="679"/>
    </row>
    <row r="53464" spans="32:32" x14ac:dyDescent="0.2">
      <c r="AF53464" s="679"/>
    </row>
    <row r="53465" spans="32:32" x14ac:dyDescent="0.2">
      <c r="AF53465" s="679"/>
    </row>
    <row r="53466" spans="32:32" x14ac:dyDescent="0.2">
      <c r="AF53466" s="679"/>
    </row>
    <row r="53467" spans="32:32" x14ac:dyDescent="0.2">
      <c r="AF53467" s="679"/>
    </row>
    <row r="53468" spans="32:32" x14ac:dyDescent="0.2">
      <c r="AF53468" s="679"/>
    </row>
    <row r="53469" spans="32:32" x14ac:dyDescent="0.2">
      <c r="AF53469" s="679"/>
    </row>
    <row r="53470" spans="32:32" x14ac:dyDescent="0.2">
      <c r="AF53470" s="679"/>
    </row>
    <row r="53471" spans="32:32" x14ac:dyDescent="0.2">
      <c r="AF53471" s="679"/>
    </row>
    <row r="53472" spans="32:32" x14ac:dyDescent="0.2">
      <c r="AF53472" s="679"/>
    </row>
    <row r="53473" spans="32:32" x14ac:dyDescent="0.2">
      <c r="AF53473" s="679"/>
    </row>
    <row r="53474" spans="32:32" x14ac:dyDescent="0.2">
      <c r="AF53474" s="679"/>
    </row>
    <row r="53475" spans="32:32" x14ac:dyDescent="0.2">
      <c r="AF53475" s="679"/>
    </row>
    <row r="53476" spans="32:32" x14ac:dyDescent="0.2">
      <c r="AF53476" s="679"/>
    </row>
    <row r="53477" spans="32:32" x14ac:dyDescent="0.2">
      <c r="AF53477" s="679"/>
    </row>
    <row r="53478" spans="32:32" x14ac:dyDescent="0.2">
      <c r="AF53478" s="679"/>
    </row>
    <row r="53479" spans="32:32" x14ac:dyDescent="0.2">
      <c r="AF53479" s="679"/>
    </row>
    <row r="53480" spans="32:32" x14ac:dyDescent="0.2">
      <c r="AF53480" s="679"/>
    </row>
    <row r="53481" spans="32:32" x14ac:dyDescent="0.2">
      <c r="AF53481" s="679"/>
    </row>
    <row r="53482" spans="32:32" x14ac:dyDescent="0.2">
      <c r="AF53482" s="679"/>
    </row>
    <row r="53483" spans="32:32" x14ac:dyDescent="0.2">
      <c r="AF53483" s="679"/>
    </row>
    <row r="53484" spans="32:32" x14ac:dyDescent="0.2">
      <c r="AF53484" s="679"/>
    </row>
    <row r="53485" spans="32:32" x14ac:dyDescent="0.2">
      <c r="AF53485" s="679"/>
    </row>
    <row r="53486" spans="32:32" x14ac:dyDescent="0.2">
      <c r="AF53486" s="679"/>
    </row>
    <row r="53487" spans="32:32" x14ac:dyDescent="0.2">
      <c r="AF53487" s="679"/>
    </row>
    <row r="53488" spans="32:32" x14ac:dyDescent="0.2">
      <c r="AF53488" s="679"/>
    </row>
    <row r="53489" spans="32:32" x14ac:dyDescent="0.2">
      <c r="AF53489" s="679"/>
    </row>
    <row r="53490" spans="32:32" x14ac:dyDescent="0.2">
      <c r="AF53490" s="679"/>
    </row>
    <row r="53491" spans="32:32" x14ac:dyDescent="0.2">
      <c r="AF53491" s="679"/>
    </row>
    <row r="53492" spans="32:32" x14ac:dyDescent="0.2">
      <c r="AF53492" s="679"/>
    </row>
    <row r="53493" spans="32:32" x14ac:dyDescent="0.2">
      <c r="AF53493" s="679"/>
    </row>
    <row r="53494" spans="32:32" x14ac:dyDescent="0.2">
      <c r="AF53494" s="679"/>
    </row>
    <row r="53495" spans="32:32" x14ac:dyDescent="0.2">
      <c r="AF53495" s="679"/>
    </row>
    <row r="53496" spans="32:32" x14ac:dyDescent="0.2">
      <c r="AF53496" s="679"/>
    </row>
    <row r="53497" spans="32:32" x14ac:dyDescent="0.2">
      <c r="AF53497" s="679"/>
    </row>
    <row r="53498" spans="32:32" x14ac:dyDescent="0.2">
      <c r="AF53498" s="679"/>
    </row>
    <row r="53499" spans="32:32" x14ac:dyDescent="0.2">
      <c r="AF53499" s="679"/>
    </row>
    <row r="53500" spans="32:32" x14ac:dyDescent="0.2">
      <c r="AF53500" s="679"/>
    </row>
    <row r="53501" spans="32:32" x14ac:dyDescent="0.2">
      <c r="AF53501" s="679"/>
    </row>
    <row r="53502" spans="32:32" x14ac:dyDescent="0.2">
      <c r="AF53502" s="679"/>
    </row>
    <row r="53503" spans="32:32" x14ac:dyDescent="0.2">
      <c r="AF53503" s="679"/>
    </row>
    <row r="53504" spans="32:32" x14ac:dyDescent="0.2">
      <c r="AF53504" s="679"/>
    </row>
    <row r="53505" spans="32:32" x14ac:dyDescent="0.2">
      <c r="AF53505" s="679"/>
    </row>
    <row r="53506" spans="32:32" x14ac:dyDescent="0.2">
      <c r="AF53506" s="679"/>
    </row>
    <row r="53507" spans="32:32" x14ac:dyDescent="0.2">
      <c r="AF53507" s="679"/>
    </row>
    <row r="53508" spans="32:32" x14ac:dyDescent="0.2">
      <c r="AF53508" s="679"/>
    </row>
    <row r="53509" spans="32:32" x14ac:dyDescent="0.2">
      <c r="AF53509" s="679"/>
    </row>
    <row r="53510" spans="32:32" x14ac:dyDescent="0.2">
      <c r="AF53510" s="679"/>
    </row>
    <row r="53511" spans="32:32" x14ac:dyDescent="0.2">
      <c r="AF53511" s="679"/>
    </row>
    <row r="53512" spans="32:32" x14ac:dyDescent="0.2">
      <c r="AF53512" s="679"/>
    </row>
    <row r="53513" spans="32:32" x14ac:dyDescent="0.2">
      <c r="AF53513" s="679"/>
    </row>
    <row r="53514" spans="32:32" x14ac:dyDescent="0.2">
      <c r="AF53514" s="679"/>
    </row>
    <row r="53515" spans="32:32" x14ac:dyDescent="0.2">
      <c r="AF53515" s="679"/>
    </row>
    <row r="53516" spans="32:32" x14ac:dyDescent="0.2">
      <c r="AF53516" s="679"/>
    </row>
    <row r="53517" spans="32:32" x14ac:dyDescent="0.2">
      <c r="AF53517" s="679"/>
    </row>
    <row r="53518" spans="32:32" x14ac:dyDescent="0.2">
      <c r="AF53518" s="679"/>
    </row>
    <row r="53519" spans="32:32" x14ac:dyDescent="0.2">
      <c r="AF53519" s="679"/>
    </row>
    <row r="53520" spans="32:32" x14ac:dyDescent="0.2">
      <c r="AF53520" s="679"/>
    </row>
    <row r="53521" spans="32:32" x14ac:dyDescent="0.2">
      <c r="AF53521" s="679"/>
    </row>
    <row r="53522" spans="32:32" x14ac:dyDescent="0.2">
      <c r="AF53522" s="679"/>
    </row>
    <row r="53523" spans="32:32" x14ac:dyDescent="0.2">
      <c r="AF53523" s="679"/>
    </row>
    <row r="53524" spans="32:32" x14ac:dyDescent="0.2">
      <c r="AF53524" s="679"/>
    </row>
    <row r="53525" spans="32:32" x14ac:dyDescent="0.2">
      <c r="AF53525" s="679"/>
    </row>
    <row r="53526" spans="32:32" x14ac:dyDescent="0.2">
      <c r="AF53526" s="679"/>
    </row>
    <row r="53527" spans="32:32" x14ac:dyDescent="0.2">
      <c r="AF53527" s="679"/>
    </row>
    <row r="53528" spans="32:32" x14ac:dyDescent="0.2">
      <c r="AF53528" s="679"/>
    </row>
    <row r="53529" spans="32:32" x14ac:dyDescent="0.2">
      <c r="AF53529" s="679"/>
    </row>
    <row r="53530" spans="32:32" x14ac:dyDescent="0.2">
      <c r="AF53530" s="679"/>
    </row>
    <row r="53531" spans="32:32" x14ac:dyDescent="0.2">
      <c r="AF53531" s="679"/>
    </row>
    <row r="53532" spans="32:32" x14ac:dyDescent="0.2">
      <c r="AF53532" s="679"/>
    </row>
    <row r="53533" spans="32:32" x14ac:dyDescent="0.2">
      <c r="AF53533" s="679"/>
    </row>
    <row r="53534" spans="32:32" x14ac:dyDescent="0.2">
      <c r="AF53534" s="679"/>
    </row>
    <row r="53535" spans="32:32" x14ac:dyDescent="0.2">
      <c r="AF53535" s="679"/>
    </row>
    <row r="53536" spans="32:32" x14ac:dyDescent="0.2">
      <c r="AF53536" s="679"/>
    </row>
    <row r="53537" spans="32:32" x14ac:dyDescent="0.2">
      <c r="AF53537" s="679"/>
    </row>
    <row r="53538" spans="32:32" x14ac:dyDescent="0.2">
      <c r="AF53538" s="679"/>
    </row>
    <row r="53539" spans="32:32" x14ac:dyDescent="0.2">
      <c r="AF53539" s="679"/>
    </row>
    <row r="53540" spans="32:32" x14ac:dyDescent="0.2">
      <c r="AF53540" s="679"/>
    </row>
    <row r="53541" spans="32:32" x14ac:dyDescent="0.2">
      <c r="AF53541" s="679"/>
    </row>
    <row r="53542" spans="32:32" x14ac:dyDescent="0.2">
      <c r="AF53542" s="679"/>
    </row>
    <row r="53543" spans="32:32" x14ac:dyDescent="0.2">
      <c r="AF53543" s="679"/>
    </row>
    <row r="53544" spans="32:32" x14ac:dyDescent="0.2">
      <c r="AF53544" s="679"/>
    </row>
    <row r="53545" spans="32:32" x14ac:dyDescent="0.2">
      <c r="AF53545" s="679"/>
    </row>
    <row r="53546" spans="32:32" x14ac:dyDescent="0.2">
      <c r="AF53546" s="679"/>
    </row>
    <row r="53547" spans="32:32" x14ac:dyDescent="0.2">
      <c r="AF53547" s="679"/>
    </row>
    <row r="53548" spans="32:32" x14ac:dyDescent="0.2">
      <c r="AF53548" s="679"/>
    </row>
    <row r="53549" spans="32:32" x14ac:dyDescent="0.2">
      <c r="AF53549" s="679"/>
    </row>
    <row r="53550" spans="32:32" x14ac:dyDescent="0.2">
      <c r="AF53550" s="679"/>
    </row>
    <row r="53551" spans="32:32" x14ac:dyDescent="0.2">
      <c r="AF53551" s="679"/>
    </row>
    <row r="53552" spans="32:32" x14ac:dyDescent="0.2">
      <c r="AF53552" s="679"/>
    </row>
    <row r="53553" spans="32:32" x14ac:dyDescent="0.2">
      <c r="AF53553" s="679"/>
    </row>
    <row r="53554" spans="32:32" x14ac:dyDescent="0.2">
      <c r="AF53554" s="679"/>
    </row>
    <row r="53555" spans="32:32" x14ac:dyDescent="0.2">
      <c r="AF53555" s="679"/>
    </row>
    <row r="53556" spans="32:32" x14ac:dyDescent="0.2">
      <c r="AF53556" s="679"/>
    </row>
    <row r="53557" spans="32:32" x14ac:dyDescent="0.2">
      <c r="AF53557" s="679"/>
    </row>
    <row r="53558" spans="32:32" x14ac:dyDescent="0.2">
      <c r="AF53558" s="679"/>
    </row>
    <row r="53559" spans="32:32" x14ac:dyDescent="0.2">
      <c r="AF53559" s="679"/>
    </row>
    <row r="53560" spans="32:32" x14ac:dyDescent="0.2">
      <c r="AF53560" s="679"/>
    </row>
    <row r="53561" spans="32:32" x14ac:dyDescent="0.2">
      <c r="AF53561" s="679"/>
    </row>
    <row r="53562" spans="32:32" x14ac:dyDescent="0.2">
      <c r="AF53562" s="679"/>
    </row>
    <row r="53563" spans="32:32" x14ac:dyDescent="0.2">
      <c r="AF53563" s="679"/>
    </row>
    <row r="53564" spans="32:32" x14ac:dyDescent="0.2">
      <c r="AF53564" s="679"/>
    </row>
    <row r="53565" spans="32:32" x14ac:dyDescent="0.2">
      <c r="AF53565" s="679"/>
    </row>
    <row r="53566" spans="32:32" x14ac:dyDescent="0.2">
      <c r="AF53566" s="679"/>
    </row>
    <row r="53567" spans="32:32" x14ac:dyDescent="0.2">
      <c r="AF53567" s="679"/>
    </row>
    <row r="53568" spans="32:32" x14ac:dyDescent="0.2">
      <c r="AF53568" s="679"/>
    </row>
    <row r="53569" spans="32:32" x14ac:dyDescent="0.2">
      <c r="AF53569" s="679"/>
    </row>
    <row r="53570" spans="32:32" x14ac:dyDescent="0.2">
      <c r="AF53570" s="679"/>
    </row>
    <row r="53571" spans="32:32" x14ac:dyDescent="0.2">
      <c r="AF53571" s="679"/>
    </row>
    <row r="53572" spans="32:32" x14ac:dyDescent="0.2">
      <c r="AF53572" s="679"/>
    </row>
    <row r="53573" spans="32:32" x14ac:dyDescent="0.2">
      <c r="AF53573" s="679"/>
    </row>
    <row r="53574" spans="32:32" x14ac:dyDescent="0.2">
      <c r="AF53574" s="679"/>
    </row>
    <row r="53575" spans="32:32" x14ac:dyDescent="0.2">
      <c r="AF53575" s="679"/>
    </row>
    <row r="53576" spans="32:32" x14ac:dyDescent="0.2">
      <c r="AF53576" s="679"/>
    </row>
    <row r="53577" spans="32:32" x14ac:dyDescent="0.2">
      <c r="AF53577" s="679"/>
    </row>
    <row r="53578" spans="32:32" x14ac:dyDescent="0.2">
      <c r="AF53578" s="679"/>
    </row>
    <row r="53579" spans="32:32" x14ac:dyDescent="0.2">
      <c r="AF53579" s="679"/>
    </row>
    <row r="53580" spans="32:32" x14ac:dyDescent="0.2">
      <c r="AF53580" s="679"/>
    </row>
    <row r="53581" spans="32:32" x14ac:dyDescent="0.2">
      <c r="AF53581" s="679"/>
    </row>
    <row r="53582" spans="32:32" x14ac:dyDescent="0.2">
      <c r="AF53582" s="679"/>
    </row>
    <row r="53583" spans="32:32" x14ac:dyDescent="0.2">
      <c r="AF53583" s="679"/>
    </row>
    <row r="53584" spans="32:32" x14ac:dyDescent="0.2">
      <c r="AF53584" s="679"/>
    </row>
    <row r="53585" spans="32:32" x14ac:dyDescent="0.2">
      <c r="AF53585" s="679"/>
    </row>
    <row r="53586" spans="32:32" x14ac:dyDescent="0.2">
      <c r="AF53586" s="679"/>
    </row>
    <row r="53587" spans="32:32" x14ac:dyDescent="0.2">
      <c r="AF53587" s="679"/>
    </row>
    <row r="53588" spans="32:32" x14ac:dyDescent="0.2">
      <c r="AF53588" s="679"/>
    </row>
    <row r="53589" spans="32:32" x14ac:dyDescent="0.2">
      <c r="AF53589" s="679"/>
    </row>
    <row r="53590" spans="32:32" x14ac:dyDescent="0.2">
      <c r="AF53590" s="679"/>
    </row>
    <row r="53591" spans="32:32" x14ac:dyDescent="0.2">
      <c r="AF53591" s="679"/>
    </row>
    <row r="53592" spans="32:32" x14ac:dyDescent="0.2">
      <c r="AF53592" s="679"/>
    </row>
    <row r="53593" spans="32:32" x14ac:dyDescent="0.2">
      <c r="AF53593" s="679"/>
    </row>
    <row r="53594" spans="32:32" x14ac:dyDescent="0.2">
      <c r="AF53594" s="679"/>
    </row>
    <row r="53595" spans="32:32" x14ac:dyDescent="0.2">
      <c r="AF53595" s="679"/>
    </row>
    <row r="53596" spans="32:32" x14ac:dyDescent="0.2">
      <c r="AF53596" s="679"/>
    </row>
    <row r="53597" spans="32:32" x14ac:dyDescent="0.2">
      <c r="AF53597" s="679"/>
    </row>
    <row r="53598" spans="32:32" x14ac:dyDescent="0.2">
      <c r="AF53598" s="679"/>
    </row>
    <row r="53599" spans="32:32" x14ac:dyDescent="0.2">
      <c r="AF53599" s="679"/>
    </row>
    <row r="53600" spans="32:32" x14ac:dyDescent="0.2">
      <c r="AF53600" s="679"/>
    </row>
    <row r="53601" spans="32:32" x14ac:dyDescent="0.2">
      <c r="AF53601" s="679"/>
    </row>
    <row r="53602" spans="32:32" x14ac:dyDescent="0.2">
      <c r="AF53602" s="679"/>
    </row>
    <row r="53603" spans="32:32" x14ac:dyDescent="0.2">
      <c r="AF53603" s="679"/>
    </row>
    <row r="53604" spans="32:32" x14ac:dyDescent="0.2">
      <c r="AF53604" s="679"/>
    </row>
    <row r="53605" spans="32:32" x14ac:dyDescent="0.2">
      <c r="AF53605" s="679"/>
    </row>
    <row r="53606" spans="32:32" x14ac:dyDescent="0.2">
      <c r="AF53606" s="679"/>
    </row>
    <row r="53607" spans="32:32" x14ac:dyDescent="0.2">
      <c r="AF53607" s="679"/>
    </row>
    <row r="53608" spans="32:32" x14ac:dyDescent="0.2">
      <c r="AF53608" s="679"/>
    </row>
    <row r="53609" spans="32:32" x14ac:dyDescent="0.2">
      <c r="AF53609" s="679"/>
    </row>
    <row r="53610" spans="32:32" x14ac:dyDescent="0.2">
      <c r="AF53610" s="679"/>
    </row>
    <row r="53611" spans="32:32" x14ac:dyDescent="0.2">
      <c r="AF53611" s="679"/>
    </row>
    <row r="53612" spans="32:32" x14ac:dyDescent="0.2">
      <c r="AF53612" s="679"/>
    </row>
    <row r="53613" spans="32:32" x14ac:dyDescent="0.2">
      <c r="AF53613" s="679"/>
    </row>
    <row r="53614" spans="32:32" x14ac:dyDescent="0.2">
      <c r="AF53614" s="679"/>
    </row>
    <row r="53615" spans="32:32" x14ac:dyDescent="0.2">
      <c r="AF53615" s="679"/>
    </row>
    <row r="53616" spans="32:32" x14ac:dyDescent="0.2">
      <c r="AF53616" s="679"/>
    </row>
    <row r="53617" spans="32:32" x14ac:dyDescent="0.2">
      <c r="AF53617" s="679"/>
    </row>
    <row r="53618" spans="32:32" x14ac:dyDescent="0.2">
      <c r="AF53618" s="679"/>
    </row>
    <row r="53619" spans="32:32" x14ac:dyDescent="0.2">
      <c r="AF53619" s="679"/>
    </row>
    <row r="53620" spans="32:32" x14ac:dyDescent="0.2">
      <c r="AF53620" s="679"/>
    </row>
    <row r="53621" spans="32:32" x14ac:dyDescent="0.2">
      <c r="AF53621" s="679"/>
    </row>
    <row r="53622" spans="32:32" x14ac:dyDescent="0.2">
      <c r="AF53622" s="679"/>
    </row>
    <row r="53623" spans="32:32" x14ac:dyDescent="0.2">
      <c r="AF53623" s="679"/>
    </row>
    <row r="53624" spans="32:32" x14ac:dyDescent="0.2">
      <c r="AF53624" s="679"/>
    </row>
    <row r="53625" spans="32:32" x14ac:dyDescent="0.2">
      <c r="AF53625" s="679"/>
    </row>
    <row r="53626" spans="32:32" x14ac:dyDescent="0.2">
      <c r="AF53626" s="679"/>
    </row>
    <row r="53627" spans="32:32" x14ac:dyDescent="0.2">
      <c r="AF53627" s="679"/>
    </row>
    <row r="53628" spans="32:32" x14ac:dyDescent="0.2">
      <c r="AF53628" s="679"/>
    </row>
    <row r="53629" spans="32:32" x14ac:dyDescent="0.2">
      <c r="AF53629" s="679"/>
    </row>
    <row r="53630" spans="32:32" x14ac:dyDescent="0.2">
      <c r="AF53630" s="679"/>
    </row>
    <row r="53631" spans="32:32" x14ac:dyDescent="0.2">
      <c r="AF53631" s="679"/>
    </row>
    <row r="53632" spans="32:32" x14ac:dyDescent="0.2">
      <c r="AF53632" s="679"/>
    </row>
    <row r="53633" spans="32:32" x14ac:dyDescent="0.2">
      <c r="AF53633" s="679"/>
    </row>
    <row r="53634" spans="32:32" x14ac:dyDescent="0.2">
      <c r="AF53634" s="679"/>
    </row>
    <row r="53635" spans="32:32" x14ac:dyDescent="0.2">
      <c r="AF53635" s="679"/>
    </row>
    <row r="53636" spans="32:32" x14ac:dyDescent="0.2">
      <c r="AF53636" s="679"/>
    </row>
    <row r="53637" spans="32:32" x14ac:dyDescent="0.2">
      <c r="AF53637" s="679"/>
    </row>
    <row r="53638" spans="32:32" x14ac:dyDescent="0.2">
      <c r="AF53638" s="679"/>
    </row>
    <row r="53639" spans="32:32" x14ac:dyDescent="0.2">
      <c r="AF53639" s="679"/>
    </row>
    <row r="53640" spans="32:32" x14ac:dyDescent="0.2">
      <c r="AF53640" s="679"/>
    </row>
    <row r="53641" spans="32:32" x14ac:dyDescent="0.2">
      <c r="AF53641" s="679"/>
    </row>
    <row r="53642" spans="32:32" x14ac:dyDescent="0.2">
      <c r="AF53642" s="679"/>
    </row>
    <row r="53643" spans="32:32" x14ac:dyDescent="0.2">
      <c r="AF53643" s="679"/>
    </row>
    <row r="53644" spans="32:32" x14ac:dyDescent="0.2">
      <c r="AF53644" s="679"/>
    </row>
    <row r="53645" spans="32:32" x14ac:dyDescent="0.2">
      <c r="AF53645" s="679"/>
    </row>
    <row r="53646" spans="32:32" x14ac:dyDescent="0.2">
      <c r="AF53646" s="679"/>
    </row>
    <row r="53647" spans="32:32" x14ac:dyDescent="0.2">
      <c r="AF53647" s="679"/>
    </row>
    <row r="53648" spans="32:32" x14ac:dyDescent="0.2">
      <c r="AF53648" s="679"/>
    </row>
    <row r="53649" spans="32:32" x14ac:dyDescent="0.2">
      <c r="AF53649" s="679"/>
    </row>
    <row r="53650" spans="32:32" x14ac:dyDescent="0.2">
      <c r="AF53650" s="679"/>
    </row>
    <row r="53651" spans="32:32" x14ac:dyDescent="0.2">
      <c r="AF53651" s="679"/>
    </row>
    <row r="53652" spans="32:32" x14ac:dyDescent="0.2">
      <c r="AF53652" s="679"/>
    </row>
    <row r="53653" spans="32:32" x14ac:dyDescent="0.2">
      <c r="AF53653" s="679"/>
    </row>
    <row r="53654" spans="32:32" x14ac:dyDescent="0.2">
      <c r="AF53654" s="679"/>
    </row>
    <row r="53655" spans="32:32" x14ac:dyDescent="0.2">
      <c r="AF53655" s="679"/>
    </row>
    <row r="53656" spans="32:32" x14ac:dyDescent="0.2">
      <c r="AF53656" s="679"/>
    </row>
    <row r="53657" spans="32:32" x14ac:dyDescent="0.2">
      <c r="AF53657" s="679"/>
    </row>
    <row r="53658" spans="32:32" x14ac:dyDescent="0.2">
      <c r="AF53658" s="679"/>
    </row>
    <row r="53659" spans="32:32" x14ac:dyDescent="0.2">
      <c r="AF53659" s="679"/>
    </row>
    <row r="53660" spans="32:32" x14ac:dyDescent="0.2">
      <c r="AF53660" s="679"/>
    </row>
    <row r="53661" spans="32:32" x14ac:dyDescent="0.2">
      <c r="AF53661" s="679"/>
    </row>
    <row r="53662" spans="32:32" x14ac:dyDescent="0.2">
      <c r="AF53662" s="679"/>
    </row>
    <row r="53663" spans="32:32" x14ac:dyDescent="0.2">
      <c r="AF53663" s="679"/>
    </row>
    <row r="53664" spans="32:32" x14ac:dyDescent="0.2">
      <c r="AF53664" s="679"/>
    </row>
    <row r="53665" spans="32:32" x14ac:dyDescent="0.2">
      <c r="AF53665" s="679"/>
    </row>
    <row r="53666" spans="32:32" x14ac:dyDescent="0.2">
      <c r="AF53666" s="679"/>
    </row>
    <row r="53667" spans="32:32" x14ac:dyDescent="0.2">
      <c r="AF53667" s="679"/>
    </row>
    <row r="53668" spans="32:32" x14ac:dyDescent="0.2">
      <c r="AF53668" s="679"/>
    </row>
    <row r="53669" spans="32:32" x14ac:dyDescent="0.2">
      <c r="AF53669" s="679"/>
    </row>
    <row r="53670" spans="32:32" x14ac:dyDescent="0.2">
      <c r="AF53670" s="679"/>
    </row>
    <row r="53671" spans="32:32" x14ac:dyDescent="0.2">
      <c r="AF53671" s="679"/>
    </row>
    <row r="53672" spans="32:32" x14ac:dyDescent="0.2">
      <c r="AF53672" s="679"/>
    </row>
    <row r="53673" spans="32:32" x14ac:dyDescent="0.2">
      <c r="AF53673" s="679"/>
    </row>
    <row r="53674" spans="32:32" x14ac:dyDescent="0.2">
      <c r="AF53674" s="679"/>
    </row>
    <row r="53675" spans="32:32" x14ac:dyDescent="0.2">
      <c r="AF53675" s="679"/>
    </row>
    <row r="53676" spans="32:32" x14ac:dyDescent="0.2">
      <c r="AF53676" s="679"/>
    </row>
    <row r="53677" spans="32:32" x14ac:dyDescent="0.2">
      <c r="AF53677" s="679"/>
    </row>
    <row r="53678" spans="32:32" x14ac:dyDescent="0.2">
      <c r="AF53678" s="679"/>
    </row>
    <row r="53679" spans="32:32" x14ac:dyDescent="0.2">
      <c r="AF53679" s="679"/>
    </row>
    <row r="53680" spans="32:32" x14ac:dyDescent="0.2">
      <c r="AF53680" s="679"/>
    </row>
    <row r="53681" spans="32:32" x14ac:dyDescent="0.2">
      <c r="AF53681" s="679"/>
    </row>
    <row r="53682" spans="32:32" x14ac:dyDescent="0.2">
      <c r="AF53682" s="679"/>
    </row>
    <row r="53683" spans="32:32" x14ac:dyDescent="0.2">
      <c r="AF53683" s="679"/>
    </row>
    <row r="53684" spans="32:32" x14ac:dyDescent="0.2">
      <c r="AF53684" s="679"/>
    </row>
    <row r="53685" spans="32:32" x14ac:dyDescent="0.2">
      <c r="AF53685" s="679"/>
    </row>
    <row r="53686" spans="32:32" x14ac:dyDescent="0.2">
      <c r="AF53686" s="679"/>
    </row>
    <row r="53687" spans="32:32" x14ac:dyDescent="0.2">
      <c r="AF53687" s="679"/>
    </row>
    <row r="53688" spans="32:32" x14ac:dyDescent="0.2">
      <c r="AF53688" s="679"/>
    </row>
    <row r="53689" spans="32:32" x14ac:dyDescent="0.2">
      <c r="AF53689" s="679"/>
    </row>
    <row r="53690" spans="32:32" x14ac:dyDescent="0.2">
      <c r="AF53690" s="679"/>
    </row>
    <row r="53691" spans="32:32" x14ac:dyDescent="0.2">
      <c r="AF53691" s="679"/>
    </row>
    <row r="53692" spans="32:32" x14ac:dyDescent="0.2">
      <c r="AF53692" s="679"/>
    </row>
    <row r="53693" spans="32:32" x14ac:dyDescent="0.2">
      <c r="AF53693" s="679"/>
    </row>
    <row r="53694" spans="32:32" x14ac:dyDescent="0.2">
      <c r="AF53694" s="679"/>
    </row>
    <row r="53695" spans="32:32" x14ac:dyDescent="0.2">
      <c r="AF53695" s="679"/>
    </row>
    <row r="53696" spans="32:32" x14ac:dyDescent="0.2">
      <c r="AF53696" s="679"/>
    </row>
    <row r="53697" spans="32:32" x14ac:dyDescent="0.2">
      <c r="AF53697" s="679"/>
    </row>
    <row r="53698" spans="32:32" x14ac:dyDescent="0.2">
      <c r="AF53698" s="679"/>
    </row>
    <row r="53699" spans="32:32" x14ac:dyDescent="0.2">
      <c r="AF53699" s="679"/>
    </row>
    <row r="53700" spans="32:32" x14ac:dyDescent="0.2">
      <c r="AF53700" s="679"/>
    </row>
    <row r="53701" spans="32:32" x14ac:dyDescent="0.2">
      <c r="AF53701" s="679"/>
    </row>
    <row r="53702" spans="32:32" x14ac:dyDescent="0.2">
      <c r="AF53702" s="679"/>
    </row>
    <row r="53703" spans="32:32" x14ac:dyDescent="0.2">
      <c r="AF53703" s="679"/>
    </row>
    <row r="53704" spans="32:32" x14ac:dyDescent="0.2">
      <c r="AF53704" s="679"/>
    </row>
    <row r="53705" spans="32:32" x14ac:dyDescent="0.2">
      <c r="AF53705" s="679"/>
    </row>
    <row r="53706" spans="32:32" x14ac:dyDescent="0.2">
      <c r="AF53706" s="679"/>
    </row>
    <row r="53707" spans="32:32" x14ac:dyDescent="0.2">
      <c r="AF53707" s="679"/>
    </row>
    <row r="53708" spans="32:32" x14ac:dyDescent="0.2">
      <c r="AF53708" s="679"/>
    </row>
    <row r="53709" spans="32:32" x14ac:dyDescent="0.2">
      <c r="AF53709" s="679"/>
    </row>
    <row r="53710" spans="32:32" x14ac:dyDescent="0.2">
      <c r="AF53710" s="679"/>
    </row>
    <row r="53711" spans="32:32" x14ac:dyDescent="0.2">
      <c r="AF53711" s="679"/>
    </row>
    <row r="53712" spans="32:32" x14ac:dyDescent="0.2">
      <c r="AF53712" s="679"/>
    </row>
    <row r="53713" spans="32:32" x14ac:dyDescent="0.2">
      <c r="AF53713" s="679"/>
    </row>
    <row r="53714" spans="32:32" x14ac:dyDescent="0.2">
      <c r="AF53714" s="679"/>
    </row>
    <row r="53715" spans="32:32" x14ac:dyDescent="0.2">
      <c r="AF53715" s="679"/>
    </row>
    <row r="53716" spans="32:32" x14ac:dyDescent="0.2">
      <c r="AF53716" s="679"/>
    </row>
    <row r="53717" spans="32:32" x14ac:dyDescent="0.2">
      <c r="AF53717" s="679"/>
    </row>
    <row r="53718" spans="32:32" x14ac:dyDescent="0.2">
      <c r="AF53718" s="679"/>
    </row>
    <row r="53719" spans="32:32" x14ac:dyDescent="0.2">
      <c r="AF53719" s="679"/>
    </row>
    <row r="53720" spans="32:32" x14ac:dyDescent="0.2">
      <c r="AF53720" s="679"/>
    </row>
    <row r="53721" spans="32:32" x14ac:dyDescent="0.2">
      <c r="AF53721" s="679"/>
    </row>
    <row r="53722" spans="32:32" x14ac:dyDescent="0.2">
      <c r="AF53722" s="679"/>
    </row>
    <row r="53723" spans="32:32" x14ac:dyDescent="0.2">
      <c r="AF53723" s="679"/>
    </row>
    <row r="53724" spans="32:32" x14ac:dyDescent="0.2">
      <c r="AF53724" s="679"/>
    </row>
    <row r="53725" spans="32:32" x14ac:dyDescent="0.2">
      <c r="AF53725" s="679"/>
    </row>
    <row r="53726" spans="32:32" x14ac:dyDescent="0.2">
      <c r="AF53726" s="679"/>
    </row>
    <row r="53727" spans="32:32" x14ac:dyDescent="0.2">
      <c r="AF53727" s="679"/>
    </row>
    <row r="53728" spans="32:32" x14ac:dyDescent="0.2">
      <c r="AF53728" s="679"/>
    </row>
    <row r="53729" spans="32:32" x14ac:dyDescent="0.2">
      <c r="AF53729" s="679"/>
    </row>
    <row r="53730" spans="32:32" x14ac:dyDescent="0.2">
      <c r="AF53730" s="679"/>
    </row>
    <row r="53731" spans="32:32" x14ac:dyDescent="0.2">
      <c r="AF53731" s="679"/>
    </row>
    <row r="53732" spans="32:32" x14ac:dyDescent="0.2">
      <c r="AF53732" s="679"/>
    </row>
    <row r="53733" spans="32:32" x14ac:dyDescent="0.2">
      <c r="AF53733" s="679"/>
    </row>
    <row r="53734" spans="32:32" x14ac:dyDescent="0.2">
      <c r="AF53734" s="679"/>
    </row>
    <row r="53735" spans="32:32" x14ac:dyDescent="0.2">
      <c r="AF53735" s="679"/>
    </row>
    <row r="53736" spans="32:32" x14ac:dyDescent="0.2">
      <c r="AF53736" s="679"/>
    </row>
    <row r="53737" spans="32:32" x14ac:dyDescent="0.2">
      <c r="AF53737" s="679"/>
    </row>
    <row r="53738" spans="32:32" x14ac:dyDescent="0.2">
      <c r="AF53738" s="679"/>
    </row>
    <row r="53739" spans="32:32" x14ac:dyDescent="0.2">
      <c r="AF53739" s="679"/>
    </row>
    <row r="53740" spans="32:32" x14ac:dyDescent="0.2">
      <c r="AF53740" s="679"/>
    </row>
    <row r="53741" spans="32:32" x14ac:dyDescent="0.2">
      <c r="AF53741" s="679"/>
    </row>
    <row r="53742" spans="32:32" x14ac:dyDescent="0.2">
      <c r="AF53742" s="679"/>
    </row>
    <row r="53743" spans="32:32" x14ac:dyDescent="0.2">
      <c r="AF53743" s="679"/>
    </row>
    <row r="53744" spans="32:32" x14ac:dyDescent="0.2">
      <c r="AF53744" s="679"/>
    </row>
    <row r="53745" spans="32:32" x14ac:dyDescent="0.2">
      <c r="AF53745" s="679"/>
    </row>
    <row r="53746" spans="32:32" x14ac:dyDescent="0.2">
      <c r="AF53746" s="679"/>
    </row>
    <row r="53747" spans="32:32" x14ac:dyDescent="0.2">
      <c r="AF53747" s="679"/>
    </row>
    <row r="53748" spans="32:32" x14ac:dyDescent="0.2">
      <c r="AF53748" s="679"/>
    </row>
    <row r="53749" spans="32:32" x14ac:dyDescent="0.2">
      <c r="AF53749" s="679"/>
    </row>
    <row r="53750" spans="32:32" x14ac:dyDescent="0.2">
      <c r="AF53750" s="679"/>
    </row>
    <row r="53751" spans="32:32" x14ac:dyDescent="0.2">
      <c r="AF53751" s="679"/>
    </row>
    <row r="53752" spans="32:32" x14ac:dyDescent="0.2">
      <c r="AF53752" s="679"/>
    </row>
    <row r="53753" spans="32:32" x14ac:dyDescent="0.2">
      <c r="AF53753" s="679"/>
    </row>
    <row r="53754" spans="32:32" x14ac:dyDescent="0.2">
      <c r="AF53754" s="679"/>
    </row>
    <row r="53755" spans="32:32" x14ac:dyDescent="0.2">
      <c r="AF53755" s="679"/>
    </row>
    <row r="53756" spans="32:32" x14ac:dyDescent="0.2">
      <c r="AF53756" s="679"/>
    </row>
    <row r="53757" spans="32:32" x14ac:dyDescent="0.2">
      <c r="AF53757" s="679"/>
    </row>
    <row r="53758" spans="32:32" x14ac:dyDescent="0.2">
      <c r="AF53758" s="679"/>
    </row>
    <row r="53759" spans="32:32" x14ac:dyDescent="0.2">
      <c r="AF53759" s="679"/>
    </row>
    <row r="53760" spans="32:32" x14ac:dyDescent="0.2">
      <c r="AF53760" s="679"/>
    </row>
    <row r="53761" spans="32:32" x14ac:dyDescent="0.2">
      <c r="AF53761" s="679"/>
    </row>
    <row r="53762" spans="32:32" x14ac:dyDescent="0.2">
      <c r="AF53762" s="679"/>
    </row>
    <row r="53763" spans="32:32" x14ac:dyDescent="0.2">
      <c r="AF53763" s="679"/>
    </row>
    <row r="53764" spans="32:32" x14ac:dyDescent="0.2">
      <c r="AF53764" s="679"/>
    </row>
    <row r="53765" spans="32:32" x14ac:dyDescent="0.2">
      <c r="AF53765" s="679"/>
    </row>
    <row r="53766" spans="32:32" x14ac:dyDescent="0.2">
      <c r="AF53766" s="679"/>
    </row>
    <row r="53767" spans="32:32" x14ac:dyDescent="0.2">
      <c r="AF53767" s="679"/>
    </row>
    <row r="53768" spans="32:32" x14ac:dyDescent="0.2">
      <c r="AF53768" s="679"/>
    </row>
    <row r="53769" spans="32:32" x14ac:dyDescent="0.2">
      <c r="AF53769" s="679"/>
    </row>
    <row r="53770" spans="32:32" x14ac:dyDescent="0.2">
      <c r="AF53770" s="679"/>
    </row>
    <row r="53771" spans="32:32" x14ac:dyDescent="0.2">
      <c r="AF53771" s="679"/>
    </row>
    <row r="53772" spans="32:32" x14ac:dyDescent="0.2">
      <c r="AF53772" s="679"/>
    </row>
    <row r="53773" spans="32:32" x14ac:dyDescent="0.2">
      <c r="AF53773" s="679"/>
    </row>
    <row r="53774" spans="32:32" x14ac:dyDescent="0.2">
      <c r="AF53774" s="679"/>
    </row>
    <row r="53775" spans="32:32" x14ac:dyDescent="0.2">
      <c r="AF53775" s="679"/>
    </row>
    <row r="53776" spans="32:32" x14ac:dyDescent="0.2">
      <c r="AF53776" s="679"/>
    </row>
    <row r="53777" spans="32:32" x14ac:dyDescent="0.2">
      <c r="AF53777" s="679"/>
    </row>
    <row r="53778" spans="32:32" x14ac:dyDescent="0.2">
      <c r="AF53778" s="679"/>
    </row>
    <row r="53779" spans="32:32" x14ac:dyDescent="0.2">
      <c r="AF53779" s="679"/>
    </row>
    <row r="53780" spans="32:32" x14ac:dyDescent="0.2">
      <c r="AF53780" s="679"/>
    </row>
    <row r="53781" spans="32:32" x14ac:dyDescent="0.2">
      <c r="AF53781" s="679"/>
    </row>
    <row r="53782" spans="32:32" x14ac:dyDescent="0.2">
      <c r="AF53782" s="679"/>
    </row>
    <row r="53783" spans="32:32" x14ac:dyDescent="0.2">
      <c r="AF53783" s="679"/>
    </row>
    <row r="53784" spans="32:32" x14ac:dyDescent="0.2">
      <c r="AF53784" s="679"/>
    </row>
    <row r="53785" spans="32:32" x14ac:dyDescent="0.2">
      <c r="AF53785" s="679"/>
    </row>
    <row r="53786" spans="32:32" x14ac:dyDescent="0.2">
      <c r="AF53786" s="679"/>
    </row>
    <row r="53787" spans="32:32" x14ac:dyDescent="0.2">
      <c r="AF53787" s="679"/>
    </row>
    <row r="53788" spans="32:32" x14ac:dyDescent="0.2">
      <c r="AF53788" s="679"/>
    </row>
    <row r="53789" spans="32:32" x14ac:dyDescent="0.2">
      <c r="AF53789" s="679"/>
    </row>
    <row r="53790" spans="32:32" x14ac:dyDescent="0.2">
      <c r="AF53790" s="679"/>
    </row>
    <row r="53791" spans="32:32" x14ac:dyDescent="0.2">
      <c r="AF53791" s="679"/>
    </row>
    <row r="53792" spans="32:32" x14ac:dyDescent="0.2">
      <c r="AF53792" s="679"/>
    </row>
    <row r="53793" spans="32:32" x14ac:dyDescent="0.2">
      <c r="AF53793" s="679"/>
    </row>
    <row r="53794" spans="32:32" x14ac:dyDescent="0.2">
      <c r="AF53794" s="679"/>
    </row>
    <row r="53795" spans="32:32" x14ac:dyDescent="0.2">
      <c r="AF53795" s="679"/>
    </row>
    <row r="53796" spans="32:32" x14ac:dyDescent="0.2">
      <c r="AF53796" s="679"/>
    </row>
    <row r="53797" spans="32:32" x14ac:dyDescent="0.2">
      <c r="AF53797" s="679"/>
    </row>
    <row r="53798" spans="32:32" x14ac:dyDescent="0.2">
      <c r="AF53798" s="679"/>
    </row>
    <row r="53799" spans="32:32" x14ac:dyDescent="0.2">
      <c r="AF53799" s="679"/>
    </row>
    <row r="53800" spans="32:32" x14ac:dyDescent="0.2">
      <c r="AF53800" s="679"/>
    </row>
    <row r="53801" spans="32:32" x14ac:dyDescent="0.2">
      <c r="AF53801" s="679"/>
    </row>
    <row r="53802" spans="32:32" x14ac:dyDescent="0.2">
      <c r="AF53802" s="679"/>
    </row>
    <row r="53803" spans="32:32" x14ac:dyDescent="0.2">
      <c r="AF53803" s="679"/>
    </row>
    <row r="53804" spans="32:32" x14ac:dyDescent="0.2">
      <c r="AF53804" s="679"/>
    </row>
    <row r="53805" spans="32:32" x14ac:dyDescent="0.2">
      <c r="AF53805" s="679"/>
    </row>
    <row r="53806" spans="32:32" x14ac:dyDescent="0.2">
      <c r="AF53806" s="679"/>
    </row>
    <row r="53807" spans="32:32" x14ac:dyDescent="0.2">
      <c r="AF53807" s="679"/>
    </row>
    <row r="53808" spans="32:32" x14ac:dyDescent="0.2">
      <c r="AF53808" s="679"/>
    </row>
    <row r="53809" spans="32:32" x14ac:dyDescent="0.2">
      <c r="AF53809" s="679"/>
    </row>
    <row r="53810" spans="32:32" x14ac:dyDescent="0.2">
      <c r="AF53810" s="679"/>
    </row>
    <row r="53811" spans="32:32" x14ac:dyDescent="0.2">
      <c r="AF53811" s="679"/>
    </row>
    <row r="53812" spans="32:32" x14ac:dyDescent="0.2">
      <c r="AF53812" s="679"/>
    </row>
    <row r="53813" spans="32:32" x14ac:dyDescent="0.2">
      <c r="AF53813" s="679"/>
    </row>
    <row r="53814" spans="32:32" x14ac:dyDescent="0.2">
      <c r="AF53814" s="679"/>
    </row>
    <row r="53815" spans="32:32" x14ac:dyDescent="0.2">
      <c r="AF53815" s="679"/>
    </row>
    <row r="53816" spans="32:32" x14ac:dyDescent="0.2">
      <c r="AF53816" s="679"/>
    </row>
    <row r="53817" spans="32:32" x14ac:dyDescent="0.2">
      <c r="AF53817" s="679"/>
    </row>
    <row r="53818" spans="32:32" x14ac:dyDescent="0.2">
      <c r="AF53818" s="679"/>
    </row>
    <row r="53819" spans="32:32" x14ac:dyDescent="0.2">
      <c r="AF53819" s="679"/>
    </row>
    <row r="53820" spans="32:32" x14ac:dyDescent="0.2">
      <c r="AF53820" s="679"/>
    </row>
    <row r="53821" spans="32:32" x14ac:dyDescent="0.2">
      <c r="AF53821" s="679"/>
    </row>
    <row r="53822" spans="32:32" x14ac:dyDescent="0.2">
      <c r="AF53822" s="679"/>
    </row>
    <row r="53823" spans="32:32" x14ac:dyDescent="0.2">
      <c r="AF53823" s="679"/>
    </row>
    <row r="53824" spans="32:32" x14ac:dyDescent="0.2">
      <c r="AF53824" s="679"/>
    </row>
    <row r="53825" spans="32:32" x14ac:dyDescent="0.2">
      <c r="AF53825" s="679"/>
    </row>
    <row r="53826" spans="32:32" x14ac:dyDescent="0.2">
      <c r="AF53826" s="679"/>
    </row>
    <row r="53827" spans="32:32" x14ac:dyDescent="0.2">
      <c r="AF53827" s="679"/>
    </row>
    <row r="53828" spans="32:32" x14ac:dyDescent="0.2">
      <c r="AF53828" s="679"/>
    </row>
    <row r="53829" spans="32:32" x14ac:dyDescent="0.2">
      <c r="AF53829" s="679"/>
    </row>
    <row r="53830" spans="32:32" x14ac:dyDescent="0.2">
      <c r="AF53830" s="679"/>
    </row>
    <row r="53831" spans="32:32" x14ac:dyDescent="0.2">
      <c r="AF53831" s="679"/>
    </row>
    <row r="53832" spans="32:32" x14ac:dyDescent="0.2">
      <c r="AF53832" s="679"/>
    </row>
    <row r="53833" spans="32:32" x14ac:dyDescent="0.2">
      <c r="AF53833" s="679"/>
    </row>
    <row r="53834" spans="32:32" x14ac:dyDescent="0.2">
      <c r="AF53834" s="679"/>
    </row>
    <row r="53835" spans="32:32" x14ac:dyDescent="0.2">
      <c r="AF53835" s="679"/>
    </row>
    <row r="53836" spans="32:32" x14ac:dyDescent="0.2">
      <c r="AF53836" s="679"/>
    </row>
    <row r="53837" spans="32:32" x14ac:dyDescent="0.2">
      <c r="AF53837" s="679"/>
    </row>
    <row r="53838" spans="32:32" x14ac:dyDescent="0.2">
      <c r="AF53838" s="679"/>
    </row>
    <row r="53839" spans="32:32" x14ac:dyDescent="0.2">
      <c r="AF53839" s="679"/>
    </row>
    <row r="53840" spans="32:32" x14ac:dyDescent="0.2">
      <c r="AF53840" s="679"/>
    </row>
    <row r="53841" spans="32:32" x14ac:dyDescent="0.2">
      <c r="AF53841" s="679"/>
    </row>
    <row r="53842" spans="32:32" x14ac:dyDescent="0.2">
      <c r="AF53842" s="679"/>
    </row>
    <row r="53843" spans="32:32" x14ac:dyDescent="0.2">
      <c r="AF53843" s="679"/>
    </row>
    <row r="53844" spans="32:32" x14ac:dyDescent="0.2">
      <c r="AF53844" s="679"/>
    </row>
    <row r="53845" spans="32:32" x14ac:dyDescent="0.2">
      <c r="AF53845" s="679"/>
    </row>
    <row r="53846" spans="32:32" x14ac:dyDescent="0.2">
      <c r="AF53846" s="679"/>
    </row>
    <row r="53847" spans="32:32" x14ac:dyDescent="0.2">
      <c r="AF53847" s="679"/>
    </row>
    <row r="53848" spans="32:32" x14ac:dyDescent="0.2">
      <c r="AF53848" s="679"/>
    </row>
    <row r="53849" spans="32:32" x14ac:dyDescent="0.2">
      <c r="AF53849" s="679"/>
    </row>
    <row r="53850" spans="32:32" x14ac:dyDescent="0.2">
      <c r="AF53850" s="679"/>
    </row>
    <row r="53851" spans="32:32" x14ac:dyDescent="0.2">
      <c r="AF53851" s="679"/>
    </row>
    <row r="53852" spans="32:32" x14ac:dyDescent="0.2">
      <c r="AF53852" s="679"/>
    </row>
    <row r="53853" spans="32:32" x14ac:dyDescent="0.2">
      <c r="AF53853" s="679"/>
    </row>
    <row r="53854" spans="32:32" x14ac:dyDescent="0.2">
      <c r="AF53854" s="679"/>
    </row>
    <row r="53855" spans="32:32" x14ac:dyDescent="0.2">
      <c r="AF53855" s="679"/>
    </row>
    <row r="53856" spans="32:32" x14ac:dyDescent="0.2">
      <c r="AF53856" s="679"/>
    </row>
    <row r="53857" spans="32:32" x14ac:dyDescent="0.2">
      <c r="AF53857" s="679"/>
    </row>
    <row r="53858" spans="32:32" x14ac:dyDescent="0.2">
      <c r="AF53858" s="679"/>
    </row>
    <row r="53859" spans="32:32" x14ac:dyDescent="0.2">
      <c r="AF53859" s="679"/>
    </row>
    <row r="53860" spans="32:32" x14ac:dyDescent="0.2">
      <c r="AF53860" s="679"/>
    </row>
    <row r="53861" spans="32:32" x14ac:dyDescent="0.2">
      <c r="AF53861" s="679"/>
    </row>
    <row r="53862" spans="32:32" x14ac:dyDescent="0.2">
      <c r="AF53862" s="679"/>
    </row>
    <row r="53863" spans="32:32" x14ac:dyDescent="0.2">
      <c r="AF53863" s="679"/>
    </row>
    <row r="53864" spans="32:32" x14ac:dyDescent="0.2">
      <c r="AF53864" s="679"/>
    </row>
    <row r="53865" spans="32:32" x14ac:dyDescent="0.2">
      <c r="AF53865" s="679"/>
    </row>
    <row r="53866" spans="32:32" x14ac:dyDescent="0.2">
      <c r="AF53866" s="679"/>
    </row>
    <row r="53867" spans="32:32" x14ac:dyDescent="0.2">
      <c r="AF53867" s="679"/>
    </row>
    <row r="53868" spans="32:32" x14ac:dyDescent="0.2">
      <c r="AF53868" s="679"/>
    </row>
    <row r="53869" spans="32:32" x14ac:dyDescent="0.2">
      <c r="AF53869" s="679"/>
    </row>
    <row r="53870" spans="32:32" x14ac:dyDescent="0.2">
      <c r="AF53870" s="679"/>
    </row>
    <row r="53871" spans="32:32" x14ac:dyDescent="0.2">
      <c r="AF53871" s="679"/>
    </row>
    <row r="53872" spans="32:32" x14ac:dyDescent="0.2">
      <c r="AF53872" s="679"/>
    </row>
    <row r="53873" spans="32:32" x14ac:dyDescent="0.2">
      <c r="AF53873" s="679"/>
    </row>
    <row r="53874" spans="32:32" x14ac:dyDescent="0.2">
      <c r="AF53874" s="679"/>
    </row>
    <row r="53875" spans="32:32" x14ac:dyDescent="0.2">
      <c r="AF53875" s="679"/>
    </row>
    <row r="53876" spans="32:32" x14ac:dyDescent="0.2">
      <c r="AF53876" s="679"/>
    </row>
    <row r="53877" spans="32:32" x14ac:dyDescent="0.2">
      <c r="AF53877" s="679"/>
    </row>
    <row r="53878" spans="32:32" x14ac:dyDescent="0.2">
      <c r="AF53878" s="679"/>
    </row>
    <row r="53879" spans="32:32" x14ac:dyDescent="0.2">
      <c r="AF53879" s="679"/>
    </row>
    <row r="53880" spans="32:32" x14ac:dyDescent="0.2">
      <c r="AF53880" s="679"/>
    </row>
    <row r="53881" spans="32:32" x14ac:dyDescent="0.2">
      <c r="AF53881" s="679"/>
    </row>
    <row r="53882" spans="32:32" x14ac:dyDescent="0.2">
      <c r="AF53882" s="679"/>
    </row>
    <row r="53883" spans="32:32" x14ac:dyDescent="0.2">
      <c r="AF53883" s="679"/>
    </row>
    <row r="53884" spans="32:32" x14ac:dyDescent="0.2">
      <c r="AF53884" s="679"/>
    </row>
    <row r="53885" spans="32:32" x14ac:dyDescent="0.2">
      <c r="AF53885" s="679"/>
    </row>
    <row r="53886" spans="32:32" x14ac:dyDescent="0.2">
      <c r="AF53886" s="679"/>
    </row>
    <row r="53887" spans="32:32" x14ac:dyDescent="0.2">
      <c r="AF53887" s="679"/>
    </row>
    <row r="53888" spans="32:32" x14ac:dyDescent="0.2">
      <c r="AF53888" s="679"/>
    </row>
    <row r="53889" spans="32:32" x14ac:dyDescent="0.2">
      <c r="AF53889" s="679"/>
    </row>
    <row r="53890" spans="32:32" x14ac:dyDescent="0.2">
      <c r="AF53890" s="679"/>
    </row>
    <row r="53891" spans="32:32" x14ac:dyDescent="0.2">
      <c r="AF53891" s="679"/>
    </row>
    <row r="53892" spans="32:32" x14ac:dyDescent="0.2">
      <c r="AF53892" s="679"/>
    </row>
    <row r="53893" spans="32:32" x14ac:dyDescent="0.2">
      <c r="AF53893" s="679"/>
    </row>
    <row r="53894" spans="32:32" x14ac:dyDescent="0.2">
      <c r="AF53894" s="679"/>
    </row>
    <row r="53895" spans="32:32" x14ac:dyDescent="0.2">
      <c r="AF53895" s="679"/>
    </row>
    <row r="53896" spans="32:32" x14ac:dyDescent="0.2">
      <c r="AF53896" s="679"/>
    </row>
    <row r="53897" spans="32:32" x14ac:dyDescent="0.2">
      <c r="AF53897" s="679"/>
    </row>
    <row r="53898" spans="32:32" x14ac:dyDescent="0.2">
      <c r="AF53898" s="679"/>
    </row>
    <row r="53899" spans="32:32" x14ac:dyDescent="0.2">
      <c r="AF53899" s="679"/>
    </row>
    <row r="53900" spans="32:32" x14ac:dyDescent="0.2">
      <c r="AF53900" s="679"/>
    </row>
    <row r="53901" spans="32:32" x14ac:dyDescent="0.2">
      <c r="AF53901" s="679"/>
    </row>
    <row r="53902" spans="32:32" x14ac:dyDescent="0.2">
      <c r="AF53902" s="679"/>
    </row>
    <row r="53903" spans="32:32" x14ac:dyDescent="0.2">
      <c r="AF53903" s="679"/>
    </row>
    <row r="53904" spans="32:32" x14ac:dyDescent="0.2">
      <c r="AF53904" s="679"/>
    </row>
    <row r="53905" spans="32:32" x14ac:dyDescent="0.2">
      <c r="AF53905" s="679"/>
    </row>
    <row r="53906" spans="32:32" x14ac:dyDescent="0.2">
      <c r="AF53906" s="679"/>
    </row>
    <row r="53907" spans="32:32" x14ac:dyDescent="0.2">
      <c r="AF53907" s="679"/>
    </row>
    <row r="53908" spans="32:32" x14ac:dyDescent="0.2">
      <c r="AF53908" s="679"/>
    </row>
    <row r="53909" spans="32:32" x14ac:dyDescent="0.2">
      <c r="AF53909" s="679"/>
    </row>
    <row r="53910" spans="32:32" x14ac:dyDescent="0.2">
      <c r="AF53910" s="679"/>
    </row>
    <row r="53911" spans="32:32" x14ac:dyDescent="0.2">
      <c r="AF53911" s="679"/>
    </row>
    <row r="53912" spans="32:32" x14ac:dyDescent="0.2">
      <c r="AF53912" s="679"/>
    </row>
    <row r="53913" spans="32:32" x14ac:dyDescent="0.2">
      <c r="AF53913" s="679"/>
    </row>
    <row r="53914" spans="32:32" x14ac:dyDescent="0.2">
      <c r="AF53914" s="679"/>
    </row>
    <row r="53915" spans="32:32" x14ac:dyDescent="0.2">
      <c r="AF53915" s="679"/>
    </row>
    <row r="53916" spans="32:32" x14ac:dyDescent="0.2">
      <c r="AF53916" s="679"/>
    </row>
    <row r="53917" spans="32:32" x14ac:dyDescent="0.2">
      <c r="AF53917" s="679"/>
    </row>
    <row r="53918" spans="32:32" x14ac:dyDescent="0.2">
      <c r="AF53918" s="679"/>
    </row>
    <row r="53919" spans="32:32" x14ac:dyDescent="0.2">
      <c r="AF53919" s="679"/>
    </row>
    <row r="53920" spans="32:32" x14ac:dyDescent="0.2">
      <c r="AF53920" s="679"/>
    </row>
    <row r="53921" spans="32:32" x14ac:dyDescent="0.2">
      <c r="AF53921" s="679"/>
    </row>
    <row r="53922" spans="32:32" x14ac:dyDescent="0.2">
      <c r="AF53922" s="679"/>
    </row>
    <row r="53923" spans="32:32" x14ac:dyDescent="0.2">
      <c r="AF53923" s="679"/>
    </row>
    <row r="53924" spans="32:32" x14ac:dyDescent="0.2">
      <c r="AF53924" s="679"/>
    </row>
    <row r="53925" spans="32:32" x14ac:dyDescent="0.2">
      <c r="AF53925" s="679"/>
    </row>
    <row r="53926" spans="32:32" x14ac:dyDescent="0.2">
      <c r="AF53926" s="679"/>
    </row>
    <row r="53927" spans="32:32" x14ac:dyDescent="0.2">
      <c r="AF53927" s="679"/>
    </row>
    <row r="53928" spans="32:32" x14ac:dyDescent="0.2">
      <c r="AF53928" s="679"/>
    </row>
    <row r="53929" spans="32:32" x14ac:dyDescent="0.2">
      <c r="AF53929" s="679"/>
    </row>
    <row r="53930" spans="32:32" x14ac:dyDescent="0.2">
      <c r="AF53930" s="679"/>
    </row>
    <row r="53931" spans="32:32" x14ac:dyDescent="0.2">
      <c r="AF53931" s="679"/>
    </row>
    <row r="53932" spans="32:32" x14ac:dyDescent="0.2">
      <c r="AF53932" s="679"/>
    </row>
    <row r="53933" spans="32:32" x14ac:dyDescent="0.2">
      <c r="AF53933" s="679"/>
    </row>
    <row r="53934" spans="32:32" x14ac:dyDescent="0.2">
      <c r="AF53934" s="679"/>
    </row>
    <row r="53935" spans="32:32" x14ac:dyDescent="0.2">
      <c r="AF53935" s="679"/>
    </row>
    <row r="53936" spans="32:32" x14ac:dyDescent="0.2">
      <c r="AF53936" s="679"/>
    </row>
    <row r="53937" spans="32:32" x14ac:dyDescent="0.2">
      <c r="AF53937" s="679"/>
    </row>
    <row r="53938" spans="32:32" x14ac:dyDescent="0.2">
      <c r="AF53938" s="679"/>
    </row>
    <row r="53939" spans="32:32" x14ac:dyDescent="0.2">
      <c r="AF53939" s="679"/>
    </row>
    <row r="53940" spans="32:32" x14ac:dyDescent="0.2">
      <c r="AF53940" s="679"/>
    </row>
    <row r="53941" spans="32:32" x14ac:dyDescent="0.2">
      <c r="AF53941" s="679"/>
    </row>
    <row r="53942" spans="32:32" x14ac:dyDescent="0.2">
      <c r="AF53942" s="679"/>
    </row>
    <row r="53943" spans="32:32" x14ac:dyDescent="0.2">
      <c r="AF53943" s="679"/>
    </row>
    <row r="53944" spans="32:32" x14ac:dyDescent="0.2">
      <c r="AF53944" s="679"/>
    </row>
    <row r="53945" spans="32:32" x14ac:dyDescent="0.2">
      <c r="AF53945" s="679"/>
    </row>
    <row r="53946" spans="32:32" x14ac:dyDescent="0.2">
      <c r="AF53946" s="679"/>
    </row>
    <row r="53947" spans="32:32" x14ac:dyDescent="0.2">
      <c r="AF53947" s="679"/>
    </row>
    <row r="53948" spans="32:32" x14ac:dyDescent="0.2">
      <c r="AF53948" s="679"/>
    </row>
    <row r="53949" spans="32:32" x14ac:dyDescent="0.2">
      <c r="AF53949" s="679"/>
    </row>
    <row r="53950" spans="32:32" x14ac:dyDescent="0.2">
      <c r="AF53950" s="679"/>
    </row>
    <row r="53951" spans="32:32" x14ac:dyDescent="0.2">
      <c r="AF53951" s="679"/>
    </row>
    <row r="53952" spans="32:32" x14ac:dyDescent="0.2">
      <c r="AF53952" s="679"/>
    </row>
    <row r="53953" spans="32:32" x14ac:dyDescent="0.2">
      <c r="AF53953" s="679"/>
    </row>
    <row r="53954" spans="32:32" x14ac:dyDescent="0.2">
      <c r="AF53954" s="679"/>
    </row>
    <row r="53955" spans="32:32" x14ac:dyDescent="0.2">
      <c r="AF53955" s="679"/>
    </row>
    <row r="53956" spans="32:32" x14ac:dyDescent="0.2">
      <c r="AF53956" s="679"/>
    </row>
    <row r="53957" spans="32:32" x14ac:dyDescent="0.2">
      <c r="AF53957" s="679"/>
    </row>
    <row r="53958" spans="32:32" x14ac:dyDescent="0.2">
      <c r="AF53958" s="679"/>
    </row>
    <row r="53959" spans="32:32" x14ac:dyDescent="0.2">
      <c r="AF53959" s="679"/>
    </row>
    <row r="53960" spans="32:32" x14ac:dyDescent="0.2">
      <c r="AF53960" s="679"/>
    </row>
    <row r="53961" spans="32:32" x14ac:dyDescent="0.2">
      <c r="AF53961" s="679"/>
    </row>
    <row r="53962" spans="32:32" x14ac:dyDescent="0.2">
      <c r="AF53962" s="679"/>
    </row>
    <row r="53963" spans="32:32" x14ac:dyDescent="0.2">
      <c r="AF53963" s="679"/>
    </row>
    <row r="53964" spans="32:32" x14ac:dyDescent="0.2">
      <c r="AF53964" s="679"/>
    </row>
    <row r="53965" spans="32:32" x14ac:dyDescent="0.2">
      <c r="AF53965" s="679"/>
    </row>
    <row r="53966" spans="32:32" x14ac:dyDescent="0.2">
      <c r="AF53966" s="679"/>
    </row>
    <row r="53967" spans="32:32" x14ac:dyDescent="0.2">
      <c r="AF53967" s="679"/>
    </row>
    <row r="53968" spans="32:32" x14ac:dyDescent="0.2">
      <c r="AF53968" s="679"/>
    </row>
    <row r="53969" spans="32:32" x14ac:dyDescent="0.2">
      <c r="AF53969" s="679"/>
    </row>
    <row r="53970" spans="32:32" x14ac:dyDescent="0.2">
      <c r="AF53970" s="679"/>
    </row>
    <row r="53971" spans="32:32" x14ac:dyDescent="0.2">
      <c r="AF53971" s="679"/>
    </row>
    <row r="53972" spans="32:32" x14ac:dyDescent="0.2">
      <c r="AF53972" s="679"/>
    </row>
    <row r="53973" spans="32:32" x14ac:dyDescent="0.2">
      <c r="AF53973" s="679"/>
    </row>
    <row r="53974" spans="32:32" x14ac:dyDescent="0.2">
      <c r="AF53974" s="679"/>
    </row>
    <row r="53975" spans="32:32" x14ac:dyDescent="0.2">
      <c r="AF53975" s="679"/>
    </row>
    <row r="53976" spans="32:32" x14ac:dyDescent="0.2">
      <c r="AF53976" s="679"/>
    </row>
    <row r="53977" spans="32:32" x14ac:dyDescent="0.2">
      <c r="AF53977" s="679"/>
    </row>
    <row r="53978" spans="32:32" x14ac:dyDescent="0.2">
      <c r="AF53978" s="679"/>
    </row>
    <row r="53979" spans="32:32" x14ac:dyDescent="0.2">
      <c r="AF53979" s="679"/>
    </row>
    <row r="53980" spans="32:32" x14ac:dyDescent="0.2">
      <c r="AF53980" s="679"/>
    </row>
    <row r="53981" spans="32:32" x14ac:dyDescent="0.2">
      <c r="AF53981" s="679"/>
    </row>
    <row r="53982" spans="32:32" x14ac:dyDescent="0.2">
      <c r="AF53982" s="679"/>
    </row>
    <row r="53983" spans="32:32" x14ac:dyDescent="0.2">
      <c r="AF53983" s="679"/>
    </row>
    <row r="53984" spans="32:32" x14ac:dyDescent="0.2">
      <c r="AF53984" s="679"/>
    </row>
    <row r="53985" spans="32:32" x14ac:dyDescent="0.2">
      <c r="AF53985" s="679"/>
    </row>
    <row r="53986" spans="32:32" x14ac:dyDescent="0.2">
      <c r="AF53986" s="679"/>
    </row>
    <row r="53987" spans="32:32" x14ac:dyDescent="0.2">
      <c r="AF53987" s="679"/>
    </row>
    <row r="53988" spans="32:32" x14ac:dyDescent="0.2">
      <c r="AF53988" s="679"/>
    </row>
    <row r="53989" spans="32:32" x14ac:dyDescent="0.2">
      <c r="AF53989" s="679"/>
    </row>
    <row r="53990" spans="32:32" x14ac:dyDescent="0.2">
      <c r="AF53990" s="679"/>
    </row>
    <row r="53991" spans="32:32" x14ac:dyDescent="0.2">
      <c r="AF53991" s="679"/>
    </row>
    <row r="53992" spans="32:32" x14ac:dyDescent="0.2">
      <c r="AF53992" s="679"/>
    </row>
    <row r="53993" spans="32:32" x14ac:dyDescent="0.2">
      <c r="AF53993" s="679"/>
    </row>
    <row r="53994" spans="32:32" x14ac:dyDescent="0.2">
      <c r="AF53994" s="679"/>
    </row>
    <row r="53995" spans="32:32" x14ac:dyDescent="0.2">
      <c r="AF53995" s="679"/>
    </row>
    <row r="53996" spans="32:32" x14ac:dyDescent="0.2">
      <c r="AF53996" s="679"/>
    </row>
    <row r="53997" spans="32:32" x14ac:dyDescent="0.2">
      <c r="AF53997" s="679"/>
    </row>
    <row r="53998" spans="32:32" x14ac:dyDescent="0.2">
      <c r="AF53998" s="679"/>
    </row>
    <row r="53999" spans="32:32" x14ac:dyDescent="0.2">
      <c r="AF53999" s="679"/>
    </row>
    <row r="54000" spans="32:32" x14ac:dyDescent="0.2">
      <c r="AF54000" s="679"/>
    </row>
    <row r="54001" spans="32:32" x14ac:dyDescent="0.2">
      <c r="AF54001" s="679"/>
    </row>
    <row r="54002" spans="32:32" x14ac:dyDescent="0.2">
      <c r="AF54002" s="679"/>
    </row>
    <row r="54003" spans="32:32" x14ac:dyDescent="0.2">
      <c r="AF54003" s="679"/>
    </row>
    <row r="54004" spans="32:32" x14ac:dyDescent="0.2">
      <c r="AF54004" s="679"/>
    </row>
    <row r="54005" spans="32:32" x14ac:dyDescent="0.2">
      <c r="AF54005" s="679"/>
    </row>
    <row r="54006" spans="32:32" x14ac:dyDescent="0.2">
      <c r="AF54006" s="679"/>
    </row>
    <row r="54007" spans="32:32" x14ac:dyDescent="0.2">
      <c r="AF54007" s="679"/>
    </row>
    <row r="54008" spans="32:32" x14ac:dyDescent="0.2">
      <c r="AF54008" s="679"/>
    </row>
    <row r="54009" spans="32:32" x14ac:dyDescent="0.2">
      <c r="AF54009" s="679"/>
    </row>
    <row r="54010" spans="32:32" x14ac:dyDescent="0.2">
      <c r="AF54010" s="679"/>
    </row>
    <row r="54011" spans="32:32" x14ac:dyDescent="0.2">
      <c r="AF54011" s="679"/>
    </row>
    <row r="54012" spans="32:32" x14ac:dyDescent="0.2">
      <c r="AF54012" s="679"/>
    </row>
    <row r="54013" spans="32:32" x14ac:dyDescent="0.2">
      <c r="AF54013" s="679"/>
    </row>
    <row r="54014" spans="32:32" x14ac:dyDescent="0.2">
      <c r="AF54014" s="679"/>
    </row>
    <row r="54015" spans="32:32" x14ac:dyDescent="0.2">
      <c r="AF54015" s="679"/>
    </row>
    <row r="54016" spans="32:32" x14ac:dyDescent="0.2">
      <c r="AF54016" s="679"/>
    </row>
    <row r="54017" spans="32:32" x14ac:dyDescent="0.2">
      <c r="AF54017" s="679"/>
    </row>
    <row r="54018" spans="32:32" x14ac:dyDescent="0.2">
      <c r="AF54018" s="679"/>
    </row>
    <row r="54019" spans="32:32" x14ac:dyDescent="0.2">
      <c r="AF54019" s="679"/>
    </row>
    <row r="54020" spans="32:32" x14ac:dyDescent="0.2">
      <c r="AF54020" s="679"/>
    </row>
    <row r="54021" spans="32:32" x14ac:dyDescent="0.2">
      <c r="AF54021" s="679"/>
    </row>
    <row r="54022" spans="32:32" x14ac:dyDescent="0.2">
      <c r="AF54022" s="679"/>
    </row>
    <row r="54023" spans="32:32" x14ac:dyDescent="0.2">
      <c r="AF54023" s="679"/>
    </row>
    <row r="54024" spans="32:32" x14ac:dyDescent="0.2">
      <c r="AF54024" s="679"/>
    </row>
    <row r="54025" spans="32:32" x14ac:dyDescent="0.2">
      <c r="AF54025" s="679"/>
    </row>
    <row r="54026" spans="32:32" x14ac:dyDescent="0.2">
      <c r="AF54026" s="679"/>
    </row>
    <row r="54027" spans="32:32" x14ac:dyDescent="0.2">
      <c r="AF54027" s="679"/>
    </row>
    <row r="54028" spans="32:32" x14ac:dyDescent="0.2">
      <c r="AF54028" s="679"/>
    </row>
    <row r="54029" spans="32:32" x14ac:dyDescent="0.2">
      <c r="AF54029" s="679"/>
    </row>
    <row r="54030" spans="32:32" x14ac:dyDescent="0.2">
      <c r="AF54030" s="679"/>
    </row>
    <row r="54031" spans="32:32" x14ac:dyDescent="0.2">
      <c r="AF54031" s="679"/>
    </row>
    <row r="54032" spans="32:32" x14ac:dyDescent="0.2">
      <c r="AF54032" s="679"/>
    </row>
    <row r="54033" spans="32:32" x14ac:dyDescent="0.2">
      <c r="AF54033" s="679"/>
    </row>
    <row r="54034" spans="32:32" x14ac:dyDescent="0.2">
      <c r="AF54034" s="679"/>
    </row>
    <row r="54035" spans="32:32" x14ac:dyDescent="0.2">
      <c r="AF54035" s="679"/>
    </row>
    <row r="54036" spans="32:32" x14ac:dyDescent="0.2">
      <c r="AF54036" s="679"/>
    </row>
    <row r="54037" spans="32:32" x14ac:dyDescent="0.2">
      <c r="AF54037" s="679"/>
    </row>
    <row r="54038" spans="32:32" x14ac:dyDescent="0.2">
      <c r="AF54038" s="679"/>
    </row>
    <row r="54039" spans="32:32" x14ac:dyDescent="0.2">
      <c r="AF54039" s="679"/>
    </row>
    <row r="54040" spans="32:32" x14ac:dyDescent="0.2">
      <c r="AF54040" s="679"/>
    </row>
    <row r="54041" spans="32:32" x14ac:dyDescent="0.2">
      <c r="AF54041" s="679"/>
    </row>
    <row r="54042" spans="32:32" x14ac:dyDescent="0.2">
      <c r="AF54042" s="679"/>
    </row>
    <row r="54043" spans="32:32" x14ac:dyDescent="0.2">
      <c r="AF54043" s="679"/>
    </row>
    <row r="54044" spans="32:32" x14ac:dyDescent="0.2">
      <c r="AF54044" s="679"/>
    </row>
    <row r="54045" spans="32:32" x14ac:dyDescent="0.2">
      <c r="AF54045" s="679"/>
    </row>
    <row r="54046" spans="32:32" x14ac:dyDescent="0.2">
      <c r="AF54046" s="679"/>
    </row>
    <row r="54047" spans="32:32" x14ac:dyDescent="0.2">
      <c r="AF54047" s="679"/>
    </row>
    <row r="54048" spans="32:32" x14ac:dyDescent="0.2">
      <c r="AF54048" s="679"/>
    </row>
    <row r="54049" spans="32:32" x14ac:dyDescent="0.2">
      <c r="AF54049" s="679"/>
    </row>
    <row r="54050" spans="32:32" x14ac:dyDescent="0.2">
      <c r="AF54050" s="679"/>
    </row>
    <row r="54051" spans="32:32" x14ac:dyDescent="0.2">
      <c r="AF54051" s="679"/>
    </row>
    <row r="54052" spans="32:32" x14ac:dyDescent="0.2">
      <c r="AF54052" s="679"/>
    </row>
    <row r="54053" spans="32:32" x14ac:dyDescent="0.2">
      <c r="AF54053" s="679"/>
    </row>
    <row r="54054" spans="32:32" x14ac:dyDescent="0.2">
      <c r="AF54054" s="679"/>
    </row>
    <row r="54055" spans="32:32" x14ac:dyDescent="0.2">
      <c r="AF54055" s="679"/>
    </row>
    <row r="54056" spans="32:32" x14ac:dyDescent="0.2">
      <c r="AF54056" s="679"/>
    </row>
    <row r="54057" spans="32:32" x14ac:dyDescent="0.2">
      <c r="AF54057" s="679"/>
    </row>
    <row r="54058" spans="32:32" x14ac:dyDescent="0.2">
      <c r="AF54058" s="679"/>
    </row>
    <row r="54059" spans="32:32" x14ac:dyDescent="0.2">
      <c r="AF54059" s="679"/>
    </row>
    <row r="54060" spans="32:32" x14ac:dyDescent="0.2">
      <c r="AF54060" s="679"/>
    </row>
    <row r="54061" spans="32:32" x14ac:dyDescent="0.2">
      <c r="AF54061" s="679"/>
    </row>
    <row r="54062" spans="32:32" x14ac:dyDescent="0.2">
      <c r="AF54062" s="679"/>
    </row>
    <row r="54063" spans="32:32" x14ac:dyDescent="0.2">
      <c r="AF54063" s="679"/>
    </row>
    <row r="54064" spans="32:32" x14ac:dyDescent="0.2">
      <c r="AF54064" s="679"/>
    </row>
    <row r="54065" spans="32:32" x14ac:dyDescent="0.2">
      <c r="AF54065" s="679"/>
    </row>
    <row r="54066" spans="32:32" x14ac:dyDescent="0.2">
      <c r="AF54066" s="679"/>
    </row>
    <row r="54067" spans="32:32" x14ac:dyDescent="0.2">
      <c r="AF54067" s="679"/>
    </row>
    <row r="54068" spans="32:32" x14ac:dyDescent="0.2">
      <c r="AF54068" s="679"/>
    </row>
    <row r="54069" spans="32:32" x14ac:dyDescent="0.2">
      <c r="AF54069" s="679"/>
    </row>
    <row r="54070" spans="32:32" x14ac:dyDescent="0.2">
      <c r="AF54070" s="679"/>
    </row>
    <row r="54071" spans="32:32" x14ac:dyDescent="0.2">
      <c r="AF54071" s="679"/>
    </row>
    <row r="54072" spans="32:32" x14ac:dyDescent="0.2">
      <c r="AF54072" s="679"/>
    </row>
    <row r="54073" spans="32:32" x14ac:dyDescent="0.2">
      <c r="AF54073" s="679"/>
    </row>
    <row r="54074" spans="32:32" x14ac:dyDescent="0.2">
      <c r="AF54074" s="679"/>
    </row>
    <row r="54075" spans="32:32" x14ac:dyDescent="0.2">
      <c r="AF54075" s="679"/>
    </row>
    <row r="54076" spans="32:32" x14ac:dyDescent="0.2">
      <c r="AF54076" s="679"/>
    </row>
    <row r="54077" spans="32:32" x14ac:dyDescent="0.2">
      <c r="AF54077" s="679"/>
    </row>
    <row r="54078" spans="32:32" x14ac:dyDescent="0.2">
      <c r="AF54078" s="679"/>
    </row>
    <row r="54079" spans="32:32" x14ac:dyDescent="0.2">
      <c r="AF54079" s="679"/>
    </row>
    <row r="54080" spans="32:32" x14ac:dyDescent="0.2">
      <c r="AF54080" s="679"/>
    </row>
    <row r="54081" spans="32:32" x14ac:dyDescent="0.2">
      <c r="AF54081" s="679"/>
    </row>
    <row r="54082" spans="32:32" x14ac:dyDescent="0.2">
      <c r="AF54082" s="679"/>
    </row>
    <row r="54083" spans="32:32" x14ac:dyDescent="0.2">
      <c r="AF54083" s="679"/>
    </row>
    <row r="54084" spans="32:32" x14ac:dyDescent="0.2">
      <c r="AF54084" s="679"/>
    </row>
    <row r="54085" spans="32:32" x14ac:dyDescent="0.2">
      <c r="AF54085" s="679"/>
    </row>
    <row r="54086" spans="32:32" x14ac:dyDescent="0.2">
      <c r="AF54086" s="679"/>
    </row>
    <row r="54087" spans="32:32" x14ac:dyDescent="0.2">
      <c r="AF54087" s="679"/>
    </row>
    <row r="54088" spans="32:32" x14ac:dyDescent="0.2">
      <c r="AF54088" s="679"/>
    </row>
    <row r="54089" spans="32:32" x14ac:dyDescent="0.2">
      <c r="AF54089" s="679"/>
    </row>
    <row r="54090" spans="32:32" x14ac:dyDescent="0.2">
      <c r="AF54090" s="679"/>
    </row>
    <row r="54091" spans="32:32" x14ac:dyDescent="0.2">
      <c r="AF54091" s="679"/>
    </row>
    <row r="54092" spans="32:32" x14ac:dyDescent="0.2">
      <c r="AF54092" s="679"/>
    </row>
    <row r="54093" spans="32:32" x14ac:dyDescent="0.2">
      <c r="AF54093" s="679"/>
    </row>
    <row r="54094" spans="32:32" x14ac:dyDescent="0.2">
      <c r="AF54094" s="679"/>
    </row>
    <row r="54095" spans="32:32" x14ac:dyDescent="0.2">
      <c r="AF54095" s="679"/>
    </row>
    <row r="54096" spans="32:32" x14ac:dyDescent="0.2">
      <c r="AF54096" s="679"/>
    </row>
    <row r="54097" spans="32:32" x14ac:dyDescent="0.2">
      <c r="AF54097" s="679"/>
    </row>
    <row r="54098" spans="32:32" x14ac:dyDescent="0.2">
      <c r="AF54098" s="679"/>
    </row>
    <row r="54099" spans="32:32" x14ac:dyDescent="0.2">
      <c r="AF54099" s="679"/>
    </row>
    <row r="54100" spans="32:32" x14ac:dyDescent="0.2">
      <c r="AF54100" s="679"/>
    </row>
    <row r="54101" spans="32:32" x14ac:dyDescent="0.2">
      <c r="AF54101" s="679"/>
    </row>
    <row r="54102" spans="32:32" x14ac:dyDescent="0.2">
      <c r="AF54102" s="679"/>
    </row>
    <row r="54103" spans="32:32" x14ac:dyDescent="0.2">
      <c r="AF54103" s="679"/>
    </row>
    <row r="54104" spans="32:32" x14ac:dyDescent="0.2">
      <c r="AF54104" s="679"/>
    </row>
    <row r="54105" spans="32:32" x14ac:dyDescent="0.2">
      <c r="AF54105" s="679"/>
    </row>
    <row r="54106" spans="32:32" x14ac:dyDescent="0.2">
      <c r="AF54106" s="679"/>
    </row>
    <row r="54107" spans="32:32" x14ac:dyDescent="0.2">
      <c r="AF54107" s="679"/>
    </row>
    <row r="54108" spans="32:32" x14ac:dyDescent="0.2">
      <c r="AF54108" s="679"/>
    </row>
    <row r="54109" spans="32:32" x14ac:dyDescent="0.2">
      <c r="AF54109" s="679"/>
    </row>
    <row r="54110" spans="32:32" x14ac:dyDescent="0.2">
      <c r="AF54110" s="679"/>
    </row>
    <row r="54111" spans="32:32" x14ac:dyDescent="0.2">
      <c r="AF54111" s="679"/>
    </row>
    <row r="54112" spans="32:32" x14ac:dyDescent="0.2">
      <c r="AF54112" s="679"/>
    </row>
    <row r="54113" spans="32:32" x14ac:dyDescent="0.2">
      <c r="AF54113" s="679"/>
    </row>
    <row r="54114" spans="32:32" x14ac:dyDescent="0.2">
      <c r="AF54114" s="679"/>
    </row>
    <row r="54115" spans="32:32" x14ac:dyDescent="0.2">
      <c r="AF54115" s="679"/>
    </row>
    <row r="54116" spans="32:32" x14ac:dyDescent="0.2">
      <c r="AF54116" s="679"/>
    </row>
    <row r="54117" spans="32:32" x14ac:dyDescent="0.2">
      <c r="AF54117" s="679"/>
    </row>
    <row r="54118" spans="32:32" x14ac:dyDescent="0.2">
      <c r="AF54118" s="679"/>
    </row>
    <row r="54119" spans="32:32" x14ac:dyDescent="0.2">
      <c r="AF54119" s="679"/>
    </row>
    <row r="54120" spans="32:32" x14ac:dyDescent="0.2">
      <c r="AF54120" s="679"/>
    </row>
    <row r="54121" spans="32:32" x14ac:dyDescent="0.2">
      <c r="AF54121" s="679"/>
    </row>
    <row r="54122" spans="32:32" x14ac:dyDescent="0.2">
      <c r="AF54122" s="679"/>
    </row>
    <row r="54123" spans="32:32" x14ac:dyDescent="0.2">
      <c r="AF54123" s="679"/>
    </row>
    <row r="54124" spans="32:32" x14ac:dyDescent="0.2">
      <c r="AF54124" s="679"/>
    </row>
    <row r="54125" spans="32:32" x14ac:dyDescent="0.2">
      <c r="AF54125" s="679"/>
    </row>
    <row r="54126" spans="32:32" x14ac:dyDescent="0.2">
      <c r="AF54126" s="679"/>
    </row>
    <row r="54127" spans="32:32" x14ac:dyDescent="0.2">
      <c r="AF54127" s="679"/>
    </row>
    <row r="54128" spans="32:32" x14ac:dyDescent="0.2">
      <c r="AF54128" s="679"/>
    </row>
    <row r="54129" spans="32:32" x14ac:dyDescent="0.2">
      <c r="AF54129" s="679"/>
    </row>
    <row r="54130" spans="32:32" x14ac:dyDescent="0.2">
      <c r="AF54130" s="679"/>
    </row>
    <row r="54131" spans="32:32" x14ac:dyDescent="0.2">
      <c r="AF54131" s="679"/>
    </row>
    <row r="54132" spans="32:32" x14ac:dyDescent="0.2">
      <c r="AF54132" s="679"/>
    </row>
    <row r="54133" spans="32:32" x14ac:dyDescent="0.2">
      <c r="AF54133" s="679"/>
    </row>
    <row r="54134" spans="32:32" x14ac:dyDescent="0.2">
      <c r="AF54134" s="679"/>
    </row>
    <row r="54135" spans="32:32" x14ac:dyDescent="0.2">
      <c r="AF54135" s="679"/>
    </row>
    <row r="54136" spans="32:32" x14ac:dyDescent="0.2">
      <c r="AF54136" s="679"/>
    </row>
    <row r="54137" spans="32:32" x14ac:dyDescent="0.2">
      <c r="AF54137" s="679"/>
    </row>
    <row r="54138" spans="32:32" x14ac:dyDescent="0.2">
      <c r="AF54138" s="679"/>
    </row>
    <row r="54139" spans="32:32" x14ac:dyDescent="0.2">
      <c r="AF54139" s="679"/>
    </row>
    <row r="54140" spans="32:32" x14ac:dyDescent="0.2">
      <c r="AF54140" s="679"/>
    </row>
    <row r="54141" spans="32:32" x14ac:dyDescent="0.2">
      <c r="AF54141" s="679"/>
    </row>
    <row r="54142" spans="32:32" x14ac:dyDescent="0.2">
      <c r="AF54142" s="679"/>
    </row>
    <row r="54143" spans="32:32" x14ac:dyDescent="0.2">
      <c r="AF54143" s="679"/>
    </row>
    <row r="54144" spans="32:32" x14ac:dyDescent="0.2">
      <c r="AF54144" s="679"/>
    </row>
    <row r="54145" spans="32:32" x14ac:dyDescent="0.2">
      <c r="AF54145" s="679"/>
    </row>
    <row r="54146" spans="32:32" x14ac:dyDescent="0.2">
      <c r="AF54146" s="679"/>
    </row>
    <row r="54147" spans="32:32" x14ac:dyDescent="0.2">
      <c r="AF54147" s="679"/>
    </row>
    <row r="54148" spans="32:32" x14ac:dyDescent="0.2">
      <c r="AF54148" s="679"/>
    </row>
    <row r="54149" spans="32:32" x14ac:dyDescent="0.2">
      <c r="AF54149" s="679"/>
    </row>
    <row r="54150" spans="32:32" x14ac:dyDescent="0.2">
      <c r="AF54150" s="679"/>
    </row>
    <row r="54151" spans="32:32" x14ac:dyDescent="0.2">
      <c r="AF54151" s="679"/>
    </row>
    <row r="54152" spans="32:32" x14ac:dyDescent="0.2">
      <c r="AF54152" s="679"/>
    </row>
    <row r="54153" spans="32:32" x14ac:dyDescent="0.2">
      <c r="AF54153" s="679"/>
    </row>
    <row r="54154" spans="32:32" x14ac:dyDescent="0.2">
      <c r="AF54154" s="679"/>
    </row>
    <row r="54155" spans="32:32" x14ac:dyDescent="0.2">
      <c r="AF54155" s="679"/>
    </row>
    <row r="54156" spans="32:32" x14ac:dyDescent="0.2">
      <c r="AF54156" s="679"/>
    </row>
    <row r="54157" spans="32:32" x14ac:dyDescent="0.2">
      <c r="AF54157" s="679"/>
    </row>
    <row r="54158" spans="32:32" x14ac:dyDescent="0.2">
      <c r="AF54158" s="679"/>
    </row>
    <row r="54159" spans="32:32" x14ac:dyDescent="0.2">
      <c r="AF54159" s="679"/>
    </row>
    <row r="54160" spans="32:32" x14ac:dyDescent="0.2">
      <c r="AF54160" s="679"/>
    </row>
    <row r="54161" spans="32:32" x14ac:dyDescent="0.2">
      <c r="AF54161" s="679"/>
    </row>
    <row r="54162" spans="32:32" x14ac:dyDescent="0.2">
      <c r="AF54162" s="679"/>
    </row>
    <row r="54163" spans="32:32" x14ac:dyDescent="0.2">
      <c r="AF54163" s="679"/>
    </row>
    <row r="54164" spans="32:32" x14ac:dyDescent="0.2">
      <c r="AF54164" s="679"/>
    </row>
    <row r="54165" spans="32:32" x14ac:dyDescent="0.2">
      <c r="AF54165" s="679"/>
    </row>
    <row r="54166" spans="32:32" x14ac:dyDescent="0.2">
      <c r="AF54166" s="679"/>
    </row>
    <row r="54167" spans="32:32" x14ac:dyDescent="0.2">
      <c r="AF54167" s="679"/>
    </row>
    <row r="54168" spans="32:32" x14ac:dyDescent="0.2">
      <c r="AF54168" s="679"/>
    </row>
    <row r="54169" spans="32:32" x14ac:dyDescent="0.2">
      <c r="AF54169" s="679"/>
    </row>
    <row r="54170" spans="32:32" x14ac:dyDescent="0.2">
      <c r="AF54170" s="679"/>
    </row>
    <row r="54171" spans="32:32" x14ac:dyDescent="0.2">
      <c r="AF54171" s="679"/>
    </row>
    <row r="54172" spans="32:32" x14ac:dyDescent="0.2">
      <c r="AF54172" s="679"/>
    </row>
    <row r="54173" spans="32:32" x14ac:dyDescent="0.2">
      <c r="AF54173" s="679"/>
    </row>
    <row r="54174" spans="32:32" x14ac:dyDescent="0.2">
      <c r="AF54174" s="679"/>
    </row>
    <row r="54175" spans="32:32" x14ac:dyDescent="0.2">
      <c r="AF54175" s="679"/>
    </row>
    <row r="54176" spans="32:32" x14ac:dyDescent="0.2">
      <c r="AF54176" s="679"/>
    </row>
    <row r="54177" spans="32:32" x14ac:dyDescent="0.2">
      <c r="AF54177" s="679"/>
    </row>
    <row r="54178" spans="32:32" x14ac:dyDescent="0.2">
      <c r="AF54178" s="679"/>
    </row>
    <row r="54179" spans="32:32" x14ac:dyDescent="0.2">
      <c r="AF54179" s="679"/>
    </row>
    <row r="54180" spans="32:32" x14ac:dyDescent="0.2">
      <c r="AF54180" s="679"/>
    </row>
    <row r="54181" spans="32:32" x14ac:dyDescent="0.2">
      <c r="AF54181" s="679"/>
    </row>
    <row r="54182" spans="32:32" x14ac:dyDescent="0.2">
      <c r="AF54182" s="679"/>
    </row>
    <row r="54183" spans="32:32" x14ac:dyDescent="0.2">
      <c r="AF54183" s="679"/>
    </row>
    <row r="54184" spans="32:32" x14ac:dyDescent="0.2">
      <c r="AF54184" s="679"/>
    </row>
    <row r="54185" spans="32:32" x14ac:dyDescent="0.2">
      <c r="AF54185" s="679"/>
    </row>
    <row r="54186" spans="32:32" x14ac:dyDescent="0.2">
      <c r="AF54186" s="679"/>
    </row>
    <row r="54187" spans="32:32" x14ac:dyDescent="0.2">
      <c r="AF54187" s="679"/>
    </row>
    <row r="54188" spans="32:32" x14ac:dyDescent="0.2">
      <c r="AF54188" s="679"/>
    </row>
    <row r="54189" spans="32:32" x14ac:dyDescent="0.2">
      <c r="AF54189" s="679"/>
    </row>
    <row r="54190" spans="32:32" x14ac:dyDescent="0.2">
      <c r="AF54190" s="679"/>
    </row>
    <row r="54191" spans="32:32" x14ac:dyDescent="0.2">
      <c r="AF54191" s="679"/>
    </row>
    <row r="54192" spans="32:32" x14ac:dyDescent="0.2">
      <c r="AF54192" s="679"/>
    </row>
    <row r="54193" spans="32:32" x14ac:dyDescent="0.2">
      <c r="AF54193" s="679"/>
    </row>
    <row r="54194" spans="32:32" x14ac:dyDescent="0.2">
      <c r="AF54194" s="679"/>
    </row>
    <row r="54195" spans="32:32" x14ac:dyDescent="0.2">
      <c r="AF54195" s="679"/>
    </row>
    <row r="54196" spans="32:32" x14ac:dyDescent="0.2">
      <c r="AF54196" s="679"/>
    </row>
    <row r="54197" spans="32:32" x14ac:dyDescent="0.2">
      <c r="AF54197" s="679"/>
    </row>
    <row r="54198" spans="32:32" x14ac:dyDescent="0.2">
      <c r="AF54198" s="679"/>
    </row>
    <row r="54199" spans="32:32" x14ac:dyDescent="0.2">
      <c r="AF54199" s="679"/>
    </row>
    <row r="54200" spans="32:32" x14ac:dyDescent="0.2">
      <c r="AF54200" s="679"/>
    </row>
    <row r="54201" spans="32:32" x14ac:dyDescent="0.2">
      <c r="AF54201" s="679"/>
    </row>
    <row r="54202" spans="32:32" x14ac:dyDescent="0.2">
      <c r="AF54202" s="679"/>
    </row>
    <row r="54203" spans="32:32" x14ac:dyDescent="0.2">
      <c r="AF54203" s="679"/>
    </row>
    <row r="54204" spans="32:32" x14ac:dyDescent="0.2">
      <c r="AF54204" s="679"/>
    </row>
    <row r="54205" spans="32:32" x14ac:dyDescent="0.2">
      <c r="AF54205" s="679"/>
    </row>
    <row r="54206" spans="32:32" x14ac:dyDescent="0.2">
      <c r="AF54206" s="679"/>
    </row>
    <row r="54207" spans="32:32" x14ac:dyDescent="0.2">
      <c r="AF54207" s="679"/>
    </row>
    <row r="54208" spans="32:32" x14ac:dyDescent="0.2">
      <c r="AF54208" s="679"/>
    </row>
    <row r="54209" spans="32:32" x14ac:dyDescent="0.2">
      <c r="AF54209" s="679"/>
    </row>
    <row r="54210" spans="32:32" x14ac:dyDescent="0.2">
      <c r="AF54210" s="679"/>
    </row>
    <row r="54211" spans="32:32" x14ac:dyDescent="0.2">
      <c r="AF54211" s="679"/>
    </row>
    <row r="54212" spans="32:32" x14ac:dyDescent="0.2">
      <c r="AF54212" s="679"/>
    </row>
    <row r="54213" spans="32:32" x14ac:dyDescent="0.2">
      <c r="AF54213" s="679"/>
    </row>
    <row r="54214" spans="32:32" x14ac:dyDescent="0.2">
      <c r="AF54214" s="679"/>
    </row>
    <row r="54215" spans="32:32" x14ac:dyDescent="0.2">
      <c r="AF54215" s="679"/>
    </row>
    <row r="54216" spans="32:32" x14ac:dyDescent="0.2">
      <c r="AF54216" s="679"/>
    </row>
    <row r="54217" spans="32:32" x14ac:dyDescent="0.2">
      <c r="AF54217" s="679"/>
    </row>
    <row r="54218" spans="32:32" x14ac:dyDescent="0.2">
      <c r="AF54218" s="679"/>
    </row>
    <row r="54219" spans="32:32" x14ac:dyDescent="0.2">
      <c r="AF54219" s="679"/>
    </row>
    <row r="54220" spans="32:32" x14ac:dyDescent="0.2">
      <c r="AF54220" s="679"/>
    </row>
    <row r="54221" spans="32:32" x14ac:dyDescent="0.2">
      <c r="AF54221" s="679"/>
    </row>
    <row r="54222" spans="32:32" x14ac:dyDescent="0.2">
      <c r="AF54222" s="679"/>
    </row>
    <row r="54223" spans="32:32" x14ac:dyDescent="0.2">
      <c r="AF54223" s="679"/>
    </row>
    <row r="54224" spans="32:32" x14ac:dyDescent="0.2">
      <c r="AF54224" s="679"/>
    </row>
    <row r="54225" spans="32:32" x14ac:dyDescent="0.2">
      <c r="AF54225" s="679"/>
    </row>
    <row r="54226" spans="32:32" x14ac:dyDescent="0.2">
      <c r="AF54226" s="679"/>
    </row>
    <row r="54227" spans="32:32" x14ac:dyDescent="0.2">
      <c r="AF54227" s="679"/>
    </row>
    <row r="54228" spans="32:32" x14ac:dyDescent="0.2">
      <c r="AF54228" s="679"/>
    </row>
    <row r="54229" spans="32:32" x14ac:dyDescent="0.2">
      <c r="AF54229" s="679"/>
    </row>
    <row r="54230" spans="32:32" x14ac:dyDescent="0.2">
      <c r="AF54230" s="679"/>
    </row>
    <row r="54231" spans="32:32" x14ac:dyDescent="0.2">
      <c r="AF54231" s="679"/>
    </row>
    <row r="54232" spans="32:32" x14ac:dyDescent="0.2">
      <c r="AF54232" s="679"/>
    </row>
    <row r="54233" spans="32:32" x14ac:dyDescent="0.2">
      <c r="AF54233" s="679"/>
    </row>
    <row r="54234" spans="32:32" x14ac:dyDescent="0.2">
      <c r="AF54234" s="679"/>
    </row>
    <row r="54235" spans="32:32" x14ac:dyDescent="0.2">
      <c r="AF54235" s="679"/>
    </row>
    <row r="54236" spans="32:32" x14ac:dyDescent="0.2">
      <c r="AF54236" s="679"/>
    </row>
    <row r="54237" spans="32:32" x14ac:dyDescent="0.2">
      <c r="AF54237" s="679"/>
    </row>
    <row r="54238" spans="32:32" x14ac:dyDescent="0.2">
      <c r="AF54238" s="679"/>
    </row>
    <row r="54239" spans="32:32" x14ac:dyDescent="0.2">
      <c r="AF54239" s="679"/>
    </row>
    <row r="54240" spans="32:32" x14ac:dyDescent="0.2">
      <c r="AF54240" s="679"/>
    </row>
    <row r="54241" spans="32:32" x14ac:dyDescent="0.2">
      <c r="AF54241" s="679"/>
    </row>
    <row r="54242" spans="32:32" x14ac:dyDescent="0.2">
      <c r="AF54242" s="679"/>
    </row>
    <row r="54243" spans="32:32" x14ac:dyDescent="0.2">
      <c r="AF54243" s="679"/>
    </row>
    <row r="54244" spans="32:32" x14ac:dyDescent="0.2">
      <c r="AF54244" s="679"/>
    </row>
    <row r="54245" spans="32:32" x14ac:dyDescent="0.2">
      <c r="AF54245" s="679"/>
    </row>
    <row r="54246" spans="32:32" x14ac:dyDescent="0.2">
      <c r="AF54246" s="679"/>
    </row>
    <row r="54247" spans="32:32" x14ac:dyDescent="0.2">
      <c r="AF54247" s="679"/>
    </row>
    <row r="54248" spans="32:32" x14ac:dyDescent="0.2">
      <c r="AF54248" s="679"/>
    </row>
    <row r="54249" spans="32:32" x14ac:dyDescent="0.2">
      <c r="AF54249" s="679"/>
    </row>
    <row r="54250" spans="32:32" x14ac:dyDescent="0.2">
      <c r="AF54250" s="679"/>
    </row>
    <row r="54251" spans="32:32" x14ac:dyDescent="0.2">
      <c r="AF54251" s="679"/>
    </row>
    <row r="54252" spans="32:32" x14ac:dyDescent="0.2">
      <c r="AF54252" s="679"/>
    </row>
    <row r="54253" spans="32:32" x14ac:dyDescent="0.2">
      <c r="AF54253" s="679"/>
    </row>
    <row r="54254" spans="32:32" x14ac:dyDescent="0.2">
      <c r="AF54254" s="679"/>
    </row>
    <row r="54255" spans="32:32" x14ac:dyDescent="0.2">
      <c r="AF54255" s="679"/>
    </row>
    <row r="54256" spans="32:32" x14ac:dyDescent="0.2">
      <c r="AF54256" s="679"/>
    </row>
    <row r="54257" spans="32:32" x14ac:dyDescent="0.2">
      <c r="AF54257" s="679"/>
    </row>
    <row r="54258" spans="32:32" x14ac:dyDescent="0.2">
      <c r="AF54258" s="679"/>
    </row>
    <row r="54259" spans="32:32" x14ac:dyDescent="0.2">
      <c r="AF54259" s="679"/>
    </row>
    <row r="54260" spans="32:32" x14ac:dyDescent="0.2">
      <c r="AF54260" s="679"/>
    </row>
    <row r="54261" spans="32:32" x14ac:dyDescent="0.2">
      <c r="AF54261" s="679"/>
    </row>
    <row r="54262" spans="32:32" x14ac:dyDescent="0.2">
      <c r="AF54262" s="679"/>
    </row>
    <row r="54263" spans="32:32" x14ac:dyDescent="0.2">
      <c r="AF54263" s="679"/>
    </row>
    <row r="54264" spans="32:32" x14ac:dyDescent="0.2">
      <c r="AF54264" s="679"/>
    </row>
    <row r="54265" spans="32:32" x14ac:dyDescent="0.2">
      <c r="AF54265" s="679"/>
    </row>
    <row r="54266" spans="32:32" x14ac:dyDescent="0.2">
      <c r="AF54266" s="679"/>
    </row>
    <row r="54267" spans="32:32" x14ac:dyDescent="0.2">
      <c r="AF54267" s="679"/>
    </row>
    <row r="54268" spans="32:32" x14ac:dyDescent="0.2">
      <c r="AF54268" s="679"/>
    </row>
    <row r="54269" spans="32:32" x14ac:dyDescent="0.2">
      <c r="AF54269" s="679"/>
    </row>
    <row r="54270" spans="32:32" x14ac:dyDescent="0.2">
      <c r="AF54270" s="679"/>
    </row>
    <row r="54271" spans="32:32" x14ac:dyDescent="0.2">
      <c r="AF54271" s="679"/>
    </row>
    <row r="54272" spans="32:32" x14ac:dyDescent="0.2">
      <c r="AF54272" s="679"/>
    </row>
    <row r="54273" spans="32:32" x14ac:dyDescent="0.2">
      <c r="AF54273" s="679"/>
    </row>
    <row r="54274" spans="32:32" x14ac:dyDescent="0.2">
      <c r="AF54274" s="679"/>
    </row>
    <row r="54275" spans="32:32" x14ac:dyDescent="0.2">
      <c r="AF54275" s="679"/>
    </row>
    <row r="54276" spans="32:32" x14ac:dyDescent="0.2">
      <c r="AF54276" s="679"/>
    </row>
    <row r="54277" spans="32:32" x14ac:dyDescent="0.2">
      <c r="AF54277" s="679"/>
    </row>
    <row r="54278" spans="32:32" x14ac:dyDescent="0.2">
      <c r="AF54278" s="679"/>
    </row>
    <row r="54279" spans="32:32" x14ac:dyDescent="0.2">
      <c r="AF54279" s="679"/>
    </row>
    <row r="54280" spans="32:32" x14ac:dyDescent="0.2">
      <c r="AF54280" s="679"/>
    </row>
    <row r="54281" spans="32:32" x14ac:dyDescent="0.2">
      <c r="AF54281" s="679"/>
    </row>
    <row r="54282" spans="32:32" x14ac:dyDescent="0.2">
      <c r="AF54282" s="679"/>
    </row>
    <row r="54283" spans="32:32" x14ac:dyDescent="0.2">
      <c r="AF54283" s="679"/>
    </row>
    <row r="54284" spans="32:32" x14ac:dyDescent="0.2">
      <c r="AF54284" s="679"/>
    </row>
    <row r="54285" spans="32:32" x14ac:dyDescent="0.2">
      <c r="AF54285" s="679"/>
    </row>
    <row r="54286" spans="32:32" x14ac:dyDescent="0.2">
      <c r="AF54286" s="679"/>
    </row>
    <row r="54287" spans="32:32" x14ac:dyDescent="0.2">
      <c r="AF54287" s="679"/>
    </row>
    <row r="54288" spans="32:32" x14ac:dyDescent="0.2">
      <c r="AF54288" s="679"/>
    </row>
    <row r="54289" spans="32:32" x14ac:dyDescent="0.2">
      <c r="AF54289" s="679"/>
    </row>
    <row r="54290" spans="32:32" x14ac:dyDescent="0.2">
      <c r="AF54290" s="679"/>
    </row>
    <row r="54291" spans="32:32" x14ac:dyDescent="0.2">
      <c r="AF54291" s="679"/>
    </row>
    <row r="54292" spans="32:32" x14ac:dyDescent="0.2">
      <c r="AF54292" s="679"/>
    </row>
    <row r="54293" spans="32:32" x14ac:dyDescent="0.2">
      <c r="AF54293" s="679"/>
    </row>
    <row r="54294" spans="32:32" x14ac:dyDescent="0.2">
      <c r="AF54294" s="679"/>
    </row>
    <row r="54295" spans="32:32" x14ac:dyDescent="0.2">
      <c r="AF54295" s="679"/>
    </row>
    <row r="54296" spans="32:32" x14ac:dyDescent="0.2">
      <c r="AF54296" s="679"/>
    </row>
    <row r="54297" spans="32:32" x14ac:dyDescent="0.2">
      <c r="AF54297" s="679"/>
    </row>
    <row r="54298" spans="32:32" x14ac:dyDescent="0.2">
      <c r="AF54298" s="679"/>
    </row>
    <row r="54299" spans="32:32" x14ac:dyDescent="0.2">
      <c r="AF54299" s="679"/>
    </row>
    <row r="54300" spans="32:32" x14ac:dyDescent="0.2">
      <c r="AF54300" s="679"/>
    </row>
    <row r="54301" spans="32:32" x14ac:dyDescent="0.2">
      <c r="AF54301" s="679"/>
    </row>
    <row r="54302" spans="32:32" x14ac:dyDescent="0.2">
      <c r="AF54302" s="679"/>
    </row>
    <row r="54303" spans="32:32" x14ac:dyDescent="0.2">
      <c r="AF54303" s="679"/>
    </row>
    <row r="54304" spans="32:32" x14ac:dyDescent="0.2">
      <c r="AF54304" s="679"/>
    </row>
    <row r="54305" spans="32:32" x14ac:dyDescent="0.2">
      <c r="AF54305" s="679"/>
    </row>
    <row r="54306" spans="32:32" x14ac:dyDescent="0.2">
      <c r="AF54306" s="679"/>
    </row>
    <row r="54307" spans="32:32" x14ac:dyDescent="0.2">
      <c r="AF54307" s="679"/>
    </row>
    <row r="54308" spans="32:32" x14ac:dyDescent="0.2">
      <c r="AF54308" s="679"/>
    </row>
    <row r="54309" spans="32:32" x14ac:dyDescent="0.2">
      <c r="AF54309" s="679"/>
    </row>
    <row r="54310" spans="32:32" x14ac:dyDescent="0.2">
      <c r="AF54310" s="679"/>
    </row>
    <row r="54311" spans="32:32" x14ac:dyDescent="0.2">
      <c r="AF54311" s="679"/>
    </row>
    <row r="54312" spans="32:32" x14ac:dyDescent="0.2">
      <c r="AF54312" s="679"/>
    </row>
    <row r="54313" spans="32:32" x14ac:dyDescent="0.2">
      <c r="AF54313" s="679"/>
    </row>
    <row r="54314" spans="32:32" x14ac:dyDescent="0.2">
      <c r="AF54314" s="679"/>
    </row>
    <row r="54315" spans="32:32" x14ac:dyDescent="0.2">
      <c r="AF54315" s="679"/>
    </row>
    <row r="54316" spans="32:32" x14ac:dyDescent="0.2">
      <c r="AF54316" s="679"/>
    </row>
    <row r="54317" spans="32:32" x14ac:dyDescent="0.2">
      <c r="AF54317" s="679"/>
    </row>
    <row r="54318" spans="32:32" x14ac:dyDescent="0.2">
      <c r="AF54318" s="679"/>
    </row>
    <row r="54319" spans="32:32" x14ac:dyDescent="0.2">
      <c r="AF54319" s="679"/>
    </row>
    <row r="54320" spans="32:32" x14ac:dyDescent="0.2">
      <c r="AF54320" s="679"/>
    </row>
    <row r="54321" spans="32:32" x14ac:dyDescent="0.2">
      <c r="AF54321" s="679"/>
    </row>
    <row r="54322" spans="32:32" x14ac:dyDescent="0.2">
      <c r="AF54322" s="679"/>
    </row>
    <row r="54323" spans="32:32" x14ac:dyDescent="0.2">
      <c r="AF54323" s="679"/>
    </row>
    <row r="54324" spans="32:32" x14ac:dyDescent="0.2">
      <c r="AF54324" s="679"/>
    </row>
    <row r="54325" spans="32:32" x14ac:dyDescent="0.2">
      <c r="AF54325" s="679"/>
    </row>
    <row r="54326" spans="32:32" x14ac:dyDescent="0.2">
      <c r="AF54326" s="679"/>
    </row>
    <row r="54327" spans="32:32" x14ac:dyDescent="0.2">
      <c r="AF54327" s="679"/>
    </row>
    <row r="54328" spans="32:32" x14ac:dyDescent="0.2">
      <c r="AF54328" s="679"/>
    </row>
    <row r="54329" spans="32:32" x14ac:dyDescent="0.2">
      <c r="AF54329" s="679"/>
    </row>
    <row r="54330" spans="32:32" x14ac:dyDescent="0.2">
      <c r="AF54330" s="679"/>
    </row>
    <row r="54331" spans="32:32" x14ac:dyDescent="0.2">
      <c r="AF54331" s="679"/>
    </row>
    <row r="54332" spans="32:32" x14ac:dyDescent="0.2">
      <c r="AF54332" s="679"/>
    </row>
    <row r="54333" spans="32:32" x14ac:dyDescent="0.2">
      <c r="AF54333" s="679"/>
    </row>
    <row r="54334" spans="32:32" x14ac:dyDescent="0.2">
      <c r="AF54334" s="679"/>
    </row>
    <row r="54335" spans="32:32" x14ac:dyDescent="0.2">
      <c r="AF54335" s="679"/>
    </row>
    <row r="54336" spans="32:32" x14ac:dyDescent="0.2">
      <c r="AF54336" s="679"/>
    </row>
    <row r="54337" spans="32:32" x14ac:dyDescent="0.2">
      <c r="AF54337" s="679"/>
    </row>
    <row r="54338" spans="32:32" x14ac:dyDescent="0.2">
      <c r="AF54338" s="679"/>
    </row>
    <row r="54339" spans="32:32" x14ac:dyDescent="0.2">
      <c r="AF54339" s="679"/>
    </row>
    <row r="54340" spans="32:32" x14ac:dyDescent="0.2">
      <c r="AF54340" s="679"/>
    </row>
    <row r="54341" spans="32:32" x14ac:dyDescent="0.2">
      <c r="AF54341" s="679"/>
    </row>
    <row r="54342" spans="32:32" x14ac:dyDescent="0.2">
      <c r="AF54342" s="679"/>
    </row>
    <row r="54343" spans="32:32" x14ac:dyDescent="0.2">
      <c r="AF54343" s="679"/>
    </row>
    <row r="54344" spans="32:32" x14ac:dyDescent="0.2">
      <c r="AF54344" s="679"/>
    </row>
    <row r="54345" spans="32:32" x14ac:dyDescent="0.2">
      <c r="AF54345" s="679"/>
    </row>
    <row r="54346" spans="32:32" x14ac:dyDescent="0.2">
      <c r="AF54346" s="679"/>
    </row>
    <row r="54347" spans="32:32" x14ac:dyDescent="0.2">
      <c r="AF54347" s="679"/>
    </row>
    <row r="54348" spans="32:32" x14ac:dyDescent="0.2">
      <c r="AF54348" s="679"/>
    </row>
    <row r="54349" spans="32:32" x14ac:dyDescent="0.2">
      <c r="AF54349" s="679"/>
    </row>
    <row r="54350" spans="32:32" x14ac:dyDescent="0.2">
      <c r="AF54350" s="679"/>
    </row>
    <row r="54351" spans="32:32" x14ac:dyDescent="0.2">
      <c r="AF54351" s="679"/>
    </row>
    <row r="54352" spans="32:32" x14ac:dyDescent="0.2">
      <c r="AF54352" s="679"/>
    </row>
    <row r="54353" spans="32:32" x14ac:dyDescent="0.2">
      <c r="AF54353" s="679"/>
    </row>
    <row r="54354" spans="32:32" x14ac:dyDescent="0.2">
      <c r="AF54354" s="679"/>
    </row>
    <row r="54355" spans="32:32" x14ac:dyDescent="0.2">
      <c r="AF54355" s="679"/>
    </row>
    <row r="54356" spans="32:32" x14ac:dyDescent="0.2">
      <c r="AF54356" s="679"/>
    </row>
    <row r="54357" spans="32:32" x14ac:dyDescent="0.2">
      <c r="AF54357" s="679"/>
    </row>
    <row r="54358" spans="32:32" x14ac:dyDescent="0.2">
      <c r="AF54358" s="679"/>
    </row>
    <row r="54359" spans="32:32" x14ac:dyDescent="0.2">
      <c r="AF54359" s="679"/>
    </row>
    <row r="54360" spans="32:32" x14ac:dyDescent="0.2">
      <c r="AF54360" s="679"/>
    </row>
    <row r="54361" spans="32:32" x14ac:dyDescent="0.2">
      <c r="AF54361" s="679"/>
    </row>
    <row r="54362" spans="32:32" x14ac:dyDescent="0.2">
      <c r="AF54362" s="679"/>
    </row>
    <row r="54363" spans="32:32" x14ac:dyDescent="0.2">
      <c r="AF54363" s="679"/>
    </row>
    <row r="54364" spans="32:32" x14ac:dyDescent="0.2">
      <c r="AF54364" s="679"/>
    </row>
    <row r="54365" spans="32:32" x14ac:dyDescent="0.2">
      <c r="AF54365" s="679"/>
    </row>
    <row r="54366" spans="32:32" x14ac:dyDescent="0.2">
      <c r="AF54366" s="679"/>
    </row>
    <row r="54367" spans="32:32" x14ac:dyDescent="0.2">
      <c r="AF54367" s="679"/>
    </row>
    <row r="54368" spans="32:32" x14ac:dyDescent="0.2">
      <c r="AF54368" s="679"/>
    </row>
    <row r="54369" spans="32:32" x14ac:dyDescent="0.2">
      <c r="AF54369" s="679"/>
    </row>
    <row r="54370" spans="32:32" x14ac:dyDescent="0.2">
      <c r="AF54370" s="679"/>
    </row>
    <row r="54371" spans="32:32" x14ac:dyDescent="0.2">
      <c r="AF54371" s="679"/>
    </row>
    <row r="54372" spans="32:32" x14ac:dyDescent="0.2">
      <c r="AF54372" s="679"/>
    </row>
    <row r="54373" spans="32:32" x14ac:dyDescent="0.2">
      <c r="AF54373" s="679"/>
    </row>
    <row r="54374" spans="32:32" x14ac:dyDescent="0.2">
      <c r="AF54374" s="679"/>
    </row>
    <row r="54375" spans="32:32" x14ac:dyDescent="0.2">
      <c r="AF54375" s="679"/>
    </row>
    <row r="54376" spans="32:32" x14ac:dyDescent="0.2">
      <c r="AF54376" s="679"/>
    </row>
    <row r="54377" spans="32:32" x14ac:dyDescent="0.2">
      <c r="AF54377" s="679"/>
    </row>
    <row r="54378" spans="32:32" x14ac:dyDescent="0.2">
      <c r="AF54378" s="679"/>
    </row>
    <row r="54379" spans="32:32" x14ac:dyDescent="0.2">
      <c r="AF54379" s="679"/>
    </row>
    <row r="54380" spans="32:32" x14ac:dyDescent="0.2">
      <c r="AF54380" s="679"/>
    </row>
    <row r="54381" spans="32:32" x14ac:dyDescent="0.2">
      <c r="AF54381" s="679"/>
    </row>
    <row r="54382" spans="32:32" x14ac:dyDescent="0.2">
      <c r="AF54382" s="679"/>
    </row>
    <row r="54383" spans="32:32" x14ac:dyDescent="0.2">
      <c r="AF54383" s="679"/>
    </row>
    <row r="54384" spans="32:32" x14ac:dyDescent="0.2">
      <c r="AF54384" s="679"/>
    </row>
    <row r="54385" spans="32:32" x14ac:dyDescent="0.2">
      <c r="AF54385" s="679"/>
    </row>
    <row r="54386" spans="32:32" x14ac:dyDescent="0.2">
      <c r="AF54386" s="679"/>
    </row>
    <row r="54387" spans="32:32" x14ac:dyDescent="0.2">
      <c r="AF54387" s="679"/>
    </row>
    <row r="54388" spans="32:32" x14ac:dyDescent="0.2">
      <c r="AF54388" s="679"/>
    </row>
    <row r="54389" spans="32:32" x14ac:dyDescent="0.2">
      <c r="AF54389" s="679"/>
    </row>
    <row r="54390" spans="32:32" x14ac:dyDescent="0.2">
      <c r="AF54390" s="679"/>
    </row>
    <row r="54391" spans="32:32" x14ac:dyDescent="0.2">
      <c r="AF54391" s="679"/>
    </row>
    <row r="54392" spans="32:32" x14ac:dyDescent="0.2">
      <c r="AF54392" s="679"/>
    </row>
    <row r="54393" spans="32:32" x14ac:dyDescent="0.2">
      <c r="AF54393" s="679"/>
    </row>
    <row r="54394" spans="32:32" x14ac:dyDescent="0.2">
      <c r="AF54394" s="679"/>
    </row>
    <row r="54395" spans="32:32" x14ac:dyDescent="0.2">
      <c r="AF54395" s="679"/>
    </row>
    <row r="54396" spans="32:32" x14ac:dyDescent="0.2">
      <c r="AF54396" s="679"/>
    </row>
    <row r="54397" spans="32:32" x14ac:dyDescent="0.2">
      <c r="AF54397" s="679"/>
    </row>
    <row r="54398" spans="32:32" x14ac:dyDescent="0.2">
      <c r="AF54398" s="679"/>
    </row>
    <row r="54399" spans="32:32" x14ac:dyDescent="0.2">
      <c r="AF54399" s="679"/>
    </row>
    <row r="54400" spans="32:32" x14ac:dyDescent="0.2">
      <c r="AF54400" s="679"/>
    </row>
    <row r="54401" spans="32:32" x14ac:dyDescent="0.2">
      <c r="AF54401" s="679"/>
    </row>
    <row r="54402" spans="32:32" x14ac:dyDescent="0.2">
      <c r="AF54402" s="679"/>
    </row>
    <row r="54403" spans="32:32" x14ac:dyDescent="0.2">
      <c r="AF54403" s="679"/>
    </row>
    <row r="54404" spans="32:32" x14ac:dyDescent="0.2">
      <c r="AF54404" s="679"/>
    </row>
    <row r="54405" spans="32:32" x14ac:dyDescent="0.2">
      <c r="AF54405" s="679"/>
    </row>
    <row r="54406" spans="32:32" x14ac:dyDescent="0.2">
      <c r="AF54406" s="679"/>
    </row>
    <row r="54407" spans="32:32" x14ac:dyDescent="0.2">
      <c r="AF54407" s="679"/>
    </row>
    <row r="54408" spans="32:32" x14ac:dyDescent="0.2">
      <c r="AF54408" s="679"/>
    </row>
    <row r="54409" spans="32:32" x14ac:dyDescent="0.2">
      <c r="AF54409" s="679"/>
    </row>
    <row r="54410" spans="32:32" x14ac:dyDescent="0.2">
      <c r="AF54410" s="679"/>
    </row>
    <row r="54411" spans="32:32" x14ac:dyDescent="0.2">
      <c r="AF54411" s="679"/>
    </row>
    <row r="54412" spans="32:32" x14ac:dyDescent="0.2">
      <c r="AF54412" s="679"/>
    </row>
    <row r="54413" spans="32:32" x14ac:dyDescent="0.2">
      <c r="AF54413" s="679"/>
    </row>
    <row r="54414" spans="32:32" x14ac:dyDescent="0.2">
      <c r="AF54414" s="679"/>
    </row>
    <row r="54415" spans="32:32" x14ac:dyDescent="0.2">
      <c r="AF54415" s="679"/>
    </row>
    <row r="54416" spans="32:32" x14ac:dyDescent="0.2">
      <c r="AF54416" s="679"/>
    </row>
    <row r="54417" spans="32:32" x14ac:dyDescent="0.2">
      <c r="AF54417" s="679"/>
    </row>
    <row r="54418" spans="32:32" x14ac:dyDescent="0.2">
      <c r="AF54418" s="679"/>
    </row>
    <row r="54419" spans="32:32" x14ac:dyDescent="0.2">
      <c r="AF54419" s="679"/>
    </row>
    <row r="54420" spans="32:32" x14ac:dyDescent="0.2">
      <c r="AF54420" s="679"/>
    </row>
    <row r="54421" spans="32:32" x14ac:dyDescent="0.2">
      <c r="AF54421" s="679"/>
    </row>
    <row r="54422" spans="32:32" x14ac:dyDescent="0.2">
      <c r="AF54422" s="679"/>
    </row>
    <row r="54423" spans="32:32" x14ac:dyDescent="0.2">
      <c r="AF54423" s="679"/>
    </row>
    <row r="54424" spans="32:32" x14ac:dyDescent="0.2">
      <c r="AF54424" s="679"/>
    </row>
    <row r="54425" spans="32:32" x14ac:dyDescent="0.2">
      <c r="AF54425" s="679"/>
    </row>
    <row r="54426" spans="32:32" x14ac:dyDescent="0.2">
      <c r="AF54426" s="679"/>
    </row>
    <row r="54427" spans="32:32" x14ac:dyDescent="0.2">
      <c r="AF54427" s="679"/>
    </row>
    <row r="54428" spans="32:32" x14ac:dyDescent="0.2">
      <c r="AF54428" s="679"/>
    </row>
    <row r="54429" spans="32:32" x14ac:dyDescent="0.2">
      <c r="AF54429" s="679"/>
    </row>
    <row r="54430" spans="32:32" x14ac:dyDescent="0.2">
      <c r="AF54430" s="679"/>
    </row>
    <row r="54431" spans="32:32" x14ac:dyDescent="0.2">
      <c r="AF54431" s="679"/>
    </row>
    <row r="54432" spans="32:32" x14ac:dyDescent="0.2">
      <c r="AF54432" s="679"/>
    </row>
    <row r="54433" spans="32:32" x14ac:dyDescent="0.2">
      <c r="AF54433" s="679"/>
    </row>
    <row r="54434" spans="32:32" x14ac:dyDescent="0.2">
      <c r="AF54434" s="679"/>
    </row>
    <row r="54435" spans="32:32" x14ac:dyDescent="0.2">
      <c r="AF54435" s="679"/>
    </row>
    <row r="54436" spans="32:32" x14ac:dyDescent="0.2">
      <c r="AF54436" s="679"/>
    </row>
    <row r="54437" spans="32:32" x14ac:dyDescent="0.2">
      <c r="AF54437" s="679"/>
    </row>
    <row r="54438" spans="32:32" x14ac:dyDescent="0.2">
      <c r="AF54438" s="679"/>
    </row>
    <row r="54439" spans="32:32" x14ac:dyDescent="0.2">
      <c r="AF54439" s="679"/>
    </row>
    <row r="54440" spans="32:32" x14ac:dyDescent="0.2">
      <c r="AF54440" s="679"/>
    </row>
    <row r="54441" spans="32:32" x14ac:dyDescent="0.2">
      <c r="AF54441" s="679"/>
    </row>
    <row r="54442" spans="32:32" x14ac:dyDescent="0.2">
      <c r="AF54442" s="679"/>
    </row>
    <row r="54443" spans="32:32" x14ac:dyDescent="0.2">
      <c r="AF54443" s="679"/>
    </row>
    <row r="54444" spans="32:32" x14ac:dyDescent="0.2">
      <c r="AF54444" s="679"/>
    </row>
    <row r="54445" spans="32:32" x14ac:dyDescent="0.2">
      <c r="AF54445" s="679"/>
    </row>
    <row r="54446" spans="32:32" x14ac:dyDescent="0.2">
      <c r="AF54446" s="679"/>
    </row>
    <row r="54447" spans="32:32" x14ac:dyDescent="0.2">
      <c r="AF54447" s="679"/>
    </row>
    <row r="54448" spans="32:32" x14ac:dyDescent="0.2">
      <c r="AF54448" s="679"/>
    </row>
    <row r="54449" spans="32:32" x14ac:dyDescent="0.2">
      <c r="AF54449" s="679"/>
    </row>
    <row r="54450" spans="32:32" x14ac:dyDescent="0.2">
      <c r="AF54450" s="679"/>
    </row>
    <row r="54451" spans="32:32" x14ac:dyDescent="0.2">
      <c r="AF54451" s="679"/>
    </row>
    <row r="54452" spans="32:32" x14ac:dyDescent="0.2">
      <c r="AF54452" s="679"/>
    </row>
    <row r="54453" spans="32:32" x14ac:dyDescent="0.2">
      <c r="AF54453" s="679"/>
    </row>
    <row r="54454" spans="32:32" x14ac:dyDescent="0.2">
      <c r="AF54454" s="679"/>
    </row>
    <row r="54455" spans="32:32" x14ac:dyDescent="0.2">
      <c r="AF54455" s="679"/>
    </row>
    <row r="54456" spans="32:32" x14ac:dyDescent="0.2">
      <c r="AF54456" s="679"/>
    </row>
    <row r="54457" spans="32:32" x14ac:dyDescent="0.2">
      <c r="AF54457" s="679"/>
    </row>
    <row r="54458" spans="32:32" x14ac:dyDescent="0.2">
      <c r="AF54458" s="679"/>
    </row>
    <row r="54459" spans="32:32" x14ac:dyDescent="0.2">
      <c r="AF54459" s="679"/>
    </row>
    <row r="54460" spans="32:32" x14ac:dyDescent="0.2">
      <c r="AF54460" s="679"/>
    </row>
    <row r="54461" spans="32:32" x14ac:dyDescent="0.2">
      <c r="AF54461" s="679"/>
    </row>
    <row r="54462" spans="32:32" x14ac:dyDescent="0.2">
      <c r="AF54462" s="679"/>
    </row>
    <row r="54463" spans="32:32" x14ac:dyDescent="0.2">
      <c r="AF54463" s="679"/>
    </row>
    <row r="54464" spans="32:32" x14ac:dyDescent="0.2">
      <c r="AF54464" s="679"/>
    </row>
    <row r="54465" spans="32:32" x14ac:dyDescent="0.2">
      <c r="AF54465" s="679"/>
    </row>
    <row r="54466" spans="32:32" x14ac:dyDescent="0.2">
      <c r="AF54466" s="679"/>
    </row>
    <row r="54467" spans="32:32" x14ac:dyDescent="0.2">
      <c r="AF54467" s="679"/>
    </row>
    <row r="54468" spans="32:32" x14ac:dyDescent="0.2">
      <c r="AF54468" s="679"/>
    </row>
    <row r="54469" spans="32:32" x14ac:dyDescent="0.2">
      <c r="AF54469" s="679"/>
    </row>
    <row r="54470" spans="32:32" x14ac:dyDescent="0.2">
      <c r="AF54470" s="679"/>
    </row>
    <row r="54471" spans="32:32" x14ac:dyDescent="0.2">
      <c r="AF54471" s="679"/>
    </row>
    <row r="54472" spans="32:32" x14ac:dyDescent="0.2">
      <c r="AF54472" s="679"/>
    </row>
    <row r="54473" spans="32:32" x14ac:dyDescent="0.2">
      <c r="AF54473" s="679"/>
    </row>
    <row r="54474" spans="32:32" x14ac:dyDescent="0.2">
      <c r="AF54474" s="679"/>
    </row>
    <row r="54475" spans="32:32" x14ac:dyDescent="0.2">
      <c r="AF54475" s="679"/>
    </row>
    <row r="54476" spans="32:32" x14ac:dyDescent="0.2">
      <c r="AF54476" s="679"/>
    </row>
    <row r="54477" spans="32:32" x14ac:dyDescent="0.2">
      <c r="AF54477" s="679"/>
    </row>
    <row r="54478" spans="32:32" x14ac:dyDescent="0.2">
      <c r="AF54478" s="679"/>
    </row>
    <row r="54479" spans="32:32" x14ac:dyDescent="0.2">
      <c r="AF54479" s="679"/>
    </row>
    <row r="54480" spans="32:32" x14ac:dyDescent="0.2">
      <c r="AF54480" s="679"/>
    </row>
    <row r="54481" spans="32:32" x14ac:dyDescent="0.2">
      <c r="AF54481" s="679"/>
    </row>
    <row r="54482" spans="32:32" x14ac:dyDescent="0.2">
      <c r="AF54482" s="679"/>
    </row>
    <row r="54483" spans="32:32" x14ac:dyDescent="0.2">
      <c r="AF54483" s="679"/>
    </row>
    <row r="54484" spans="32:32" x14ac:dyDescent="0.2">
      <c r="AF54484" s="679"/>
    </row>
    <row r="54485" spans="32:32" x14ac:dyDescent="0.2">
      <c r="AF54485" s="679"/>
    </row>
    <row r="54486" spans="32:32" x14ac:dyDescent="0.2">
      <c r="AF54486" s="679"/>
    </row>
    <row r="54487" spans="32:32" x14ac:dyDescent="0.2">
      <c r="AF54487" s="679"/>
    </row>
    <row r="54488" spans="32:32" x14ac:dyDescent="0.2">
      <c r="AF54488" s="679"/>
    </row>
    <row r="54489" spans="32:32" x14ac:dyDescent="0.2">
      <c r="AF54489" s="679"/>
    </row>
    <row r="54490" spans="32:32" x14ac:dyDescent="0.2">
      <c r="AF54490" s="679"/>
    </row>
    <row r="54491" spans="32:32" x14ac:dyDescent="0.2">
      <c r="AF54491" s="679"/>
    </row>
    <row r="54492" spans="32:32" x14ac:dyDescent="0.2">
      <c r="AF54492" s="679"/>
    </row>
    <row r="54493" spans="32:32" x14ac:dyDescent="0.2">
      <c r="AF54493" s="679"/>
    </row>
    <row r="54494" spans="32:32" x14ac:dyDescent="0.2">
      <c r="AF54494" s="679"/>
    </row>
    <row r="54495" spans="32:32" x14ac:dyDescent="0.2">
      <c r="AF54495" s="679"/>
    </row>
    <row r="54496" spans="32:32" x14ac:dyDescent="0.2">
      <c r="AF54496" s="679"/>
    </row>
    <row r="54497" spans="32:32" x14ac:dyDescent="0.2">
      <c r="AF54497" s="679"/>
    </row>
    <row r="54498" spans="32:32" x14ac:dyDescent="0.2">
      <c r="AF54498" s="679"/>
    </row>
    <row r="54499" spans="32:32" x14ac:dyDescent="0.2">
      <c r="AF54499" s="679"/>
    </row>
    <row r="54500" spans="32:32" x14ac:dyDescent="0.2">
      <c r="AF54500" s="679"/>
    </row>
    <row r="54501" spans="32:32" x14ac:dyDescent="0.2">
      <c r="AF54501" s="679"/>
    </row>
    <row r="54502" spans="32:32" x14ac:dyDescent="0.2">
      <c r="AF54502" s="679"/>
    </row>
    <row r="54503" spans="32:32" x14ac:dyDescent="0.2">
      <c r="AF54503" s="679"/>
    </row>
    <row r="54504" spans="32:32" x14ac:dyDescent="0.2">
      <c r="AF54504" s="679"/>
    </row>
    <row r="54505" spans="32:32" x14ac:dyDescent="0.2">
      <c r="AF54505" s="679"/>
    </row>
    <row r="54506" spans="32:32" x14ac:dyDescent="0.2">
      <c r="AF54506" s="679"/>
    </row>
    <row r="54507" spans="32:32" x14ac:dyDescent="0.2">
      <c r="AF54507" s="679"/>
    </row>
    <row r="54508" spans="32:32" x14ac:dyDescent="0.2">
      <c r="AF54508" s="679"/>
    </row>
    <row r="54509" spans="32:32" x14ac:dyDescent="0.2">
      <c r="AF54509" s="679"/>
    </row>
    <row r="54510" spans="32:32" x14ac:dyDescent="0.2">
      <c r="AF54510" s="679"/>
    </row>
    <row r="54511" spans="32:32" x14ac:dyDescent="0.2">
      <c r="AF54511" s="679"/>
    </row>
    <row r="54512" spans="32:32" x14ac:dyDescent="0.2">
      <c r="AF54512" s="679"/>
    </row>
    <row r="54513" spans="32:32" x14ac:dyDescent="0.2">
      <c r="AF54513" s="679"/>
    </row>
    <row r="54514" spans="32:32" x14ac:dyDescent="0.2">
      <c r="AF54514" s="679"/>
    </row>
    <row r="54515" spans="32:32" x14ac:dyDescent="0.2">
      <c r="AF54515" s="679"/>
    </row>
    <row r="54516" spans="32:32" x14ac:dyDescent="0.2">
      <c r="AF54516" s="679"/>
    </row>
    <row r="54517" spans="32:32" x14ac:dyDescent="0.2">
      <c r="AF54517" s="679"/>
    </row>
    <row r="54518" spans="32:32" x14ac:dyDescent="0.2">
      <c r="AF54518" s="679"/>
    </row>
    <row r="54519" spans="32:32" x14ac:dyDescent="0.2">
      <c r="AF54519" s="679"/>
    </row>
    <row r="54520" spans="32:32" x14ac:dyDescent="0.2">
      <c r="AF54520" s="679"/>
    </row>
    <row r="54521" spans="32:32" x14ac:dyDescent="0.2">
      <c r="AF54521" s="679"/>
    </row>
    <row r="54522" spans="32:32" x14ac:dyDescent="0.2">
      <c r="AF54522" s="679"/>
    </row>
    <row r="54523" spans="32:32" x14ac:dyDescent="0.2">
      <c r="AF54523" s="679"/>
    </row>
    <row r="54524" spans="32:32" x14ac:dyDescent="0.2">
      <c r="AF54524" s="679"/>
    </row>
    <row r="54525" spans="32:32" x14ac:dyDescent="0.2">
      <c r="AF54525" s="679"/>
    </row>
    <row r="54526" spans="32:32" x14ac:dyDescent="0.2">
      <c r="AF54526" s="679"/>
    </row>
    <row r="54527" spans="32:32" x14ac:dyDescent="0.2">
      <c r="AF54527" s="679"/>
    </row>
    <row r="54528" spans="32:32" x14ac:dyDescent="0.2">
      <c r="AF54528" s="679"/>
    </row>
    <row r="54529" spans="32:32" x14ac:dyDescent="0.2">
      <c r="AF54529" s="679"/>
    </row>
    <row r="54530" spans="32:32" x14ac:dyDescent="0.2">
      <c r="AF54530" s="679"/>
    </row>
    <row r="54531" spans="32:32" x14ac:dyDescent="0.2">
      <c r="AF54531" s="679"/>
    </row>
    <row r="54532" spans="32:32" x14ac:dyDescent="0.2">
      <c r="AF54532" s="679"/>
    </row>
    <row r="54533" spans="32:32" x14ac:dyDescent="0.2">
      <c r="AF54533" s="679"/>
    </row>
    <row r="54534" spans="32:32" x14ac:dyDescent="0.2">
      <c r="AF54534" s="679"/>
    </row>
    <row r="54535" spans="32:32" x14ac:dyDescent="0.2">
      <c r="AF54535" s="679"/>
    </row>
    <row r="54536" spans="32:32" x14ac:dyDescent="0.2">
      <c r="AF54536" s="679"/>
    </row>
    <row r="54537" spans="32:32" x14ac:dyDescent="0.2">
      <c r="AF54537" s="679"/>
    </row>
    <row r="54538" spans="32:32" x14ac:dyDescent="0.2">
      <c r="AF54538" s="679"/>
    </row>
    <row r="54539" spans="32:32" x14ac:dyDescent="0.2">
      <c r="AF54539" s="679"/>
    </row>
    <row r="54540" spans="32:32" x14ac:dyDescent="0.2">
      <c r="AF54540" s="679"/>
    </row>
    <row r="54541" spans="32:32" x14ac:dyDescent="0.2">
      <c r="AF54541" s="679"/>
    </row>
    <row r="54542" spans="32:32" x14ac:dyDescent="0.2">
      <c r="AF54542" s="679"/>
    </row>
    <row r="54543" spans="32:32" x14ac:dyDescent="0.2">
      <c r="AF54543" s="679"/>
    </row>
    <row r="54544" spans="32:32" x14ac:dyDescent="0.2">
      <c r="AF54544" s="679"/>
    </row>
    <row r="54545" spans="32:32" x14ac:dyDescent="0.2">
      <c r="AF54545" s="679"/>
    </row>
    <row r="54546" spans="32:32" x14ac:dyDescent="0.2">
      <c r="AF54546" s="679"/>
    </row>
    <row r="54547" spans="32:32" x14ac:dyDescent="0.2">
      <c r="AF54547" s="679"/>
    </row>
    <row r="54548" spans="32:32" x14ac:dyDescent="0.2">
      <c r="AF54548" s="679"/>
    </row>
    <row r="54549" spans="32:32" x14ac:dyDescent="0.2">
      <c r="AF54549" s="679"/>
    </row>
    <row r="54550" spans="32:32" x14ac:dyDescent="0.2">
      <c r="AF54550" s="679"/>
    </row>
    <row r="54551" spans="32:32" x14ac:dyDescent="0.2">
      <c r="AF54551" s="679"/>
    </row>
    <row r="54552" spans="32:32" x14ac:dyDescent="0.2">
      <c r="AF54552" s="679"/>
    </row>
    <row r="54553" spans="32:32" x14ac:dyDescent="0.2">
      <c r="AF54553" s="679"/>
    </row>
    <row r="54554" spans="32:32" x14ac:dyDescent="0.2">
      <c r="AF54554" s="679"/>
    </row>
    <row r="54555" spans="32:32" x14ac:dyDescent="0.2">
      <c r="AF54555" s="679"/>
    </row>
    <row r="54556" spans="32:32" x14ac:dyDescent="0.2">
      <c r="AF54556" s="679"/>
    </row>
    <row r="54557" spans="32:32" x14ac:dyDescent="0.2">
      <c r="AF54557" s="679"/>
    </row>
    <row r="54558" spans="32:32" x14ac:dyDescent="0.2">
      <c r="AF54558" s="679"/>
    </row>
    <row r="54559" spans="32:32" x14ac:dyDescent="0.2">
      <c r="AF54559" s="679"/>
    </row>
    <row r="54560" spans="32:32" x14ac:dyDescent="0.2">
      <c r="AF54560" s="679"/>
    </row>
    <row r="54561" spans="32:32" x14ac:dyDescent="0.2">
      <c r="AF54561" s="679"/>
    </row>
    <row r="54562" spans="32:32" x14ac:dyDescent="0.2">
      <c r="AF54562" s="679"/>
    </row>
    <row r="54563" spans="32:32" x14ac:dyDescent="0.2">
      <c r="AF54563" s="679"/>
    </row>
    <row r="54564" spans="32:32" x14ac:dyDescent="0.2">
      <c r="AF54564" s="679"/>
    </row>
    <row r="54565" spans="32:32" x14ac:dyDescent="0.2">
      <c r="AF54565" s="679"/>
    </row>
    <row r="54566" spans="32:32" x14ac:dyDescent="0.2">
      <c r="AF54566" s="679"/>
    </row>
    <row r="54567" spans="32:32" x14ac:dyDescent="0.2">
      <c r="AF54567" s="679"/>
    </row>
    <row r="54568" spans="32:32" x14ac:dyDescent="0.2">
      <c r="AF54568" s="679"/>
    </row>
    <row r="54569" spans="32:32" x14ac:dyDescent="0.2">
      <c r="AF54569" s="679"/>
    </row>
    <row r="54570" spans="32:32" x14ac:dyDescent="0.2">
      <c r="AF54570" s="679"/>
    </row>
    <row r="54571" spans="32:32" x14ac:dyDescent="0.2">
      <c r="AF54571" s="679"/>
    </row>
    <row r="54572" spans="32:32" x14ac:dyDescent="0.2">
      <c r="AF54572" s="679"/>
    </row>
    <row r="54573" spans="32:32" x14ac:dyDescent="0.2">
      <c r="AF54573" s="679"/>
    </row>
    <row r="54574" spans="32:32" x14ac:dyDescent="0.2">
      <c r="AF54574" s="679"/>
    </row>
    <row r="54575" spans="32:32" x14ac:dyDescent="0.2">
      <c r="AF54575" s="679"/>
    </row>
    <row r="54576" spans="32:32" x14ac:dyDescent="0.2">
      <c r="AF54576" s="679"/>
    </row>
    <row r="54577" spans="32:32" x14ac:dyDescent="0.2">
      <c r="AF54577" s="679"/>
    </row>
    <row r="54578" spans="32:32" x14ac:dyDescent="0.2">
      <c r="AF54578" s="679"/>
    </row>
    <row r="54579" spans="32:32" x14ac:dyDescent="0.2">
      <c r="AF54579" s="679"/>
    </row>
    <row r="54580" spans="32:32" x14ac:dyDescent="0.2">
      <c r="AF54580" s="679"/>
    </row>
    <row r="54581" spans="32:32" x14ac:dyDescent="0.2">
      <c r="AF54581" s="679"/>
    </row>
    <row r="54582" spans="32:32" x14ac:dyDescent="0.2">
      <c r="AF54582" s="679"/>
    </row>
    <row r="54583" spans="32:32" x14ac:dyDescent="0.2">
      <c r="AF54583" s="679"/>
    </row>
    <row r="54584" spans="32:32" x14ac:dyDescent="0.2">
      <c r="AF54584" s="679"/>
    </row>
    <row r="54585" spans="32:32" x14ac:dyDescent="0.2">
      <c r="AF54585" s="679"/>
    </row>
    <row r="54586" spans="32:32" x14ac:dyDescent="0.2">
      <c r="AF54586" s="679"/>
    </row>
    <row r="54587" spans="32:32" x14ac:dyDescent="0.2">
      <c r="AF54587" s="679"/>
    </row>
    <row r="54588" spans="32:32" x14ac:dyDescent="0.2">
      <c r="AF54588" s="679"/>
    </row>
    <row r="54589" spans="32:32" x14ac:dyDescent="0.2">
      <c r="AF54589" s="679"/>
    </row>
    <row r="54590" spans="32:32" x14ac:dyDescent="0.2">
      <c r="AF54590" s="679"/>
    </row>
    <row r="54591" spans="32:32" x14ac:dyDescent="0.2">
      <c r="AF54591" s="679"/>
    </row>
    <row r="54592" spans="32:32" x14ac:dyDescent="0.2">
      <c r="AF54592" s="679"/>
    </row>
    <row r="54593" spans="32:32" x14ac:dyDescent="0.2">
      <c r="AF54593" s="679"/>
    </row>
    <row r="54594" spans="32:32" x14ac:dyDescent="0.2">
      <c r="AF54594" s="679"/>
    </row>
    <row r="54595" spans="32:32" x14ac:dyDescent="0.2">
      <c r="AF54595" s="679"/>
    </row>
    <row r="54596" spans="32:32" x14ac:dyDescent="0.2">
      <c r="AF54596" s="679"/>
    </row>
    <row r="54597" spans="32:32" x14ac:dyDescent="0.2">
      <c r="AF54597" s="679"/>
    </row>
    <row r="54598" spans="32:32" x14ac:dyDescent="0.2">
      <c r="AF54598" s="679"/>
    </row>
    <row r="54599" spans="32:32" x14ac:dyDescent="0.2">
      <c r="AF54599" s="679"/>
    </row>
    <row r="54600" spans="32:32" x14ac:dyDescent="0.2">
      <c r="AF54600" s="679"/>
    </row>
    <row r="54601" spans="32:32" x14ac:dyDescent="0.2">
      <c r="AF54601" s="679"/>
    </row>
    <row r="54602" spans="32:32" x14ac:dyDescent="0.2">
      <c r="AF54602" s="679"/>
    </row>
    <row r="54603" spans="32:32" x14ac:dyDescent="0.2">
      <c r="AF54603" s="679"/>
    </row>
    <row r="54604" spans="32:32" x14ac:dyDescent="0.2">
      <c r="AF54604" s="679"/>
    </row>
    <row r="54605" spans="32:32" x14ac:dyDescent="0.2">
      <c r="AF54605" s="679"/>
    </row>
    <row r="54606" spans="32:32" x14ac:dyDescent="0.2">
      <c r="AF54606" s="679"/>
    </row>
    <row r="54607" spans="32:32" x14ac:dyDescent="0.2">
      <c r="AF54607" s="679"/>
    </row>
    <row r="54608" spans="32:32" x14ac:dyDescent="0.2">
      <c r="AF54608" s="679"/>
    </row>
    <row r="54609" spans="32:32" x14ac:dyDescent="0.2">
      <c r="AF54609" s="679"/>
    </row>
    <row r="54610" spans="32:32" x14ac:dyDescent="0.2">
      <c r="AF54610" s="679"/>
    </row>
    <row r="54611" spans="32:32" x14ac:dyDescent="0.2">
      <c r="AF54611" s="679"/>
    </row>
    <row r="54612" spans="32:32" x14ac:dyDescent="0.2">
      <c r="AF54612" s="679"/>
    </row>
    <row r="54613" spans="32:32" x14ac:dyDescent="0.2">
      <c r="AF54613" s="679"/>
    </row>
    <row r="54614" spans="32:32" x14ac:dyDescent="0.2">
      <c r="AF54614" s="679"/>
    </row>
    <row r="54615" spans="32:32" x14ac:dyDescent="0.2">
      <c r="AF54615" s="679"/>
    </row>
    <row r="54616" spans="32:32" x14ac:dyDescent="0.2">
      <c r="AF54616" s="679"/>
    </row>
    <row r="54617" spans="32:32" x14ac:dyDescent="0.2">
      <c r="AF54617" s="679"/>
    </row>
    <row r="54618" spans="32:32" x14ac:dyDescent="0.2">
      <c r="AF54618" s="679"/>
    </row>
    <row r="54619" spans="32:32" x14ac:dyDescent="0.2">
      <c r="AF54619" s="679"/>
    </row>
    <row r="54620" spans="32:32" x14ac:dyDescent="0.2">
      <c r="AF54620" s="679"/>
    </row>
    <row r="54621" spans="32:32" x14ac:dyDescent="0.2">
      <c r="AF54621" s="679"/>
    </row>
    <row r="54622" spans="32:32" x14ac:dyDescent="0.2">
      <c r="AF54622" s="679"/>
    </row>
    <row r="54623" spans="32:32" x14ac:dyDescent="0.2">
      <c r="AF54623" s="679"/>
    </row>
    <row r="54624" spans="32:32" x14ac:dyDescent="0.2">
      <c r="AF54624" s="679"/>
    </row>
    <row r="54625" spans="32:32" x14ac:dyDescent="0.2">
      <c r="AF54625" s="679"/>
    </row>
    <row r="54626" spans="32:32" x14ac:dyDescent="0.2">
      <c r="AF54626" s="679"/>
    </row>
    <row r="54627" spans="32:32" x14ac:dyDescent="0.2">
      <c r="AF54627" s="679"/>
    </row>
    <row r="54628" spans="32:32" x14ac:dyDescent="0.2">
      <c r="AF54628" s="679"/>
    </row>
    <row r="54629" spans="32:32" x14ac:dyDescent="0.2">
      <c r="AF54629" s="679"/>
    </row>
    <row r="54630" spans="32:32" x14ac:dyDescent="0.2">
      <c r="AF54630" s="679"/>
    </row>
    <row r="54631" spans="32:32" x14ac:dyDescent="0.2">
      <c r="AF54631" s="679"/>
    </row>
    <row r="54632" spans="32:32" x14ac:dyDescent="0.2">
      <c r="AF54632" s="679"/>
    </row>
    <row r="54633" spans="32:32" x14ac:dyDescent="0.2">
      <c r="AF54633" s="679"/>
    </row>
    <row r="54634" spans="32:32" x14ac:dyDescent="0.2">
      <c r="AF54634" s="679"/>
    </row>
    <row r="54635" spans="32:32" x14ac:dyDescent="0.2">
      <c r="AF54635" s="679"/>
    </row>
    <row r="54636" spans="32:32" x14ac:dyDescent="0.2">
      <c r="AF54636" s="679"/>
    </row>
    <row r="54637" spans="32:32" x14ac:dyDescent="0.2">
      <c r="AF54637" s="679"/>
    </row>
    <row r="54638" spans="32:32" x14ac:dyDescent="0.2">
      <c r="AF54638" s="679"/>
    </row>
    <row r="54639" spans="32:32" x14ac:dyDescent="0.2">
      <c r="AF54639" s="679"/>
    </row>
    <row r="54640" spans="32:32" x14ac:dyDescent="0.2">
      <c r="AF54640" s="679"/>
    </row>
    <row r="54641" spans="32:32" x14ac:dyDescent="0.2">
      <c r="AF54641" s="679"/>
    </row>
    <row r="54642" spans="32:32" x14ac:dyDescent="0.2">
      <c r="AF54642" s="679"/>
    </row>
    <row r="54643" spans="32:32" x14ac:dyDescent="0.2">
      <c r="AF54643" s="679"/>
    </row>
    <row r="54644" spans="32:32" x14ac:dyDescent="0.2">
      <c r="AF54644" s="679"/>
    </row>
    <row r="54645" spans="32:32" x14ac:dyDescent="0.2">
      <c r="AF54645" s="679"/>
    </row>
    <row r="54646" spans="32:32" x14ac:dyDescent="0.2">
      <c r="AF54646" s="679"/>
    </row>
    <row r="54647" spans="32:32" x14ac:dyDescent="0.2">
      <c r="AF54647" s="679"/>
    </row>
    <row r="54648" spans="32:32" x14ac:dyDescent="0.2">
      <c r="AF54648" s="679"/>
    </row>
    <row r="54649" spans="32:32" x14ac:dyDescent="0.2">
      <c r="AF54649" s="679"/>
    </row>
    <row r="54650" spans="32:32" x14ac:dyDescent="0.2">
      <c r="AF54650" s="679"/>
    </row>
    <row r="54651" spans="32:32" x14ac:dyDescent="0.2">
      <c r="AF54651" s="679"/>
    </row>
    <row r="54652" spans="32:32" x14ac:dyDescent="0.2">
      <c r="AF54652" s="679"/>
    </row>
    <row r="54653" spans="32:32" x14ac:dyDescent="0.2">
      <c r="AF54653" s="679"/>
    </row>
    <row r="54654" spans="32:32" x14ac:dyDescent="0.2">
      <c r="AF54654" s="679"/>
    </row>
    <row r="54655" spans="32:32" x14ac:dyDescent="0.2">
      <c r="AF54655" s="679"/>
    </row>
    <row r="54656" spans="32:32" x14ac:dyDescent="0.2">
      <c r="AF54656" s="679"/>
    </row>
    <row r="54657" spans="32:32" x14ac:dyDescent="0.2">
      <c r="AF54657" s="679"/>
    </row>
    <row r="54658" spans="32:32" x14ac:dyDescent="0.2">
      <c r="AF54658" s="679"/>
    </row>
    <row r="54659" spans="32:32" x14ac:dyDescent="0.2">
      <c r="AF54659" s="679"/>
    </row>
    <row r="54660" spans="32:32" x14ac:dyDescent="0.2">
      <c r="AF54660" s="679"/>
    </row>
    <row r="54661" spans="32:32" x14ac:dyDescent="0.2">
      <c r="AF54661" s="679"/>
    </row>
    <row r="54662" spans="32:32" x14ac:dyDescent="0.2">
      <c r="AF54662" s="679"/>
    </row>
    <row r="54663" spans="32:32" x14ac:dyDescent="0.2">
      <c r="AF54663" s="679"/>
    </row>
    <row r="54664" spans="32:32" x14ac:dyDescent="0.2">
      <c r="AF54664" s="679"/>
    </row>
    <row r="54665" spans="32:32" x14ac:dyDescent="0.2">
      <c r="AF54665" s="679"/>
    </row>
    <row r="54666" spans="32:32" x14ac:dyDescent="0.2">
      <c r="AF54666" s="679"/>
    </row>
    <row r="54667" spans="32:32" x14ac:dyDescent="0.2">
      <c r="AF54667" s="679"/>
    </row>
    <row r="54668" spans="32:32" x14ac:dyDescent="0.2">
      <c r="AF54668" s="679"/>
    </row>
    <row r="54669" spans="32:32" x14ac:dyDescent="0.2">
      <c r="AF54669" s="679"/>
    </row>
    <row r="54670" spans="32:32" x14ac:dyDescent="0.2">
      <c r="AF54670" s="679"/>
    </row>
    <row r="54671" spans="32:32" x14ac:dyDescent="0.2">
      <c r="AF54671" s="679"/>
    </row>
    <row r="54672" spans="32:32" x14ac:dyDescent="0.2">
      <c r="AF54672" s="679"/>
    </row>
    <row r="54673" spans="32:32" x14ac:dyDescent="0.2">
      <c r="AF54673" s="679"/>
    </row>
    <row r="54674" spans="32:32" x14ac:dyDescent="0.2">
      <c r="AF54674" s="679"/>
    </row>
    <row r="54675" spans="32:32" x14ac:dyDescent="0.2">
      <c r="AF54675" s="679"/>
    </row>
    <row r="54676" spans="32:32" x14ac:dyDescent="0.2">
      <c r="AF54676" s="679"/>
    </row>
    <row r="54677" spans="32:32" x14ac:dyDescent="0.2">
      <c r="AF54677" s="679"/>
    </row>
    <row r="54678" spans="32:32" x14ac:dyDescent="0.2">
      <c r="AF54678" s="679"/>
    </row>
    <row r="54679" spans="32:32" x14ac:dyDescent="0.2">
      <c r="AF54679" s="679"/>
    </row>
    <row r="54680" spans="32:32" x14ac:dyDescent="0.2">
      <c r="AF54680" s="679"/>
    </row>
    <row r="54681" spans="32:32" x14ac:dyDescent="0.2">
      <c r="AF54681" s="679"/>
    </row>
    <row r="54682" spans="32:32" x14ac:dyDescent="0.2">
      <c r="AF54682" s="679"/>
    </row>
    <row r="54683" spans="32:32" x14ac:dyDescent="0.2">
      <c r="AF54683" s="679"/>
    </row>
    <row r="54684" spans="32:32" x14ac:dyDescent="0.2">
      <c r="AF54684" s="679"/>
    </row>
    <row r="54685" spans="32:32" x14ac:dyDescent="0.2">
      <c r="AF54685" s="679"/>
    </row>
    <row r="54686" spans="32:32" x14ac:dyDescent="0.2">
      <c r="AF54686" s="679"/>
    </row>
    <row r="54687" spans="32:32" x14ac:dyDescent="0.2">
      <c r="AF54687" s="679"/>
    </row>
    <row r="54688" spans="32:32" x14ac:dyDescent="0.2">
      <c r="AF54688" s="679"/>
    </row>
    <row r="54689" spans="32:32" x14ac:dyDescent="0.2">
      <c r="AF54689" s="679"/>
    </row>
    <row r="54690" spans="32:32" x14ac:dyDescent="0.2">
      <c r="AF54690" s="679"/>
    </row>
    <row r="54691" spans="32:32" x14ac:dyDescent="0.2">
      <c r="AF54691" s="679"/>
    </row>
    <row r="54692" spans="32:32" x14ac:dyDescent="0.2">
      <c r="AF54692" s="679"/>
    </row>
    <row r="54693" spans="32:32" x14ac:dyDescent="0.2">
      <c r="AF54693" s="679"/>
    </row>
    <row r="54694" spans="32:32" x14ac:dyDescent="0.2">
      <c r="AF54694" s="679"/>
    </row>
    <row r="54695" spans="32:32" x14ac:dyDescent="0.2">
      <c r="AF54695" s="679"/>
    </row>
    <row r="54696" spans="32:32" x14ac:dyDescent="0.2">
      <c r="AF54696" s="679"/>
    </row>
    <row r="54697" spans="32:32" x14ac:dyDescent="0.2">
      <c r="AF54697" s="679"/>
    </row>
    <row r="54698" spans="32:32" x14ac:dyDescent="0.2">
      <c r="AF54698" s="679"/>
    </row>
    <row r="54699" spans="32:32" x14ac:dyDescent="0.2">
      <c r="AF54699" s="679"/>
    </row>
    <row r="54700" spans="32:32" x14ac:dyDescent="0.2">
      <c r="AF54700" s="679"/>
    </row>
    <row r="54701" spans="32:32" x14ac:dyDescent="0.2">
      <c r="AF54701" s="679"/>
    </row>
    <row r="54702" spans="32:32" x14ac:dyDescent="0.2">
      <c r="AF54702" s="679"/>
    </row>
    <row r="54703" spans="32:32" x14ac:dyDescent="0.2">
      <c r="AF54703" s="679"/>
    </row>
    <row r="54704" spans="32:32" x14ac:dyDescent="0.2">
      <c r="AF54704" s="679"/>
    </row>
    <row r="54705" spans="32:32" x14ac:dyDescent="0.2">
      <c r="AF54705" s="679"/>
    </row>
    <row r="54706" spans="32:32" x14ac:dyDescent="0.2">
      <c r="AF54706" s="679"/>
    </row>
    <row r="54707" spans="32:32" x14ac:dyDescent="0.2">
      <c r="AF54707" s="679"/>
    </row>
    <row r="54708" spans="32:32" x14ac:dyDescent="0.2">
      <c r="AF54708" s="679"/>
    </row>
    <row r="54709" spans="32:32" x14ac:dyDescent="0.2">
      <c r="AF54709" s="679"/>
    </row>
    <row r="54710" spans="32:32" x14ac:dyDescent="0.2">
      <c r="AF54710" s="679"/>
    </row>
    <row r="54711" spans="32:32" x14ac:dyDescent="0.2">
      <c r="AF54711" s="679"/>
    </row>
    <row r="54712" spans="32:32" x14ac:dyDescent="0.2">
      <c r="AF54712" s="679"/>
    </row>
    <row r="54713" spans="32:32" x14ac:dyDescent="0.2">
      <c r="AF54713" s="679"/>
    </row>
    <row r="54714" spans="32:32" x14ac:dyDescent="0.2">
      <c r="AF54714" s="679"/>
    </row>
    <row r="54715" spans="32:32" x14ac:dyDescent="0.2">
      <c r="AF54715" s="679"/>
    </row>
    <row r="54716" spans="32:32" x14ac:dyDescent="0.2">
      <c r="AF54716" s="679"/>
    </row>
    <row r="54717" spans="32:32" x14ac:dyDescent="0.2">
      <c r="AF54717" s="679"/>
    </row>
    <row r="54718" spans="32:32" x14ac:dyDescent="0.2">
      <c r="AF54718" s="679"/>
    </row>
    <row r="54719" spans="32:32" x14ac:dyDescent="0.2">
      <c r="AF54719" s="679"/>
    </row>
    <row r="54720" spans="32:32" x14ac:dyDescent="0.2">
      <c r="AF54720" s="679"/>
    </row>
    <row r="54721" spans="32:32" x14ac:dyDescent="0.2">
      <c r="AF54721" s="679"/>
    </row>
    <row r="54722" spans="32:32" x14ac:dyDescent="0.2">
      <c r="AF54722" s="679"/>
    </row>
    <row r="54723" spans="32:32" x14ac:dyDescent="0.2">
      <c r="AF54723" s="679"/>
    </row>
    <row r="54724" spans="32:32" x14ac:dyDescent="0.2">
      <c r="AF54724" s="679"/>
    </row>
    <row r="54725" spans="32:32" x14ac:dyDescent="0.2">
      <c r="AF54725" s="679"/>
    </row>
    <row r="54726" spans="32:32" x14ac:dyDescent="0.2">
      <c r="AF54726" s="679"/>
    </row>
    <row r="54727" spans="32:32" x14ac:dyDescent="0.2">
      <c r="AF54727" s="679"/>
    </row>
    <row r="54728" spans="32:32" x14ac:dyDescent="0.2">
      <c r="AF54728" s="679"/>
    </row>
    <row r="54729" spans="32:32" x14ac:dyDescent="0.2">
      <c r="AF54729" s="679"/>
    </row>
    <row r="54730" spans="32:32" x14ac:dyDescent="0.2">
      <c r="AF54730" s="679"/>
    </row>
    <row r="54731" spans="32:32" x14ac:dyDescent="0.2">
      <c r="AF54731" s="679"/>
    </row>
    <row r="54732" spans="32:32" x14ac:dyDescent="0.2">
      <c r="AF54732" s="679"/>
    </row>
    <row r="54733" spans="32:32" x14ac:dyDescent="0.2">
      <c r="AF54733" s="679"/>
    </row>
    <row r="54734" spans="32:32" x14ac:dyDescent="0.2">
      <c r="AF54734" s="679"/>
    </row>
    <row r="54735" spans="32:32" x14ac:dyDescent="0.2">
      <c r="AF54735" s="679"/>
    </row>
    <row r="54736" spans="32:32" x14ac:dyDescent="0.2">
      <c r="AF54736" s="679"/>
    </row>
    <row r="54737" spans="32:32" x14ac:dyDescent="0.2">
      <c r="AF54737" s="679"/>
    </row>
    <row r="54738" spans="32:32" x14ac:dyDescent="0.2">
      <c r="AF54738" s="679"/>
    </row>
    <row r="54739" spans="32:32" x14ac:dyDescent="0.2">
      <c r="AF54739" s="679"/>
    </row>
    <row r="54740" spans="32:32" x14ac:dyDescent="0.2">
      <c r="AF54740" s="679"/>
    </row>
    <row r="54741" spans="32:32" x14ac:dyDescent="0.2">
      <c r="AF54741" s="679"/>
    </row>
    <row r="54742" spans="32:32" x14ac:dyDescent="0.2">
      <c r="AF54742" s="679"/>
    </row>
    <row r="54743" spans="32:32" x14ac:dyDescent="0.2">
      <c r="AF54743" s="679"/>
    </row>
    <row r="54744" spans="32:32" x14ac:dyDescent="0.2">
      <c r="AF54744" s="679"/>
    </row>
    <row r="54745" spans="32:32" x14ac:dyDescent="0.2">
      <c r="AF54745" s="679"/>
    </row>
    <row r="54746" spans="32:32" x14ac:dyDescent="0.2">
      <c r="AF54746" s="679"/>
    </row>
    <row r="54747" spans="32:32" x14ac:dyDescent="0.2">
      <c r="AF54747" s="679"/>
    </row>
    <row r="54748" spans="32:32" x14ac:dyDescent="0.2">
      <c r="AF54748" s="679"/>
    </row>
    <row r="54749" spans="32:32" x14ac:dyDescent="0.2">
      <c r="AF54749" s="679"/>
    </row>
    <row r="54750" spans="32:32" x14ac:dyDescent="0.2">
      <c r="AF54750" s="679"/>
    </row>
    <row r="54751" spans="32:32" x14ac:dyDescent="0.2">
      <c r="AF54751" s="679"/>
    </row>
    <row r="54752" spans="32:32" x14ac:dyDescent="0.2">
      <c r="AF54752" s="679"/>
    </row>
    <row r="54753" spans="32:32" x14ac:dyDescent="0.2">
      <c r="AF54753" s="679"/>
    </row>
    <row r="54754" spans="32:32" x14ac:dyDescent="0.2">
      <c r="AF54754" s="679"/>
    </row>
    <row r="54755" spans="32:32" x14ac:dyDescent="0.2">
      <c r="AF54755" s="679"/>
    </row>
    <row r="54756" spans="32:32" x14ac:dyDescent="0.2">
      <c r="AF54756" s="679"/>
    </row>
    <row r="54757" spans="32:32" x14ac:dyDescent="0.2">
      <c r="AF54757" s="679"/>
    </row>
    <row r="54758" spans="32:32" x14ac:dyDescent="0.2">
      <c r="AF54758" s="679"/>
    </row>
    <row r="54759" spans="32:32" x14ac:dyDescent="0.2">
      <c r="AF54759" s="679"/>
    </row>
    <row r="54760" spans="32:32" x14ac:dyDescent="0.2">
      <c r="AF54760" s="679"/>
    </row>
    <row r="54761" spans="32:32" x14ac:dyDescent="0.2">
      <c r="AF54761" s="679"/>
    </row>
    <row r="54762" spans="32:32" x14ac:dyDescent="0.2">
      <c r="AF54762" s="679"/>
    </row>
    <row r="54763" spans="32:32" x14ac:dyDescent="0.2">
      <c r="AF54763" s="679"/>
    </row>
    <row r="54764" spans="32:32" x14ac:dyDescent="0.2">
      <c r="AF54764" s="679"/>
    </row>
    <row r="54765" spans="32:32" x14ac:dyDescent="0.2">
      <c r="AF54765" s="679"/>
    </row>
    <row r="54766" spans="32:32" x14ac:dyDescent="0.2">
      <c r="AF54766" s="679"/>
    </row>
    <row r="54767" spans="32:32" x14ac:dyDescent="0.2">
      <c r="AF54767" s="679"/>
    </row>
    <row r="54768" spans="32:32" x14ac:dyDescent="0.2">
      <c r="AF54768" s="679"/>
    </row>
    <row r="54769" spans="32:32" x14ac:dyDescent="0.2">
      <c r="AF54769" s="679"/>
    </row>
    <row r="54770" spans="32:32" x14ac:dyDescent="0.2">
      <c r="AF54770" s="679"/>
    </row>
    <row r="54771" spans="32:32" x14ac:dyDescent="0.2">
      <c r="AF54771" s="679"/>
    </row>
    <row r="54772" spans="32:32" x14ac:dyDescent="0.2">
      <c r="AF54772" s="679"/>
    </row>
    <row r="54773" spans="32:32" x14ac:dyDescent="0.2">
      <c r="AF54773" s="679"/>
    </row>
    <row r="54774" spans="32:32" x14ac:dyDescent="0.2">
      <c r="AF54774" s="679"/>
    </row>
    <row r="54775" spans="32:32" x14ac:dyDescent="0.2">
      <c r="AF54775" s="679"/>
    </row>
    <row r="54776" spans="32:32" x14ac:dyDescent="0.2">
      <c r="AF54776" s="679"/>
    </row>
    <row r="54777" spans="32:32" x14ac:dyDescent="0.2">
      <c r="AF54777" s="679"/>
    </row>
    <row r="54778" spans="32:32" x14ac:dyDescent="0.2">
      <c r="AF54778" s="679"/>
    </row>
    <row r="54779" spans="32:32" x14ac:dyDescent="0.2">
      <c r="AF54779" s="679"/>
    </row>
    <row r="54780" spans="32:32" x14ac:dyDescent="0.2">
      <c r="AF54780" s="679"/>
    </row>
    <row r="54781" spans="32:32" x14ac:dyDescent="0.2">
      <c r="AF54781" s="679"/>
    </row>
    <row r="54782" spans="32:32" x14ac:dyDescent="0.2">
      <c r="AF54782" s="679"/>
    </row>
    <row r="54783" spans="32:32" x14ac:dyDescent="0.2">
      <c r="AF54783" s="679"/>
    </row>
    <row r="54784" spans="32:32" x14ac:dyDescent="0.2">
      <c r="AF54784" s="679"/>
    </row>
    <row r="54785" spans="32:32" x14ac:dyDescent="0.2">
      <c r="AF54785" s="679"/>
    </row>
    <row r="54786" spans="32:32" x14ac:dyDescent="0.2">
      <c r="AF54786" s="679"/>
    </row>
    <row r="54787" spans="32:32" x14ac:dyDescent="0.2">
      <c r="AF54787" s="679"/>
    </row>
    <row r="54788" spans="32:32" x14ac:dyDescent="0.2">
      <c r="AF54788" s="679"/>
    </row>
    <row r="54789" spans="32:32" x14ac:dyDescent="0.2">
      <c r="AF54789" s="679"/>
    </row>
    <row r="54790" spans="32:32" x14ac:dyDescent="0.2">
      <c r="AF54790" s="679"/>
    </row>
    <row r="54791" spans="32:32" x14ac:dyDescent="0.2">
      <c r="AF54791" s="679"/>
    </row>
    <row r="54792" spans="32:32" x14ac:dyDescent="0.2">
      <c r="AF54792" s="679"/>
    </row>
    <row r="54793" spans="32:32" x14ac:dyDescent="0.2">
      <c r="AF54793" s="679"/>
    </row>
    <row r="54794" spans="32:32" x14ac:dyDescent="0.2">
      <c r="AF54794" s="679"/>
    </row>
    <row r="54795" spans="32:32" x14ac:dyDescent="0.2">
      <c r="AF54795" s="679"/>
    </row>
    <row r="54796" spans="32:32" x14ac:dyDescent="0.2">
      <c r="AF54796" s="679"/>
    </row>
    <row r="54797" spans="32:32" x14ac:dyDescent="0.2">
      <c r="AF54797" s="679"/>
    </row>
    <row r="54798" spans="32:32" x14ac:dyDescent="0.2">
      <c r="AF54798" s="679"/>
    </row>
    <row r="54799" spans="32:32" x14ac:dyDescent="0.2">
      <c r="AF54799" s="679"/>
    </row>
    <row r="54800" spans="32:32" x14ac:dyDescent="0.2">
      <c r="AF54800" s="679"/>
    </row>
    <row r="54801" spans="32:32" x14ac:dyDescent="0.2">
      <c r="AF54801" s="679"/>
    </row>
    <row r="54802" spans="32:32" x14ac:dyDescent="0.2">
      <c r="AF54802" s="679"/>
    </row>
    <row r="54803" spans="32:32" x14ac:dyDescent="0.2">
      <c r="AF54803" s="679"/>
    </row>
    <row r="54804" spans="32:32" x14ac:dyDescent="0.2">
      <c r="AF54804" s="679"/>
    </row>
    <row r="54805" spans="32:32" x14ac:dyDescent="0.2">
      <c r="AF54805" s="679"/>
    </row>
    <row r="54806" spans="32:32" x14ac:dyDescent="0.2">
      <c r="AF54806" s="679"/>
    </row>
    <row r="54807" spans="32:32" x14ac:dyDescent="0.2">
      <c r="AF54807" s="679"/>
    </row>
    <row r="54808" spans="32:32" x14ac:dyDescent="0.2">
      <c r="AF54808" s="679"/>
    </row>
    <row r="54809" spans="32:32" x14ac:dyDescent="0.2">
      <c r="AF54809" s="679"/>
    </row>
    <row r="54810" spans="32:32" x14ac:dyDescent="0.2">
      <c r="AF54810" s="679"/>
    </row>
    <row r="54811" spans="32:32" x14ac:dyDescent="0.2">
      <c r="AF54811" s="679"/>
    </row>
    <row r="54812" spans="32:32" x14ac:dyDescent="0.2">
      <c r="AF54812" s="679"/>
    </row>
    <row r="54813" spans="32:32" x14ac:dyDescent="0.2">
      <c r="AF54813" s="679"/>
    </row>
    <row r="54814" spans="32:32" x14ac:dyDescent="0.2">
      <c r="AF54814" s="679"/>
    </row>
    <row r="54815" spans="32:32" x14ac:dyDescent="0.2">
      <c r="AF54815" s="679"/>
    </row>
    <row r="54816" spans="32:32" x14ac:dyDescent="0.2">
      <c r="AF54816" s="679"/>
    </row>
    <row r="54817" spans="32:32" x14ac:dyDescent="0.2">
      <c r="AF54817" s="679"/>
    </row>
    <row r="54818" spans="32:32" x14ac:dyDescent="0.2">
      <c r="AF54818" s="679"/>
    </row>
    <row r="54819" spans="32:32" x14ac:dyDescent="0.2">
      <c r="AF54819" s="679"/>
    </row>
    <row r="54820" spans="32:32" x14ac:dyDescent="0.2">
      <c r="AF54820" s="679"/>
    </row>
    <row r="54821" spans="32:32" x14ac:dyDescent="0.2">
      <c r="AF54821" s="679"/>
    </row>
    <row r="54822" spans="32:32" x14ac:dyDescent="0.2">
      <c r="AF54822" s="679"/>
    </row>
    <row r="54823" spans="32:32" x14ac:dyDescent="0.2">
      <c r="AF54823" s="679"/>
    </row>
    <row r="54824" spans="32:32" x14ac:dyDescent="0.2">
      <c r="AF54824" s="679"/>
    </row>
    <row r="54825" spans="32:32" x14ac:dyDescent="0.2">
      <c r="AF54825" s="679"/>
    </row>
    <row r="54826" spans="32:32" x14ac:dyDescent="0.2">
      <c r="AF54826" s="679"/>
    </row>
    <row r="54827" spans="32:32" x14ac:dyDescent="0.2">
      <c r="AF54827" s="679"/>
    </row>
    <row r="54828" spans="32:32" x14ac:dyDescent="0.2">
      <c r="AF54828" s="679"/>
    </row>
    <row r="54829" spans="32:32" x14ac:dyDescent="0.2">
      <c r="AF54829" s="679"/>
    </row>
    <row r="54830" spans="32:32" x14ac:dyDescent="0.2">
      <c r="AF54830" s="679"/>
    </row>
    <row r="54831" spans="32:32" x14ac:dyDescent="0.2">
      <c r="AF54831" s="679"/>
    </row>
    <row r="54832" spans="32:32" x14ac:dyDescent="0.2">
      <c r="AF54832" s="679"/>
    </row>
    <row r="54833" spans="32:32" x14ac:dyDescent="0.2">
      <c r="AF54833" s="679"/>
    </row>
    <row r="54834" spans="32:32" x14ac:dyDescent="0.2">
      <c r="AF54834" s="679"/>
    </row>
    <row r="54835" spans="32:32" x14ac:dyDescent="0.2">
      <c r="AF54835" s="679"/>
    </row>
    <row r="54836" spans="32:32" x14ac:dyDescent="0.2">
      <c r="AF54836" s="679"/>
    </row>
    <row r="54837" spans="32:32" x14ac:dyDescent="0.2">
      <c r="AF54837" s="679"/>
    </row>
    <row r="54838" spans="32:32" x14ac:dyDescent="0.2">
      <c r="AF54838" s="679"/>
    </row>
    <row r="54839" spans="32:32" x14ac:dyDescent="0.2">
      <c r="AF54839" s="679"/>
    </row>
    <row r="54840" spans="32:32" x14ac:dyDescent="0.2">
      <c r="AF54840" s="679"/>
    </row>
    <row r="54841" spans="32:32" x14ac:dyDescent="0.2">
      <c r="AF54841" s="679"/>
    </row>
    <row r="54842" spans="32:32" x14ac:dyDescent="0.2">
      <c r="AF54842" s="679"/>
    </row>
    <row r="54843" spans="32:32" x14ac:dyDescent="0.2">
      <c r="AF54843" s="679"/>
    </row>
    <row r="54844" spans="32:32" x14ac:dyDescent="0.2">
      <c r="AF54844" s="679"/>
    </row>
    <row r="54845" spans="32:32" x14ac:dyDescent="0.2">
      <c r="AF54845" s="679"/>
    </row>
    <row r="54846" spans="32:32" x14ac:dyDescent="0.2">
      <c r="AF54846" s="679"/>
    </row>
    <row r="54847" spans="32:32" x14ac:dyDescent="0.2">
      <c r="AF54847" s="679"/>
    </row>
    <row r="54848" spans="32:32" x14ac:dyDescent="0.2">
      <c r="AF54848" s="679"/>
    </row>
    <row r="54849" spans="32:32" x14ac:dyDescent="0.2">
      <c r="AF54849" s="679"/>
    </row>
    <row r="54850" spans="32:32" x14ac:dyDescent="0.2">
      <c r="AF54850" s="679"/>
    </row>
    <row r="54851" spans="32:32" x14ac:dyDescent="0.2">
      <c r="AF54851" s="679"/>
    </row>
    <row r="54852" spans="32:32" x14ac:dyDescent="0.2">
      <c r="AF54852" s="679"/>
    </row>
    <row r="54853" spans="32:32" x14ac:dyDescent="0.2">
      <c r="AF54853" s="679"/>
    </row>
    <row r="54854" spans="32:32" x14ac:dyDescent="0.2">
      <c r="AF54854" s="679"/>
    </row>
    <row r="54855" spans="32:32" x14ac:dyDescent="0.2">
      <c r="AF54855" s="679"/>
    </row>
    <row r="54856" spans="32:32" x14ac:dyDescent="0.2">
      <c r="AF54856" s="679"/>
    </row>
    <row r="54857" spans="32:32" x14ac:dyDescent="0.2">
      <c r="AF54857" s="679"/>
    </row>
    <row r="54858" spans="32:32" x14ac:dyDescent="0.2">
      <c r="AF54858" s="679"/>
    </row>
    <row r="54859" spans="32:32" x14ac:dyDescent="0.2">
      <c r="AF54859" s="679"/>
    </row>
    <row r="54860" spans="32:32" x14ac:dyDescent="0.2">
      <c r="AF54860" s="679"/>
    </row>
    <row r="54861" spans="32:32" x14ac:dyDescent="0.2">
      <c r="AF54861" s="679"/>
    </row>
    <row r="54862" spans="32:32" x14ac:dyDescent="0.2">
      <c r="AF54862" s="679"/>
    </row>
    <row r="54863" spans="32:32" x14ac:dyDescent="0.2">
      <c r="AF54863" s="679"/>
    </row>
    <row r="54864" spans="32:32" x14ac:dyDescent="0.2">
      <c r="AF54864" s="679"/>
    </row>
    <row r="54865" spans="32:32" x14ac:dyDescent="0.2">
      <c r="AF54865" s="679"/>
    </row>
    <row r="54866" spans="32:32" x14ac:dyDescent="0.2">
      <c r="AF54866" s="679"/>
    </row>
    <row r="54867" spans="32:32" x14ac:dyDescent="0.2">
      <c r="AF54867" s="679"/>
    </row>
    <row r="54868" spans="32:32" x14ac:dyDescent="0.2">
      <c r="AF54868" s="679"/>
    </row>
    <row r="54869" spans="32:32" x14ac:dyDescent="0.2">
      <c r="AF54869" s="679"/>
    </row>
    <row r="54870" spans="32:32" x14ac:dyDescent="0.2">
      <c r="AF54870" s="679"/>
    </row>
    <row r="54871" spans="32:32" x14ac:dyDescent="0.2">
      <c r="AF54871" s="679"/>
    </row>
    <row r="54872" spans="32:32" x14ac:dyDescent="0.2">
      <c r="AF54872" s="679"/>
    </row>
    <row r="54873" spans="32:32" x14ac:dyDescent="0.2">
      <c r="AF54873" s="679"/>
    </row>
    <row r="54874" spans="32:32" x14ac:dyDescent="0.2">
      <c r="AF54874" s="679"/>
    </row>
    <row r="54875" spans="32:32" x14ac:dyDescent="0.2">
      <c r="AF54875" s="679"/>
    </row>
    <row r="54876" spans="32:32" x14ac:dyDescent="0.2">
      <c r="AF54876" s="679"/>
    </row>
    <row r="54877" spans="32:32" x14ac:dyDescent="0.2">
      <c r="AF54877" s="679"/>
    </row>
    <row r="54878" spans="32:32" x14ac:dyDescent="0.2">
      <c r="AF54878" s="679"/>
    </row>
    <row r="54879" spans="32:32" x14ac:dyDescent="0.2">
      <c r="AF54879" s="679"/>
    </row>
    <row r="54880" spans="32:32" x14ac:dyDescent="0.2">
      <c r="AF54880" s="679"/>
    </row>
    <row r="54881" spans="32:32" x14ac:dyDescent="0.2">
      <c r="AF54881" s="679"/>
    </row>
    <row r="54882" spans="32:32" x14ac:dyDescent="0.2">
      <c r="AF54882" s="679"/>
    </row>
    <row r="54883" spans="32:32" x14ac:dyDescent="0.2">
      <c r="AF54883" s="679"/>
    </row>
    <row r="54884" spans="32:32" x14ac:dyDescent="0.2">
      <c r="AF54884" s="679"/>
    </row>
    <row r="54885" spans="32:32" x14ac:dyDescent="0.2">
      <c r="AF54885" s="679"/>
    </row>
    <row r="54886" spans="32:32" x14ac:dyDescent="0.2">
      <c r="AF54886" s="679"/>
    </row>
    <row r="54887" spans="32:32" x14ac:dyDescent="0.2">
      <c r="AF54887" s="679"/>
    </row>
    <row r="54888" spans="32:32" x14ac:dyDescent="0.2">
      <c r="AF54888" s="679"/>
    </row>
    <row r="54889" spans="32:32" x14ac:dyDescent="0.2">
      <c r="AF54889" s="679"/>
    </row>
    <row r="54890" spans="32:32" x14ac:dyDescent="0.2">
      <c r="AF54890" s="679"/>
    </row>
    <row r="54891" spans="32:32" x14ac:dyDescent="0.2">
      <c r="AF54891" s="679"/>
    </row>
    <row r="54892" spans="32:32" x14ac:dyDescent="0.2">
      <c r="AF54892" s="679"/>
    </row>
    <row r="54893" spans="32:32" x14ac:dyDescent="0.2">
      <c r="AF54893" s="679"/>
    </row>
    <row r="54894" spans="32:32" x14ac:dyDescent="0.2">
      <c r="AF54894" s="679"/>
    </row>
    <row r="54895" spans="32:32" x14ac:dyDescent="0.2">
      <c r="AF54895" s="679"/>
    </row>
    <row r="54896" spans="32:32" x14ac:dyDescent="0.2">
      <c r="AF54896" s="679"/>
    </row>
    <row r="54897" spans="32:32" x14ac:dyDescent="0.2">
      <c r="AF54897" s="679"/>
    </row>
    <row r="54898" spans="32:32" x14ac:dyDescent="0.2">
      <c r="AF54898" s="679"/>
    </row>
    <row r="54899" spans="32:32" x14ac:dyDescent="0.2">
      <c r="AF54899" s="679"/>
    </row>
    <row r="54900" spans="32:32" x14ac:dyDescent="0.2">
      <c r="AF54900" s="679"/>
    </row>
    <row r="54901" spans="32:32" x14ac:dyDescent="0.2">
      <c r="AF54901" s="679"/>
    </row>
    <row r="54902" spans="32:32" x14ac:dyDescent="0.2">
      <c r="AF54902" s="679"/>
    </row>
    <row r="54903" spans="32:32" x14ac:dyDescent="0.2">
      <c r="AF54903" s="679"/>
    </row>
    <row r="54904" spans="32:32" x14ac:dyDescent="0.2">
      <c r="AF54904" s="679"/>
    </row>
    <row r="54905" spans="32:32" x14ac:dyDescent="0.2">
      <c r="AF54905" s="679"/>
    </row>
    <row r="54906" spans="32:32" x14ac:dyDescent="0.2">
      <c r="AF54906" s="679"/>
    </row>
    <row r="54907" spans="32:32" x14ac:dyDescent="0.2">
      <c r="AF54907" s="679"/>
    </row>
    <row r="54908" spans="32:32" x14ac:dyDescent="0.2">
      <c r="AF54908" s="679"/>
    </row>
    <row r="54909" spans="32:32" x14ac:dyDescent="0.2">
      <c r="AF54909" s="679"/>
    </row>
    <row r="54910" spans="32:32" x14ac:dyDescent="0.2">
      <c r="AF54910" s="679"/>
    </row>
    <row r="54911" spans="32:32" x14ac:dyDescent="0.2">
      <c r="AF54911" s="679"/>
    </row>
    <row r="54912" spans="32:32" x14ac:dyDescent="0.2">
      <c r="AF54912" s="679"/>
    </row>
    <row r="54913" spans="32:32" x14ac:dyDescent="0.2">
      <c r="AF54913" s="679"/>
    </row>
    <row r="54914" spans="32:32" x14ac:dyDescent="0.2">
      <c r="AF54914" s="679"/>
    </row>
    <row r="54915" spans="32:32" x14ac:dyDescent="0.2">
      <c r="AF54915" s="679"/>
    </row>
    <row r="54916" spans="32:32" x14ac:dyDescent="0.2">
      <c r="AF54916" s="679"/>
    </row>
    <row r="54917" spans="32:32" x14ac:dyDescent="0.2">
      <c r="AF54917" s="679"/>
    </row>
    <row r="54918" spans="32:32" x14ac:dyDescent="0.2">
      <c r="AF54918" s="679"/>
    </row>
    <row r="54919" spans="32:32" x14ac:dyDescent="0.2">
      <c r="AF54919" s="679"/>
    </row>
    <row r="54920" spans="32:32" x14ac:dyDescent="0.2">
      <c r="AF54920" s="679"/>
    </row>
    <row r="54921" spans="32:32" x14ac:dyDescent="0.2">
      <c r="AF54921" s="679"/>
    </row>
    <row r="54922" spans="32:32" x14ac:dyDescent="0.2">
      <c r="AF54922" s="679"/>
    </row>
    <row r="54923" spans="32:32" x14ac:dyDescent="0.2">
      <c r="AF54923" s="679"/>
    </row>
    <row r="54924" spans="32:32" x14ac:dyDescent="0.2">
      <c r="AF54924" s="679"/>
    </row>
    <row r="54925" spans="32:32" x14ac:dyDescent="0.2">
      <c r="AF54925" s="679"/>
    </row>
    <row r="54926" spans="32:32" x14ac:dyDescent="0.2">
      <c r="AF54926" s="679"/>
    </row>
    <row r="54927" spans="32:32" x14ac:dyDescent="0.2">
      <c r="AF54927" s="679"/>
    </row>
    <row r="54928" spans="32:32" x14ac:dyDescent="0.2">
      <c r="AF54928" s="679"/>
    </row>
    <row r="54929" spans="32:32" x14ac:dyDescent="0.2">
      <c r="AF54929" s="679"/>
    </row>
    <row r="54930" spans="32:32" x14ac:dyDescent="0.2">
      <c r="AF54930" s="679"/>
    </row>
    <row r="54931" spans="32:32" x14ac:dyDescent="0.2">
      <c r="AF54931" s="679"/>
    </row>
    <row r="54932" spans="32:32" x14ac:dyDescent="0.2">
      <c r="AF54932" s="679"/>
    </row>
    <row r="54933" spans="32:32" x14ac:dyDescent="0.2">
      <c r="AF54933" s="679"/>
    </row>
    <row r="54934" spans="32:32" x14ac:dyDescent="0.2">
      <c r="AF54934" s="679"/>
    </row>
    <row r="54935" spans="32:32" x14ac:dyDescent="0.2">
      <c r="AF54935" s="679"/>
    </row>
    <row r="54936" spans="32:32" x14ac:dyDescent="0.2">
      <c r="AF54936" s="679"/>
    </row>
    <row r="54937" spans="32:32" x14ac:dyDescent="0.2">
      <c r="AF54937" s="679"/>
    </row>
    <row r="54938" spans="32:32" x14ac:dyDescent="0.2">
      <c r="AF54938" s="679"/>
    </row>
    <row r="54939" spans="32:32" x14ac:dyDescent="0.2">
      <c r="AF54939" s="679"/>
    </row>
    <row r="54940" spans="32:32" x14ac:dyDescent="0.2">
      <c r="AF54940" s="679"/>
    </row>
    <row r="54941" spans="32:32" x14ac:dyDescent="0.2">
      <c r="AF54941" s="679"/>
    </row>
    <row r="54942" spans="32:32" x14ac:dyDescent="0.2">
      <c r="AF54942" s="679"/>
    </row>
    <row r="54943" spans="32:32" x14ac:dyDescent="0.2">
      <c r="AF54943" s="679"/>
    </row>
    <row r="54944" spans="32:32" x14ac:dyDescent="0.2">
      <c r="AF54944" s="679"/>
    </row>
    <row r="54945" spans="32:32" x14ac:dyDescent="0.2">
      <c r="AF54945" s="679"/>
    </row>
    <row r="54946" spans="32:32" x14ac:dyDescent="0.2">
      <c r="AF54946" s="679"/>
    </row>
    <row r="54947" spans="32:32" x14ac:dyDescent="0.2">
      <c r="AF54947" s="679"/>
    </row>
    <row r="54948" spans="32:32" x14ac:dyDescent="0.2">
      <c r="AF54948" s="679"/>
    </row>
    <row r="54949" spans="32:32" x14ac:dyDescent="0.2">
      <c r="AF54949" s="679"/>
    </row>
    <row r="54950" spans="32:32" x14ac:dyDescent="0.2">
      <c r="AF54950" s="679"/>
    </row>
    <row r="54951" spans="32:32" x14ac:dyDescent="0.2">
      <c r="AF54951" s="679"/>
    </row>
    <row r="54952" spans="32:32" x14ac:dyDescent="0.2">
      <c r="AF54952" s="679"/>
    </row>
    <row r="54953" spans="32:32" x14ac:dyDescent="0.2">
      <c r="AF54953" s="679"/>
    </row>
    <row r="54954" spans="32:32" x14ac:dyDescent="0.2">
      <c r="AF54954" s="679"/>
    </row>
    <row r="54955" spans="32:32" x14ac:dyDescent="0.2">
      <c r="AF54955" s="679"/>
    </row>
    <row r="54956" spans="32:32" x14ac:dyDescent="0.2">
      <c r="AF54956" s="679"/>
    </row>
    <row r="54957" spans="32:32" x14ac:dyDescent="0.2">
      <c r="AF54957" s="679"/>
    </row>
    <row r="54958" spans="32:32" x14ac:dyDescent="0.2">
      <c r="AF54958" s="679"/>
    </row>
    <row r="54959" spans="32:32" x14ac:dyDescent="0.2">
      <c r="AF54959" s="679"/>
    </row>
    <row r="54960" spans="32:32" x14ac:dyDescent="0.2">
      <c r="AF54960" s="679"/>
    </row>
    <row r="54961" spans="32:32" x14ac:dyDescent="0.2">
      <c r="AF54961" s="679"/>
    </row>
    <row r="54962" spans="32:32" x14ac:dyDescent="0.2">
      <c r="AF54962" s="679"/>
    </row>
    <row r="54963" spans="32:32" x14ac:dyDescent="0.2">
      <c r="AF54963" s="679"/>
    </row>
    <row r="54964" spans="32:32" x14ac:dyDescent="0.2">
      <c r="AF54964" s="679"/>
    </row>
    <row r="54965" spans="32:32" x14ac:dyDescent="0.2">
      <c r="AF54965" s="679"/>
    </row>
    <row r="54966" spans="32:32" x14ac:dyDescent="0.2">
      <c r="AF54966" s="679"/>
    </row>
    <row r="54967" spans="32:32" x14ac:dyDescent="0.2">
      <c r="AF54967" s="679"/>
    </row>
    <row r="54968" spans="32:32" x14ac:dyDescent="0.2">
      <c r="AF54968" s="679"/>
    </row>
    <row r="54969" spans="32:32" x14ac:dyDescent="0.2">
      <c r="AF54969" s="679"/>
    </row>
    <row r="54970" spans="32:32" x14ac:dyDescent="0.2">
      <c r="AF54970" s="679"/>
    </row>
    <row r="54971" spans="32:32" x14ac:dyDescent="0.2">
      <c r="AF54971" s="679"/>
    </row>
    <row r="54972" spans="32:32" x14ac:dyDescent="0.2">
      <c r="AF54972" s="679"/>
    </row>
    <row r="54973" spans="32:32" x14ac:dyDescent="0.2">
      <c r="AF54973" s="679"/>
    </row>
    <row r="54974" spans="32:32" x14ac:dyDescent="0.2">
      <c r="AF54974" s="679"/>
    </row>
    <row r="54975" spans="32:32" x14ac:dyDescent="0.2">
      <c r="AF54975" s="679"/>
    </row>
    <row r="54976" spans="32:32" x14ac:dyDescent="0.2">
      <c r="AF54976" s="679"/>
    </row>
    <row r="54977" spans="32:32" x14ac:dyDescent="0.2">
      <c r="AF54977" s="679"/>
    </row>
    <row r="54978" spans="32:32" x14ac:dyDescent="0.2">
      <c r="AF54978" s="679"/>
    </row>
    <row r="54979" spans="32:32" x14ac:dyDescent="0.2">
      <c r="AF54979" s="679"/>
    </row>
    <row r="54980" spans="32:32" x14ac:dyDescent="0.2">
      <c r="AF54980" s="679"/>
    </row>
    <row r="54981" spans="32:32" x14ac:dyDescent="0.2">
      <c r="AF54981" s="679"/>
    </row>
    <row r="54982" spans="32:32" x14ac:dyDescent="0.2">
      <c r="AF54982" s="679"/>
    </row>
    <row r="54983" spans="32:32" x14ac:dyDescent="0.2">
      <c r="AF54983" s="679"/>
    </row>
    <row r="54984" spans="32:32" x14ac:dyDescent="0.2">
      <c r="AF54984" s="679"/>
    </row>
    <row r="54985" spans="32:32" x14ac:dyDescent="0.2">
      <c r="AF54985" s="679"/>
    </row>
    <row r="54986" spans="32:32" x14ac:dyDescent="0.2">
      <c r="AF54986" s="679"/>
    </row>
    <row r="54987" spans="32:32" x14ac:dyDescent="0.2">
      <c r="AF54987" s="679"/>
    </row>
    <row r="54988" spans="32:32" x14ac:dyDescent="0.2">
      <c r="AF54988" s="679"/>
    </row>
    <row r="54989" spans="32:32" x14ac:dyDescent="0.2">
      <c r="AF54989" s="679"/>
    </row>
    <row r="54990" spans="32:32" x14ac:dyDescent="0.2">
      <c r="AF54990" s="679"/>
    </row>
    <row r="54991" spans="32:32" x14ac:dyDescent="0.2">
      <c r="AF54991" s="679"/>
    </row>
    <row r="54992" spans="32:32" x14ac:dyDescent="0.2">
      <c r="AF54992" s="679"/>
    </row>
    <row r="54993" spans="32:32" x14ac:dyDescent="0.2">
      <c r="AF54993" s="679"/>
    </row>
    <row r="54994" spans="32:32" x14ac:dyDescent="0.2">
      <c r="AF54994" s="679"/>
    </row>
    <row r="54995" spans="32:32" x14ac:dyDescent="0.2">
      <c r="AF54995" s="679"/>
    </row>
    <row r="54996" spans="32:32" x14ac:dyDescent="0.2">
      <c r="AF54996" s="679"/>
    </row>
    <row r="54997" spans="32:32" x14ac:dyDescent="0.2">
      <c r="AF54997" s="679"/>
    </row>
    <row r="54998" spans="32:32" x14ac:dyDescent="0.2">
      <c r="AF54998" s="679"/>
    </row>
    <row r="54999" spans="32:32" x14ac:dyDescent="0.2">
      <c r="AF54999" s="679"/>
    </row>
    <row r="55000" spans="32:32" x14ac:dyDescent="0.2">
      <c r="AF55000" s="679"/>
    </row>
    <row r="55001" spans="32:32" x14ac:dyDescent="0.2">
      <c r="AF55001" s="679"/>
    </row>
    <row r="55002" spans="32:32" x14ac:dyDescent="0.2">
      <c r="AF55002" s="679"/>
    </row>
    <row r="55003" spans="32:32" x14ac:dyDescent="0.2">
      <c r="AF55003" s="679"/>
    </row>
    <row r="55004" spans="32:32" x14ac:dyDescent="0.2">
      <c r="AF55004" s="679"/>
    </row>
    <row r="55005" spans="32:32" x14ac:dyDescent="0.2">
      <c r="AF55005" s="679"/>
    </row>
    <row r="55006" spans="32:32" x14ac:dyDescent="0.2">
      <c r="AF55006" s="679"/>
    </row>
    <row r="55007" spans="32:32" x14ac:dyDescent="0.2">
      <c r="AF55007" s="679"/>
    </row>
    <row r="55008" spans="32:32" x14ac:dyDescent="0.2">
      <c r="AF55008" s="679"/>
    </row>
    <row r="55009" spans="32:32" x14ac:dyDescent="0.2">
      <c r="AF55009" s="679"/>
    </row>
    <row r="55010" spans="32:32" x14ac:dyDescent="0.2">
      <c r="AF55010" s="679"/>
    </row>
    <row r="55011" spans="32:32" x14ac:dyDescent="0.2">
      <c r="AF55011" s="679"/>
    </row>
    <row r="55012" spans="32:32" x14ac:dyDescent="0.2">
      <c r="AF55012" s="679"/>
    </row>
    <row r="55013" spans="32:32" x14ac:dyDescent="0.2">
      <c r="AF55013" s="679"/>
    </row>
    <row r="55014" spans="32:32" x14ac:dyDescent="0.2">
      <c r="AF55014" s="679"/>
    </row>
    <row r="55015" spans="32:32" x14ac:dyDescent="0.2">
      <c r="AF55015" s="679"/>
    </row>
    <row r="55016" spans="32:32" x14ac:dyDescent="0.2">
      <c r="AF55016" s="679"/>
    </row>
    <row r="55017" spans="32:32" x14ac:dyDescent="0.2">
      <c r="AF55017" s="679"/>
    </row>
    <row r="55018" spans="32:32" x14ac:dyDescent="0.2">
      <c r="AF55018" s="679"/>
    </row>
    <row r="55019" spans="32:32" x14ac:dyDescent="0.2">
      <c r="AF55019" s="679"/>
    </row>
    <row r="55020" spans="32:32" x14ac:dyDescent="0.2">
      <c r="AF55020" s="679"/>
    </row>
    <row r="55021" spans="32:32" x14ac:dyDescent="0.2">
      <c r="AF55021" s="679"/>
    </row>
    <row r="55022" spans="32:32" x14ac:dyDescent="0.2">
      <c r="AF55022" s="679"/>
    </row>
    <row r="55023" spans="32:32" x14ac:dyDescent="0.2">
      <c r="AF55023" s="679"/>
    </row>
    <row r="55024" spans="32:32" x14ac:dyDescent="0.2">
      <c r="AF55024" s="679"/>
    </row>
    <row r="55025" spans="32:32" x14ac:dyDescent="0.2">
      <c r="AF55025" s="679"/>
    </row>
    <row r="55026" spans="32:32" x14ac:dyDescent="0.2">
      <c r="AF55026" s="679"/>
    </row>
    <row r="55027" spans="32:32" x14ac:dyDescent="0.2">
      <c r="AF55027" s="679"/>
    </row>
    <row r="55028" spans="32:32" x14ac:dyDescent="0.2">
      <c r="AF55028" s="679"/>
    </row>
    <row r="55029" spans="32:32" x14ac:dyDescent="0.2">
      <c r="AF55029" s="679"/>
    </row>
    <row r="55030" spans="32:32" x14ac:dyDescent="0.2">
      <c r="AF55030" s="679"/>
    </row>
    <row r="55031" spans="32:32" x14ac:dyDescent="0.2">
      <c r="AF55031" s="679"/>
    </row>
    <row r="55032" spans="32:32" x14ac:dyDescent="0.2">
      <c r="AF55032" s="679"/>
    </row>
    <row r="55033" spans="32:32" x14ac:dyDescent="0.2">
      <c r="AF55033" s="679"/>
    </row>
    <row r="55034" spans="32:32" x14ac:dyDescent="0.2">
      <c r="AF55034" s="679"/>
    </row>
    <row r="55035" spans="32:32" x14ac:dyDescent="0.2">
      <c r="AF55035" s="679"/>
    </row>
    <row r="55036" spans="32:32" x14ac:dyDescent="0.2">
      <c r="AF55036" s="679"/>
    </row>
    <row r="55037" spans="32:32" x14ac:dyDescent="0.2">
      <c r="AF55037" s="679"/>
    </row>
    <row r="55038" spans="32:32" x14ac:dyDescent="0.2">
      <c r="AF55038" s="679"/>
    </row>
    <row r="55039" spans="32:32" x14ac:dyDescent="0.2">
      <c r="AF55039" s="679"/>
    </row>
    <row r="55040" spans="32:32" x14ac:dyDescent="0.2">
      <c r="AF55040" s="679"/>
    </row>
    <row r="55041" spans="32:32" x14ac:dyDescent="0.2">
      <c r="AF55041" s="679"/>
    </row>
    <row r="55042" spans="32:32" x14ac:dyDescent="0.2">
      <c r="AF55042" s="679"/>
    </row>
    <row r="55043" spans="32:32" x14ac:dyDescent="0.2">
      <c r="AF55043" s="679"/>
    </row>
    <row r="55044" spans="32:32" x14ac:dyDescent="0.2">
      <c r="AF55044" s="679"/>
    </row>
    <row r="55045" spans="32:32" x14ac:dyDescent="0.2">
      <c r="AF55045" s="679"/>
    </row>
    <row r="55046" spans="32:32" x14ac:dyDescent="0.2">
      <c r="AF55046" s="679"/>
    </row>
    <row r="55047" spans="32:32" x14ac:dyDescent="0.2">
      <c r="AF55047" s="679"/>
    </row>
    <row r="55048" spans="32:32" x14ac:dyDescent="0.2">
      <c r="AF55048" s="679"/>
    </row>
    <row r="55049" spans="32:32" x14ac:dyDescent="0.2">
      <c r="AF55049" s="679"/>
    </row>
    <row r="55050" spans="32:32" x14ac:dyDescent="0.2">
      <c r="AF55050" s="679"/>
    </row>
    <row r="55051" spans="32:32" x14ac:dyDescent="0.2">
      <c r="AF55051" s="679"/>
    </row>
    <row r="55052" spans="32:32" x14ac:dyDescent="0.2">
      <c r="AF55052" s="679"/>
    </row>
    <row r="55053" spans="32:32" x14ac:dyDescent="0.2">
      <c r="AF55053" s="679"/>
    </row>
    <row r="55054" spans="32:32" x14ac:dyDescent="0.2">
      <c r="AF55054" s="679"/>
    </row>
    <row r="55055" spans="32:32" x14ac:dyDescent="0.2">
      <c r="AF55055" s="679"/>
    </row>
    <row r="55056" spans="32:32" x14ac:dyDescent="0.2">
      <c r="AF55056" s="679"/>
    </row>
    <row r="55057" spans="32:32" x14ac:dyDescent="0.2">
      <c r="AF55057" s="679"/>
    </row>
    <row r="55058" spans="32:32" x14ac:dyDescent="0.2">
      <c r="AF55058" s="679"/>
    </row>
    <row r="55059" spans="32:32" x14ac:dyDescent="0.2">
      <c r="AF55059" s="679"/>
    </row>
    <row r="55060" spans="32:32" x14ac:dyDescent="0.2">
      <c r="AF55060" s="679"/>
    </row>
    <row r="55061" spans="32:32" x14ac:dyDescent="0.2">
      <c r="AF55061" s="679"/>
    </row>
    <row r="55062" spans="32:32" x14ac:dyDescent="0.2">
      <c r="AF55062" s="679"/>
    </row>
    <row r="55063" spans="32:32" x14ac:dyDescent="0.2">
      <c r="AF55063" s="679"/>
    </row>
    <row r="55064" spans="32:32" x14ac:dyDescent="0.2">
      <c r="AF55064" s="679"/>
    </row>
    <row r="55065" spans="32:32" x14ac:dyDescent="0.2">
      <c r="AF55065" s="679"/>
    </row>
    <row r="55066" spans="32:32" x14ac:dyDescent="0.2">
      <c r="AF55066" s="679"/>
    </row>
    <row r="55067" spans="32:32" x14ac:dyDescent="0.2">
      <c r="AF55067" s="679"/>
    </row>
    <row r="55068" spans="32:32" x14ac:dyDescent="0.2">
      <c r="AF55068" s="679"/>
    </row>
    <row r="55069" spans="32:32" x14ac:dyDescent="0.2">
      <c r="AF55069" s="679"/>
    </row>
    <row r="55070" spans="32:32" x14ac:dyDescent="0.2">
      <c r="AF55070" s="679"/>
    </row>
    <row r="55071" spans="32:32" x14ac:dyDescent="0.2">
      <c r="AF55071" s="679"/>
    </row>
    <row r="55072" spans="32:32" x14ac:dyDescent="0.2">
      <c r="AF55072" s="679"/>
    </row>
    <row r="55073" spans="32:32" x14ac:dyDescent="0.2">
      <c r="AF55073" s="679"/>
    </row>
    <row r="55074" spans="32:32" x14ac:dyDescent="0.2">
      <c r="AF55074" s="679"/>
    </row>
    <row r="55075" spans="32:32" x14ac:dyDescent="0.2">
      <c r="AF55075" s="679"/>
    </row>
    <row r="55076" spans="32:32" x14ac:dyDescent="0.2">
      <c r="AF55076" s="679"/>
    </row>
    <row r="55077" spans="32:32" x14ac:dyDescent="0.2">
      <c r="AF55077" s="679"/>
    </row>
    <row r="55078" spans="32:32" x14ac:dyDescent="0.2">
      <c r="AF55078" s="679"/>
    </row>
    <row r="55079" spans="32:32" x14ac:dyDescent="0.2">
      <c r="AF55079" s="679"/>
    </row>
    <row r="55080" spans="32:32" x14ac:dyDescent="0.2">
      <c r="AF55080" s="679"/>
    </row>
    <row r="55081" spans="32:32" x14ac:dyDescent="0.2">
      <c r="AF55081" s="679"/>
    </row>
    <row r="55082" spans="32:32" x14ac:dyDescent="0.2">
      <c r="AF55082" s="679"/>
    </row>
    <row r="55083" spans="32:32" x14ac:dyDescent="0.2">
      <c r="AF55083" s="679"/>
    </row>
    <row r="55084" spans="32:32" x14ac:dyDescent="0.2">
      <c r="AF55084" s="679"/>
    </row>
    <row r="55085" spans="32:32" x14ac:dyDescent="0.2">
      <c r="AF55085" s="679"/>
    </row>
    <row r="55086" spans="32:32" x14ac:dyDescent="0.2">
      <c r="AF55086" s="679"/>
    </row>
    <row r="55087" spans="32:32" x14ac:dyDescent="0.2">
      <c r="AF55087" s="679"/>
    </row>
    <row r="55088" spans="32:32" x14ac:dyDescent="0.2">
      <c r="AF55088" s="679"/>
    </row>
    <row r="55089" spans="32:32" x14ac:dyDescent="0.2">
      <c r="AF55089" s="679"/>
    </row>
    <row r="55090" spans="32:32" x14ac:dyDescent="0.2">
      <c r="AF55090" s="679"/>
    </row>
    <row r="55091" spans="32:32" x14ac:dyDescent="0.2">
      <c r="AF55091" s="679"/>
    </row>
    <row r="55092" spans="32:32" x14ac:dyDescent="0.2">
      <c r="AF55092" s="679"/>
    </row>
    <row r="55093" spans="32:32" x14ac:dyDescent="0.2">
      <c r="AF55093" s="679"/>
    </row>
    <row r="55094" spans="32:32" x14ac:dyDescent="0.2">
      <c r="AF55094" s="679"/>
    </row>
    <row r="55095" spans="32:32" x14ac:dyDescent="0.2">
      <c r="AF55095" s="679"/>
    </row>
    <row r="55096" spans="32:32" x14ac:dyDescent="0.2">
      <c r="AF55096" s="679"/>
    </row>
    <row r="55097" spans="32:32" x14ac:dyDescent="0.2">
      <c r="AF55097" s="679"/>
    </row>
    <row r="55098" spans="32:32" x14ac:dyDescent="0.2">
      <c r="AF55098" s="679"/>
    </row>
    <row r="55099" spans="32:32" x14ac:dyDescent="0.2">
      <c r="AF55099" s="679"/>
    </row>
    <row r="55100" spans="32:32" x14ac:dyDescent="0.2">
      <c r="AF55100" s="679"/>
    </row>
    <row r="55101" spans="32:32" x14ac:dyDescent="0.2">
      <c r="AF55101" s="679"/>
    </row>
    <row r="55102" spans="32:32" x14ac:dyDescent="0.2">
      <c r="AF55102" s="679"/>
    </row>
    <row r="55103" spans="32:32" x14ac:dyDescent="0.2">
      <c r="AF55103" s="679"/>
    </row>
    <row r="55104" spans="32:32" x14ac:dyDescent="0.2">
      <c r="AF55104" s="679"/>
    </row>
    <row r="55105" spans="32:32" x14ac:dyDescent="0.2">
      <c r="AF55105" s="679"/>
    </row>
    <row r="55106" spans="32:32" x14ac:dyDescent="0.2">
      <c r="AF55106" s="679"/>
    </row>
    <row r="55107" spans="32:32" x14ac:dyDescent="0.2">
      <c r="AF55107" s="679"/>
    </row>
    <row r="55108" spans="32:32" x14ac:dyDescent="0.2">
      <c r="AF55108" s="679"/>
    </row>
    <row r="55109" spans="32:32" x14ac:dyDescent="0.2">
      <c r="AF55109" s="679"/>
    </row>
    <row r="55110" spans="32:32" x14ac:dyDescent="0.2">
      <c r="AF55110" s="679"/>
    </row>
    <row r="55111" spans="32:32" x14ac:dyDescent="0.2">
      <c r="AF55111" s="679"/>
    </row>
    <row r="55112" spans="32:32" x14ac:dyDescent="0.2">
      <c r="AF55112" s="679"/>
    </row>
    <row r="55113" spans="32:32" x14ac:dyDescent="0.2">
      <c r="AF55113" s="679"/>
    </row>
    <row r="55114" spans="32:32" x14ac:dyDescent="0.2">
      <c r="AF55114" s="679"/>
    </row>
    <row r="55115" spans="32:32" x14ac:dyDescent="0.2">
      <c r="AF55115" s="679"/>
    </row>
    <row r="55116" spans="32:32" x14ac:dyDescent="0.2">
      <c r="AF55116" s="679"/>
    </row>
    <row r="55117" spans="32:32" x14ac:dyDescent="0.2">
      <c r="AF55117" s="679"/>
    </row>
    <row r="55118" spans="32:32" x14ac:dyDescent="0.2">
      <c r="AF55118" s="679"/>
    </row>
    <row r="55119" spans="32:32" x14ac:dyDescent="0.2">
      <c r="AF55119" s="679"/>
    </row>
    <row r="55120" spans="32:32" x14ac:dyDescent="0.2">
      <c r="AF55120" s="679"/>
    </row>
    <row r="55121" spans="32:32" x14ac:dyDescent="0.2">
      <c r="AF55121" s="679"/>
    </row>
    <row r="55122" spans="32:32" x14ac:dyDescent="0.2">
      <c r="AF55122" s="679"/>
    </row>
    <row r="55123" spans="32:32" x14ac:dyDescent="0.2">
      <c r="AF55123" s="679"/>
    </row>
    <row r="55124" spans="32:32" x14ac:dyDescent="0.2">
      <c r="AF55124" s="679"/>
    </row>
    <row r="55125" spans="32:32" x14ac:dyDescent="0.2">
      <c r="AF55125" s="679"/>
    </row>
    <row r="55126" spans="32:32" x14ac:dyDescent="0.2">
      <c r="AF55126" s="679"/>
    </row>
    <row r="55127" spans="32:32" x14ac:dyDescent="0.2">
      <c r="AF55127" s="679"/>
    </row>
    <row r="55128" spans="32:32" x14ac:dyDescent="0.2">
      <c r="AF55128" s="679"/>
    </row>
    <row r="55129" spans="32:32" x14ac:dyDescent="0.2">
      <c r="AF55129" s="679"/>
    </row>
    <row r="55130" spans="32:32" x14ac:dyDescent="0.2">
      <c r="AF55130" s="679"/>
    </row>
    <row r="55131" spans="32:32" x14ac:dyDescent="0.2">
      <c r="AF55131" s="679"/>
    </row>
    <row r="55132" spans="32:32" x14ac:dyDescent="0.2">
      <c r="AF55132" s="679"/>
    </row>
    <row r="55133" spans="32:32" x14ac:dyDescent="0.2">
      <c r="AF55133" s="679"/>
    </row>
    <row r="55134" spans="32:32" x14ac:dyDescent="0.2">
      <c r="AF55134" s="679"/>
    </row>
    <row r="55135" spans="32:32" x14ac:dyDescent="0.2">
      <c r="AF55135" s="679"/>
    </row>
    <row r="55136" spans="32:32" x14ac:dyDescent="0.2">
      <c r="AF55136" s="679"/>
    </row>
    <row r="55137" spans="32:32" x14ac:dyDescent="0.2">
      <c r="AF55137" s="679"/>
    </row>
    <row r="55138" spans="32:32" x14ac:dyDescent="0.2">
      <c r="AF55138" s="679"/>
    </row>
    <row r="55139" spans="32:32" x14ac:dyDescent="0.2">
      <c r="AF55139" s="679"/>
    </row>
    <row r="55140" spans="32:32" x14ac:dyDescent="0.2">
      <c r="AF55140" s="679"/>
    </row>
    <row r="55141" spans="32:32" x14ac:dyDescent="0.2">
      <c r="AF55141" s="679"/>
    </row>
    <row r="55142" spans="32:32" x14ac:dyDescent="0.2">
      <c r="AF55142" s="679"/>
    </row>
    <row r="55143" spans="32:32" x14ac:dyDescent="0.2">
      <c r="AF55143" s="679"/>
    </row>
    <row r="55144" spans="32:32" x14ac:dyDescent="0.2">
      <c r="AF55144" s="679"/>
    </row>
    <row r="55145" spans="32:32" x14ac:dyDescent="0.2">
      <c r="AF55145" s="679"/>
    </row>
    <row r="55146" spans="32:32" x14ac:dyDescent="0.2">
      <c r="AF55146" s="679"/>
    </row>
    <row r="55147" spans="32:32" x14ac:dyDescent="0.2">
      <c r="AF55147" s="679"/>
    </row>
    <row r="55148" spans="32:32" x14ac:dyDescent="0.2">
      <c r="AF55148" s="679"/>
    </row>
    <row r="55149" spans="32:32" x14ac:dyDescent="0.2">
      <c r="AF55149" s="679"/>
    </row>
    <row r="55150" spans="32:32" x14ac:dyDescent="0.2">
      <c r="AF55150" s="679"/>
    </row>
    <row r="55151" spans="32:32" x14ac:dyDescent="0.2">
      <c r="AF55151" s="679"/>
    </row>
    <row r="55152" spans="32:32" x14ac:dyDescent="0.2">
      <c r="AF55152" s="679"/>
    </row>
    <row r="55153" spans="32:32" x14ac:dyDescent="0.2">
      <c r="AF55153" s="679"/>
    </row>
    <row r="55154" spans="32:32" x14ac:dyDescent="0.2">
      <c r="AF55154" s="679"/>
    </row>
    <row r="55155" spans="32:32" x14ac:dyDescent="0.2">
      <c r="AF55155" s="679"/>
    </row>
    <row r="55156" spans="32:32" x14ac:dyDescent="0.2">
      <c r="AF55156" s="679"/>
    </row>
    <row r="55157" spans="32:32" x14ac:dyDescent="0.2">
      <c r="AF55157" s="679"/>
    </row>
    <row r="55158" spans="32:32" x14ac:dyDescent="0.2">
      <c r="AF55158" s="679"/>
    </row>
    <row r="55159" spans="32:32" x14ac:dyDescent="0.2">
      <c r="AF55159" s="679"/>
    </row>
    <row r="55160" spans="32:32" x14ac:dyDescent="0.2">
      <c r="AF55160" s="679"/>
    </row>
    <row r="55161" spans="32:32" x14ac:dyDescent="0.2">
      <c r="AF55161" s="679"/>
    </row>
    <row r="55162" spans="32:32" x14ac:dyDescent="0.2">
      <c r="AF55162" s="679"/>
    </row>
    <row r="55163" spans="32:32" x14ac:dyDescent="0.2">
      <c r="AF55163" s="679"/>
    </row>
    <row r="55164" spans="32:32" x14ac:dyDescent="0.2">
      <c r="AF55164" s="679"/>
    </row>
    <row r="55165" spans="32:32" x14ac:dyDescent="0.2">
      <c r="AF55165" s="679"/>
    </row>
    <row r="55166" spans="32:32" x14ac:dyDescent="0.2">
      <c r="AF55166" s="679"/>
    </row>
    <row r="55167" spans="32:32" x14ac:dyDescent="0.2">
      <c r="AF55167" s="679"/>
    </row>
    <row r="55168" spans="32:32" x14ac:dyDescent="0.2">
      <c r="AF55168" s="679"/>
    </row>
    <row r="55169" spans="32:32" x14ac:dyDescent="0.2">
      <c r="AF55169" s="679"/>
    </row>
    <row r="55170" spans="32:32" x14ac:dyDescent="0.2">
      <c r="AF55170" s="679"/>
    </row>
    <row r="55171" spans="32:32" x14ac:dyDescent="0.2">
      <c r="AF55171" s="679"/>
    </row>
    <row r="55172" spans="32:32" x14ac:dyDescent="0.2">
      <c r="AF55172" s="679"/>
    </row>
    <row r="55173" spans="32:32" x14ac:dyDescent="0.2">
      <c r="AF55173" s="679"/>
    </row>
    <row r="55174" spans="32:32" x14ac:dyDescent="0.2">
      <c r="AF55174" s="679"/>
    </row>
    <row r="55175" spans="32:32" x14ac:dyDescent="0.2">
      <c r="AF55175" s="679"/>
    </row>
    <row r="55176" spans="32:32" x14ac:dyDescent="0.2">
      <c r="AF55176" s="679"/>
    </row>
    <row r="55177" spans="32:32" x14ac:dyDescent="0.2">
      <c r="AF55177" s="679"/>
    </row>
    <row r="55178" spans="32:32" x14ac:dyDescent="0.2">
      <c r="AF55178" s="679"/>
    </row>
    <row r="55179" spans="32:32" x14ac:dyDescent="0.2">
      <c r="AF55179" s="679"/>
    </row>
    <row r="55180" spans="32:32" x14ac:dyDescent="0.2">
      <c r="AF55180" s="679"/>
    </row>
    <row r="55181" spans="32:32" x14ac:dyDescent="0.2">
      <c r="AF55181" s="679"/>
    </row>
    <row r="55182" spans="32:32" x14ac:dyDescent="0.2">
      <c r="AF55182" s="679"/>
    </row>
    <row r="55183" spans="32:32" x14ac:dyDescent="0.2">
      <c r="AF55183" s="679"/>
    </row>
    <row r="55184" spans="32:32" x14ac:dyDescent="0.2">
      <c r="AF55184" s="679"/>
    </row>
    <row r="55185" spans="32:32" x14ac:dyDescent="0.2">
      <c r="AF55185" s="679"/>
    </row>
    <row r="55186" spans="32:32" x14ac:dyDescent="0.2">
      <c r="AF55186" s="679"/>
    </row>
    <row r="55187" spans="32:32" x14ac:dyDescent="0.2">
      <c r="AF55187" s="679"/>
    </row>
    <row r="55188" spans="32:32" x14ac:dyDescent="0.2">
      <c r="AF55188" s="679"/>
    </row>
    <row r="55189" spans="32:32" x14ac:dyDescent="0.2">
      <c r="AF55189" s="679"/>
    </row>
    <row r="55190" spans="32:32" x14ac:dyDescent="0.2">
      <c r="AF55190" s="679"/>
    </row>
    <row r="55191" spans="32:32" x14ac:dyDescent="0.2">
      <c r="AF55191" s="679"/>
    </row>
    <row r="55192" spans="32:32" x14ac:dyDescent="0.2">
      <c r="AF55192" s="679"/>
    </row>
    <row r="55193" spans="32:32" x14ac:dyDescent="0.2">
      <c r="AF55193" s="679"/>
    </row>
    <row r="55194" spans="32:32" x14ac:dyDescent="0.2">
      <c r="AF55194" s="679"/>
    </row>
    <row r="55195" spans="32:32" x14ac:dyDescent="0.2">
      <c r="AF55195" s="679"/>
    </row>
    <row r="55196" spans="32:32" x14ac:dyDescent="0.2">
      <c r="AF55196" s="679"/>
    </row>
    <row r="55197" spans="32:32" x14ac:dyDescent="0.2">
      <c r="AF55197" s="679"/>
    </row>
    <row r="55198" spans="32:32" x14ac:dyDescent="0.2">
      <c r="AF55198" s="679"/>
    </row>
    <row r="55199" spans="32:32" x14ac:dyDescent="0.2">
      <c r="AF55199" s="679"/>
    </row>
    <row r="55200" spans="32:32" x14ac:dyDescent="0.2">
      <c r="AF55200" s="679"/>
    </row>
    <row r="55201" spans="32:32" x14ac:dyDescent="0.2">
      <c r="AF55201" s="679"/>
    </row>
    <row r="55202" spans="32:32" x14ac:dyDescent="0.2">
      <c r="AF55202" s="679"/>
    </row>
    <row r="55203" spans="32:32" x14ac:dyDescent="0.2">
      <c r="AF55203" s="679"/>
    </row>
    <row r="55204" spans="32:32" x14ac:dyDescent="0.2">
      <c r="AF55204" s="679"/>
    </row>
    <row r="55205" spans="32:32" x14ac:dyDescent="0.2">
      <c r="AF55205" s="679"/>
    </row>
    <row r="55206" spans="32:32" x14ac:dyDescent="0.2">
      <c r="AF55206" s="679"/>
    </row>
    <row r="55207" spans="32:32" x14ac:dyDescent="0.2">
      <c r="AF55207" s="679"/>
    </row>
    <row r="55208" spans="32:32" x14ac:dyDescent="0.2">
      <c r="AF55208" s="679"/>
    </row>
    <row r="55209" spans="32:32" x14ac:dyDescent="0.2">
      <c r="AF55209" s="679"/>
    </row>
    <row r="55210" spans="32:32" x14ac:dyDescent="0.2">
      <c r="AF55210" s="679"/>
    </row>
    <row r="55211" spans="32:32" x14ac:dyDescent="0.2">
      <c r="AF55211" s="679"/>
    </row>
    <row r="55212" spans="32:32" x14ac:dyDescent="0.2">
      <c r="AF55212" s="679"/>
    </row>
    <row r="55213" spans="32:32" x14ac:dyDescent="0.2">
      <c r="AF55213" s="679"/>
    </row>
    <row r="55214" spans="32:32" x14ac:dyDescent="0.2">
      <c r="AF55214" s="679"/>
    </row>
    <row r="55215" spans="32:32" x14ac:dyDescent="0.2">
      <c r="AF55215" s="679"/>
    </row>
    <row r="55216" spans="32:32" x14ac:dyDescent="0.2">
      <c r="AF55216" s="679"/>
    </row>
    <row r="55217" spans="32:32" x14ac:dyDescent="0.2">
      <c r="AF55217" s="679"/>
    </row>
    <row r="55218" spans="32:32" x14ac:dyDescent="0.2">
      <c r="AF55218" s="679"/>
    </row>
    <row r="55219" spans="32:32" x14ac:dyDescent="0.2">
      <c r="AF55219" s="679"/>
    </row>
    <row r="55220" spans="32:32" x14ac:dyDescent="0.2">
      <c r="AF55220" s="679"/>
    </row>
    <row r="55221" spans="32:32" x14ac:dyDescent="0.2">
      <c r="AF55221" s="679"/>
    </row>
    <row r="55222" spans="32:32" x14ac:dyDescent="0.2">
      <c r="AF55222" s="679"/>
    </row>
    <row r="55223" spans="32:32" x14ac:dyDescent="0.2">
      <c r="AF55223" s="679"/>
    </row>
    <row r="55224" spans="32:32" x14ac:dyDescent="0.2">
      <c r="AF55224" s="679"/>
    </row>
    <row r="55225" spans="32:32" x14ac:dyDescent="0.2">
      <c r="AF55225" s="679"/>
    </row>
    <row r="55226" spans="32:32" x14ac:dyDescent="0.2">
      <c r="AF55226" s="679"/>
    </row>
    <row r="55227" spans="32:32" x14ac:dyDescent="0.2">
      <c r="AF55227" s="679"/>
    </row>
    <row r="55228" spans="32:32" x14ac:dyDescent="0.2">
      <c r="AF55228" s="679"/>
    </row>
    <row r="55229" spans="32:32" x14ac:dyDescent="0.2">
      <c r="AF55229" s="679"/>
    </row>
    <row r="55230" spans="32:32" x14ac:dyDescent="0.2">
      <c r="AF55230" s="679"/>
    </row>
    <row r="55231" spans="32:32" x14ac:dyDescent="0.2">
      <c r="AF55231" s="679"/>
    </row>
    <row r="55232" spans="32:32" x14ac:dyDescent="0.2">
      <c r="AF55232" s="679"/>
    </row>
    <row r="55233" spans="32:32" x14ac:dyDescent="0.2">
      <c r="AF55233" s="679"/>
    </row>
    <row r="55234" spans="32:32" x14ac:dyDescent="0.2">
      <c r="AF55234" s="679"/>
    </row>
    <row r="55235" spans="32:32" x14ac:dyDescent="0.2">
      <c r="AF55235" s="679"/>
    </row>
    <row r="55236" spans="32:32" x14ac:dyDescent="0.2">
      <c r="AF55236" s="679"/>
    </row>
    <row r="55237" spans="32:32" x14ac:dyDescent="0.2">
      <c r="AF55237" s="679"/>
    </row>
    <row r="55238" spans="32:32" x14ac:dyDescent="0.2">
      <c r="AF55238" s="679"/>
    </row>
    <row r="55239" spans="32:32" x14ac:dyDescent="0.2">
      <c r="AF55239" s="679"/>
    </row>
    <row r="55240" spans="32:32" x14ac:dyDescent="0.2">
      <c r="AF55240" s="679"/>
    </row>
    <row r="55241" spans="32:32" x14ac:dyDescent="0.2">
      <c r="AF55241" s="679"/>
    </row>
    <row r="55242" spans="32:32" x14ac:dyDescent="0.2">
      <c r="AF55242" s="679"/>
    </row>
    <row r="55243" spans="32:32" x14ac:dyDescent="0.2">
      <c r="AF55243" s="679"/>
    </row>
    <row r="55244" spans="32:32" x14ac:dyDescent="0.2">
      <c r="AF55244" s="679"/>
    </row>
    <row r="55245" spans="32:32" x14ac:dyDescent="0.2">
      <c r="AF55245" s="679"/>
    </row>
    <row r="55246" spans="32:32" x14ac:dyDescent="0.2">
      <c r="AF55246" s="679"/>
    </row>
    <row r="55247" spans="32:32" x14ac:dyDescent="0.2">
      <c r="AF55247" s="679"/>
    </row>
    <row r="55248" spans="32:32" x14ac:dyDescent="0.2">
      <c r="AF55248" s="679"/>
    </row>
    <row r="55249" spans="32:32" x14ac:dyDescent="0.2">
      <c r="AF55249" s="679"/>
    </row>
    <row r="55250" spans="32:32" x14ac:dyDescent="0.2">
      <c r="AF55250" s="679"/>
    </row>
    <row r="55251" spans="32:32" x14ac:dyDescent="0.2">
      <c r="AF55251" s="679"/>
    </row>
    <row r="55252" spans="32:32" x14ac:dyDescent="0.2">
      <c r="AF55252" s="679"/>
    </row>
    <row r="55253" spans="32:32" x14ac:dyDescent="0.2">
      <c r="AF55253" s="679"/>
    </row>
    <row r="55254" spans="32:32" x14ac:dyDescent="0.2">
      <c r="AF55254" s="679"/>
    </row>
    <row r="55255" spans="32:32" x14ac:dyDescent="0.2">
      <c r="AF55255" s="679"/>
    </row>
    <row r="55256" spans="32:32" x14ac:dyDescent="0.2">
      <c r="AF55256" s="679"/>
    </row>
    <row r="55257" spans="32:32" x14ac:dyDescent="0.2">
      <c r="AF55257" s="679"/>
    </row>
    <row r="55258" spans="32:32" x14ac:dyDescent="0.2">
      <c r="AF55258" s="679"/>
    </row>
    <row r="55259" spans="32:32" x14ac:dyDescent="0.2">
      <c r="AF55259" s="679"/>
    </row>
    <row r="55260" spans="32:32" x14ac:dyDescent="0.2">
      <c r="AF55260" s="679"/>
    </row>
    <row r="55261" spans="32:32" x14ac:dyDescent="0.2">
      <c r="AF55261" s="679"/>
    </row>
    <row r="55262" spans="32:32" x14ac:dyDescent="0.2">
      <c r="AF55262" s="679"/>
    </row>
    <row r="55263" spans="32:32" x14ac:dyDescent="0.2">
      <c r="AF55263" s="679"/>
    </row>
    <row r="55264" spans="32:32" x14ac:dyDescent="0.2">
      <c r="AF55264" s="679"/>
    </row>
    <row r="55265" spans="32:32" x14ac:dyDescent="0.2">
      <c r="AF55265" s="679"/>
    </row>
    <row r="55266" spans="32:32" x14ac:dyDescent="0.2">
      <c r="AF55266" s="679"/>
    </row>
    <row r="55267" spans="32:32" x14ac:dyDescent="0.2">
      <c r="AF55267" s="679"/>
    </row>
    <row r="55268" spans="32:32" x14ac:dyDescent="0.2">
      <c r="AF55268" s="679"/>
    </row>
    <row r="55269" spans="32:32" x14ac:dyDescent="0.2">
      <c r="AF55269" s="679"/>
    </row>
    <row r="55270" spans="32:32" x14ac:dyDescent="0.2">
      <c r="AF55270" s="679"/>
    </row>
    <row r="55271" spans="32:32" x14ac:dyDescent="0.2">
      <c r="AF55271" s="679"/>
    </row>
    <row r="55272" spans="32:32" x14ac:dyDescent="0.2">
      <c r="AF55272" s="679"/>
    </row>
    <row r="55273" spans="32:32" x14ac:dyDescent="0.2">
      <c r="AF55273" s="679"/>
    </row>
    <row r="55274" spans="32:32" x14ac:dyDescent="0.2">
      <c r="AF55274" s="679"/>
    </row>
    <row r="55275" spans="32:32" x14ac:dyDescent="0.2">
      <c r="AF55275" s="679"/>
    </row>
    <row r="55276" spans="32:32" x14ac:dyDescent="0.2">
      <c r="AF55276" s="679"/>
    </row>
    <row r="55277" spans="32:32" x14ac:dyDescent="0.2">
      <c r="AF55277" s="679"/>
    </row>
    <row r="55278" spans="32:32" x14ac:dyDescent="0.2">
      <c r="AF55278" s="679"/>
    </row>
    <row r="55279" spans="32:32" x14ac:dyDescent="0.2">
      <c r="AF55279" s="679"/>
    </row>
    <row r="55280" spans="32:32" x14ac:dyDescent="0.2">
      <c r="AF55280" s="679"/>
    </row>
    <row r="55281" spans="32:32" x14ac:dyDescent="0.2">
      <c r="AF55281" s="679"/>
    </row>
    <row r="55282" spans="32:32" x14ac:dyDescent="0.2">
      <c r="AF55282" s="679"/>
    </row>
    <row r="55283" spans="32:32" x14ac:dyDescent="0.2">
      <c r="AF55283" s="679"/>
    </row>
    <row r="55284" spans="32:32" x14ac:dyDescent="0.2">
      <c r="AF55284" s="679"/>
    </row>
    <row r="55285" spans="32:32" x14ac:dyDescent="0.2">
      <c r="AF55285" s="679"/>
    </row>
    <row r="55286" spans="32:32" x14ac:dyDescent="0.2">
      <c r="AF55286" s="679"/>
    </row>
    <row r="55287" spans="32:32" x14ac:dyDescent="0.2">
      <c r="AF55287" s="679"/>
    </row>
    <row r="55288" spans="32:32" x14ac:dyDescent="0.2">
      <c r="AF55288" s="679"/>
    </row>
    <row r="55289" spans="32:32" x14ac:dyDescent="0.2">
      <c r="AF55289" s="679"/>
    </row>
    <row r="55290" spans="32:32" x14ac:dyDescent="0.2">
      <c r="AF55290" s="679"/>
    </row>
    <row r="55291" spans="32:32" x14ac:dyDescent="0.2">
      <c r="AF55291" s="679"/>
    </row>
    <row r="55292" spans="32:32" x14ac:dyDescent="0.2">
      <c r="AF55292" s="679"/>
    </row>
    <row r="55293" spans="32:32" x14ac:dyDescent="0.2">
      <c r="AF55293" s="679"/>
    </row>
    <row r="55294" spans="32:32" x14ac:dyDescent="0.2">
      <c r="AF55294" s="679"/>
    </row>
    <row r="55295" spans="32:32" x14ac:dyDescent="0.2">
      <c r="AF55295" s="679"/>
    </row>
    <row r="55296" spans="32:32" x14ac:dyDescent="0.2">
      <c r="AF55296" s="679"/>
    </row>
    <row r="55297" spans="32:32" x14ac:dyDescent="0.2">
      <c r="AF55297" s="679"/>
    </row>
    <row r="55298" spans="32:32" x14ac:dyDescent="0.2">
      <c r="AF55298" s="679"/>
    </row>
    <row r="55299" spans="32:32" x14ac:dyDescent="0.2">
      <c r="AF55299" s="679"/>
    </row>
    <row r="55300" spans="32:32" x14ac:dyDescent="0.2">
      <c r="AF55300" s="679"/>
    </row>
    <row r="55301" spans="32:32" x14ac:dyDescent="0.2">
      <c r="AF55301" s="679"/>
    </row>
    <row r="55302" spans="32:32" x14ac:dyDescent="0.2">
      <c r="AF55302" s="679"/>
    </row>
    <row r="55303" spans="32:32" x14ac:dyDescent="0.2">
      <c r="AF55303" s="679"/>
    </row>
    <row r="55304" spans="32:32" x14ac:dyDescent="0.2">
      <c r="AF55304" s="679"/>
    </row>
    <row r="55305" spans="32:32" x14ac:dyDescent="0.2">
      <c r="AF55305" s="679"/>
    </row>
    <row r="55306" spans="32:32" x14ac:dyDescent="0.2">
      <c r="AF55306" s="679"/>
    </row>
    <row r="55307" spans="32:32" x14ac:dyDescent="0.2">
      <c r="AF55307" s="679"/>
    </row>
    <row r="55308" spans="32:32" x14ac:dyDescent="0.2">
      <c r="AF55308" s="679"/>
    </row>
    <row r="55309" spans="32:32" x14ac:dyDescent="0.2">
      <c r="AF55309" s="679"/>
    </row>
    <row r="55310" spans="32:32" x14ac:dyDescent="0.2">
      <c r="AF55310" s="679"/>
    </row>
    <row r="55311" spans="32:32" x14ac:dyDescent="0.2">
      <c r="AF55311" s="679"/>
    </row>
    <row r="55312" spans="32:32" x14ac:dyDescent="0.2">
      <c r="AF55312" s="679"/>
    </row>
    <row r="55313" spans="32:32" x14ac:dyDescent="0.2">
      <c r="AF55313" s="679"/>
    </row>
    <row r="55314" spans="32:32" x14ac:dyDescent="0.2">
      <c r="AF55314" s="679"/>
    </row>
    <row r="55315" spans="32:32" x14ac:dyDescent="0.2">
      <c r="AF55315" s="679"/>
    </row>
    <row r="55316" spans="32:32" x14ac:dyDescent="0.2">
      <c r="AF55316" s="679"/>
    </row>
    <row r="55317" spans="32:32" x14ac:dyDescent="0.2">
      <c r="AF55317" s="679"/>
    </row>
    <row r="55318" spans="32:32" x14ac:dyDescent="0.2">
      <c r="AF55318" s="679"/>
    </row>
    <row r="55319" spans="32:32" x14ac:dyDescent="0.2">
      <c r="AF55319" s="679"/>
    </row>
    <row r="55320" spans="32:32" x14ac:dyDescent="0.2">
      <c r="AF55320" s="679"/>
    </row>
    <row r="55321" spans="32:32" x14ac:dyDescent="0.2">
      <c r="AF55321" s="679"/>
    </row>
    <row r="55322" spans="32:32" x14ac:dyDescent="0.2">
      <c r="AF55322" s="679"/>
    </row>
    <row r="55323" spans="32:32" x14ac:dyDescent="0.2">
      <c r="AF55323" s="679"/>
    </row>
    <row r="55324" spans="32:32" x14ac:dyDescent="0.2">
      <c r="AF55324" s="679"/>
    </row>
    <row r="55325" spans="32:32" x14ac:dyDescent="0.2">
      <c r="AF55325" s="679"/>
    </row>
    <row r="55326" spans="32:32" x14ac:dyDescent="0.2">
      <c r="AF55326" s="679"/>
    </row>
    <row r="55327" spans="32:32" x14ac:dyDescent="0.2">
      <c r="AF55327" s="679"/>
    </row>
    <row r="55328" spans="32:32" x14ac:dyDescent="0.2">
      <c r="AF55328" s="679"/>
    </row>
    <row r="55329" spans="32:32" x14ac:dyDescent="0.2">
      <c r="AF55329" s="679"/>
    </row>
    <row r="55330" spans="32:32" x14ac:dyDescent="0.2">
      <c r="AF55330" s="679"/>
    </row>
    <row r="55331" spans="32:32" x14ac:dyDescent="0.2">
      <c r="AF55331" s="679"/>
    </row>
    <row r="55332" spans="32:32" x14ac:dyDescent="0.2">
      <c r="AF55332" s="679"/>
    </row>
    <row r="55333" spans="32:32" x14ac:dyDescent="0.2">
      <c r="AF55333" s="679"/>
    </row>
    <row r="55334" spans="32:32" x14ac:dyDescent="0.2">
      <c r="AF55334" s="679"/>
    </row>
    <row r="55335" spans="32:32" x14ac:dyDescent="0.2">
      <c r="AF55335" s="679"/>
    </row>
    <row r="55336" spans="32:32" x14ac:dyDescent="0.2">
      <c r="AF55336" s="679"/>
    </row>
    <row r="55337" spans="32:32" x14ac:dyDescent="0.2">
      <c r="AF55337" s="679"/>
    </row>
    <row r="55338" spans="32:32" x14ac:dyDescent="0.2">
      <c r="AF55338" s="679"/>
    </row>
    <row r="55339" spans="32:32" x14ac:dyDescent="0.2">
      <c r="AF55339" s="679"/>
    </row>
    <row r="55340" spans="32:32" x14ac:dyDescent="0.2">
      <c r="AF55340" s="679"/>
    </row>
    <row r="55341" spans="32:32" x14ac:dyDescent="0.2">
      <c r="AF55341" s="679"/>
    </row>
    <row r="55342" spans="32:32" x14ac:dyDescent="0.2">
      <c r="AF55342" s="679"/>
    </row>
    <row r="55343" spans="32:32" x14ac:dyDescent="0.2">
      <c r="AF55343" s="679"/>
    </row>
    <row r="55344" spans="32:32" x14ac:dyDescent="0.2">
      <c r="AF55344" s="679"/>
    </row>
    <row r="55345" spans="32:32" x14ac:dyDescent="0.2">
      <c r="AF55345" s="679"/>
    </row>
    <row r="55346" spans="32:32" x14ac:dyDescent="0.2">
      <c r="AF55346" s="679"/>
    </row>
    <row r="55347" spans="32:32" x14ac:dyDescent="0.2">
      <c r="AF55347" s="679"/>
    </row>
    <row r="55348" spans="32:32" x14ac:dyDescent="0.2">
      <c r="AF55348" s="679"/>
    </row>
    <row r="55349" spans="32:32" x14ac:dyDescent="0.2">
      <c r="AF55349" s="679"/>
    </row>
    <row r="55350" spans="32:32" x14ac:dyDescent="0.2">
      <c r="AF55350" s="679"/>
    </row>
    <row r="55351" spans="32:32" x14ac:dyDescent="0.2">
      <c r="AF55351" s="679"/>
    </row>
    <row r="55352" spans="32:32" x14ac:dyDescent="0.2">
      <c r="AF55352" s="679"/>
    </row>
    <row r="55353" spans="32:32" x14ac:dyDescent="0.2">
      <c r="AF55353" s="679"/>
    </row>
    <row r="55354" spans="32:32" x14ac:dyDescent="0.2">
      <c r="AF55354" s="679"/>
    </row>
    <row r="55355" spans="32:32" x14ac:dyDescent="0.2">
      <c r="AF55355" s="679"/>
    </row>
    <row r="55356" spans="32:32" x14ac:dyDescent="0.2">
      <c r="AF55356" s="679"/>
    </row>
    <row r="55357" spans="32:32" x14ac:dyDescent="0.2">
      <c r="AF55357" s="679"/>
    </row>
    <row r="55358" spans="32:32" x14ac:dyDescent="0.2">
      <c r="AF55358" s="679"/>
    </row>
    <row r="55359" spans="32:32" x14ac:dyDescent="0.2">
      <c r="AF55359" s="679"/>
    </row>
    <row r="55360" spans="32:32" x14ac:dyDescent="0.2">
      <c r="AF55360" s="679"/>
    </row>
    <row r="55361" spans="32:32" x14ac:dyDescent="0.2">
      <c r="AF55361" s="679"/>
    </row>
    <row r="55362" spans="32:32" x14ac:dyDescent="0.2">
      <c r="AF55362" s="679"/>
    </row>
    <row r="55363" spans="32:32" x14ac:dyDescent="0.2">
      <c r="AF55363" s="679"/>
    </row>
    <row r="55364" spans="32:32" x14ac:dyDescent="0.2">
      <c r="AF55364" s="679"/>
    </row>
    <row r="55365" spans="32:32" x14ac:dyDescent="0.2">
      <c r="AF55365" s="679"/>
    </row>
    <row r="55366" spans="32:32" x14ac:dyDescent="0.2">
      <c r="AF55366" s="679"/>
    </row>
    <row r="55367" spans="32:32" x14ac:dyDescent="0.2">
      <c r="AF55367" s="679"/>
    </row>
    <row r="55368" spans="32:32" x14ac:dyDescent="0.2">
      <c r="AF55368" s="679"/>
    </row>
    <row r="55369" spans="32:32" x14ac:dyDescent="0.2">
      <c r="AF55369" s="679"/>
    </row>
    <row r="55370" spans="32:32" x14ac:dyDescent="0.2">
      <c r="AF55370" s="679"/>
    </row>
    <row r="55371" spans="32:32" x14ac:dyDescent="0.2">
      <c r="AF55371" s="679"/>
    </row>
    <row r="55372" spans="32:32" x14ac:dyDescent="0.2">
      <c r="AF55372" s="679"/>
    </row>
    <row r="55373" spans="32:32" x14ac:dyDescent="0.2">
      <c r="AF55373" s="679"/>
    </row>
    <row r="55374" spans="32:32" x14ac:dyDescent="0.2">
      <c r="AF55374" s="679"/>
    </row>
    <row r="55375" spans="32:32" x14ac:dyDescent="0.2">
      <c r="AF55375" s="679"/>
    </row>
    <row r="55376" spans="32:32" x14ac:dyDescent="0.2">
      <c r="AF55376" s="679"/>
    </row>
    <row r="55377" spans="32:32" x14ac:dyDescent="0.2">
      <c r="AF55377" s="679"/>
    </row>
    <row r="55378" spans="32:32" x14ac:dyDescent="0.2">
      <c r="AF55378" s="679"/>
    </row>
    <row r="55379" spans="32:32" x14ac:dyDescent="0.2">
      <c r="AF55379" s="679"/>
    </row>
    <row r="55380" spans="32:32" x14ac:dyDescent="0.2">
      <c r="AF55380" s="679"/>
    </row>
    <row r="55381" spans="32:32" x14ac:dyDescent="0.2">
      <c r="AF55381" s="679"/>
    </row>
    <row r="55382" spans="32:32" x14ac:dyDescent="0.2">
      <c r="AF55382" s="679"/>
    </row>
    <row r="55383" spans="32:32" x14ac:dyDescent="0.2">
      <c r="AF55383" s="679"/>
    </row>
    <row r="55384" spans="32:32" x14ac:dyDescent="0.2">
      <c r="AF55384" s="679"/>
    </row>
    <row r="55385" spans="32:32" x14ac:dyDescent="0.2">
      <c r="AF55385" s="679"/>
    </row>
    <row r="55386" spans="32:32" x14ac:dyDescent="0.2">
      <c r="AF55386" s="679"/>
    </row>
    <row r="55387" spans="32:32" x14ac:dyDescent="0.2">
      <c r="AF55387" s="679"/>
    </row>
    <row r="55388" spans="32:32" x14ac:dyDescent="0.2">
      <c r="AF55388" s="679"/>
    </row>
    <row r="55389" spans="32:32" x14ac:dyDescent="0.2">
      <c r="AF55389" s="679"/>
    </row>
    <row r="55390" spans="32:32" x14ac:dyDescent="0.2">
      <c r="AF55390" s="679"/>
    </row>
    <row r="55391" spans="32:32" x14ac:dyDescent="0.2">
      <c r="AF55391" s="679"/>
    </row>
    <row r="55392" spans="32:32" x14ac:dyDescent="0.2">
      <c r="AF55392" s="679"/>
    </row>
    <row r="55393" spans="32:32" x14ac:dyDescent="0.2">
      <c r="AF55393" s="679"/>
    </row>
    <row r="55394" spans="32:32" x14ac:dyDescent="0.2">
      <c r="AF55394" s="679"/>
    </row>
    <row r="55395" spans="32:32" x14ac:dyDescent="0.2">
      <c r="AF55395" s="679"/>
    </row>
    <row r="55396" spans="32:32" x14ac:dyDescent="0.2">
      <c r="AF55396" s="679"/>
    </row>
    <row r="55397" spans="32:32" x14ac:dyDescent="0.2">
      <c r="AF55397" s="679"/>
    </row>
    <row r="55398" spans="32:32" x14ac:dyDescent="0.2">
      <c r="AF55398" s="679"/>
    </row>
    <row r="55399" spans="32:32" x14ac:dyDescent="0.2">
      <c r="AF55399" s="679"/>
    </row>
    <row r="55400" spans="32:32" x14ac:dyDescent="0.2">
      <c r="AF55400" s="679"/>
    </row>
    <row r="55401" spans="32:32" x14ac:dyDescent="0.2">
      <c r="AF55401" s="679"/>
    </row>
    <row r="55402" spans="32:32" x14ac:dyDescent="0.2">
      <c r="AF55402" s="679"/>
    </row>
    <row r="55403" spans="32:32" x14ac:dyDescent="0.2">
      <c r="AF55403" s="679"/>
    </row>
    <row r="55404" spans="32:32" x14ac:dyDescent="0.2">
      <c r="AF55404" s="679"/>
    </row>
    <row r="55405" spans="32:32" x14ac:dyDescent="0.2">
      <c r="AF55405" s="679"/>
    </row>
    <row r="55406" spans="32:32" x14ac:dyDescent="0.2">
      <c r="AF55406" s="679"/>
    </row>
    <row r="55407" spans="32:32" x14ac:dyDescent="0.2">
      <c r="AF55407" s="679"/>
    </row>
    <row r="55408" spans="32:32" x14ac:dyDescent="0.2">
      <c r="AF55408" s="679"/>
    </row>
    <row r="55409" spans="32:32" x14ac:dyDescent="0.2">
      <c r="AF55409" s="679"/>
    </row>
    <row r="55410" spans="32:32" x14ac:dyDescent="0.2">
      <c r="AF55410" s="679"/>
    </row>
    <row r="55411" spans="32:32" x14ac:dyDescent="0.2">
      <c r="AF55411" s="679"/>
    </row>
    <row r="55412" spans="32:32" x14ac:dyDescent="0.2">
      <c r="AF55412" s="679"/>
    </row>
    <row r="55413" spans="32:32" x14ac:dyDescent="0.2">
      <c r="AF55413" s="679"/>
    </row>
    <row r="55414" spans="32:32" x14ac:dyDescent="0.2">
      <c r="AF55414" s="679"/>
    </row>
    <row r="55415" spans="32:32" x14ac:dyDescent="0.2">
      <c r="AF55415" s="679"/>
    </row>
    <row r="55416" spans="32:32" x14ac:dyDescent="0.2">
      <c r="AF55416" s="679"/>
    </row>
    <row r="55417" spans="32:32" x14ac:dyDescent="0.2">
      <c r="AF55417" s="679"/>
    </row>
    <row r="55418" spans="32:32" x14ac:dyDescent="0.2">
      <c r="AF55418" s="679"/>
    </row>
    <row r="55419" spans="32:32" x14ac:dyDescent="0.2">
      <c r="AF55419" s="679"/>
    </row>
    <row r="55420" spans="32:32" x14ac:dyDescent="0.2">
      <c r="AF55420" s="679"/>
    </row>
    <row r="55421" spans="32:32" x14ac:dyDescent="0.2">
      <c r="AF55421" s="679"/>
    </row>
    <row r="55422" spans="32:32" x14ac:dyDescent="0.2">
      <c r="AF55422" s="679"/>
    </row>
    <row r="55423" spans="32:32" x14ac:dyDescent="0.2">
      <c r="AF55423" s="679"/>
    </row>
    <row r="55424" spans="32:32" x14ac:dyDescent="0.2">
      <c r="AF55424" s="679"/>
    </row>
    <row r="55425" spans="32:32" x14ac:dyDescent="0.2">
      <c r="AF55425" s="679"/>
    </row>
    <row r="55426" spans="32:32" x14ac:dyDescent="0.2">
      <c r="AF55426" s="679"/>
    </row>
    <row r="55427" spans="32:32" x14ac:dyDescent="0.2">
      <c r="AF55427" s="679"/>
    </row>
    <row r="55428" spans="32:32" x14ac:dyDescent="0.2">
      <c r="AF55428" s="679"/>
    </row>
    <row r="55429" spans="32:32" x14ac:dyDescent="0.2">
      <c r="AF55429" s="679"/>
    </row>
    <row r="55430" spans="32:32" x14ac:dyDescent="0.2">
      <c r="AF55430" s="679"/>
    </row>
    <row r="55431" spans="32:32" x14ac:dyDescent="0.2">
      <c r="AF55431" s="679"/>
    </row>
    <row r="55432" spans="32:32" x14ac:dyDescent="0.2">
      <c r="AF55432" s="679"/>
    </row>
    <row r="55433" spans="32:32" x14ac:dyDescent="0.2">
      <c r="AF55433" s="679"/>
    </row>
    <row r="55434" spans="32:32" x14ac:dyDescent="0.2">
      <c r="AF55434" s="679"/>
    </row>
    <row r="55435" spans="32:32" x14ac:dyDescent="0.2">
      <c r="AF55435" s="679"/>
    </row>
    <row r="55436" spans="32:32" x14ac:dyDescent="0.2">
      <c r="AF55436" s="679"/>
    </row>
    <row r="55437" spans="32:32" x14ac:dyDescent="0.2">
      <c r="AF55437" s="679"/>
    </row>
    <row r="55438" spans="32:32" x14ac:dyDescent="0.2">
      <c r="AF55438" s="679"/>
    </row>
    <row r="55439" spans="32:32" x14ac:dyDescent="0.2">
      <c r="AF55439" s="679"/>
    </row>
    <row r="55440" spans="32:32" x14ac:dyDescent="0.2">
      <c r="AF55440" s="679"/>
    </row>
    <row r="55441" spans="32:32" x14ac:dyDescent="0.2">
      <c r="AF55441" s="679"/>
    </row>
    <row r="55442" spans="32:32" x14ac:dyDescent="0.2">
      <c r="AF55442" s="679"/>
    </row>
    <row r="55443" spans="32:32" x14ac:dyDescent="0.2">
      <c r="AF55443" s="679"/>
    </row>
    <row r="55444" spans="32:32" x14ac:dyDescent="0.2">
      <c r="AF55444" s="679"/>
    </row>
    <row r="55445" spans="32:32" x14ac:dyDescent="0.2">
      <c r="AF55445" s="679"/>
    </row>
    <row r="55446" spans="32:32" x14ac:dyDescent="0.2">
      <c r="AF55446" s="679"/>
    </row>
    <row r="55447" spans="32:32" x14ac:dyDescent="0.2">
      <c r="AF55447" s="679"/>
    </row>
    <row r="55448" spans="32:32" x14ac:dyDescent="0.2">
      <c r="AF55448" s="679"/>
    </row>
    <row r="55449" spans="32:32" x14ac:dyDescent="0.2">
      <c r="AF55449" s="679"/>
    </row>
    <row r="55450" spans="32:32" x14ac:dyDescent="0.2">
      <c r="AF55450" s="679"/>
    </row>
    <row r="55451" spans="32:32" x14ac:dyDescent="0.2">
      <c r="AF55451" s="679"/>
    </row>
    <row r="55452" spans="32:32" x14ac:dyDescent="0.2">
      <c r="AF55452" s="679"/>
    </row>
    <row r="55453" spans="32:32" x14ac:dyDescent="0.2">
      <c r="AF55453" s="679"/>
    </row>
    <row r="55454" spans="32:32" x14ac:dyDescent="0.2">
      <c r="AF55454" s="679"/>
    </row>
    <row r="55455" spans="32:32" x14ac:dyDescent="0.2">
      <c r="AF55455" s="679"/>
    </row>
    <row r="55456" spans="32:32" x14ac:dyDescent="0.2">
      <c r="AF55456" s="679"/>
    </row>
    <row r="55457" spans="32:32" x14ac:dyDescent="0.2">
      <c r="AF55457" s="679"/>
    </row>
    <row r="55458" spans="32:32" x14ac:dyDescent="0.2">
      <c r="AF55458" s="679"/>
    </row>
    <row r="55459" spans="32:32" x14ac:dyDescent="0.2">
      <c r="AF55459" s="679"/>
    </row>
    <row r="55460" spans="32:32" x14ac:dyDescent="0.2">
      <c r="AF55460" s="679"/>
    </row>
    <row r="55461" spans="32:32" x14ac:dyDescent="0.2">
      <c r="AF55461" s="679"/>
    </row>
    <row r="55462" spans="32:32" x14ac:dyDescent="0.2">
      <c r="AF55462" s="679"/>
    </row>
    <row r="55463" spans="32:32" x14ac:dyDescent="0.2">
      <c r="AF55463" s="679"/>
    </row>
    <row r="55464" spans="32:32" x14ac:dyDescent="0.2">
      <c r="AF55464" s="679"/>
    </row>
    <row r="55465" spans="32:32" x14ac:dyDescent="0.2">
      <c r="AF55465" s="679"/>
    </row>
    <row r="55466" spans="32:32" x14ac:dyDescent="0.2">
      <c r="AF55466" s="679"/>
    </row>
    <row r="55467" spans="32:32" x14ac:dyDescent="0.2">
      <c r="AF55467" s="679"/>
    </row>
    <row r="55468" spans="32:32" x14ac:dyDescent="0.2">
      <c r="AF55468" s="679"/>
    </row>
    <row r="55469" spans="32:32" x14ac:dyDescent="0.2">
      <c r="AF55469" s="679"/>
    </row>
    <row r="55470" spans="32:32" x14ac:dyDescent="0.2">
      <c r="AF55470" s="679"/>
    </row>
    <row r="55471" spans="32:32" x14ac:dyDescent="0.2">
      <c r="AF55471" s="679"/>
    </row>
    <row r="55472" spans="32:32" x14ac:dyDescent="0.2">
      <c r="AF55472" s="679"/>
    </row>
    <row r="55473" spans="32:32" x14ac:dyDescent="0.2">
      <c r="AF55473" s="679"/>
    </row>
    <row r="55474" spans="32:32" x14ac:dyDescent="0.2">
      <c r="AF55474" s="679"/>
    </row>
    <row r="55475" spans="32:32" x14ac:dyDescent="0.2">
      <c r="AF55475" s="679"/>
    </row>
    <row r="55476" spans="32:32" x14ac:dyDescent="0.2">
      <c r="AF55476" s="679"/>
    </row>
    <row r="55477" spans="32:32" x14ac:dyDescent="0.2">
      <c r="AF55477" s="679"/>
    </row>
    <row r="55478" spans="32:32" x14ac:dyDescent="0.2">
      <c r="AF55478" s="679"/>
    </row>
    <row r="55479" spans="32:32" x14ac:dyDescent="0.2">
      <c r="AF55479" s="679"/>
    </row>
    <row r="55480" spans="32:32" x14ac:dyDescent="0.2">
      <c r="AF55480" s="679"/>
    </row>
    <row r="55481" spans="32:32" x14ac:dyDescent="0.2">
      <c r="AF55481" s="679"/>
    </row>
    <row r="55482" spans="32:32" x14ac:dyDescent="0.2">
      <c r="AF55482" s="679"/>
    </row>
    <row r="55483" spans="32:32" x14ac:dyDescent="0.2">
      <c r="AF55483" s="679"/>
    </row>
    <row r="55484" spans="32:32" x14ac:dyDescent="0.2">
      <c r="AF55484" s="679"/>
    </row>
    <row r="55485" spans="32:32" x14ac:dyDescent="0.2">
      <c r="AF55485" s="679"/>
    </row>
    <row r="55486" spans="32:32" x14ac:dyDescent="0.2">
      <c r="AF55486" s="679"/>
    </row>
    <row r="55487" spans="32:32" x14ac:dyDescent="0.2">
      <c r="AF55487" s="679"/>
    </row>
    <row r="55488" spans="32:32" x14ac:dyDescent="0.2">
      <c r="AF55488" s="679"/>
    </row>
    <row r="55489" spans="32:32" x14ac:dyDescent="0.2">
      <c r="AF55489" s="679"/>
    </row>
    <row r="55490" spans="32:32" x14ac:dyDescent="0.2">
      <c r="AF55490" s="679"/>
    </row>
    <row r="55491" spans="32:32" x14ac:dyDescent="0.2">
      <c r="AF55491" s="679"/>
    </row>
    <row r="55492" spans="32:32" x14ac:dyDescent="0.2">
      <c r="AF55492" s="679"/>
    </row>
    <row r="55493" spans="32:32" x14ac:dyDescent="0.2">
      <c r="AF55493" s="679"/>
    </row>
    <row r="55494" spans="32:32" x14ac:dyDescent="0.2">
      <c r="AF55494" s="679"/>
    </row>
    <row r="55495" spans="32:32" x14ac:dyDescent="0.2">
      <c r="AF55495" s="679"/>
    </row>
    <row r="55496" spans="32:32" x14ac:dyDescent="0.2">
      <c r="AF55496" s="679"/>
    </row>
    <row r="55497" spans="32:32" x14ac:dyDescent="0.2">
      <c r="AF55497" s="679"/>
    </row>
    <row r="55498" spans="32:32" x14ac:dyDescent="0.2">
      <c r="AF55498" s="679"/>
    </row>
    <row r="55499" spans="32:32" x14ac:dyDescent="0.2">
      <c r="AF55499" s="679"/>
    </row>
    <row r="55500" spans="32:32" x14ac:dyDescent="0.2">
      <c r="AF55500" s="679"/>
    </row>
    <row r="55501" spans="32:32" x14ac:dyDescent="0.2">
      <c r="AF55501" s="679"/>
    </row>
    <row r="55502" spans="32:32" x14ac:dyDescent="0.2">
      <c r="AF55502" s="679"/>
    </row>
    <row r="55503" spans="32:32" x14ac:dyDescent="0.2">
      <c r="AF55503" s="679"/>
    </row>
    <row r="55504" spans="32:32" x14ac:dyDescent="0.2">
      <c r="AF55504" s="679"/>
    </row>
    <row r="55505" spans="32:32" x14ac:dyDescent="0.2">
      <c r="AF55505" s="679"/>
    </row>
    <row r="55506" spans="32:32" x14ac:dyDescent="0.2">
      <c r="AF55506" s="679"/>
    </row>
    <row r="55507" spans="32:32" x14ac:dyDescent="0.2">
      <c r="AF55507" s="679"/>
    </row>
    <row r="55508" spans="32:32" x14ac:dyDescent="0.2">
      <c r="AF55508" s="679"/>
    </row>
    <row r="55509" spans="32:32" x14ac:dyDescent="0.2">
      <c r="AF55509" s="679"/>
    </row>
    <row r="55510" spans="32:32" x14ac:dyDescent="0.2">
      <c r="AF55510" s="679"/>
    </row>
    <row r="55511" spans="32:32" x14ac:dyDescent="0.2">
      <c r="AF55511" s="679"/>
    </row>
    <row r="55512" spans="32:32" x14ac:dyDescent="0.2">
      <c r="AF55512" s="679"/>
    </row>
    <row r="55513" spans="32:32" x14ac:dyDescent="0.2">
      <c r="AF55513" s="679"/>
    </row>
    <row r="55514" spans="32:32" x14ac:dyDescent="0.2">
      <c r="AF55514" s="679"/>
    </row>
    <row r="55515" spans="32:32" x14ac:dyDescent="0.2">
      <c r="AF55515" s="679"/>
    </row>
    <row r="55516" spans="32:32" x14ac:dyDescent="0.2">
      <c r="AF55516" s="679"/>
    </row>
    <row r="55517" spans="32:32" x14ac:dyDescent="0.2">
      <c r="AF55517" s="679"/>
    </row>
    <row r="55518" spans="32:32" x14ac:dyDescent="0.2">
      <c r="AF55518" s="679"/>
    </row>
    <row r="55519" spans="32:32" x14ac:dyDescent="0.2">
      <c r="AF55519" s="679"/>
    </row>
    <row r="55520" spans="32:32" x14ac:dyDescent="0.2">
      <c r="AF55520" s="679"/>
    </row>
    <row r="55521" spans="32:32" x14ac:dyDescent="0.2">
      <c r="AF55521" s="679"/>
    </row>
    <row r="55522" spans="32:32" x14ac:dyDescent="0.2">
      <c r="AF55522" s="679"/>
    </row>
    <row r="55523" spans="32:32" x14ac:dyDescent="0.2">
      <c r="AF55523" s="679"/>
    </row>
    <row r="55524" spans="32:32" x14ac:dyDescent="0.2">
      <c r="AF55524" s="679"/>
    </row>
    <row r="55525" spans="32:32" x14ac:dyDescent="0.2">
      <c r="AF55525" s="679"/>
    </row>
    <row r="55526" spans="32:32" x14ac:dyDescent="0.2">
      <c r="AF55526" s="679"/>
    </row>
    <row r="55527" spans="32:32" x14ac:dyDescent="0.2">
      <c r="AF55527" s="679"/>
    </row>
    <row r="55528" spans="32:32" x14ac:dyDescent="0.2">
      <c r="AF55528" s="679"/>
    </row>
    <row r="55529" spans="32:32" x14ac:dyDescent="0.2">
      <c r="AF55529" s="679"/>
    </row>
    <row r="55530" spans="32:32" x14ac:dyDescent="0.2">
      <c r="AF55530" s="679"/>
    </row>
    <row r="55531" spans="32:32" x14ac:dyDescent="0.2">
      <c r="AF55531" s="679"/>
    </row>
    <row r="55532" spans="32:32" x14ac:dyDescent="0.2">
      <c r="AF55532" s="679"/>
    </row>
    <row r="55533" spans="32:32" x14ac:dyDescent="0.2">
      <c r="AF55533" s="679"/>
    </row>
    <row r="55534" spans="32:32" x14ac:dyDescent="0.2">
      <c r="AF55534" s="679"/>
    </row>
    <row r="55535" spans="32:32" x14ac:dyDescent="0.2">
      <c r="AF55535" s="679"/>
    </row>
    <row r="55536" spans="32:32" x14ac:dyDescent="0.2">
      <c r="AF55536" s="679"/>
    </row>
    <row r="55537" spans="32:32" x14ac:dyDescent="0.2">
      <c r="AF55537" s="679"/>
    </row>
    <row r="55538" spans="32:32" x14ac:dyDescent="0.2">
      <c r="AF55538" s="679"/>
    </row>
    <row r="55539" spans="32:32" x14ac:dyDescent="0.2">
      <c r="AF55539" s="679"/>
    </row>
    <row r="55540" spans="32:32" x14ac:dyDescent="0.2">
      <c r="AF55540" s="679"/>
    </row>
    <row r="55541" spans="32:32" x14ac:dyDescent="0.2">
      <c r="AF55541" s="679"/>
    </row>
    <row r="55542" spans="32:32" x14ac:dyDescent="0.2">
      <c r="AF55542" s="679"/>
    </row>
    <row r="55543" spans="32:32" x14ac:dyDescent="0.2">
      <c r="AF55543" s="679"/>
    </row>
    <row r="55544" spans="32:32" x14ac:dyDescent="0.2">
      <c r="AF55544" s="679"/>
    </row>
    <row r="55545" spans="32:32" x14ac:dyDescent="0.2">
      <c r="AF55545" s="679"/>
    </row>
    <row r="55546" spans="32:32" x14ac:dyDescent="0.2">
      <c r="AF55546" s="679"/>
    </row>
    <row r="55547" spans="32:32" x14ac:dyDescent="0.2">
      <c r="AF55547" s="679"/>
    </row>
    <row r="55548" spans="32:32" x14ac:dyDescent="0.2">
      <c r="AF55548" s="679"/>
    </row>
    <row r="55549" spans="32:32" x14ac:dyDescent="0.2">
      <c r="AF55549" s="679"/>
    </row>
    <row r="55550" spans="32:32" x14ac:dyDescent="0.2">
      <c r="AF55550" s="679"/>
    </row>
    <row r="55551" spans="32:32" x14ac:dyDescent="0.2">
      <c r="AF55551" s="679"/>
    </row>
    <row r="55552" spans="32:32" x14ac:dyDescent="0.2">
      <c r="AF55552" s="679"/>
    </row>
    <row r="55553" spans="32:32" x14ac:dyDescent="0.2">
      <c r="AF55553" s="679"/>
    </row>
    <row r="55554" spans="32:32" x14ac:dyDescent="0.2">
      <c r="AF55554" s="679"/>
    </row>
    <row r="55555" spans="32:32" x14ac:dyDescent="0.2">
      <c r="AF55555" s="679"/>
    </row>
    <row r="55556" spans="32:32" x14ac:dyDescent="0.2">
      <c r="AF55556" s="679"/>
    </row>
    <row r="55557" spans="32:32" x14ac:dyDescent="0.2">
      <c r="AF55557" s="679"/>
    </row>
    <row r="55558" spans="32:32" x14ac:dyDescent="0.2">
      <c r="AF55558" s="679"/>
    </row>
    <row r="55559" spans="32:32" x14ac:dyDescent="0.2">
      <c r="AF55559" s="679"/>
    </row>
    <row r="55560" spans="32:32" x14ac:dyDescent="0.2">
      <c r="AF55560" s="679"/>
    </row>
    <row r="55561" spans="32:32" x14ac:dyDescent="0.2">
      <c r="AF55561" s="679"/>
    </row>
    <row r="55562" spans="32:32" x14ac:dyDescent="0.2">
      <c r="AF55562" s="679"/>
    </row>
    <row r="55563" spans="32:32" x14ac:dyDescent="0.2">
      <c r="AF55563" s="679"/>
    </row>
    <row r="55564" spans="32:32" x14ac:dyDescent="0.2">
      <c r="AF55564" s="679"/>
    </row>
    <row r="55565" spans="32:32" x14ac:dyDescent="0.2">
      <c r="AF55565" s="679"/>
    </row>
    <row r="55566" spans="32:32" x14ac:dyDescent="0.2">
      <c r="AF55566" s="679"/>
    </row>
    <row r="55567" spans="32:32" x14ac:dyDescent="0.2">
      <c r="AF55567" s="679"/>
    </row>
    <row r="55568" spans="32:32" x14ac:dyDescent="0.2">
      <c r="AF55568" s="679"/>
    </row>
    <row r="55569" spans="32:32" x14ac:dyDescent="0.2">
      <c r="AF55569" s="679"/>
    </row>
    <row r="55570" spans="32:32" x14ac:dyDescent="0.2">
      <c r="AF55570" s="679"/>
    </row>
    <row r="55571" spans="32:32" x14ac:dyDescent="0.2">
      <c r="AF55571" s="679"/>
    </row>
    <row r="55572" spans="32:32" x14ac:dyDescent="0.2">
      <c r="AF55572" s="679"/>
    </row>
    <row r="55573" spans="32:32" x14ac:dyDescent="0.2">
      <c r="AF55573" s="679"/>
    </row>
    <row r="55574" spans="32:32" x14ac:dyDescent="0.2">
      <c r="AF55574" s="679"/>
    </row>
    <row r="55575" spans="32:32" x14ac:dyDescent="0.2">
      <c r="AF55575" s="679"/>
    </row>
    <row r="55576" spans="32:32" x14ac:dyDescent="0.2">
      <c r="AF55576" s="679"/>
    </row>
    <row r="55577" spans="32:32" x14ac:dyDescent="0.2">
      <c r="AF55577" s="679"/>
    </row>
    <row r="55578" spans="32:32" x14ac:dyDescent="0.2">
      <c r="AF55578" s="679"/>
    </row>
    <row r="55579" spans="32:32" x14ac:dyDescent="0.2">
      <c r="AF55579" s="679"/>
    </row>
    <row r="55580" spans="32:32" x14ac:dyDescent="0.2">
      <c r="AF55580" s="679"/>
    </row>
    <row r="55581" spans="32:32" x14ac:dyDescent="0.2">
      <c r="AF55581" s="679"/>
    </row>
    <row r="55582" spans="32:32" x14ac:dyDescent="0.2">
      <c r="AF55582" s="679"/>
    </row>
    <row r="55583" spans="32:32" x14ac:dyDescent="0.2">
      <c r="AF55583" s="679"/>
    </row>
    <row r="55584" spans="32:32" x14ac:dyDescent="0.2">
      <c r="AF55584" s="679"/>
    </row>
    <row r="55585" spans="32:32" x14ac:dyDescent="0.2">
      <c r="AF55585" s="679"/>
    </row>
    <row r="55586" spans="32:32" x14ac:dyDescent="0.2">
      <c r="AF55586" s="679"/>
    </row>
    <row r="55587" spans="32:32" x14ac:dyDescent="0.2">
      <c r="AF55587" s="679"/>
    </row>
    <row r="55588" spans="32:32" x14ac:dyDescent="0.2">
      <c r="AF55588" s="679"/>
    </row>
    <row r="55589" spans="32:32" x14ac:dyDescent="0.2">
      <c r="AF55589" s="679"/>
    </row>
    <row r="55590" spans="32:32" x14ac:dyDescent="0.2">
      <c r="AF55590" s="679"/>
    </row>
    <row r="55591" spans="32:32" x14ac:dyDescent="0.2">
      <c r="AF55591" s="679"/>
    </row>
    <row r="55592" spans="32:32" x14ac:dyDescent="0.2">
      <c r="AF55592" s="679"/>
    </row>
    <row r="55593" spans="32:32" x14ac:dyDescent="0.2">
      <c r="AF55593" s="679"/>
    </row>
    <row r="55594" spans="32:32" x14ac:dyDescent="0.2">
      <c r="AF55594" s="679"/>
    </row>
    <row r="55595" spans="32:32" x14ac:dyDescent="0.2">
      <c r="AF55595" s="679"/>
    </row>
    <row r="55596" spans="32:32" x14ac:dyDescent="0.2">
      <c r="AF55596" s="679"/>
    </row>
    <row r="55597" spans="32:32" x14ac:dyDescent="0.2">
      <c r="AF55597" s="679"/>
    </row>
    <row r="55598" spans="32:32" x14ac:dyDescent="0.2">
      <c r="AF55598" s="679"/>
    </row>
    <row r="55599" spans="32:32" x14ac:dyDescent="0.2">
      <c r="AF55599" s="679"/>
    </row>
    <row r="55600" spans="32:32" x14ac:dyDescent="0.2">
      <c r="AF55600" s="679"/>
    </row>
    <row r="55601" spans="32:32" x14ac:dyDescent="0.2">
      <c r="AF55601" s="679"/>
    </row>
    <row r="55602" spans="32:32" x14ac:dyDescent="0.2">
      <c r="AF55602" s="679"/>
    </row>
    <row r="55603" spans="32:32" x14ac:dyDescent="0.2">
      <c r="AF55603" s="679"/>
    </row>
    <row r="55604" spans="32:32" x14ac:dyDescent="0.2">
      <c r="AF55604" s="679"/>
    </row>
    <row r="55605" spans="32:32" x14ac:dyDescent="0.2">
      <c r="AF55605" s="679"/>
    </row>
    <row r="55606" spans="32:32" x14ac:dyDescent="0.2">
      <c r="AF55606" s="679"/>
    </row>
    <row r="55607" spans="32:32" x14ac:dyDescent="0.2">
      <c r="AF55607" s="679"/>
    </row>
    <row r="55608" spans="32:32" x14ac:dyDescent="0.2">
      <c r="AF55608" s="679"/>
    </row>
    <row r="55609" spans="32:32" x14ac:dyDescent="0.2">
      <c r="AF55609" s="679"/>
    </row>
    <row r="55610" spans="32:32" x14ac:dyDescent="0.2">
      <c r="AF55610" s="679"/>
    </row>
    <row r="55611" spans="32:32" x14ac:dyDescent="0.2">
      <c r="AF55611" s="679"/>
    </row>
    <row r="55612" spans="32:32" x14ac:dyDescent="0.2">
      <c r="AF55612" s="679"/>
    </row>
    <row r="55613" spans="32:32" x14ac:dyDescent="0.2">
      <c r="AF55613" s="679"/>
    </row>
    <row r="55614" spans="32:32" x14ac:dyDescent="0.2">
      <c r="AF55614" s="679"/>
    </row>
    <row r="55615" spans="32:32" x14ac:dyDescent="0.2">
      <c r="AF55615" s="679"/>
    </row>
    <row r="55616" spans="32:32" x14ac:dyDescent="0.2">
      <c r="AF55616" s="679"/>
    </row>
    <row r="55617" spans="32:32" x14ac:dyDescent="0.2">
      <c r="AF55617" s="679"/>
    </row>
    <row r="55618" spans="32:32" x14ac:dyDescent="0.2">
      <c r="AF55618" s="679"/>
    </row>
    <row r="55619" spans="32:32" x14ac:dyDescent="0.2">
      <c r="AF55619" s="679"/>
    </row>
    <row r="55620" spans="32:32" x14ac:dyDescent="0.2">
      <c r="AF55620" s="679"/>
    </row>
    <row r="55621" spans="32:32" x14ac:dyDescent="0.2">
      <c r="AF55621" s="679"/>
    </row>
    <row r="55622" spans="32:32" x14ac:dyDescent="0.2">
      <c r="AF55622" s="679"/>
    </row>
    <row r="55623" spans="32:32" x14ac:dyDescent="0.2">
      <c r="AF55623" s="679"/>
    </row>
    <row r="55624" spans="32:32" x14ac:dyDescent="0.2">
      <c r="AF55624" s="679"/>
    </row>
    <row r="55625" spans="32:32" x14ac:dyDescent="0.2">
      <c r="AF55625" s="679"/>
    </row>
    <row r="55626" spans="32:32" x14ac:dyDescent="0.2">
      <c r="AF55626" s="679"/>
    </row>
    <row r="55627" spans="32:32" x14ac:dyDescent="0.2">
      <c r="AF55627" s="679"/>
    </row>
    <row r="55628" spans="32:32" x14ac:dyDescent="0.2">
      <c r="AF55628" s="679"/>
    </row>
    <row r="55629" spans="32:32" x14ac:dyDescent="0.2">
      <c r="AF55629" s="679"/>
    </row>
    <row r="55630" spans="32:32" x14ac:dyDescent="0.2">
      <c r="AF55630" s="679"/>
    </row>
    <row r="55631" spans="32:32" x14ac:dyDescent="0.2">
      <c r="AF55631" s="679"/>
    </row>
    <row r="55632" spans="32:32" x14ac:dyDescent="0.2">
      <c r="AF55632" s="679"/>
    </row>
    <row r="55633" spans="32:32" x14ac:dyDescent="0.2">
      <c r="AF55633" s="679"/>
    </row>
    <row r="55634" spans="32:32" x14ac:dyDescent="0.2">
      <c r="AF55634" s="679"/>
    </row>
    <row r="55635" spans="32:32" x14ac:dyDescent="0.2">
      <c r="AF55635" s="679"/>
    </row>
    <row r="55636" spans="32:32" x14ac:dyDescent="0.2">
      <c r="AF55636" s="679"/>
    </row>
    <row r="55637" spans="32:32" x14ac:dyDescent="0.2">
      <c r="AF55637" s="679"/>
    </row>
    <row r="55638" spans="32:32" x14ac:dyDescent="0.2">
      <c r="AF55638" s="679"/>
    </row>
    <row r="55639" spans="32:32" x14ac:dyDescent="0.2">
      <c r="AF55639" s="679"/>
    </row>
    <row r="55640" spans="32:32" x14ac:dyDescent="0.2">
      <c r="AF55640" s="679"/>
    </row>
    <row r="55641" spans="32:32" x14ac:dyDescent="0.2">
      <c r="AF55641" s="679"/>
    </row>
    <row r="55642" spans="32:32" x14ac:dyDescent="0.2">
      <c r="AF55642" s="679"/>
    </row>
    <row r="55643" spans="32:32" x14ac:dyDescent="0.2">
      <c r="AF55643" s="679"/>
    </row>
    <row r="55644" spans="32:32" x14ac:dyDescent="0.2">
      <c r="AF55644" s="679"/>
    </row>
    <row r="55645" spans="32:32" x14ac:dyDescent="0.2">
      <c r="AF55645" s="679"/>
    </row>
    <row r="55646" spans="32:32" x14ac:dyDescent="0.2">
      <c r="AF55646" s="679"/>
    </row>
    <row r="55647" spans="32:32" x14ac:dyDescent="0.2">
      <c r="AF55647" s="679"/>
    </row>
    <row r="55648" spans="32:32" x14ac:dyDescent="0.2">
      <c r="AF55648" s="679"/>
    </row>
    <row r="55649" spans="32:32" x14ac:dyDescent="0.2">
      <c r="AF55649" s="679"/>
    </row>
    <row r="55650" spans="32:32" x14ac:dyDescent="0.2">
      <c r="AF55650" s="679"/>
    </row>
    <row r="55651" spans="32:32" x14ac:dyDescent="0.2">
      <c r="AF55651" s="679"/>
    </row>
    <row r="55652" spans="32:32" x14ac:dyDescent="0.2">
      <c r="AF55652" s="679"/>
    </row>
    <row r="55653" spans="32:32" x14ac:dyDescent="0.2">
      <c r="AF55653" s="679"/>
    </row>
    <row r="55654" spans="32:32" x14ac:dyDescent="0.2">
      <c r="AF55654" s="679"/>
    </row>
    <row r="55655" spans="32:32" x14ac:dyDescent="0.2">
      <c r="AF55655" s="679"/>
    </row>
    <row r="55656" spans="32:32" x14ac:dyDescent="0.2">
      <c r="AF55656" s="679"/>
    </row>
    <row r="55657" spans="32:32" x14ac:dyDescent="0.2">
      <c r="AF55657" s="679"/>
    </row>
    <row r="55658" spans="32:32" x14ac:dyDescent="0.2">
      <c r="AF55658" s="679"/>
    </row>
    <row r="55659" spans="32:32" x14ac:dyDescent="0.2">
      <c r="AF55659" s="679"/>
    </row>
    <row r="55660" spans="32:32" x14ac:dyDescent="0.2">
      <c r="AF55660" s="679"/>
    </row>
    <row r="55661" spans="32:32" x14ac:dyDescent="0.2">
      <c r="AF55661" s="679"/>
    </row>
    <row r="55662" spans="32:32" x14ac:dyDescent="0.2">
      <c r="AF55662" s="679"/>
    </row>
    <row r="55663" spans="32:32" x14ac:dyDescent="0.2">
      <c r="AF55663" s="679"/>
    </row>
    <row r="55664" spans="32:32" x14ac:dyDescent="0.2">
      <c r="AF55664" s="679"/>
    </row>
    <row r="55665" spans="32:32" x14ac:dyDescent="0.2">
      <c r="AF55665" s="679"/>
    </row>
    <row r="55666" spans="32:32" x14ac:dyDescent="0.2">
      <c r="AF55666" s="679"/>
    </row>
    <row r="55667" spans="32:32" x14ac:dyDescent="0.2">
      <c r="AF55667" s="679"/>
    </row>
    <row r="55668" spans="32:32" x14ac:dyDescent="0.2">
      <c r="AF55668" s="679"/>
    </row>
    <row r="55669" spans="32:32" x14ac:dyDescent="0.2">
      <c r="AF55669" s="679"/>
    </row>
    <row r="55670" spans="32:32" x14ac:dyDescent="0.2">
      <c r="AF55670" s="679"/>
    </row>
    <row r="55671" spans="32:32" x14ac:dyDescent="0.2">
      <c r="AF55671" s="679"/>
    </row>
    <row r="55672" spans="32:32" x14ac:dyDescent="0.2">
      <c r="AF55672" s="679"/>
    </row>
    <row r="55673" spans="32:32" x14ac:dyDescent="0.2">
      <c r="AF55673" s="679"/>
    </row>
    <row r="55674" spans="32:32" x14ac:dyDescent="0.2">
      <c r="AF55674" s="679"/>
    </row>
    <row r="55675" spans="32:32" x14ac:dyDescent="0.2">
      <c r="AF55675" s="679"/>
    </row>
    <row r="55676" spans="32:32" x14ac:dyDescent="0.2">
      <c r="AF55676" s="679"/>
    </row>
    <row r="55677" spans="32:32" x14ac:dyDescent="0.2">
      <c r="AF55677" s="679"/>
    </row>
    <row r="55678" spans="32:32" x14ac:dyDescent="0.2">
      <c r="AF55678" s="679"/>
    </row>
    <row r="55679" spans="32:32" x14ac:dyDescent="0.2">
      <c r="AF55679" s="679"/>
    </row>
    <row r="55680" spans="32:32" x14ac:dyDescent="0.2">
      <c r="AF55680" s="679"/>
    </row>
    <row r="55681" spans="32:32" x14ac:dyDescent="0.2">
      <c r="AF55681" s="679"/>
    </row>
    <row r="55682" spans="32:32" x14ac:dyDescent="0.2">
      <c r="AF55682" s="679"/>
    </row>
    <row r="55683" spans="32:32" x14ac:dyDescent="0.2">
      <c r="AF55683" s="679"/>
    </row>
    <row r="55684" spans="32:32" x14ac:dyDescent="0.2">
      <c r="AF55684" s="679"/>
    </row>
    <row r="55685" spans="32:32" x14ac:dyDescent="0.2">
      <c r="AF55685" s="679"/>
    </row>
    <row r="55686" spans="32:32" x14ac:dyDescent="0.2">
      <c r="AF55686" s="679"/>
    </row>
    <row r="55687" spans="32:32" x14ac:dyDescent="0.2">
      <c r="AF55687" s="679"/>
    </row>
    <row r="55688" spans="32:32" x14ac:dyDescent="0.2">
      <c r="AF55688" s="679"/>
    </row>
    <row r="55689" spans="32:32" x14ac:dyDescent="0.2">
      <c r="AF55689" s="679"/>
    </row>
    <row r="55690" spans="32:32" x14ac:dyDescent="0.2">
      <c r="AF55690" s="679"/>
    </row>
    <row r="55691" spans="32:32" x14ac:dyDescent="0.2">
      <c r="AF55691" s="679"/>
    </row>
    <row r="55692" spans="32:32" x14ac:dyDescent="0.2">
      <c r="AF55692" s="679"/>
    </row>
    <row r="55693" spans="32:32" x14ac:dyDescent="0.2">
      <c r="AF55693" s="679"/>
    </row>
    <row r="55694" spans="32:32" x14ac:dyDescent="0.2">
      <c r="AF55694" s="679"/>
    </row>
    <row r="55695" spans="32:32" x14ac:dyDescent="0.2">
      <c r="AF55695" s="679"/>
    </row>
    <row r="55696" spans="32:32" x14ac:dyDescent="0.2">
      <c r="AF55696" s="679"/>
    </row>
    <row r="55697" spans="32:32" x14ac:dyDescent="0.2">
      <c r="AF55697" s="679"/>
    </row>
    <row r="55698" spans="32:32" x14ac:dyDescent="0.2">
      <c r="AF55698" s="679"/>
    </row>
    <row r="55699" spans="32:32" x14ac:dyDescent="0.2">
      <c r="AF55699" s="679"/>
    </row>
    <row r="55700" spans="32:32" x14ac:dyDescent="0.2">
      <c r="AF55700" s="679"/>
    </row>
    <row r="55701" spans="32:32" x14ac:dyDescent="0.2">
      <c r="AF55701" s="679"/>
    </row>
    <row r="55702" spans="32:32" x14ac:dyDescent="0.2">
      <c r="AF55702" s="679"/>
    </row>
    <row r="55703" spans="32:32" x14ac:dyDescent="0.2">
      <c r="AF55703" s="679"/>
    </row>
    <row r="55704" spans="32:32" x14ac:dyDescent="0.2">
      <c r="AF55704" s="679"/>
    </row>
    <row r="55705" spans="32:32" x14ac:dyDescent="0.2">
      <c r="AF55705" s="679"/>
    </row>
    <row r="55706" spans="32:32" x14ac:dyDescent="0.2">
      <c r="AF55706" s="679"/>
    </row>
    <row r="55707" spans="32:32" x14ac:dyDescent="0.2">
      <c r="AF55707" s="679"/>
    </row>
    <row r="55708" spans="32:32" x14ac:dyDescent="0.2">
      <c r="AF55708" s="679"/>
    </row>
    <row r="55709" spans="32:32" x14ac:dyDescent="0.2">
      <c r="AF55709" s="679"/>
    </row>
    <row r="55710" spans="32:32" x14ac:dyDescent="0.2">
      <c r="AF55710" s="679"/>
    </row>
    <row r="55711" spans="32:32" x14ac:dyDescent="0.2">
      <c r="AF55711" s="679"/>
    </row>
    <row r="55712" spans="32:32" x14ac:dyDescent="0.2">
      <c r="AF55712" s="679"/>
    </row>
    <row r="55713" spans="32:32" x14ac:dyDescent="0.2">
      <c r="AF55713" s="679"/>
    </row>
    <row r="55714" spans="32:32" x14ac:dyDescent="0.2">
      <c r="AF55714" s="679"/>
    </row>
    <row r="55715" spans="32:32" x14ac:dyDescent="0.2">
      <c r="AF55715" s="679"/>
    </row>
    <row r="55716" spans="32:32" x14ac:dyDescent="0.2">
      <c r="AF55716" s="679"/>
    </row>
    <row r="55717" spans="32:32" x14ac:dyDescent="0.2">
      <c r="AF55717" s="679"/>
    </row>
    <row r="55718" spans="32:32" x14ac:dyDescent="0.2">
      <c r="AF55718" s="679"/>
    </row>
    <row r="55719" spans="32:32" x14ac:dyDescent="0.2">
      <c r="AF55719" s="679"/>
    </row>
    <row r="55720" spans="32:32" x14ac:dyDescent="0.2">
      <c r="AF55720" s="679"/>
    </row>
    <row r="55721" spans="32:32" x14ac:dyDescent="0.2">
      <c r="AF55721" s="679"/>
    </row>
    <row r="55722" spans="32:32" x14ac:dyDescent="0.2">
      <c r="AF55722" s="679"/>
    </row>
    <row r="55723" spans="32:32" x14ac:dyDescent="0.2">
      <c r="AF55723" s="679"/>
    </row>
    <row r="55724" spans="32:32" x14ac:dyDescent="0.2">
      <c r="AF55724" s="679"/>
    </row>
    <row r="55725" spans="32:32" x14ac:dyDescent="0.2">
      <c r="AF55725" s="679"/>
    </row>
    <row r="55726" spans="32:32" x14ac:dyDescent="0.2">
      <c r="AF55726" s="679"/>
    </row>
    <row r="55727" spans="32:32" x14ac:dyDescent="0.2">
      <c r="AF55727" s="679"/>
    </row>
    <row r="55728" spans="32:32" x14ac:dyDescent="0.2">
      <c r="AF55728" s="679"/>
    </row>
    <row r="55729" spans="32:32" x14ac:dyDescent="0.2">
      <c r="AF55729" s="679"/>
    </row>
    <row r="55730" spans="32:32" x14ac:dyDescent="0.2">
      <c r="AF55730" s="679"/>
    </row>
    <row r="55731" spans="32:32" x14ac:dyDescent="0.2">
      <c r="AF55731" s="679"/>
    </row>
    <row r="55732" spans="32:32" x14ac:dyDescent="0.2">
      <c r="AF55732" s="679"/>
    </row>
    <row r="55733" spans="32:32" x14ac:dyDescent="0.2">
      <c r="AF55733" s="679"/>
    </row>
    <row r="55734" spans="32:32" x14ac:dyDescent="0.2">
      <c r="AF55734" s="679"/>
    </row>
    <row r="55735" spans="32:32" x14ac:dyDescent="0.2">
      <c r="AF55735" s="679"/>
    </row>
    <row r="55736" spans="32:32" x14ac:dyDescent="0.2">
      <c r="AF55736" s="679"/>
    </row>
    <row r="55737" spans="32:32" x14ac:dyDescent="0.2">
      <c r="AF55737" s="679"/>
    </row>
    <row r="55738" spans="32:32" x14ac:dyDescent="0.2">
      <c r="AF55738" s="679"/>
    </row>
    <row r="55739" spans="32:32" x14ac:dyDescent="0.2">
      <c r="AF55739" s="679"/>
    </row>
    <row r="55740" spans="32:32" x14ac:dyDescent="0.2">
      <c r="AF55740" s="679"/>
    </row>
    <row r="55741" spans="32:32" x14ac:dyDescent="0.2">
      <c r="AF55741" s="679"/>
    </row>
    <row r="55742" spans="32:32" x14ac:dyDescent="0.2">
      <c r="AF55742" s="679"/>
    </row>
    <row r="55743" spans="32:32" x14ac:dyDescent="0.2">
      <c r="AF55743" s="679"/>
    </row>
    <row r="55744" spans="32:32" x14ac:dyDescent="0.2">
      <c r="AF55744" s="679"/>
    </row>
    <row r="55745" spans="32:32" x14ac:dyDescent="0.2">
      <c r="AF55745" s="679"/>
    </row>
    <row r="55746" spans="32:32" x14ac:dyDescent="0.2">
      <c r="AF55746" s="679"/>
    </row>
    <row r="55747" spans="32:32" x14ac:dyDescent="0.2">
      <c r="AF55747" s="679"/>
    </row>
    <row r="55748" spans="32:32" x14ac:dyDescent="0.2">
      <c r="AF55748" s="679"/>
    </row>
    <row r="55749" spans="32:32" x14ac:dyDescent="0.2">
      <c r="AF55749" s="679"/>
    </row>
    <row r="55750" spans="32:32" x14ac:dyDescent="0.2">
      <c r="AF55750" s="679"/>
    </row>
    <row r="55751" spans="32:32" x14ac:dyDescent="0.2">
      <c r="AF55751" s="679"/>
    </row>
    <row r="55752" spans="32:32" x14ac:dyDescent="0.2">
      <c r="AF55752" s="679"/>
    </row>
    <row r="55753" spans="32:32" x14ac:dyDescent="0.2">
      <c r="AF55753" s="679"/>
    </row>
    <row r="55754" spans="32:32" x14ac:dyDescent="0.2">
      <c r="AF55754" s="679"/>
    </row>
    <row r="55755" spans="32:32" x14ac:dyDescent="0.2">
      <c r="AF55755" s="679"/>
    </row>
    <row r="55756" spans="32:32" x14ac:dyDescent="0.2">
      <c r="AF55756" s="679"/>
    </row>
    <row r="55757" spans="32:32" x14ac:dyDescent="0.2">
      <c r="AF55757" s="679"/>
    </row>
    <row r="55758" spans="32:32" x14ac:dyDescent="0.2">
      <c r="AF55758" s="679"/>
    </row>
    <row r="55759" spans="32:32" x14ac:dyDescent="0.2">
      <c r="AF55759" s="679"/>
    </row>
    <row r="55760" spans="32:32" x14ac:dyDescent="0.2">
      <c r="AF55760" s="679"/>
    </row>
    <row r="55761" spans="32:32" x14ac:dyDescent="0.2">
      <c r="AF55761" s="679"/>
    </row>
    <row r="55762" spans="32:32" x14ac:dyDescent="0.2">
      <c r="AF55762" s="679"/>
    </row>
    <row r="55763" spans="32:32" x14ac:dyDescent="0.2">
      <c r="AF55763" s="679"/>
    </row>
    <row r="55764" spans="32:32" x14ac:dyDescent="0.2">
      <c r="AF55764" s="679"/>
    </row>
    <row r="55765" spans="32:32" x14ac:dyDescent="0.2">
      <c r="AF55765" s="679"/>
    </row>
    <row r="55766" spans="32:32" x14ac:dyDescent="0.2">
      <c r="AF55766" s="679"/>
    </row>
    <row r="55767" spans="32:32" x14ac:dyDescent="0.2">
      <c r="AF55767" s="679"/>
    </row>
    <row r="55768" spans="32:32" x14ac:dyDescent="0.2">
      <c r="AF55768" s="679"/>
    </row>
    <row r="55769" spans="32:32" x14ac:dyDescent="0.2">
      <c r="AF55769" s="679"/>
    </row>
    <row r="55770" spans="32:32" x14ac:dyDescent="0.2">
      <c r="AF55770" s="679"/>
    </row>
    <row r="55771" spans="32:32" x14ac:dyDescent="0.2">
      <c r="AF55771" s="679"/>
    </row>
    <row r="55772" spans="32:32" x14ac:dyDescent="0.2">
      <c r="AF55772" s="679"/>
    </row>
    <row r="55773" spans="32:32" x14ac:dyDescent="0.2">
      <c r="AF55773" s="679"/>
    </row>
    <row r="55774" spans="32:32" x14ac:dyDescent="0.2">
      <c r="AF55774" s="679"/>
    </row>
    <row r="55775" spans="32:32" x14ac:dyDescent="0.2">
      <c r="AF55775" s="679"/>
    </row>
    <row r="55776" spans="32:32" x14ac:dyDescent="0.2">
      <c r="AF55776" s="679"/>
    </row>
    <row r="55777" spans="32:32" x14ac:dyDescent="0.2">
      <c r="AF55777" s="679"/>
    </row>
    <row r="55778" spans="32:32" x14ac:dyDescent="0.2">
      <c r="AF55778" s="679"/>
    </row>
    <row r="55779" spans="32:32" x14ac:dyDescent="0.2">
      <c r="AF55779" s="679"/>
    </row>
    <row r="55780" spans="32:32" x14ac:dyDescent="0.2">
      <c r="AF55780" s="679"/>
    </row>
    <row r="55781" spans="32:32" x14ac:dyDescent="0.2">
      <c r="AF55781" s="679"/>
    </row>
    <row r="55782" spans="32:32" x14ac:dyDescent="0.2">
      <c r="AF55782" s="679"/>
    </row>
    <row r="55783" spans="32:32" x14ac:dyDescent="0.2">
      <c r="AF55783" s="679"/>
    </row>
    <row r="55784" spans="32:32" x14ac:dyDescent="0.2">
      <c r="AF55784" s="679"/>
    </row>
    <row r="55785" spans="32:32" x14ac:dyDescent="0.2">
      <c r="AF55785" s="679"/>
    </row>
    <row r="55786" spans="32:32" x14ac:dyDescent="0.2">
      <c r="AF55786" s="679"/>
    </row>
    <row r="55787" spans="32:32" x14ac:dyDescent="0.2">
      <c r="AF55787" s="679"/>
    </row>
    <row r="55788" spans="32:32" x14ac:dyDescent="0.2">
      <c r="AF55788" s="679"/>
    </row>
    <row r="55789" spans="32:32" x14ac:dyDescent="0.2">
      <c r="AF55789" s="679"/>
    </row>
    <row r="55790" spans="32:32" x14ac:dyDescent="0.2">
      <c r="AF55790" s="679"/>
    </row>
    <row r="55791" spans="32:32" x14ac:dyDescent="0.2">
      <c r="AF55791" s="679"/>
    </row>
    <row r="55792" spans="32:32" x14ac:dyDescent="0.2">
      <c r="AF55792" s="679"/>
    </row>
    <row r="55793" spans="32:32" x14ac:dyDescent="0.2">
      <c r="AF55793" s="679"/>
    </row>
    <row r="55794" spans="32:32" x14ac:dyDescent="0.2">
      <c r="AF55794" s="679"/>
    </row>
    <row r="55795" spans="32:32" x14ac:dyDescent="0.2">
      <c r="AF55795" s="679"/>
    </row>
    <row r="55796" spans="32:32" x14ac:dyDescent="0.2">
      <c r="AF55796" s="679"/>
    </row>
    <row r="55797" spans="32:32" x14ac:dyDescent="0.2">
      <c r="AF55797" s="679"/>
    </row>
    <row r="55798" spans="32:32" x14ac:dyDescent="0.2">
      <c r="AF55798" s="679"/>
    </row>
    <row r="55799" spans="32:32" x14ac:dyDescent="0.2">
      <c r="AF55799" s="679"/>
    </row>
    <row r="55800" spans="32:32" x14ac:dyDescent="0.2">
      <c r="AF55800" s="679"/>
    </row>
    <row r="55801" spans="32:32" x14ac:dyDescent="0.2">
      <c r="AF55801" s="679"/>
    </row>
    <row r="55802" spans="32:32" x14ac:dyDescent="0.2">
      <c r="AF55802" s="679"/>
    </row>
    <row r="55803" spans="32:32" x14ac:dyDescent="0.2">
      <c r="AF55803" s="679"/>
    </row>
    <row r="55804" spans="32:32" x14ac:dyDescent="0.2">
      <c r="AF55804" s="679"/>
    </row>
    <row r="55805" spans="32:32" x14ac:dyDescent="0.2">
      <c r="AF55805" s="679"/>
    </row>
    <row r="55806" spans="32:32" x14ac:dyDescent="0.2">
      <c r="AF55806" s="679"/>
    </row>
    <row r="55807" spans="32:32" x14ac:dyDescent="0.2">
      <c r="AF55807" s="679"/>
    </row>
    <row r="55808" spans="32:32" x14ac:dyDescent="0.2">
      <c r="AF55808" s="679"/>
    </row>
    <row r="55809" spans="32:32" x14ac:dyDescent="0.2">
      <c r="AF55809" s="679"/>
    </row>
    <row r="55810" spans="32:32" x14ac:dyDescent="0.2">
      <c r="AF55810" s="679"/>
    </row>
    <row r="55811" spans="32:32" x14ac:dyDescent="0.2">
      <c r="AF55811" s="679"/>
    </row>
    <row r="55812" spans="32:32" x14ac:dyDescent="0.2">
      <c r="AF55812" s="679"/>
    </row>
    <row r="55813" spans="32:32" x14ac:dyDescent="0.2">
      <c r="AF55813" s="679"/>
    </row>
    <row r="55814" spans="32:32" x14ac:dyDescent="0.2">
      <c r="AF55814" s="679"/>
    </row>
    <row r="55815" spans="32:32" x14ac:dyDescent="0.2">
      <c r="AF55815" s="679"/>
    </row>
    <row r="55816" spans="32:32" x14ac:dyDescent="0.2">
      <c r="AF55816" s="679"/>
    </row>
    <row r="55817" spans="32:32" x14ac:dyDescent="0.2">
      <c r="AF55817" s="679"/>
    </row>
    <row r="55818" spans="32:32" x14ac:dyDescent="0.2">
      <c r="AF55818" s="679"/>
    </row>
    <row r="55819" spans="32:32" x14ac:dyDescent="0.2">
      <c r="AF55819" s="679"/>
    </row>
    <row r="55820" spans="32:32" x14ac:dyDescent="0.2">
      <c r="AF55820" s="679"/>
    </row>
    <row r="55821" spans="32:32" x14ac:dyDescent="0.2">
      <c r="AF55821" s="679"/>
    </row>
    <row r="55822" spans="32:32" x14ac:dyDescent="0.2">
      <c r="AF55822" s="679"/>
    </row>
    <row r="55823" spans="32:32" x14ac:dyDescent="0.2">
      <c r="AF55823" s="679"/>
    </row>
    <row r="55824" spans="32:32" x14ac:dyDescent="0.2">
      <c r="AF55824" s="679"/>
    </row>
    <row r="55825" spans="32:32" x14ac:dyDescent="0.2">
      <c r="AF55825" s="679"/>
    </row>
    <row r="55826" spans="32:32" x14ac:dyDescent="0.2">
      <c r="AF55826" s="679"/>
    </row>
    <row r="55827" spans="32:32" x14ac:dyDescent="0.2">
      <c r="AF55827" s="679"/>
    </row>
    <row r="55828" spans="32:32" x14ac:dyDescent="0.2">
      <c r="AF55828" s="679"/>
    </row>
    <row r="55829" spans="32:32" x14ac:dyDescent="0.2">
      <c r="AF55829" s="679"/>
    </row>
    <row r="55830" spans="32:32" x14ac:dyDescent="0.2">
      <c r="AF55830" s="679"/>
    </row>
    <row r="55831" spans="32:32" x14ac:dyDescent="0.2">
      <c r="AF55831" s="679"/>
    </row>
    <row r="55832" spans="32:32" x14ac:dyDescent="0.2">
      <c r="AF55832" s="679"/>
    </row>
    <row r="55833" spans="32:32" x14ac:dyDescent="0.2">
      <c r="AF55833" s="679"/>
    </row>
    <row r="55834" spans="32:32" x14ac:dyDescent="0.2">
      <c r="AF55834" s="679"/>
    </row>
    <row r="55835" spans="32:32" x14ac:dyDescent="0.2">
      <c r="AF55835" s="679"/>
    </row>
    <row r="55836" spans="32:32" x14ac:dyDescent="0.2">
      <c r="AF55836" s="679"/>
    </row>
    <row r="55837" spans="32:32" x14ac:dyDescent="0.2">
      <c r="AF55837" s="679"/>
    </row>
    <row r="55838" spans="32:32" x14ac:dyDescent="0.2">
      <c r="AF55838" s="679"/>
    </row>
    <row r="55839" spans="32:32" x14ac:dyDescent="0.2">
      <c r="AF55839" s="679"/>
    </row>
    <row r="55840" spans="32:32" x14ac:dyDescent="0.2">
      <c r="AF55840" s="679"/>
    </row>
    <row r="55841" spans="32:32" x14ac:dyDescent="0.2">
      <c r="AF55841" s="679"/>
    </row>
    <row r="55842" spans="32:32" x14ac:dyDescent="0.2">
      <c r="AF55842" s="679"/>
    </row>
    <row r="55843" spans="32:32" x14ac:dyDescent="0.2">
      <c r="AF55843" s="679"/>
    </row>
    <row r="55844" spans="32:32" x14ac:dyDescent="0.2">
      <c r="AF55844" s="679"/>
    </row>
    <row r="55845" spans="32:32" x14ac:dyDescent="0.2">
      <c r="AF55845" s="679"/>
    </row>
    <row r="55846" spans="32:32" x14ac:dyDescent="0.2">
      <c r="AF55846" s="679"/>
    </row>
    <row r="55847" spans="32:32" x14ac:dyDescent="0.2">
      <c r="AF55847" s="679"/>
    </row>
    <row r="55848" spans="32:32" x14ac:dyDescent="0.2">
      <c r="AF55848" s="679"/>
    </row>
    <row r="55849" spans="32:32" x14ac:dyDescent="0.2">
      <c r="AF55849" s="679"/>
    </row>
    <row r="55850" spans="32:32" x14ac:dyDescent="0.2">
      <c r="AF55850" s="679"/>
    </row>
    <row r="55851" spans="32:32" x14ac:dyDescent="0.2">
      <c r="AF55851" s="679"/>
    </row>
    <row r="55852" spans="32:32" x14ac:dyDescent="0.2">
      <c r="AF55852" s="679"/>
    </row>
    <row r="55853" spans="32:32" x14ac:dyDescent="0.2">
      <c r="AF55853" s="679"/>
    </row>
    <row r="55854" spans="32:32" x14ac:dyDescent="0.2">
      <c r="AF55854" s="679"/>
    </row>
    <row r="55855" spans="32:32" x14ac:dyDescent="0.2">
      <c r="AF55855" s="679"/>
    </row>
    <row r="55856" spans="32:32" x14ac:dyDescent="0.2">
      <c r="AF55856" s="679"/>
    </row>
    <row r="55857" spans="32:32" x14ac:dyDescent="0.2">
      <c r="AF55857" s="679"/>
    </row>
    <row r="55858" spans="32:32" x14ac:dyDescent="0.2">
      <c r="AF55858" s="679"/>
    </row>
    <row r="55859" spans="32:32" x14ac:dyDescent="0.2">
      <c r="AF55859" s="679"/>
    </row>
    <row r="55860" spans="32:32" x14ac:dyDescent="0.2">
      <c r="AF55860" s="679"/>
    </row>
    <row r="55861" spans="32:32" x14ac:dyDescent="0.2">
      <c r="AF55861" s="679"/>
    </row>
    <row r="55862" spans="32:32" x14ac:dyDescent="0.2">
      <c r="AF55862" s="679"/>
    </row>
    <row r="55863" spans="32:32" x14ac:dyDescent="0.2">
      <c r="AF55863" s="679"/>
    </row>
    <row r="55864" spans="32:32" x14ac:dyDescent="0.2">
      <c r="AF55864" s="679"/>
    </row>
    <row r="55865" spans="32:32" x14ac:dyDescent="0.2">
      <c r="AF55865" s="679"/>
    </row>
    <row r="55866" spans="32:32" x14ac:dyDescent="0.2">
      <c r="AF55866" s="679"/>
    </row>
    <row r="55867" spans="32:32" x14ac:dyDescent="0.2">
      <c r="AF55867" s="679"/>
    </row>
    <row r="55868" spans="32:32" x14ac:dyDescent="0.2">
      <c r="AF55868" s="679"/>
    </row>
    <row r="55869" spans="32:32" x14ac:dyDescent="0.2">
      <c r="AF55869" s="679"/>
    </row>
    <row r="55870" spans="32:32" x14ac:dyDescent="0.2">
      <c r="AF55870" s="679"/>
    </row>
    <row r="55871" spans="32:32" x14ac:dyDescent="0.2">
      <c r="AF55871" s="679"/>
    </row>
    <row r="55872" spans="32:32" x14ac:dyDescent="0.2">
      <c r="AF55872" s="679"/>
    </row>
    <row r="55873" spans="32:32" x14ac:dyDescent="0.2">
      <c r="AF55873" s="679"/>
    </row>
    <row r="55874" spans="32:32" x14ac:dyDescent="0.2">
      <c r="AF55874" s="679"/>
    </row>
    <row r="55875" spans="32:32" x14ac:dyDescent="0.2">
      <c r="AF55875" s="679"/>
    </row>
    <row r="55876" spans="32:32" x14ac:dyDescent="0.2">
      <c r="AF55876" s="679"/>
    </row>
    <row r="55877" spans="32:32" x14ac:dyDescent="0.2">
      <c r="AF55877" s="679"/>
    </row>
    <row r="55878" spans="32:32" x14ac:dyDescent="0.2">
      <c r="AF55878" s="679"/>
    </row>
    <row r="55879" spans="32:32" x14ac:dyDescent="0.2">
      <c r="AF55879" s="679"/>
    </row>
    <row r="55880" spans="32:32" x14ac:dyDescent="0.2">
      <c r="AF55880" s="679"/>
    </row>
    <row r="55881" spans="32:32" x14ac:dyDescent="0.2">
      <c r="AF55881" s="679"/>
    </row>
    <row r="55882" spans="32:32" x14ac:dyDescent="0.2">
      <c r="AF55882" s="679"/>
    </row>
    <row r="55883" spans="32:32" x14ac:dyDescent="0.2">
      <c r="AF55883" s="679"/>
    </row>
    <row r="55884" spans="32:32" x14ac:dyDescent="0.2">
      <c r="AF55884" s="679"/>
    </row>
    <row r="55885" spans="32:32" x14ac:dyDescent="0.2">
      <c r="AF55885" s="679"/>
    </row>
    <row r="55886" spans="32:32" x14ac:dyDescent="0.2">
      <c r="AF55886" s="679"/>
    </row>
    <row r="55887" spans="32:32" x14ac:dyDescent="0.2">
      <c r="AF55887" s="679"/>
    </row>
    <row r="55888" spans="32:32" x14ac:dyDescent="0.2">
      <c r="AF55888" s="679"/>
    </row>
    <row r="55889" spans="32:32" x14ac:dyDescent="0.2">
      <c r="AF55889" s="679"/>
    </row>
    <row r="55890" spans="32:32" x14ac:dyDescent="0.2">
      <c r="AF55890" s="679"/>
    </row>
    <row r="55891" spans="32:32" x14ac:dyDescent="0.2">
      <c r="AF55891" s="679"/>
    </row>
    <row r="55892" spans="32:32" x14ac:dyDescent="0.2">
      <c r="AF55892" s="679"/>
    </row>
    <row r="55893" spans="32:32" x14ac:dyDescent="0.2">
      <c r="AF55893" s="679"/>
    </row>
    <row r="55894" spans="32:32" x14ac:dyDescent="0.2">
      <c r="AF55894" s="679"/>
    </row>
    <row r="55895" spans="32:32" x14ac:dyDescent="0.2">
      <c r="AF55895" s="679"/>
    </row>
    <row r="55896" spans="32:32" x14ac:dyDescent="0.2">
      <c r="AF55896" s="679"/>
    </row>
    <row r="55897" spans="32:32" x14ac:dyDescent="0.2">
      <c r="AF55897" s="679"/>
    </row>
    <row r="55898" spans="32:32" x14ac:dyDescent="0.2">
      <c r="AF55898" s="679"/>
    </row>
    <row r="55899" spans="32:32" x14ac:dyDescent="0.2">
      <c r="AF55899" s="679"/>
    </row>
    <row r="55900" spans="32:32" x14ac:dyDescent="0.2">
      <c r="AF55900" s="679"/>
    </row>
    <row r="55901" spans="32:32" x14ac:dyDescent="0.2">
      <c r="AF55901" s="679"/>
    </row>
    <row r="55902" spans="32:32" x14ac:dyDescent="0.2">
      <c r="AF55902" s="679"/>
    </row>
    <row r="55903" spans="32:32" x14ac:dyDescent="0.2">
      <c r="AF55903" s="679"/>
    </row>
    <row r="55904" spans="32:32" x14ac:dyDescent="0.2">
      <c r="AF55904" s="679"/>
    </row>
    <row r="55905" spans="32:32" x14ac:dyDescent="0.2">
      <c r="AF55905" s="679"/>
    </row>
    <row r="55906" spans="32:32" x14ac:dyDescent="0.2">
      <c r="AF55906" s="679"/>
    </row>
    <row r="55907" spans="32:32" x14ac:dyDescent="0.2">
      <c r="AF55907" s="679"/>
    </row>
    <row r="55908" spans="32:32" x14ac:dyDescent="0.2">
      <c r="AF55908" s="679"/>
    </row>
    <row r="55909" spans="32:32" x14ac:dyDescent="0.2">
      <c r="AF55909" s="679"/>
    </row>
    <row r="55910" spans="32:32" x14ac:dyDescent="0.2">
      <c r="AF55910" s="679"/>
    </row>
    <row r="55911" spans="32:32" x14ac:dyDescent="0.2">
      <c r="AF55911" s="679"/>
    </row>
    <row r="55912" spans="32:32" x14ac:dyDescent="0.2">
      <c r="AF55912" s="679"/>
    </row>
    <row r="55913" spans="32:32" x14ac:dyDescent="0.2">
      <c r="AF55913" s="679"/>
    </row>
    <row r="55914" spans="32:32" x14ac:dyDescent="0.2">
      <c r="AF55914" s="679"/>
    </row>
    <row r="55915" spans="32:32" x14ac:dyDescent="0.2">
      <c r="AF55915" s="679"/>
    </row>
    <row r="55916" spans="32:32" x14ac:dyDescent="0.2">
      <c r="AF55916" s="679"/>
    </row>
    <row r="55917" spans="32:32" x14ac:dyDescent="0.2">
      <c r="AF55917" s="679"/>
    </row>
    <row r="55918" spans="32:32" x14ac:dyDescent="0.2">
      <c r="AF55918" s="679"/>
    </row>
    <row r="55919" spans="32:32" x14ac:dyDescent="0.2">
      <c r="AF55919" s="679"/>
    </row>
    <row r="55920" spans="32:32" x14ac:dyDescent="0.2">
      <c r="AF55920" s="679"/>
    </row>
    <row r="55921" spans="32:32" x14ac:dyDescent="0.2">
      <c r="AF55921" s="679"/>
    </row>
    <row r="55922" spans="32:32" x14ac:dyDescent="0.2">
      <c r="AF55922" s="679"/>
    </row>
    <row r="55923" spans="32:32" x14ac:dyDescent="0.2">
      <c r="AF55923" s="679"/>
    </row>
    <row r="55924" spans="32:32" x14ac:dyDescent="0.2">
      <c r="AF55924" s="679"/>
    </row>
    <row r="55925" spans="32:32" x14ac:dyDescent="0.2">
      <c r="AF55925" s="679"/>
    </row>
    <row r="55926" spans="32:32" x14ac:dyDescent="0.2">
      <c r="AF55926" s="679"/>
    </row>
    <row r="55927" spans="32:32" x14ac:dyDescent="0.2">
      <c r="AF55927" s="679"/>
    </row>
    <row r="55928" spans="32:32" x14ac:dyDescent="0.2">
      <c r="AF55928" s="679"/>
    </row>
    <row r="55929" spans="32:32" x14ac:dyDescent="0.2">
      <c r="AF55929" s="679"/>
    </row>
    <row r="55930" spans="32:32" x14ac:dyDescent="0.2">
      <c r="AF55930" s="679"/>
    </row>
    <row r="55931" spans="32:32" x14ac:dyDescent="0.2">
      <c r="AF55931" s="679"/>
    </row>
    <row r="55932" spans="32:32" x14ac:dyDescent="0.2">
      <c r="AF55932" s="679"/>
    </row>
    <row r="55933" spans="32:32" x14ac:dyDescent="0.2">
      <c r="AF55933" s="679"/>
    </row>
    <row r="55934" spans="32:32" x14ac:dyDescent="0.2">
      <c r="AF55934" s="679"/>
    </row>
    <row r="55935" spans="32:32" x14ac:dyDescent="0.2">
      <c r="AF55935" s="679"/>
    </row>
    <row r="55936" spans="32:32" x14ac:dyDescent="0.2">
      <c r="AF55936" s="679"/>
    </row>
    <row r="55937" spans="32:32" x14ac:dyDescent="0.2">
      <c r="AF55937" s="679"/>
    </row>
    <row r="55938" spans="32:32" x14ac:dyDescent="0.2">
      <c r="AF55938" s="679"/>
    </row>
    <row r="55939" spans="32:32" x14ac:dyDescent="0.2">
      <c r="AF55939" s="679"/>
    </row>
    <row r="55940" spans="32:32" x14ac:dyDescent="0.2">
      <c r="AF55940" s="679"/>
    </row>
    <row r="55941" spans="32:32" x14ac:dyDescent="0.2">
      <c r="AF55941" s="679"/>
    </row>
    <row r="55942" spans="32:32" x14ac:dyDescent="0.2">
      <c r="AF55942" s="679"/>
    </row>
    <row r="55943" spans="32:32" x14ac:dyDescent="0.2">
      <c r="AF55943" s="679"/>
    </row>
    <row r="55944" spans="32:32" x14ac:dyDescent="0.2">
      <c r="AF55944" s="679"/>
    </row>
    <row r="55945" spans="32:32" x14ac:dyDescent="0.2">
      <c r="AF55945" s="679"/>
    </row>
    <row r="55946" spans="32:32" x14ac:dyDescent="0.2">
      <c r="AF55946" s="679"/>
    </row>
    <row r="55947" spans="32:32" x14ac:dyDescent="0.2">
      <c r="AF55947" s="679"/>
    </row>
    <row r="55948" spans="32:32" x14ac:dyDescent="0.2">
      <c r="AF55948" s="679"/>
    </row>
    <row r="55949" spans="32:32" x14ac:dyDescent="0.2">
      <c r="AF55949" s="679"/>
    </row>
    <row r="55950" spans="32:32" x14ac:dyDescent="0.2">
      <c r="AF55950" s="679"/>
    </row>
    <row r="55951" spans="32:32" x14ac:dyDescent="0.2">
      <c r="AF55951" s="679"/>
    </row>
    <row r="55952" spans="32:32" x14ac:dyDescent="0.2">
      <c r="AF55952" s="679"/>
    </row>
    <row r="55953" spans="32:32" x14ac:dyDescent="0.2">
      <c r="AF55953" s="679"/>
    </row>
    <row r="55954" spans="32:32" x14ac:dyDescent="0.2">
      <c r="AF55954" s="679"/>
    </row>
    <row r="55955" spans="32:32" x14ac:dyDescent="0.2">
      <c r="AF55955" s="679"/>
    </row>
    <row r="55956" spans="32:32" x14ac:dyDescent="0.2">
      <c r="AF55956" s="679"/>
    </row>
    <row r="55957" spans="32:32" x14ac:dyDescent="0.2">
      <c r="AF55957" s="679"/>
    </row>
    <row r="55958" spans="32:32" x14ac:dyDescent="0.2">
      <c r="AF55958" s="679"/>
    </row>
    <row r="55959" spans="32:32" x14ac:dyDescent="0.2">
      <c r="AF55959" s="679"/>
    </row>
    <row r="55960" spans="32:32" x14ac:dyDescent="0.2">
      <c r="AF55960" s="679"/>
    </row>
    <row r="55961" spans="32:32" x14ac:dyDescent="0.2">
      <c r="AF55961" s="679"/>
    </row>
    <row r="55962" spans="32:32" x14ac:dyDescent="0.2">
      <c r="AF55962" s="679"/>
    </row>
    <row r="55963" spans="32:32" x14ac:dyDescent="0.2">
      <c r="AF55963" s="679"/>
    </row>
    <row r="55964" spans="32:32" x14ac:dyDescent="0.2">
      <c r="AF55964" s="679"/>
    </row>
    <row r="55965" spans="32:32" x14ac:dyDescent="0.2">
      <c r="AF55965" s="679"/>
    </row>
    <row r="55966" spans="32:32" x14ac:dyDescent="0.2">
      <c r="AF55966" s="679"/>
    </row>
    <row r="55967" spans="32:32" x14ac:dyDescent="0.2">
      <c r="AF55967" s="679"/>
    </row>
    <row r="55968" spans="32:32" x14ac:dyDescent="0.2">
      <c r="AF55968" s="679"/>
    </row>
    <row r="55969" spans="32:32" x14ac:dyDescent="0.2">
      <c r="AF55969" s="679"/>
    </row>
    <row r="55970" spans="32:32" x14ac:dyDescent="0.2">
      <c r="AF55970" s="679"/>
    </row>
    <row r="55971" spans="32:32" x14ac:dyDescent="0.2">
      <c r="AF55971" s="679"/>
    </row>
    <row r="55972" spans="32:32" x14ac:dyDescent="0.2">
      <c r="AF55972" s="679"/>
    </row>
    <row r="55973" spans="32:32" x14ac:dyDescent="0.2">
      <c r="AF55973" s="679"/>
    </row>
    <row r="55974" spans="32:32" x14ac:dyDescent="0.2">
      <c r="AF55974" s="679"/>
    </row>
    <row r="55975" spans="32:32" x14ac:dyDescent="0.2">
      <c r="AF55975" s="679"/>
    </row>
    <row r="55976" spans="32:32" x14ac:dyDescent="0.2">
      <c r="AF55976" s="679"/>
    </row>
    <row r="55977" spans="32:32" x14ac:dyDescent="0.2">
      <c r="AF55977" s="679"/>
    </row>
    <row r="55978" spans="32:32" x14ac:dyDescent="0.2">
      <c r="AF55978" s="679"/>
    </row>
    <row r="55979" spans="32:32" x14ac:dyDescent="0.2">
      <c r="AF55979" s="679"/>
    </row>
    <row r="55980" spans="32:32" x14ac:dyDescent="0.2">
      <c r="AF55980" s="679"/>
    </row>
    <row r="55981" spans="32:32" x14ac:dyDescent="0.2">
      <c r="AF55981" s="679"/>
    </row>
    <row r="55982" spans="32:32" x14ac:dyDescent="0.2">
      <c r="AF55982" s="679"/>
    </row>
    <row r="55983" spans="32:32" x14ac:dyDescent="0.2">
      <c r="AF55983" s="679"/>
    </row>
    <row r="55984" spans="32:32" x14ac:dyDescent="0.2">
      <c r="AF55984" s="679"/>
    </row>
    <row r="55985" spans="32:32" x14ac:dyDescent="0.2">
      <c r="AF55985" s="679"/>
    </row>
    <row r="55986" spans="32:32" x14ac:dyDescent="0.2">
      <c r="AF55986" s="679"/>
    </row>
    <row r="55987" spans="32:32" x14ac:dyDescent="0.2">
      <c r="AF55987" s="679"/>
    </row>
    <row r="55988" spans="32:32" x14ac:dyDescent="0.2">
      <c r="AF55988" s="679"/>
    </row>
    <row r="55989" spans="32:32" x14ac:dyDescent="0.2">
      <c r="AF55989" s="679"/>
    </row>
    <row r="55990" spans="32:32" x14ac:dyDescent="0.2">
      <c r="AF55990" s="679"/>
    </row>
    <row r="55991" spans="32:32" x14ac:dyDescent="0.2">
      <c r="AF55991" s="679"/>
    </row>
    <row r="55992" spans="32:32" x14ac:dyDescent="0.2">
      <c r="AF55992" s="679"/>
    </row>
    <row r="55993" spans="32:32" x14ac:dyDescent="0.2">
      <c r="AF55993" s="679"/>
    </row>
    <row r="55994" spans="32:32" x14ac:dyDescent="0.2">
      <c r="AF55994" s="679"/>
    </row>
    <row r="55995" spans="32:32" x14ac:dyDescent="0.2">
      <c r="AF55995" s="679"/>
    </row>
    <row r="55996" spans="32:32" x14ac:dyDescent="0.2">
      <c r="AF55996" s="679"/>
    </row>
    <row r="55997" spans="32:32" x14ac:dyDescent="0.2">
      <c r="AF55997" s="679"/>
    </row>
    <row r="55998" spans="32:32" x14ac:dyDescent="0.2">
      <c r="AF55998" s="679"/>
    </row>
    <row r="55999" spans="32:32" x14ac:dyDescent="0.2">
      <c r="AF55999" s="679"/>
    </row>
    <row r="56000" spans="32:32" x14ac:dyDescent="0.2">
      <c r="AF56000" s="679"/>
    </row>
    <row r="56001" spans="32:32" x14ac:dyDescent="0.2">
      <c r="AF56001" s="679"/>
    </row>
    <row r="56002" spans="32:32" x14ac:dyDescent="0.2">
      <c r="AF56002" s="679"/>
    </row>
    <row r="56003" spans="32:32" x14ac:dyDescent="0.2">
      <c r="AF56003" s="679"/>
    </row>
    <row r="56004" spans="32:32" x14ac:dyDescent="0.2">
      <c r="AF56004" s="679"/>
    </row>
    <row r="56005" spans="32:32" x14ac:dyDescent="0.2">
      <c r="AF56005" s="679"/>
    </row>
    <row r="56006" spans="32:32" x14ac:dyDescent="0.2">
      <c r="AF56006" s="679"/>
    </row>
    <row r="56007" spans="32:32" x14ac:dyDescent="0.2">
      <c r="AF56007" s="679"/>
    </row>
    <row r="56008" spans="32:32" x14ac:dyDescent="0.2">
      <c r="AF56008" s="679"/>
    </row>
    <row r="56009" spans="32:32" x14ac:dyDescent="0.2">
      <c r="AF56009" s="679"/>
    </row>
    <row r="56010" spans="32:32" x14ac:dyDescent="0.2">
      <c r="AF56010" s="679"/>
    </row>
    <row r="56011" spans="32:32" x14ac:dyDescent="0.2">
      <c r="AF56011" s="679"/>
    </row>
    <row r="56012" spans="32:32" x14ac:dyDescent="0.2">
      <c r="AF56012" s="679"/>
    </row>
    <row r="56013" spans="32:32" x14ac:dyDescent="0.2">
      <c r="AF56013" s="679"/>
    </row>
    <row r="56014" spans="32:32" x14ac:dyDescent="0.2">
      <c r="AF56014" s="679"/>
    </row>
    <row r="56015" spans="32:32" x14ac:dyDescent="0.2">
      <c r="AF56015" s="679"/>
    </row>
    <row r="56016" spans="32:32" x14ac:dyDescent="0.2">
      <c r="AF56016" s="679"/>
    </row>
    <row r="56017" spans="32:32" x14ac:dyDescent="0.2">
      <c r="AF56017" s="679"/>
    </row>
    <row r="56018" spans="32:32" x14ac:dyDescent="0.2">
      <c r="AF56018" s="679"/>
    </row>
    <row r="56019" spans="32:32" x14ac:dyDescent="0.2">
      <c r="AF56019" s="679"/>
    </row>
    <row r="56020" spans="32:32" x14ac:dyDescent="0.2">
      <c r="AF56020" s="679"/>
    </row>
    <row r="56021" spans="32:32" x14ac:dyDescent="0.2">
      <c r="AF56021" s="679"/>
    </row>
    <row r="56022" spans="32:32" x14ac:dyDescent="0.2">
      <c r="AF56022" s="679"/>
    </row>
    <row r="56023" spans="32:32" x14ac:dyDescent="0.2">
      <c r="AF56023" s="679"/>
    </row>
    <row r="56024" spans="32:32" x14ac:dyDescent="0.2">
      <c r="AF56024" s="679"/>
    </row>
    <row r="56025" spans="32:32" x14ac:dyDescent="0.2">
      <c r="AF56025" s="679"/>
    </row>
    <row r="56026" spans="32:32" x14ac:dyDescent="0.2">
      <c r="AF56026" s="679"/>
    </row>
    <row r="56027" spans="32:32" x14ac:dyDescent="0.2">
      <c r="AF56027" s="679"/>
    </row>
    <row r="56028" spans="32:32" x14ac:dyDescent="0.2">
      <c r="AF56028" s="679"/>
    </row>
    <row r="56029" spans="32:32" x14ac:dyDescent="0.2">
      <c r="AF56029" s="679"/>
    </row>
    <row r="56030" spans="32:32" x14ac:dyDescent="0.2">
      <c r="AF56030" s="679"/>
    </row>
    <row r="56031" spans="32:32" x14ac:dyDescent="0.2">
      <c r="AF56031" s="679"/>
    </row>
    <row r="56032" spans="32:32" x14ac:dyDescent="0.2">
      <c r="AF56032" s="679"/>
    </row>
    <row r="56033" spans="32:32" x14ac:dyDescent="0.2">
      <c r="AF56033" s="679"/>
    </row>
    <row r="56034" spans="32:32" x14ac:dyDescent="0.2">
      <c r="AF56034" s="679"/>
    </row>
    <row r="56035" spans="32:32" x14ac:dyDescent="0.2">
      <c r="AF56035" s="679"/>
    </row>
    <row r="56036" spans="32:32" x14ac:dyDescent="0.2">
      <c r="AF56036" s="679"/>
    </row>
    <row r="56037" spans="32:32" x14ac:dyDescent="0.2">
      <c r="AF56037" s="679"/>
    </row>
    <row r="56038" spans="32:32" x14ac:dyDescent="0.2">
      <c r="AF56038" s="679"/>
    </row>
    <row r="56039" spans="32:32" x14ac:dyDescent="0.2">
      <c r="AF56039" s="679"/>
    </row>
    <row r="56040" spans="32:32" x14ac:dyDescent="0.2">
      <c r="AF56040" s="679"/>
    </row>
    <row r="56041" spans="32:32" x14ac:dyDescent="0.2">
      <c r="AF56041" s="679"/>
    </row>
    <row r="56042" spans="32:32" x14ac:dyDescent="0.2">
      <c r="AF56042" s="679"/>
    </row>
    <row r="56043" spans="32:32" x14ac:dyDescent="0.2">
      <c r="AF56043" s="679"/>
    </row>
    <row r="56044" spans="32:32" x14ac:dyDescent="0.2">
      <c r="AF56044" s="679"/>
    </row>
    <row r="56045" spans="32:32" x14ac:dyDescent="0.2">
      <c r="AF56045" s="679"/>
    </row>
    <row r="56046" spans="32:32" x14ac:dyDescent="0.2">
      <c r="AF56046" s="679"/>
    </row>
    <row r="56047" spans="32:32" x14ac:dyDescent="0.2">
      <c r="AF56047" s="679"/>
    </row>
    <row r="56048" spans="32:32" x14ac:dyDescent="0.2">
      <c r="AF56048" s="679"/>
    </row>
    <row r="56049" spans="32:32" x14ac:dyDescent="0.2">
      <c r="AF56049" s="679"/>
    </row>
    <row r="56050" spans="32:32" x14ac:dyDescent="0.2">
      <c r="AF56050" s="679"/>
    </row>
    <row r="56051" spans="32:32" x14ac:dyDescent="0.2">
      <c r="AF56051" s="679"/>
    </row>
    <row r="56052" spans="32:32" x14ac:dyDescent="0.2">
      <c r="AF56052" s="679"/>
    </row>
    <row r="56053" spans="32:32" x14ac:dyDescent="0.2">
      <c r="AF56053" s="679"/>
    </row>
    <row r="56054" spans="32:32" x14ac:dyDescent="0.2">
      <c r="AF56054" s="679"/>
    </row>
    <row r="56055" spans="32:32" x14ac:dyDescent="0.2">
      <c r="AF56055" s="679"/>
    </row>
    <row r="56056" spans="32:32" x14ac:dyDescent="0.2">
      <c r="AF56056" s="679"/>
    </row>
    <row r="56057" spans="32:32" x14ac:dyDescent="0.2">
      <c r="AF56057" s="679"/>
    </row>
    <row r="56058" spans="32:32" x14ac:dyDescent="0.2">
      <c r="AF56058" s="679"/>
    </row>
    <row r="56059" spans="32:32" x14ac:dyDescent="0.2">
      <c r="AF56059" s="679"/>
    </row>
    <row r="56060" spans="32:32" x14ac:dyDescent="0.2">
      <c r="AF56060" s="679"/>
    </row>
    <row r="56061" spans="32:32" x14ac:dyDescent="0.2">
      <c r="AF56061" s="679"/>
    </row>
    <row r="56062" spans="32:32" x14ac:dyDescent="0.2">
      <c r="AF56062" s="679"/>
    </row>
    <row r="56063" spans="32:32" x14ac:dyDescent="0.2">
      <c r="AF56063" s="679"/>
    </row>
    <row r="56064" spans="32:32" x14ac:dyDescent="0.2">
      <c r="AF56064" s="679"/>
    </row>
    <row r="56065" spans="32:32" x14ac:dyDescent="0.2">
      <c r="AF56065" s="679"/>
    </row>
    <row r="56066" spans="32:32" x14ac:dyDescent="0.2">
      <c r="AF56066" s="679"/>
    </row>
    <row r="56067" spans="32:32" x14ac:dyDescent="0.2">
      <c r="AF56067" s="679"/>
    </row>
    <row r="56068" spans="32:32" x14ac:dyDescent="0.2">
      <c r="AF56068" s="679"/>
    </row>
    <row r="56069" spans="32:32" x14ac:dyDescent="0.2">
      <c r="AF56069" s="679"/>
    </row>
    <row r="56070" spans="32:32" x14ac:dyDescent="0.2">
      <c r="AF56070" s="679"/>
    </row>
    <row r="56071" spans="32:32" x14ac:dyDescent="0.2">
      <c r="AF56071" s="679"/>
    </row>
    <row r="56072" spans="32:32" x14ac:dyDescent="0.2">
      <c r="AF56072" s="679"/>
    </row>
    <row r="56073" spans="32:32" x14ac:dyDescent="0.2">
      <c r="AF56073" s="679"/>
    </row>
    <row r="56074" spans="32:32" x14ac:dyDescent="0.2">
      <c r="AF56074" s="679"/>
    </row>
    <row r="56075" spans="32:32" x14ac:dyDescent="0.2">
      <c r="AF56075" s="679"/>
    </row>
    <row r="56076" spans="32:32" x14ac:dyDescent="0.2">
      <c r="AF56076" s="679"/>
    </row>
    <row r="56077" spans="32:32" x14ac:dyDescent="0.2">
      <c r="AF56077" s="679"/>
    </row>
    <row r="56078" spans="32:32" x14ac:dyDescent="0.2">
      <c r="AF56078" s="679"/>
    </row>
    <row r="56079" spans="32:32" x14ac:dyDescent="0.2">
      <c r="AF56079" s="679"/>
    </row>
    <row r="56080" spans="32:32" x14ac:dyDescent="0.2">
      <c r="AF56080" s="679"/>
    </row>
    <row r="56081" spans="32:32" x14ac:dyDescent="0.2">
      <c r="AF56081" s="679"/>
    </row>
    <row r="56082" spans="32:32" x14ac:dyDescent="0.2">
      <c r="AF56082" s="679"/>
    </row>
    <row r="56083" spans="32:32" x14ac:dyDescent="0.2">
      <c r="AF56083" s="679"/>
    </row>
    <row r="56084" spans="32:32" x14ac:dyDescent="0.2">
      <c r="AF56084" s="679"/>
    </row>
    <row r="56085" spans="32:32" x14ac:dyDescent="0.2">
      <c r="AF56085" s="679"/>
    </row>
    <row r="56086" spans="32:32" x14ac:dyDescent="0.2">
      <c r="AF56086" s="679"/>
    </row>
    <row r="56087" spans="32:32" x14ac:dyDescent="0.2">
      <c r="AF56087" s="679"/>
    </row>
    <row r="56088" spans="32:32" x14ac:dyDescent="0.2">
      <c r="AF56088" s="679"/>
    </row>
    <row r="56089" spans="32:32" x14ac:dyDescent="0.2">
      <c r="AF56089" s="679"/>
    </row>
    <row r="56090" spans="32:32" x14ac:dyDescent="0.2">
      <c r="AF56090" s="679"/>
    </row>
    <row r="56091" spans="32:32" x14ac:dyDescent="0.2">
      <c r="AF56091" s="679"/>
    </row>
    <row r="56092" spans="32:32" x14ac:dyDescent="0.2">
      <c r="AF56092" s="679"/>
    </row>
    <row r="56093" spans="32:32" x14ac:dyDescent="0.2">
      <c r="AF56093" s="679"/>
    </row>
    <row r="56094" spans="32:32" x14ac:dyDescent="0.2">
      <c r="AF56094" s="679"/>
    </row>
    <row r="56095" spans="32:32" x14ac:dyDescent="0.2">
      <c r="AF56095" s="679"/>
    </row>
    <row r="56096" spans="32:32" x14ac:dyDescent="0.2">
      <c r="AF56096" s="679"/>
    </row>
    <row r="56097" spans="32:32" x14ac:dyDescent="0.2">
      <c r="AF56097" s="679"/>
    </row>
    <row r="56098" spans="32:32" x14ac:dyDescent="0.2">
      <c r="AF56098" s="679"/>
    </row>
    <row r="56099" spans="32:32" x14ac:dyDescent="0.2">
      <c r="AF56099" s="679"/>
    </row>
    <row r="56100" spans="32:32" x14ac:dyDescent="0.2">
      <c r="AF56100" s="679"/>
    </row>
    <row r="56101" spans="32:32" x14ac:dyDescent="0.2">
      <c r="AF56101" s="679"/>
    </row>
    <row r="56102" spans="32:32" x14ac:dyDescent="0.2">
      <c r="AF56102" s="679"/>
    </row>
    <row r="56103" spans="32:32" x14ac:dyDescent="0.2">
      <c r="AF56103" s="679"/>
    </row>
    <row r="56104" spans="32:32" x14ac:dyDescent="0.2">
      <c r="AF56104" s="679"/>
    </row>
    <row r="56105" spans="32:32" x14ac:dyDescent="0.2">
      <c r="AF56105" s="679"/>
    </row>
    <row r="56106" spans="32:32" x14ac:dyDescent="0.2">
      <c r="AF56106" s="679"/>
    </row>
    <row r="56107" spans="32:32" x14ac:dyDescent="0.2">
      <c r="AF56107" s="679"/>
    </row>
    <row r="56108" spans="32:32" x14ac:dyDescent="0.2">
      <c r="AF56108" s="679"/>
    </row>
    <row r="56109" spans="32:32" x14ac:dyDescent="0.2">
      <c r="AF56109" s="679"/>
    </row>
    <row r="56110" spans="32:32" x14ac:dyDescent="0.2">
      <c r="AF56110" s="679"/>
    </row>
    <row r="56111" spans="32:32" x14ac:dyDescent="0.2">
      <c r="AF56111" s="679"/>
    </row>
    <row r="56112" spans="32:32" x14ac:dyDescent="0.2">
      <c r="AF56112" s="679"/>
    </row>
    <row r="56113" spans="32:32" x14ac:dyDescent="0.2">
      <c r="AF56113" s="679"/>
    </row>
    <row r="56114" spans="32:32" x14ac:dyDescent="0.2">
      <c r="AF56114" s="679"/>
    </row>
    <row r="56115" spans="32:32" x14ac:dyDescent="0.2">
      <c r="AF56115" s="679"/>
    </row>
    <row r="56116" spans="32:32" x14ac:dyDescent="0.2">
      <c r="AF56116" s="679"/>
    </row>
    <row r="56117" spans="32:32" x14ac:dyDescent="0.2">
      <c r="AF56117" s="679"/>
    </row>
    <row r="56118" spans="32:32" x14ac:dyDescent="0.2">
      <c r="AF56118" s="679"/>
    </row>
    <row r="56119" spans="32:32" x14ac:dyDescent="0.2">
      <c r="AF56119" s="679"/>
    </row>
    <row r="56120" spans="32:32" x14ac:dyDescent="0.2">
      <c r="AF56120" s="679"/>
    </row>
    <row r="56121" spans="32:32" x14ac:dyDescent="0.2">
      <c r="AF56121" s="679"/>
    </row>
    <row r="56122" spans="32:32" x14ac:dyDescent="0.2">
      <c r="AF56122" s="679"/>
    </row>
    <row r="56123" spans="32:32" x14ac:dyDescent="0.2">
      <c r="AF56123" s="679"/>
    </row>
    <row r="56124" spans="32:32" x14ac:dyDescent="0.2">
      <c r="AF56124" s="679"/>
    </row>
    <row r="56125" spans="32:32" x14ac:dyDescent="0.2">
      <c r="AF56125" s="679"/>
    </row>
    <row r="56126" spans="32:32" x14ac:dyDescent="0.2">
      <c r="AF56126" s="679"/>
    </row>
    <row r="56127" spans="32:32" x14ac:dyDescent="0.2">
      <c r="AF56127" s="679"/>
    </row>
    <row r="56128" spans="32:32" x14ac:dyDescent="0.2">
      <c r="AF56128" s="679"/>
    </row>
    <row r="56129" spans="32:32" x14ac:dyDescent="0.2">
      <c r="AF56129" s="679"/>
    </row>
    <row r="56130" spans="32:32" x14ac:dyDescent="0.2">
      <c r="AF56130" s="679"/>
    </row>
    <row r="56131" spans="32:32" x14ac:dyDescent="0.2">
      <c r="AF56131" s="679"/>
    </row>
    <row r="56132" spans="32:32" x14ac:dyDescent="0.2">
      <c r="AF56132" s="679"/>
    </row>
    <row r="56133" spans="32:32" x14ac:dyDescent="0.2">
      <c r="AF56133" s="679"/>
    </row>
    <row r="56134" spans="32:32" x14ac:dyDescent="0.2">
      <c r="AF56134" s="679"/>
    </row>
    <row r="56135" spans="32:32" x14ac:dyDescent="0.2">
      <c r="AF56135" s="679"/>
    </row>
    <row r="56136" spans="32:32" x14ac:dyDescent="0.2">
      <c r="AF56136" s="679"/>
    </row>
    <row r="56137" spans="32:32" x14ac:dyDescent="0.2">
      <c r="AF56137" s="679"/>
    </row>
    <row r="56138" spans="32:32" x14ac:dyDescent="0.2">
      <c r="AF56138" s="679"/>
    </row>
    <row r="56139" spans="32:32" x14ac:dyDescent="0.2">
      <c r="AF56139" s="679"/>
    </row>
    <row r="56140" spans="32:32" x14ac:dyDescent="0.2">
      <c r="AF56140" s="679"/>
    </row>
    <row r="56141" spans="32:32" x14ac:dyDescent="0.2">
      <c r="AF56141" s="679"/>
    </row>
    <row r="56142" spans="32:32" x14ac:dyDescent="0.2">
      <c r="AF56142" s="679"/>
    </row>
    <row r="56143" spans="32:32" x14ac:dyDescent="0.2">
      <c r="AF56143" s="679"/>
    </row>
    <row r="56144" spans="32:32" x14ac:dyDescent="0.2">
      <c r="AF56144" s="679"/>
    </row>
    <row r="56145" spans="32:32" x14ac:dyDescent="0.2">
      <c r="AF56145" s="679"/>
    </row>
    <row r="56146" spans="32:32" x14ac:dyDescent="0.2">
      <c r="AF56146" s="679"/>
    </row>
    <row r="56147" spans="32:32" x14ac:dyDescent="0.2">
      <c r="AF56147" s="679"/>
    </row>
    <row r="56148" spans="32:32" x14ac:dyDescent="0.2">
      <c r="AF56148" s="679"/>
    </row>
    <row r="56149" spans="32:32" x14ac:dyDescent="0.2">
      <c r="AF56149" s="679"/>
    </row>
    <row r="56150" spans="32:32" x14ac:dyDescent="0.2">
      <c r="AF56150" s="679"/>
    </row>
    <row r="56151" spans="32:32" x14ac:dyDescent="0.2">
      <c r="AF56151" s="679"/>
    </row>
    <row r="56152" spans="32:32" x14ac:dyDescent="0.2">
      <c r="AF56152" s="679"/>
    </row>
    <row r="56153" spans="32:32" x14ac:dyDescent="0.2">
      <c r="AF56153" s="679"/>
    </row>
    <row r="56154" spans="32:32" x14ac:dyDescent="0.2">
      <c r="AF56154" s="679"/>
    </row>
    <row r="56155" spans="32:32" x14ac:dyDescent="0.2">
      <c r="AF56155" s="679"/>
    </row>
    <row r="56156" spans="32:32" x14ac:dyDescent="0.2">
      <c r="AF56156" s="679"/>
    </row>
    <row r="56157" spans="32:32" x14ac:dyDescent="0.2">
      <c r="AF56157" s="679"/>
    </row>
    <row r="56158" spans="32:32" x14ac:dyDescent="0.2">
      <c r="AF56158" s="679"/>
    </row>
    <row r="56159" spans="32:32" x14ac:dyDescent="0.2">
      <c r="AF56159" s="679"/>
    </row>
    <row r="56160" spans="32:32" x14ac:dyDescent="0.2">
      <c r="AF56160" s="679"/>
    </row>
    <row r="56161" spans="32:32" x14ac:dyDescent="0.2">
      <c r="AF56161" s="679"/>
    </row>
    <row r="56162" spans="32:32" x14ac:dyDescent="0.2">
      <c r="AF56162" s="679"/>
    </row>
    <row r="56163" spans="32:32" x14ac:dyDescent="0.2">
      <c r="AF56163" s="679"/>
    </row>
    <row r="56164" spans="32:32" x14ac:dyDescent="0.2">
      <c r="AF56164" s="679"/>
    </row>
    <row r="56165" spans="32:32" x14ac:dyDescent="0.2">
      <c r="AF56165" s="679"/>
    </row>
    <row r="56166" spans="32:32" x14ac:dyDescent="0.2">
      <c r="AF56166" s="679"/>
    </row>
    <row r="56167" spans="32:32" x14ac:dyDescent="0.2">
      <c r="AF56167" s="679"/>
    </row>
    <row r="56168" spans="32:32" x14ac:dyDescent="0.2">
      <c r="AF56168" s="679"/>
    </row>
    <row r="56169" spans="32:32" x14ac:dyDescent="0.2">
      <c r="AF56169" s="679"/>
    </row>
    <row r="56170" spans="32:32" x14ac:dyDescent="0.2">
      <c r="AF56170" s="679"/>
    </row>
    <row r="56171" spans="32:32" x14ac:dyDescent="0.2">
      <c r="AF56171" s="679"/>
    </row>
    <row r="56172" spans="32:32" x14ac:dyDescent="0.2">
      <c r="AF56172" s="679"/>
    </row>
    <row r="56173" spans="32:32" x14ac:dyDescent="0.2">
      <c r="AF56173" s="679"/>
    </row>
    <row r="56174" spans="32:32" x14ac:dyDescent="0.2">
      <c r="AF56174" s="679"/>
    </row>
    <row r="56175" spans="32:32" x14ac:dyDescent="0.2">
      <c r="AF56175" s="679"/>
    </row>
    <row r="56176" spans="32:32" x14ac:dyDescent="0.2">
      <c r="AF56176" s="679"/>
    </row>
    <row r="56177" spans="32:32" x14ac:dyDescent="0.2">
      <c r="AF56177" s="679"/>
    </row>
    <row r="56178" spans="32:32" x14ac:dyDescent="0.2">
      <c r="AF56178" s="679"/>
    </row>
    <row r="56179" spans="32:32" x14ac:dyDescent="0.2">
      <c r="AF56179" s="679"/>
    </row>
    <row r="56180" spans="32:32" x14ac:dyDescent="0.2">
      <c r="AF56180" s="679"/>
    </row>
    <row r="56181" spans="32:32" x14ac:dyDescent="0.2">
      <c r="AF56181" s="679"/>
    </row>
    <row r="56182" spans="32:32" x14ac:dyDescent="0.2">
      <c r="AF56182" s="679"/>
    </row>
    <row r="56183" spans="32:32" x14ac:dyDescent="0.2">
      <c r="AF56183" s="679"/>
    </row>
    <row r="56184" spans="32:32" x14ac:dyDescent="0.2">
      <c r="AF56184" s="679"/>
    </row>
    <row r="56185" spans="32:32" x14ac:dyDescent="0.2">
      <c r="AF56185" s="679"/>
    </row>
    <row r="56186" spans="32:32" x14ac:dyDescent="0.2">
      <c r="AF56186" s="679"/>
    </row>
    <row r="56187" spans="32:32" x14ac:dyDescent="0.2">
      <c r="AF56187" s="679"/>
    </row>
    <row r="56188" spans="32:32" x14ac:dyDescent="0.2">
      <c r="AF56188" s="679"/>
    </row>
    <row r="56189" spans="32:32" x14ac:dyDescent="0.2">
      <c r="AF56189" s="679"/>
    </row>
    <row r="56190" spans="32:32" x14ac:dyDescent="0.2">
      <c r="AF56190" s="679"/>
    </row>
    <row r="56191" spans="32:32" x14ac:dyDescent="0.2">
      <c r="AF56191" s="679"/>
    </row>
    <row r="56192" spans="32:32" x14ac:dyDescent="0.2">
      <c r="AF56192" s="679"/>
    </row>
    <row r="56193" spans="32:32" x14ac:dyDescent="0.2">
      <c r="AF56193" s="679"/>
    </row>
    <row r="56194" spans="32:32" x14ac:dyDescent="0.2">
      <c r="AF56194" s="679"/>
    </row>
    <row r="56195" spans="32:32" x14ac:dyDescent="0.2">
      <c r="AF56195" s="679"/>
    </row>
    <row r="56196" spans="32:32" x14ac:dyDescent="0.2">
      <c r="AF56196" s="679"/>
    </row>
    <row r="56197" spans="32:32" x14ac:dyDescent="0.2">
      <c r="AF56197" s="679"/>
    </row>
    <row r="56198" spans="32:32" x14ac:dyDescent="0.2">
      <c r="AF56198" s="679"/>
    </row>
    <row r="56199" spans="32:32" x14ac:dyDescent="0.2">
      <c r="AF56199" s="679"/>
    </row>
    <row r="56200" spans="32:32" x14ac:dyDescent="0.2">
      <c r="AF56200" s="679"/>
    </row>
    <row r="56201" spans="32:32" x14ac:dyDescent="0.2">
      <c r="AF56201" s="679"/>
    </row>
    <row r="56202" spans="32:32" x14ac:dyDescent="0.2">
      <c r="AF56202" s="679"/>
    </row>
    <row r="56203" spans="32:32" x14ac:dyDescent="0.2">
      <c r="AF56203" s="679"/>
    </row>
    <row r="56204" spans="32:32" x14ac:dyDescent="0.2">
      <c r="AF56204" s="679"/>
    </row>
    <row r="56205" spans="32:32" x14ac:dyDescent="0.2">
      <c r="AF56205" s="679"/>
    </row>
    <row r="56206" spans="32:32" x14ac:dyDescent="0.2">
      <c r="AF56206" s="679"/>
    </row>
    <row r="56207" spans="32:32" x14ac:dyDescent="0.2">
      <c r="AF56207" s="679"/>
    </row>
    <row r="56208" spans="32:32" x14ac:dyDescent="0.2">
      <c r="AF56208" s="679"/>
    </row>
    <row r="56209" spans="32:32" x14ac:dyDescent="0.2">
      <c r="AF56209" s="679"/>
    </row>
    <row r="56210" spans="32:32" x14ac:dyDescent="0.2">
      <c r="AF56210" s="679"/>
    </row>
    <row r="56211" spans="32:32" x14ac:dyDescent="0.2">
      <c r="AF56211" s="679"/>
    </row>
    <row r="56212" spans="32:32" x14ac:dyDescent="0.2">
      <c r="AF56212" s="679"/>
    </row>
    <row r="56213" spans="32:32" x14ac:dyDescent="0.2">
      <c r="AF56213" s="679"/>
    </row>
    <row r="56214" spans="32:32" x14ac:dyDescent="0.2">
      <c r="AF56214" s="679"/>
    </row>
    <row r="56215" spans="32:32" x14ac:dyDescent="0.2">
      <c r="AF56215" s="679"/>
    </row>
    <row r="56216" spans="32:32" x14ac:dyDescent="0.2">
      <c r="AF56216" s="679"/>
    </row>
    <row r="56217" spans="32:32" x14ac:dyDescent="0.2">
      <c r="AF56217" s="679"/>
    </row>
    <row r="56218" spans="32:32" x14ac:dyDescent="0.2">
      <c r="AF56218" s="679"/>
    </row>
    <row r="56219" spans="32:32" x14ac:dyDescent="0.2">
      <c r="AF56219" s="679"/>
    </row>
    <row r="56220" spans="32:32" x14ac:dyDescent="0.2">
      <c r="AF56220" s="679"/>
    </row>
    <row r="56221" spans="32:32" x14ac:dyDescent="0.2">
      <c r="AF56221" s="679"/>
    </row>
    <row r="56222" spans="32:32" x14ac:dyDescent="0.2">
      <c r="AF56222" s="679"/>
    </row>
    <row r="56223" spans="32:32" x14ac:dyDescent="0.2">
      <c r="AF56223" s="679"/>
    </row>
    <row r="56224" spans="32:32" x14ac:dyDescent="0.2">
      <c r="AF56224" s="679"/>
    </row>
    <row r="56225" spans="32:32" x14ac:dyDescent="0.2">
      <c r="AF56225" s="679"/>
    </row>
    <row r="56226" spans="32:32" x14ac:dyDescent="0.2">
      <c r="AF56226" s="679"/>
    </row>
    <row r="56227" spans="32:32" x14ac:dyDescent="0.2">
      <c r="AF56227" s="679"/>
    </row>
    <row r="56228" spans="32:32" x14ac:dyDescent="0.2">
      <c r="AF56228" s="679"/>
    </row>
    <row r="56229" spans="32:32" x14ac:dyDescent="0.2">
      <c r="AF56229" s="679"/>
    </row>
    <row r="56230" spans="32:32" x14ac:dyDescent="0.2">
      <c r="AF56230" s="679"/>
    </row>
    <row r="56231" spans="32:32" x14ac:dyDescent="0.2">
      <c r="AF56231" s="679"/>
    </row>
    <row r="56232" spans="32:32" x14ac:dyDescent="0.2">
      <c r="AF56232" s="679"/>
    </row>
    <row r="56233" spans="32:32" x14ac:dyDescent="0.2">
      <c r="AF56233" s="679"/>
    </row>
    <row r="56234" spans="32:32" x14ac:dyDescent="0.2">
      <c r="AF56234" s="679"/>
    </row>
    <row r="56235" spans="32:32" x14ac:dyDescent="0.2">
      <c r="AF56235" s="679"/>
    </row>
    <row r="56236" spans="32:32" x14ac:dyDescent="0.2">
      <c r="AF56236" s="679"/>
    </row>
    <row r="56237" spans="32:32" x14ac:dyDescent="0.2">
      <c r="AF56237" s="679"/>
    </row>
    <row r="56238" spans="32:32" x14ac:dyDescent="0.2">
      <c r="AF56238" s="679"/>
    </row>
    <row r="56239" spans="32:32" x14ac:dyDescent="0.2">
      <c r="AF56239" s="679"/>
    </row>
    <row r="56240" spans="32:32" x14ac:dyDescent="0.2">
      <c r="AF56240" s="679"/>
    </row>
    <row r="56241" spans="32:32" x14ac:dyDescent="0.2">
      <c r="AF56241" s="679"/>
    </row>
    <row r="56242" spans="32:32" x14ac:dyDescent="0.2">
      <c r="AF56242" s="679"/>
    </row>
    <row r="56243" spans="32:32" x14ac:dyDescent="0.2">
      <c r="AF56243" s="679"/>
    </row>
    <row r="56244" spans="32:32" x14ac:dyDescent="0.2">
      <c r="AF56244" s="679"/>
    </row>
    <row r="56245" spans="32:32" x14ac:dyDescent="0.2">
      <c r="AF56245" s="679"/>
    </row>
    <row r="56246" spans="32:32" x14ac:dyDescent="0.2">
      <c r="AF56246" s="679"/>
    </row>
    <row r="56247" spans="32:32" x14ac:dyDescent="0.2">
      <c r="AF56247" s="679"/>
    </row>
    <row r="56248" spans="32:32" x14ac:dyDescent="0.2">
      <c r="AF56248" s="679"/>
    </row>
    <row r="56249" spans="32:32" x14ac:dyDescent="0.2">
      <c r="AF56249" s="679"/>
    </row>
    <row r="56250" spans="32:32" x14ac:dyDescent="0.2">
      <c r="AF56250" s="679"/>
    </row>
    <row r="56251" spans="32:32" x14ac:dyDescent="0.2">
      <c r="AF56251" s="679"/>
    </row>
    <row r="56252" spans="32:32" x14ac:dyDescent="0.2">
      <c r="AF56252" s="679"/>
    </row>
    <row r="56253" spans="32:32" x14ac:dyDescent="0.2">
      <c r="AF56253" s="679"/>
    </row>
    <row r="56254" spans="32:32" x14ac:dyDescent="0.2">
      <c r="AF56254" s="679"/>
    </row>
    <row r="56255" spans="32:32" x14ac:dyDescent="0.2">
      <c r="AF56255" s="679"/>
    </row>
    <row r="56256" spans="32:32" x14ac:dyDescent="0.2">
      <c r="AF56256" s="679"/>
    </row>
    <row r="56257" spans="32:32" x14ac:dyDescent="0.2">
      <c r="AF56257" s="679"/>
    </row>
    <row r="56258" spans="32:32" x14ac:dyDescent="0.2">
      <c r="AF56258" s="679"/>
    </row>
    <row r="56259" spans="32:32" x14ac:dyDescent="0.2">
      <c r="AF56259" s="679"/>
    </row>
    <row r="56260" spans="32:32" x14ac:dyDescent="0.2">
      <c r="AF56260" s="679"/>
    </row>
    <row r="56261" spans="32:32" x14ac:dyDescent="0.2">
      <c r="AF56261" s="679"/>
    </row>
    <row r="56262" spans="32:32" x14ac:dyDescent="0.2">
      <c r="AF56262" s="679"/>
    </row>
    <row r="56263" spans="32:32" x14ac:dyDescent="0.2">
      <c r="AF56263" s="679"/>
    </row>
    <row r="56264" spans="32:32" x14ac:dyDescent="0.2">
      <c r="AF56264" s="679"/>
    </row>
    <row r="56265" spans="32:32" x14ac:dyDescent="0.2">
      <c r="AF56265" s="679"/>
    </row>
    <row r="56266" spans="32:32" x14ac:dyDescent="0.2">
      <c r="AF56266" s="679"/>
    </row>
    <row r="56267" spans="32:32" x14ac:dyDescent="0.2">
      <c r="AF56267" s="679"/>
    </row>
    <row r="56268" spans="32:32" x14ac:dyDescent="0.2">
      <c r="AF56268" s="679"/>
    </row>
    <row r="56269" spans="32:32" x14ac:dyDescent="0.2">
      <c r="AF56269" s="679"/>
    </row>
    <row r="56270" spans="32:32" x14ac:dyDescent="0.2">
      <c r="AF56270" s="679"/>
    </row>
    <row r="56271" spans="32:32" x14ac:dyDescent="0.2">
      <c r="AF56271" s="679"/>
    </row>
    <row r="56272" spans="32:32" x14ac:dyDescent="0.2">
      <c r="AF56272" s="679"/>
    </row>
    <row r="56273" spans="32:32" x14ac:dyDescent="0.2">
      <c r="AF56273" s="679"/>
    </row>
    <row r="56274" spans="32:32" x14ac:dyDescent="0.2">
      <c r="AF56274" s="679"/>
    </row>
    <row r="56275" spans="32:32" x14ac:dyDescent="0.2">
      <c r="AF56275" s="679"/>
    </row>
    <row r="56276" spans="32:32" x14ac:dyDescent="0.2">
      <c r="AF56276" s="679"/>
    </row>
    <row r="56277" spans="32:32" x14ac:dyDescent="0.2">
      <c r="AF56277" s="679"/>
    </row>
    <row r="56278" spans="32:32" x14ac:dyDescent="0.2">
      <c r="AF56278" s="679"/>
    </row>
    <row r="56279" spans="32:32" x14ac:dyDescent="0.2">
      <c r="AF56279" s="679"/>
    </row>
    <row r="56280" spans="32:32" x14ac:dyDescent="0.2">
      <c r="AF56280" s="679"/>
    </row>
    <row r="56281" spans="32:32" x14ac:dyDescent="0.2">
      <c r="AF56281" s="679"/>
    </row>
    <row r="56282" spans="32:32" x14ac:dyDescent="0.2">
      <c r="AF56282" s="679"/>
    </row>
    <row r="56283" spans="32:32" x14ac:dyDescent="0.2">
      <c r="AF56283" s="679"/>
    </row>
    <row r="56284" spans="32:32" x14ac:dyDescent="0.2">
      <c r="AF56284" s="679"/>
    </row>
    <row r="56285" spans="32:32" x14ac:dyDescent="0.2">
      <c r="AF56285" s="679"/>
    </row>
    <row r="56286" spans="32:32" x14ac:dyDescent="0.2">
      <c r="AF56286" s="679"/>
    </row>
    <row r="56287" spans="32:32" x14ac:dyDescent="0.2">
      <c r="AF56287" s="679"/>
    </row>
    <row r="56288" spans="32:32" x14ac:dyDescent="0.2">
      <c r="AF56288" s="679"/>
    </row>
    <row r="56289" spans="32:32" x14ac:dyDescent="0.2">
      <c r="AF56289" s="679"/>
    </row>
    <row r="56290" spans="32:32" x14ac:dyDescent="0.2">
      <c r="AF56290" s="679"/>
    </row>
    <row r="56291" spans="32:32" x14ac:dyDescent="0.2">
      <c r="AF56291" s="679"/>
    </row>
    <row r="56292" spans="32:32" x14ac:dyDescent="0.2">
      <c r="AF56292" s="679"/>
    </row>
    <row r="56293" spans="32:32" x14ac:dyDescent="0.2">
      <c r="AF56293" s="679"/>
    </row>
    <row r="56294" spans="32:32" x14ac:dyDescent="0.2">
      <c r="AF56294" s="679"/>
    </row>
    <row r="56295" spans="32:32" x14ac:dyDescent="0.2">
      <c r="AF56295" s="679"/>
    </row>
    <row r="56296" spans="32:32" x14ac:dyDescent="0.2">
      <c r="AF56296" s="679"/>
    </row>
    <row r="56297" spans="32:32" x14ac:dyDescent="0.2">
      <c r="AF56297" s="679"/>
    </row>
    <row r="56298" spans="32:32" x14ac:dyDescent="0.2">
      <c r="AF56298" s="679"/>
    </row>
    <row r="56299" spans="32:32" x14ac:dyDescent="0.2">
      <c r="AF56299" s="679"/>
    </row>
    <row r="56300" spans="32:32" x14ac:dyDescent="0.2">
      <c r="AF56300" s="679"/>
    </row>
    <row r="56301" spans="32:32" x14ac:dyDescent="0.2">
      <c r="AF56301" s="679"/>
    </row>
    <row r="56302" spans="32:32" x14ac:dyDescent="0.2">
      <c r="AF56302" s="679"/>
    </row>
    <row r="56303" spans="32:32" x14ac:dyDescent="0.2">
      <c r="AF56303" s="679"/>
    </row>
    <row r="56304" spans="32:32" x14ac:dyDescent="0.2">
      <c r="AF56304" s="679"/>
    </row>
    <row r="56305" spans="32:32" x14ac:dyDescent="0.2">
      <c r="AF56305" s="679"/>
    </row>
    <row r="56306" spans="32:32" x14ac:dyDescent="0.2">
      <c r="AF56306" s="679"/>
    </row>
    <row r="56307" spans="32:32" x14ac:dyDescent="0.2">
      <c r="AF56307" s="679"/>
    </row>
    <row r="56308" spans="32:32" x14ac:dyDescent="0.2">
      <c r="AF56308" s="679"/>
    </row>
    <row r="56309" spans="32:32" x14ac:dyDescent="0.2">
      <c r="AF56309" s="679"/>
    </row>
    <row r="56310" spans="32:32" x14ac:dyDescent="0.2">
      <c r="AF56310" s="679"/>
    </row>
    <row r="56311" spans="32:32" x14ac:dyDescent="0.2">
      <c r="AF56311" s="679"/>
    </row>
    <row r="56312" spans="32:32" x14ac:dyDescent="0.2">
      <c r="AF56312" s="679"/>
    </row>
    <row r="56313" spans="32:32" x14ac:dyDescent="0.2">
      <c r="AF56313" s="679"/>
    </row>
    <row r="56314" spans="32:32" x14ac:dyDescent="0.2">
      <c r="AF56314" s="679"/>
    </row>
    <row r="56315" spans="32:32" x14ac:dyDescent="0.2">
      <c r="AF56315" s="679"/>
    </row>
    <row r="56316" spans="32:32" x14ac:dyDescent="0.2">
      <c r="AF56316" s="679"/>
    </row>
    <row r="56317" spans="32:32" x14ac:dyDescent="0.2">
      <c r="AF56317" s="679"/>
    </row>
    <row r="56318" spans="32:32" x14ac:dyDescent="0.2">
      <c r="AF56318" s="679"/>
    </row>
    <row r="56319" spans="32:32" x14ac:dyDescent="0.2">
      <c r="AF56319" s="679"/>
    </row>
    <row r="56320" spans="32:32" x14ac:dyDescent="0.2">
      <c r="AF56320" s="679"/>
    </row>
    <row r="56321" spans="32:32" x14ac:dyDescent="0.2">
      <c r="AF56321" s="679"/>
    </row>
    <row r="56322" spans="32:32" x14ac:dyDescent="0.2">
      <c r="AF56322" s="679"/>
    </row>
    <row r="56323" spans="32:32" x14ac:dyDescent="0.2">
      <c r="AF56323" s="679"/>
    </row>
    <row r="56324" spans="32:32" x14ac:dyDescent="0.2">
      <c r="AF56324" s="679"/>
    </row>
    <row r="56325" spans="32:32" x14ac:dyDescent="0.2">
      <c r="AF56325" s="679"/>
    </row>
    <row r="56326" spans="32:32" x14ac:dyDescent="0.2">
      <c r="AF56326" s="679"/>
    </row>
    <row r="56327" spans="32:32" x14ac:dyDescent="0.2">
      <c r="AF56327" s="679"/>
    </row>
    <row r="56328" spans="32:32" x14ac:dyDescent="0.2">
      <c r="AF56328" s="679"/>
    </row>
    <row r="56329" spans="32:32" x14ac:dyDescent="0.2">
      <c r="AF56329" s="679"/>
    </row>
    <row r="56330" spans="32:32" x14ac:dyDescent="0.2">
      <c r="AF56330" s="679"/>
    </row>
    <row r="56331" spans="32:32" x14ac:dyDescent="0.2">
      <c r="AF56331" s="679"/>
    </row>
    <row r="56332" spans="32:32" x14ac:dyDescent="0.2">
      <c r="AF56332" s="679"/>
    </row>
    <row r="56333" spans="32:32" x14ac:dyDescent="0.2">
      <c r="AF56333" s="679"/>
    </row>
    <row r="56334" spans="32:32" x14ac:dyDescent="0.2">
      <c r="AF56334" s="679"/>
    </row>
    <row r="56335" spans="32:32" x14ac:dyDescent="0.2">
      <c r="AF56335" s="679"/>
    </row>
    <row r="56336" spans="32:32" x14ac:dyDescent="0.2">
      <c r="AF56336" s="679"/>
    </row>
    <row r="56337" spans="32:32" x14ac:dyDescent="0.2">
      <c r="AF56337" s="679"/>
    </row>
    <row r="56338" spans="32:32" x14ac:dyDescent="0.2">
      <c r="AF56338" s="679"/>
    </row>
    <row r="56339" spans="32:32" x14ac:dyDescent="0.2">
      <c r="AF56339" s="679"/>
    </row>
    <row r="56340" spans="32:32" x14ac:dyDescent="0.2">
      <c r="AF56340" s="679"/>
    </row>
    <row r="56341" spans="32:32" x14ac:dyDescent="0.2">
      <c r="AF56341" s="679"/>
    </row>
    <row r="56342" spans="32:32" x14ac:dyDescent="0.2">
      <c r="AF56342" s="679"/>
    </row>
    <row r="56343" spans="32:32" x14ac:dyDescent="0.2">
      <c r="AF56343" s="679"/>
    </row>
    <row r="56344" spans="32:32" x14ac:dyDescent="0.2">
      <c r="AF56344" s="679"/>
    </row>
    <row r="56345" spans="32:32" x14ac:dyDescent="0.2">
      <c r="AF56345" s="679"/>
    </row>
    <row r="56346" spans="32:32" x14ac:dyDescent="0.2">
      <c r="AF56346" s="679"/>
    </row>
    <row r="56347" spans="32:32" x14ac:dyDescent="0.2">
      <c r="AF56347" s="679"/>
    </row>
    <row r="56348" spans="32:32" x14ac:dyDescent="0.2">
      <c r="AF56348" s="679"/>
    </row>
    <row r="56349" spans="32:32" x14ac:dyDescent="0.2">
      <c r="AF56349" s="679"/>
    </row>
    <row r="56350" spans="32:32" x14ac:dyDescent="0.2">
      <c r="AF56350" s="679"/>
    </row>
    <row r="56351" spans="32:32" x14ac:dyDescent="0.2">
      <c r="AF56351" s="679"/>
    </row>
    <row r="56352" spans="32:32" x14ac:dyDescent="0.2">
      <c r="AF56352" s="679"/>
    </row>
    <row r="56353" spans="32:32" x14ac:dyDescent="0.2">
      <c r="AF56353" s="679"/>
    </row>
    <row r="56354" spans="32:32" x14ac:dyDescent="0.2">
      <c r="AF56354" s="679"/>
    </row>
    <row r="56355" spans="32:32" x14ac:dyDescent="0.2">
      <c r="AF56355" s="679"/>
    </row>
    <row r="56356" spans="32:32" x14ac:dyDescent="0.2">
      <c r="AF56356" s="679"/>
    </row>
    <row r="56357" spans="32:32" x14ac:dyDescent="0.2">
      <c r="AF56357" s="679"/>
    </row>
    <row r="56358" spans="32:32" x14ac:dyDescent="0.2">
      <c r="AF56358" s="679"/>
    </row>
    <row r="56359" spans="32:32" x14ac:dyDescent="0.2">
      <c r="AF56359" s="679"/>
    </row>
    <row r="56360" spans="32:32" x14ac:dyDescent="0.2">
      <c r="AF56360" s="679"/>
    </row>
    <row r="56361" spans="32:32" x14ac:dyDescent="0.2">
      <c r="AF56361" s="679"/>
    </row>
    <row r="56362" spans="32:32" x14ac:dyDescent="0.2">
      <c r="AF56362" s="679"/>
    </row>
    <row r="56363" spans="32:32" x14ac:dyDescent="0.2">
      <c r="AF56363" s="679"/>
    </row>
    <row r="56364" spans="32:32" x14ac:dyDescent="0.2">
      <c r="AF56364" s="679"/>
    </row>
    <row r="56365" spans="32:32" x14ac:dyDescent="0.2">
      <c r="AF56365" s="679"/>
    </row>
    <row r="56366" spans="32:32" x14ac:dyDescent="0.2">
      <c r="AF56366" s="679"/>
    </row>
    <row r="56367" spans="32:32" x14ac:dyDescent="0.2">
      <c r="AF56367" s="679"/>
    </row>
    <row r="56368" spans="32:32" x14ac:dyDescent="0.2">
      <c r="AF56368" s="679"/>
    </row>
    <row r="56369" spans="32:32" x14ac:dyDescent="0.2">
      <c r="AF56369" s="679"/>
    </row>
    <row r="56370" spans="32:32" x14ac:dyDescent="0.2">
      <c r="AF56370" s="679"/>
    </row>
    <row r="56371" spans="32:32" x14ac:dyDescent="0.2">
      <c r="AF56371" s="679"/>
    </row>
    <row r="56372" spans="32:32" x14ac:dyDescent="0.2">
      <c r="AF56372" s="679"/>
    </row>
    <row r="56373" spans="32:32" x14ac:dyDescent="0.2">
      <c r="AF56373" s="679"/>
    </row>
    <row r="56374" spans="32:32" x14ac:dyDescent="0.2">
      <c r="AF56374" s="679"/>
    </row>
    <row r="56375" spans="32:32" x14ac:dyDescent="0.2">
      <c r="AF56375" s="679"/>
    </row>
    <row r="56376" spans="32:32" x14ac:dyDescent="0.2">
      <c r="AF56376" s="679"/>
    </row>
    <row r="56377" spans="32:32" x14ac:dyDescent="0.2">
      <c r="AF56377" s="679"/>
    </row>
    <row r="56378" spans="32:32" x14ac:dyDescent="0.2">
      <c r="AF56378" s="679"/>
    </row>
    <row r="56379" spans="32:32" x14ac:dyDescent="0.2">
      <c r="AF56379" s="679"/>
    </row>
    <row r="56380" spans="32:32" x14ac:dyDescent="0.2">
      <c r="AF56380" s="679"/>
    </row>
    <row r="56381" spans="32:32" x14ac:dyDescent="0.2">
      <c r="AF56381" s="679"/>
    </row>
    <row r="56382" spans="32:32" x14ac:dyDescent="0.2">
      <c r="AF56382" s="679"/>
    </row>
    <row r="56383" spans="32:32" x14ac:dyDescent="0.2">
      <c r="AF56383" s="679"/>
    </row>
    <row r="56384" spans="32:32" x14ac:dyDescent="0.2">
      <c r="AF56384" s="679"/>
    </row>
    <row r="56385" spans="32:32" x14ac:dyDescent="0.2">
      <c r="AF56385" s="679"/>
    </row>
    <row r="56386" spans="32:32" x14ac:dyDescent="0.2">
      <c r="AF56386" s="679"/>
    </row>
    <row r="56387" spans="32:32" x14ac:dyDescent="0.2">
      <c r="AF56387" s="679"/>
    </row>
    <row r="56388" spans="32:32" x14ac:dyDescent="0.2">
      <c r="AF56388" s="679"/>
    </row>
    <row r="56389" spans="32:32" x14ac:dyDescent="0.2">
      <c r="AF56389" s="679"/>
    </row>
    <row r="56390" spans="32:32" x14ac:dyDescent="0.2">
      <c r="AF56390" s="679"/>
    </row>
    <row r="56391" spans="32:32" x14ac:dyDescent="0.2">
      <c r="AF56391" s="679"/>
    </row>
    <row r="56392" spans="32:32" x14ac:dyDescent="0.2">
      <c r="AF56392" s="679"/>
    </row>
    <row r="56393" spans="32:32" x14ac:dyDescent="0.2">
      <c r="AF56393" s="679"/>
    </row>
    <row r="56394" spans="32:32" x14ac:dyDescent="0.2">
      <c r="AF56394" s="679"/>
    </row>
    <row r="56395" spans="32:32" x14ac:dyDescent="0.2">
      <c r="AF56395" s="679"/>
    </row>
    <row r="56396" spans="32:32" x14ac:dyDescent="0.2">
      <c r="AF56396" s="679"/>
    </row>
    <row r="56397" spans="32:32" x14ac:dyDescent="0.2">
      <c r="AF56397" s="679"/>
    </row>
    <row r="56398" spans="32:32" x14ac:dyDescent="0.2">
      <c r="AF56398" s="679"/>
    </row>
    <row r="56399" spans="32:32" x14ac:dyDescent="0.2">
      <c r="AF56399" s="679"/>
    </row>
    <row r="56400" spans="32:32" x14ac:dyDescent="0.2">
      <c r="AF56400" s="679"/>
    </row>
    <row r="56401" spans="32:32" x14ac:dyDescent="0.2">
      <c r="AF56401" s="679"/>
    </row>
    <row r="56402" spans="32:32" x14ac:dyDescent="0.2">
      <c r="AF56402" s="679"/>
    </row>
    <row r="56403" spans="32:32" x14ac:dyDescent="0.2">
      <c r="AF56403" s="679"/>
    </row>
    <row r="56404" spans="32:32" x14ac:dyDescent="0.2">
      <c r="AF56404" s="679"/>
    </row>
    <row r="56405" spans="32:32" x14ac:dyDescent="0.2">
      <c r="AF56405" s="679"/>
    </row>
    <row r="56406" spans="32:32" x14ac:dyDescent="0.2">
      <c r="AF56406" s="679"/>
    </row>
    <row r="56407" spans="32:32" x14ac:dyDescent="0.2">
      <c r="AF56407" s="679"/>
    </row>
    <row r="56408" spans="32:32" x14ac:dyDescent="0.2">
      <c r="AF56408" s="679"/>
    </row>
    <row r="56409" spans="32:32" x14ac:dyDescent="0.2">
      <c r="AF56409" s="679"/>
    </row>
    <row r="56410" spans="32:32" x14ac:dyDescent="0.2">
      <c r="AF56410" s="679"/>
    </row>
    <row r="56411" spans="32:32" x14ac:dyDescent="0.2">
      <c r="AF56411" s="679"/>
    </row>
    <row r="56412" spans="32:32" x14ac:dyDescent="0.2">
      <c r="AF56412" s="679"/>
    </row>
    <row r="56413" spans="32:32" x14ac:dyDescent="0.2">
      <c r="AF56413" s="679"/>
    </row>
    <row r="56414" spans="32:32" x14ac:dyDescent="0.2">
      <c r="AF56414" s="679"/>
    </row>
    <row r="56415" spans="32:32" x14ac:dyDescent="0.2">
      <c r="AF56415" s="679"/>
    </row>
    <row r="56416" spans="32:32" x14ac:dyDescent="0.2">
      <c r="AF56416" s="679"/>
    </row>
    <row r="56417" spans="32:32" x14ac:dyDescent="0.2">
      <c r="AF56417" s="679"/>
    </row>
    <row r="56418" spans="32:32" x14ac:dyDescent="0.2">
      <c r="AF56418" s="679"/>
    </row>
    <row r="56419" spans="32:32" x14ac:dyDescent="0.2">
      <c r="AF56419" s="679"/>
    </row>
    <row r="56420" spans="32:32" x14ac:dyDescent="0.2">
      <c r="AF56420" s="679"/>
    </row>
    <row r="56421" spans="32:32" x14ac:dyDescent="0.2">
      <c r="AF56421" s="679"/>
    </row>
    <row r="56422" spans="32:32" x14ac:dyDescent="0.2">
      <c r="AF56422" s="679"/>
    </row>
    <row r="56423" spans="32:32" x14ac:dyDescent="0.2">
      <c r="AF56423" s="679"/>
    </row>
    <row r="56424" spans="32:32" x14ac:dyDescent="0.2">
      <c r="AF56424" s="679"/>
    </row>
    <row r="56425" spans="32:32" x14ac:dyDescent="0.2">
      <c r="AF56425" s="679"/>
    </row>
    <row r="56426" spans="32:32" x14ac:dyDescent="0.2">
      <c r="AF56426" s="679"/>
    </row>
    <row r="56427" spans="32:32" x14ac:dyDescent="0.2">
      <c r="AF56427" s="679"/>
    </row>
    <row r="56428" spans="32:32" x14ac:dyDescent="0.2">
      <c r="AF56428" s="679"/>
    </row>
    <row r="56429" spans="32:32" x14ac:dyDescent="0.2">
      <c r="AF56429" s="679"/>
    </row>
    <row r="56430" spans="32:32" x14ac:dyDescent="0.2">
      <c r="AF56430" s="679"/>
    </row>
    <row r="56431" spans="32:32" x14ac:dyDescent="0.2">
      <c r="AF56431" s="679"/>
    </row>
    <row r="56432" spans="32:32" x14ac:dyDescent="0.2">
      <c r="AF56432" s="679"/>
    </row>
    <row r="56433" spans="32:32" x14ac:dyDescent="0.2">
      <c r="AF56433" s="679"/>
    </row>
    <row r="56434" spans="32:32" x14ac:dyDescent="0.2">
      <c r="AF56434" s="679"/>
    </row>
    <row r="56435" spans="32:32" x14ac:dyDescent="0.2">
      <c r="AF56435" s="679"/>
    </row>
    <row r="56436" spans="32:32" x14ac:dyDescent="0.2">
      <c r="AF56436" s="679"/>
    </row>
    <row r="56437" spans="32:32" x14ac:dyDescent="0.2">
      <c r="AF56437" s="679"/>
    </row>
    <row r="56438" spans="32:32" x14ac:dyDescent="0.2">
      <c r="AF56438" s="679"/>
    </row>
    <row r="56439" spans="32:32" x14ac:dyDescent="0.2">
      <c r="AF56439" s="679"/>
    </row>
    <row r="56440" spans="32:32" x14ac:dyDescent="0.2">
      <c r="AF56440" s="679"/>
    </row>
    <row r="56441" spans="32:32" x14ac:dyDescent="0.2">
      <c r="AF56441" s="679"/>
    </row>
    <row r="56442" spans="32:32" x14ac:dyDescent="0.2">
      <c r="AF56442" s="679"/>
    </row>
    <row r="56443" spans="32:32" x14ac:dyDescent="0.2">
      <c r="AF56443" s="679"/>
    </row>
    <row r="56444" spans="32:32" x14ac:dyDescent="0.2">
      <c r="AF56444" s="679"/>
    </row>
    <row r="56445" spans="32:32" x14ac:dyDescent="0.2">
      <c r="AF56445" s="679"/>
    </row>
    <row r="56446" spans="32:32" x14ac:dyDescent="0.2">
      <c r="AF56446" s="679"/>
    </row>
    <row r="56447" spans="32:32" x14ac:dyDescent="0.2">
      <c r="AF56447" s="679"/>
    </row>
    <row r="56448" spans="32:32" x14ac:dyDescent="0.2">
      <c r="AF56448" s="679"/>
    </row>
    <row r="56449" spans="32:32" x14ac:dyDescent="0.2">
      <c r="AF56449" s="679"/>
    </row>
    <row r="56450" spans="32:32" x14ac:dyDescent="0.2">
      <c r="AF56450" s="679"/>
    </row>
    <row r="56451" spans="32:32" x14ac:dyDescent="0.2">
      <c r="AF56451" s="679"/>
    </row>
    <row r="56452" spans="32:32" x14ac:dyDescent="0.2">
      <c r="AF56452" s="679"/>
    </row>
    <row r="56453" spans="32:32" x14ac:dyDescent="0.2">
      <c r="AF56453" s="679"/>
    </row>
    <row r="56454" spans="32:32" x14ac:dyDescent="0.2">
      <c r="AF56454" s="679"/>
    </row>
    <row r="56455" spans="32:32" x14ac:dyDescent="0.2">
      <c r="AF56455" s="679"/>
    </row>
    <row r="56456" spans="32:32" x14ac:dyDescent="0.2">
      <c r="AF56456" s="679"/>
    </row>
    <row r="56457" spans="32:32" x14ac:dyDescent="0.2">
      <c r="AF56457" s="679"/>
    </row>
    <row r="56458" spans="32:32" x14ac:dyDescent="0.2">
      <c r="AF56458" s="679"/>
    </row>
    <row r="56459" spans="32:32" x14ac:dyDescent="0.2">
      <c r="AF56459" s="679"/>
    </row>
    <row r="56460" spans="32:32" x14ac:dyDescent="0.2">
      <c r="AF56460" s="679"/>
    </row>
    <row r="56461" spans="32:32" x14ac:dyDescent="0.2">
      <c r="AF56461" s="679"/>
    </row>
    <row r="56462" spans="32:32" x14ac:dyDescent="0.2">
      <c r="AF56462" s="679"/>
    </row>
    <row r="56463" spans="32:32" x14ac:dyDescent="0.2">
      <c r="AF56463" s="679"/>
    </row>
    <row r="56464" spans="32:32" x14ac:dyDescent="0.2">
      <c r="AF56464" s="679"/>
    </row>
    <row r="56465" spans="32:32" x14ac:dyDescent="0.2">
      <c r="AF56465" s="679"/>
    </row>
    <row r="56466" spans="32:32" x14ac:dyDescent="0.2">
      <c r="AF56466" s="679"/>
    </row>
    <row r="56467" spans="32:32" x14ac:dyDescent="0.2">
      <c r="AF56467" s="679"/>
    </row>
    <row r="56468" spans="32:32" x14ac:dyDescent="0.2">
      <c r="AF56468" s="679"/>
    </row>
    <row r="56469" spans="32:32" x14ac:dyDescent="0.2">
      <c r="AF56469" s="679"/>
    </row>
    <row r="56470" spans="32:32" x14ac:dyDescent="0.2">
      <c r="AF56470" s="679"/>
    </row>
    <row r="56471" spans="32:32" x14ac:dyDescent="0.2">
      <c r="AF56471" s="679"/>
    </row>
    <row r="56472" spans="32:32" x14ac:dyDescent="0.2">
      <c r="AF56472" s="679"/>
    </row>
    <row r="56473" spans="32:32" x14ac:dyDescent="0.2">
      <c r="AF56473" s="679"/>
    </row>
    <row r="56474" spans="32:32" x14ac:dyDescent="0.2">
      <c r="AF56474" s="679"/>
    </row>
    <row r="56475" spans="32:32" x14ac:dyDescent="0.2">
      <c r="AF56475" s="679"/>
    </row>
    <row r="56476" spans="32:32" x14ac:dyDescent="0.2">
      <c r="AF56476" s="679"/>
    </row>
    <row r="56477" spans="32:32" x14ac:dyDescent="0.2">
      <c r="AF56477" s="679"/>
    </row>
    <row r="56478" spans="32:32" x14ac:dyDescent="0.2">
      <c r="AF56478" s="679"/>
    </row>
    <row r="56479" spans="32:32" x14ac:dyDescent="0.2">
      <c r="AF56479" s="679"/>
    </row>
    <row r="56480" spans="32:32" x14ac:dyDescent="0.2">
      <c r="AF56480" s="679"/>
    </row>
    <row r="56481" spans="32:32" x14ac:dyDescent="0.2">
      <c r="AF56481" s="679"/>
    </row>
    <row r="56482" spans="32:32" x14ac:dyDescent="0.2">
      <c r="AF56482" s="679"/>
    </row>
    <row r="56483" spans="32:32" x14ac:dyDescent="0.2">
      <c r="AF56483" s="679"/>
    </row>
    <row r="56484" spans="32:32" x14ac:dyDescent="0.2">
      <c r="AF56484" s="679"/>
    </row>
    <row r="56485" spans="32:32" x14ac:dyDescent="0.2">
      <c r="AF56485" s="679"/>
    </row>
    <row r="56486" spans="32:32" x14ac:dyDescent="0.2">
      <c r="AF56486" s="679"/>
    </row>
    <row r="56487" spans="32:32" x14ac:dyDescent="0.2">
      <c r="AF56487" s="679"/>
    </row>
    <row r="56488" spans="32:32" x14ac:dyDescent="0.2">
      <c r="AF56488" s="679"/>
    </row>
    <row r="56489" spans="32:32" x14ac:dyDescent="0.2">
      <c r="AF56489" s="679"/>
    </row>
    <row r="56490" spans="32:32" x14ac:dyDescent="0.2">
      <c r="AF56490" s="679"/>
    </row>
    <row r="56491" spans="32:32" x14ac:dyDescent="0.2">
      <c r="AF56491" s="679"/>
    </row>
    <row r="56492" spans="32:32" x14ac:dyDescent="0.2">
      <c r="AF56492" s="679"/>
    </row>
    <row r="56493" spans="32:32" x14ac:dyDescent="0.2">
      <c r="AF56493" s="679"/>
    </row>
    <row r="56494" spans="32:32" x14ac:dyDescent="0.2">
      <c r="AF56494" s="679"/>
    </row>
    <row r="56495" spans="32:32" x14ac:dyDescent="0.2">
      <c r="AF56495" s="679"/>
    </row>
    <row r="56496" spans="32:32" x14ac:dyDescent="0.2">
      <c r="AF56496" s="679"/>
    </row>
    <row r="56497" spans="32:32" x14ac:dyDescent="0.2">
      <c r="AF56497" s="679"/>
    </row>
    <row r="56498" spans="32:32" x14ac:dyDescent="0.2">
      <c r="AF56498" s="679"/>
    </row>
    <row r="56499" spans="32:32" x14ac:dyDescent="0.2">
      <c r="AF56499" s="679"/>
    </row>
    <row r="56500" spans="32:32" x14ac:dyDescent="0.2">
      <c r="AF56500" s="679"/>
    </row>
    <row r="56501" spans="32:32" x14ac:dyDescent="0.2">
      <c r="AF56501" s="679"/>
    </row>
    <row r="56502" spans="32:32" x14ac:dyDescent="0.2">
      <c r="AF56502" s="679"/>
    </row>
    <row r="56503" spans="32:32" x14ac:dyDescent="0.2">
      <c r="AF56503" s="679"/>
    </row>
    <row r="56504" spans="32:32" x14ac:dyDescent="0.2">
      <c r="AF56504" s="679"/>
    </row>
    <row r="56505" spans="32:32" x14ac:dyDescent="0.2">
      <c r="AF56505" s="679"/>
    </row>
    <row r="56506" spans="32:32" x14ac:dyDescent="0.2">
      <c r="AF56506" s="679"/>
    </row>
    <row r="56507" spans="32:32" x14ac:dyDescent="0.2">
      <c r="AF56507" s="679"/>
    </row>
    <row r="56508" spans="32:32" x14ac:dyDescent="0.2">
      <c r="AF56508" s="679"/>
    </row>
    <row r="56509" spans="32:32" x14ac:dyDescent="0.2">
      <c r="AF56509" s="679"/>
    </row>
    <row r="56510" spans="32:32" x14ac:dyDescent="0.2">
      <c r="AF56510" s="679"/>
    </row>
    <row r="56511" spans="32:32" x14ac:dyDescent="0.2">
      <c r="AF56511" s="679"/>
    </row>
    <row r="56512" spans="32:32" x14ac:dyDescent="0.2">
      <c r="AF56512" s="679"/>
    </row>
    <row r="56513" spans="32:32" x14ac:dyDescent="0.2">
      <c r="AF56513" s="679"/>
    </row>
    <row r="56514" spans="32:32" x14ac:dyDescent="0.2">
      <c r="AF56514" s="679"/>
    </row>
    <row r="56515" spans="32:32" x14ac:dyDescent="0.2">
      <c r="AF56515" s="679"/>
    </row>
    <row r="56516" spans="32:32" x14ac:dyDescent="0.2">
      <c r="AF56516" s="679"/>
    </row>
    <row r="56517" spans="32:32" x14ac:dyDescent="0.2">
      <c r="AF56517" s="679"/>
    </row>
    <row r="56518" spans="32:32" x14ac:dyDescent="0.2">
      <c r="AF56518" s="679"/>
    </row>
    <row r="56519" spans="32:32" x14ac:dyDescent="0.2">
      <c r="AF56519" s="679"/>
    </row>
    <row r="56520" spans="32:32" x14ac:dyDescent="0.2">
      <c r="AF56520" s="679"/>
    </row>
    <row r="56521" spans="32:32" x14ac:dyDescent="0.2">
      <c r="AF56521" s="679"/>
    </row>
    <row r="56522" spans="32:32" x14ac:dyDescent="0.2">
      <c r="AF56522" s="679"/>
    </row>
    <row r="56523" spans="32:32" x14ac:dyDescent="0.2">
      <c r="AF56523" s="679"/>
    </row>
    <row r="56524" spans="32:32" x14ac:dyDescent="0.2">
      <c r="AF56524" s="679"/>
    </row>
    <row r="56525" spans="32:32" x14ac:dyDescent="0.2">
      <c r="AF56525" s="679"/>
    </row>
    <row r="56526" spans="32:32" x14ac:dyDescent="0.2">
      <c r="AF56526" s="679"/>
    </row>
    <row r="56527" spans="32:32" x14ac:dyDescent="0.2">
      <c r="AF56527" s="679"/>
    </row>
    <row r="56528" spans="32:32" x14ac:dyDescent="0.2">
      <c r="AF56528" s="679"/>
    </row>
    <row r="56529" spans="32:32" x14ac:dyDescent="0.2">
      <c r="AF56529" s="679"/>
    </row>
    <row r="56530" spans="32:32" x14ac:dyDescent="0.2">
      <c r="AF56530" s="679"/>
    </row>
    <row r="56531" spans="32:32" x14ac:dyDescent="0.2">
      <c r="AF56531" s="679"/>
    </row>
    <row r="56532" spans="32:32" x14ac:dyDescent="0.2">
      <c r="AF56532" s="679"/>
    </row>
    <row r="56533" spans="32:32" x14ac:dyDescent="0.2">
      <c r="AF56533" s="679"/>
    </row>
    <row r="56534" spans="32:32" x14ac:dyDescent="0.2">
      <c r="AF56534" s="679"/>
    </row>
    <row r="56535" spans="32:32" x14ac:dyDescent="0.2">
      <c r="AF56535" s="679"/>
    </row>
    <row r="56536" spans="32:32" x14ac:dyDescent="0.2">
      <c r="AF56536" s="679"/>
    </row>
    <row r="56537" spans="32:32" x14ac:dyDescent="0.2">
      <c r="AF56537" s="679"/>
    </row>
    <row r="56538" spans="32:32" x14ac:dyDescent="0.2">
      <c r="AF56538" s="679"/>
    </row>
    <row r="56539" spans="32:32" x14ac:dyDescent="0.2">
      <c r="AF56539" s="679"/>
    </row>
    <row r="56540" spans="32:32" x14ac:dyDescent="0.2">
      <c r="AF56540" s="679"/>
    </row>
    <row r="56541" spans="32:32" x14ac:dyDescent="0.2">
      <c r="AF56541" s="679"/>
    </row>
    <row r="56542" spans="32:32" x14ac:dyDescent="0.2">
      <c r="AF56542" s="679"/>
    </row>
    <row r="56543" spans="32:32" x14ac:dyDescent="0.2">
      <c r="AF56543" s="679"/>
    </row>
    <row r="56544" spans="32:32" x14ac:dyDescent="0.2">
      <c r="AF56544" s="679"/>
    </row>
    <row r="56545" spans="32:32" x14ac:dyDescent="0.2">
      <c r="AF56545" s="679"/>
    </row>
    <row r="56546" spans="32:32" x14ac:dyDescent="0.2">
      <c r="AF56546" s="679"/>
    </row>
    <row r="56547" spans="32:32" x14ac:dyDescent="0.2">
      <c r="AF56547" s="679"/>
    </row>
    <row r="56548" spans="32:32" x14ac:dyDescent="0.2">
      <c r="AF56548" s="679"/>
    </row>
    <row r="56549" spans="32:32" x14ac:dyDescent="0.2">
      <c r="AF56549" s="679"/>
    </row>
    <row r="56550" spans="32:32" x14ac:dyDescent="0.2">
      <c r="AF56550" s="679"/>
    </row>
    <row r="56551" spans="32:32" x14ac:dyDescent="0.2">
      <c r="AF56551" s="679"/>
    </row>
    <row r="56552" spans="32:32" x14ac:dyDescent="0.2">
      <c r="AF56552" s="679"/>
    </row>
    <row r="56553" spans="32:32" x14ac:dyDescent="0.2">
      <c r="AF56553" s="679"/>
    </row>
    <row r="56554" spans="32:32" x14ac:dyDescent="0.2">
      <c r="AF56554" s="679"/>
    </row>
    <row r="56555" spans="32:32" x14ac:dyDescent="0.2">
      <c r="AF56555" s="679"/>
    </row>
    <row r="56556" spans="32:32" x14ac:dyDescent="0.2">
      <c r="AF56556" s="679"/>
    </row>
    <row r="56557" spans="32:32" x14ac:dyDescent="0.2">
      <c r="AF56557" s="679"/>
    </row>
    <row r="56558" spans="32:32" x14ac:dyDescent="0.2">
      <c r="AF56558" s="679"/>
    </row>
    <row r="56559" spans="32:32" x14ac:dyDescent="0.2">
      <c r="AF56559" s="679"/>
    </row>
    <row r="56560" spans="32:32" x14ac:dyDescent="0.2">
      <c r="AF56560" s="679"/>
    </row>
    <row r="56561" spans="32:32" x14ac:dyDescent="0.2">
      <c r="AF56561" s="679"/>
    </row>
    <row r="56562" spans="32:32" x14ac:dyDescent="0.2">
      <c r="AF56562" s="679"/>
    </row>
    <row r="56563" spans="32:32" x14ac:dyDescent="0.2">
      <c r="AF56563" s="679"/>
    </row>
    <row r="56564" spans="32:32" x14ac:dyDescent="0.2">
      <c r="AF56564" s="679"/>
    </row>
    <row r="56565" spans="32:32" x14ac:dyDescent="0.2">
      <c r="AF56565" s="679"/>
    </row>
    <row r="56566" spans="32:32" x14ac:dyDescent="0.2">
      <c r="AF56566" s="679"/>
    </row>
    <row r="56567" spans="32:32" x14ac:dyDescent="0.2">
      <c r="AF56567" s="679"/>
    </row>
    <row r="56568" spans="32:32" x14ac:dyDescent="0.2">
      <c r="AF56568" s="679"/>
    </row>
    <row r="56569" spans="32:32" x14ac:dyDescent="0.2">
      <c r="AF56569" s="679"/>
    </row>
    <row r="56570" spans="32:32" x14ac:dyDescent="0.2">
      <c r="AF56570" s="679"/>
    </row>
    <row r="56571" spans="32:32" x14ac:dyDescent="0.2">
      <c r="AF56571" s="679"/>
    </row>
    <row r="56572" spans="32:32" x14ac:dyDescent="0.2">
      <c r="AF56572" s="679"/>
    </row>
    <row r="56573" spans="32:32" x14ac:dyDescent="0.2">
      <c r="AF56573" s="679"/>
    </row>
    <row r="56574" spans="32:32" x14ac:dyDescent="0.2">
      <c r="AF56574" s="679"/>
    </row>
    <row r="56575" spans="32:32" x14ac:dyDescent="0.2">
      <c r="AF56575" s="679"/>
    </row>
    <row r="56576" spans="32:32" x14ac:dyDescent="0.2">
      <c r="AF56576" s="679"/>
    </row>
    <row r="56577" spans="32:32" x14ac:dyDescent="0.2">
      <c r="AF56577" s="679"/>
    </row>
    <row r="56578" spans="32:32" x14ac:dyDescent="0.2">
      <c r="AF56578" s="679"/>
    </row>
    <row r="56579" spans="32:32" x14ac:dyDescent="0.2">
      <c r="AF56579" s="679"/>
    </row>
    <row r="56580" spans="32:32" x14ac:dyDescent="0.2">
      <c r="AF56580" s="679"/>
    </row>
    <row r="56581" spans="32:32" x14ac:dyDescent="0.2">
      <c r="AF56581" s="679"/>
    </row>
    <row r="56582" spans="32:32" x14ac:dyDescent="0.2">
      <c r="AF56582" s="679"/>
    </row>
    <row r="56583" spans="32:32" x14ac:dyDescent="0.2">
      <c r="AF56583" s="679"/>
    </row>
    <row r="56584" spans="32:32" x14ac:dyDescent="0.2">
      <c r="AF56584" s="679"/>
    </row>
    <row r="56585" spans="32:32" x14ac:dyDescent="0.2">
      <c r="AF56585" s="679"/>
    </row>
    <row r="56586" spans="32:32" x14ac:dyDescent="0.2">
      <c r="AF56586" s="679"/>
    </row>
    <row r="56587" spans="32:32" x14ac:dyDescent="0.2">
      <c r="AF56587" s="679"/>
    </row>
    <row r="56588" spans="32:32" x14ac:dyDescent="0.2">
      <c r="AF56588" s="679"/>
    </row>
    <row r="56589" spans="32:32" x14ac:dyDescent="0.2">
      <c r="AF56589" s="679"/>
    </row>
    <row r="56590" spans="32:32" x14ac:dyDescent="0.2">
      <c r="AF56590" s="679"/>
    </row>
    <row r="56591" spans="32:32" x14ac:dyDescent="0.2">
      <c r="AF56591" s="679"/>
    </row>
    <row r="56592" spans="32:32" x14ac:dyDescent="0.2">
      <c r="AF56592" s="679"/>
    </row>
    <row r="56593" spans="32:32" x14ac:dyDescent="0.2">
      <c r="AF56593" s="679"/>
    </row>
    <row r="56594" spans="32:32" x14ac:dyDescent="0.2">
      <c r="AF56594" s="679"/>
    </row>
    <row r="56595" spans="32:32" x14ac:dyDescent="0.2">
      <c r="AF56595" s="679"/>
    </row>
    <row r="56596" spans="32:32" x14ac:dyDescent="0.2">
      <c r="AF56596" s="679"/>
    </row>
    <row r="56597" spans="32:32" x14ac:dyDescent="0.2">
      <c r="AF56597" s="679"/>
    </row>
    <row r="56598" spans="32:32" x14ac:dyDescent="0.2">
      <c r="AF56598" s="679"/>
    </row>
    <row r="56599" spans="32:32" x14ac:dyDescent="0.2">
      <c r="AF56599" s="679"/>
    </row>
    <row r="56600" spans="32:32" x14ac:dyDescent="0.2">
      <c r="AF56600" s="679"/>
    </row>
    <row r="56601" spans="32:32" x14ac:dyDescent="0.2">
      <c r="AF56601" s="679"/>
    </row>
    <row r="56602" spans="32:32" x14ac:dyDescent="0.2">
      <c r="AF56602" s="679"/>
    </row>
    <row r="56603" spans="32:32" x14ac:dyDescent="0.2">
      <c r="AF56603" s="679"/>
    </row>
    <row r="56604" spans="32:32" x14ac:dyDescent="0.2">
      <c r="AF56604" s="679"/>
    </row>
    <row r="56605" spans="32:32" x14ac:dyDescent="0.2">
      <c r="AF56605" s="679"/>
    </row>
    <row r="56606" spans="32:32" x14ac:dyDescent="0.2">
      <c r="AF56606" s="679"/>
    </row>
    <row r="56607" spans="32:32" x14ac:dyDescent="0.2">
      <c r="AF56607" s="679"/>
    </row>
    <row r="56608" spans="32:32" x14ac:dyDescent="0.2">
      <c r="AF56608" s="679"/>
    </row>
    <row r="56609" spans="32:32" x14ac:dyDescent="0.2">
      <c r="AF56609" s="679"/>
    </row>
    <row r="56610" spans="32:32" x14ac:dyDescent="0.2">
      <c r="AF56610" s="679"/>
    </row>
    <row r="56611" spans="32:32" x14ac:dyDescent="0.2">
      <c r="AF56611" s="679"/>
    </row>
    <row r="56612" spans="32:32" x14ac:dyDescent="0.2">
      <c r="AF56612" s="679"/>
    </row>
    <row r="56613" spans="32:32" x14ac:dyDescent="0.2">
      <c r="AF56613" s="679"/>
    </row>
    <row r="56614" spans="32:32" x14ac:dyDescent="0.2">
      <c r="AF56614" s="679"/>
    </row>
    <row r="56615" spans="32:32" x14ac:dyDescent="0.2">
      <c r="AF56615" s="679"/>
    </row>
    <row r="56616" spans="32:32" x14ac:dyDescent="0.2">
      <c r="AF56616" s="679"/>
    </row>
    <row r="56617" spans="32:32" x14ac:dyDescent="0.2">
      <c r="AF56617" s="679"/>
    </row>
    <row r="56618" spans="32:32" x14ac:dyDescent="0.2">
      <c r="AF56618" s="679"/>
    </row>
    <row r="56619" spans="32:32" x14ac:dyDescent="0.2">
      <c r="AF56619" s="679"/>
    </row>
    <row r="56620" spans="32:32" x14ac:dyDescent="0.2">
      <c r="AF56620" s="679"/>
    </row>
    <row r="56621" spans="32:32" x14ac:dyDescent="0.2">
      <c r="AF56621" s="679"/>
    </row>
    <row r="56622" spans="32:32" x14ac:dyDescent="0.2">
      <c r="AF56622" s="679"/>
    </row>
    <row r="56623" spans="32:32" x14ac:dyDescent="0.2">
      <c r="AF56623" s="679"/>
    </row>
    <row r="56624" spans="32:32" x14ac:dyDescent="0.2">
      <c r="AF56624" s="679"/>
    </row>
    <row r="56625" spans="32:32" x14ac:dyDescent="0.2">
      <c r="AF56625" s="679"/>
    </row>
    <row r="56626" spans="32:32" x14ac:dyDescent="0.2">
      <c r="AF56626" s="679"/>
    </row>
    <row r="56627" spans="32:32" x14ac:dyDescent="0.2">
      <c r="AF56627" s="679"/>
    </row>
    <row r="56628" spans="32:32" x14ac:dyDescent="0.2">
      <c r="AF56628" s="679"/>
    </row>
    <row r="56629" spans="32:32" x14ac:dyDescent="0.2">
      <c r="AF56629" s="679"/>
    </row>
    <row r="56630" spans="32:32" x14ac:dyDescent="0.2">
      <c r="AF56630" s="679"/>
    </row>
    <row r="56631" spans="32:32" x14ac:dyDescent="0.2">
      <c r="AF56631" s="679"/>
    </row>
    <row r="56632" spans="32:32" x14ac:dyDescent="0.2">
      <c r="AF56632" s="679"/>
    </row>
    <row r="56633" spans="32:32" x14ac:dyDescent="0.2">
      <c r="AF56633" s="679"/>
    </row>
    <row r="56634" spans="32:32" x14ac:dyDescent="0.2">
      <c r="AF56634" s="679"/>
    </row>
    <row r="56635" spans="32:32" x14ac:dyDescent="0.2">
      <c r="AF56635" s="679"/>
    </row>
    <row r="56636" spans="32:32" x14ac:dyDescent="0.2">
      <c r="AF56636" s="679"/>
    </row>
    <row r="56637" spans="32:32" x14ac:dyDescent="0.2">
      <c r="AF56637" s="679"/>
    </row>
    <row r="56638" spans="32:32" x14ac:dyDescent="0.2">
      <c r="AF56638" s="679"/>
    </row>
    <row r="56639" spans="32:32" x14ac:dyDescent="0.2">
      <c r="AF56639" s="679"/>
    </row>
    <row r="56640" spans="32:32" x14ac:dyDescent="0.2">
      <c r="AF56640" s="679"/>
    </row>
    <row r="56641" spans="32:32" x14ac:dyDescent="0.2">
      <c r="AF56641" s="679"/>
    </row>
    <row r="56642" spans="32:32" x14ac:dyDescent="0.2">
      <c r="AF56642" s="679"/>
    </row>
    <row r="56643" spans="32:32" x14ac:dyDescent="0.2">
      <c r="AF56643" s="679"/>
    </row>
    <row r="56644" spans="32:32" x14ac:dyDescent="0.2">
      <c r="AF56644" s="679"/>
    </row>
    <row r="56645" spans="32:32" x14ac:dyDescent="0.2">
      <c r="AF56645" s="679"/>
    </row>
    <row r="56646" spans="32:32" x14ac:dyDescent="0.2">
      <c r="AF56646" s="679"/>
    </row>
    <row r="56647" spans="32:32" x14ac:dyDescent="0.2">
      <c r="AF56647" s="679"/>
    </row>
    <row r="56648" spans="32:32" x14ac:dyDescent="0.2">
      <c r="AF56648" s="679"/>
    </row>
    <row r="56649" spans="32:32" x14ac:dyDescent="0.2">
      <c r="AF56649" s="679"/>
    </row>
    <row r="56650" spans="32:32" x14ac:dyDescent="0.2">
      <c r="AF56650" s="679"/>
    </row>
    <row r="56651" spans="32:32" x14ac:dyDescent="0.2">
      <c r="AF56651" s="679"/>
    </row>
    <row r="56652" spans="32:32" x14ac:dyDescent="0.2">
      <c r="AF56652" s="679"/>
    </row>
    <row r="56653" spans="32:32" x14ac:dyDescent="0.2">
      <c r="AF56653" s="679"/>
    </row>
    <row r="56654" spans="32:32" x14ac:dyDescent="0.2">
      <c r="AF56654" s="679"/>
    </row>
    <row r="56655" spans="32:32" x14ac:dyDescent="0.2">
      <c r="AF56655" s="679"/>
    </row>
    <row r="56656" spans="32:32" x14ac:dyDescent="0.2">
      <c r="AF56656" s="679"/>
    </row>
    <row r="56657" spans="32:32" x14ac:dyDescent="0.2">
      <c r="AF56657" s="679"/>
    </row>
    <row r="56658" spans="32:32" x14ac:dyDescent="0.2">
      <c r="AF56658" s="679"/>
    </row>
    <row r="56659" spans="32:32" x14ac:dyDescent="0.2">
      <c r="AF56659" s="679"/>
    </row>
    <row r="56660" spans="32:32" x14ac:dyDescent="0.2">
      <c r="AF56660" s="679"/>
    </row>
    <row r="56661" spans="32:32" x14ac:dyDescent="0.2">
      <c r="AF56661" s="679"/>
    </row>
    <row r="56662" spans="32:32" x14ac:dyDescent="0.2">
      <c r="AF56662" s="679"/>
    </row>
    <row r="56663" spans="32:32" x14ac:dyDescent="0.2">
      <c r="AF56663" s="679"/>
    </row>
    <row r="56664" spans="32:32" x14ac:dyDescent="0.2">
      <c r="AF56664" s="679"/>
    </row>
    <row r="56665" spans="32:32" x14ac:dyDescent="0.2">
      <c r="AF56665" s="679"/>
    </row>
    <row r="56666" spans="32:32" x14ac:dyDescent="0.2">
      <c r="AF56666" s="679"/>
    </row>
    <row r="56667" spans="32:32" x14ac:dyDescent="0.2">
      <c r="AF56667" s="679"/>
    </row>
    <row r="56668" spans="32:32" x14ac:dyDescent="0.2">
      <c r="AF56668" s="679"/>
    </row>
    <row r="56669" spans="32:32" x14ac:dyDescent="0.2">
      <c r="AF56669" s="679"/>
    </row>
    <row r="56670" spans="32:32" x14ac:dyDescent="0.2">
      <c r="AF56670" s="679"/>
    </row>
    <row r="56671" spans="32:32" x14ac:dyDescent="0.2">
      <c r="AF56671" s="679"/>
    </row>
    <row r="56672" spans="32:32" x14ac:dyDescent="0.2">
      <c r="AF56672" s="679"/>
    </row>
    <row r="56673" spans="32:32" x14ac:dyDescent="0.2">
      <c r="AF56673" s="679"/>
    </row>
    <row r="56674" spans="32:32" x14ac:dyDescent="0.2">
      <c r="AF56674" s="679"/>
    </row>
    <row r="56675" spans="32:32" x14ac:dyDescent="0.2">
      <c r="AF56675" s="679"/>
    </row>
    <row r="56676" spans="32:32" x14ac:dyDescent="0.2">
      <c r="AF56676" s="679"/>
    </row>
    <row r="56677" spans="32:32" x14ac:dyDescent="0.2">
      <c r="AF56677" s="679"/>
    </row>
    <row r="56678" spans="32:32" x14ac:dyDescent="0.2">
      <c r="AF56678" s="679"/>
    </row>
    <row r="56679" spans="32:32" x14ac:dyDescent="0.2">
      <c r="AF56679" s="679"/>
    </row>
    <row r="56680" spans="32:32" x14ac:dyDescent="0.2">
      <c r="AF56680" s="679"/>
    </row>
    <row r="56681" spans="32:32" x14ac:dyDescent="0.2">
      <c r="AF56681" s="679"/>
    </row>
    <row r="56682" spans="32:32" x14ac:dyDescent="0.2">
      <c r="AF56682" s="679"/>
    </row>
    <row r="56683" spans="32:32" x14ac:dyDescent="0.2">
      <c r="AF56683" s="679"/>
    </row>
    <row r="56684" spans="32:32" x14ac:dyDescent="0.2">
      <c r="AF56684" s="679"/>
    </row>
    <row r="56685" spans="32:32" x14ac:dyDescent="0.2">
      <c r="AF56685" s="679"/>
    </row>
    <row r="56686" spans="32:32" x14ac:dyDescent="0.2">
      <c r="AF56686" s="679"/>
    </row>
    <row r="56687" spans="32:32" x14ac:dyDescent="0.2">
      <c r="AF56687" s="679"/>
    </row>
    <row r="56688" spans="32:32" x14ac:dyDescent="0.2">
      <c r="AF56688" s="679"/>
    </row>
    <row r="56689" spans="32:32" x14ac:dyDescent="0.2">
      <c r="AF56689" s="679"/>
    </row>
    <row r="56690" spans="32:32" x14ac:dyDescent="0.2">
      <c r="AF56690" s="679"/>
    </row>
    <row r="56691" spans="32:32" x14ac:dyDescent="0.2">
      <c r="AF56691" s="679"/>
    </row>
    <row r="56692" spans="32:32" x14ac:dyDescent="0.2">
      <c r="AF56692" s="679"/>
    </row>
    <row r="56693" spans="32:32" x14ac:dyDescent="0.2">
      <c r="AF56693" s="679"/>
    </row>
    <row r="56694" spans="32:32" x14ac:dyDescent="0.2">
      <c r="AF56694" s="679"/>
    </row>
    <row r="56695" spans="32:32" x14ac:dyDescent="0.2">
      <c r="AF56695" s="679"/>
    </row>
    <row r="56696" spans="32:32" x14ac:dyDescent="0.2">
      <c r="AF56696" s="679"/>
    </row>
    <row r="56697" spans="32:32" x14ac:dyDescent="0.2">
      <c r="AF56697" s="679"/>
    </row>
    <row r="56698" spans="32:32" x14ac:dyDescent="0.2">
      <c r="AF56698" s="679"/>
    </row>
    <row r="56699" spans="32:32" x14ac:dyDescent="0.2">
      <c r="AF56699" s="679"/>
    </row>
    <row r="56700" spans="32:32" x14ac:dyDescent="0.2">
      <c r="AF56700" s="679"/>
    </row>
    <row r="56701" spans="32:32" x14ac:dyDescent="0.2">
      <c r="AF56701" s="679"/>
    </row>
    <row r="56702" spans="32:32" x14ac:dyDescent="0.2">
      <c r="AF56702" s="679"/>
    </row>
    <row r="56703" spans="32:32" x14ac:dyDescent="0.2">
      <c r="AF56703" s="679"/>
    </row>
    <row r="56704" spans="32:32" x14ac:dyDescent="0.2">
      <c r="AF56704" s="679"/>
    </row>
    <row r="56705" spans="32:32" x14ac:dyDescent="0.2">
      <c r="AF56705" s="679"/>
    </row>
    <row r="56706" spans="32:32" x14ac:dyDescent="0.2">
      <c r="AF56706" s="679"/>
    </row>
    <row r="56707" spans="32:32" x14ac:dyDescent="0.2">
      <c r="AF56707" s="679"/>
    </row>
    <row r="56708" spans="32:32" x14ac:dyDescent="0.2">
      <c r="AF56708" s="679"/>
    </row>
    <row r="56709" spans="32:32" x14ac:dyDescent="0.2">
      <c r="AF56709" s="679"/>
    </row>
    <row r="56710" spans="32:32" x14ac:dyDescent="0.2">
      <c r="AF56710" s="679"/>
    </row>
    <row r="56711" spans="32:32" x14ac:dyDescent="0.2">
      <c r="AF56711" s="679"/>
    </row>
    <row r="56712" spans="32:32" x14ac:dyDescent="0.2">
      <c r="AF56712" s="679"/>
    </row>
    <row r="56713" spans="32:32" x14ac:dyDescent="0.2">
      <c r="AF56713" s="679"/>
    </row>
    <row r="56714" spans="32:32" x14ac:dyDescent="0.2">
      <c r="AF56714" s="679"/>
    </row>
    <row r="56715" spans="32:32" x14ac:dyDescent="0.2">
      <c r="AF56715" s="679"/>
    </row>
    <row r="56716" spans="32:32" x14ac:dyDescent="0.2">
      <c r="AF56716" s="679"/>
    </row>
    <row r="56717" spans="32:32" x14ac:dyDescent="0.2">
      <c r="AF56717" s="679"/>
    </row>
    <row r="56718" spans="32:32" x14ac:dyDescent="0.2">
      <c r="AF56718" s="679"/>
    </row>
    <row r="56719" spans="32:32" x14ac:dyDescent="0.2">
      <c r="AF56719" s="679"/>
    </row>
    <row r="56720" spans="32:32" x14ac:dyDescent="0.2">
      <c r="AF56720" s="679"/>
    </row>
    <row r="56721" spans="32:32" x14ac:dyDescent="0.2">
      <c r="AF56721" s="679"/>
    </row>
    <row r="56722" spans="32:32" x14ac:dyDescent="0.2">
      <c r="AF56722" s="679"/>
    </row>
    <row r="56723" spans="32:32" x14ac:dyDescent="0.2">
      <c r="AF56723" s="679"/>
    </row>
    <row r="56724" spans="32:32" x14ac:dyDescent="0.2">
      <c r="AF56724" s="679"/>
    </row>
    <row r="56725" spans="32:32" x14ac:dyDescent="0.2">
      <c r="AF56725" s="679"/>
    </row>
    <row r="56726" spans="32:32" x14ac:dyDescent="0.2">
      <c r="AF56726" s="679"/>
    </row>
    <row r="56727" spans="32:32" x14ac:dyDescent="0.2">
      <c r="AF56727" s="679"/>
    </row>
    <row r="56728" spans="32:32" x14ac:dyDescent="0.2">
      <c r="AF56728" s="679"/>
    </row>
    <row r="56729" spans="32:32" x14ac:dyDescent="0.2">
      <c r="AF56729" s="679"/>
    </row>
    <row r="56730" spans="32:32" x14ac:dyDescent="0.2">
      <c r="AF56730" s="679"/>
    </row>
    <row r="56731" spans="32:32" x14ac:dyDescent="0.2">
      <c r="AF56731" s="679"/>
    </row>
    <row r="56732" spans="32:32" x14ac:dyDescent="0.2">
      <c r="AF56732" s="679"/>
    </row>
    <row r="56733" spans="32:32" x14ac:dyDescent="0.2">
      <c r="AF56733" s="679"/>
    </row>
    <row r="56734" spans="32:32" x14ac:dyDescent="0.2">
      <c r="AF56734" s="679"/>
    </row>
    <row r="56735" spans="32:32" x14ac:dyDescent="0.2">
      <c r="AF56735" s="679"/>
    </row>
    <row r="56736" spans="32:32" x14ac:dyDescent="0.2">
      <c r="AF56736" s="679"/>
    </row>
    <row r="56737" spans="32:32" x14ac:dyDescent="0.2">
      <c r="AF56737" s="679"/>
    </row>
    <row r="56738" spans="32:32" x14ac:dyDescent="0.2">
      <c r="AF56738" s="679"/>
    </row>
    <row r="56739" spans="32:32" x14ac:dyDescent="0.2">
      <c r="AF56739" s="679"/>
    </row>
    <row r="56740" spans="32:32" x14ac:dyDescent="0.2">
      <c r="AF56740" s="679"/>
    </row>
    <row r="56741" spans="32:32" x14ac:dyDescent="0.2">
      <c r="AF56741" s="679"/>
    </row>
    <row r="56742" spans="32:32" x14ac:dyDescent="0.2">
      <c r="AF56742" s="679"/>
    </row>
    <row r="56743" spans="32:32" x14ac:dyDescent="0.2">
      <c r="AF56743" s="679"/>
    </row>
    <row r="56744" spans="32:32" x14ac:dyDescent="0.2">
      <c r="AF56744" s="679"/>
    </row>
    <row r="56745" spans="32:32" x14ac:dyDescent="0.2">
      <c r="AF56745" s="679"/>
    </row>
    <row r="56746" spans="32:32" x14ac:dyDescent="0.2">
      <c r="AF56746" s="679"/>
    </row>
    <row r="56747" spans="32:32" x14ac:dyDescent="0.2">
      <c r="AF56747" s="679"/>
    </row>
    <row r="56748" spans="32:32" x14ac:dyDescent="0.2">
      <c r="AF56748" s="679"/>
    </row>
    <row r="56749" spans="32:32" x14ac:dyDescent="0.2">
      <c r="AF56749" s="679"/>
    </row>
    <row r="56750" spans="32:32" x14ac:dyDescent="0.2">
      <c r="AF56750" s="679"/>
    </row>
    <row r="56751" spans="32:32" x14ac:dyDescent="0.2">
      <c r="AF56751" s="679"/>
    </row>
    <row r="56752" spans="32:32" x14ac:dyDescent="0.2">
      <c r="AF56752" s="679"/>
    </row>
    <row r="56753" spans="32:32" x14ac:dyDescent="0.2">
      <c r="AF56753" s="679"/>
    </row>
    <row r="56754" spans="32:32" x14ac:dyDescent="0.2">
      <c r="AF56754" s="679"/>
    </row>
    <row r="56755" spans="32:32" x14ac:dyDescent="0.2">
      <c r="AF56755" s="679"/>
    </row>
    <row r="56756" spans="32:32" x14ac:dyDescent="0.2">
      <c r="AF56756" s="679"/>
    </row>
    <row r="56757" spans="32:32" x14ac:dyDescent="0.2">
      <c r="AF56757" s="679"/>
    </row>
    <row r="56758" spans="32:32" x14ac:dyDescent="0.2">
      <c r="AF56758" s="679"/>
    </row>
    <row r="56759" spans="32:32" x14ac:dyDescent="0.2">
      <c r="AF56759" s="679"/>
    </row>
    <row r="56760" spans="32:32" x14ac:dyDescent="0.2">
      <c r="AF56760" s="679"/>
    </row>
    <row r="56761" spans="32:32" x14ac:dyDescent="0.2">
      <c r="AF56761" s="679"/>
    </row>
    <row r="56762" spans="32:32" x14ac:dyDescent="0.2">
      <c r="AF56762" s="679"/>
    </row>
    <row r="56763" spans="32:32" x14ac:dyDescent="0.2">
      <c r="AF56763" s="679"/>
    </row>
    <row r="56764" spans="32:32" x14ac:dyDescent="0.2">
      <c r="AF56764" s="679"/>
    </row>
    <row r="56765" spans="32:32" x14ac:dyDescent="0.2">
      <c r="AF56765" s="679"/>
    </row>
    <row r="56766" spans="32:32" x14ac:dyDescent="0.2">
      <c r="AF56766" s="679"/>
    </row>
    <row r="56767" spans="32:32" x14ac:dyDescent="0.2">
      <c r="AF56767" s="679"/>
    </row>
    <row r="56768" spans="32:32" x14ac:dyDescent="0.2">
      <c r="AF56768" s="679"/>
    </row>
    <row r="56769" spans="32:32" x14ac:dyDescent="0.2">
      <c r="AF56769" s="679"/>
    </row>
    <row r="56770" spans="32:32" x14ac:dyDescent="0.2">
      <c r="AF56770" s="679"/>
    </row>
    <row r="56771" spans="32:32" x14ac:dyDescent="0.2">
      <c r="AF56771" s="679"/>
    </row>
    <row r="56772" spans="32:32" x14ac:dyDescent="0.2">
      <c r="AF56772" s="679"/>
    </row>
    <row r="56773" spans="32:32" x14ac:dyDescent="0.2">
      <c r="AF56773" s="679"/>
    </row>
    <row r="56774" spans="32:32" x14ac:dyDescent="0.2">
      <c r="AF56774" s="679"/>
    </row>
    <row r="56775" spans="32:32" x14ac:dyDescent="0.2">
      <c r="AF56775" s="679"/>
    </row>
    <row r="56776" spans="32:32" x14ac:dyDescent="0.2">
      <c r="AF56776" s="679"/>
    </row>
    <row r="56777" spans="32:32" x14ac:dyDescent="0.2">
      <c r="AF56777" s="679"/>
    </row>
    <row r="56778" spans="32:32" x14ac:dyDescent="0.2">
      <c r="AF56778" s="679"/>
    </row>
    <row r="56779" spans="32:32" x14ac:dyDescent="0.2">
      <c r="AF56779" s="679"/>
    </row>
    <row r="56780" spans="32:32" x14ac:dyDescent="0.2">
      <c r="AF56780" s="679"/>
    </row>
    <row r="56781" spans="32:32" x14ac:dyDescent="0.2">
      <c r="AF56781" s="679"/>
    </row>
    <row r="56782" spans="32:32" x14ac:dyDescent="0.2">
      <c r="AF56782" s="679"/>
    </row>
    <row r="56783" spans="32:32" x14ac:dyDescent="0.2">
      <c r="AF56783" s="679"/>
    </row>
    <row r="56784" spans="32:32" x14ac:dyDescent="0.2">
      <c r="AF56784" s="679"/>
    </row>
    <row r="56785" spans="32:32" x14ac:dyDescent="0.2">
      <c r="AF56785" s="679"/>
    </row>
    <row r="56786" spans="32:32" x14ac:dyDescent="0.2">
      <c r="AF56786" s="679"/>
    </row>
    <row r="56787" spans="32:32" x14ac:dyDescent="0.2">
      <c r="AF56787" s="679"/>
    </row>
    <row r="56788" spans="32:32" x14ac:dyDescent="0.2">
      <c r="AF56788" s="679"/>
    </row>
    <row r="56789" spans="32:32" x14ac:dyDescent="0.2">
      <c r="AF56789" s="679"/>
    </row>
    <row r="56790" spans="32:32" x14ac:dyDescent="0.2">
      <c r="AF56790" s="679"/>
    </row>
    <row r="56791" spans="32:32" x14ac:dyDescent="0.2">
      <c r="AF56791" s="679"/>
    </row>
    <row r="56792" spans="32:32" x14ac:dyDescent="0.2">
      <c r="AF56792" s="679"/>
    </row>
    <row r="56793" spans="32:32" x14ac:dyDescent="0.2">
      <c r="AF56793" s="679"/>
    </row>
    <row r="56794" spans="32:32" x14ac:dyDescent="0.2">
      <c r="AF56794" s="679"/>
    </row>
    <row r="56795" spans="32:32" x14ac:dyDescent="0.2">
      <c r="AF56795" s="679"/>
    </row>
    <row r="56796" spans="32:32" x14ac:dyDescent="0.2">
      <c r="AF56796" s="679"/>
    </row>
    <row r="56797" spans="32:32" x14ac:dyDescent="0.2">
      <c r="AF56797" s="679"/>
    </row>
    <row r="56798" spans="32:32" x14ac:dyDescent="0.2">
      <c r="AF56798" s="679"/>
    </row>
    <row r="56799" spans="32:32" x14ac:dyDescent="0.2">
      <c r="AF56799" s="679"/>
    </row>
    <row r="56800" spans="32:32" x14ac:dyDescent="0.2">
      <c r="AF56800" s="679"/>
    </row>
    <row r="56801" spans="32:32" x14ac:dyDescent="0.2">
      <c r="AF56801" s="679"/>
    </row>
    <row r="56802" spans="32:32" x14ac:dyDescent="0.2">
      <c r="AF56802" s="679"/>
    </row>
    <row r="56803" spans="32:32" x14ac:dyDescent="0.2">
      <c r="AF56803" s="679"/>
    </row>
    <row r="56804" spans="32:32" x14ac:dyDescent="0.2">
      <c r="AF56804" s="679"/>
    </row>
    <row r="56805" spans="32:32" x14ac:dyDescent="0.2">
      <c r="AF56805" s="679"/>
    </row>
    <row r="56806" spans="32:32" x14ac:dyDescent="0.2">
      <c r="AF56806" s="679"/>
    </row>
    <row r="56807" spans="32:32" x14ac:dyDescent="0.2">
      <c r="AF56807" s="679"/>
    </row>
    <row r="56808" spans="32:32" x14ac:dyDescent="0.2">
      <c r="AF56808" s="679"/>
    </row>
    <row r="56809" spans="32:32" x14ac:dyDescent="0.2">
      <c r="AF56809" s="679"/>
    </row>
    <row r="56810" spans="32:32" x14ac:dyDescent="0.2">
      <c r="AF56810" s="679"/>
    </row>
    <row r="56811" spans="32:32" x14ac:dyDescent="0.2">
      <c r="AF56811" s="679"/>
    </row>
    <row r="56812" spans="32:32" x14ac:dyDescent="0.2">
      <c r="AF56812" s="679"/>
    </row>
    <row r="56813" spans="32:32" x14ac:dyDescent="0.2">
      <c r="AF56813" s="679"/>
    </row>
    <row r="56814" spans="32:32" x14ac:dyDescent="0.2">
      <c r="AF56814" s="679"/>
    </row>
    <row r="56815" spans="32:32" x14ac:dyDescent="0.2">
      <c r="AF56815" s="679"/>
    </row>
    <row r="56816" spans="32:32" x14ac:dyDescent="0.2">
      <c r="AF56816" s="679"/>
    </row>
    <row r="56817" spans="32:32" x14ac:dyDescent="0.2">
      <c r="AF56817" s="679"/>
    </row>
    <row r="56818" spans="32:32" x14ac:dyDescent="0.2">
      <c r="AF56818" s="679"/>
    </row>
    <row r="56819" spans="32:32" x14ac:dyDescent="0.2">
      <c r="AF56819" s="679"/>
    </row>
    <row r="56820" spans="32:32" x14ac:dyDescent="0.2">
      <c r="AF56820" s="679"/>
    </row>
    <row r="56821" spans="32:32" x14ac:dyDescent="0.2">
      <c r="AF56821" s="679"/>
    </row>
    <row r="56822" spans="32:32" x14ac:dyDescent="0.2">
      <c r="AF56822" s="679"/>
    </row>
    <row r="56823" spans="32:32" x14ac:dyDescent="0.2">
      <c r="AF56823" s="679"/>
    </row>
    <row r="56824" spans="32:32" x14ac:dyDescent="0.2">
      <c r="AF56824" s="679"/>
    </row>
    <row r="56825" spans="32:32" x14ac:dyDescent="0.2">
      <c r="AF56825" s="679"/>
    </row>
    <row r="56826" spans="32:32" x14ac:dyDescent="0.2">
      <c r="AF56826" s="679"/>
    </row>
    <row r="56827" spans="32:32" x14ac:dyDescent="0.2">
      <c r="AF56827" s="679"/>
    </row>
    <row r="56828" spans="32:32" x14ac:dyDescent="0.2">
      <c r="AF56828" s="679"/>
    </row>
    <row r="56829" spans="32:32" x14ac:dyDescent="0.2">
      <c r="AF56829" s="679"/>
    </row>
    <row r="56830" spans="32:32" x14ac:dyDescent="0.2">
      <c r="AF56830" s="679"/>
    </row>
    <row r="56831" spans="32:32" x14ac:dyDescent="0.2">
      <c r="AF56831" s="679"/>
    </row>
    <row r="56832" spans="32:32" x14ac:dyDescent="0.2">
      <c r="AF56832" s="679"/>
    </row>
    <row r="56833" spans="32:32" x14ac:dyDescent="0.2">
      <c r="AF56833" s="679"/>
    </row>
    <row r="56834" spans="32:32" x14ac:dyDescent="0.2">
      <c r="AF56834" s="679"/>
    </row>
    <row r="56835" spans="32:32" x14ac:dyDescent="0.2">
      <c r="AF56835" s="679"/>
    </row>
    <row r="56836" spans="32:32" x14ac:dyDescent="0.2">
      <c r="AF56836" s="679"/>
    </row>
    <row r="56837" spans="32:32" x14ac:dyDescent="0.2">
      <c r="AF56837" s="679"/>
    </row>
    <row r="56838" spans="32:32" x14ac:dyDescent="0.2">
      <c r="AF56838" s="679"/>
    </row>
    <row r="56839" spans="32:32" x14ac:dyDescent="0.2">
      <c r="AF56839" s="679"/>
    </row>
    <row r="56840" spans="32:32" x14ac:dyDescent="0.2">
      <c r="AF56840" s="679"/>
    </row>
    <row r="56841" spans="32:32" x14ac:dyDescent="0.2">
      <c r="AF56841" s="679"/>
    </row>
    <row r="56842" spans="32:32" x14ac:dyDescent="0.2">
      <c r="AF56842" s="679"/>
    </row>
    <row r="56843" spans="32:32" x14ac:dyDescent="0.2">
      <c r="AF56843" s="679"/>
    </row>
    <row r="56844" spans="32:32" x14ac:dyDescent="0.2">
      <c r="AF56844" s="679"/>
    </row>
    <row r="56845" spans="32:32" x14ac:dyDescent="0.2">
      <c r="AF56845" s="679"/>
    </row>
    <row r="56846" spans="32:32" x14ac:dyDescent="0.2">
      <c r="AF56846" s="679"/>
    </row>
    <row r="56847" spans="32:32" x14ac:dyDescent="0.2">
      <c r="AF56847" s="679"/>
    </row>
    <row r="56848" spans="32:32" x14ac:dyDescent="0.2">
      <c r="AF56848" s="679"/>
    </row>
    <row r="56849" spans="32:32" x14ac:dyDescent="0.2">
      <c r="AF56849" s="679"/>
    </row>
    <row r="56850" spans="32:32" x14ac:dyDescent="0.2">
      <c r="AF56850" s="679"/>
    </row>
    <row r="56851" spans="32:32" x14ac:dyDescent="0.2">
      <c r="AF56851" s="679"/>
    </row>
    <row r="56852" spans="32:32" x14ac:dyDescent="0.2">
      <c r="AF56852" s="679"/>
    </row>
    <row r="56853" spans="32:32" x14ac:dyDescent="0.2">
      <c r="AF56853" s="679"/>
    </row>
    <row r="56854" spans="32:32" x14ac:dyDescent="0.2">
      <c r="AF56854" s="679"/>
    </row>
    <row r="56855" spans="32:32" x14ac:dyDescent="0.2">
      <c r="AF56855" s="679"/>
    </row>
    <row r="56856" spans="32:32" x14ac:dyDescent="0.2">
      <c r="AF56856" s="679"/>
    </row>
    <row r="56857" spans="32:32" x14ac:dyDescent="0.2">
      <c r="AF56857" s="679"/>
    </row>
    <row r="56858" spans="32:32" x14ac:dyDescent="0.2">
      <c r="AF56858" s="679"/>
    </row>
    <row r="56859" spans="32:32" x14ac:dyDescent="0.2">
      <c r="AF56859" s="679"/>
    </row>
    <row r="56860" spans="32:32" x14ac:dyDescent="0.2">
      <c r="AF56860" s="679"/>
    </row>
    <row r="56861" spans="32:32" x14ac:dyDescent="0.2">
      <c r="AF56861" s="679"/>
    </row>
    <row r="56862" spans="32:32" x14ac:dyDescent="0.2">
      <c r="AF56862" s="679"/>
    </row>
    <row r="56863" spans="32:32" x14ac:dyDescent="0.2">
      <c r="AF56863" s="679"/>
    </row>
    <row r="56864" spans="32:32" x14ac:dyDescent="0.2">
      <c r="AF56864" s="679"/>
    </row>
    <row r="56865" spans="32:32" x14ac:dyDescent="0.2">
      <c r="AF56865" s="679"/>
    </row>
    <row r="56866" spans="32:32" x14ac:dyDescent="0.2">
      <c r="AF56866" s="679"/>
    </row>
    <row r="56867" spans="32:32" x14ac:dyDescent="0.2">
      <c r="AF56867" s="679"/>
    </row>
    <row r="56868" spans="32:32" x14ac:dyDescent="0.2">
      <c r="AF56868" s="679"/>
    </row>
    <row r="56869" spans="32:32" x14ac:dyDescent="0.2">
      <c r="AF56869" s="679"/>
    </row>
    <row r="56870" spans="32:32" x14ac:dyDescent="0.2">
      <c r="AF56870" s="679"/>
    </row>
    <row r="56871" spans="32:32" x14ac:dyDescent="0.2">
      <c r="AF56871" s="679"/>
    </row>
    <row r="56872" spans="32:32" x14ac:dyDescent="0.2">
      <c r="AF56872" s="679"/>
    </row>
    <row r="56873" spans="32:32" x14ac:dyDescent="0.2">
      <c r="AF56873" s="679"/>
    </row>
    <row r="56874" spans="32:32" x14ac:dyDescent="0.2">
      <c r="AF56874" s="679"/>
    </row>
    <row r="56875" spans="32:32" x14ac:dyDescent="0.2">
      <c r="AF56875" s="679"/>
    </row>
    <row r="56876" spans="32:32" x14ac:dyDescent="0.2">
      <c r="AF56876" s="679"/>
    </row>
    <row r="56877" spans="32:32" x14ac:dyDescent="0.2">
      <c r="AF56877" s="679"/>
    </row>
    <row r="56878" spans="32:32" x14ac:dyDescent="0.2">
      <c r="AF56878" s="679"/>
    </row>
    <row r="56879" spans="32:32" x14ac:dyDescent="0.2">
      <c r="AF56879" s="679"/>
    </row>
    <row r="56880" spans="32:32" x14ac:dyDescent="0.2">
      <c r="AF56880" s="679"/>
    </row>
    <row r="56881" spans="32:32" x14ac:dyDescent="0.2">
      <c r="AF56881" s="679"/>
    </row>
    <row r="56882" spans="32:32" x14ac:dyDescent="0.2">
      <c r="AF56882" s="679"/>
    </row>
    <row r="56883" spans="32:32" x14ac:dyDescent="0.2">
      <c r="AF56883" s="679"/>
    </row>
    <row r="56884" spans="32:32" x14ac:dyDescent="0.2">
      <c r="AF56884" s="679"/>
    </row>
    <row r="56885" spans="32:32" x14ac:dyDescent="0.2">
      <c r="AF56885" s="679"/>
    </row>
    <row r="56886" spans="32:32" x14ac:dyDescent="0.2">
      <c r="AF56886" s="679"/>
    </row>
    <row r="56887" spans="32:32" x14ac:dyDescent="0.2">
      <c r="AF56887" s="679"/>
    </row>
    <row r="56888" spans="32:32" x14ac:dyDescent="0.2">
      <c r="AF56888" s="679"/>
    </row>
    <row r="56889" spans="32:32" x14ac:dyDescent="0.2">
      <c r="AF56889" s="679"/>
    </row>
    <row r="56890" spans="32:32" x14ac:dyDescent="0.2">
      <c r="AF56890" s="679"/>
    </row>
    <row r="56891" spans="32:32" x14ac:dyDescent="0.2">
      <c r="AF56891" s="679"/>
    </row>
    <row r="56892" spans="32:32" x14ac:dyDescent="0.2">
      <c r="AF56892" s="679"/>
    </row>
    <row r="56893" spans="32:32" x14ac:dyDescent="0.2">
      <c r="AF56893" s="679"/>
    </row>
    <row r="56894" spans="32:32" x14ac:dyDescent="0.2">
      <c r="AF56894" s="679"/>
    </row>
    <row r="56895" spans="32:32" x14ac:dyDescent="0.2">
      <c r="AF56895" s="679"/>
    </row>
    <row r="56896" spans="32:32" x14ac:dyDescent="0.2">
      <c r="AF56896" s="679"/>
    </row>
    <row r="56897" spans="32:32" x14ac:dyDescent="0.2">
      <c r="AF56897" s="679"/>
    </row>
    <row r="56898" spans="32:32" x14ac:dyDescent="0.2">
      <c r="AF56898" s="679"/>
    </row>
    <row r="56899" spans="32:32" x14ac:dyDescent="0.2">
      <c r="AF56899" s="679"/>
    </row>
    <row r="56900" spans="32:32" x14ac:dyDescent="0.2">
      <c r="AF56900" s="679"/>
    </row>
    <row r="56901" spans="32:32" x14ac:dyDescent="0.2">
      <c r="AF56901" s="679"/>
    </row>
    <row r="56902" spans="32:32" x14ac:dyDescent="0.2">
      <c r="AF56902" s="679"/>
    </row>
    <row r="56903" spans="32:32" x14ac:dyDescent="0.2">
      <c r="AF56903" s="679"/>
    </row>
    <row r="56904" spans="32:32" x14ac:dyDescent="0.2">
      <c r="AF56904" s="679"/>
    </row>
    <row r="56905" spans="32:32" x14ac:dyDescent="0.2">
      <c r="AF56905" s="679"/>
    </row>
    <row r="56906" spans="32:32" x14ac:dyDescent="0.2">
      <c r="AF56906" s="679"/>
    </row>
    <row r="56907" spans="32:32" x14ac:dyDescent="0.2">
      <c r="AF56907" s="679"/>
    </row>
    <row r="56908" spans="32:32" x14ac:dyDescent="0.2">
      <c r="AF56908" s="679"/>
    </row>
    <row r="56909" spans="32:32" x14ac:dyDescent="0.2">
      <c r="AF56909" s="679"/>
    </row>
    <row r="56910" spans="32:32" x14ac:dyDescent="0.2">
      <c r="AF56910" s="679"/>
    </row>
    <row r="56911" spans="32:32" x14ac:dyDescent="0.2">
      <c r="AF56911" s="679"/>
    </row>
    <row r="56912" spans="32:32" x14ac:dyDescent="0.2">
      <c r="AF56912" s="679"/>
    </row>
    <row r="56913" spans="32:32" x14ac:dyDescent="0.2">
      <c r="AF56913" s="679"/>
    </row>
    <row r="56914" spans="32:32" x14ac:dyDescent="0.2">
      <c r="AF56914" s="679"/>
    </row>
    <row r="56915" spans="32:32" x14ac:dyDescent="0.2">
      <c r="AF56915" s="679"/>
    </row>
    <row r="56916" spans="32:32" x14ac:dyDescent="0.2">
      <c r="AF56916" s="679"/>
    </row>
    <row r="56917" spans="32:32" x14ac:dyDescent="0.2">
      <c r="AF56917" s="679"/>
    </row>
    <row r="56918" spans="32:32" x14ac:dyDescent="0.2">
      <c r="AF56918" s="679"/>
    </row>
    <row r="56919" spans="32:32" x14ac:dyDescent="0.2">
      <c r="AF56919" s="679"/>
    </row>
    <row r="56920" spans="32:32" x14ac:dyDescent="0.2">
      <c r="AF56920" s="679"/>
    </row>
    <row r="56921" spans="32:32" x14ac:dyDescent="0.2">
      <c r="AF56921" s="679"/>
    </row>
    <row r="56922" spans="32:32" x14ac:dyDescent="0.2">
      <c r="AF56922" s="679"/>
    </row>
    <row r="56923" spans="32:32" x14ac:dyDescent="0.2">
      <c r="AF56923" s="679"/>
    </row>
    <row r="56924" spans="32:32" x14ac:dyDescent="0.2">
      <c r="AF56924" s="679"/>
    </row>
    <row r="56925" spans="32:32" x14ac:dyDescent="0.2">
      <c r="AF56925" s="679"/>
    </row>
    <row r="56926" spans="32:32" x14ac:dyDescent="0.2">
      <c r="AF56926" s="679"/>
    </row>
    <row r="56927" spans="32:32" x14ac:dyDescent="0.2">
      <c r="AF56927" s="679"/>
    </row>
    <row r="56928" spans="32:32" x14ac:dyDescent="0.2">
      <c r="AF56928" s="679"/>
    </row>
    <row r="56929" spans="32:32" x14ac:dyDescent="0.2">
      <c r="AF56929" s="679"/>
    </row>
    <row r="56930" spans="32:32" x14ac:dyDescent="0.2">
      <c r="AF56930" s="679"/>
    </row>
    <row r="56931" spans="32:32" x14ac:dyDescent="0.2">
      <c r="AF56931" s="679"/>
    </row>
    <row r="56932" spans="32:32" x14ac:dyDescent="0.2">
      <c r="AF56932" s="679"/>
    </row>
    <row r="56933" spans="32:32" x14ac:dyDescent="0.2">
      <c r="AF56933" s="679"/>
    </row>
    <row r="56934" spans="32:32" x14ac:dyDescent="0.2">
      <c r="AF56934" s="679"/>
    </row>
    <row r="56935" spans="32:32" x14ac:dyDescent="0.2">
      <c r="AF56935" s="679"/>
    </row>
    <row r="56936" spans="32:32" x14ac:dyDescent="0.2">
      <c r="AF56936" s="679"/>
    </row>
    <row r="56937" spans="32:32" x14ac:dyDescent="0.2">
      <c r="AF56937" s="679"/>
    </row>
    <row r="56938" spans="32:32" x14ac:dyDescent="0.2">
      <c r="AF56938" s="679"/>
    </row>
    <row r="56939" spans="32:32" x14ac:dyDescent="0.2">
      <c r="AF56939" s="679"/>
    </row>
    <row r="56940" spans="32:32" x14ac:dyDescent="0.2">
      <c r="AF56940" s="679"/>
    </row>
    <row r="56941" spans="32:32" x14ac:dyDescent="0.2">
      <c r="AF56941" s="679"/>
    </row>
    <row r="56942" spans="32:32" x14ac:dyDescent="0.2">
      <c r="AF56942" s="679"/>
    </row>
    <row r="56943" spans="32:32" x14ac:dyDescent="0.2">
      <c r="AF56943" s="679"/>
    </row>
    <row r="56944" spans="32:32" x14ac:dyDescent="0.2">
      <c r="AF56944" s="679"/>
    </row>
    <row r="56945" spans="32:32" x14ac:dyDescent="0.2">
      <c r="AF56945" s="679"/>
    </row>
    <row r="56946" spans="32:32" x14ac:dyDescent="0.2">
      <c r="AF56946" s="679"/>
    </row>
    <row r="56947" spans="32:32" x14ac:dyDescent="0.2">
      <c r="AF56947" s="679"/>
    </row>
    <row r="56948" spans="32:32" x14ac:dyDescent="0.2">
      <c r="AF56948" s="679"/>
    </row>
    <row r="56949" spans="32:32" x14ac:dyDescent="0.2">
      <c r="AF56949" s="679"/>
    </row>
    <row r="56950" spans="32:32" x14ac:dyDescent="0.2">
      <c r="AF56950" s="679"/>
    </row>
    <row r="56951" spans="32:32" x14ac:dyDescent="0.2">
      <c r="AF56951" s="679"/>
    </row>
    <row r="56952" spans="32:32" x14ac:dyDescent="0.2">
      <c r="AF56952" s="679"/>
    </row>
    <row r="56953" spans="32:32" x14ac:dyDescent="0.2">
      <c r="AF56953" s="679"/>
    </row>
    <row r="56954" spans="32:32" x14ac:dyDescent="0.2">
      <c r="AF56954" s="679"/>
    </row>
    <row r="56955" spans="32:32" x14ac:dyDescent="0.2">
      <c r="AF56955" s="679"/>
    </row>
    <row r="56956" spans="32:32" x14ac:dyDescent="0.2">
      <c r="AF56956" s="679"/>
    </row>
    <row r="56957" spans="32:32" x14ac:dyDescent="0.2">
      <c r="AF56957" s="679"/>
    </row>
    <row r="56958" spans="32:32" x14ac:dyDescent="0.2">
      <c r="AF56958" s="679"/>
    </row>
    <row r="56959" spans="32:32" x14ac:dyDescent="0.2">
      <c r="AF56959" s="679"/>
    </row>
    <row r="56960" spans="32:32" x14ac:dyDescent="0.2">
      <c r="AF56960" s="679"/>
    </row>
    <row r="56961" spans="32:32" x14ac:dyDescent="0.2">
      <c r="AF56961" s="679"/>
    </row>
    <row r="56962" spans="32:32" x14ac:dyDescent="0.2">
      <c r="AF56962" s="679"/>
    </row>
    <row r="56963" spans="32:32" x14ac:dyDescent="0.2">
      <c r="AF56963" s="679"/>
    </row>
    <row r="56964" spans="32:32" x14ac:dyDescent="0.2">
      <c r="AF56964" s="679"/>
    </row>
    <row r="56965" spans="32:32" x14ac:dyDescent="0.2">
      <c r="AF56965" s="679"/>
    </row>
    <row r="56966" spans="32:32" x14ac:dyDescent="0.2">
      <c r="AF56966" s="679"/>
    </row>
    <row r="56967" spans="32:32" x14ac:dyDescent="0.2">
      <c r="AF56967" s="679"/>
    </row>
    <row r="56968" spans="32:32" x14ac:dyDescent="0.2">
      <c r="AF56968" s="679"/>
    </row>
    <row r="56969" spans="32:32" x14ac:dyDescent="0.2">
      <c r="AF56969" s="679"/>
    </row>
    <row r="56970" spans="32:32" x14ac:dyDescent="0.2">
      <c r="AF56970" s="679"/>
    </row>
    <row r="56971" spans="32:32" x14ac:dyDescent="0.2">
      <c r="AF56971" s="679"/>
    </row>
    <row r="56972" spans="32:32" x14ac:dyDescent="0.2">
      <c r="AF56972" s="679"/>
    </row>
    <row r="56973" spans="32:32" x14ac:dyDescent="0.2">
      <c r="AF56973" s="679"/>
    </row>
    <row r="56974" spans="32:32" x14ac:dyDescent="0.2">
      <c r="AF56974" s="679"/>
    </row>
    <row r="56975" spans="32:32" x14ac:dyDescent="0.2">
      <c r="AF56975" s="679"/>
    </row>
    <row r="56976" spans="32:32" x14ac:dyDescent="0.2">
      <c r="AF56976" s="679"/>
    </row>
    <row r="56977" spans="32:32" x14ac:dyDescent="0.2">
      <c r="AF56977" s="679"/>
    </row>
    <row r="56978" spans="32:32" x14ac:dyDescent="0.2">
      <c r="AF56978" s="679"/>
    </row>
    <row r="56979" spans="32:32" x14ac:dyDescent="0.2">
      <c r="AF56979" s="679"/>
    </row>
    <row r="56980" spans="32:32" x14ac:dyDescent="0.2">
      <c r="AF56980" s="679"/>
    </row>
    <row r="56981" spans="32:32" x14ac:dyDescent="0.2">
      <c r="AF56981" s="679"/>
    </row>
    <row r="56982" spans="32:32" x14ac:dyDescent="0.2">
      <c r="AF56982" s="679"/>
    </row>
    <row r="56983" spans="32:32" x14ac:dyDescent="0.2">
      <c r="AF56983" s="679"/>
    </row>
    <row r="56984" spans="32:32" x14ac:dyDescent="0.2">
      <c r="AF56984" s="679"/>
    </row>
    <row r="56985" spans="32:32" x14ac:dyDescent="0.2">
      <c r="AF56985" s="679"/>
    </row>
    <row r="56986" spans="32:32" x14ac:dyDescent="0.2">
      <c r="AF56986" s="679"/>
    </row>
    <row r="56987" spans="32:32" x14ac:dyDescent="0.2">
      <c r="AF56987" s="679"/>
    </row>
    <row r="56988" spans="32:32" x14ac:dyDescent="0.2">
      <c r="AF56988" s="679"/>
    </row>
    <row r="56989" spans="32:32" x14ac:dyDescent="0.2">
      <c r="AF56989" s="679"/>
    </row>
    <row r="56990" spans="32:32" x14ac:dyDescent="0.2">
      <c r="AF56990" s="679"/>
    </row>
    <row r="56991" spans="32:32" x14ac:dyDescent="0.2">
      <c r="AF56991" s="679"/>
    </row>
    <row r="56992" spans="32:32" x14ac:dyDescent="0.2">
      <c r="AF56992" s="679"/>
    </row>
    <row r="56993" spans="32:32" x14ac:dyDescent="0.2">
      <c r="AF56993" s="679"/>
    </row>
    <row r="56994" spans="32:32" x14ac:dyDescent="0.2">
      <c r="AF56994" s="679"/>
    </row>
    <row r="56995" spans="32:32" x14ac:dyDescent="0.2">
      <c r="AF56995" s="679"/>
    </row>
    <row r="56996" spans="32:32" x14ac:dyDescent="0.2">
      <c r="AF56996" s="679"/>
    </row>
    <row r="56997" spans="32:32" x14ac:dyDescent="0.2">
      <c r="AF56997" s="679"/>
    </row>
    <row r="56998" spans="32:32" x14ac:dyDescent="0.2">
      <c r="AF56998" s="679"/>
    </row>
    <row r="56999" spans="32:32" x14ac:dyDescent="0.2">
      <c r="AF56999" s="679"/>
    </row>
    <row r="57000" spans="32:32" x14ac:dyDescent="0.2">
      <c r="AF57000" s="679"/>
    </row>
    <row r="57001" spans="32:32" x14ac:dyDescent="0.2">
      <c r="AF57001" s="679"/>
    </row>
    <row r="57002" spans="32:32" x14ac:dyDescent="0.2">
      <c r="AF57002" s="679"/>
    </row>
    <row r="57003" spans="32:32" x14ac:dyDescent="0.2">
      <c r="AF57003" s="679"/>
    </row>
    <row r="57004" spans="32:32" x14ac:dyDescent="0.2">
      <c r="AF57004" s="679"/>
    </row>
    <row r="57005" spans="32:32" x14ac:dyDescent="0.2">
      <c r="AF57005" s="679"/>
    </row>
    <row r="57006" spans="32:32" x14ac:dyDescent="0.2">
      <c r="AF57006" s="679"/>
    </row>
    <row r="57007" spans="32:32" x14ac:dyDescent="0.2">
      <c r="AF57007" s="679"/>
    </row>
    <row r="57008" spans="32:32" x14ac:dyDescent="0.2">
      <c r="AF57008" s="679"/>
    </row>
    <row r="57009" spans="32:32" x14ac:dyDescent="0.2">
      <c r="AF57009" s="679"/>
    </row>
    <row r="57010" spans="32:32" x14ac:dyDescent="0.2">
      <c r="AF57010" s="679"/>
    </row>
    <row r="57011" spans="32:32" x14ac:dyDescent="0.2">
      <c r="AF57011" s="679"/>
    </row>
    <row r="57012" spans="32:32" x14ac:dyDescent="0.2">
      <c r="AF57012" s="679"/>
    </row>
    <row r="57013" spans="32:32" x14ac:dyDescent="0.2">
      <c r="AF57013" s="679"/>
    </row>
    <row r="57014" spans="32:32" x14ac:dyDescent="0.2">
      <c r="AF57014" s="679"/>
    </row>
    <row r="57015" spans="32:32" x14ac:dyDescent="0.2">
      <c r="AF57015" s="679"/>
    </row>
    <row r="57016" spans="32:32" x14ac:dyDescent="0.2">
      <c r="AF57016" s="679"/>
    </row>
    <row r="57017" spans="32:32" x14ac:dyDescent="0.2">
      <c r="AF57017" s="679"/>
    </row>
    <row r="57018" spans="32:32" x14ac:dyDescent="0.2">
      <c r="AF57018" s="679"/>
    </row>
    <row r="57019" spans="32:32" x14ac:dyDescent="0.2">
      <c r="AF57019" s="679"/>
    </row>
    <row r="57020" spans="32:32" x14ac:dyDescent="0.2">
      <c r="AF57020" s="679"/>
    </row>
    <row r="57021" spans="32:32" x14ac:dyDescent="0.2">
      <c r="AF57021" s="679"/>
    </row>
    <row r="57022" spans="32:32" x14ac:dyDescent="0.2">
      <c r="AF57022" s="679"/>
    </row>
    <row r="57023" spans="32:32" x14ac:dyDescent="0.2">
      <c r="AF57023" s="679"/>
    </row>
    <row r="57024" spans="32:32" x14ac:dyDescent="0.2">
      <c r="AF57024" s="679"/>
    </row>
    <row r="57025" spans="32:32" x14ac:dyDescent="0.2">
      <c r="AF57025" s="679"/>
    </row>
    <row r="57026" spans="32:32" x14ac:dyDescent="0.2">
      <c r="AF57026" s="679"/>
    </row>
    <row r="57027" spans="32:32" x14ac:dyDescent="0.2">
      <c r="AF57027" s="679"/>
    </row>
    <row r="57028" spans="32:32" x14ac:dyDescent="0.2">
      <c r="AF57028" s="679"/>
    </row>
    <row r="57029" spans="32:32" x14ac:dyDescent="0.2">
      <c r="AF57029" s="679"/>
    </row>
    <row r="57030" spans="32:32" x14ac:dyDescent="0.2">
      <c r="AF57030" s="679"/>
    </row>
    <row r="57031" spans="32:32" x14ac:dyDescent="0.2">
      <c r="AF57031" s="679"/>
    </row>
    <row r="57032" spans="32:32" x14ac:dyDescent="0.2">
      <c r="AF57032" s="679"/>
    </row>
    <row r="57033" spans="32:32" x14ac:dyDescent="0.2">
      <c r="AF57033" s="679"/>
    </row>
    <row r="57034" spans="32:32" x14ac:dyDescent="0.2">
      <c r="AF57034" s="679"/>
    </row>
    <row r="57035" spans="32:32" x14ac:dyDescent="0.2">
      <c r="AF57035" s="679"/>
    </row>
    <row r="57036" spans="32:32" x14ac:dyDescent="0.2">
      <c r="AF57036" s="679"/>
    </row>
    <row r="57037" spans="32:32" x14ac:dyDescent="0.2">
      <c r="AF57037" s="679"/>
    </row>
    <row r="57038" spans="32:32" x14ac:dyDescent="0.2">
      <c r="AF57038" s="679"/>
    </row>
    <row r="57039" spans="32:32" x14ac:dyDescent="0.2">
      <c r="AF57039" s="679"/>
    </row>
    <row r="57040" spans="32:32" x14ac:dyDescent="0.2">
      <c r="AF57040" s="679"/>
    </row>
    <row r="57041" spans="32:32" x14ac:dyDescent="0.2">
      <c r="AF57041" s="679"/>
    </row>
    <row r="57042" spans="32:32" x14ac:dyDescent="0.2">
      <c r="AF57042" s="679"/>
    </row>
    <row r="57043" spans="32:32" x14ac:dyDescent="0.2">
      <c r="AF57043" s="679"/>
    </row>
    <row r="57044" spans="32:32" x14ac:dyDescent="0.2">
      <c r="AF57044" s="679"/>
    </row>
    <row r="57045" spans="32:32" x14ac:dyDescent="0.2">
      <c r="AF57045" s="679"/>
    </row>
    <row r="57046" spans="32:32" x14ac:dyDescent="0.2">
      <c r="AF57046" s="679"/>
    </row>
    <row r="57047" spans="32:32" x14ac:dyDescent="0.2">
      <c r="AF57047" s="679"/>
    </row>
    <row r="57048" spans="32:32" x14ac:dyDescent="0.2">
      <c r="AF57048" s="679"/>
    </row>
    <row r="57049" spans="32:32" x14ac:dyDescent="0.2">
      <c r="AF57049" s="679"/>
    </row>
    <row r="57050" spans="32:32" x14ac:dyDescent="0.2">
      <c r="AF57050" s="679"/>
    </row>
    <row r="57051" spans="32:32" x14ac:dyDescent="0.2">
      <c r="AF57051" s="679"/>
    </row>
    <row r="57052" spans="32:32" x14ac:dyDescent="0.2">
      <c r="AF57052" s="679"/>
    </row>
    <row r="57053" spans="32:32" x14ac:dyDescent="0.2">
      <c r="AF57053" s="679"/>
    </row>
    <row r="57054" spans="32:32" x14ac:dyDescent="0.2">
      <c r="AF57054" s="679"/>
    </row>
    <row r="57055" spans="32:32" x14ac:dyDescent="0.2">
      <c r="AF57055" s="679"/>
    </row>
    <row r="57056" spans="32:32" x14ac:dyDescent="0.2">
      <c r="AF57056" s="679"/>
    </row>
    <row r="57057" spans="32:32" x14ac:dyDescent="0.2">
      <c r="AF57057" s="679"/>
    </row>
    <row r="57058" spans="32:32" x14ac:dyDescent="0.2">
      <c r="AF57058" s="679"/>
    </row>
    <row r="57059" spans="32:32" x14ac:dyDescent="0.2">
      <c r="AF57059" s="679"/>
    </row>
    <row r="57060" spans="32:32" x14ac:dyDescent="0.2">
      <c r="AF57060" s="679"/>
    </row>
    <row r="57061" spans="32:32" x14ac:dyDescent="0.2">
      <c r="AF57061" s="679"/>
    </row>
    <row r="57062" spans="32:32" x14ac:dyDescent="0.2">
      <c r="AF57062" s="679"/>
    </row>
    <row r="57063" spans="32:32" x14ac:dyDescent="0.2">
      <c r="AF57063" s="679"/>
    </row>
    <row r="57064" spans="32:32" x14ac:dyDescent="0.2">
      <c r="AF57064" s="679"/>
    </row>
    <row r="57065" spans="32:32" x14ac:dyDescent="0.2">
      <c r="AF57065" s="679"/>
    </row>
    <row r="57066" spans="32:32" x14ac:dyDescent="0.2">
      <c r="AF57066" s="679"/>
    </row>
    <row r="57067" spans="32:32" x14ac:dyDescent="0.2">
      <c r="AF57067" s="679"/>
    </row>
    <row r="57068" spans="32:32" x14ac:dyDescent="0.2">
      <c r="AF57068" s="679"/>
    </row>
    <row r="57069" spans="32:32" x14ac:dyDescent="0.2">
      <c r="AF57069" s="679"/>
    </row>
    <row r="57070" spans="32:32" x14ac:dyDescent="0.2">
      <c r="AF57070" s="679"/>
    </row>
    <row r="57071" spans="32:32" x14ac:dyDescent="0.2">
      <c r="AF57071" s="679"/>
    </row>
    <row r="57072" spans="32:32" x14ac:dyDescent="0.2">
      <c r="AF57072" s="679"/>
    </row>
    <row r="57073" spans="32:32" x14ac:dyDescent="0.2">
      <c r="AF57073" s="679"/>
    </row>
    <row r="57074" spans="32:32" x14ac:dyDescent="0.2">
      <c r="AF57074" s="679"/>
    </row>
    <row r="57075" spans="32:32" x14ac:dyDescent="0.2">
      <c r="AF57075" s="679"/>
    </row>
    <row r="57076" spans="32:32" x14ac:dyDescent="0.2">
      <c r="AF57076" s="679"/>
    </row>
    <row r="57077" spans="32:32" x14ac:dyDescent="0.2">
      <c r="AF57077" s="679"/>
    </row>
    <row r="57078" spans="32:32" x14ac:dyDescent="0.2">
      <c r="AF57078" s="679"/>
    </row>
    <row r="57079" spans="32:32" x14ac:dyDescent="0.2">
      <c r="AF57079" s="679"/>
    </row>
    <row r="57080" spans="32:32" x14ac:dyDescent="0.2">
      <c r="AF57080" s="679"/>
    </row>
    <row r="57081" spans="32:32" x14ac:dyDescent="0.2">
      <c r="AF57081" s="679"/>
    </row>
    <row r="57082" spans="32:32" x14ac:dyDescent="0.2">
      <c r="AF57082" s="679"/>
    </row>
    <row r="57083" spans="32:32" x14ac:dyDescent="0.2">
      <c r="AF57083" s="679"/>
    </row>
    <row r="57084" spans="32:32" x14ac:dyDescent="0.2">
      <c r="AF57084" s="679"/>
    </row>
    <row r="57085" spans="32:32" x14ac:dyDescent="0.2">
      <c r="AF57085" s="679"/>
    </row>
    <row r="57086" spans="32:32" x14ac:dyDescent="0.2">
      <c r="AF57086" s="679"/>
    </row>
    <row r="57087" spans="32:32" x14ac:dyDescent="0.2">
      <c r="AF57087" s="679"/>
    </row>
    <row r="57088" spans="32:32" x14ac:dyDescent="0.2">
      <c r="AF57088" s="679"/>
    </row>
    <row r="57089" spans="32:32" x14ac:dyDescent="0.2">
      <c r="AF57089" s="679"/>
    </row>
    <row r="57090" spans="32:32" x14ac:dyDescent="0.2">
      <c r="AF57090" s="679"/>
    </row>
    <row r="57091" spans="32:32" x14ac:dyDescent="0.2">
      <c r="AF57091" s="679"/>
    </row>
    <row r="57092" spans="32:32" x14ac:dyDescent="0.2">
      <c r="AF57092" s="679"/>
    </row>
    <row r="57093" spans="32:32" x14ac:dyDescent="0.2">
      <c r="AF57093" s="679"/>
    </row>
    <row r="57094" spans="32:32" x14ac:dyDescent="0.2">
      <c r="AF57094" s="679"/>
    </row>
    <row r="57095" spans="32:32" x14ac:dyDescent="0.2">
      <c r="AF57095" s="679"/>
    </row>
    <row r="57096" spans="32:32" x14ac:dyDescent="0.2">
      <c r="AF57096" s="679"/>
    </row>
    <row r="57097" spans="32:32" x14ac:dyDescent="0.2">
      <c r="AF57097" s="679"/>
    </row>
    <row r="57098" spans="32:32" x14ac:dyDescent="0.2">
      <c r="AF57098" s="679"/>
    </row>
    <row r="57099" spans="32:32" x14ac:dyDescent="0.2">
      <c r="AF57099" s="679"/>
    </row>
    <row r="57100" spans="32:32" x14ac:dyDescent="0.2">
      <c r="AF57100" s="679"/>
    </row>
    <row r="57101" spans="32:32" x14ac:dyDescent="0.2">
      <c r="AF57101" s="679"/>
    </row>
    <row r="57102" spans="32:32" x14ac:dyDescent="0.2">
      <c r="AF57102" s="679"/>
    </row>
    <row r="57103" spans="32:32" x14ac:dyDescent="0.2">
      <c r="AF57103" s="679"/>
    </row>
    <row r="57104" spans="32:32" x14ac:dyDescent="0.2">
      <c r="AF57104" s="679"/>
    </row>
    <row r="57105" spans="32:32" x14ac:dyDescent="0.2">
      <c r="AF57105" s="679"/>
    </row>
    <row r="57106" spans="32:32" x14ac:dyDescent="0.2">
      <c r="AF57106" s="679"/>
    </row>
    <row r="57107" spans="32:32" x14ac:dyDescent="0.2">
      <c r="AF57107" s="679"/>
    </row>
    <row r="57108" spans="32:32" x14ac:dyDescent="0.2">
      <c r="AF57108" s="679"/>
    </row>
    <row r="57109" spans="32:32" x14ac:dyDescent="0.2">
      <c r="AF57109" s="679"/>
    </row>
    <row r="57110" spans="32:32" x14ac:dyDescent="0.2">
      <c r="AF57110" s="679"/>
    </row>
    <row r="57111" spans="32:32" x14ac:dyDescent="0.2">
      <c r="AF57111" s="679"/>
    </row>
    <row r="57112" spans="32:32" x14ac:dyDescent="0.2">
      <c r="AF57112" s="679"/>
    </row>
    <row r="57113" spans="32:32" x14ac:dyDescent="0.2">
      <c r="AF57113" s="679"/>
    </row>
    <row r="57114" spans="32:32" x14ac:dyDescent="0.2">
      <c r="AF57114" s="679"/>
    </row>
    <row r="57115" spans="32:32" x14ac:dyDescent="0.2">
      <c r="AF57115" s="679"/>
    </row>
    <row r="57116" spans="32:32" x14ac:dyDescent="0.2">
      <c r="AF57116" s="679"/>
    </row>
    <row r="57117" spans="32:32" x14ac:dyDescent="0.2">
      <c r="AF57117" s="679"/>
    </row>
    <row r="57118" spans="32:32" x14ac:dyDescent="0.2">
      <c r="AF57118" s="679"/>
    </row>
    <row r="57119" spans="32:32" x14ac:dyDescent="0.2">
      <c r="AF57119" s="679"/>
    </row>
    <row r="57120" spans="32:32" x14ac:dyDescent="0.2">
      <c r="AF57120" s="679"/>
    </row>
    <row r="57121" spans="32:32" x14ac:dyDescent="0.2">
      <c r="AF57121" s="679"/>
    </row>
    <row r="57122" spans="32:32" x14ac:dyDescent="0.2">
      <c r="AF57122" s="679"/>
    </row>
    <row r="57123" spans="32:32" x14ac:dyDescent="0.2">
      <c r="AF57123" s="679"/>
    </row>
    <row r="57124" spans="32:32" x14ac:dyDescent="0.2">
      <c r="AF57124" s="679"/>
    </row>
    <row r="57125" spans="32:32" x14ac:dyDescent="0.2">
      <c r="AF57125" s="679"/>
    </row>
    <row r="57126" spans="32:32" x14ac:dyDescent="0.2">
      <c r="AF57126" s="679"/>
    </row>
    <row r="57127" spans="32:32" x14ac:dyDescent="0.2">
      <c r="AF57127" s="679"/>
    </row>
    <row r="57128" spans="32:32" x14ac:dyDescent="0.2">
      <c r="AF57128" s="679"/>
    </row>
    <row r="57129" spans="32:32" x14ac:dyDescent="0.2">
      <c r="AF57129" s="679"/>
    </row>
    <row r="57130" spans="32:32" x14ac:dyDescent="0.2">
      <c r="AF57130" s="679"/>
    </row>
    <row r="57131" spans="32:32" x14ac:dyDescent="0.2">
      <c r="AF57131" s="679"/>
    </row>
    <row r="57132" spans="32:32" x14ac:dyDescent="0.2">
      <c r="AF57132" s="679"/>
    </row>
    <row r="57133" spans="32:32" x14ac:dyDescent="0.2">
      <c r="AF57133" s="679"/>
    </row>
    <row r="57134" spans="32:32" x14ac:dyDescent="0.2">
      <c r="AF57134" s="679"/>
    </row>
    <row r="57135" spans="32:32" x14ac:dyDescent="0.2">
      <c r="AF57135" s="679"/>
    </row>
    <row r="57136" spans="32:32" x14ac:dyDescent="0.2">
      <c r="AF57136" s="679"/>
    </row>
    <row r="57137" spans="32:32" x14ac:dyDescent="0.2">
      <c r="AF57137" s="679"/>
    </row>
    <row r="57138" spans="32:32" x14ac:dyDescent="0.2">
      <c r="AF57138" s="679"/>
    </row>
    <row r="57139" spans="32:32" x14ac:dyDescent="0.2">
      <c r="AF57139" s="679"/>
    </row>
    <row r="57140" spans="32:32" x14ac:dyDescent="0.2">
      <c r="AF57140" s="679"/>
    </row>
    <row r="57141" spans="32:32" x14ac:dyDescent="0.2">
      <c r="AF57141" s="679"/>
    </row>
    <row r="57142" spans="32:32" x14ac:dyDescent="0.2">
      <c r="AF57142" s="679"/>
    </row>
    <row r="57143" spans="32:32" x14ac:dyDescent="0.2">
      <c r="AF57143" s="679"/>
    </row>
    <row r="57144" spans="32:32" x14ac:dyDescent="0.2">
      <c r="AF57144" s="679"/>
    </row>
    <row r="57145" spans="32:32" x14ac:dyDescent="0.2">
      <c r="AF57145" s="679"/>
    </row>
    <row r="57146" spans="32:32" x14ac:dyDescent="0.2">
      <c r="AF57146" s="679"/>
    </row>
    <row r="57147" spans="32:32" x14ac:dyDescent="0.2">
      <c r="AF57147" s="679"/>
    </row>
    <row r="57148" spans="32:32" x14ac:dyDescent="0.2">
      <c r="AF57148" s="679"/>
    </row>
    <row r="57149" spans="32:32" x14ac:dyDescent="0.2">
      <c r="AF57149" s="679"/>
    </row>
    <row r="57150" spans="32:32" x14ac:dyDescent="0.2">
      <c r="AF57150" s="679"/>
    </row>
    <row r="57151" spans="32:32" x14ac:dyDescent="0.2">
      <c r="AF57151" s="679"/>
    </row>
    <row r="57152" spans="32:32" x14ac:dyDescent="0.2">
      <c r="AF57152" s="679"/>
    </row>
    <row r="57153" spans="32:32" x14ac:dyDescent="0.2">
      <c r="AF57153" s="679"/>
    </row>
    <row r="57154" spans="32:32" x14ac:dyDescent="0.2">
      <c r="AF57154" s="679"/>
    </row>
    <row r="57155" spans="32:32" x14ac:dyDescent="0.2">
      <c r="AF57155" s="679"/>
    </row>
    <row r="57156" spans="32:32" x14ac:dyDescent="0.2">
      <c r="AF57156" s="679"/>
    </row>
    <row r="57157" spans="32:32" x14ac:dyDescent="0.2">
      <c r="AF57157" s="679"/>
    </row>
    <row r="57158" spans="32:32" x14ac:dyDescent="0.2">
      <c r="AF57158" s="679"/>
    </row>
    <row r="57159" spans="32:32" x14ac:dyDescent="0.2">
      <c r="AF57159" s="679"/>
    </row>
    <row r="57160" spans="32:32" x14ac:dyDescent="0.2">
      <c r="AF57160" s="679"/>
    </row>
    <row r="57161" spans="32:32" x14ac:dyDescent="0.2">
      <c r="AF57161" s="679"/>
    </row>
    <row r="57162" spans="32:32" x14ac:dyDescent="0.2">
      <c r="AF57162" s="679"/>
    </row>
    <row r="57163" spans="32:32" x14ac:dyDescent="0.2">
      <c r="AF57163" s="679"/>
    </row>
    <row r="57164" spans="32:32" x14ac:dyDescent="0.2">
      <c r="AF57164" s="679"/>
    </row>
    <row r="57165" spans="32:32" x14ac:dyDescent="0.2">
      <c r="AF57165" s="679"/>
    </row>
    <row r="57166" spans="32:32" x14ac:dyDescent="0.2">
      <c r="AF57166" s="679"/>
    </row>
    <row r="57167" spans="32:32" x14ac:dyDescent="0.2">
      <c r="AF57167" s="679"/>
    </row>
    <row r="57168" spans="32:32" x14ac:dyDescent="0.2">
      <c r="AF57168" s="679"/>
    </row>
    <row r="57169" spans="32:32" x14ac:dyDescent="0.2">
      <c r="AF57169" s="679"/>
    </row>
    <row r="57170" spans="32:32" x14ac:dyDescent="0.2">
      <c r="AF57170" s="679"/>
    </row>
    <row r="57171" spans="32:32" x14ac:dyDescent="0.2">
      <c r="AF57171" s="679"/>
    </row>
    <row r="57172" spans="32:32" x14ac:dyDescent="0.2">
      <c r="AF57172" s="679"/>
    </row>
    <row r="57173" spans="32:32" x14ac:dyDescent="0.2">
      <c r="AF57173" s="679"/>
    </row>
    <row r="57174" spans="32:32" x14ac:dyDescent="0.2">
      <c r="AF57174" s="679"/>
    </row>
    <row r="57175" spans="32:32" x14ac:dyDescent="0.2">
      <c r="AF57175" s="679"/>
    </row>
    <row r="57176" spans="32:32" x14ac:dyDescent="0.2">
      <c r="AF57176" s="679"/>
    </row>
    <row r="57177" spans="32:32" x14ac:dyDescent="0.2">
      <c r="AF57177" s="679"/>
    </row>
    <row r="57178" spans="32:32" x14ac:dyDescent="0.2">
      <c r="AF57178" s="679"/>
    </row>
    <row r="57179" spans="32:32" x14ac:dyDescent="0.2">
      <c r="AF57179" s="679"/>
    </row>
    <row r="57180" spans="32:32" x14ac:dyDescent="0.2">
      <c r="AF57180" s="679"/>
    </row>
    <row r="57181" spans="32:32" x14ac:dyDescent="0.2">
      <c r="AF57181" s="679"/>
    </row>
    <row r="57182" spans="32:32" x14ac:dyDescent="0.2">
      <c r="AF57182" s="679"/>
    </row>
    <row r="57183" spans="32:32" x14ac:dyDescent="0.2">
      <c r="AF57183" s="679"/>
    </row>
    <row r="57184" spans="32:32" x14ac:dyDescent="0.2">
      <c r="AF57184" s="679"/>
    </row>
    <row r="57185" spans="32:32" x14ac:dyDescent="0.2">
      <c r="AF57185" s="679"/>
    </row>
    <row r="57186" spans="32:32" x14ac:dyDescent="0.2">
      <c r="AF57186" s="679"/>
    </row>
    <row r="57187" spans="32:32" x14ac:dyDescent="0.2">
      <c r="AF57187" s="679"/>
    </row>
    <row r="57188" spans="32:32" x14ac:dyDescent="0.2">
      <c r="AF57188" s="679"/>
    </row>
    <row r="57189" spans="32:32" x14ac:dyDescent="0.2">
      <c r="AF57189" s="679"/>
    </row>
    <row r="57190" spans="32:32" x14ac:dyDescent="0.2">
      <c r="AF57190" s="679"/>
    </row>
    <row r="57191" spans="32:32" x14ac:dyDescent="0.2">
      <c r="AF57191" s="679"/>
    </row>
    <row r="57192" spans="32:32" x14ac:dyDescent="0.2">
      <c r="AF57192" s="679"/>
    </row>
    <row r="57193" spans="32:32" x14ac:dyDescent="0.2">
      <c r="AF57193" s="679"/>
    </row>
    <row r="57194" spans="32:32" x14ac:dyDescent="0.2">
      <c r="AF57194" s="679"/>
    </row>
    <row r="57195" spans="32:32" x14ac:dyDescent="0.2">
      <c r="AF57195" s="679"/>
    </row>
    <row r="57196" spans="32:32" x14ac:dyDescent="0.2">
      <c r="AF57196" s="679"/>
    </row>
    <row r="57197" spans="32:32" x14ac:dyDescent="0.2">
      <c r="AF57197" s="679"/>
    </row>
    <row r="57198" spans="32:32" x14ac:dyDescent="0.2">
      <c r="AF57198" s="679"/>
    </row>
    <row r="57199" spans="32:32" x14ac:dyDescent="0.2">
      <c r="AF57199" s="679"/>
    </row>
    <row r="57200" spans="32:32" x14ac:dyDescent="0.2">
      <c r="AF57200" s="679"/>
    </row>
    <row r="57201" spans="32:32" x14ac:dyDescent="0.2">
      <c r="AF57201" s="679"/>
    </row>
    <row r="57202" spans="32:32" x14ac:dyDescent="0.2">
      <c r="AF57202" s="679"/>
    </row>
    <row r="57203" spans="32:32" x14ac:dyDescent="0.2">
      <c r="AF57203" s="679"/>
    </row>
    <row r="57204" spans="32:32" x14ac:dyDescent="0.2">
      <c r="AF57204" s="679"/>
    </row>
    <row r="57205" spans="32:32" x14ac:dyDescent="0.2">
      <c r="AF57205" s="679"/>
    </row>
    <row r="57206" spans="32:32" x14ac:dyDescent="0.2">
      <c r="AF57206" s="679"/>
    </row>
    <row r="57207" spans="32:32" x14ac:dyDescent="0.2">
      <c r="AF57207" s="679"/>
    </row>
    <row r="57208" spans="32:32" x14ac:dyDescent="0.2">
      <c r="AF57208" s="679"/>
    </row>
    <row r="57209" spans="32:32" x14ac:dyDescent="0.2">
      <c r="AF57209" s="679"/>
    </row>
    <row r="57210" spans="32:32" x14ac:dyDescent="0.2">
      <c r="AF57210" s="679"/>
    </row>
    <row r="57211" spans="32:32" x14ac:dyDescent="0.2">
      <c r="AF57211" s="679"/>
    </row>
    <row r="57212" spans="32:32" x14ac:dyDescent="0.2">
      <c r="AF57212" s="679"/>
    </row>
    <row r="57213" spans="32:32" x14ac:dyDescent="0.2">
      <c r="AF57213" s="679"/>
    </row>
    <row r="57214" spans="32:32" x14ac:dyDescent="0.2">
      <c r="AF57214" s="679"/>
    </row>
    <row r="57215" spans="32:32" x14ac:dyDescent="0.2">
      <c r="AF57215" s="679"/>
    </row>
    <row r="57216" spans="32:32" x14ac:dyDescent="0.2">
      <c r="AF57216" s="679"/>
    </row>
    <row r="57217" spans="32:32" x14ac:dyDescent="0.2">
      <c r="AF57217" s="679"/>
    </row>
    <row r="57218" spans="32:32" x14ac:dyDescent="0.2">
      <c r="AF57218" s="679"/>
    </row>
    <row r="57219" spans="32:32" x14ac:dyDescent="0.2">
      <c r="AF57219" s="679"/>
    </row>
    <row r="57220" spans="32:32" x14ac:dyDescent="0.2">
      <c r="AF57220" s="679"/>
    </row>
    <row r="57221" spans="32:32" x14ac:dyDescent="0.2">
      <c r="AF57221" s="679"/>
    </row>
    <row r="57222" spans="32:32" x14ac:dyDescent="0.2">
      <c r="AF57222" s="679"/>
    </row>
    <row r="57223" spans="32:32" x14ac:dyDescent="0.2">
      <c r="AF57223" s="679"/>
    </row>
    <row r="57224" spans="32:32" x14ac:dyDescent="0.2">
      <c r="AF57224" s="679"/>
    </row>
    <row r="57225" spans="32:32" x14ac:dyDescent="0.2">
      <c r="AF57225" s="679"/>
    </row>
    <row r="57226" spans="32:32" x14ac:dyDescent="0.2">
      <c r="AF57226" s="679"/>
    </row>
    <row r="57227" spans="32:32" x14ac:dyDescent="0.2">
      <c r="AF57227" s="679"/>
    </row>
    <row r="57228" spans="32:32" x14ac:dyDescent="0.2">
      <c r="AF57228" s="679"/>
    </row>
    <row r="57229" spans="32:32" x14ac:dyDescent="0.2">
      <c r="AF57229" s="679"/>
    </row>
    <row r="57230" spans="32:32" x14ac:dyDescent="0.2">
      <c r="AF57230" s="679"/>
    </row>
    <row r="57231" spans="32:32" x14ac:dyDescent="0.2">
      <c r="AF57231" s="679"/>
    </row>
    <row r="57232" spans="32:32" x14ac:dyDescent="0.2">
      <c r="AF57232" s="679"/>
    </row>
    <row r="57233" spans="32:32" x14ac:dyDescent="0.2">
      <c r="AF57233" s="679"/>
    </row>
    <row r="57234" spans="32:32" x14ac:dyDescent="0.2">
      <c r="AF57234" s="679"/>
    </row>
    <row r="57235" spans="32:32" x14ac:dyDescent="0.2">
      <c r="AF57235" s="679"/>
    </row>
    <row r="57236" spans="32:32" x14ac:dyDescent="0.2">
      <c r="AF57236" s="679"/>
    </row>
    <row r="57237" spans="32:32" x14ac:dyDescent="0.2">
      <c r="AF57237" s="679"/>
    </row>
    <row r="57238" spans="32:32" x14ac:dyDescent="0.2">
      <c r="AF57238" s="679"/>
    </row>
    <row r="57239" spans="32:32" x14ac:dyDescent="0.2">
      <c r="AF57239" s="679"/>
    </row>
    <row r="57240" spans="32:32" x14ac:dyDescent="0.2">
      <c r="AF57240" s="679"/>
    </row>
    <row r="57241" spans="32:32" x14ac:dyDescent="0.2">
      <c r="AF57241" s="679"/>
    </row>
    <row r="57242" spans="32:32" x14ac:dyDescent="0.2">
      <c r="AF57242" s="679"/>
    </row>
    <row r="57243" spans="32:32" x14ac:dyDescent="0.2">
      <c r="AF57243" s="679"/>
    </row>
    <row r="57244" spans="32:32" x14ac:dyDescent="0.2">
      <c r="AF57244" s="679"/>
    </row>
    <row r="57245" spans="32:32" x14ac:dyDescent="0.2">
      <c r="AF57245" s="679"/>
    </row>
    <row r="57246" spans="32:32" x14ac:dyDescent="0.2">
      <c r="AF57246" s="679"/>
    </row>
    <row r="57247" spans="32:32" x14ac:dyDescent="0.2">
      <c r="AF57247" s="679"/>
    </row>
    <row r="57248" spans="32:32" x14ac:dyDescent="0.2">
      <c r="AF57248" s="679"/>
    </row>
    <row r="57249" spans="32:32" x14ac:dyDescent="0.2">
      <c r="AF57249" s="679"/>
    </row>
    <row r="57250" spans="32:32" x14ac:dyDescent="0.2">
      <c r="AF57250" s="679"/>
    </row>
    <row r="57251" spans="32:32" x14ac:dyDescent="0.2">
      <c r="AF57251" s="679"/>
    </row>
    <row r="57252" spans="32:32" x14ac:dyDescent="0.2">
      <c r="AF57252" s="679"/>
    </row>
    <row r="57253" spans="32:32" x14ac:dyDescent="0.2">
      <c r="AF57253" s="679"/>
    </row>
    <row r="57254" spans="32:32" x14ac:dyDescent="0.2">
      <c r="AF57254" s="679"/>
    </row>
    <row r="57255" spans="32:32" x14ac:dyDescent="0.2">
      <c r="AF57255" s="679"/>
    </row>
    <row r="57256" spans="32:32" x14ac:dyDescent="0.2">
      <c r="AF57256" s="679"/>
    </row>
    <row r="57257" spans="32:32" x14ac:dyDescent="0.2">
      <c r="AF57257" s="679"/>
    </row>
    <row r="57258" spans="32:32" x14ac:dyDescent="0.2">
      <c r="AF57258" s="679"/>
    </row>
    <row r="57259" spans="32:32" x14ac:dyDescent="0.2">
      <c r="AF57259" s="679"/>
    </row>
    <row r="57260" spans="32:32" x14ac:dyDescent="0.2">
      <c r="AF57260" s="679"/>
    </row>
    <row r="57261" spans="32:32" x14ac:dyDescent="0.2">
      <c r="AF57261" s="679"/>
    </row>
    <row r="57262" spans="32:32" x14ac:dyDescent="0.2">
      <c r="AF57262" s="679"/>
    </row>
    <row r="57263" spans="32:32" x14ac:dyDescent="0.2">
      <c r="AF57263" s="679"/>
    </row>
    <row r="57264" spans="32:32" x14ac:dyDescent="0.2">
      <c r="AF57264" s="679"/>
    </row>
    <row r="57265" spans="32:32" x14ac:dyDescent="0.2">
      <c r="AF57265" s="679"/>
    </row>
    <row r="57266" spans="32:32" x14ac:dyDescent="0.2">
      <c r="AF57266" s="679"/>
    </row>
    <row r="57267" spans="32:32" x14ac:dyDescent="0.2">
      <c r="AF57267" s="679"/>
    </row>
    <row r="57268" spans="32:32" x14ac:dyDescent="0.2">
      <c r="AF57268" s="679"/>
    </row>
    <row r="57269" spans="32:32" x14ac:dyDescent="0.2">
      <c r="AF57269" s="679"/>
    </row>
    <row r="57270" spans="32:32" x14ac:dyDescent="0.2">
      <c r="AF57270" s="679"/>
    </row>
    <row r="57271" spans="32:32" x14ac:dyDescent="0.2">
      <c r="AF57271" s="679"/>
    </row>
    <row r="57272" spans="32:32" x14ac:dyDescent="0.2">
      <c r="AF57272" s="679"/>
    </row>
    <row r="57273" spans="32:32" x14ac:dyDescent="0.2">
      <c r="AF57273" s="679"/>
    </row>
    <row r="57274" spans="32:32" x14ac:dyDescent="0.2">
      <c r="AF57274" s="679"/>
    </row>
    <row r="57275" spans="32:32" x14ac:dyDescent="0.2">
      <c r="AF57275" s="679"/>
    </row>
    <row r="57276" spans="32:32" x14ac:dyDescent="0.2">
      <c r="AF57276" s="679"/>
    </row>
    <row r="57277" spans="32:32" x14ac:dyDescent="0.2">
      <c r="AF57277" s="679"/>
    </row>
    <row r="57278" spans="32:32" x14ac:dyDescent="0.2">
      <c r="AF57278" s="679"/>
    </row>
    <row r="57279" spans="32:32" x14ac:dyDescent="0.2">
      <c r="AF57279" s="679"/>
    </row>
    <row r="57280" spans="32:32" x14ac:dyDescent="0.2">
      <c r="AF57280" s="679"/>
    </row>
    <row r="57281" spans="32:32" x14ac:dyDescent="0.2">
      <c r="AF57281" s="679"/>
    </row>
    <row r="57282" spans="32:32" x14ac:dyDescent="0.2">
      <c r="AF57282" s="679"/>
    </row>
    <row r="57283" spans="32:32" x14ac:dyDescent="0.2">
      <c r="AF57283" s="679"/>
    </row>
    <row r="57284" spans="32:32" x14ac:dyDescent="0.2">
      <c r="AF57284" s="679"/>
    </row>
    <row r="57285" spans="32:32" x14ac:dyDescent="0.2">
      <c r="AF57285" s="679"/>
    </row>
    <row r="57286" spans="32:32" x14ac:dyDescent="0.2">
      <c r="AF57286" s="679"/>
    </row>
    <row r="57287" spans="32:32" x14ac:dyDescent="0.2">
      <c r="AF57287" s="679"/>
    </row>
    <row r="57288" spans="32:32" x14ac:dyDescent="0.2">
      <c r="AF57288" s="679"/>
    </row>
    <row r="57289" spans="32:32" x14ac:dyDescent="0.2">
      <c r="AF57289" s="679"/>
    </row>
    <row r="57290" spans="32:32" x14ac:dyDescent="0.2">
      <c r="AF57290" s="679"/>
    </row>
    <row r="57291" spans="32:32" x14ac:dyDescent="0.2">
      <c r="AF57291" s="679"/>
    </row>
    <row r="57292" spans="32:32" x14ac:dyDescent="0.2">
      <c r="AF57292" s="679"/>
    </row>
    <row r="57293" spans="32:32" x14ac:dyDescent="0.2">
      <c r="AF57293" s="679"/>
    </row>
    <row r="57294" spans="32:32" x14ac:dyDescent="0.2">
      <c r="AF57294" s="679"/>
    </row>
    <row r="57295" spans="32:32" x14ac:dyDescent="0.2">
      <c r="AF57295" s="679"/>
    </row>
    <row r="57296" spans="32:32" x14ac:dyDescent="0.2">
      <c r="AF57296" s="679"/>
    </row>
    <row r="57297" spans="32:32" x14ac:dyDescent="0.2">
      <c r="AF57297" s="679"/>
    </row>
    <row r="57298" spans="32:32" x14ac:dyDescent="0.2">
      <c r="AF57298" s="679"/>
    </row>
    <row r="57299" spans="32:32" x14ac:dyDescent="0.2">
      <c r="AF57299" s="679"/>
    </row>
    <row r="57300" spans="32:32" x14ac:dyDescent="0.2">
      <c r="AF57300" s="679"/>
    </row>
    <row r="57301" spans="32:32" x14ac:dyDescent="0.2">
      <c r="AF57301" s="679"/>
    </row>
    <row r="57302" spans="32:32" x14ac:dyDescent="0.2">
      <c r="AF57302" s="679"/>
    </row>
    <row r="57303" spans="32:32" x14ac:dyDescent="0.2">
      <c r="AF57303" s="679"/>
    </row>
    <row r="57304" spans="32:32" x14ac:dyDescent="0.2">
      <c r="AF57304" s="679"/>
    </row>
    <row r="57305" spans="32:32" x14ac:dyDescent="0.2">
      <c r="AF57305" s="679"/>
    </row>
    <row r="57306" spans="32:32" x14ac:dyDescent="0.2">
      <c r="AF57306" s="679"/>
    </row>
    <row r="57307" spans="32:32" x14ac:dyDescent="0.2">
      <c r="AF57307" s="679"/>
    </row>
    <row r="57308" spans="32:32" x14ac:dyDescent="0.2">
      <c r="AF57308" s="679"/>
    </row>
    <row r="57309" spans="32:32" x14ac:dyDescent="0.2">
      <c r="AF57309" s="679"/>
    </row>
    <row r="57310" spans="32:32" x14ac:dyDescent="0.2">
      <c r="AF57310" s="679"/>
    </row>
    <row r="57311" spans="32:32" x14ac:dyDescent="0.2">
      <c r="AF57311" s="679"/>
    </row>
    <row r="57312" spans="32:32" x14ac:dyDescent="0.2">
      <c r="AF57312" s="679"/>
    </row>
    <row r="57313" spans="32:32" x14ac:dyDescent="0.2">
      <c r="AF57313" s="679"/>
    </row>
    <row r="57314" spans="32:32" x14ac:dyDescent="0.2">
      <c r="AF57314" s="679"/>
    </row>
    <row r="57315" spans="32:32" x14ac:dyDescent="0.2">
      <c r="AF57315" s="679"/>
    </row>
    <row r="57316" spans="32:32" x14ac:dyDescent="0.2">
      <c r="AF57316" s="679"/>
    </row>
    <row r="57317" spans="32:32" x14ac:dyDescent="0.2">
      <c r="AF57317" s="679"/>
    </row>
    <row r="57318" spans="32:32" x14ac:dyDescent="0.2">
      <c r="AF57318" s="679"/>
    </row>
    <row r="57319" spans="32:32" x14ac:dyDescent="0.2">
      <c r="AF57319" s="679"/>
    </row>
    <row r="57320" spans="32:32" x14ac:dyDescent="0.2">
      <c r="AF57320" s="679"/>
    </row>
    <row r="57321" spans="32:32" x14ac:dyDescent="0.2">
      <c r="AF57321" s="679"/>
    </row>
    <row r="57322" spans="32:32" x14ac:dyDescent="0.2">
      <c r="AF57322" s="679"/>
    </row>
    <row r="57323" spans="32:32" x14ac:dyDescent="0.2">
      <c r="AF57323" s="679"/>
    </row>
    <row r="57324" spans="32:32" x14ac:dyDescent="0.2">
      <c r="AF57324" s="679"/>
    </row>
    <row r="57325" spans="32:32" x14ac:dyDescent="0.2">
      <c r="AF57325" s="679"/>
    </row>
    <row r="57326" spans="32:32" x14ac:dyDescent="0.2">
      <c r="AF57326" s="679"/>
    </row>
    <row r="57327" spans="32:32" x14ac:dyDescent="0.2">
      <c r="AF57327" s="679"/>
    </row>
    <row r="57328" spans="32:32" x14ac:dyDescent="0.2">
      <c r="AF57328" s="679"/>
    </row>
    <row r="57329" spans="32:32" x14ac:dyDescent="0.2">
      <c r="AF57329" s="679"/>
    </row>
    <row r="57330" spans="32:32" x14ac:dyDescent="0.2">
      <c r="AF57330" s="679"/>
    </row>
    <row r="57331" spans="32:32" x14ac:dyDescent="0.2">
      <c r="AF57331" s="679"/>
    </row>
    <row r="57332" spans="32:32" x14ac:dyDescent="0.2">
      <c r="AF57332" s="679"/>
    </row>
    <row r="57333" spans="32:32" x14ac:dyDescent="0.2">
      <c r="AF57333" s="679"/>
    </row>
    <row r="57334" spans="32:32" x14ac:dyDescent="0.2">
      <c r="AF57334" s="679"/>
    </row>
    <row r="57335" spans="32:32" x14ac:dyDescent="0.2">
      <c r="AF57335" s="679"/>
    </row>
    <row r="57336" spans="32:32" x14ac:dyDescent="0.2">
      <c r="AF57336" s="679"/>
    </row>
    <row r="57337" spans="32:32" x14ac:dyDescent="0.2">
      <c r="AF57337" s="679"/>
    </row>
    <row r="57338" spans="32:32" x14ac:dyDescent="0.2">
      <c r="AF57338" s="679"/>
    </row>
    <row r="57339" spans="32:32" x14ac:dyDescent="0.2">
      <c r="AF57339" s="679"/>
    </row>
    <row r="57340" spans="32:32" x14ac:dyDescent="0.2">
      <c r="AF57340" s="679"/>
    </row>
    <row r="57341" spans="32:32" x14ac:dyDescent="0.2">
      <c r="AF57341" s="679"/>
    </row>
    <row r="57342" spans="32:32" x14ac:dyDescent="0.2">
      <c r="AF57342" s="679"/>
    </row>
    <row r="57343" spans="32:32" x14ac:dyDescent="0.2">
      <c r="AF57343" s="679"/>
    </row>
    <row r="57344" spans="32:32" x14ac:dyDescent="0.2">
      <c r="AF57344" s="679"/>
    </row>
    <row r="57345" spans="32:32" x14ac:dyDescent="0.2">
      <c r="AF57345" s="679"/>
    </row>
    <row r="57346" spans="32:32" x14ac:dyDescent="0.2">
      <c r="AF57346" s="679"/>
    </row>
    <row r="57347" spans="32:32" x14ac:dyDescent="0.2">
      <c r="AF57347" s="679"/>
    </row>
    <row r="57348" spans="32:32" x14ac:dyDescent="0.2">
      <c r="AF57348" s="679"/>
    </row>
    <row r="57349" spans="32:32" x14ac:dyDescent="0.2">
      <c r="AF57349" s="679"/>
    </row>
    <row r="57350" spans="32:32" x14ac:dyDescent="0.2">
      <c r="AF57350" s="679"/>
    </row>
    <row r="57351" spans="32:32" x14ac:dyDescent="0.2">
      <c r="AF57351" s="679"/>
    </row>
    <row r="57352" spans="32:32" x14ac:dyDescent="0.2">
      <c r="AF57352" s="679"/>
    </row>
    <row r="57353" spans="32:32" x14ac:dyDescent="0.2">
      <c r="AF57353" s="679"/>
    </row>
    <row r="57354" spans="32:32" x14ac:dyDescent="0.2">
      <c r="AF57354" s="679"/>
    </row>
    <row r="57355" spans="32:32" x14ac:dyDescent="0.2">
      <c r="AF57355" s="679"/>
    </row>
    <row r="57356" spans="32:32" x14ac:dyDescent="0.2">
      <c r="AF57356" s="679"/>
    </row>
    <row r="57357" spans="32:32" x14ac:dyDescent="0.2">
      <c r="AF57357" s="679"/>
    </row>
    <row r="57358" spans="32:32" x14ac:dyDescent="0.2">
      <c r="AF57358" s="679"/>
    </row>
    <row r="57359" spans="32:32" x14ac:dyDescent="0.2">
      <c r="AF57359" s="679"/>
    </row>
    <row r="57360" spans="32:32" x14ac:dyDescent="0.2">
      <c r="AF57360" s="679"/>
    </row>
    <row r="57361" spans="32:32" x14ac:dyDescent="0.2">
      <c r="AF57361" s="679"/>
    </row>
    <row r="57362" spans="32:32" x14ac:dyDescent="0.2">
      <c r="AF57362" s="679"/>
    </row>
    <row r="57363" spans="32:32" x14ac:dyDescent="0.2">
      <c r="AF57363" s="679"/>
    </row>
    <row r="57364" spans="32:32" x14ac:dyDescent="0.2">
      <c r="AF57364" s="679"/>
    </row>
    <row r="57365" spans="32:32" x14ac:dyDescent="0.2">
      <c r="AF57365" s="679"/>
    </row>
    <row r="57366" spans="32:32" x14ac:dyDescent="0.2">
      <c r="AF57366" s="679"/>
    </row>
    <row r="57367" spans="32:32" x14ac:dyDescent="0.2">
      <c r="AF57367" s="679"/>
    </row>
    <row r="57368" spans="32:32" x14ac:dyDescent="0.2">
      <c r="AF57368" s="679"/>
    </row>
    <row r="57369" spans="32:32" x14ac:dyDescent="0.2">
      <c r="AF57369" s="679"/>
    </row>
    <row r="57370" spans="32:32" x14ac:dyDescent="0.2">
      <c r="AF57370" s="679"/>
    </row>
    <row r="57371" spans="32:32" x14ac:dyDescent="0.2">
      <c r="AF57371" s="679"/>
    </row>
    <row r="57372" spans="32:32" x14ac:dyDescent="0.2">
      <c r="AF57372" s="679"/>
    </row>
    <row r="57373" spans="32:32" x14ac:dyDescent="0.2">
      <c r="AF57373" s="679"/>
    </row>
    <row r="57374" spans="32:32" x14ac:dyDescent="0.2">
      <c r="AF57374" s="679"/>
    </row>
    <row r="57375" spans="32:32" x14ac:dyDescent="0.2">
      <c r="AF57375" s="679"/>
    </row>
    <row r="57376" spans="32:32" x14ac:dyDescent="0.2">
      <c r="AF57376" s="679"/>
    </row>
    <row r="57377" spans="32:32" x14ac:dyDescent="0.2">
      <c r="AF57377" s="679"/>
    </row>
    <row r="57378" spans="32:32" x14ac:dyDescent="0.2">
      <c r="AF57378" s="679"/>
    </row>
    <row r="57379" spans="32:32" x14ac:dyDescent="0.2">
      <c r="AF57379" s="679"/>
    </row>
    <row r="57380" spans="32:32" x14ac:dyDescent="0.2">
      <c r="AF57380" s="679"/>
    </row>
    <row r="57381" spans="32:32" x14ac:dyDescent="0.2">
      <c r="AF57381" s="679"/>
    </row>
    <row r="57382" spans="32:32" x14ac:dyDescent="0.2">
      <c r="AF57382" s="679"/>
    </row>
    <row r="57383" spans="32:32" x14ac:dyDescent="0.2">
      <c r="AF57383" s="679"/>
    </row>
    <row r="57384" spans="32:32" x14ac:dyDescent="0.2">
      <c r="AF57384" s="679"/>
    </row>
    <row r="57385" spans="32:32" x14ac:dyDescent="0.2">
      <c r="AF57385" s="679"/>
    </row>
    <row r="57386" spans="32:32" x14ac:dyDescent="0.2">
      <c r="AF57386" s="679"/>
    </row>
    <row r="57387" spans="32:32" x14ac:dyDescent="0.2">
      <c r="AF57387" s="679"/>
    </row>
    <row r="57388" spans="32:32" x14ac:dyDescent="0.2">
      <c r="AF57388" s="679"/>
    </row>
    <row r="57389" spans="32:32" x14ac:dyDescent="0.2">
      <c r="AF57389" s="679"/>
    </row>
    <row r="57390" spans="32:32" x14ac:dyDescent="0.2">
      <c r="AF57390" s="679"/>
    </row>
    <row r="57391" spans="32:32" x14ac:dyDescent="0.2">
      <c r="AF57391" s="679"/>
    </row>
    <row r="57392" spans="32:32" x14ac:dyDescent="0.2">
      <c r="AF57392" s="679"/>
    </row>
    <row r="57393" spans="32:32" x14ac:dyDescent="0.2">
      <c r="AF57393" s="679"/>
    </row>
    <row r="57394" spans="32:32" x14ac:dyDescent="0.2">
      <c r="AF57394" s="679"/>
    </row>
    <row r="57395" spans="32:32" x14ac:dyDescent="0.2">
      <c r="AF57395" s="679"/>
    </row>
    <row r="57396" spans="32:32" x14ac:dyDescent="0.2">
      <c r="AF57396" s="679"/>
    </row>
    <row r="57397" spans="32:32" x14ac:dyDescent="0.2">
      <c r="AF57397" s="679"/>
    </row>
    <row r="57398" spans="32:32" x14ac:dyDescent="0.2">
      <c r="AF57398" s="679"/>
    </row>
    <row r="57399" spans="32:32" x14ac:dyDescent="0.2">
      <c r="AF57399" s="679"/>
    </row>
    <row r="57400" spans="32:32" x14ac:dyDescent="0.2">
      <c r="AF57400" s="679"/>
    </row>
    <row r="57401" spans="32:32" x14ac:dyDescent="0.2">
      <c r="AF57401" s="679"/>
    </row>
    <row r="57402" spans="32:32" x14ac:dyDescent="0.2">
      <c r="AF57402" s="679"/>
    </row>
    <row r="57403" spans="32:32" x14ac:dyDescent="0.2">
      <c r="AF57403" s="679"/>
    </row>
    <row r="57404" spans="32:32" x14ac:dyDescent="0.2">
      <c r="AF57404" s="679"/>
    </row>
    <row r="57405" spans="32:32" x14ac:dyDescent="0.2">
      <c r="AF57405" s="679"/>
    </row>
    <row r="57406" spans="32:32" x14ac:dyDescent="0.2">
      <c r="AF57406" s="679"/>
    </row>
    <row r="57407" spans="32:32" x14ac:dyDescent="0.2">
      <c r="AF57407" s="679"/>
    </row>
    <row r="57408" spans="32:32" x14ac:dyDescent="0.2">
      <c r="AF57408" s="679"/>
    </row>
    <row r="57409" spans="32:32" x14ac:dyDescent="0.2">
      <c r="AF57409" s="679"/>
    </row>
    <row r="57410" spans="32:32" x14ac:dyDescent="0.2">
      <c r="AF57410" s="679"/>
    </row>
    <row r="57411" spans="32:32" x14ac:dyDescent="0.2">
      <c r="AF57411" s="679"/>
    </row>
    <row r="57412" spans="32:32" x14ac:dyDescent="0.2">
      <c r="AF57412" s="679"/>
    </row>
    <row r="57413" spans="32:32" x14ac:dyDescent="0.2">
      <c r="AF57413" s="679"/>
    </row>
    <row r="57414" spans="32:32" x14ac:dyDescent="0.2">
      <c r="AF57414" s="679"/>
    </row>
    <row r="57415" spans="32:32" x14ac:dyDescent="0.2">
      <c r="AF57415" s="679"/>
    </row>
    <row r="57416" spans="32:32" x14ac:dyDescent="0.2">
      <c r="AF57416" s="679"/>
    </row>
    <row r="57417" spans="32:32" x14ac:dyDescent="0.2">
      <c r="AF57417" s="679"/>
    </row>
    <row r="57418" spans="32:32" x14ac:dyDescent="0.2">
      <c r="AF57418" s="679"/>
    </row>
    <row r="57419" spans="32:32" x14ac:dyDescent="0.2">
      <c r="AF57419" s="679"/>
    </row>
    <row r="57420" spans="32:32" x14ac:dyDescent="0.2">
      <c r="AF57420" s="679"/>
    </row>
    <row r="57421" spans="32:32" x14ac:dyDescent="0.2">
      <c r="AF57421" s="679"/>
    </row>
    <row r="57422" spans="32:32" x14ac:dyDescent="0.2">
      <c r="AF57422" s="679"/>
    </row>
    <row r="57423" spans="32:32" x14ac:dyDescent="0.2">
      <c r="AF57423" s="679"/>
    </row>
    <row r="57424" spans="32:32" x14ac:dyDescent="0.2">
      <c r="AF57424" s="679"/>
    </row>
    <row r="57425" spans="32:32" x14ac:dyDescent="0.2">
      <c r="AF57425" s="679"/>
    </row>
    <row r="57426" spans="32:32" x14ac:dyDescent="0.2">
      <c r="AF57426" s="679"/>
    </row>
    <row r="57427" spans="32:32" x14ac:dyDescent="0.2">
      <c r="AF57427" s="679"/>
    </row>
    <row r="57428" spans="32:32" x14ac:dyDescent="0.2">
      <c r="AF57428" s="679"/>
    </row>
    <row r="57429" spans="32:32" x14ac:dyDescent="0.2">
      <c r="AF57429" s="679"/>
    </row>
    <row r="57430" spans="32:32" x14ac:dyDescent="0.2">
      <c r="AF57430" s="679"/>
    </row>
    <row r="57431" spans="32:32" x14ac:dyDescent="0.2">
      <c r="AF57431" s="679"/>
    </row>
    <row r="57432" spans="32:32" x14ac:dyDescent="0.2">
      <c r="AF57432" s="679"/>
    </row>
    <row r="57433" spans="32:32" x14ac:dyDescent="0.2">
      <c r="AF57433" s="679"/>
    </row>
    <row r="57434" spans="32:32" x14ac:dyDescent="0.2">
      <c r="AF57434" s="679"/>
    </row>
    <row r="57435" spans="32:32" x14ac:dyDescent="0.2">
      <c r="AF57435" s="679"/>
    </row>
    <row r="57436" spans="32:32" x14ac:dyDescent="0.2">
      <c r="AF57436" s="679"/>
    </row>
    <row r="57437" spans="32:32" x14ac:dyDescent="0.2">
      <c r="AF57437" s="679"/>
    </row>
    <row r="57438" spans="32:32" x14ac:dyDescent="0.2">
      <c r="AF57438" s="679"/>
    </row>
    <row r="57439" spans="32:32" x14ac:dyDescent="0.2">
      <c r="AF57439" s="679"/>
    </row>
    <row r="57440" spans="32:32" x14ac:dyDescent="0.2">
      <c r="AF57440" s="679"/>
    </row>
    <row r="57441" spans="32:32" x14ac:dyDescent="0.2">
      <c r="AF57441" s="679"/>
    </row>
    <row r="57442" spans="32:32" x14ac:dyDescent="0.2">
      <c r="AF57442" s="679"/>
    </row>
    <row r="57443" spans="32:32" x14ac:dyDescent="0.2">
      <c r="AF57443" s="679"/>
    </row>
    <row r="57444" spans="32:32" x14ac:dyDescent="0.2">
      <c r="AF57444" s="679"/>
    </row>
    <row r="57445" spans="32:32" x14ac:dyDescent="0.2">
      <c r="AF57445" s="679"/>
    </row>
    <row r="57446" spans="32:32" x14ac:dyDescent="0.2">
      <c r="AF57446" s="679"/>
    </row>
    <row r="57447" spans="32:32" x14ac:dyDescent="0.2">
      <c r="AF57447" s="679"/>
    </row>
    <row r="57448" spans="32:32" x14ac:dyDescent="0.2">
      <c r="AF57448" s="679"/>
    </row>
    <row r="57449" spans="32:32" x14ac:dyDescent="0.2">
      <c r="AF57449" s="679"/>
    </row>
    <row r="57450" spans="32:32" x14ac:dyDescent="0.2">
      <c r="AF57450" s="679"/>
    </row>
    <row r="57451" spans="32:32" x14ac:dyDescent="0.2">
      <c r="AF57451" s="679"/>
    </row>
    <row r="57452" spans="32:32" x14ac:dyDescent="0.2">
      <c r="AF57452" s="679"/>
    </row>
    <row r="57453" spans="32:32" x14ac:dyDescent="0.2">
      <c r="AF57453" s="679"/>
    </row>
    <row r="57454" spans="32:32" x14ac:dyDescent="0.2">
      <c r="AF57454" s="679"/>
    </row>
    <row r="57455" spans="32:32" x14ac:dyDescent="0.2">
      <c r="AF57455" s="679"/>
    </row>
    <row r="57456" spans="32:32" x14ac:dyDescent="0.2">
      <c r="AF57456" s="679"/>
    </row>
    <row r="57457" spans="32:32" x14ac:dyDescent="0.2">
      <c r="AF57457" s="679"/>
    </row>
    <row r="57458" spans="32:32" x14ac:dyDescent="0.2">
      <c r="AF57458" s="679"/>
    </row>
    <row r="57459" spans="32:32" x14ac:dyDescent="0.2">
      <c r="AF57459" s="679"/>
    </row>
    <row r="57460" spans="32:32" x14ac:dyDescent="0.2">
      <c r="AF57460" s="679"/>
    </row>
    <row r="57461" spans="32:32" x14ac:dyDescent="0.2">
      <c r="AF57461" s="679"/>
    </row>
    <row r="57462" spans="32:32" x14ac:dyDescent="0.2">
      <c r="AF57462" s="679"/>
    </row>
    <row r="57463" spans="32:32" x14ac:dyDescent="0.2">
      <c r="AF57463" s="679"/>
    </row>
    <row r="57464" spans="32:32" x14ac:dyDescent="0.2">
      <c r="AF57464" s="679"/>
    </row>
    <row r="57465" spans="32:32" x14ac:dyDescent="0.2">
      <c r="AF57465" s="679"/>
    </row>
    <row r="57466" spans="32:32" x14ac:dyDescent="0.2">
      <c r="AF57466" s="679"/>
    </row>
    <row r="57467" spans="32:32" x14ac:dyDescent="0.2">
      <c r="AF57467" s="679"/>
    </row>
    <row r="57468" spans="32:32" x14ac:dyDescent="0.2">
      <c r="AF57468" s="679"/>
    </row>
    <row r="57469" spans="32:32" x14ac:dyDescent="0.2">
      <c r="AF57469" s="679"/>
    </row>
    <row r="57470" spans="32:32" x14ac:dyDescent="0.2">
      <c r="AF57470" s="679"/>
    </row>
    <row r="57471" spans="32:32" x14ac:dyDescent="0.2">
      <c r="AF57471" s="679"/>
    </row>
    <row r="57472" spans="32:32" x14ac:dyDescent="0.2">
      <c r="AF57472" s="679"/>
    </row>
    <row r="57473" spans="32:32" x14ac:dyDescent="0.2">
      <c r="AF57473" s="679"/>
    </row>
    <row r="57474" spans="32:32" x14ac:dyDescent="0.2">
      <c r="AF57474" s="679"/>
    </row>
    <row r="57475" spans="32:32" x14ac:dyDescent="0.2">
      <c r="AF57475" s="679"/>
    </row>
    <row r="57476" spans="32:32" x14ac:dyDescent="0.2">
      <c r="AF57476" s="679"/>
    </row>
    <row r="57477" spans="32:32" x14ac:dyDescent="0.2">
      <c r="AF57477" s="679"/>
    </row>
    <row r="57478" spans="32:32" x14ac:dyDescent="0.2">
      <c r="AF57478" s="679"/>
    </row>
    <row r="57479" spans="32:32" x14ac:dyDescent="0.2">
      <c r="AF57479" s="679"/>
    </row>
    <row r="57480" spans="32:32" x14ac:dyDescent="0.2">
      <c r="AF57480" s="679"/>
    </row>
    <row r="57481" spans="32:32" x14ac:dyDescent="0.2">
      <c r="AF57481" s="679"/>
    </row>
    <row r="57482" spans="32:32" x14ac:dyDescent="0.2">
      <c r="AF57482" s="679"/>
    </row>
    <row r="57483" spans="32:32" x14ac:dyDescent="0.2">
      <c r="AF57483" s="679"/>
    </row>
    <row r="57484" spans="32:32" x14ac:dyDescent="0.2">
      <c r="AF57484" s="679"/>
    </row>
    <row r="57485" spans="32:32" x14ac:dyDescent="0.2">
      <c r="AF57485" s="679"/>
    </row>
    <row r="57486" spans="32:32" x14ac:dyDescent="0.2">
      <c r="AF57486" s="679"/>
    </row>
    <row r="57487" spans="32:32" x14ac:dyDescent="0.2">
      <c r="AF57487" s="679"/>
    </row>
    <row r="57488" spans="32:32" x14ac:dyDescent="0.2">
      <c r="AF57488" s="679"/>
    </row>
    <row r="57489" spans="32:32" x14ac:dyDescent="0.2">
      <c r="AF57489" s="679"/>
    </row>
    <row r="57490" spans="32:32" x14ac:dyDescent="0.2">
      <c r="AF57490" s="679"/>
    </row>
    <row r="57491" spans="32:32" x14ac:dyDescent="0.2">
      <c r="AF57491" s="679"/>
    </row>
    <row r="57492" spans="32:32" x14ac:dyDescent="0.2">
      <c r="AF57492" s="679"/>
    </row>
    <row r="57493" spans="32:32" x14ac:dyDescent="0.2">
      <c r="AF57493" s="679"/>
    </row>
    <row r="57494" spans="32:32" x14ac:dyDescent="0.2">
      <c r="AF57494" s="679"/>
    </row>
    <row r="57495" spans="32:32" x14ac:dyDescent="0.2">
      <c r="AF57495" s="679"/>
    </row>
    <row r="57496" spans="32:32" x14ac:dyDescent="0.2">
      <c r="AF57496" s="679"/>
    </row>
    <row r="57497" spans="32:32" x14ac:dyDescent="0.2">
      <c r="AF57497" s="679"/>
    </row>
    <row r="57498" spans="32:32" x14ac:dyDescent="0.2">
      <c r="AF57498" s="679"/>
    </row>
    <row r="57499" spans="32:32" x14ac:dyDescent="0.2">
      <c r="AF57499" s="679"/>
    </row>
    <row r="57500" spans="32:32" x14ac:dyDescent="0.2">
      <c r="AF57500" s="679"/>
    </row>
    <row r="57501" spans="32:32" x14ac:dyDescent="0.2">
      <c r="AF57501" s="679"/>
    </row>
    <row r="57502" spans="32:32" x14ac:dyDescent="0.2">
      <c r="AF57502" s="679"/>
    </row>
    <row r="57503" spans="32:32" x14ac:dyDescent="0.2">
      <c r="AF57503" s="679"/>
    </row>
    <row r="57504" spans="32:32" x14ac:dyDescent="0.2">
      <c r="AF57504" s="679"/>
    </row>
    <row r="57505" spans="32:32" x14ac:dyDescent="0.2">
      <c r="AF57505" s="679"/>
    </row>
    <row r="57506" spans="32:32" x14ac:dyDescent="0.2">
      <c r="AF57506" s="679"/>
    </row>
    <row r="57507" spans="32:32" x14ac:dyDescent="0.2">
      <c r="AF57507" s="679"/>
    </row>
    <row r="57508" spans="32:32" x14ac:dyDescent="0.2">
      <c r="AF57508" s="679"/>
    </row>
    <row r="57509" spans="32:32" x14ac:dyDescent="0.2">
      <c r="AF57509" s="679"/>
    </row>
    <row r="57510" spans="32:32" x14ac:dyDescent="0.2">
      <c r="AF57510" s="679"/>
    </row>
    <row r="57511" spans="32:32" x14ac:dyDescent="0.2">
      <c r="AF57511" s="679"/>
    </row>
    <row r="57512" spans="32:32" x14ac:dyDescent="0.2">
      <c r="AF57512" s="679"/>
    </row>
    <row r="57513" spans="32:32" x14ac:dyDescent="0.2">
      <c r="AF57513" s="679"/>
    </row>
    <row r="57514" spans="32:32" x14ac:dyDescent="0.2">
      <c r="AF57514" s="679"/>
    </row>
    <row r="57515" spans="32:32" x14ac:dyDescent="0.2">
      <c r="AF57515" s="679"/>
    </row>
    <row r="57516" spans="32:32" x14ac:dyDescent="0.2">
      <c r="AF57516" s="679"/>
    </row>
    <row r="57517" spans="32:32" x14ac:dyDescent="0.2">
      <c r="AF57517" s="679"/>
    </row>
    <row r="57518" spans="32:32" x14ac:dyDescent="0.2">
      <c r="AF57518" s="679"/>
    </row>
    <row r="57519" spans="32:32" x14ac:dyDescent="0.2">
      <c r="AF57519" s="679"/>
    </row>
    <row r="57520" spans="32:32" x14ac:dyDescent="0.2">
      <c r="AF57520" s="679"/>
    </row>
    <row r="57521" spans="32:32" x14ac:dyDescent="0.2">
      <c r="AF57521" s="679"/>
    </row>
    <row r="57522" spans="32:32" x14ac:dyDescent="0.2">
      <c r="AF57522" s="679"/>
    </row>
    <row r="57523" spans="32:32" x14ac:dyDescent="0.2">
      <c r="AF57523" s="679"/>
    </row>
    <row r="57524" spans="32:32" x14ac:dyDescent="0.2">
      <c r="AF57524" s="679"/>
    </row>
    <row r="57525" spans="32:32" x14ac:dyDescent="0.2">
      <c r="AF57525" s="679"/>
    </row>
    <row r="57526" spans="32:32" x14ac:dyDescent="0.2">
      <c r="AF57526" s="679"/>
    </row>
    <row r="57527" spans="32:32" x14ac:dyDescent="0.2">
      <c r="AF57527" s="679"/>
    </row>
    <row r="57528" spans="32:32" x14ac:dyDescent="0.2">
      <c r="AF57528" s="679"/>
    </row>
    <row r="57529" spans="32:32" x14ac:dyDescent="0.2">
      <c r="AF57529" s="679"/>
    </row>
    <row r="57530" spans="32:32" x14ac:dyDescent="0.2">
      <c r="AF57530" s="679"/>
    </row>
    <row r="57531" spans="32:32" x14ac:dyDescent="0.2">
      <c r="AF57531" s="679"/>
    </row>
    <row r="57532" spans="32:32" x14ac:dyDescent="0.2">
      <c r="AF57532" s="679"/>
    </row>
    <row r="57533" spans="32:32" x14ac:dyDescent="0.2">
      <c r="AF57533" s="679"/>
    </row>
    <row r="57534" spans="32:32" x14ac:dyDescent="0.2">
      <c r="AF57534" s="679"/>
    </row>
    <row r="57535" spans="32:32" x14ac:dyDescent="0.2">
      <c r="AF57535" s="679"/>
    </row>
    <row r="57536" spans="32:32" x14ac:dyDescent="0.2">
      <c r="AF57536" s="679"/>
    </row>
    <row r="57537" spans="32:32" x14ac:dyDescent="0.2">
      <c r="AF57537" s="679"/>
    </row>
    <row r="57538" spans="32:32" x14ac:dyDescent="0.2">
      <c r="AF57538" s="679"/>
    </row>
    <row r="57539" spans="32:32" x14ac:dyDescent="0.2">
      <c r="AF57539" s="679"/>
    </row>
    <row r="57540" spans="32:32" x14ac:dyDescent="0.2">
      <c r="AF57540" s="679"/>
    </row>
    <row r="57541" spans="32:32" x14ac:dyDescent="0.2">
      <c r="AF57541" s="679"/>
    </row>
    <row r="57542" spans="32:32" x14ac:dyDescent="0.2">
      <c r="AF57542" s="679"/>
    </row>
    <row r="57543" spans="32:32" x14ac:dyDescent="0.2">
      <c r="AF57543" s="679"/>
    </row>
    <row r="57544" spans="32:32" x14ac:dyDescent="0.2">
      <c r="AF57544" s="679"/>
    </row>
    <row r="57545" spans="32:32" x14ac:dyDescent="0.2">
      <c r="AF57545" s="679"/>
    </row>
    <row r="57546" spans="32:32" x14ac:dyDescent="0.2">
      <c r="AF57546" s="679"/>
    </row>
    <row r="57547" spans="32:32" x14ac:dyDescent="0.2">
      <c r="AF57547" s="679"/>
    </row>
    <row r="57548" spans="32:32" x14ac:dyDescent="0.2">
      <c r="AF57548" s="679"/>
    </row>
    <row r="57549" spans="32:32" x14ac:dyDescent="0.2">
      <c r="AF57549" s="679"/>
    </row>
    <row r="57550" spans="32:32" x14ac:dyDescent="0.2">
      <c r="AF57550" s="679"/>
    </row>
    <row r="57551" spans="32:32" x14ac:dyDescent="0.2">
      <c r="AF57551" s="679"/>
    </row>
    <row r="57552" spans="32:32" x14ac:dyDescent="0.2">
      <c r="AF57552" s="679"/>
    </row>
    <row r="57553" spans="32:32" x14ac:dyDescent="0.2">
      <c r="AF57553" s="679"/>
    </row>
    <row r="57554" spans="32:32" x14ac:dyDescent="0.2">
      <c r="AF57554" s="679"/>
    </row>
    <row r="57555" spans="32:32" x14ac:dyDescent="0.2">
      <c r="AF57555" s="679"/>
    </row>
    <row r="57556" spans="32:32" x14ac:dyDescent="0.2">
      <c r="AF57556" s="679"/>
    </row>
    <row r="57557" spans="32:32" x14ac:dyDescent="0.2">
      <c r="AF57557" s="679"/>
    </row>
    <row r="57558" spans="32:32" x14ac:dyDescent="0.2">
      <c r="AF57558" s="679"/>
    </row>
    <row r="57559" spans="32:32" x14ac:dyDescent="0.2">
      <c r="AF57559" s="679"/>
    </row>
    <row r="57560" spans="32:32" x14ac:dyDescent="0.2">
      <c r="AF57560" s="679"/>
    </row>
    <row r="57561" spans="32:32" x14ac:dyDescent="0.2">
      <c r="AF57561" s="679"/>
    </row>
    <row r="57562" spans="32:32" x14ac:dyDescent="0.2">
      <c r="AF57562" s="679"/>
    </row>
    <row r="57563" spans="32:32" x14ac:dyDescent="0.2">
      <c r="AF57563" s="679"/>
    </row>
    <row r="57564" spans="32:32" x14ac:dyDescent="0.2">
      <c r="AF57564" s="679"/>
    </row>
    <row r="57565" spans="32:32" x14ac:dyDescent="0.2">
      <c r="AF57565" s="679"/>
    </row>
    <row r="57566" spans="32:32" x14ac:dyDescent="0.2">
      <c r="AF57566" s="679"/>
    </row>
    <row r="57567" spans="32:32" x14ac:dyDescent="0.2">
      <c r="AF57567" s="679"/>
    </row>
    <row r="57568" spans="32:32" x14ac:dyDescent="0.2">
      <c r="AF57568" s="679"/>
    </row>
    <row r="57569" spans="32:32" x14ac:dyDescent="0.2">
      <c r="AF57569" s="679"/>
    </row>
    <row r="57570" spans="32:32" x14ac:dyDescent="0.2">
      <c r="AF57570" s="679"/>
    </row>
    <row r="57571" spans="32:32" x14ac:dyDescent="0.2">
      <c r="AF57571" s="679"/>
    </row>
    <row r="57572" spans="32:32" x14ac:dyDescent="0.2">
      <c r="AF57572" s="679"/>
    </row>
    <row r="57573" spans="32:32" x14ac:dyDescent="0.2">
      <c r="AF57573" s="679"/>
    </row>
    <row r="57574" spans="32:32" x14ac:dyDescent="0.2">
      <c r="AF57574" s="679"/>
    </row>
    <row r="57575" spans="32:32" x14ac:dyDescent="0.2">
      <c r="AF57575" s="679"/>
    </row>
    <row r="57576" spans="32:32" x14ac:dyDescent="0.2">
      <c r="AF57576" s="679"/>
    </row>
    <row r="57577" spans="32:32" x14ac:dyDescent="0.2">
      <c r="AF57577" s="679"/>
    </row>
    <row r="57578" spans="32:32" x14ac:dyDescent="0.2">
      <c r="AF57578" s="679"/>
    </row>
    <row r="57579" spans="32:32" x14ac:dyDescent="0.2">
      <c r="AF57579" s="679"/>
    </row>
    <row r="57580" spans="32:32" x14ac:dyDescent="0.2">
      <c r="AF57580" s="679"/>
    </row>
    <row r="57581" spans="32:32" x14ac:dyDescent="0.2">
      <c r="AF57581" s="679"/>
    </row>
    <row r="57582" spans="32:32" x14ac:dyDescent="0.2">
      <c r="AF57582" s="679"/>
    </row>
    <row r="57583" spans="32:32" x14ac:dyDescent="0.2">
      <c r="AF57583" s="679"/>
    </row>
    <row r="57584" spans="32:32" x14ac:dyDescent="0.2">
      <c r="AF57584" s="679"/>
    </row>
    <row r="57585" spans="32:32" x14ac:dyDescent="0.2">
      <c r="AF57585" s="679"/>
    </row>
    <row r="57586" spans="32:32" x14ac:dyDescent="0.2">
      <c r="AF57586" s="679"/>
    </row>
    <row r="57587" spans="32:32" x14ac:dyDescent="0.2">
      <c r="AF57587" s="679"/>
    </row>
    <row r="57588" spans="32:32" x14ac:dyDescent="0.2">
      <c r="AF57588" s="679"/>
    </row>
    <row r="57589" spans="32:32" x14ac:dyDescent="0.2">
      <c r="AF57589" s="679"/>
    </row>
    <row r="57590" spans="32:32" x14ac:dyDescent="0.2">
      <c r="AF57590" s="679"/>
    </row>
    <row r="57591" spans="32:32" x14ac:dyDescent="0.2">
      <c r="AF57591" s="679"/>
    </row>
    <row r="57592" spans="32:32" x14ac:dyDescent="0.2">
      <c r="AF57592" s="679"/>
    </row>
    <row r="57593" spans="32:32" x14ac:dyDescent="0.2">
      <c r="AF57593" s="679"/>
    </row>
    <row r="57594" spans="32:32" x14ac:dyDescent="0.2">
      <c r="AF57594" s="679"/>
    </row>
    <row r="57595" spans="32:32" x14ac:dyDescent="0.2">
      <c r="AF57595" s="679"/>
    </row>
    <row r="57596" spans="32:32" x14ac:dyDescent="0.2">
      <c r="AF57596" s="679"/>
    </row>
    <row r="57597" spans="32:32" x14ac:dyDescent="0.2">
      <c r="AF57597" s="679"/>
    </row>
    <row r="57598" spans="32:32" x14ac:dyDescent="0.2">
      <c r="AF57598" s="679"/>
    </row>
    <row r="57599" spans="32:32" x14ac:dyDescent="0.2">
      <c r="AF57599" s="679"/>
    </row>
    <row r="57600" spans="32:32" x14ac:dyDescent="0.2">
      <c r="AF57600" s="679"/>
    </row>
    <row r="57601" spans="32:32" x14ac:dyDescent="0.2">
      <c r="AF57601" s="679"/>
    </row>
    <row r="57602" spans="32:32" x14ac:dyDescent="0.2">
      <c r="AF57602" s="679"/>
    </row>
    <row r="57603" spans="32:32" x14ac:dyDescent="0.2">
      <c r="AF57603" s="679"/>
    </row>
    <row r="57604" spans="32:32" x14ac:dyDescent="0.2">
      <c r="AF57604" s="679"/>
    </row>
    <row r="57605" spans="32:32" x14ac:dyDescent="0.2">
      <c r="AF57605" s="679"/>
    </row>
    <row r="57606" spans="32:32" x14ac:dyDescent="0.2">
      <c r="AF57606" s="679"/>
    </row>
    <row r="57607" spans="32:32" x14ac:dyDescent="0.2">
      <c r="AF57607" s="679"/>
    </row>
    <row r="57608" spans="32:32" x14ac:dyDescent="0.2">
      <c r="AF57608" s="679"/>
    </row>
    <row r="57609" spans="32:32" x14ac:dyDescent="0.2">
      <c r="AF57609" s="679"/>
    </row>
    <row r="57610" spans="32:32" x14ac:dyDescent="0.2">
      <c r="AF57610" s="679"/>
    </row>
    <row r="57611" spans="32:32" x14ac:dyDescent="0.2">
      <c r="AF57611" s="679"/>
    </row>
    <row r="57612" spans="32:32" x14ac:dyDescent="0.2">
      <c r="AF57612" s="679"/>
    </row>
    <row r="57613" spans="32:32" x14ac:dyDescent="0.2">
      <c r="AF57613" s="679"/>
    </row>
    <row r="57614" spans="32:32" x14ac:dyDescent="0.2">
      <c r="AF57614" s="679"/>
    </row>
    <row r="57615" spans="32:32" x14ac:dyDescent="0.2">
      <c r="AF57615" s="679"/>
    </row>
    <row r="57616" spans="32:32" x14ac:dyDescent="0.2">
      <c r="AF57616" s="679"/>
    </row>
    <row r="57617" spans="32:32" x14ac:dyDescent="0.2">
      <c r="AF57617" s="679"/>
    </row>
    <row r="57618" spans="32:32" x14ac:dyDescent="0.2">
      <c r="AF57618" s="679"/>
    </row>
    <row r="57619" spans="32:32" x14ac:dyDescent="0.2">
      <c r="AF57619" s="679"/>
    </row>
    <row r="57620" spans="32:32" x14ac:dyDescent="0.2">
      <c r="AF57620" s="679"/>
    </row>
    <row r="57621" spans="32:32" x14ac:dyDescent="0.2">
      <c r="AF57621" s="679"/>
    </row>
    <row r="57622" spans="32:32" x14ac:dyDescent="0.2">
      <c r="AF57622" s="679"/>
    </row>
    <row r="57623" spans="32:32" x14ac:dyDescent="0.2">
      <c r="AF57623" s="679"/>
    </row>
    <row r="57624" spans="32:32" x14ac:dyDescent="0.2">
      <c r="AF57624" s="679"/>
    </row>
    <row r="57625" spans="32:32" x14ac:dyDescent="0.2">
      <c r="AF57625" s="679"/>
    </row>
    <row r="57626" spans="32:32" x14ac:dyDescent="0.2">
      <c r="AF57626" s="679"/>
    </row>
    <row r="57627" spans="32:32" x14ac:dyDescent="0.2">
      <c r="AF57627" s="679"/>
    </row>
    <row r="57628" spans="32:32" x14ac:dyDescent="0.2">
      <c r="AF57628" s="679"/>
    </row>
    <row r="57629" spans="32:32" x14ac:dyDescent="0.2">
      <c r="AF57629" s="679"/>
    </row>
    <row r="57630" spans="32:32" x14ac:dyDescent="0.2">
      <c r="AF57630" s="679"/>
    </row>
    <row r="57631" spans="32:32" x14ac:dyDescent="0.2">
      <c r="AF57631" s="679"/>
    </row>
    <row r="57632" spans="32:32" x14ac:dyDescent="0.2">
      <c r="AF57632" s="679"/>
    </row>
    <row r="57633" spans="32:32" x14ac:dyDescent="0.2">
      <c r="AF57633" s="679"/>
    </row>
    <row r="57634" spans="32:32" x14ac:dyDescent="0.2">
      <c r="AF57634" s="679"/>
    </row>
    <row r="57635" spans="32:32" x14ac:dyDescent="0.2">
      <c r="AF57635" s="679"/>
    </row>
    <row r="57636" spans="32:32" x14ac:dyDescent="0.2">
      <c r="AF57636" s="679"/>
    </row>
    <row r="57637" spans="32:32" x14ac:dyDescent="0.2">
      <c r="AF57637" s="679"/>
    </row>
    <row r="57638" spans="32:32" x14ac:dyDescent="0.2">
      <c r="AF57638" s="679"/>
    </row>
    <row r="57639" spans="32:32" x14ac:dyDescent="0.2">
      <c r="AF57639" s="679"/>
    </row>
    <row r="57640" spans="32:32" x14ac:dyDescent="0.2">
      <c r="AF57640" s="679"/>
    </row>
    <row r="57641" spans="32:32" x14ac:dyDescent="0.2">
      <c r="AF57641" s="679"/>
    </row>
    <row r="57642" spans="32:32" x14ac:dyDescent="0.2">
      <c r="AF57642" s="679"/>
    </row>
    <row r="57643" spans="32:32" x14ac:dyDescent="0.2">
      <c r="AF57643" s="679"/>
    </row>
    <row r="57644" spans="32:32" x14ac:dyDescent="0.2">
      <c r="AF57644" s="679"/>
    </row>
    <row r="57645" spans="32:32" x14ac:dyDescent="0.2">
      <c r="AF57645" s="679"/>
    </row>
    <row r="57646" spans="32:32" x14ac:dyDescent="0.2">
      <c r="AF57646" s="679"/>
    </row>
    <row r="57647" spans="32:32" x14ac:dyDescent="0.2">
      <c r="AF57647" s="679"/>
    </row>
    <row r="57648" spans="32:32" x14ac:dyDescent="0.2">
      <c r="AF57648" s="679"/>
    </row>
    <row r="57649" spans="32:32" x14ac:dyDescent="0.2">
      <c r="AF57649" s="679"/>
    </row>
    <row r="57650" spans="32:32" x14ac:dyDescent="0.2">
      <c r="AF57650" s="679"/>
    </row>
    <row r="57651" spans="32:32" x14ac:dyDescent="0.2">
      <c r="AF57651" s="679"/>
    </row>
    <row r="57652" spans="32:32" x14ac:dyDescent="0.2">
      <c r="AF57652" s="679"/>
    </row>
    <row r="57653" spans="32:32" x14ac:dyDescent="0.2">
      <c r="AF57653" s="679"/>
    </row>
    <row r="57654" spans="32:32" x14ac:dyDescent="0.2">
      <c r="AF57654" s="679"/>
    </row>
    <row r="57655" spans="32:32" x14ac:dyDescent="0.2">
      <c r="AF57655" s="679"/>
    </row>
    <row r="57656" spans="32:32" x14ac:dyDescent="0.2">
      <c r="AF57656" s="679"/>
    </row>
    <row r="57657" spans="32:32" x14ac:dyDescent="0.2">
      <c r="AF57657" s="679"/>
    </row>
    <row r="57658" spans="32:32" x14ac:dyDescent="0.2">
      <c r="AF57658" s="679"/>
    </row>
    <row r="57659" spans="32:32" x14ac:dyDescent="0.2">
      <c r="AF57659" s="679"/>
    </row>
    <row r="57660" spans="32:32" x14ac:dyDescent="0.2">
      <c r="AF57660" s="679"/>
    </row>
    <row r="57661" spans="32:32" x14ac:dyDescent="0.2">
      <c r="AF57661" s="679"/>
    </row>
    <row r="57662" spans="32:32" x14ac:dyDescent="0.2">
      <c r="AF57662" s="679"/>
    </row>
    <row r="57663" spans="32:32" x14ac:dyDescent="0.2">
      <c r="AF57663" s="679"/>
    </row>
    <row r="57664" spans="32:32" x14ac:dyDescent="0.2">
      <c r="AF57664" s="679"/>
    </row>
    <row r="57665" spans="32:32" x14ac:dyDescent="0.2">
      <c r="AF57665" s="679"/>
    </row>
    <row r="57666" spans="32:32" x14ac:dyDescent="0.2">
      <c r="AF57666" s="679"/>
    </row>
    <row r="57667" spans="32:32" x14ac:dyDescent="0.2">
      <c r="AF57667" s="679"/>
    </row>
    <row r="57668" spans="32:32" x14ac:dyDescent="0.2">
      <c r="AF57668" s="679"/>
    </row>
    <row r="57669" spans="32:32" x14ac:dyDescent="0.2">
      <c r="AF57669" s="679"/>
    </row>
    <row r="57670" spans="32:32" x14ac:dyDescent="0.2">
      <c r="AF57670" s="679"/>
    </row>
    <row r="57671" spans="32:32" x14ac:dyDescent="0.2">
      <c r="AF57671" s="679"/>
    </row>
    <row r="57672" spans="32:32" x14ac:dyDescent="0.2">
      <c r="AF57672" s="679"/>
    </row>
    <row r="57673" spans="32:32" x14ac:dyDescent="0.2">
      <c r="AF57673" s="679"/>
    </row>
    <row r="57674" spans="32:32" x14ac:dyDescent="0.2">
      <c r="AF57674" s="679"/>
    </row>
    <row r="57675" spans="32:32" x14ac:dyDescent="0.2">
      <c r="AF57675" s="679"/>
    </row>
    <row r="57676" spans="32:32" x14ac:dyDescent="0.2">
      <c r="AF57676" s="679"/>
    </row>
    <row r="57677" spans="32:32" x14ac:dyDescent="0.2">
      <c r="AF57677" s="679"/>
    </row>
    <row r="57678" spans="32:32" x14ac:dyDescent="0.2">
      <c r="AF57678" s="679"/>
    </row>
    <row r="57679" spans="32:32" x14ac:dyDescent="0.2">
      <c r="AF57679" s="679"/>
    </row>
    <row r="57680" spans="32:32" x14ac:dyDescent="0.2">
      <c r="AF57680" s="679"/>
    </row>
    <row r="57681" spans="32:32" x14ac:dyDescent="0.2">
      <c r="AF57681" s="679"/>
    </row>
    <row r="57682" spans="32:32" x14ac:dyDescent="0.2">
      <c r="AF57682" s="679"/>
    </row>
    <row r="57683" spans="32:32" x14ac:dyDescent="0.2">
      <c r="AF57683" s="679"/>
    </row>
    <row r="57684" spans="32:32" x14ac:dyDescent="0.2">
      <c r="AF57684" s="679"/>
    </row>
    <row r="57685" spans="32:32" x14ac:dyDescent="0.2">
      <c r="AF57685" s="679"/>
    </row>
    <row r="57686" spans="32:32" x14ac:dyDescent="0.2">
      <c r="AF57686" s="679"/>
    </row>
    <row r="57687" spans="32:32" x14ac:dyDescent="0.2">
      <c r="AF57687" s="679"/>
    </row>
    <row r="57688" spans="32:32" x14ac:dyDescent="0.2">
      <c r="AF57688" s="679"/>
    </row>
    <row r="57689" spans="32:32" x14ac:dyDescent="0.2">
      <c r="AF57689" s="679"/>
    </row>
    <row r="57690" spans="32:32" x14ac:dyDescent="0.2">
      <c r="AF57690" s="679"/>
    </row>
    <row r="57691" spans="32:32" x14ac:dyDescent="0.2">
      <c r="AF57691" s="679"/>
    </row>
    <row r="57692" spans="32:32" x14ac:dyDescent="0.2">
      <c r="AF57692" s="679"/>
    </row>
    <row r="57693" spans="32:32" x14ac:dyDescent="0.2">
      <c r="AF57693" s="679"/>
    </row>
    <row r="57694" spans="32:32" x14ac:dyDescent="0.2">
      <c r="AF57694" s="679"/>
    </row>
    <row r="57695" spans="32:32" x14ac:dyDescent="0.2">
      <c r="AF57695" s="679"/>
    </row>
    <row r="57696" spans="32:32" x14ac:dyDescent="0.2">
      <c r="AF57696" s="679"/>
    </row>
    <row r="57697" spans="32:32" x14ac:dyDescent="0.2">
      <c r="AF57697" s="679"/>
    </row>
    <row r="57698" spans="32:32" x14ac:dyDescent="0.2">
      <c r="AF57698" s="679"/>
    </row>
    <row r="57699" spans="32:32" x14ac:dyDescent="0.2">
      <c r="AF57699" s="679"/>
    </row>
    <row r="57700" spans="32:32" x14ac:dyDescent="0.2">
      <c r="AF57700" s="679"/>
    </row>
    <row r="57701" spans="32:32" x14ac:dyDescent="0.2">
      <c r="AF57701" s="679"/>
    </row>
    <row r="57702" spans="32:32" x14ac:dyDescent="0.2">
      <c r="AF57702" s="679"/>
    </row>
    <row r="57703" spans="32:32" x14ac:dyDescent="0.2">
      <c r="AF57703" s="679"/>
    </row>
    <row r="57704" spans="32:32" x14ac:dyDescent="0.2">
      <c r="AF57704" s="679"/>
    </row>
    <row r="57705" spans="32:32" x14ac:dyDescent="0.2">
      <c r="AF57705" s="679"/>
    </row>
    <row r="57706" spans="32:32" x14ac:dyDescent="0.2">
      <c r="AF57706" s="679"/>
    </row>
    <row r="57707" spans="32:32" x14ac:dyDescent="0.2">
      <c r="AF57707" s="679"/>
    </row>
    <row r="57708" spans="32:32" x14ac:dyDescent="0.2">
      <c r="AF57708" s="679"/>
    </row>
    <row r="57709" spans="32:32" x14ac:dyDescent="0.2">
      <c r="AF57709" s="679"/>
    </row>
    <row r="57710" spans="32:32" x14ac:dyDescent="0.2">
      <c r="AF57710" s="679"/>
    </row>
    <row r="57711" spans="32:32" x14ac:dyDescent="0.2">
      <c r="AF57711" s="679"/>
    </row>
    <row r="57712" spans="32:32" x14ac:dyDescent="0.2">
      <c r="AF57712" s="679"/>
    </row>
    <row r="57713" spans="32:32" x14ac:dyDescent="0.2">
      <c r="AF57713" s="679"/>
    </row>
    <row r="57714" spans="32:32" x14ac:dyDescent="0.2">
      <c r="AF57714" s="679"/>
    </row>
    <row r="57715" spans="32:32" x14ac:dyDescent="0.2">
      <c r="AF57715" s="679"/>
    </row>
    <row r="57716" spans="32:32" x14ac:dyDescent="0.2">
      <c r="AF57716" s="679"/>
    </row>
    <row r="57717" spans="32:32" x14ac:dyDescent="0.2">
      <c r="AF57717" s="679"/>
    </row>
    <row r="57718" spans="32:32" x14ac:dyDescent="0.2">
      <c r="AF57718" s="679"/>
    </row>
    <row r="57719" spans="32:32" x14ac:dyDescent="0.2">
      <c r="AF57719" s="679"/>
    </row>
    <row r="57720" spans="32:32" x14ac:dyDescent="0.2">
      <c r="AF57720" s="679"/>
    </row>
    <row r="57721" spans="32:32" x14ac:dyDescent="0.2">
      <c r="AF57721" s="679"/>
    </row>
    <row r="57722" spans="32:32" x14ac:dyDescent="0.2">
      <c r="AF57722" s="679"/>
    </row>
    <row r="57723" spans="32:32" x14ac:dyDescent="0.2">
      <c r="AF57723" s="679"/>
    </row>
    <row r="57724" spans="32:32" x14ac:dyDescent="0.2">
      <c r="AF57724" s="679"/>
    </row>
    <row r="57725" spans="32:32" x14ac:dyDescent="0.2">
      <c r="AF57725" s="679"/>
    </row>
    <row r="57726" spans="32:32" x14ac:dyDescent="0.2">
      <c r="AF57726" s="679"/>
    </row>
    <row r="57727" spans="32:32" x14ac:dyDescent="0.2">
      <c r="AF57727" s="679"/>
    </row>
    <row r="57728" spans="32:32" x14ac:dyDescent="0.2">
      <c r="AF57728" s="679"/>
    </row>
    <row r="57729" spans="32:32" x14ac:dyDescent="0.2">
      <c r="AF57729" s="679"/>
    </row>
    <row r="57730" spans="32:32" x14ac:dyDescent="0.2">
      <c r="AF57730" s="679"/>
    </row>
    <row r="57731" spans="32:32" x14ac:dyDescent="0.2">
      <c r="AF57731" s="679"/>
    </row>
    <row r="57732" spans="32:32" x14ac:dyDescent="0.2">
      <c r="AF57732" s="679"/>
    </row>
    <row r="57733" spans="32:32" x14ac:dyDescent="0.2">
      <c r="AF57733" s="679"/>
    </row>
    <row r="57734" spans="32:32" x14ac:dyDescent="0.2">
      <c r="AF57734" s="679"/>
    </row>
    <row r="57735" spans="32:32" x14ac:dyDescent="0.2">
      <c r="AF57735" s="679"/>
    </row>
    <row r="57736" spans="32:32" x14ac:dyDescent="0.2">
      <c r="AF57736" s="679"/>
    </row>
    <row r="57737" spans="32:32" x14ac:dyDescent="0.2">
      <c r="AF57737" s="679"/>
    </row>
    <row r="57738" spans="32:32" x14ac:dyDescent="0.2">
      <c r="AF57738" s="679"/>
    </row>
    <row r="57739" spans="32:32" x14ac:dyDescent="0.2">
      <c r="AF57739" s="679"/>
    </row>
    <row r="57740" spans="32:32" x14ac:dyDescent="0.2">
      <c r="AF57740" s="679"/>
    </row>
    <row r="57741" spans="32:32" x14ac:dyDescent="0.2">
      <c r="AF57741" s="679"/>
    </row>
    <row r="57742" spans="32:32" x14ac:dyDescent="0.2">
      <c r="AF57742" s="679"/>
    </row>
    <row r="57743" spans="32:32" x14ac:dyDescent="0.2">
      <c r="AF57743" s="679"/>
    </row>
    <row r="57744" spans="32:32" x14ac:dyDescent="0.2">
      <c r="AF57744" s="679"/>
    </row>
    <row r="57745" spans="32:32" x14ac:dyDescent="0.2">
      <c r="AF57745" s="679"/>
    </row>
    <row r="57746" spans="32:32" x14ac:dyDescent="0.2">
      <c r="AF57746" s="679"/>
    </row>
    <row r="57747" spans="32:32" x14ac:dyDescent="0.2">
      <c r="AF57747" s="679"/>
    </row>
    <row r="57748" spans="32:32" x14ac:dyDescent="0.2">
      <c r="AF57748" s="679"/>
    </row>
    <row r="57749" spans="32:32" x14ac:dyDescent="0.2">
      <c r="AF57749" s="679"/>
    </row>
    <row r="57750" spans="32:32" x14ac:dyDescent="0.2">
      <c r="AF57750" s="679"/>
    </row>
    <row r="57751" spans="32:32" x14ac:dyDescent="0.2">
      <c r="AF57751" s="679"/>
    </row>
    <row r="57752" spans="32:32" x14ac:dyDescent="0.2">
      <c r="AF57752" s="679"/>
    </row>
    <row r="57753" spans="32:32" x14ac:dyDescent="0.2">
      <c r="AF57753" s="679"/>
    </row>
    <row r="57754" spans="32:32" x14ac:dyDescent="0.2">
      <c r="AF57754" s="679"/>
    </row>
    <row r="57755" spans="32:32" x14ac:dyDescent="0.2">
      <c r="AF57755" s="679"/>
    </row>
    <row r="57756" spans="32:32" x14ac:dyDescent="0.2">
      <c r="AF57756" s="679"/>
    </row>
    <row r="57757" spans="32:32" x14ac:dyDescent="0.2">
      <c r="AF57757" s="679"/>
    </row>
    <row r="57758" spans="32:32" x14ac:dyDescent="0.2">
      <c r="AF57758" s="679"/>
    </row>
    <row r="57759" spans="32:32" x14ac:dyDescent="0.2">
      <c r="AF57759" s="679"/>
    </row>
    <row r="57760" spans="32:32" x14ac:dyDescent="0.2">
      <c r="AF57760" s="679"/>
    </row>
    <row r="57761" spans="32:32" x14ac:dyDescent="0.2">
      <c r="AF57761" s="679"/>
    </row>
    <row r="57762" spans="32:32" x14ac:dyDescent="0.2">
      <c r="AF57762" s="679"/>
    </row>
    <row r="57763" spans="32:32" x14ac:dyDescent="0.2">
      <c r="AF57763" s="679"/>
    </row>
    <row r="57764" spans="32:32" x14ac:dyDescent="0.2">
      <c r="AF57764" s="679"/>
    </row>
    <row r="57765" spans="32:32" x14ac:dyDescent="0.2">
      <c r="AF57765" s="679"/>
    </row>
    <row r="57766" spans="32:32" x14ac:dyDescent="0.2">
      <c r="AF57766" s="679"/>
    </row>
    <row r="57767" spans="32:32" x14ac:dyDescent="0.2">
      <c r="AF57767" s="679"/>
    </row>
    <row r="57768" spans="32:32" x14ac:dyDescent="0.2">
      <c r="AF57768" s="679"/>
    </row>
    <row r="57769" spans="32:32" x14ac:dyDescent="0.2">
      <c r="AF57769" s="679"/>
    </row>
    <row r="57770" spans="32:32" x14ac:dyDescent="0.2">
      <c r="AF57770" s="679"/>
    </row>
    <row r="57771" spans="32:32" x14ac:dyDescent="0.2">
      <c r="AF57771" s="679"/>
    </row>
    <row r="57772" spans="32:32" x14ac:dyDescent="0.2">
      <c r="AF57772" s="679"/>
    </row>
    <row r="57773" spans="32:32" x14ac:dyDescent="0.2">
      <c r="AF57773" s="679"/>
    </row>
    <row r="57774" spans="32:32" x14ac:dyDescent="0.2">
      <c r="AF57774" s="679"/>
    </row>
    <row r="57775" spans="32:32" x14ac:dyDescent="0.2">
      <c r="AF57775" s="679"/>
    </row>
    <row r="57776" spans="32:32" x14ac:dyDescent="0.2">
      <c r="AF57776" s="679"/>
    </row>
    <row r="57777" spans="32:32" x14ac:dyDescent="0.2">
      <c r="AF57777" s="679"/>
    </row>
    <row r="57778" spans="32:32" x14ac:dyDescent="0.2">
      <c r="AF57778" s="679"/>
    </row>
    <row r="57779" spans="32:32" x14ac:dyDescent="0.2">
      <c r="AF57779" s="679"/>
    </row>
    <row r="57780" spans="32:32" x14ac:dyDescent="0.2">
      <c r="AF57780" s="679"/>
    </row>
    <row r="57781" spans="32:32" x14ac:dyDescent="0.2">
      <c r="AF57781" s="679"/>
    </row>
    <row r="57782" spans="32:32" x14ac:dyDescent="0.2">
      <c r="AF57782" s="679"/>
    </row>
    <row r="57783" spans="32:32" x14ac:dyDescent="0.2">
      <c r="AF57783" s="679"/>
    </row>
    <row r="57784" spans="32:32" x14ac:dyDescent="0.2">
      <c r="AF57784" s="679"/>
    </row>
    <row r="57785" spans="32:32" x14ac:dyDescent="0.2">
      <c r="AF57785" s="679"/>
    </row>
    <row r="57786" spans="32:32" x14ac:dyDescent="0.2">
      <c r="AF57786" s="679"/>
    </row>
    <row r="57787" spans="32:32" x14ac:dyDescent="0.2">
      <c r="AF57787" s="679"/>
    </row>
    <row r="57788" spans="32:32" x14ac:dyDescent="0.2">
      <c r="AF57788" s="679"/>
    </row>
    <row r="57789" spans="32:32" x14ac:dyDescent="0.2">
      <c r="AF57789" s="679"/>
    </row>
    <row r="57790" spans="32:32" x14ac:dyDescent="0.2">
      <c r="AF57790" s="679"/>
    </row>
    <row r="57791" spans="32:32" x14ac:dyDescent="0.2">
      <c r="AF57791" s="679"/>
    </row>
    <row r="57792" spans="32:32" x14ac:dyDescent="0.2">
      <c r="AF57792" s="679"/>
    </row>
    <row r="57793" spans="32:32" x14ac:dyDescent="0.2">
      <c r="AF57793" s="679"/>
    </row>
    <row r="57794" spans="32:32" x14ac:dyDescent="0.2">
      <c r="AF57794" s="679"/>
    </row>
    <row r="57795" spans="32:32" x14ac:dyDescent="0.2">
      <c r="AF57795" s="679"/>
    </row>
    <row r="57796" spans="32:32" x14ac:dyDescent="0.2">
      <c r="AF57796" s="679"/>
    </row>
    <row r="57797" spans="32:32" x14ac:dyDescent="0.2">
      <c r="AF57797" s="679"/>
    </row>
    <row r="57798" spans="32:32" x14ac:dyDescent="0.2">
      <c r="AF57798" s="679"/>
    </row>
    <row r="57799" spans="32:32" x14ac:dyDescent="0.2">
      <c r="AF57799" s="679"/>
    </row>
    <row r="57800" spans="32:32" x14ac:dyDescent="0.2">
      <c r="AF57800" s="679"/>
    </row>
    <row r="57801" spans="32:32" x14ac:dyDescent="0.2">
      <c r="AF57801" s="679"/>
    </row>
    <row r="57802" spans="32:32" x14ac:dyDescent="0.2">
      <c r="AF57802" s="679"/>
    </row>
    <row r="57803" spans="32:32" x14ac:dyDescent="0.2">
      <c r="AF57803" s="679"/>
    </row>
    <row r="57804" spans="32:32" x14ac:dyDescent="0.2">
      <c r="AF57804" s="679"/>
    </row>
    <row r="57805" spans="32:32" x14ac:dyDescent="0.2">
      <c r="AF57805" s="679"/>
    </row>
    <row r="57806" spans="32:32" x14ac:dyDescent="0.2">
      <c r="AF57806" s="679"/>
    </row>
    <row r="57807" spans="32:32" x14ac:dyDescent="0.2">
      <c r="AF57807" s="679"/>
    </row>
    <row r="57808" spans="32:32" x14ac:dyDescent="0.2">
      <c r="AF57808" s="679"/>
    </row>
    <row r="57809" spans="32:32" x14ac:dyDescent="0.2">
      <c r="AF57809" s="679"/>
    </row>
    <row r="57810" spans="32:32" x14ac:dyDescent="0.2">
      <c r="AF57810" s="679"/>
    </row>
    <row r="57811" spans="32:32" x14ac:dyDescent="0.2">
      <c r="AF57811" s="679"/>
    </row>
    <row r="57812" spans="32:32" x14ac:dyDescent="0.2">
      <c r="AF57812" s="679"/>
    </row>
    <row r="57813" spans="32:32" x14ac:dyDescent="0.2">
      <c r="AF57813" s="679"/>
    </row>
    <row r="57814" spans="32:32" x14ac:dyDescent="0.2">
      <c r="AF57814" s="679"/>
    </row>
    <row r="57815" spans="32:32" x14ac:dyDescent="0.2">
      <c r="AF57815" s="679"/>
    </row>
    <row r="57816" spans="32:32" x14ac:dyDescent="0.2">
      <c r="AF57816" s="679"/>
    </row>
    <row r="57817" spans="32:32" x14ac:dyDescent="0.2">
      <c r="AF57817" s="679"/>
    </row>
    <row r="57818" spans="32:32" x14ac:dyDescent="0.2">
      <c r="AF57818" s="679"/>
    </row>
    <row r="57819" spans="32:32" x14ac:dyDescent="0.2">
      <c r="AF57819" s="679"/>
    </row>
    <row r="57820" spans="32:32" x14ac:dyDescent="0.2">
      <c r="AF57820" s="679"/>
    </row>
    <row r="57821" spans="32:32" x14ac:dyDescent="0.2">
      <c r="AF57821" s="679"/>
    </row>
    <row r="57822" spans="32:32" x14ac:dyDescent="0.2">
      <c r="AF57822" s="679"/>
    </row>
    <row r="57823" spans="32:32" x14ac:dyDescent="0.2">
      <c r="AF57823" s="679"/>
    </row>
    <row r="57824" spans="32:32" x14ac:dyDescent="0.2">
      <c r="AF57824" s="679"/>
    </row>
    <row r="57825" spans="32:32" x14ac:dyDescent="0.2">
      <c r="AF57825" s="679"/>
    </row>
    <row r="57826" spans="32:32" x14ac:dyDescent="0.2">
      <c r="AF57826" s="679"/>
    </row>
    <row r="57827" spans="32:32" x14ac:dyDescent="0.2">
      <c r="AF57827" s="679"/>
    </row>
    <row r="57828" spans="32:32" x14ac:dyDescent="0.2">
      <c r="AF57828" s="679"/>
    </row>
    <row r="57829" spans="32:32" x14ac:dyDescent="0.2">
      <c r="AF57829" s="679"/>
    </row>
    <row r="57830" spans="32:32" x14ac:dyDescent="0.2">
      <c r="AF57830" s="679"/>
    </row>
    <row r="57831" spans="32:32" x14ac:dyDescent="0.2">
      <c r="AF57831" s="679"/>
    </row>
    <row r="57832" spans="32:32" x14ac:dyDescent="0.2">
      <c r="AF57832" s="679"/>
    </row>
    <row r="57833" spans="32:32" x14ac:dyDescent="0.2">
      <c r="AF57833" s="679"/>
    </row>
    <row r="57834" spans="32:32" x14ac:dyDescent="0.2">
      <c r="AF57834" s="679"/>
    </row>
    <row r="57835" spans="32:32" x14ac:dyDescent="0.2">
      <c r="AF57835" s="679"/>
    </row>
    <row r="57836" spans="32:32" x14ac:dyDescent="0.2">
      <c r="AF57836" s="679"/>
    </row>
    <row r="57837" spans="32:32" x14ac:dyDescent="0.2">
      <c r="AF57837" s="679"/>
    </row>
    <row r="57838" spans="32:32" x14ac:dyDescent="0.2">
      <c r="AF57838" s="679"/>
    </row>
    <row r="57839" spans="32:32" x14ac:dyDescent="0.2">
      <c r="AF57839" s="679"/>
    </row>
    <row r="57840" spans="32:32" x14ac:dyDescent="0.2">
      <c r="AF57840" s="679"/>
    </row>
    <row r="57841" spans="32:32" x14ac:dyDescent="0.2">
      <c r="AF57841" s="679"/>
    </row>
    <row r="57842" spans="32:32" x14ac:dyDescent="0.2">
      <c r="AF57842" s="679"/>
    </row>
    <row r="57843" spans="32:32" x14ac:dyDescent="0.2">
      <c r="AF57843" s="679"/>
    </row>
    <row r="57844" spans="32:32" x14ac:dyDescent="0.2">
      <c r="AF57844" s="679"/>
    </row>
    <row r="57845" spans="32:32" x14ac:dyDescent="0.2">
      <c r="AF57845" s="679"/>
    </row>
    <row r="57846" spans="32:32" x14ac:dyDescent="0.2">
      <c r="AF57846" s="679"/>
    </row>
    <row r="57847" spans="32:32" x14ac:dyDescent="0.2">
      <c r="AF57847" s="679"/>
    </row>
    <row r="57848" spans="32:32" x14ac:dyDescent="0.2">
      <c r="AF57848" s="679"/>
    </row>
    <row r="57849" spans="32:32" x14ac:dyDescent="0.2">
      <c r="AF57849" s="679"/>
    </row>
    <row r="57850" spans="32:32" x14ac:dyDescent="0.2">
      <c r="AF57850" s="679"/>
    </row>
    <row r="57851" spans="32:32" x14ac:dyDescent="0.2">
      <c r="AF57851" s="679"/>
    </row>
    <row r="57852" spans="32:32" x14ac:dyDescent="0.2">
      <c r="AF57852" s="679"/>
    </row>
    <row r="57853" spans="32:32" x14ac:dyDescent="0.2">
      <c r="AF57853" s="679"/>
    </row>
    <row r="57854" spans="32:32" x14ac:dyDescent="0.2">
      <c r="AF57854" s="679"/>
    </row>
    <row r="57855" spans="32:32" x14ac:dyDescent="0.2">
      <c r="AF57855" s="679"/>
    </row>
    <row r="57856" spans="32:32" x14ac:dyDescent="0.2">
      <c r="AF57856" s="679"/>
    </row>
    <row r="57857" spans="32:32" x14ac:dyDescent="0.2">
      <c r="AF57857" s="679"/>
    </row>
    <row r="57858" spans="32:32" x14ac:dyDescent="0.2">
      <c r="AF57858" s="679"/>
    </row>
    <row r="57859" spans="32:32" x14ac:dyDescent="0.2">
      <c r="AF57859" s="679"/>
    </row>
    <row r="57860" spans="32:32" x14ac:dyDescent="0.2">
      <c r="AF57860" s="679"/>
    </row>
    <row r="57861" spans="32:32" x14ac:dyDescent="0.2">
      <c r="AF57861" s="679"/>
    </row>
    <row r="57862" spans="32:32" x14ac:dyDescent="0.2">
      <c r="AF57862" s="679"/>
    </row>
    <row r="57863" spans="32:32" x14ac:dyDescent="0.2">
      <c r="AF57863" s="679"/>
    </row>
    <row r="57864" spans="32:32" x14ac:dyDescent="0.2">
      <c r="AF57864" s="679"/>
    </row>
    <row r="57865" spans="32:32" x14ac:dyDescent="0.2">
      <c r="AF57865" s="679"/>
    </row>
    <row r="57866" spans="32:32" x14ac:dyDescent="0.2">
      <c r="AF57866" s="679"/>
    </row>
    <row r="57867" spans="32:32" x14ac:dyDescent="0.2">
      <c r="AF57867" s="679"/>
    </row>
    <row r="57868" spans="32:32" x14ac:dyDescent="0.2">
      <c r="AF57868" s="679"/>
    </row>
    <row r="57869" spans="32:32" x14ac:dyDescent="0.2">
      <c r="AF57869" s="679"/>
    </row>
    <row r="57870" spans="32:32" x14ac:dyDescent="0.2">
      <c r="AF57870" s="679"/>
    </row>
    <row r="57871" spans="32:32" x14ac:dyDescent="0.2">
      <c r="AF57871" s="679"/>
    </row>
    <row r="57872" spans="32:32" x14ac:dyDescent="0.2">
      <c r="AF57872" s="679"/>
    </row>
    <row r="57873" spans="32:32" x14ac:dyDescent="0.2">
      <c r="AF57873" s="679"/>
    </row>
    <row r="57874" spans="32:32" x14ac:dyDescent="0.2">
      <c r="AF57874" s="679"/>
    </row>
    <row r="57875" spans="32:32" x14ac:dyDescent="0.2">
      <c r="AF57875" s="679"/>
    </row>
    <row r="57876" spans="32:32" x14ac:dyDescent="0.2">
      <c r="AF57876" s="679"/>
    </row>
    <row r="57877" spans="32:32" x14ac:dyDescent="0.2">
      <c r="AF57877" s="679"/>
    </row>
    <row r="57878" spans="32:32" x14ac:dyDescent="0.2">
      <c r="AF57878" s="679"/>
    </row>
    <row r="57879" spans="32:32" x14ac:dyDescent="0.2">
      <c r="AF57879" s="679"/>
    </row>
    <row r="57880" spans="32:32" x14ac:dyDescent="0.2">
      <c r="AF57880" s="679"/>
    </row>
    <row r="57881" spans="32:32" x14ac:dyDescent="0.2">
      <c r="AF57881" s="679"/>
    </row>
    <row r="57882" spans="32:32" x14ac:dyDescent="0.2">
      <c r="AF57882" s="679"/>
    </row>
    <row r="57883" spans="32:32" x14ac:dyDescent="0.2">
      <c r="AF57883" s="679"/>
    </row>
    <row r="57884" spans="32:32" x14ac:dyDescent="0.2">
      <c r="AF57884" s="679"/>
    </row>
    <row r="57885" spans="32:32" x14ac:dyDescent="0.2">
      <c r="AF57885" s="679"/>
    </row>
    <row r="57886" spans="32:32" x14ac:dyDescent="0.2">
      <c r="AF57886" s="679"/>
    </row>
    <row r="57887" spans="32:32" x14ac:dyDescent="0.2">
      <c r="AF57887" s="679"/>
    </row>
    <row r="57888" spans="32:32" x14ac:dyDescent="0.2">
      <c r="AF57888" s="679"/>
    </row>
    <row r="57889" spans="32:32" x14ac:dyDescent="0.2">
      <c r="AF57889" s="679"/>
    </row>
    <row r="57890" spans="32:32" x14ac:dyDescent="0.2">
      <c r="AF57890" s="679"/>
    </row>
    <row r="57891" spans="32:32" x14ac:dyDescent="0.2">
      <c r="AF57891" s="679"/>
    </row>
    <row r="57892" spans="32:32" x14ac:dyDescent="0.2">
      <c r="AF57892" s="679"/>
    </row>
    <row r="57893" spans="32:32" x14ac:dyDescent="0.2">
      <c r="AF57893" s="679"/>
    </row>
    <row r="57894" spans="32:32" x14ac:dyDescent="0.2">
      <c r="AF57894" s="679"/>
    </row>
    <row r="57895" spans="32:32" x14ac:dyDescent="0.2">
      <c r="AF57895" s="679"/>
    </row>
    <row r="57896" spans="32:32" x14ac:dyDescent="0.2">
      <c r="AF57896" s="679"/>
    </row>
    <row r="57897" spans="32:32" x14ac:dyDescent="0.2">
      <c r="AF57897" s="679"/>
    </row>
    <row r="57898" spans="32:32" x14ac:dyDescent="0.2">
      <c r="AF57898" s="679"/>
    </row>
    <row r="57899" spans="32:32" x14ac:dyDescent="0.2">
      <c r="AF57899" s="679"/>
    </row>
    <row r="57900" spans="32:32" x14ac:dyDescent="0.2">
      <c r="AF57900" s="679"/>
    </row>
    <row r="57901" spans="32:32" x14ac:dyDescent="0.2">
      <c r="AF57901" s="679"/>
    </row>
    <row r="57902" spans="32:32" x14ac:dyDescent="0.2">
      <c r="AF57902" s="679"/>
    </row>
    <row r="57903" spans="32:32" x14ac:dyDescent="0.2">
      <c r="AF57903" s="679"/>
    </row>
    <row r="57904" spans="32:32" x14ac:dyDescent="0.2">
      <c r="AF57904" s="679"/>
    </row>
    <row r="57905" spans="32:32" x14ac:dyDescent="0.2">
      <c r="AF57905" s="679"/>
    </row>
    <row r="57906" spans="32:32" x14ac:dyDescent="0.2">
      <c r="AF57906" s="679"/>
    </row>
    <row r="57907" spans="32:32" x14ac:dyDescent="0.2">
      <c r="AF57907" s="679"/>
    </row>
    <row r="57908" spans="32:32" x14ac:dyDescent="0.2">
      <c r="AF57908" s="679"/>
    </row>
    <row r="57909" spans="32:32" x14ac:dyDescent="0.2">
      <c r="AF57909" s="679"/>
    </row>
    <row r="57910" spans="32:32" x14ac:dyDescent="0.2">
      <c r="AF57910" s="679"/>
    </row>
    <row r="57911" spans="32:32" x14ac:dyDescent="0.2">
      <c r="AF57911" s="679"/>
    </row>
    <row r="57912" spans="32:32" x14ac:dyDescent="0.2">
      <c r="AF57912" s="679"/>
    </row>
    <row r="57913" spans="32:32" x14ac:dyDescent="0.2">
      <c r="AF57913" s="679"/>
    </row>
    <row r="57914" spans="32:32" x14ac:dyDescent="0.2">
      <c r="AF57914" s="679"/>
    </row>
    <row r="57915" spans="32:32" x14ac:dyDescent="0.2">
      <c r="AF57915" s="679"/>
    </row>
    <row r="57916" spans="32:32" x14ac:dyDescent="0.2">
      <c r="AF57916" s="679"/>
    </row>
    <row r="57917" spans="32:32" x14ac:dyDescent="0.2">
      <c r="AF57917" s="679"/>
    </row>
    <row r="57918" spans="32:32" x14ac:dyDescent="0.2">
      <c r="AF57918" s="679"/>
    </row>
    <row r="57919" spans="32:32" x14ac:dyDescent="0.2">
      <c r="AF57919" s="679"/>
    </row>
    <row r="57920" spans="32:32" x14ac:dyDescent="0.2">
      <c r="AF57920" s="679"/>
    </row>
    <row r="57921" spans="32:32" x14ac:dyDescent="0.2">
      <c r="AF57921" s="679"/>
    </row>
    <row r="57922" spans="32:32" x14ac:dyDescent="0.2">
      <c r="AF57922" s="679"/>
    </row>
    <row r="57923" spans="32:32" x14ac:dyDescent="0.2">
      <c r="AF57923" s="679"/>
    </row>
    <row r="57924" spans="32:32" x14ac:dyDescent="0.2">
      <c r="AF57924" s="679"/>
    </row>
    <row r="57925" spans="32:32" x14ac:dyDescent="0.2">
      <c r="AF57925" s="679"/>
    </row>
    <row r="57926" spans="32:32" x14ac:dyDescent="0.2">
      <c r="AF57926" s="679"/>
    </row>
    <row r="57927" spans="32:32" x14ac:dyDescent="0.2">
      <c r="AF57927" s="679"/>
    </row>
    <row r="57928" spans="32:32" x14ac:dyDescent="0.2">
      <c r="AF57928" s="679"/>
    </row>
    <row r="57929" spans="32:32" x14ac:dyDescent="0.2">
      <c r="AF57929" s="679"/>
    </row>
    <row r="57930" spans="32:32" x14ac:dyDescent="0.2">
      <c r="AF57930" s="679"/>
    </row>
    <row r="57931" spans="32:32" x14ac:dyDescent="0.2">
      <c r="AF57931" s="679"/>
    </row>
    <row r="57932" spans="32:32" x14ac:dyDescent="0.2">
      <c r="AF57932" s="679"/>
    </row>
    <row r="57933" spans="32:32" x14ac:dyDescent="0.2">
      <c r="AF57933" s="679"/>
    </row>
    <row r="57934" spans="32:32" x14ac:dyDescent="0.2">
      <c r="AF57934" s="679"/>
    </row>
    <row r="57935" spans="32:32" x14ac:dyDescent="0.2">
      <c r="AF57935" s="679"/>
    </row>
    <row r="57936" spans="32:32" x14ac:dyDescent="0.2">
      <c r="AF57936" s="679"/>
    </row>
    <row r="57937" spans="32:32" x14ac:dyDescent="0.2">
      <c r="AF57937" s="679"/>
    </row>
    <row r="57938" spans="32:32" x14ac:dyDescent="0.2">
      <c r="AF57938" s="679"/>
    </row>
    <row r="57939" spans="32:32" x14ac:dyDescent="0.2">
      <c r="AF57939" s="679"/>
    </row>
    <row r="57940" spans="32:32" x14ac:dyDescent="0.2">
      <c r="AF57940" s="679"/>
    </row>
    <row r="57941" spans="32:32" x14ac:dyDescent="0.2">
      <c r="AF57941" s="679"/>
    </row>
    <row r="57942" spans="32:32" x14ac:dyDescent="0.2">
      <c r="AF57942" s="679"/>
    </row>
    <row r="57943" spans="32:32" x14ac:dyDescent="0.2">
      <c r="AF57943" s="679"/>
    </row>
    <row r="57944" spans="32:32" x14ac:dyDescent="0.2">
      <c r="AF57944" s="679"/>
    </row>
    <row r="57945" spans="32:32" x14ac:dyDescent="0.2">
      <c r="AF57945" s="679"/>
    </row>
    <row r="57946" spans="32:32" x14ac:dyDescent="0.2">
      <c r="AF57946" s="679"/>
    </row>
    <row r="57947" spans="32:32" x14ac:dyDescent="0.2">
      <c r="AF57947" s="679"/>
    </row>
    <row r="57948" spans="32:32" x14ac:dyDescent="0.2">
      <c r="AF57948" s="679"/>
    </row>
    <row r="57949" spans="32:32" x14ac:dyDescent="0.2">
      <c r="AF57949" s="679"/>
    </row>
    <row r="57950" spans="32:32" x14ac:dyDescent="0.2">
      <c r="AF57950" s="679"/>
    </row>
    <row r="57951" spans="32:32" x14ac:dyDescent="0.2">
      <c r="AF57951" s="679"/>
    </row>
    <row r="57952" spans="32:32" x14ac:dyDescent="0.2">
      <c r="AF57952" s="679"/>
    </row>
    <row r="57953" spans="32:32" x14ac:dyDescent="0.2">
      <c r="AF57953" s="679"/>
    </row>
    <row r="57954" spans="32:32" x14ac:dyDescent="0.2">
      <c r="AF57954" s="679"/>
    </row>
    <row r="57955" spans="32:32" x14ac:dyDescent="0.2">
      <c r="AF57955" s="679"/>
    </row>
    <row r="57956" spans="32:32" x14ac:dyDescent="0.2">
      <c r="AF57956" s="679"/>
    </row>
    <row r="57957" spans="32:32" x14ac:dyDescent="0.2">
      <c r="AF57957" s="679"/>
    </row>
    <row r="57958" spans="32:32" x14ac:dyDescent="0.2">
      <c r="AF57958" s="679"/>
    </row>
    <row r="57959" spans="32:32" x14ac:dyDescent="0.2">
      <c r="AF57959" s="679"/>
    </row>
    <row r="57960" spans="32:32" x14ac:dyDescent="0.2">
      <c r="AF57960" s="679"/>
    </row>
    <row r="57961" spans="32:32" x14ac:dyDescent="0.2">
      <c r="AF57961" s="679"/>
    </row>
    <row r="57962" spans="32:32" x14ac:dyDescent="0.2">
      <c r="AF57962" s="679"/>
    </row>
    <row r="57963" spans="32:32" x14ac:dyDescent="0.2">
      <c r="AF57963" s="679"/>
    </row>
    <row r="57964" spans="32:32" x14ac:dyDescent="0.2">
      <c r="AF57964" s="679"/>
    </row>
    <row r="57965" spans="32:32" x14ac:dyDescent="0.2">
      <c r="AF57965" s="679"/>
    </row>
    <row r="57966" spans="32:32" x14ac:dyDescent="0.2">
      <c r="AF57966" s="679"/>
    </row>
    <row r="57967" spans="32:32" x14ac:dyDescent="0.2">
      <c r="AF57967" s="679"/>
    </row>
    <row r="57968" spans="32:32" x14ac:dyDescent="0.2">
      <c r="AF57968" s="679"/>
    </row>
    <row r="57969" spans="32:32" x14ac:dyDescent="0.2">
      <c r="AF57969" s="679"/>
    </row>
    <row r="57970" spans="32:32" x14ac:dyDescent="0.2">
      <c r="AF57970" s="679"/>
    </row>
    <row r="57971" spans="32:32" x14ac:dyDescent="0.2">
      <c r="AF57971" s="679"/>
    </row>
    <row r="57972" spans="32:32" x14ac:dyDescent="0.2">
      <c r="AF57972" s="679"/>
    </row>
    <row r="57973" spans="32:32" x14ac:dyDescent="0.2">
      <c r="AF57973" s="679"/>
    </row>
    <row r="57974" spans="32:32" x14ac:dyDescent="0.2">
      <c r="AF57974" s="679"/>
    </row>
    <row r="57975" spans="32:32" x14ac:dyDescent="0.2">
      <c r="AF57975" s="679"/>
    </row>
    <row r="57976" spans="32:32" x14ac:dyDescent="0.2">
      <c r="AF57976" s="679"/>
    </row>
    <row r="57977" spans="32:32" x14ac:dyDescent="0.2">
      <c r="AF57977" s="679"/>
    </row>
    <row r="57978" spans="32:32" x14ac:dyDescent="0.2">
      <c r="AF57978" s="679"/>
    </row>
    <row r="57979" spans="32:32" x14ac:dyDescent="0.2">
      <c r="AF57979" s="679"/>
    </row>
    <row r="57980" spans="32:32" x14ac:dyDescent="0.2">
      <c r="AF57980" s="679"/>
    </row>
    <row r="57981" spans="32:32" x14ac:dyDescent="0.2">
      <c r="AF57981" s="679"/>
    </row>
    <row r="57982" spans="32:32" x14ac:dyDescent="0.2">
      <c r="AF57982" s="679"/>
    </row>
    <row r="57983" spans="32:32" x14ac:dyDescent="0.2">
      <c r="AF57983" s="679"/>
    </row>
    <row r="57984" spans="32:32" x14ac:dyDescent="0.2">
      <c r="AF57984" s="679"/>
    </row>
    <row r="57985" spans="32:32" x14ac:dyDescent="0.2">
      <c r="AF57985" s="679"/>
    </row>
    <row r="57986" spans="32:32" x14ac:dyDescent="0.2">
      <c r="AF57986" s="679"/>
    </row>
    <row r="57987" spans="32:32" x14ac:dyDescent="0.2">
      <c r="AF57987" s="679"/>
    </row>
    <row r="57988" spans="32:32" x14ac:dyDescent="0.2">
      <c r="AF57988" s="679"/>
    </row>
    <row r="57989" spans="32:32" x14ac:dyDescent="0.2">
      <c r="AF57989" s="679"/>
    </row>
    <row r="57990" spans="32:32" x14ac:dyDescent="0.2">
      <c r="AF57990" s="679"/>
    </row>
    <row r="57991" spans="32:32" x14ac:dyDescent="0.2">
      <c r="AF57991" s="679"/>
    </row>
    <row r="57992" spans="32:32" x14ac:dyDescent="0.2">
      <c r="AF57992" s="679"/>
    </row>
    <row r="57993" spans="32:32" x14ac:dyDescent="0.2">
      <c r="AF57993" s="679"/>
    </row>
    <row r="57994" spans="32:32" x14ac:dyDescent="0.2">
      <c r="AF57994" s="679"/>
    </row>
    <row r="57995" spans="32:32" x14ac:dyDescent="0.2">
      <c r="AF57995" s="679"/>
    </row>
    <row r="57996" spans="32:32" x14ac:dyDescent="0.2">
      <c r="AF57996" s="679"/>
    </row>
    <row r="57997" spans="32:32" x14ac:dyDescent="0.2">
      <c r="AF57997" s="679"/>
    </row>
    <row r="57998" spans="32:32" x14ac:dyDescent="0.2">
      <c r="AF57998" s="679"/>
    </row>
    <row r="57999" spans="32:32" x14ac:dyDescent="0.2">
      <c r="AF57999" s="679"/>
    </row>
    <row r="58000" spans="32:32" x14ac:dyDescent="0.2">
      <c r="AF58000" s="679"/>
    </row>
    <row r="58001" spans="32:32" x14ac:dyDescent="0.2">
      <c r="AF58001" s="679"/>
    </row>
    <row r="58002" spans="32:32" x14ac:dyDescent="0.2">
      <c r="AF58002" s="679"/>
    </row>
    <row r="58003" spans="32:32" x14ac:dyDescent="0.2">
      <c r="AF58003" s="679"/>
    </row>
    <row r="58004" spans="32:32" x14ac:dyDescent="0.2">
      <c r="AF58004" s="679"/>
    </row>
    <row r="58005" spans="32:32" x14ac:dyDescent="0.2">
      <c r="AF58005" s="679"/>
    </row>
    <row r="58006" spans="32:32" x14ac:dyDescent="0.2">
      <c r="AF58006" s="679"/>
    </row>
    <row r="58007" spans="32:32" x14ac:dyDescent="0.2">
      <c r="AF58007" s="679"/>
    </row>
    <row r="58008" spans="32:32" x14ac:dyDescent="0.2">
      <c r="AF58008" s="679"/>
    </row>
    <row r="58009" spans="32:32" x14ac:dyDescent="0.2">
      <c r="AF58009" s="679"/>
    </row>
    <row r="58010" spans="32:32" x14ac:dyDescent="0.2">
      <c r="AF58010" s="679"/>
    </row>
    <row r="58011" spans="32:32" x14ac:dyDescent="0.2">
      <c r="AF58011" s="679"/>
    </row>
    <row r="58012" spans="32:32" x14ac:dyDescent="0.2">
      <c r="AF58012" s="679"/>
    </row>
    <row r="58013" spans="32:32" x14ac:dyDescent="0.2">
      <c r="AF58013" s="679"/>
    </row>
    <row r="58014" spans="32:32" x14ac:dyDescent="0.2">
      <c r="AF58014" s="679"/>
    </row>
    <row r="58015" spans="32:32" x14ac:dyDescent="0.2">
      <c r="AF58015" s="679"/>
    </row>
    <row r="58016" spans="32:32" x14ac:dyDescent="0.2">
      <c r="AF58016" s="679"/>
    </row>
    <row r="58017" spans="32:32" x14ac:dyDescent="0.2">
      <c r="AF58017" s="679"/>
    </row>
    <row r="58018" spans="32:32" x14ac:dyDescent="0.2">
      <c r="AF58018" s="679"/>
    </row>
    <row r="58019" spans="32:32" x14ac:dyDescent="0.2">
      <c r="AF58019" s="679"/>
    </row>
    <row r="58020" spans="32:32" x14ac:dyDescent="0.2">
      <c r="AF58020" s="679"/>
    </row>
    <row r="58021" spans="32:32" x14ac:dyDescent="0.2">
      <c r="AF58021" s="679"/>
    </row>
    <row r="58022" spans="32:32" x14ac:dyDescent="0.2">
      <c r="AF58022" s="679"/>
    </row>
    <row r="58023" spans="32:32" x14ac:dyDescent="0.2">
      <c r="AF58023" s="679"/>
    </row>
    <row r="58024" spans="32:32" x14ac:dyDescent="0.2">
      <c r="AF58024" s="679"/>
    </row>
    <row r="58025" spans="32:32" x14ac:dyDescent="0.2">
      <c r="AF58025" s="679"/>
    </row>
    <row r="58026" spans="32:32" x14ac:dyDescent="0.2">
      <c r="AF58026" s="679"/>
    </row>
    <row r="58027" spans="32:32" x14ac:dyDescent="0.2">
      <c r="AF58027" s="679"/>
    </row>
    <row r="58028" spans="32:32" x14ac:dyDescent="0.2">
      <c r="AF58028" s="679"/>
    </row>
    <row r="58029" spans="32:32" x14ac:dyDescent="0.2">
      <c r="AF58029" s="679"/>
    </row>
    <row r="58030" spans="32:32" x14ac:dyDescent="0.2">
      <c r="AF58030" s="679"/>
    </row>
    <row r="58031" spans="32:32" x14ac:dyDescent="0.2">
      <c r="AF58031" s="679"/>
    </row>
    <row r="58032" spans="32:32" x14ac:dyDescent="0.2">
      <c r="AF58032" s="679"/>
    </row>
    <row r="58033" spans="32:32" x14ac:dyDescent="0.2">
      <c r="AF58033" s="679"/>
    </row>
    <row r="58034" spans="32:32" x14ac:dyDescent="0.2">
      <c r="AF58034" s="679"/>
    </row>
    <row r="58035" spans="32:32" x14ac:dyDescent="0.2">
      <c r="AF58035" s="679"/>
    </row>
    <row r="58036" spans="32:32" x14ac:dyDescent="0.2">
      <c r="AF58036" s="679"/>
    </row>
    <row r="58037" spans="32:32" x14ac:dyDescent="0.2">
      <c r="AF58037" s="679"/>
    </row>
    <row r="58038" spans="32:32" x14ac:dyDescent="0.2">
      <c r="AF58038" s="679"/>
    </row>
    <row r="58039" spans="32:32" x14ac:dyDescent="0.2">
      <c r="AF58039" s="679"/>
    </row>
    <row r="58040" spans="32:32" x14ac:dyDescent="0.2">
      <c r="AF58040" s="679"/>
    </row>
    <row r="58041" spans="32:32" x14ac:dyDescent="0.2">
      <c r="AF58041" s="679"/>
    </row>
    <row r="58042" spans="32:32" x14ac:dyDescent="0.2">
      <c r="AF58042" s="679"/>
    </row>
    <row r="58043" spans="32:32" x14ac:dyDescent="0.2">
      <c r="AF58043" s="679"/>
    </row>
    <row r="58044" spans="32:32" x14ac:dyDescent="0.2">
      <c r="AF58044" s="679"/>
    </row>
    <row r="58045" spans="32:32" x14ac:dyDescent="0.2">
      <c r="AF58045" s="679"/>
    </row>
    <row r="58046" spans="32:32" x14ac:dyDescent="0.2">
      <c r="AF58046" s="679"/>
    </row>
    <row r="58047" spans="32:32" x14ac:dyDescent="0.2">
      <c r="AF58047" s="679"/>
    </row>
    <row r="58048" spans="32:32" x14ac:dyDescent="0.2">
      <c r="AF58048" s="679"/>
    </row>
    <row r="58049" spans="32:32" x14ac:dyDescent="0.2">
      <c r="AF58049" s="679"/>
    </row>
    <row r="58050" spans="32:32" x14ac:dyDescent="0.2">
      <c r="AF58050" s="679"/>
    </row>
    <row r="58051" spans="32:32" x14ac:dyDescent="0.2">
      <c r="AF58051" s="679"/>
    </row>
    <row r="58052" spans="32:32" x14ac:dyDescent="0.2">
      <c r="AF58052" s="679"/>
    </row>
    <row r="58053" spans="32:32" x14ac:dyDescent="0.2">
      <c r="AF58053" s="679"/>
    </row>
    <row r="58054" spans="32:32" x14ac:dyDescent="0.2">
      <c r="AF58054" s="679"/>
    </row>
    <row r="58055" spans="32:32" x14ac:dyDescent="0.2">
      <c r="AF58055" s="679"/>
    </row>
    <row r="58056" spans="32:32" x14ac:dyDescent="0.2">
      <c r="AF58056" s="679"/>
    </row>
    <row r="58057" spans="32:32" x14ac:dyDescent="0.2">
      <c r="AF58057" s="679"/>
    </row>
    <row r="58058" spans="32:32" x14ac:dyDescent="0.2">
      <c r="AF58058" s="679"/>
    </row>
    <row r="58059" spans="32:32" x14ac:dyDescent="0.2">
      <c r="AF58059" s="679"/>
    </row>
    <row r="58060" spans="32:32" x14ac:dyDescent="0.2">
      <c r="AF58060" s="679"/>
    </row>
    <row r="58061" spans="32:32" x14ac:dyDescent="0.2">
      <c r="AF58061" s="679"/>
    </row>
    <row r="58062" spans="32:32" x14ac:dyDescent="0.2">
      <c r="AF58062" s="679"/>
    </row>
    <row r="58063" spans="32:32" x14ac:dyDescent="0.2">
      <c r="AF58063" s="679"/>
    </row>
    <row r="58064" spans="32:32" x14ac:dyDescent="0.2">
      <c r="AF58064" s="679"/>
    </row>
    <row r="58065" spans="32:32" x14ac:dyDescent="0.2">
      <c r="AF58065" s="679"/>
    </row>
    <row r="58066" spans="32:32" x14ac:dyDescent="0.2">
      <c r="AF58066" s="679"/>
    </row>
    <row r="58067" spans="32:32" x14ac:dyDescent="0.2">
      <c r="AF58067" s="679"/>
    </row>
    <row r="58068" spans="32:32" x14ac:dyDescent="0.2">
      <c r="AF58068" s="679"/>
    </row>
    <row r="58069" spans="32:32" x14ac:dyDescent="0.2">
      <c r="AF58069" s="679"/>
    </row>
    <row r="58070" spans="32:32" x14ac:dyDescent="0.2">
      <c r="AF58070" s="679"/>
    </row>
    <row r="58071" spans="32:32" x14ac:dyDescent="0.2">
      <c r="AF58071" s="679"/>
    </row>
    <row r="58072" spans="32:32" x14ac:dyDescent="0.2">
      <c r="AF58072" s="679"/>
    </row>
    <row r="58073" spans="32:32" x14ac:dyDescent="0.2">
      <c r="AF58073" s="679"/>
    </row>
    <row r="58074" spans="32:32" x14ac:dyDescent="0.2">
      <c r="AF58074" s="679"/>
    </row>
    <row r="58075" spans="32:32" x14ac:dyDescent="0.2">
      <c r="AF58075" s="679"/>
    </row>
    <row r="58076" spans="32:32" x14ac:dyDescent="0.2">
      <c r="AF58076" s="679"/>
    </row>
    <row r="58077" spans="32:32" x14ac:dyDescent="0.2">
      <c r="AF58077" s="679"/>
    </row>
    <row r="58078" spans="32:32" x14ac:dyDescent="0.2">
      <c r="AF58078" s="679"/>
    </row>
    <row r="58079" spans="32:32" x14ac:dyDescent="0.2">
      <c r="AF58079" s="679"/>
    </row>
    <row r="58080" spans="32:32" x14ac:dyDescent="0.2">
      <c r="AF58080" s="679"/>
    </row>
    <row r="58081" spans="32:32" x14ac:dyDescent="0.2">
      <c r="AF58081" s="679"/>
    </row>
    <row r="58082" spans="32:32" x14ac:dyDescent="0.2">
      <c r="AF58082" s="679"/>
    </row>
    <row r="58083" spans="32:32" x14ac:dyDescent="0.2">
      <c r="AF58083" s="679"/>
    </row>
    <row r="58084" spans="32:32" x14ac:dyDescent="0.2">
      <c r="AF58084" s="679"/>
    </row>
    <row r="58085" spans="32:32" x14ac:dyDescent="0.2">
      <c r="AF58085" s="679"/>
    </row>
    <row r="58086" spans="32:32" x14ac:dyDescent="0.2">
      <c r="AF58086" s="679"/>
    </row>
    <row r="58087" spans="32:32" x14ac:dyDescent="0.2">
      <c r="AF58087" s="679"/>
    </row>
    <row r="58088" spans="32:32" x14ac:dyDescent="0.2">
      <c r="AF58088" s="679"/>
    </row>
    <row r="58089" spans="32:32" x14ac:dyDescent="0.2">
      <c r="AF58089" s="679"/>
    </row>
    <row r="58090" spans="32:32" x14ac:dyDescent="0.2">
      <c r="AF58090" s="679"/>
    </row>
    <row r="58091" spans="32:32" x14ac:dyDescent="0.2">
      <c r="AF58091" s="679"/>
    </row>
    <row r="58092" spans="32:32" x14ac:dyDescent="0.2">
      <c r="AF58092" s="679"/>
    </row>
    <row r="58093" spans="32:32" x14ac:dyDescent="0.2">
      <c r="AF58093" s="679"/>
    </row>
    <row r="58094" spans="32:32" x14ac:dyDescent="0.2">
      <c r="AF58094" s="679"/>
    </row>
    <row r="58095" spans="32:32" x14ac:dyDescent="0.2">
      <c r="AF58095" s="679"/>
    </row>
    <row r="58096" spans="32:32" x14ac:dyDescent="0.2">
      <c r="AF58096" s="679"/>
    </row>
    <row r="58097" spans="32:32" x14ac:dyDescent="0.2">
      <c r="AF58097" s="679"/>
    </row>
    <row r="58098" spans="32:32" x14ac:dyDescent="0.2">
      <c r="AF58098" s="679"/>
    </row>
    <row r="58099" spans="32:32" x14ac:dyDescent="0.2">
      <c r="AF58099" s="679"/>
    </row>
    <row r="58100" spans="32:32" x14ac:dyDescent="0.2">
      <c r="AF58100" s="679"/>
    </row>
    <row r="58101" spans="32:32" x14ac:dyDescent="0.2">
      <c r="AF58101" s="679"/>
    </row>
    <row r="58102" spans="32:32" x14ac:dyDescent="0.2">
      <c r="AF58102" s="679"/>
    </row>
    <row r="58103" spans="32:32" x14ac:dyDescent="0.2">
      <c r="AF58103" s="679"/>
    </row>
    <row r="58104" spans="32:32" x14ac:dyDescent="0.2">
      <c r="AF58104" s="679"/>
    </row>
    <row r="58105" spans="32:32" x14ac:dyDescent="0.2">
      <c r="AF58105" s="679"/>
    </row>
    <row r="58106" spans="32:32" x14ac:dyDescent="0.2">
      <c r="AF58106" s="679"/>
    </row>
    <row r="58107" spans="32:32" x14ac:dyDescent="0.2">
      <c r="AF58107" s="679"/>
    </row>
    <row r="58108" spans="32:32" x14ac:dyDescent="0.2">
      <c r="AF58108" s="679"/>
    </row>
    <row r="58109" spans="32:32" x14ac:dyDescent="0.2">
      <c r="AF58109" s="679"/>
    </row>
    <row r="58110" spans="32:32" x14ac:dyDescent="0.2">
      <c r="AF58110" s="679"/>
    </row>
    <row r="58111" spans="32:32" x14ac:dyDescent="0.2">
      <c r="AF58111" s="679"/>
    </row>
    <row r="58112" spans="32:32" x14ac:dyDescent="0.2">
      <c r="AF58112" s="679"/>
    </row>
    <row r="58113" spans="32:32" x14ac:dyDescent="0.2">
      <c r="AF58113" s="679"/>
    </row>
    <row r="58114" spans="32:32" x14ac:dyDescent="0.2">
      <c r="AF58114" s="679"/>
    </row>
    <row r="58115" spans="32:32" x14ac:dyDescent="0.2">
      <c r="AF58115" s="679"/>
    </row>
    <row r="58116" spans="32:32" x14ac:dyDescent="0.2">
      <c r="AF58116" s="679"/>
    </row>
    <row r="58117" spans="32:32" x14ac:dyDescent="0.2">
      <c r="AF58117" s="679"/>
    </row>
    <row r="58118" spans="32:32" x14ac:dyDescent="0.2">
      <c r="AF58118" s="679"/>
    </row>
    <row r="58119" spans="32:32" x14ac:dyDescent="0.2">
      <c r="AF58119" s="679"/>
    </row>
    <row r="58120" spans="32:32" x14ac:dyDescent="0.2">
      <c r="AF58120" s="679"/>
    </row>
    <row r="58121" spans="32:32" x14ac:dyDescent="0.2">
      <c r="AF58121" s="679"/>
    </row>
    <row r="58122" spans="32:32" x14ac:dyDescent="0.2">
      <c r="AF58122" s="679"/>
    </row>
    <row r="58123" spans="32:32" x14ac:dyDescent="0.2">
      <c r="AF58123" s="679"/>
    </row>
    <row r="58124" spans="32:32" x14ac:dyDescent="0.2">
      <c r="AF58124" s="679"/>
    </row>
    <row r="58125" spans="32:32" x14ac:dyDescent="0.2">
      <c r="AF58125" s="679"/>
    </row>
    <row r="58126" spans="32:32" x14ac:dyDescent="0.2">
      <c r="AF58126" s="679"/>
    </row>
    <row r="58127" spans="32:32" x14ac:dyDescent="0.2">
      <c r="AF58127" s="679"/>
    </row>
    <row r="58128" spans="32:32" x14ac:dyDescent="0.2">
      <c r="AF58128" s="679"/>
    </row>
    <row r="58129" spans="32:32" x14ac:dyDescent="0.2">
      <c r="AF58129" s="679"/>
    </row>
    <row r="58130" spans="32:32" x14ac:dyDescent="0.2">
      <c r="AF58130" s="679"/>
    </row>
    <row r="58131" spans="32:32" x14ac:dyDescent="0.2">
      <c r="AF58131" s="679"/>
    </row>
    <row r="58132" spans="32:32" x14ac:dyDescent="0.2">
      <c r="AF58132" s="679"/>
    </row>
    <row r="58133" spans="32:32" x14ac:dyDescent="0.2">
      <c r="AF58133" s="679"/>
    </row>
    <row r="58134" spans="32:32" x14ac:dyDescent="0.2">
      <c r="AF58134" s="679"/>
    </row>
    <row r="58135" spans="32:32" x14ac:dyDescent="0.2">
      <c r="AF58135" s="679"/>
    </row>
    <row r="58136" spans="32:32" x14ac:dyDescent="0.2">
      <c r="AF58136" s="679"/>
    </row>
    <row r="58137" spans="32:32" x14ac:dyDescent="0.2">
      <c r="AF58137" s="679"/>
    </row>
    <row r="58138" spans="32:32" x14ac:dyDescent="0.2">
      <c r="AF58138" s="679"/>
    </row>
    <row r="58139" spans="32:32" x14ac:dyDescent="0.2">
      <c r="AF58139" s="679"/>
    </row>
    <row r="58140" spans="32:32" x14ac:dyDescent="0.2">
      <c r="AF58140" s="679"/>
    </row>
    <row r="58141" spans="32:32" x14ac:dyDescent="0.2">
      <c r="AF58141" s="679"/>
    </row>
    <row r="58142" spans="32:32" x14ac:dyDescent="0.2">
      <c r="AF58142" s="679"/>
    </row>
    <row r="58143" spans="32:32" x14ac:dyDescent="0.2">
      <c r="AF58143" s="679"/>
    </row>
    <row r="58144" spans="32:32" x14ac:dyDescent="0.2">
      <c r="AF58144" s="679"/>
    </row>
    <row r="58145" spans="32:32" x14ac:dyDescent="0.2">
      <c r="AF58145" s="679"/>
    </row>
    <row r="58146" spans="32:32" x14ac:dyDescent="0.2">
      <c r="AF58146" s="679"/>
    </row>
    <row r="58147" spans="32:32" x14ac:dyDescent="0.2">
      <c r="AF58147" s="679"/>
    </row>
    <row r="58148" spans="32:32" x14ac:dyDescent="0.2">
      <c r="AF58148" s="679"/>
    </row>
    <row r="58149" spans="32:32" x14ac:dyDescent="0.2">
      <c r="AF58149" s="679"/>
    </row>
    <row r="58150" spans="32:32" x14ac:dyDescent="0.2">
      <c r="AF58150" s="679"/>
    </row>
    <row r="58151" spans="32:32" x14ac:dyDescent="0.2">
      <c r="AF58151" s="679"/>
    </row>
    <row r="58152" spans="32:32" x14ac:dyDescent="0.2">
      <c r="AF58152" s="679"/>
    </row>
    <row r="58153" spans="32:32" x14ac:dyDescent="0.2">
      <c r="AF58153" s="679"/>
    </row>
    <row r="58154" spans="32:32" x14ac:dyDescent="0.2">
      <c r="AF58154" s="679"/>
    </row>
    <row r="58155" spans="32:32" x14ac:dyDescent="0.2">
      <c r="AF58155" s="679"/>
    </row>
    <row r="58156" spans="32:32" x14ac:dyDescent="0.2">
      <c r="AF58156" s="679"/>
    </row>
    <row r="58157" spans="32:32" x14ac:dyDescent="0.2">
      <c r="AF58157" s="679"/>
    </row>
    <row r="58158" spans="32:32" x14ac:dyDescent="0.2">
      <c r="AF58158" s="679"/>
    </row>
    <row r="58159" spans="32:32" x14ac:dyDescent="0.2">
      <c r="AF58159" s="679"/>
    </row>
    <row r="58160" spans="32:32" x14ac:dyDescent="0.2">
      <c r="AF58160" s="679"/>
    </row>
    <row r="58161" spans="32:32" x14ac:dyDescent="0.2">
      <c r="AF58161" s="679"/>
    </row>
    <row r="58162" spans="32:32" x14ac:dyDescent="0.2">
      <c r="AF58162" s="679"/>
    </row>
    <row r="58163" spans="32:32" x14ac:dyDescent="0.2">
      <c r="AF58163" s="679"/>
    </row>
    <row r="58164" spans="32:32" x14ac:dyDescent="0.2">
      <c r="AF58164" s="679"/>
    </row>
    <row r="58165" spans="32:32" x14ac:dyDescent="0.2">
      <c r="AF58165" s="679"/>
    </row>
    <row r="58166" spans="32:32" x14ac:dyDescent="0.2">
      <c r="AF58166" s="679"/>
    </row>
    <row r="58167" spans="32:32" x14ac:dyDescent="0.2">
      <c r="AF58167" s="679"/>
    </row>
    <row r="58168" spans="32:32" x14ac:dyDescent="0.2">
      <c r="AF58168" s="679"/>
    </row>
    <row r="58169" spans="32:32" x14ac:dyDescent="0.2">
      <c r="AF58169" s="679"/>
    </row>
    <row r="58170" spans="32:32" x14ac:dyDescent="0.2">
      <c r="AF58170" s="679"/>
    </row>
    <row r="58171" spans="32:32" x14ac:dyDescent="0.2">
      <c r="AF58171" s="679"/>
    </row>
    <row r="58172" spans="32:32" x14ac:dyDescent="0.2">
      <c r="AF58172" s="679"/>
    </row>
    <row r="58173" spans="32:32" x14ac:dyDescent="0.2">
      <c r="AF58173" s="679"/>
    </row>
    <row r="58174" spans="32:32" x14ac:dyDescent="0.2">
      <c r="AF58174" s="679"/>
    </row>
    <row r="58175" spans="32:32" x14ac:dyDescent="0.2">
      <c r="AF58175" s="679"/>
    </row>
    <row r="58176" spans="32:32" x14ac:dyDescent="0.2">
      <c r="AF58176" s="679"/>
    </row>
    <row r="58177" spans="32:32" x14ac:dyDescent="0.2">
      <c r="AF58177" s="679"/>
    </row>
    <row r="58178" spans="32:32" x14ac:dyDescent="0.2">
      <c r="AF58178" s="679"/>
    </row>
    <row r="58179" spans="32:32" x14ac:dyDescent="0.2">
      <c r="AF58179" s="679"/>
    </row>
    <row r="58180" spans="32:32" x14ac:dyDescent="0.2">
      <c r="AF58180" s="679"/>
    </row>
    <row r="58181" spans="32:32" x14ac:dyDescent="0.2">
      <c r="AF58181" s="679"/>
    </row>
    <row r="58182" spans="32:32" x14ac:dyDescent="0.2">
      <c r="AF58182" s="679"/>
    </row>
    <row r="58183" spans="32:32" x14ac:dyDescent="0.2">
      <c r="AF58183" s="679"/>
    </row>
    <row r="58184" spans="32:32" x14ac:dyDescent="0.2">
      <c r="AF58184" s="679"/>
    </row>
    <row r="58185" spans="32:32" x14ac:dyDescent="0.2">
      <c r="AF58185" s="679"/>
    </row>
    <row r="58186" spans="32:32" x14ac:dyDescent="0.2">
      <c r="AF58186" s="679"/>
    </row>
    <row r="58187" spans="32:32" x14ac:dyDescent="0.2">
      <c r="AF58187" s="679"/>
    </row>
    <row r="58188" spans="32:32" x14ac:dyDescent="0.2">
      <c r="AF58188" s="679"/>
    </row>
    <row r="58189" spans="32:32" x14ac:dyDescent="0.2">
      <c r="AF58189" s="679"/>
    </row>
    <row r="58190" spans="32:32" x14ac:dyDescent="0.2">
      <c r="AF58190" s="679"/>
    </row>
    <row r="58191" spans="32:32" x14ac:dyDescent="0.2">
      <c r="AF58191" s="679"/>
    </row>
    <row r="58192" spans="32:32" x14ac:dyDescent="0.2">
      <c r="AF58192" s="679"/>
    </row>
    <row r="58193" spans="32:32" x14ac:dyDescent="0.2">
      <c r="AF58193" s="679"/>
    </row>
    <row r="58194" spans="32:32" x14ac:dyDescent="0.2">
      <c r="AF58194" s="679"/>
    </row>
    <row r="58195" spans="32:32" x14ac:dyDescent="0.2">
      <c r="AF58195" s="679"/>
    </row>
    <row r="58196" spans="32:32" x14ac:dyDescent="0.2">
      <c r="AF58196" s="679"/>
    </row>
    <row r="58197" spans="32:32" x14ac:dyDescent="0.2">
      <c r="AF58197" s="679"/>
    </row>
    <row r="58198" spans="32:32" x14ac:dyDescent="0.2">
      <c r="AF58198" s="679"/>
    </row>
    <row r="58199" spans="32:32" x14ac:dyDescent="0.2">
      <c r="AF58199" s="679"/>
    </row>
    <row r="58200" spans="32:32" x14ac:dyDescent="0.2">
      <c r="AF58200" s="679"/>
    </row>
    <row r="58201" spans="32:32" x14ac:dyDescent="0.2">
      <c r="AF58201" s="679"/>
    </row>
    <row r="58202" spans="32:32" x14ac:dyDescent="0.2">
      <c r="AF58202" s="679"/>
    </row>
    <row r="58203" spans="32:32" x14ac:dyDescent="0.2">
      <c r="AF58203" s="679"/>
    </row>
    <row r="58204" spans="32:32" x14ac:dyDescent="0.2">
      <c r="AF58204" s="679"/>
    </row>
    <row r="58205" spans="32:32" x14ac:dyDescent="0.2">
      <c r="AF58205" s="679"/>
    </row>
    <row r="58206" spans="32:32" x14ac:dyDescent="0.2">
      <c r="AF58206" s="679"/>
    </row>
    <row r="58207" spans="32:32" x14ac:dyDescent="0.2">
      <c r="AF58207" s="679"/>
    </row>
    <row r="58208" spans="32:32" x14ac:dyDescent="0.2">
      <c r="AF58208" s="679"/>
    </row>
    <row r="58209" spans="32:32" x14ac:dyDescent="0.2">
      <c r="AF58209" s="679"/>
    </row>
    <row r="58210" spans="32:32" x14ac:dyDescent="0.2">
      <c r="AF58210" s="679"/>
    </row>
    <row r="58211" spans="32:32" x14ac:dyDescent="0.2">
      <c r="AF58211" s="679"/>
    </row>
    <row r="58212" spans="32:32" x14ac:dyDescent="0.2">
      <c r="AF58212" s="679"/>
    </row>
    <row r="58213" spans="32:32" x14ac:dyDescent="0.2">
      <c r="AF58213" s="679"/>
    </row>
    <row r="58214" spans="32:32" x14ac:dyDescent="0.2">
      <c r="AF58214" s="679"/>
    </row>
    <row r="58215" spans="32:32" x14ac:dyDescent="0.2">
      <c r="AF58215" s="679"/>
    </row>
    <row r="58216" spans="32:32" x14ac:dyDescent="0.2">
      <c r="AF58216" s="679"/>
    </row>
    <row r="58217" spans="32:32" x14ac:dyDescent="0.2">
      <c r="AF58217" s="679"/>
    </row>
    <row r="58218" spans="32:32" x14ac:dyDescent="0.2">
      <c r="AF58218" s="679"/>
    </row>
    <row r="58219" spans="32:32" x14ac:dyDescent="0.2">
      <c r="AF58219" s="679"/>
    </row>
    <row r="58220" spans="32:32" x14ac:dyDescent="0.2">
      <c r="AF58220" s="679"/>
    </row>
    <row r="58221" spans="32:32" x14ac:dyDescent="0.2">
      <c r="AF58221" s="679"/>
    </row>
    <row r="58222" spans="32:32" x14ac:dyDescent="0.2">
      <c r="AF58222" s="679"/>
    </row>
    <row r="58223" spans="32:32" x14ac:dyDescent="0.2">
      <c r="AF58223" s="679"/>
    </row>
    <row r="58224" spans="32:32" x14ac:dyDescent="0.2">
      <c r="AF58224" s="679"/>
    </row>
    <row r="58225" spans="32:32" x14ac:dyDescent="0.2">
      <c r="AF58225" s="679"/>
    </row>
    <row r="58226" spans="32:32" x14ac:dyDescent="0.2">
      <c r="AF58226" s="679"/>
    </row>
    <row r="58227" spans="32:32" x14ac:dyDescent="0.2">
      <c r="AF58227" s="679"/>
    </row>
    <row r="58228" spans="32:32" x14ac:dyDescent="0.2">
      <c r="AF58228" s="679"/>
    </row>
    <row r="58229" spans="32:32" x14ac:dyDescent="0.2">
      <c r="AF58229" s="679"/>
    </row>
    <row r="58230" spans="32:32" x14ac:dyDescent="0.2">
      <c r="AF58230" s="679"/>
    </row>
    <row r="58231" spans="32:32" x14ac:dyDescent="0.2">
      <c r="AF58231" s="679"/>
    </row>
    <row r="58232" spans="32:32" x14ac:dyDescent="0.2">
      <c r="AF58232" s="679"/>
    </row>
    <row r="58233" spans="32:32" x14ac:dyDescent="0.2">
      <c r="AF58233" s="679"/>
    </row>
    <row r="58234" spans="32:32" x14ac:dyDescent="0.2">
      <c r="AF58234" s="679"/>
    </row>
    <row r="58235" spans="32:32" x14ac:dyDescent="0.2">
      <c r="AF58235" s="679"/>
    </row>
    <row r="58236" spans="32:32" x14ac:dyDescent="0.2">
      <c r="AF58236" s="679"/>
    </row>
    <row r="58237" spans="32:32" x14ac:dyDescent="0.2">
      <c r="AF58237" s="679"/>
    </row>
    <row r="58238" spans="32:32" x14ac:dyDescent="0.2">
      <c r="AF58238" s="679"/>
    </row>
    <row r="58239" spans="32:32" x14ac:dyDescent="0.2">
      <c r="AF58239" s="679"/>
    </row>
    <row r="58240" spans="32:32" x14ac:dyDescent="0.2">
      <c r="AF58240" s="679"/>
    </row>
    <row r="58241" spans="32:32" x14ac:dyDescent="0.2">
      <c r="AF58241" s="679"/>
    </row>
    <row r="58242" spans="32:32" x14ac:dyDescent="0.2">
      <c r="AF58242" s="679"/>
    </row>
    <row r="58243" spans="32:32" x14ac:dyDescent="0.2">
      <c r="AF58243" s="679"/>
    </row>
    <row r="58244" spans="32:32" x14ac:dyDescent="0.2">
      <c r="AF58244" s="679"/>
    </row>
    <row r="58245" spans="32:32" x14ac:dyDescent="0.2">
      <c r="AF58245" s="679"/>
    </row>
    <row r="58246" spans="32:32" x14ac:dyDescent="0.2">
      <c r="AF58246" s="679"/>
    </row>
    <row r="58247" spans="32:32" x14ac:dyDescent="0.2">
      <c r="AF58247" s="679"/>
    </row>
    <row r="58248" spans="32:32" x14ac:dyDescent="0.2">
      <c r="AF58248" s="679"/>
    </row>
    <row r="58249" spans="32:32" x14ac:dyDescent="0.2">
      <c r="AF58249" s="679"/>
    </row>
    <row r="58250" spans="32:32" x14ac:dyDescent="0.2">
      <c r="AF58250" s="679"/>
    </row>
    <row r="58251" spans="32:32" x14ac:dyDescent="0.2">
      <c r="AF58251" s="679"/>
    </row>
    <row r="58252" spans="32:32" x14ac:dyDescent="0.2">
      <c r="AF58252" s="679"/>
    </row>
    <row r="58253" spans="32:32" x14ac:dyDescent="0.2">
      <c r="AF58253" s="679"/>
    </row>
    <row r="58254" spans="32:32" x14ac:dyDescent="0.2">
      <c r="AF58254" s="679"/>
    </row>
    <row r="58255" spans="32:32" x14ac:dyDescent="0.2">
      <c r="AF58255" s="679"/>
    </row>
    <row r="58256" spans="32:32" x14ac:dyDescent="0.2">
      <c r="AF58256" s="679"/>
    </row>
    <row r="58257" spans="32:32" x14ac:dyDescent="0.2">
      <c r="AF58257" s="679"/>
    </row>
    <row r="58258" spans="32:32" x14ac:dyDescent="0.2">
      <c r="AF58258" s="679"/>
    </row>
    <row r="58259" spans="32:32" x14ac:dyDescent="0.2">
      <c r="AF58259" s="679"/>
    </row>
    <row r="58260" spans="32:32" x14ac:dyDescent="0.2">
      <c r="AF58260" s="679"/>
    </row>
    <row r="58261" spans="32:32" x14ac:dyDescent="0.2">
      <c r="AF58261" s="679"/>
    </row>
    <row r="58262" spans="32:32" x14ac:dyDescent="0.2">
      <c r="AF58262" s="679"/>
    </row>
    <row r="58263" spans="32:32" x14ac:dyDescent="0.2">
      <c r="AF58263" s="679"/>
    </row>
    <row r="58264" spans="32:32" x14ac:dyDescent="0.2">
      <c r="AF58264" s="679"/>
    </row>
    <row r="58265" spans="32:32" x14ac:dyDescent="0.2">
      <c r="AF58265" s="679"/>
    </row>
    <row r="58266" spans="32:32" x14ac:dyDescent="0.2">
      <c r="AF58266" s="679"/>
    </row>
    <row r="58267" spans="32:32" x14ac:dyDescent="0.2">
      <c r="AF58267" s="679"/>
    </row>
    <row r="58268" spans="32:32" x14ac:dyDescent="0.2">
      <c r="AF58268" s="679"/>
    </row>
    <row r="58269" spans="32:32" x14ac:dyDescent="0.2">
      <c r="AF58269" s="679"/>
    </row>
    <row r="58270" spans="32:32" x14ac:dyDescent="0.2">
      <c r="AF58270" s="679"/>
    </row>
    <row r="58271" spans="32:32" x14ac:dyDescent="0.2">
      <c r="AF58271" s="679"/>
    </row>
    <row r="58272" spans="32:32" x14ac:dyDescent="0.2">
      <c r="AF58272" s="679"/>
    </row>
    <row r="58273" spans="32:32" x14ac:dyDescent="0.2">
      <c r="AF58273" s="679"/>
    </row>
    <row r="58274" spans="32:32" x14ac:dyDescent="0.2">
      <c r="AF58274" s="679"/>
    </row>
    <row r="58275" spans="32:32" x14ac:dyDescent="0.2">
      <c r="AF58275" s="679"/>
    </row>
    <row r="58276" spans="32:32" x14ac:dyDescent="0.2">
      <c r="AF58276" s="679"/>
    </row>
    <row r="58277" spans="32:32" x14ac:dyDescent="0.2">
      <c r="AF58277" s="679"/>
    </row>
    <row r="58278" spans="32:32" x14ac:dyDescent="0.2">
      <c r="AF58278" s="679"/>
    </row>
    <row r="58279" spans="32:32" x14ac:dyDescent="0.2">
      <c r="AF58279" s="679"/>
    </row>
    <row r="58280" spans="32:32" x14ac:dyDescent="0.2">
      <c r="AF58280" s="679"/>
    </row>
    <row r="58281" spans="32:32" x14ac:dyDescent="0.2">
      <c r="AF58281" s="679"/>
    </row>
    <row r="58282" spans="32:32" x14ac:dyDescent="0.2">
      <c r="AF58282" s="679"/>
    </row>
    <row r="58283" spans="32:32" x14ac:dyDescent="0.2">
      <c r="AF58283" s="679"/>
    </row>
    <row r="58284" spans="32:32" x14ac:dyDescent="0.2">
      <c r="AF58284" s="679"/>
    </row>
    <row r="58285" spans="32:32" x14ac:dyDescent="0.2">
      <c r="AF58285" s="679"/>
    </row>
    <row r="58286" spans="32:32" x14ac:dyDescent="0.2">
      <c r="AF58286" s="679"/>
    </row>
    <row r="58287" spans="32:32" x14ac:dyDescent="0.2">
      <c r="AF58287" s="679"/>
    </row>
    <row r="58288" spans="32:32" x14ac:dyDescent="0.2">
      <c r="AF58288" s="679"/>
    </row>
    <row r="58289" spans="32:32" x14ac:dyDescent="0.2">
      <c r="AF58289" s="679"/>
    </row>
    <row r="58290" spans="32:32" x14ac:dyDescent="0.2">
      <c r="AF58290" s="679"/>
    </row>
    <row r="58291" spans="32:32" x14ac:dyDescent="0.2">
      <c r="AF58291" s="679"/>
    </row>
    <row r="58292" spans="32:32" x14ac:dyDescent="0.2">
      <c r="AF58292" s="679"/>
    </row>
    <row r="58293" spans="32:32" x14ac:dyDescent="0.2">
      <c r="AF58293" s="679"/>
    </row>
    <row r="58294" spans="32:32" x14ac:dyDescent="0.2">
      <c r="AF58294" s="679"/>
    </row>
    <row r="58295" spans="32:32" x14ac:dyDescent="0.2">
      <c r="AF58295" s="679"/>
    </row>
    <row r="58296" spans="32:32" x14ac:dyDescent="0.2">
      <c r="AF58296" s="679"/>
    </row>
    <row r="58297" spans="32:32" x14ac:dyDescent="0.2">
      <c r="AF58297" s="679"/>
    </row>
    <row r="58298" spans="32:32" x14ac:dyDescent="0.2">
      <c r="AF58298" s="679"/>
    </row>
    <row r="58299" spans="32:32" x14ac:dyDescent="0.2">
      <c r="AF58299" s="679"/>
    </row>
    <row r="58300" spans="32:32" x14ac:dyDescent="0.2">
      <c r="AF58300" s="679"/>
    </row>
    <row r="58301" spans="32:32" x14ac:dyDescent="0.2">
      <c r="AF58301" s="679"/>
    </row>
    <row r="58302" spans="32:32" x14ac:dyDescent="0.2">
      <c r="AF58302" s="679"/>
    </row>
    <row r="58303" spans="32:32" x14ac:dyDescent="0.2">
      <c r="AF58303" s="679"/>
    </row>
    <row r="58304" spans="32:32" x14ac:dyDescent="0.2">
      <c r="AF58304" s="679"/>
    </row>
    <row r="58305" spans="32:32" x14ac:dyDescent="0.2">
      <c r="AF58305" s="679"/>
    </row>
    <row r="58306" spans="32:32" x14ac:dyDescent="0.2">
      <c r="AF58306" s="679"/>
    </row>
    <row r="58307" spans="32:32" x14ac:dyDescent="0.2">
      <c r="AF58307" s="679"/>
    </row>
    <row r="58308" spans="32:32" x14ac:dyDescent="0.2">
      <c r="AF58308" s="679"/>
    </row>
    <row r="58309" spans="32:32" x14ac:dyDescent="0.2">
      <c r="AF58309" s="679"/>
    </row>
    <row r="58310" spans="32:32" x14ac:dyDescent="0.2">
      <c r="AF58310" s="679"/>
    </row>
    <row r="58311" spans="32:32" x14ac:dyDescent="0.2">
      <c r="AF58311" s="679"/>
    </row>
    <row r="58312" spans="32:32" x14ac:dyDescent="0.2">
      <c r="AF58312" s="679"/>
    </row>
    <row r="58313" spans="32:32" x14ac:dyDescent="0.2">
      <c r="AF58313" s="679"/>
    </row>
    <row r="58314" spans="32:32" x14ac:dyDescent="0.2">
      <c r="AF58314" s="679"/>
    </row>
    <row r="58315" spans="32:32" x14ac:dyDescent="0.2">
      <c r="AF58315" s="679"/>
    </row>
    <row r="58316" spans="32:32" x14ac:dyDescent="0.2">
      <c r="AF58316" s="679"/>
    </row>
    <row r="58317" spans="32:32" x14ac:dyDescent="0.2">
      <c r="AF58317" s="679"/>
    </row>
    <row r="58318" spans="32:32" x14ac:dyDescent="0.2">
      <c r="AF58318" s="679"/>
    </row>
    <row r="58319" spans="32:32" x14ac:dyDescent="0.2">
      <c r="AF58319" s="679"/>
    </row>
    <row r="58320" spans="32:32" x14ac:dyDescent="0.2">
      <c r="AF58320" s="679"/>
    </row>
    <row r="58321" spans="32:32" x14ac:dyDescent="0.2">
      <c r="AF58321" s="679"/>
    </row>
    <row r="58322" spans="32:32" x14ac:dyDescent="0.2">
      <c r="AF58322" s="679"/>
    </row>
    <row r="58323" spans="32:32" x14ac:dyDescent="0.2">
      <c r="AF58323" s="679"/>
    </row>
    <row r="58324" spans="32:32" x14ac:dyDescent="0.2">
      <c r="AF58324" s="679"/>
    </row>
    <row r="58325" spans="32:32" x14ac:dyDescent="0.2">
      <c r="AF58325" s="679"/>
    </row>
    <row r="58326" spans="32:32" x14ac:dyDescent="0.2">
      <c r="AF58326" s="679"/>
    </row>
    <row r="58327" spans="32:32" x14ac:dyDescent="0.2">
      <c r="AF58327" s="679"/>
    </row>
    <row r="58328" spans="32:32" x14ac:dyDescent="0.2">
      <c r="AF58328" s="679"/>
    </row>
    <row r="58329" spans="32:32" x14ac:dyDescent="0.2">
      <c r="AF58329" s="679"/>
    </row>
    <row r="58330" spans="32:32" x14ac:dyDescent="0.2">
      <c r="AF58330" s="679"/>
    </row>
    <row r="58331" spans="32:32" x14ac:dyDescent="0.2">
      <c r="AF58331" s="679"/>
    </row>
    <row r="58332" spans="32:32" x14ac:dyDescent="0.2">
      <c r="AF58332" s="679"/>
    </row>
    <row r="58333" spans="32:32" x14ac:dyDescent="0.2">
      <c r="AF58333" s="679"/>
    </row>
    <row r="58334" spans="32:32" x14ac:dyDescent="0.2">
      <c r="AF58334" s="679"/>
    </row>
    <row r="58335" spans="32:32" x14ac:dyDescent="0.2">
      <c r="AF58335" s="679"/>
    </row>
    <row r="58336" spans="32:32" x14ac:dyDescent="0.2">
      <c r="AF58336" s="679"/>
    </row>
    <row r="58337" spans="32:32" x14ac:dyDescent="0.2">
      <c r="AF58337" s="679"/>
    </row>
    <row r="58338" spans="32:32" x14ac:dyDescent="0.2">
      <c r="AF58338" s="679"/>
    </row>
    <row r="58339" spans="32:32" x14ac:dyDescent="0.2">
      <c r="AF58339" s="679"/>
    </row>
    <row r="58340" spans="32:32" x14ac:dyDescent="0.2">
      <c r="AF58340" s="679"/>
    </row>
    <row r="58341" spans="32:32" x14ac:dyDescent="0.2">
      <c r="AF58341" s="679"/>
    </row>
    <row r="58342" spans="32:32" x14ac:dyDescent="0.2">
      <c r="AF58342" s="679"/>
    </row>
    <row r="58343" spans="32:32" x14ac:dyDescent="0.2">
      <c r="AF58343" s="679"/>
    </row>
    <row r="58344" spans="32:32" x14ac:dyDescent="0.2">
      <c r="AF58344" s="679"/>
    </row>
    <row r="58345" spans="32:32" x14ac:dyDescent="0.2">
      <c r="AF58345" s="679"/>
    </row>
    <row r="58346" spans="32:32" x14ac:dyDescent="0.2">
      <c r="AF58346" s="679"/>
    </row>
    <row r="58347" spans="32:32" x14ac:dyDescent="0.2">
      <c r="AF58347" s="679"/>
    </row>
    <row r="58348" spans="32:32" x14ac:dyDescent="0.2">
      <c r="AF58348" s="679"/>
    </row>
    <row r="58349" spans="32:32" x14ac:dyDescent="0.2">
      <c r="AF58349" s="679"/>
    </row>
    <row r="58350" spans="32:32" x14ac:dyDescent="0.2">
      <c r="AF58350" s="679"/>
    </row>
    <row r="58351" spans="32:32" x14ac:dyDescent="0.2">
      <c r="AF58351" s="679"/>
    </row>
    <row r="58352" spans="32:32" x14ac:dyDescent="0.2">
      <c r="AF58352" s="679"/>
    </row>
    <row r="58353" spans="32:32" x14ac:dyDescent="0.2">
      <c r="AF58353" s="679"/>
    </row>
    <row r="58354" spans="32:32" x14ac:dyDescent="0.2">
      <c r="AF58354" s="679"/>
    </row>
    <row r="58355" spans="32:32" x14ac:dyDescent="0.2">
      <c r="AF58355" s="679"/>
    </row>
    <row r="58356" spans="32:32" x14ac:dyDescent="0.2">
      <c r="AF58356" s="679"/>
    </row>
    <row r="58357" spans="32:32" x14ac:dyDescent="0.2">
      <c r="AF58357" s="679"/>
    </row>
    <row r="58358" spans="32:32" x14ac:dyDescent="0.2">
      <c r="AF58358" s="679"/>
    </row>
    <row r="58359" spans="32:32" x14ac:dyDescent="0.2">
      <c r="AF58359" s="679"/>
    </row>
    <row r="58360" spans="32:32" x14ac:dyDescent="0.2">
      <c r="AF58360" s="679"/>
    </row>
    <row r="58361" spans="32:32" x14ac:dyDescent="0.2">
      <c r="AF58361" s="679"/>
    </row>
    <row r="58362" spans="32:32" x14ac:dyDescent="0.2">
      <c r="AF58362" s="679"/>
    </row>
    <row r="58363" spans="32:32" x14ac:dyDescent="0.2">
      <c r="AF58363" s="679"/>
    </row>
    <row r="58364" spans="32:32" x14ac:dyDescent="0.2">
      <c r="AF58364" s="679"/>
    </row>
    <row r="58365" spans="32:32" x14ac:dyDescent="0.2">
      <c r="AF58365" s="679"/>
    </row>
    <row r="58366" spans="32:32" x14ac:dyDescent="0.2">
      <c r="AF58366" s="679"/>
    </row>
    <row r="58367" spans="32:32" x14ac:dyDescent="0.2">
      <c r="AF58367" s="679"/>
    </row>
    <row r="58368" spans="32:32" x14ac:dyDescent="0.2">
      <c r="AF58368" s="679"/>
    </row>
    <row r="58369" spans="32:32" x14ac:dyDescent="0.2">
      <c r="AF58369" s="679"/>
    </row>
    <row r="58370" spans="32:32" x14ac:dyDescent="0.2">
      <c r="AF58370" s="679"/>
    </row>
    <row r="58371" spans="32:32" x14ac:dyDescent="0.2">
      <c r="AF58371" s="679"/>
    </row>
    <row r="58372" spans="32:32" x14ac:dyDescent="0.2">
      <c r="AF58372" s="679"/>
    </row>
    <row r="58373" spans="32:32" x14ac:dyDescent="0.2">
      <c r="AF58373" s="679"/>
    </row>
    <row r="58374" spans="32:32" x14ac:dyDescent="0.2">
      <c r="AF58374" s="679"/>
    </row>
    <row r="58375" spans="32:32" x14ac:dyDescent="0.2">
      <c r="AF58375" s="679"/>
    </row>
    <row r="58376" spans="32:32" x14ac:dyDescent="0.2">
      <c r="AF58376" s="679"/>
    </row>
    <row r="58377" spans="32:32" x14ac:dyDescent="0.2">
      <c r="AF58377" s="679"/>
    </row>
    <row r="58378" spans="32:32" x14ac:dyDescent="0.2">
      <c r="AF58378" s="679"/>
    </row>
    <row r="58379" spans="32:32" x14ac:dyDescent="0.2">
      <c r="AF58379" s="679"/>
    </row>
    <row r="58380" spans="32:32" x14ac:dyDescent="0.2">
      <c r="AF58380" s="679"/>
    </row>
    <row r="58381" spans="32:32" x14ac:dyDescent="0.2">
      <c r="AF58381" s="679"/>
    </row>
    <row r="58382" spans="32:32" x14ac:dyDescent="0.2">
      <c r="AF58382" s="679"/>
    </row>
    <row r="58383" spans="32:32" x14ac:dyDescent="0.2">
      <c r="AF58383" s="679"/>
    </row>
    <row r="58384" spans="32:32" x14ac:dyDescent="0.2">
      <c r="AF58384" s="679"/>
    </row>
    <row r="58385" spans="32:32" x14ac:dyDescent="0.2">
      <c r="AF58385" s="679"/>
    </row>
    <row r="58386" spans="32:32" x14ac:dyDescent="0.2">
      <c r="AF58386" s="679"/>
    </row>
    <row r="58387" spans="32:32" x14ac:dyDescent="0.2">
      <c r="AF58387" s="679"/>
    </row>
    <row r="58388" spans="32:32" x14ac:dyDescent="0.2">
      <c r="AF58388" s="679"/>
    </row>
    <row r="58389" spans="32:32" x14ac:dyDescent="0.2">
      <c r="AF58389" s="679"/>
    </row>
    <row r="58390" spans="32:32" x14ac:dyDescent="0.2">
      <c r="AF58390" s="679"/>
    </row>
    <row r="58391" spans="32:32" x14ac:dyDescent="0.2">
      <c r="AF58391" s="679"/>
    </row>
    <row r="58392" spans="32:32" x14ac:dyDescent="0.2">
      <c r="AF58392" s="679"/>
    </row>
    <row r="58393" spans="32:32" x14ac:dyDescent="0.2">
      <c r="AF58393" s="679"/>
    </row>
    <row r="58394" spans="32:32" x14ac:dyDescent="0.2">
      <c r="AF58394" s="679"/>
    </row>
    <row r="58395" spans="32:32" x14ac:dyDescent="0.2">
      <c r="AF58395" s="679"/>
    </row>
    <row r="58396" spans="32:32" x14ac:dyDescent="0.2">
      <c r="AF58396" s="679"/>
    </row>
    <row r="58397" spans="32:32" x14ac:dyDescent="0.2">
      <c r="AF58397" s="679"/>
    </row>
    <row r="58398" spans="32:32" x14ac:dyDescent="0.2">
      <c r="AF58398" s="679"/>
    </row>
    <row r="58399" spans="32:32" x14ac:dyDescent="0.2">
      <c r="AF58399" s="679"/>
    </row>
    <row r="58400" spans="32:32" x14ac:dyDescent="0.2">
      <c r="AF58400" s="679"/>
    </row>
    <row r="58401" spans="32:32" x14ac:dyDescent="0.2">
      <c r="AF58401" s="679"/>
    </row>
    <row r="58402" spans="32:32" x14ac:dyDescent="0.2">
      <c r="AF58402" s="679"/>
    </row>
    <row r="58403" spans="32:32" x14ac:dyDescent="0.2">
      <c r="AF58403" s="679"/>
    </row>
    <row r="58404" spans="32:32" x14ac:dyDescent="0.2">
      <c r="AF58404" s="679"/>
    </row>
    <row r="58405" spans="32:32" x14ac:dyDescent="0.2">
      <c r="AF58405" s="679"/>
    </row>
    <row r="58406" spans="32:32" x14ac:dyDescent="0.2">
      <c r="AF58406" s="679"/>
    </row>
    <row r="58407" spans="32:32" x14ac:dyDescent="0.2">
      <c r="AF58407" s="679"/>
    </row>
    <row r="58408" spans="32:32" x14ac:dyDescent="0.2">
      <c r="AF58408" s="679"/>
    </row>
    <row r="58409" spans="32:32" x14ac:dyDescent="0.2">
      <c r="AF58409" s="679"/>
    </row>
    <row r="58410" spans="32:32" x14ac:dyDescent="0.2">
      <c r="AF58410" s="679"/>
    </row>
    <row r="58411" spans="32:32" x14ac:dyDescent="0.2">
      <c r="AF58411" s="679"/>
    </row>
    <row r="58412" spans="32:32" x14ac:dyDescent="0.2">
      <c r="AF58412" s="679"/>
    </row>
    <row r="58413" spans="32:32" x14ac:dyDescent="0.2">
      <c r="AF58413" s="679"/>
    </row>
    <row r="58414" spans="32:32" x14ac:dyDescent="0.2">
      <c r="AF58414" s="679"/>
    </row>
    <row r="58415" spans="32:32" x14ac:dyDescent="0.2">
      <c r="AF58415" s="679"/>
    </row>
    <row r="58416" spans="32:32" x14ac:dyDescent="0.2">
      <c r="AF58416" s="679"/>
    </row>
    <row r="58417" spans="32:32" x14ac:dyDescent="0.2">
      <c r="AF58417" s="679"/>
    </row>
    <row r="58418" spans="32:32" x14ac:dyDescent="0.2">
      <c r="AF58418" s="679"/>
    </row>
    <row r="58419" spans="32:32" x14ac:dyDescent="0.2">
      <c r="AF58419" s="679"/>
    </row>
    <row r="58420" spans="32:32" x14ac:dyDescent="0.2">
      <c r="AF58420" s="679"/>
    </row>
    <row r="58421" spans="32:32" x14ac:dyDescent="0.2">
      <c r="AF58421" s="679"/>
    </row>
    <row r="58422" spans="32:32" x14ac:dyDescent="0.2">
      <c r="AF58422" s="679"/>
    </row>
    <row r="58423" spans="32:32" x14ac:dyDescent="0.2">
      <c r="AF58423" s="679"/>
    </row>
    <row r="58424" spans="32:32" x14ac:dyDescent="0.2">
      <c r="AF58424" s="679"/>
    </row>
    <row r="58425" spans="32:32" x14ac:dyDescent="0.2">
      <c r="AF58425" s="679"/>
    </row>
    <row r="58426" spans="32:32" x14ac:dyDescent="0.2">
      <c r="AF58426" s="679"/>
    </row>
    <row r="58427" spans="32:32" x14ac:dyDescent="0.2">
      <c r="AF58427" s="679"/>
    </row>
    <row r="58428" spans="32:32" x14ac:dyDescent="0.2">
      <c r="AF58428" s="679"/>
    </row>
    <row r="58429" spans="32:32" x14ac:dyDescent="0.2">
      <c r="AF58429" s="679"/>
    </row>
    <row r="58430" spans="32:32" x14ac:dyDescent="0.2">
      <c r="AF58430" s="679"/>
    </row>
    <row r="58431" spans="32:32" x14ac:dyDescent="0.2">
      <c r="AF58431" s="679"/>
    </row>
    <row r="58432" spans="32:32" x14ac:dyDescent="0.2">
      <c r="AF58432" s="679"/>
    </row>
    <row r="58433" spans="32:32" x14ac:dyDescent="0.2">
      <c r="AF58433" s="679"/>
    </row>
    <row r="58434" spans="32:32" x14ac:dyDescent="0.2">
      <c r="AF58434" s="679"/>
    </row>
    <row r="58435" spans="32:32" x14ac:dyDescent="0.2">
      <c r="AF58435" s="679"/>
    </row>
    <row r="58436" spans="32:32" x14ac:dyDescent="0.2">
      <c r="AF58436" s="679"/>
    </row>
    <row r="58437" spans="32:32" x14ac:dyDescent="0.2">
      <c r="AF58437" s="679"/>
    </row>
    <row r="58438" spans="32:32" x14ac:dyDescent="0.2">
      <c r="AF58438" s="679"/>
    </row>
    <row r="58439" spans="32:32" x14ac:dyDescent="0.2">
      <c r="AF58439" s="679"/>
    </row>
    <row r="58440" spans="32:32" x14ac:dyDescent="0.2">
      <c r="AF58440" s="679"/>
    </row>
    <row r="58441" spans="32:32" x14ac:dyDescent="0.2">
      <c r="AF58441" s="679"/>
    </row>
    <row r="58442" spans="32:32" x14ac:dyDescent="0.2">
      <c r="AF58442" s="679"/>
    </row>
    <row r="58443" spans="32:32" x14ac:dyDescent="0.2">
      <c r="AF58443" s="679"/>
    </row>
    <row r="58444" spans="32:32" x14ac:dyDescent="0.2">
      <c r="AF58444" s="679"/>
    </row>
    <row r="58445" spans="32:32" x14ac:dyDescent="0.2">
      <c r="AF58445" s="679"/>
    </row>
    <row r="58446" spans="32:32" x14ac:dyDescent="0.2">
      <c r="AF58446" s="679"/>
    </row>
    <row r="58447" spans="32:32" x14ac:dyDescent="0.2">
      <c r="AF58447" s="679"/>
    </row>
    <row r="58448" spans="32:32" x14ac:dyDescent="0.2">
      <c r="AF58448" s="679"/>
    </row>
    <row r="58449" spans="32:32" x14ac:dyDescent="0.2">
      <c r="AF58449" s="679"/>
    </row>
    <row r="58450" spans="32:32" x14ac:dyDescent="0.2">
      <c r="AF58450" s="679"/>
    </row>
    <row r="58451" spans="32:32" x14ac:dyDescent="0.2">
      <c r="AF58451" s="679"/>
    </row>
    <row r="58452" spans="32:32" x14ac:dyDescent="0.2">
      <c r="AF58452" s="679"/>
    </row>
    <row r="58453" spans="32:32" x14ac:dyDescent="0.2">
      <c r="AF58453" s="679"/>
    </row>
    <row r="58454" spans="32:32" x14ac:dyDescent="0.2">
      <c r="AF58454" s="679"/>
    </row>
    <row r="58455" spans="32:32" x14ac:dyDescent="0.2">
      <c r="AF58455" s="679"/>
    </row>
    <row r="58456" spans="32:32" x14ac:dyDescent="0.2">
      <c r="AF58456" s="679"/>
    </row>
    <row r="58457" spans="32:32" x14ac:dyDescent="0.2">
      <c r="AF58457" s="679"/>
    </row>
    <row r="58458" spans="32:32" x14ac:dyDescent="0.2">
      <c r="AF58458" s="679"/>
    </row>
    <row r="58459" spans="32:32" x14ac:dyDescent="0.2">
      <c r="AF58459" s="679"/>
    </row>
    <row r="58460" spans="32:32" x14ac:dyDescent="0.2">
      <c r="AF58460" s="679"/>
    </row>
    <row r="58461" spans="32:32" x14ac:dyDescent="0.2">
      <c r="AF58461" s="679"/>
    </row>
    <row r="58462" spans="32:32" x14ac:dyDescent="0.2">
      <c r="AF58462" s="679"/>
    </row>
    <row r="58463" spans="32:32" x14ac:dyDescent="0.2">
      <c r="AF58463" s="679"/>
    </row>
    <row r="58464" spans="32:32" x14ac:dyDescent="0.2">
      <c r="AF58464" s="679"/>
    </row>
    <row r="58465" spans="32:32" x14ac:dyDescent="0.2">
      <c r="AF58465" s="679"/>
    </row>
    <row r="58466" spans="32:32" x14ac:dyDescent="0.2">
      <c r="AF58466" s="679"/>
    </row>
    <row r="58467" spans="32:32" x14ac:dyDescent="0.2">
      <c r="AF58467" s="679"/>
    </row>
    <row r="58468" spans="32:32" x14ac:dyDescent="0.2">
      <c r="AF58468" s="679"/>
    </row>
    <row r="58469" spans="32:32" x14ac:dyDescent="0.2">
      <c r="AF58469" s="679"/>
    </row>
    <row r="58470" spans="32:32" x14ac:dyDescent="0.2">
      <c r="AF58470" s="679"/>
    </row>
    <row r="58471" spans="32:32" x14ac:dyDescent="0.2">
      <c r="AF58471" s="679"/>
    </row>
    <row r="58472" spans="32:32" x14ac:dyDescent="0.2">
      <c r="AF58472" s="679"/>
    </row>
    <row r="58473" spans="32:32" x14ac:dyDescent="0.2">
      <c r="AF58473" s="679"/>
    </row>
    <row r="58474" spans="32:32" x14ac:dyDescent="0.2">
      <c r="AF58474" s="679"/>
    </row>
    <row r="58475" spans="32:32" x14ac:dyDescent="0.2">
      <c r="AF58475" s="679"/>
    </row>
    <row r="58476" spans="32:32" x14ac:dyDescent="0.2">
      <c r="AF58476" s="679"/>
    </row>
    <row r="58477" spans="32:32" x14ac:dyDescent="0.2">
      <c r="AF58477" s="679"/>
    </row>
    <row r="58478" spans="32:32" x14ac:dyDescent="0.2">
      <c r="AF58478" s="679"/>
    </row>
    <row r="58479" spans="32:32" x14ac:dyDescent="0.2">
      <c r="AF58479" s="679"/>
    </row>
    <row r="58480" spans="32:32" x14ac:dyDescent="0.2">
      <c r="AF58480" s="679"/>
    </row>
    <row r="58481" spans="32:32" x14ac:dyDescent="0.2">
      <c r="AF58481" s="679"/>
    </row>
    <row r="58482" spans="32:32" x14ac:dyDescent="0.2">
      <c r="AF58482" s="679"/>
    </row>
    <row r="58483" spans="32:32" x14ac:dyDescent="0.2">
      <c r="AF58483" s="679"/>
    </row>
    <row r="58484" spans="32:32" x14ac:dyDescent="0.2">
      <c r="AF58484" s="679"/>
    </row>
    <row r="58485" spans="32:32" x14ac:dyDescent="0.2">
      <c r="AF58485" s="679"/>
    </row>
    <row r="58486" spans="32:32" x14ac:dyDescent="0.2">
      <c r="AF58486" s="679"/>
    </row>
    <row r="58487" spans="32:32" x14ac:dyDescent="0.2">
      <c r="AF58487" s="679"/>
    </row>
    <row r="58488" spans="32:32" x14ac:dyDescent="0.2">
      <c r="AF58488" s="679"/>
    </row>
    <row r="58489" spans="32:32" x14ac:dyDescent="0.2">
      <c r="AF58489" s="679"/>
    </row>
    <row r="58490" spans="32:32" x14ac:dyDescent="0.2">
      <c r="AF58490" s="679"/>
    </row>
    <row r="58491" spans="32:32" x14ac:dyDescent="0.2">
      <c r="AF58491" s="679"/>
    </row>
    <row r="58492" spans="32:32" x14ac:dyDescent="0.2">
      <c r="AF58492" s="679"/>
    </row>
    <row r="58493" spans="32:32" x14ac:dyDescent="0.2">
      <c r="AF58493" s="679"/>
    </row>
    <row r="58494" spans="32:32" x14ac:dyDescent="0.2">
      <c r="AF58494" s="679"/>
    </row>
    <row r="58495" spans="32:32" x14ac:dyDescent="0.2">
      <c r="AF58495" s="679"/>
    </row>
    <row r="58496" spans="32:32" x14ac:dyDescent="0.2">
      <c r="AF58496" s="679"/>
    </row>
    <row r="58497" spans="32:32" x14ac:dyDescent="0.2">
      <c r="AF58497" s="679"/>
    </row>
    <row r="58498" spans="32:32" x14ac:dyDescent="0.2">
      <c r="AF58498" s="679"/>
    </row>
    <row r="58499" spans="32:32" x14ac:dyDescent="0.2">
      <c r="AF58499" s="679"/>
    </row>
    <row r="58500" spans="32:32" x14ac:dyDescent="0.2">
      <c r="AF58500" s="679"/>
    </row>
    <row r="58501" spans="32:32" x14ac:dyDescent="0.2">
      <c r="AF58501" s="679"/>
    </row>
    <row r="58502" spans="32:32" x14ac:dyDescent="0.2">
      <c r="AF58502" s="679"/>
    </row>
    <row r="58503" spans="32:32" x14ac:dyDescent="0.2">
      <c r="AF58503" s="679"/>
    </row>
    <row r="58504" spans="32:32" x14ac:dyDescent="0.2">
      <c r="AF58504" s="679"/>
    </row>
    <row r="58505" spans="32:32" x14ac:dyDescent="0.2">
      <c r="AF58505" s="679"/>
    </row>
    <row r="58506" spans="32:32" x14ac:dyDescent="0.2">
      <c r="AF58506" s="679"/>
    </row>
    <row r="58507" spans="32:32" x14ac:dyDescent="0.2">
      <c r="AF58507" s="679"/>
    </row>
    <row r="58508" spans="32:32" x14ac:dyDescent="0.2">
      <c r="AF58508" s="679"/>
    </row>
    <row r="58509" spans="32:32" x14ac:dyDescent="0.2">
      <c r="AF58509" s="679"/>
    </row>
    <row r="58510" spans="32:32" x14ac:dyDescent="0.2">
      <c r="AF58510" s="679"/>
    </row>
    <row r="58511" spans="32:32" x14ac:dyDescent="0.2">
      <c r="AF58511" s="679"/>
    </row>
    <row r="58512" spans="32:32" x14ac:dyDescent="0.2">
      <c r="AF58512" s="679"/>
    </row>
    <row r="58513" spans="32:32" x14ac:dyDescent="0.2">
      <c r="AF58513" s="679"/>
    </row>
    <row r="58514" spans="32:32" x14ac:dyDescent="0.2">
      <c r="AF58514" s="679"/>
    </row>
    <row r="58515" spans="32:32" x14ac:dyDescent="0.2">
      <c r="AF58515" s="679"/>
    </row>
    <row r="58516" spans="32:32" x14ac:dyDescent="0.2">
      <c r="AF58516" s="679"/>
    </row>
    <row r="58517" spans="32:32" x14ac:dyDescent="0.2">
      <c r="AF58517" s="679"/>
    </row>
    <row r="58518" spans="32:32" x14ac:dyDescent="0.2">
      <c r="AF58518" s="679"/>
    </row>
    <row r="58519" spans="32:32" x14ac:dyDescent="0.2">
      <c r="AF58519" s="679"/>
    </row>
    <row r="58520" spans="32:32" x14ac:dyDescent="0.2">
      <c r="AF58520" s="679"/>
    </row>
    <row r="58521" spans="32:32" x14ac:dyDescent="0.2">
      <c r="AF58521" s="679"/>
    </row>
    <row r="58522" spans="32:32" x14ac:dyDescent="0.2">
      <c r="AF58522" s="679"/>
    </row>
    <row r="58523" spans="32:32" x14ac:dyDescent="0.2">
      <c r="AF58523" s="679"/>
    </row>
    <row r="58524" spans="32:32" x14ac:dyDescent="0.2">
      <c r="AF58524" s="679"/>
    </row>
    <row r="58525" spans="32:32" x14ac:dyDescent="0.2">
      <c r="AF58525" s="679"/>
    </row>
    <row r="58526" spans="32:32" x14ac:dyDescent="0.2">
      <c r="AF58526" s="679"/>
    </row>
    <row r="58527" spans="32:32" x14ac:dyDescent="0.2">
      <c r="AF58527" s="679"/>
    </row>
    <row r="58528" spans="32:32" x14ac:dyDescent="0.2">
      <c r="AF58528" s="679"/>
    </row>
    <row r="58529" spans="32:32" x14ac:dyDescent="0.2">
      <c r="AF58529" s="679"/>
    </row>
    <row r="58530" spans="32:32" x14ac:dyDescent="0.2">
      <c r="AF58530" s="679"/>
    </row>
    <row r="58531" spans="32:32" x14ac:dyDescent="0.2">
      <c r="AF58531" s="679"/>
    </row>
    <row r="58532" spans="32:32" x14ac:dyDescent="0.2">
      <c r="AF58532" s="679"/>
    </row>
    <row r="58533" spans="32:32" x14ac:dyDescent="0.2">
      <c r="AF58533" s="679"/>
    </row>
    <row r="58534" spans="32:32" x14ac:dyDescent="0.2">
      <c r="AF58534" s="679"/>
    </row>
    <row r="58535" spans="32:32" x14ac:dyDescent="0.2">
      <c r="AF58535" s="679"/>
    </row>
    <row r="58536" spans="32:32" x14ac:dyDescent="0.2">
      <c r="AF58536" s="679"/>
    </row>
    <row r="58537" spans="32:32" x14ac:dyDescent="0.2">
      <c r="AF58537" s="679"/>
    </row>
    <row r="58538" spans="32:32" x14ac:dyDescent="0.2">
      <c r="AF58538" s="679"/>
    </row>
    <row r="58539" spans="32:32" x14ac:dyDescent="0.2">
      <c r="AF58539" s="679"/>
    </row>
    <row r="58540" spans="32:32" x14ac:dyDescent="0.2">
      <c r="AF58540" s="679"/>
    </row>
    <row r="58541" spans="32:32" x14ac:dyDescent="0.2">
      <c r="AF58541" s="679"/>
    </row>
    <row r="58542" spans="32:32" x14ac:dyDescent="0.2">
      <c r="AF58542" s="679"/>
    </row>
    <row r="58543" spans="32:32" x14ac:dyDescent="0.2">
      <c r="AF58543" s="679"/>
    </row>
    <row r="58544" spans="32:32" x14ac:dyDescent="0.2">
      <c r="AF58544" s="679"/>
    </row>
    <row r="58545" spans="32:32" x14ac:dyDescent="0.2">
      <c r="AF58545" s="679"/>
    </row>
    <row r="58546" spans="32:32" x14ac:dyDescent="0.2">
      <c r="AF58546" s="679"/>
    </row>
    <row r="58547" spans="32:32" x14ac:dyDescent="0.2">
      <c r="AF58547" s="679"/>
    </row>
    <row r="58548" spans="32:32" x14ac:dyDescent="0.2">
      <c r="AF58548" s="679"/>
    </row>
    <row r="58549" spans="32:32" x14ac:dyDescent="0.2">
      <c r="AF58549" s="679"/>
    </row>
    <row r="58550" spans="32:32" x14ac:dyDescent="0.2">
      <c r="AF58550" s="679"/>
    </row>
    <row r="58551" spans="32:32" x14ac:dyDescent="0.2">
      <c r="AF58551" s="679"/>
    </row>
    <row r="58552" spans="32:32" x14ac:dyDescent="0.2">
      <c r="AF58552" s="679"/>
    </row>
    <row r="58553" spans="32:32" x14ac:dyDescent="0.2">
      <c r="AF58553" s="679"/>
    </row>
    <row r="58554" spans="32:32" x14ac:dyDescent="0.2">
      <c r="AF58554" s="679"/>
    </row>
    <row r="58555" spans="32:32" x14ac:dyDescent="0.2">
      <c r="AF58555" s="679"/>
    </row>
    <row r="58556" spans="32:32" x14ac:dyDescent="0.2">
      <c r="AF58556" s="679"/>
    </row>
    <row r="58557" spans="32:32" x14ac:dyDescent="0.2">
      <c r="AF58557" s="679"/>
    </row>
    <row r="58558" spans="32:32" x14ac:dyDescent="0.2">
      <c r="AF58558" s="679"/>
    </row>
    <row r="58559" spans="32:32" x14ac:dyDescent="0.2">
      <c r="AF58559" s="679"/>
    </row>
    <row r="58560" spans="32:32" x14ac:dyDescent="0.2">
      <c r="AF58560" s="679"/>
    </row>
    <row r="58561" spans="32:32" x14ac:dyDescent="0.2">
      <c r="AF58561" s="679"/>
    </row>
    <row r="58562" spans="32:32" x14ac:dyDescent="0.2">
      <c r="AF58562" s="679"/>
    </row>
    <row r="58563" spans="32:32" x14ac:dyDescent="0.2">
      <c r="AF58563" s="679"/>
    </row>
    <row r="58564" spans="32:32" x14ac:dyDescent="0.2">
      <c r="AF58564" s="679"/>
    </row>
    <row r="58565" spans="32:32" x14ac:dyDescent="0.2">
      <c r="AF58565" s="679"/>
    </row>
    <row r="58566" spans="32:32" x14ac:dyDescent="0.2">
      <c r="AF58566" s="679"/>
    </row>
    <row r="58567" spans="32:32" x14ac:dyDescent="0.2">
      <c r="AF58567" s="679"/>
    </row>
    <row r="58568" spans="32:32" x14ac:dyDescent="0.2">
      <c r="AF58568" s="679"/>
    </row>
    <row r="58569" spans="32:32" x14ac:dyDescent="0.2">
      <c r="AF58569" s="679"/>
    </row>
    <row r="58570" spans="32:32" x14ac:dyDescent="0.2">
      <c r="AF58570" s="679"/>
    </row>
    <row r="58571" spans="32:32" x14ac:dyDescent="0.2">
      <c r="AF58571" s="679"/>
    </row>
    <row r="58572" spans="32:32" x14ac:dyDescent="0.2">
      <c r="AF58572" s="679"/>
    </row>
    <row r="58573" spans="32:32" x14ac:dyDescent="0.2">
      <c r="AF58573" s="679"/>
    </row>
    <row r="58574" spans="32:32" x14ac:dyDescent="0.2">
      <c r="AF58574" s="679"/>
    </row>
    <row r="58575" spans="32:32" x14ac:dyDescent="0.2">
      <c r="AF58575" s="679"/>
    </row>
    <row r="58576" spans="32:32" x14ac:dyDescent="0.2">
      <c r="AF58576" s="679"/>
    </row>
    <row r="58577" spans="32:32" x14ac:dyDescent="0.2">
      <c r="AF58577" s="679"/>
    </row>
    <row r="58578" spans="32:32" x14ac:dyDescent="0.2">
      <c r="AF58578" s="679"/>
    </row>
    <row r="58579" spans="32:32" x14ac:dyDescent="0.2">
      <c r="AF58579" s="679"/>
    </row>
    <row r="58580" spans="32:32" x14ac:dyDescent="0.2">
      <c r="AF58580" s="679"/>
    </row>
    <row r="58581" spans="32:32" x14ac:dyDescent="0.2">
      <c r="AF58581" s="679"/>
    </row>
    <row r="58582" spans="32:32" x14ac:dyDescent="0.2">
      <c r="AF58582" s="679"/>
    </row>
    <row r="58583" spans="32:32" x14ac:dyDescent="0.2">
      <c r="AF58583" s="679"/>
    </row>
    <row r="58584" spans="32:32" x14ac:dyDescent="0.2">
      <c r="AF58584" s="679"/>
    </row>
    <row r="58585" spans="32:32" x14ac:dyDescent="0.2">
      <c r="AF58585" s="679"/>
    </row>
    <row r="58586" spans="32:32" x14ac:dyDescent="0.2">
      <c r="AF58586" s="679"/>
    </row>
    <row r="58587" spans="32:32" x14ac:dyDescent="0.2">
      <c r="AF58587" s="679"/>
    </row>
    <row r="58588" spans="32:32" x14ac:dyDescent="0.2">
      <c r="AF58588" s="679"/>
    </row>
    <row r="58589" spans="32:32" x14ac:dyDescent="0.2">
      <c r="AF58589" s="679"/>
    </row>
    <row r="58590" spans="32:32" x14ac:dyDescent="0.2">
      <c r="AF58590" s="679"/>
    </row>
    <row r="58591" spans="32:32" x14ac:dyDescent="0.2">
      <c r="AF58591" s="679"/>
    </row>
    <row r="58592" spans="32:32" x14ac:dyDescent="0.2">
      <c r="AF58592" s="679"/>
    </row>
    <row r="58593" spans="32:32" x14ac:dyDescent="0.2">
      <c r="AF58593" s="679"/>
    </row>
    <row r="58594" spans="32:32" x14ac:dyDescent="0.2">
      <c r="AF58594" s="679"/>
    </row>
    <row r="58595" spans="32:32" x14ac:dyDescent="0.2">
      <c r="AF58595" s="679"/>
    </row>
    <row r="58596" spans="32:32" x14ac:dyDescent="0.2">
      <c r="AF58596" s="679"/>
    </row>
    <row r="58597" spans="32:32" x14ac:dyDescent="0.2">
      <c r="AF58597" s="679"/>
    </row>
    <row r="58598" spans="32:32" x14ac:dyDescent="0.2">
      <c r="AF58598" s="679"/>
    </row>
    <row r="58599" spans="32:32" x14ac:dyDescent="0.2">
      <c r="AF58599" s="679"/>
    </row>
    <row r="58600" spans="32:32" x14ac:dyDescent="0.2">
      <c r="AF58600" s="679"/>
    </row>
    <row r="58601" spans="32:32" x14ac:dyDescent="0.2">
      <c r="AF58601" s="679"/>
    </row>
    <row r="58602" spans="32:32" x14ac:dyDescent="0.2">
      <c r="AF58602" s="679"/>
    </row>
    <row r="58603" spans="32:32" x14ac:dyDescent="0.2">
      <c r="AF58603" s="679"/>
    </row>
    <row r="58604" spans="32:32" x14ac:dyDescent="0.2">
      <c r="AF58604" s="679"/>
    </row>
    <row r="58605" spans="32:32" x14ac:dyDescent="0.2">
      <c r="AF58605" s="679"/>
    </row>
    <row r="58606" spans="32:32" x14ac:dyDescent="0.2">
      <c r="AF58606" s="679"/>
    </row>
    <row r="58607" spans="32:32" x14ac:dyDescent="0.2">
      <c r="AF58607" s="679"/>
    </row>
    <row r="58608" spans="32:32" x14ac:dyDescent="0.2">
      <c r="AF58608" s="679"/>
    </row>
    <row r="58609" spans="32:32" x14ac:dyDescent="0.2">
      <c r="AF58609" s="679"/>
    </row>
    <row r="58610" spans="32:32" x14ac:dyDescent="0.2">
      <c r="AF58610" s="679"/>
    </row>
    <row r="58611" spans="32:32" x14ac:dyDescent="0.2">
      <c r="AF58611" s="679"/>
    </row>
    <row r="58612" spans="32:32" x14ac:dyDescent="0.2">
      <c r="AF58612" s="679"/>
    </row>
    <row r="58613" spans="32:32" x14ac:dyDescent="0.2">
      <c r="AF58613" s="679"/>
    </row>
    <row r="58614" spans="32:32" x14ac:dyDescent="0.2">
      <c r="AF58614" s="679"/>
    </row>
    <row r="58615" spans="32:32" x14ac:dyDescent="0.2">
      <c r="AF58615" s="679"/>
    </row>
    <row r="58616" spans="32:32" x14ac:dyDescent="0.2">
      <c r="AF58616" s="679"/>
    </row>
    <row r="58617" spans="32:32" x14ac:dyDescent="0.2">
      <c r="AF58617" s="679"/>
    </row>
    <row r="58618" spans="32:32" x14ac:dyDescent="0.2">
      <c r="AF58618" s="679"/>
    </row>
    <row r="58619" spans="32:32" x14ac:dyDescent="0.2">
      <c r="AF58619" s="679"/>
    </row>
    <row r="58620" spans="32:32" x14ac:dyDescent="0.2">
      <c r="AF58620" s="679"/>
    </row>
    <row r="58621" spans="32:32" x14ac:dyDescent="0.2">
      <c r="AF58621" s="679"/>
    </row>
    <row r="58622" spans="32:32" x14ac:dyDescent="0.2">
      <c r="AF58622" s="679"/>
    </row>
    <row r="58623" spans="32:32" x14ac:dyDescent="0.2">
      <c r="AF58623" s="679"/>
    </row>
    <row r="58624" spans="32:32" x14ac:dyDescent="0.2">
      <c r="AF58624" s="679"/>
    </row>
    <row r="58625" spans="32:32" x14ac:dyDescent="0.2">
      <c r="AF58625" s="679"/>
    </row>
    <row r="58626" spans="32:32" x14ac:dyDescent="0.2">
      <c r="AF58626" s="679"/>
    </row>
    <row r="58627" spans="32:32" x14ac:dyDescent="0.2">
      <c r="AF58627" s="679"/>
    </row>
    <row r="58628" spans="32:32" x14ac:dyDescent="0.2">
      <c r="AF58628" s="679"/>
    </row>
    <row r="58629" spans="32:32" x14ac:dyDescent="0.2">
      <c r="AF58629" s="679"/>
    </row>
    <row r="58630" spans="32:32" x14ac:dyDescent="0.2">
      <c r="AF58630" s="679"/>
    </row>
    <row r="58631" spans="32:32" x14ac:dyDescent="0.2">
      <c r="AF58631" s="679"/>
    </row>
    <row r="58632" spans="32:32" x14ac:dyDescent="0.2">
      <c r="AF58632" s="679"/>
    </row>
    <row r="58633" spans="32:32" x14ac:dyDescent="0.2">
      <c r="AF58633" s="679"/>
    </row>
    <row r="58634" spans="32:32" x14ac:dyDescent="0.2">
      <c r="AF58634" s="679"/>
    </row>
    <row r="58635" spans="32:32" x14ac:dyDescent="0.2">
      <c r="AF58635" s="679"/>
    </row>
    <row r="58636" spans="32:32" x14ac:dyDescent="0.2">
      <c r="AF58636" s="679"/>
    </row>
    <row r="58637" spans="32:32" x14ac:dyDescent="0.2">
      <c r="AF58637" s="679"/>
    </row>
    <row r="58638" spans="32:32" x14ac:dyDescent="0.2">
      <c r="AF58638" s="679"/>
    </row>
    <row r="58639" spans="32:32" x14ac:dyDescent="0.2">
      <c r="AF58639" s="679"/>
    </row>
    <row r="58640" spans="32:32" x14ac:dyDescent="0.2">
      <c r="AF58640" s="679"/>
    </row>
    <row r="58641" spans="32:32" x14ac:dyDescent="0.2">
      <c r="AF58641" s="679"/>
    </row>
    <row r="58642" spans="32:32" x14ac:dyDescent="0.2">
      <c r="AF58642" s="679"/>
    </row>
    <row r="58643" spans="32:32" x14ac:dyDescent="0.2">
      <c r="AF58643" s="679"/>
    </row>
    <row r="58644" spans="32:32" x14ac:dyDescent="0.2">
      <c r="AF58644" s="679"/>
    </row>
    <row r="58645" spans="32:32" x14ac:dyDescent="0.2">
      <c r="AF58645" s="679"/>
    </row>
    <row r="58646" spans="32:32" x14ac:dyDescent="0.2">
      <c r="AF58646" s="679"/>
    </row>
    <row r="58647" spans="32:32" x14ac:dyDescent="0.2">
      <c r="AF58647" s="679"/>
    </row>
    <row r="58648" spans="32:32" x14ac:dyDescent="0.2">
      <c r="AF58648" s="679"/>
    </row>
    <row r="58649" spans="32:32" x14ac:dyDescent="0.2">
      <c r="AF58649" s="679"/>
    </row>
    <row r="58650" spans="32:32" x14ac:dyDescent="0.2">
      <c r="AF58650" s="679"/>
    </row>
    <row r="58651" spans="32:32" x14ac:dyDescent="0.2">
      <c r="AF58651" s="679"/>
    </row>
    <row r="58652" spans="32:32" x14ac:dyDescent="0.2">
      <c r="AF58652" s="679"/>
    </row>
    <row r="58653" spans="32:32" x14ac:dyDescent="0.2">
      <c r="AF58653" s="679"/>
    </row>
    <row r="58654" spans="32:32" x14ac:dyDescent="0.2">
      <c r="AF58654" s="679"/>
    </row>
    <row r="58655" spans="32:32" x14ac:dyDescent="0.2">
      <c r="AF58655" s="679"/>
    </row>
    <row r="58656" spans="32:32" x14ac:dyDescent="0.2">
      <c r="AF58656" s="679"/>
    </row>
    <row r="58657" spans="32:32" x14ac:dyDescent="0.2">
      <c r="AF58657" s="679"/>
    </row>
    <row r="58658" spans="32:32" x14ac:dyDescent="0.2">
      <c r="AF58658" s="679"/>
    </row>
    <row r="58659" spans="32:32" x14ac:dyDescent="0.2">
      <c r="AF58659" s="679"/>
    </row>
    <row r="58660" spans="32:32" x14ac:dyDescent="0.2">
      <c r="AF58660" s="679"/>
    </row>
    <row r="58661" spans="32:32" x14ac:dyDescent="0.2">
      <c r="AF58661" s="679"/>
    </row>
    <row r="58662" spans="32:32" x14ac:dyDescent="0.2">
      <c r="AF58662" s="679"/>
    </row>
    <row r="58663" spans="32:32" x14ac:dyDescent="0.2">
      <c r="AF58663" s="679"/>
    </row>
    <row r="58664" spans="32:32" x14ac:dyDescent="0.2">
      <c r="AF58664" s="679"/>
    </row>
    <row r="58665" spans="32:32" x14ac:dyDescent="0.2">
      <c r="AF58665" s="679"/>
    </row>
    <row r="58666" spans="32:32" x14ac:dyDescent="0.2">
      <c r="AF58666" s="679"/>
    </row>
    <row r="58667" spans="32:32" x14ac:dyDescent="0.2">
      <c r="AF58667" s="679"/>
    </row>
    <row r="58668" spans="32:32" x14ac:dyDescent="0.2">
      <c r="AF58668" s="679"/>
    </row>
    <row r="58669" spans="32:32" x14ac:dyDescent="0.2">
      <c r="AF58669" s="679"/>
    </row>
    <row r="58670" spans="32:32" x14ac:dyDescent="0.2">
      <c r="AF58670" s="679"/>
    </row>
    <row r="58671" spans="32:32" x14ac:dyDescent="0.2">
      <c r="AF58671" s="679"/>
    </row>
    <row r="58672" spans="32:32" x14ac:dyDescent="0.2">
      <c r="AF58672" s="679"/>
    </row>
    <row r="58673" spans="32:32" x14ac:dyDescent="0.2">
      <c r="AF58673" s="679"/>
    </row>
    <row r="58674" spans="32:32" x14ac:dyDescent="0.2">
      <c r="AF58674" s="679"/>
    </row>
    <row r="58675" spans="32:32" x14ac:dyDescent="0.2">
      <c r="AF58675" s="679"/>
    </row>
    <row r="58676" spans="32:32" x14ac:dyDescent="0.2">
      <c r="AF58676" s="679"/>
    </row>
    <row r="58677" spans="32:32" x14ac:dyDescent="0.2">
      <c r="AF58677" s="679"/>
    </row>
    <row r="58678" spans="32:32" x14ac:dyDescent="0.2">
      <c r="AF58678" s="679"/>
    </row>
    <row r="58679" spans="32:32" x14ac:dyDescent="0.2">
      <c r="AF58679" s="679"/>
    </row>
    <row r="58680" spans="32:32" x14ac:dyDescent="0.2">
      <c r="AF58680" s="679"/>
    </row>
    <row r="58681" spans="32:32" x14ac:dyDescent="0.2">
      <c r="AF58681" s="679"/>
    </row>
    <row r="58682" spans="32:32" x14ac:dyDescent="0.2">
      <c r="AF58682" s="679"/>
    </row>
    <row r="58683" spans="32:32" x14ac:dyDescent="0.2">
      <c r="AF58683" s="679"/>
    </row>
    <row r="58684" spans="32:32" x14ac:dyDescent="0.2">
      <c r="AF58684" s="679"/>
    </row>
    <row r="58685" spans="32:32" x14ac:dyDescent="0.2">
      <c r="AF58685" s="679"/>
    </row>
    <row r="58686" spans="32:32" x14ac:dyDescent="0.2">
      <c r="AF58686" s="679"/>
    </row>
    <row r="58687" spans="32:32" x14ac:dyDescent="0.2">
      <c r="AF58687" s="679"/>
    </row>
    <row r="58688" spans="32:32" x14ac:dyDescent="0.2">
      <c r="AF58688" s="679"/>
    </row>
    <row r="58689" spans="32:32" x14ac:dyDescent="0.2">
      <c r="AF58689" s="679"/>
    </row>
    <row r="58690" spans="32:32" x14ac:dyDescent="0.2">
      <c r="AF58690" s="679"/>
    </row>
    <row r="58691" spans="32:32" x14ac:dyDescent="0.2">
      <c r="AF58691" s="679"/>
    </row>
    <row r="58692" spans="32:32" x14ac:dyDescent="0.2">
      <c r="AF58692" s="679"/>
    </row>
    <row r="58693" spans="32:32" x14ac:dyDescent="0.2">
      <c r="AF58693" s="679"/>
    </row>
    <row r="58694" spans="32:32" x14ac:dyDescent="0.2">
      <c r="AF58694" s="679"/>
    </row>
    <row r="58695" spans="32:32" x14ac:dyDescent="0.2">
      <c r="AF58695" s="679"/>
    </row>
    <row r="58696" spans="32:32" x14ac:dyDescent="0.2">
      <c r="AF58696" s="679"/>
    </row>
    <row r="58697" spans="32:32" x14ac:dyDescent="0.2">
      <c r="AF58697" s="679"/>
    </row>
    <row r="58698" spans="32:32" x14ac:dyDescent="0.2">
      <c r="AF58698" s="679"/>
    </row>
    <row r="58699" spans="32:32" x14ac:dyDescent="0.2">
      <c r="AF58699" s="679"/>
    </row>
    <row r="58700" spans="32:32" x14ac:dyDescent="0.2">
      <c r="AF58700" s="679"/>
    </row>
    <row r="58701" spans="32:32" x14ac:dyDescent="0.2">
      <c r="AF58701" s="679"/>
    </row>
    <row r="58702" spans="32:32" x14ac:dyDescent="0.2">
      <c r="AF58702" s="679"/>
    </row>
    <row r="58703" spans="32:32" x14ac:dyDescent="0.2">
      <c r="AF58703" s="679"/>
    </row>
    <row r="58704" spans="32:32" x14ac:dyDescent="0.2">
      <c r="AF58704" s="679"/>
    </row>
    <row r="58705" spans="32:32" x14ac:dyDescent="0.2">
      <c r="AF58705" s="679"/>
    </row>
    <row r="58706" spans="32:32" x14ac:dyDescent="0.2">
      <c r="AF58706" s="679"/>
    </row>
    <row r="58707" spans="32:32" x14ac:dyDescent="0.2">
      <c r="AF58707" s="679"/>
    </row>
    <row r="58708" spans="32:32" x14ac:dyDescent="0.2">
      <c r="AF58708" s="679"/>
    </row>
    <row r="58709" spans="32:32" x14ac:dyDescent="0.2">
      <c r="AF58709" s="679"/>
    </row>
    <row r="58710" spans="32:32" x14ac:dyDescent="0.2">
      <c r="AF58710" s="679"/>
    </row>
    <row r="58711" spans="32:32" x14ac:dyDescent="0.2">
      <c r="AF58711" s="679"/>
    </row>
    <row r="58712" spans="32:32" x14ac:dyDescent="0.2">
      <c r="AF58712" s="679"/>
    </row>
    <row r="58713" spans="32:32" x14ac:dyDescent="0.2">
      <c r="AF58713" s="679"/>
    </row>
    <row r="58714" spans="32:32" x14ac:dyDescent="0.2">
      <c r="AF58714" s="679"/>
    </row>
    <row r="58715" spans="32:32" x14ac:dyDescent="0.2">
      <c r="AF58715" s="679"/>
    </row>
    <row r="58716" spans="32:32" x14ac:dyDescent="0.2">
      <c r="AF58716" s="679"/>
    </row>
    <row r="58717" spans="32:32" x14ac:dyDescent="0.2">
      <c r="AF58717" s="679"/>
    </row>
    <row r="58718" spans="32:32" x14ac:dyDescent="0.2">
      <c r="AF58718" s="679"/>
    </row>
    <row r="58719" spans="32:32" x14ac:dyDescent="0.2">
      <c r="AF58719" s="679"/>
    </row>
    <row r="58720" spans="32:32" x14ac:dyDescent="0.2">
      <c r="AF58720" s="679"/>
    </row>
    <row r="58721" spans="32:32" x14ac:dyDescent="0.2">
      <c r="AF58721" s="679"/>
    </row>
    <row r="58722" spans="32:32" x14ac:dyDescent="0.2">
      <c r="AF58722" s="679"/>
    </row>
    <row r="58723" spans="32:32" x14ac:dyDescent="0.2">
      <c r="AF58723" s="679"/>
    </row>
    <row r="58724" spans="32:32" x14ac:dyDescent="0.2">
      <c r="AF58724" s="679"/>
    </row>
    <row r="58725" spans="32:32" x14ac:dyDescent="0.2">
      <c r="AF58725" s="679"/>
    </row>
    <row r="58726" spans="32:32" x14ac:dyDescent="0.2">
      <c r="AF58726" s="679"/>
    </row>
    <row r="58727" spans="32:32" x14ac:dyDescent="0.2">
      <c r="AF58727" s="679"/>
    </row>
    <row r="58728" spans="32:32" x14ac:dyDescent="0.2">
      <c r="AF58728" s="679"/>
    </row>
    <row r="58729" spans="32:32" x14ac:dyDescent="0.2">
      <c r="AF58729" s="679"/>
    </row>
    <row r="58730" spans="32:32" x14ac:dyDescent="0.2">
      <c r="AF58730" s="679"/>
    </row>
    <row r="58731" spans="32:32" x14ac:dyDescent="0.2">
      <c r="AF58731" s="679"/>
    </row>
    <row r="58732" spans="32:32" x14ac:dyDescent="0.2">
      <c r="AF58732" s="679"/>
    </row>
    <row r="58733" spans="32:32" x14ac:dyDescent="0.2">
      <c r="AF58733" s="679"/>
    </row>
    <row r="58734" spans="32:32" x14ac:dyDescent="0.2">
      <c r="AF58734" s="679"/>
    </row>
    <row r="58735" spans="32:32" x14ac:dyDescent="0.2">
      <c r="AF58735" s="679"/>
    </row>
    <row r="58736" spans="32:32" x14ac:dyDescent="0.2">
      <c r="AF58736" s="679"/>
    </row>
    <row r="58737" spans="32:32" x14ac:dyDescent="0.2">
      <c r="AF58737" s="679"/>
    </row>
    <row r="58738" spans="32:32" x14ac:dyDescent="0.2">
      <c r="AF58738" s="679"/>
    </row>
    <row r="58739" spans="32:32" x14ac:dyDescent="0.2">
      <c r="AF58739" s="679"/>
    </row>
    <row r="58740" spans="32:32" x14ac:dyDescent="0.2">
      <c r="AF58740" s="679"/>
    </row>
    <row r="58741" spans="32:32" x14ac:dyDescent="0.2">
      <c r="AF58741" s="679"/>
    </row>
    <row r="58742" spans="32:32" x14ac:dyDescent="0.2">
      <c r="AF58742" s="679"/>
    </row>
    <row r="58743" spans="32:32" x14ac:dyDescent="0.2">
      <c r="AF58743" s="679"/>
    </row>
    <row r="58744" spans="32:32" x14ac:dyDescent="0.2">
      <c r="AF58744" s="679"/>
    </row>
    <row r="58745" spans="32:32" x14ac:dyDescent="0.2">
      <c r="AF58745" s="679"/>
    </row>
    <row r="58746" spans="32:32" x14ac:dyDescent="0.2">
      <c r="AF58746" s="679"/>
    </row>
    <row r="58747" spans="32:32" x14ac:dyDescent="0.2">
      <c r="AF58747" s="679"/>
    </row>
    <row r="58748" spans="32:32" x14ac:dyDescent="0.2">
      <c r="AF58748" s="679"/>
    </row>
    <row r="58749" spans="32:32" x14ac:dyDescent="0.2">
      <c r="AF58749" s="679"/>
    </row>
    <row r="58750" spans="32:32" x14ac:dyDescent="0.2">
      <c r="AF58750" s="679"/>
    </row>
    <row r="58751" spans="32:32" x14ac:dyDescent="0.2">
      <c r="AF58751" s="679"/>
    </row>
    <row r="58752" spans="32:32" x14ac:dyDescent="0.2">
      <c r="AF58752" s="679"/>
    </row>
    <row r="58753" spans="32:32" x14ac:dyDescent="0.2">
      <c r="AF58753" s="679"/>
    </row>
    <row r="58754" spans="32:32" x14ac:dyDescent="0.2">
      <c r="AF58754" s="679"/>
    </row>
    <row r="58755" spans="32:32" x14ac:dyDescent="0.2">
      <c r="AF58755" s="679"/>
    </row>
    <row r="58756" spans="32:32" x14ac:dyDescent="0.2">
      <c r="AF58756" s="679"/>
    </row>
    <row r="58757" spans="32:32" x14ac:dyDescent="0.2">
      <c r="AF58757" s="679"/>
    </row>
    <row r="58758" spans="32:32" x14ac:dyDescent="0.2">
      <c r="AF58758" s="679"/>
    </row>
    <row r="58759" spans="32:32" x14ac:dyDescent="0.2">
      <c r="AF58759" s="679"/>
    </row>
    <row r="58760" spans="32:32" x14ac:dyDescent="0.2">
      <c r="AF58760" s="679"/>
    </row>
    <row r="58761" spans="32:32" x14ac:dyDescent="0.2">
      <c r="AF58761" s="679"/>
    </row>
    <row r="58762" spans="32:32" x14ac:dyDescent="0.2">
      <c r="AF58762" s="679"/>
    </row>
    <row r="58763" spans="32:32" x14ac:dyDescent="0.2">
      <c r="AF58763" s="679"/>
    </row>
    <row r="58764" spans="32:32" x14ac:dyDescent="0.2">
      <c r="AF58764" s="679"/>
    </row>
    <row r="58765" spans="32:32" x14ac:dyDescent="0.2">
      <c r="AF58765" s="679"/>
    </row>
    <row r="58766" spans="32:32" x14ac:dyDescent="0.2">
      <c r="AF58766" s="679"/>
    </row>
    <row r="58767" spans="32:32" x14ac:dyDescent="0.2">
      <c r="AF58767" s="679"/>
    </row>
    <row r="58768" spans="32:32" x14ac:dyDescent="0.2">
      <c r="AF58768" s="679"/>
    </row>
    <row r="58769" spans="32:32" x14ac:dyDescent="0.2">
      <c r="AF58769" s="679"/>
    </row>
    <row r="58770" spans="32:32" x14ac:dyDescent="0.2">
      <c r="AF58770" s="679"/>
    </row>
    <row r="58771" spans="32:32" x14ac:dyDescent="0.2">
      <c r="AF58771" s="679"/>
    </row>
    <row r="58772" spans="32:32" x14ac:dyDescent="0.2">
      <c r="AF58772" s="679"/>
    </row>
    <row r="58773" spans="32:32" x14ac:dyDescent="0.2">
      <c r="AF58773" s="679"/>
    </row>
    <row r="58774" spans="32:32" x14ac:dyDescent="0.2">
      <c r="AF58774" s="679"/>
    </row>
    <row r="58775" spans="32:32" x14ac:dyDescent="0.2">
      <c r="AF58775" s="679"/>
    </row>
    <row r="58776" spans="32:32" x14ac:dyDescent="0.2">
      <c r="AF58776" s="679"/>
    </row>
    <row r="58777" spans="32:32" x14ac:dyDescent="0.2">
      <c r="AF58777" s="679"/>
    </row>
    <row r="58778" spans="32:32" x14ac:dyDescent="0.2">
      <c r="AF58778" s="679"/>
    </row>
    <row r="58779" spans="32:32" x14ac:dyDescent="0.2">
      <c r="AF58779" s="679"/>
    </row>
    <row r="58780" spans="32:32" x14ac:dyDescent="0.2">
      <c r="AF58780" s="679"/>
    </row>
    <row r="58781" spans="32:32" x14ac:dyDescent="0.2">
      <c r="AF58781" s="679"/>
    </row>
    <row r="58782" spans="32:32" x14ac:dyDescent="0.2">
      <c r="AF58782" s="679"/>
    </row>
    <row r="58783" spans="32:32" x14ac:dyDescent="0.2">
      <c r="AF58783" s="679"/>
    </row>
    <row r="58784" spans="32:32" x14ac:dyDescent="0.2">
      <c r="AF58784" s="679"/>
    </row>
    <row r="58785" spans="32:32" x14ac:dyDescent="0.2">
      <c r="AF58785" s="679"/>
    </row>
    <row r="58786" spans="32:32" x14ac:dyDescent="0.2">
      <c r="AF58786" s="679"/>
    </row>
    <row r="58787" spans="32:32" x14ac:dyDescent="0.2">
      <c r="AF58787" s="679"/>
    </row>
    <row r="58788" spans="32:32" x14ac:dyDescent="0.2">
      <c r="AF58788" s="679"/>
    </row>
    <row r="58789" spans="32:32" x14ac:dyDescent="0.2">
      <c r="AF58789" s="679"/>
    </row>
    <row r="58790" spans="32:32" x14ac:dyDescent="0.2">
      <c r="AF58790" s="679"/>
    </row>
    <row r="58791" spans="32:32" x14ac:dyDescent="0.2">
      <c r="AF58791" s="679"/>
    </row>
    <row r="58792" spans="32:32" x14ac:dyDescent="0.2">
      <c r="AF58792" s="679"/>
    </row>
    <row r="58793" spans="32:32" x14ac:dyDescent="0.2">
      <c r="AF58793" s="679"/>
    </row>
    <row r="58794" spans="32:32" x14ac:dyDescent="0.2">
      <c r="AF58794" s="679"/>
    </row>
    <row r="58795" spans="32:32" x14ac:dyDescent="0.2">
      <c r="AF58795" s="679"/>
    </row>
    <row r="58796" spans="32:32" x14ac:dyDescent="0.2">
      <c r="AF58796" s="679"/>
    </row>
    <row r="58797" spans="32:32" x14ac:dyDescent="0.2">
      <c r="AF58797" s="679"/>
    </row>
    <row r="58798" spans="32:32" x14ac:dyDescent="0.2">
      <c r="AF58798" s="679"/>
    </row>
    <row r="58799" spans="32:32" x14ac:dyDescent="0.2">
      <c r="AF58799" s="679"/>
    </row>
    <row r="58800" spans="32:32" x14ac:dyDescent="0.2">
      <c r="AF58800" s="679"/>
    </row>
    <row r="58801" spans="32:32" x14ac:dyDescent="0.2">
      <c r="AF58801" s="679"/>
    </row>
    <row r="58802" spans="32:32" x14ac:dyDescent="0.2">
      <c r="AF58802" s="679"/>
    </row>
    <row r="58803" spans="32:32" x14ac:dyDescent="0.2">
      <c r="AF58803" s="679"/>
    </row>
    <row r="58804" spans="32:32" x14ac:dyDescent="0.2">
      <c r="AF58804" s="679"/>
    </row>
    <row r="58805" spans="32:32" x14ac:dyDescent="0.2">
      <c r="AF58805" s="679"/>
    </row>
    <row r="58806" spans="32:32" x14ac:dyDescent="0.2">
      <c r="AF58806" s="679"/>
    </row>
    <row r="58807" spans="32:32" x14ac:dyDescent="0.2">
      <c r="AF58807" s="679"/>
    </row>
    <row r="58808" spans="32:32" x14ac:dyDescent="0.2">
      <c r="AF58808" s="679"/>
    </row>
    <row r="58809" spans="32:32" x14ac:dyDescent="0.2">
      <c r="AF58809" s="679"/>
    </row>
    <row r="58810" spans="32:32" x14ac:dyDescent="0.2">
      <c r="AF58810" s="679"/>
    </row>
    <row r="58811" spans="32:32" x14ac:dyDescent="0.2">
      <c r="AF58811" s="679"/>
    </row>
    <row r="58812" spans="32:32" x14ac:dyDescent="0.2">
      <c r="AF58812" s="679"/>
    </row>
    <row r="58813" spans="32:32" x14ac:dyDescent="0.2">
      <c r="AF58813" s="679"/>
    </row>
    <row r="58814" spans="32:32" x14ac:dyDescent="0.2">
      <c r="AF58814" s="679"/>
    </row>
    <row r="58815" spans="32:32" x14ac:dyDescent="0.2">
      <c r="AF58815" s="679"/>
    </row>
    <row r="58816" spans="32:32" x14ac:dyDescent="0.2">
      <c r="AF58816" s="679"/>
    </row>
    <row r="58817" spans="32:32" x14ac:dyDescent="0.2">
      <c r="AF58817" s="679"/>
    </row>
    <row r="58818" spans="32:32" x14ac:dyDescent="0.2">
      <c r="AF58818" s="679"/>
    </row>
    <row r="58819" spans="32:32" x14ac:dyDescent="0.2">
      <c r="AF58819" s="679"/>
    </row>
    <row r="58820" spans="32:32" x14ac:dyDescent="0.2">
      <c r="AF58820" s="679"/>
    </row>
    <row r="58821" spans="32:32" x14ac:dyDescent="0.2">
      <c r="AF58821" s="679"/>
    </row>
    <row r="58822" spans="32:32" x14ac:dyDescent="0.2">
      <c r="AF58822" s="679"/>
    </row>
    <row r="58823" spans="32:32" x14ac:dyDescent="0.2">
      <c r="AF58823" s="679"/>
    </row>
    <row r="58824" spans="32:32" x14ac:dyDescent="0.2">
      <c r="AF58824" s="679"/>
    </row>
    <row r="58825" spans="32:32" x14ac:dyDescent="0.2">
      <c r="AF58825" s="679"/>
    </row>
    <row r="58826" spans="32:32" x14ac:dyDescent="0.2">
      <c r="AF58826" s="679"/>
    </row>
    <row r="58827" spans="32:32" x14ac:dyDescent="0.2">
      <c r="AF58827" s="679"/>
    </row>
    <row r="58828" spans="32:32" x14ac:dyDescent="0.2">
      <c r="AF58828" s="679"/>
    </row>
    <row r="58829" spans="32:32" x14ac:dyDescent="0.2">
      <c r="AF58829" s="679"/>
    </row>
    <row r="58830" spans="32:32" x14ac:dyDescent="0.2">
      <c r="AF58830" s="679"/>
    </row>
    <row r="58831" spans="32:32" x14ac:dyDescent="0.2">
      <c r="AF58831" s="679"/>
    </row>
    <row r="58832" spans="32:32" x14ac:dyDescent="0.2">
      <c r="AF58832" s="679"/>
    </row>
    <row r="58833" spans="32:32" x14ac:dyDescent="0.2">
      <c r="AF58833" s="679"/>
    </row>
    <row r="58834" spans="32:32" x14ac:dyDescent="0.2">
      <c r="AF58834" s="679"/>
    </row>
    <row r="58835" spans="32:32" x14ac:dyDescent="0.2">
      <c r="AF58835" s="679"/>
    </row>
    <row r="58836" spans="32:32" x14ac:dyDescent="0.2">
      <c r="AF58836" s="679"/>
    </row>
    <row r="58837" spans="32:32" x14ac:dyDescent="0.2">
      <c r="AF58837" s="679"/>
    </row>
    <row r="58838" spans="32:32" x14ac:dyDescent="0.2">
      <c r="AF58838" s="679"/>
    </row>
    <row r="58839" spans="32:32" x14ac:dyDescent="0.2">
      <c r="AF58839" s="679"/>
    </row>
    <row r="58840" spans="32:32" x14ac:dyDescent="0.2">
      <c r="AF58840" s="679"/>
    </row>
    <row r="58841" spans="32:32" x14ac:dyDescent="0.2">
      <c r="AF58841" s="679"/>
    </row>
    <row r="58842" spans="32:32" x14ac:dyDescent="0.2">
      <c r="AF58842" s="679"/>
    </row>
    <row r="58843" spans="32:32" x14ac:dyDescent="0.2">
      <c r="AF58843" s="679"/>
    </row>
    <row r="58844" spans="32:32" x14ac:dyDescent="0.2">
      <c r="AF58844" s="679"/>
    </row>
    <row r="58845" spans="32:32" x14ac:dyDescent="0.2">
      <c r="AF58845" s="679"/>
    </row>
    <row r="58846" spans="32:32" x14ac:dyDescent="0.2">
      <c r="AF58846" s="679"/>
    </row>
    <row r="58847" spans="32:32" x14ac:dyDescent="0.2">
      <c r="AF58847" s="679"/>
    </row>
    <row r="58848" spans="32:32" x14ac:dyDescent="0.2">
      <c r="AF58848" s="679"/>
    </row>
    <row r="58849" spans="32:32" x14ac:dyDescent="0.2">
      <c r="AF58849" s="679"/>
    </row>
    <row r="58850" spans="32:32" x14ac:dyDescent="0.2">
      <c r="AF58850" s="679"/>
    </row>
    <row r="58851" spans="32:32" x14ac:dyDescent="0.2">
      <c r="AF58851" s="679"/>
    </row>
    <row r="58852" spans="32:32" x14ac:dyDescent="0.2">
      <c r="AF58852" s="679"/>
    </row>
    <row r="58853" spans="32:32" x14ac:dyDescent="0.2">
      <c r="AF58853" s="679"/>
    </row>
    <row r="58854" spans="32:32" x14ac:dyDescent="0.2">
      <c r="AF58854" s="679"/>
    </row>
    <row r="58855" spans="32:32" x14ac:dyDescent="0.2">
      <c r="AF58855" s="679"/>
    </row>
    <row r="58856" spans="32:32" x14ac:dyDescent="0.2">
      <c r="AF58856" s="679"/>
    </row>
    <row r="58857" spans="32:32" x14ac:dyDescent="0.2">
      <c r="AF58857" s="679"/>
    </row>
    <row r="58858" spans="32:32" x14ac:dyDescent="0.2">
      <c r="AF58858" s="679"/>
    </row>
    <row r="58859" spans="32:32" x14ac:dyDescent="0.2">
      <c r="AF58859" s="679"/>
    </row>
    <row r="58860" spans="32:32" x14ac:dyDescent="0.2">
      <c r="AF58860" s="679"/>
    </row>
    <row r="58861" spans="32:32" x14ac:dyDescent="0.2">
      <c r="AF58861" s="679"/>
    </row>
    <row r="58862" spans="32:32" x14ac:dyDescent="0.2">
      <c r="AF58862" s="679"/>
    </row>
    <row r="58863" spans="32:32" x14ac:dyDescent="0.2">
      <c r="AF58863" s="679"/>
    </row>
    <row r="58864" spans="32:32" x14ac:dyDescent="0.2">
      <c r="AF58864" s="679"/>
    </row>
    <row r="58865" spans="32:32" x14ac:dyDescent="0.2">
      <c r="AF58865" s="679"/>
    </row>
    <row r="58866" spans="32:32" x14ac:dyDescent="0.2">
      <c r="AF58866" s="679"/>
    </row>
    <row r="58867" spans="32:32" x14ac:dyDescent="0.2">
      <c r="AF58867" s="679"/>
    </row>
    <row r="58868" spans="32:32" x14ac:dyDescent="0.2">
      <c r="AF58868" s="679"/>
    </row>
    <row r="58869" spans="32:32" x14ac:dyDescent="0.2">
      <c r="AF58869" s="679"/>
    </row>
    <row r="58870" spans="32:32" x14ac:dyDescent="0.2">
      <c r="AF58870" s="679"/>
    </row>
    <row r="58871" spans="32:32" x14ac:dyDescent="0.2">
      <c r="AF58871" s="679"/>
    </row>
    <row r="58872" spans="32:32" x14ac:dyDescent="0.2">
      <c r="AF58872" s="679"/>
    </row>
    <row r="58873" spans="32:32" x14ac:dyDescent="0.2">
      <c r="AF58873" s="679"/>
    </row>
    <row r="58874" spans="32:32" x14ac:dyDescent="0.2">
      <c r="AF58874" s="679"/>
    </row>
    <row r="58875" spans="32:32" x14ac:dyDescent="0.2">
      <c r="AF58875" s="679"/>
    </row>
    <row r="58876" spans="32:32" x14ac:dyDescent="0.2">
      <c r="AF58876" s="679"/>
    </row>
    <row r="58877" spans="32:32" x14ac:dyDescent="0.2">
      <c r="AF58877" s="679"/>
    </row>
    <row r="58878" spans="32:32" x14ac:dyDescent="0.2">
      <c r="AF58878" s="679"/>
    </row>
    <row r="58879" spans="32:32" x14ac:dyDescent="0.2">
      <c r="AF58879" s="679"/>
    </row>
    <row r="58880" spans="32:32" x14ac:dyDescent="0.2">
      <c r="AF58880" s="679"/>
    </row>
    <row r="58881" spans="32:32" x14ac:dyDescent="0.2">
      <c r="AF58881" s="679"/>
    </row>
    <row r="58882" spans="32:32" x14ac:dyDescent="0.2">
      <c r="AF58882" s="679"/>
    </row>
    <row r="58883" spans="32:32" x14ac:dyDescent="0.2">
      <c r="AF58883" s="679"/>
    </row>
    <row r="58884" spans="32:32" x14ac:dyDescent="0.2">
      <c r="AF58884" s="679"/>
    </row>
    <row r="58885" spans="32:32" x14ac:dyDescent="0.2">
      <c r="AF58885" s="679"/>
    </row>
    <row r="58886" spans="32:32" x14ac:dyDescent="0.2">
      <c r="AF58886" s="679"/>
    </row>
    <row r="58887" spans="32:32" x14ac:dyDescent="0.2">
      <c r="AF58887" s="679"/>
    </row>
    <row r="58888" spans="32:32" x14ac:dyDescent="0.2">
      <c r="AF58888" s="679"/>
    </row>
    <row r="58889" spans="32:32" x14ac:dyDescent="0.2">
      <c r="AF58889" s="679"/>
    </row>
    <row r="58890" spans="32:32" x14ac:dyDescent="0.2">
      <c r="AF58890" s="679"/>
    </row>
    <row r="58891" spans="32:32" x14ac:dyDescent="0.2">
      <c r="AF58891" s="679"/>
    </row>
    <row r="58892" spans="32:32" x14ac:dyDescent="0.2">
      <c r="AF58892" s="679"/>
    </row>
    <row r="58893" spans="32:32" x14ac:dyDescent="0.2">
      <c r="AF58893" s="679"/>
    </row>
    <row r="58894" spans="32:32" x14ac:dyDescent="0.2">
      <c r="AF58894" s="679"/>
    </row>
    <row r="58895" spans="32:32" x14ac:dyDescent="0.2">
      <c r="AF58895" s="679"/>
    </row>
    <row r="58896" spans="32:32" x14ac:dyDescent="0.2">
      <c r="AF58896" s="679"/>
    </row>
    <row r="58897" spans="32:32" x14ac:dyDescent="0.2">
      <c r="AF58897" s="679"/>
    </row>
    <row r="58898" spans="32:32" x14ac:dyDescent="0.2">
      <c r="AF58898" s="679"/>
    </row>
    <row r="58899" spans="32:32" x14ac:dyDescent="0.2">
      <c r="AF58899" s="679"/>
    </row>
    <row r="58900" spans="32:32" x14ac:dyDescent="0.2">
      <c r="AF58900" s="679"/>
    </row>
    <row r="58901" spans="32:32" x14ac:dyDescent="0.2">
      <c r="AF58901" s="679"/>
    </row>
    <row r="58902" spans="32:32" x14ac:dyDescent="0.2">
      <c r="AF58902" s="679"/>
    </row>
    <row r="58903" spans="32:32" x14ac:dyDescent="0.2">
      <c r="AF58903" s="679"/>
    </row>
    <row r="58904" spans="32:32" x14ac:dyDescent="0.2">
      <c r="AF58904" s="679"/>
    </row>
    <row r="58905" spans="32:32" x14ac:dyDescent="0.2">
      <c r="AF58905" s="679"/>
    </row>
    <row r="58906" spans="32:32" x14ac:dyDescent="0.2">
      <c r="AF58906" s="679"/>
    </row>
    <row r="58907" spans="32:32" x14ac:dyDescent="0.2">
      <c r="AF58907" s="679"/>
    </row>
    <row r="58908" spans="32:32" x14ac:dyDescent="0.2">
      <c r="AF58908" s="679"/>
    </row>
    <row r="58909" spans="32:32" x14ac:dyDescent="0.2">
      <c r="AF58909" s="679"/>
    </row>
    <row r="58910" spans="32:32" x14ac:dyDescent="0.2">
      <c r="AF58910" s="679"/>
    </row>
    <row r="58911" spans="32:32" x14ac:dyDescent="0.2">
      <c r="AF58911" s="679"/>
    </row>
    <row r="58912" spans="32:32" x14ac:dyDescent="0.2">
      <c r="AF58912" s="679"/>
    </row>
    <row r="58913" spans="32:32" x14ac:dyDescent="0.2">
      <c r="AF58913" s="679"/>
    </row>
    <row r="58914" spans="32:32" x14ac:dyDescent="0.2">
      <c r="AF58914" s="679"/>
    </row>
    <row r="58915" spans="32:32" x14ac:dyDescent="0.2">
      <c r="AF58915" s="679"/>
    </row>
    <row r="58916" spans="32:32" x14ac:dyDescent="0.2">
      <c r="AF58916" s="679"/>
    </row>
    <row r="58917" spans="32:32" x14ac:dyDescent="0.2">
      <c r="AF58917" s="679"/>
    </row>
    <row r="58918" spans="32:32" x14ac:dyDescent="0.2">
      <c r="AF58918" s="679"/>
    </row>
    <row r="58919" spans="32:32" x14ac:dyDescent="0.2">
      <c r="AF58919" s="679"/>
    </row>
    <row r="58920" spans="32:32" x14ac:dyDescent="0.2">
      <c r="AF58920" s="679"/>
    </row>
    <row r="58921" spans="32:32" x14ac:dyDescent="0.2">
      <c r="AF58921" s="679"/>
    </row>
    <row r="58922" spans="32:32" x14ac:dyDescent="0.2">
      <c r="AF58922" s="679"/>
    </row>
    <row r="58923" spans="32:32" x14ac:dyDescent="0.2">
      <c r="AF58923" s="679"/>
    </row>
    <row r="58924" spans="32:32" x14ac:dyDescent="0.2">
      <c r="AF58924" s="679"/>
    </row>
    <row r="58925" spans="32:32" x14ac:dyDescent="0.2">
      <c r="AF58925" s="679"/>
    </row>
    <row r="58926" spans="32:32" x14ac:dyDescent="0.2">
      <c r="AF58926" s="679"/>
    </row>
    <row r="58927" spans="32:32" x14ac:dyDescent="0.2">
      <c r="AF58927" s="679"/>
    </row>
    <row r="58928" spans="32:32" x14ac:dyDescent="0.2">
      <c r="AF58928" s="679"/>
    </row>
    <row r="58929" spans="32:32" x14ac:dyDescent="0.2">
      <c r="AF58929" s="679"/>
    </row>
    <row r="58930" spans="32:32" x14ac:dyDescent="0.2">
      <c r="AF58930" s="679"/>
    </row>
    <row r="58931" spans="32:32" x14ac:dyDescent="0.2">
      <c r="AF58931" s="679"/>
    </row>
    <row r="58932" spans="32:32" x14ac:dyDescent="0.2">
      <c r="AF58932" s="679"/>
    </row>
    <row r="58933" spans="32:32" x14ac:dyDescent="0.2">
      <c r="AF58933" s="679"/>
    </row>
    <row r="58934" spans="32:32" x14ac:dyDescent="0.2">
      <c r="AF58934" s="679"/>
    </row>
    <row r="58935" spans="32:32" x14ac:dyDescent="0.2">
      <c r="AF58935" s="679"/>
    </row>
    <row r="58936" spans="32:32" x14ac:dyDescent="0.2">
      <c r="AF58936" s="679"/>
    </row>
    <row r="58937" spans="32:32" x14ac:dyDescent="0.2">
      <c r="AF58937" s="679"/>
    </row>
    <row r="58938" spans="32:32" x14ac:dyDescent="0.2">
      <c r="AF58938" s="679"/>
    </row>
    <row r="58939" spans="32:32" x14ac:dyDescent="0.2">
      <c r="AF58939" s="679"/>
    </row>
    <row r="58940" spans="32:32" x14ac:dyDescent="0.2">
      <c r="AF58940" s="679"/>
    </row>
    <row r="58941" spans="32:32" x14ac:dyDescent="0.2">
      <c r="AF58941" s="679"/>
    </row>
    <row r="58942" spans="32:32" x14ac:dyDescent="0.2">
      <c r="AF58942" s="679"/>
    </row>
    <row r="58943" spans="32:32" x14ac:dyDescent="0.2">
      <c r="AF58943" s="679"/>
    </row>
    <row r="58944" spans="32:32" x14ac:dyDescent="0.2">
      <c r="AF58944" s="679"/>
    </row>
    <row r="58945" spans="32:32" x14ac:dyDescent="0.2">
      <c r="AF58945" s="679"/>
    </row>
    <row r="58946" spans="32:32" x14ac:dyDescent="0.2">
      <c r="AF58946" s="679"/>
    </row>
    <row r="58947" spans="32:32" x14ac:dyDescent="0.2">
      <c r="AF58947" s="679"/>
    </row>
    <row r="58948" spans="32:32" x14ac:dyDescent="0.2">
      <c r="AF58948" s="679"/>
    </row>
    <row r="58949" spans="32:32" x14ac:dyDescent="0.2">
      <c r="AF58949" s="679"/>
    </row>
    <row r="58950" spans="32:32" x14ac:dyDescent="0.2">
      <c r="AF58950" s="679"/>
    </row>
    <row r="58951" spans="32:32" x14ac:dyDescent="0.2">
      <c r="AF58951" s="679"/>
    </row>
    <row r="58952" spans="32:32" x14ac:dyDescent="0.2">
      <c r="AF58952" s="679"/>
    </row>
    <row r="58953" spans="32:32" x14ac:dyDescent="0.2">
      <c r="AF58953" s="679"/>
    </row>
    <row r="58954" spans="32:32" x14ac:dyDescent="0.2">
      <c r="AF58954" s="679"/>
    </row>
    <row r="58955" spans="32:32" x14ac:dyDescent="0.2">
      <c r="AF58955" s="679"/>
    </row>
    <row r="58956" spans="32:32" x14ac:dyDescent="0.2">
      <c r="AF58956" s="679"/>
    </row>
    <row r="58957" spans="32:32" x14ac:dyDescent="0.2">
      <c r="AF58957" s="679"/>
    </row>
    <row r="58958" spans="32:32" x14ac:dyDescent="0.2">
      <c r="AF58958" s="679"/>
    </row>
    <row r="58959" spans="32:32" x14ac:dyDescent="0.2">
      <c r="AF58959" s="679"/>
    </row>
    <row r="58960" spans="32:32" x14ac:dyDescent="0.2">
      <c r="AF58960" s="679"/>
    </row>
    <row r="58961" spans="32:32" x14ac:dyDescent="0.2">
      <c r="AF58961" s="679"/>
    </row>
    <row r="58962" spans="32:32" x14ac:dyDescent="0.2">
      <c r="AF58962" s="679"/>
    </row>
    <row r="58963" spans="32:32" x14ac:dyDescent="0.2">
      <c r="AF58963" s="679"/>
    </row>
    <row r="58964" spans="32:32" x14ac:dyDescent="0.2">
      <c r="AF58964" s="679"/>
    </row>
    <row r="58965" spans="32:32" x14ac:dyDescent="0.2">
      <c r="AF58965" s="679"/>
    </row>
    <row r="58966" spans="32:32" x14ac:dyDescent="0.2">
      <c r="AF58966" s="679"/>
    </row>
    <row r="58967" spans="32:32" x14ac:dyDescent="0.2">
      <c r="AF58967" s="679"/>
    </row>
    <row r="58968" spans="32:32" x14ac:dyDescent="0.2">
      <c r="AF58968" s="679"/>
    </row>
    <row r="58969" spans="32:32" x14ac:dyDescent="0.2">
      <c r="AF58969" s="679"/>
    </row>
    <row r="58970" spans="32:32" x14ac:dyDescent="0.2">
      <c r="AF58970" s="679"/>
    </row>
    <row r="58971" spans="32:32" x14ac:dyDescent="0.2">
      <c r="AF58971" s="679"/>
    </row>
    <row r="58972" spans="32:32" x14ac:dyDescent="0.2">
      <c r="AF58972" s="679"/>
    </row>
    <row r="58973" spans="32:32" x14ac:dyDescent="0.2">
      <c r="AF58973" s="679"/>
    </row>
    <row r="58974" spans="32:32" x14ac:dyDescent="0.2">
      <c r="AF58974" s="679"/>
    </row>
    <row r="58975" spans="32:32" x14ac:dyDescent="0.2">
      <c r="AF58975" s="679"/>
    </row>
    <row r="58976" spans="32:32" x14ac:dyDescent="0.2">
      <c r="AF58976" s="679"/>
    </row>
    <row r="58977" spans="32:32" x14ac:dyDescent="0.2">
      <c r="AF58977" s="679"/>
    </row>
    <row r="58978" spans="32:32" x14ac:dyDescent="0.2">
      <c r="AF58978" s="679"/>
    </row>
    <row r="58979" spans="32:32" x14ac:dyDescent="0.2">
      <c r="AF58979" s="679"/>
    </row>
    <row r="58980" spans="32:32" x14ac:dyDescent="0.2">
      <c r="AF58980" s="679"/>
    </row>
    <row r="58981" spans="32:32" x14ac:dyDescent="0.2">
      <c r="AF58981" s="679"/>
    </row>
    <row r="58982" spans="32:32" x14ac:dyDescent="0.2">
      <c r="AF58982" s="679"/>
    </row>
    <row r="58983" spans="32:32" x14ac:dyDescent="0.2">
      <c r="AF58983" s="679"/>
    </row>
    <row r="58984" spans="32:32" x14ac:dyDescent="0.2">
      <c r="AF58984" s="679"/>
    </row>
    <row r="58985" spans="32:32" x14ac:dyDescent="0.2">
      <c r="AF58985" s="679"/>
    </row>
    <row r="58986" spans="32:32" x14ac:dyDescent="0.2">
      <c r="AF58986" s="679"/>
    </row>
    <row r="58987" spans="32:32" x14ac:dyDescent="0.2">
      <c r="AF58987" s="679"/>
    </row>
    <row r="58988" spans="32:32" x14ac:dyDescent="0.2">
      <c r="AF58988" s="679"/>
    </row>
    <row r="58989" spans="32:32" x14ac:dyDescent="0.2">
      <c r="AF58989" s="679"/>
    </row>
    <row r="58990" spans="32:32" x14ac:dyDescent="0.2">
      <c r="AF58990" s="679"/>
    </row>
    <row r="58991" spans="32:32" x14ac:dyDescent="0.2">
      <c r="AF58991" s="679"/>
    </row>
    <row r="58992" spans="32:32" x14ac:dyDescent="0.2">
      <c r="AF58992" s="679"/>
    </row>
    <row r="58993" spans="32:32" x14ac:dyDescent="0.2">
      <c r="AF58993" s="679"/>
    </row>
    <row r="58994" spans="32:32" x14ac:dyDescent="0.2">
      <c r="AF58994" s="679"/>
    </row>
    <row r="58995" spans="32:32" x14ac:dyDescent="0.2">
      <c r="AF58995" s="679"/>
    </row>
    <row r="58996" spans="32:32" x14ac:dyDescent="0.2">
      <c r="AF58996" s="679"/>
    </row>
    <row r="58997" spans="32:32" x14ac:dyDescent="0.2">
      <c r="AF58997" s="679"/>
    </row>
    <row r="58998" spans="32:32" x14ac:dyDescent="0.2">
      <c r="AF58998" s="679"/>
    </row>
    <row r="58999" spans="32:32" x14ac:dyDescent="0.2">
      <c r="AF58999" s="679"/>
    </row>
    <row r="59000" spans="32:32" x14ac:dyDescent="0.2">
      <c r="AF59000" s="679"/>
    </row>
    <row r="59001" spans="32:32" x14ac:dyDescent="0.2">
      <c r="AF59001" s="679"/>
    </row>
    <row r="59002" spans="32:32" x14ac:dyDescent="0.2">
      <c r="AF59002" s="679"/>
    </row>
    <row r="59003" spans="32:32" x14ac:dyDescent="0.2">
      <c r="AF59003" s="679"/>
    </row>
    <row r="59004" spans="32:32" x14ac:dyDescent="0.2">
      <c r="AF59004" s="679"/>
    </row>
    <row r="59005" spans="32:32" x14ac:dyDescent="0.2">
      <c r="AF59005" s="679"/>
    </row>
    <row r="59006" spans="32:32" x14ac:dyDescent="0.2">
      <c r="AF59006" s="679"/>
    </row>
    <row r="59007" spans="32:32" x14ac:dyDescent="0.2">
      <c r="AF59007" s="679"/>
    </row>
    <row r="59008" spans="32:32" x14ac:dyDescent="0.2">
      <c r="AF59008" s="679"/>
    </row>
    <row r="59009" spans="32:32" x14ac:dyDescent="0.2">
      <c r="AF59009" s="679"/>
    </row>
    <row r="59010" spans="32:32" x14ac:dyDescent="0.2">
      <c r="AF59010" s="679"/>
    </row>
    <row r="59011" spans="32:32" x14ac:dyDescent="0.2">
      <c r="AF59011" s="679"/>
    </row>
    <row r="59012" spans="32:32" x14ac:dyDescent="0.2">
      <c r="AF59012" s="679"/>
    </row>
    <row r="59013" spans="32:32" x14ac:dyDescent="0.2">
      <c r="AF59013" s="679"/>
    </row>
    <row r="59014" spans="32:32" x14ac:dyDescent="0.2">
      <c r="AF59014" s="679"/>
    </row>
    <row r="59015" spans="32:32" x14ac:dyDescent="0.2">
      <c r="AF59015" s="679"/>
    </row>
    <row r="59016" spans="32:32" x14ac:dyDescent="0.2">
      <c r="AF59016" s="679"/>
    </row>
    <row r="59017" spans="32:32" x14ac:dyDescent="0.2">
      <c r="AF59017" s="679"/>
    </row>
    <row r="59018" spans="32:32" x14ac:dyDescent="0.2">
      <c r="AF59018" s="679"/>
    </row>
    <row r="59019" spans="32:32" x14ac:dyDescent="0.2">
      <c r="AF59019" s="679"/>
    </row>
    <row r="59020" spans="32:32" x14ac:dyDescent="0.2">
      <c r="AF59020" s="679"/>
    </row>
    <row r="59021" spans="32:32" x14ac:dyDescent="0.2">
      <c r="AF59021" s="679"/>
    </row>
    <row r="59022" spans="32:32" x14ac:dyDescent="0.2">
      <c r="AF59022" s="679"/>
    </row>
    <row r="59023" spans="32:32" x14ac:dyDescent="0.2">
      <c r="AF59023" s="679"/>
    </row>
    <row r="59024" spans="32:32" x14ac:dyDescent="0.2">
      <c r="AF59024" s="679"/>
    </row>
    <row r="59025" spans="32:32" x14ac:dyDescent="0.2">
      <c r="AF59025" s="679"/>
    </row>
    <row r="59026" spans="32:32" x14ac:dyDescent="0.2">
      <c r="AF59026" s="679"/>
    </row>
    <row r="59027" spans="32:32" x14ac:dyDescent="0.2">
      <c r="AF59027" s="679"/>
    </row>
    <row r="59028" spans="32:32" x14ac:dyDescent="0.2">
      <c r="AF59028" s="679"/>
    </row>
    <row r="59029" spans="32:32" x14ac:dyDescent="0.2">
      <c r="AF59029" s="679"/>
    </row>
    <row r="59030" spans="32:32" x14ac:dyDescent="0.2">
      <c r="AF59030" s="679"/>
    </row>
    <row r="59031" spans="32:32" x14ac:dyDescent="0.2">
      <c r="AF59031" s="679"/>
    </row>
    <row r="59032" spans="32:32" x14ac:dyDescent="0.2">
      <c r="AF59032" s="679"/>
    </row>
    <row r="59033" spans="32:32" x14ac:dyDescent="0.2">
      <c r="AF59033" s="679"/>
    </row>
    <row r="59034" spans="32:32" x14ac:dyDescent="0.2">
      <c r="AF59034" s="679"/>
    </row>
    <row r="59035" spans="32:32" x14ac:dyDescent="0.2">
      <c r="AF59035" s="679"/>
    </row>
    <row r="59036" spans="32:32" x14ac:dyDescent="0.2">
      <c r="AF59036" s="679"/>
    </row>
    <row r="59037" spans="32:32" x14ac:dyDescent="0.2">
      <c r="AF59037" s="679"/>
    </row>
    <row r="59038" spans="32:32" x14ac:dyDescent="0.2">
      <c r="AF59038" s="679"/>
    </row>
    <row r="59039" spans="32:32" x14ac:dyDescent="0.2">
      <c r="AF59039" s="679"/>
    </row>
    <row r="59040" spans="32:32" x14ac:dyDescent="0.2">
      <c r="AF59040" s="679"/>
    </row>
    <row r="59041" spans="32:32" x14ac:dyDescent="0.2">
      <c r="AF59041" s="679"/>
    </row>
    <row r="59042" spans="32:32" x14ac:dyDescent="0.2">
      <c r="AF59042" s="679"/>
    </row>
    <row r="59043" spans="32:32" x14ac:dyDescent="0.2">
      <c r="AF59043" s="679"/>
    </row>
    <row r="59044" spans="32:32" x14ac:dyDescent="0.2">
      <c r="AF59044" s="679"/>
    </row>
    <row r="59045" spans="32:32" x14ac:dyDescent="0.2">
      <c r="AF59045" s="679"/>
    </row>
    <row r="59046" spans="32:32" x14ac:dyDescent="0.2">
      <c r="AF59046" s="679"/>
    </row>
    <row r="59047" spans="32:32" x14ac:dyDescent="0.2">
      <c r="AF59047" s="679"/>
    </row>
    <row r="59048" spans="32:32" x14ac:dyDescent="0.2">
      <c r="AF59048" s="679"/>
    </row>
    <row r="59049" spans="32:32" x14ac:dyDescent="0.2">
      <c r="AF59049" s="679"/>
    </row>
    <row r="59050" spans="32:32" x14ac:dyDescent="0.2">
      <c r="AF59050" s="679"/>
    </row>
    <row r="59051" spans="32:32" x14ac:dyDescent="0.2">
      <c r="AF59051" s="679"/>
    </row>
    <row r="59052" spans="32:32" x14ac:dyDescent="0.2">
      <c r="AF59052" s="679"/>
    </row>
    <row r="59053" spans="32:32" x14ac:dyDescent="0.2">
      <c r="AF59053" s="679"/>
    </row>
    <row r="59054" spans="32:32" x14ac:dyDescent="0.2">
      <c r="AF59054" s="679"/>
    </row>
    <row r="59055" spans="32:32" x14ac:dyDescent="0.2">
      <c r="AF59055" s="679"/>
    </row>
    <row r="59056" spans="32:32" x14ac:dyDescent="0.2">
      <c r="AF59056" s="679"/>
    </row>
    <row r="59057" spans="32:32" x14ac:dyDescent="0.2">
      <c r="AF59057" s="679"/>
    </row>
    <row r="59058" spans="32:32" x14ac:dyDescent="0.2">
      <c r="AF59058" s="679"/>
    </row>
    <row r="59059" spans="32:32" x14ac:dyDescent="0.2">
      <c r="AF59059" s="679"/>
    </row>
    <row r="59060" spans="32:32" x14ac:dyDescent="0.2">
      <c r="AF59060" s="679"/>
    </row>
    <row r="59061" spans="32:32" x14ac:dyDescent="0.2">
      <c r="AF59061" s="679"/>
    </row>
    <row r="59062" spans="32:32" x14ac:dyDescent="0.2">
      <c r="AF59062" s="679"/>
    </row>
    <row r="59063" spans="32:32" x14ac:dyDescent="0.2">
      <c r="AF59063" s="679"/>
    </row>
    <row r="59064" spans="32:32" x14ac:dyDescent="0.2">
      <c r="AF59064" s="679"/>
    </row>
    <row r="59065" spans="32:32" x14ac:dyDescent="0.2">
      <c r="AF59065" s="679"/>
    </row>
    <row r="59066" spans="32:32" x14ac:dyDescent="0.2">
      <c r="AF59066" s="679"/>
    </row>
    <row r="59067" spans="32:32" x14ac:dyDescent="0.2">
      <c r="AF59067" s="679"/>
    </row>
    <row r="59068" spans="32:32" x14ac:dyDescent="0.2">
      <c r="AF59068" s="679"/>
    </row>
    <row r="59069" spans="32:32" x14ac:dyDescent="0.2">
      <c r="AF59069" s="679"/>
    </row>
    <row r="59070" spans="32:32" x14ac:dyDescent="0.2">
      <c r="AF59070" s="679"/>
    </row>
    <row r="59071" spans="32:32" x14ac:dyDescent="0.2">
      <c r="AF59071" s="679"/>
    </row>
    <row r="59072" spans="32:32" x14ac:dyDescent="0.2">
      <c r="AF59072" s="679"/>
    </row>
    <row r="59073" spans="32:32" x14ac:dyDescent="0.2">
      <c r="AF59073" s="679"/>
    </row>
    <row r="59074" spans="32:32" x14ac:dyDescent="0.2">
      <c r="AF59074" s="679"/>
    </row>
    <row r="59075" spans="32:32" x14ac:dyDescent="0.2">
      <c r="AF59075" s="679"/>
    </row>
    <row r="59076" spans="32:32" x14ac:dyDescent="0.2">
      <c r="AF59076" s="679"/>
    </row>
    <row r="59077" spans="32:32" x14ac:dyDescent="0.2">
      <c r="AF59077" s="679"/>
    </row>
    <row r="59078" spans="32:32" x14ac:dyDescent="0.2">
      <c r="AF59078" s="679"/>
    </row>
    <row r="59079" spans="32:32" x14ac:dyDescent="0.2">
      <c r="AF59079" s="679"/>
    </row>
    <row r="59080" spans="32:32" x14ac:dyDescent="0.2">
      <c r="AF59080" s="679"/>
    </row>
    <row r="59081" spans="32:32" x14ac:dyDescent="0.2">
      <c r="AF59081" s="679"/>
    </row>
    <row r="59082" spans="32:32" x14ac:dyDescent="0.2">
      <c r="AF59082" s="679"/>
    </row>
    <row r="59083" spans="32:32" x14ac:dyDescent="0.2">
      <c r="AF59083" s="679"/>
    </row>
    <row r="59084" spans="32:32" x14ac:dyDescent="0.2">
      <c r="AF59084" s="679"/>
    </row>
    <row r="59085" spans="32:32" x14ac:dyDescent="0.2">
      <c r="AF59085" s="679"/>
    </row>
    <row r="59086" spans="32:32" x14ac:dyDescent="0.2">
      <c r="AF59086" s="679"/>
    </row>
    <row r="59087" spans="32:32" x14ac:dyDescent="0.2">
      <c r="AF59087" s="679"/>
    </row>
    <row r="59088" spans="32:32" x14ac:dyDescent="0.2">
      <c r="AF59088" s="679"/>
    </row>
    <row r="59089" spans="32:32" x14ac:dyDescent="0.2">
      <c r="AF59089" s="679"/>
    </row>
    <row r="59090" spans="32:32" x14ac:dyDescent="0.2">
      <c r="AF59090" s="679"/>
    </row>
    <row r="59091" spans="32:32" x14ac:dyDescent="0.2">
      <c r="AF59091" s="679"/>
    </row>
    <row r="59092" spans="32:32" x14ac:dyDescent="0.2">
      <c r="AF59092" s="679"/>
    </row>
    <row r="59093" spans="32:32" x14ac:dyDescent="0.2">
      <c r="AF59093" s="679"/>
    </row>
    <row r="59094" spans="32:32" x14ac:dyDescent="0.2">
      <c r="AF59094" s="679"/>
    </row>
    <row r="59095" spans="32:32" x14ac:dyDescent="0.2">
      <c r="AF59095" s="679"/>
    </row>
    <row r="59096" spans="32:32" x14ac:dyDescent="0.2">
      <c r="AF59096" s="679"/>
    </row>
    <row r="59097" spans="32:32" x14ac:dyDescent="0.2">
      <c r="AF59097" s="679"/>
    </row>
    <row r="59098" spans="32:32" x14ac:dyDescent="0.2">
      <c r="AF59098" s="679"/>
    </row>
    <row r="59099" spans="32:32" x14ac:dyDescent="0.2">
      <c r="AF59099" s="679"/>
    </row>
    <row r="59100" spans="32:32" x14ac:dyDescent="0.2">
      <c r="AF59100" s="679"/>
    </row>
    <row r="59101" spans="32:32" x14ac:dyDescent="0.2">
      <c r="AF59101" s="679"/>
    </row>
    <row r="59102" spans="32:32" x14ac:dyDescent="0.2">
      <c r="AF59102" s="679"/>
    </row>
    <row r="59103" spans="32:32" x14ac:dyDescent="0.2">
      <c r="AF59103" s="679"/>
    </row>
    <row r="59104" spans="32:32" x14ac:dyDescent="0.2">
      <c r="AF59104" s="679"/>
    </row>
    <row r="59105" spans="32:32" x14ac:dyDescent="0.2">
      <c r="AF59105" s="679"/>
    </row>
    <row r="59106" spans="32:32" x14ac:dyDescent="0.2">
      <c r="AF59106" s="679"/>
    </row>
    <row r="59107" spans="32:32" x14ac:dyDescent="0.2">
      <c r="AF59107" s="679"/>
    </row>
    <row r="59108" spans="32:32" x14ac:dyDescent="0.2">
      <c r="AF59108" s="679"/>
    </row>
    <row r="59109" spans="32:32" x14ac:dyDescent="0.2">
      <c r="AF59109" s="679"/>
    </row>
    <row r="59110" spans="32:32" x14ac:dyDescent="0.2">
      <c r="AF59110" s="679"/>
    </row>
    <row r="59111" spans="32:32" x14ac:dyDescent="0.2">
      <c r="AF59111" s="679"/>
    </row>
    <row r="59112" spans="32:32" x14ac:dyDescent="0.2">
      <c r="AF59112" s="679"/>
    </row>
    <row r="59113" spans="32:32" x14ac:dyDescent="0.2">
      <c r="AF59113" s="679"/>
    </row>
    <row r="59114" spans="32:32" x14ac:dyDescent="0.2">
      <c r="AF59114" s="679"/>
    </row>
    <row r="59115" spans="32:32" x14ac:dyDescent="0.2">
      <c r="AF59115" s="679"/>
    </row>
    <row r="59116" spans="32:32" x14ac:dyDescent="0.2">
      <c r="AF59116" s="679"/>
    </row>
    <row r="59117" spans="32:32" x14ac:dyDescent="0.2">
      <c r="AF59117" s="679"/>
    </row>
    <row r="59118" spans="32:32" x14ac:dyDescent="0.2">
      <c r="AF59118" s="679"/>
    </row>
    <row r="59119" spans="32:32" x14ac:dyDescent="0.2">
      <c r="AF59119" s="679"/>
    </row>
    <row r="59120" spans="32:32" x14ac:dyDescent="0.2">
      <c r="AF59120" s="679"/>
    </row>
    <row r="59121" spans="32:32" x14ac:dyDescent="0.2">
      <c r="AF59121" s="679"/>
    </row>
    <row r="59122" spans="32:32" x14ac:dyDescent="0.2">
      <c r="AF59122" s="679"/>
    </row>
    <row r="59123" spans="32:32" x14ac:dyDescent="0.2">
      <c r="AF59123" s="679"/>
    </row>
    <row r="59124" spans="32:32" x14ac:dyDescent="0.2">
      <c r="AF59124" s="679"/>
    </row>
    <row r="59125" spans="32:32" x14ac:dyDescent="0.2">
      <c r="AF59125" s="679"/>
    </row>
    <row r="59126" spans="32:32" x14ac:dyDescent="0.2">
      <c r="AF59126" s="679"/>
    </row>
    <row r="59127" spans="32:32" x14ac:dyDescent="0.2">
      <c r="AF59127" s="679"/>
    </row>
    <row r="59128" spans="32:32" x14ac:dyDescent="0.2">
      <c r="AF59128" s="679"/>
    </row>
    <row r="59129" spans="32:32" x14ac:dyDescent="0.2">
      <c r="AF59129" s="679"/>
    </row>
    <row r="59130" spans="32:32" x14ac:dyDescent="0.2">
      <c r="AF59130" s="679"/>
    </row>
    <row r="59131" spans="32:32" x14ac:dyDescent="0.2">
      <c r="AF59131" s="679"/>
    </row>
    <row r="59132" spans="32:32" x14ac:dyDescent="0.2">
      <c r="AF59132" s="679"/>
    </row>
    <row r="59133" spans="32:32" x14ac:dyDescent="0.2">
      <c r="AF59133" s="679"/>
    </row>
    <row r="59134" spans="32:32" x14ac:dyDescent="0.2">
      <c r="AF59134" s="679"/>
    </row>
    <row r="59135" spans="32:32" x14ac:dyDescent="0.2">
      <c r="AF59135" s="679"/>
    </row>
    <row r="59136" spans="32:32" x14ac:dyDescent="0.2">
      <c r="AF59136" s="679"/>
    </row>
    <row r="59137" spans="32:32" x14ac:dyDescent="0.2">
      <c r="AF59137" s="679"/>
    </row>
    <row r="59138" spans="32:32" x14ac:dyDescent="0.2">
      <c r="AF59138" s="679"/>
    </row>
    <row r="59139" spans="32:32" x14ac:dyDescent="0.2">
      <c r="AF59139" s="679"/>
    </row>
    <row r="59140" spans="32:32" x14ac:dyDescent="0.2">
      <c r="AF59140" s="679"/>
    </row>
    <row r="59141" spans="32:32" x14ac:dyDescent="0.2">
      <c r="AF59141" s="679"/>
    </row>
    <row r="59142" spans="32:32" x14ac:dyDescent="0.2">
      <c r="AF59142" s="679"/>
    </row>
    <row r="59143" spans="32:32" x14ac:dyDescent="0.2">
      <c r="AF59143" s="679"/>
    </row>
    <row r="59144" spans="32:32" x14ac:dyDescent="0.2">
      <c r="AF59144" s="679"/>
    </row>
    <row r="59145" spans="32:32" x14ac:dyDescent="0.2">
      <c r="AF59145" s="679"/>
    </row>
    <row r="59146" spans="32:32" x14ac:dyDescent="0.2">
      <c r="AF59146" s="679"/>
    </row>
    <row r="59147" spans="32:32" x14ac:dyDescent="0.2">
      <c r="AF59147" s="679"/>
    </row>
    <row r="59148" spans="32:32" x14ac:dyDescent="0.2">
      <c r="AF59148" s="679"/>
    </row>
    <row r="59149" spans="32:32" x14ac:dyDescent="0.2">
      <c r="AF59149" s="679"/>
    </row>
    <row r="59150" spans="32:32" x14ac:dyDescent="0.2">
      <c r="AF59150" s="679"/>
    </row>
    <row r="59151" spans="32:32" x14ac:dyDescent="0.2">
      <c r="AF59151" s="679"/>
    </row>
    <row r="59152" spans="32:32" x14ac:dyDescent="0.2">
      <c r="AF59152" s="679"/>
    </row>
    <row r="59153" spans="32:32" x14ac:dyDescent="0.2">
      <c r="AF59153" s="679"/>
    </row>
    <row r="59154" spans="32:32" x14ac:dyDescent="0.2">
      <c r="AF59154" s="679"/>
    </row>
    <row r="59155" spans="32:32" x14ac:dyDescent="0.2">
      <c r="AF59155" s="679"/>
    </row>
    <row r="59156" spans="32:32" x14ac:dyDescent="0.2">
      <c r="AF59156" s="679"/>
    </row>
    <row r="59157" spans="32:32" x14ac:dyDescent="0.2">
      <c r="AF59157" s="679"/>
    </row>
    <row r="59158" spans="32:32" x14ac:dyDescent="0.2">
      <c r="AF59158" s="679"/>
    </row>
    <row r="59159" spans="32:32" x14ac:dyDescent="0.2">
      <c r="AF59159" s="679"/>
    </row>
    <row r="59160" spans="32:32" x14ac:dyDescent="0.2">
      <c r="AF59160" s="679"/>
    </row>
    <row r="59161" spans="32:32" x14ac:dyDescent="0.2">
      <c r="AF59161" s="679"/>
    </row>
    <row r="59162" spans="32:32" x14ac:dyDescent="0.2">
      <c r="AF59162" s="679"/>
    </row>
    <row r="59163" spans="32:32" x14ac:dyDescent="0.2">
      <c r="AF59163" s="679"/>
    </row>
    <row r="59164" spans="32:32" x14ac:dyDescent="0.2">
      <c r="AF59164" s="679"/>
    </row>
    <row r="59165" spans="32:32" x14ac:dyDescent="0.2">
      <c r="AF59165" s="679"/>
    </row>
    <row r="59166" spans="32:32" x14ac:dyDescent="0.2">
      <c r="AF59166" s="679"/>
    </row>
    <row r="59167" spans="32:32" x14ac:dyDescent="0.2">
      <c r="AF59167" s="679"/>
    </row>
    <row r="59168" spans="32:32" x14ac:dyDescent="0.2">
      <c r="AF59168" s="679"/>
    </row>
    <row r="59169" spans="32:32" x14ac:dyDescent="0.2">
      <c r="AF59169" s="679"/>
    </row>
    <row r="59170" spans="32:32" x14ac:dyDescent="0.2">
      <c r="AF59170" s="679"/>
    </row>
    <row r="59171" spans="32:32" x14ac:dyDescent="0.2">
      <c r="AF59171" s="679"/>
    </row>
    <row r="59172" spans="32:32" x14ac:dyDescent="0.2">
      <c r="AF59172" s="679"/>
    </row>
    <row r="59173" spans="32:32" x14ac:dyDescent="0.2">
      <c r="AF59173" s="679"/>
    </row>
    <row r="59174" spans="32:32" x14ac:dyDescent="0.2">
      <c r="AF59174" s="679"/>
    </row>
    <row r="59175" spans="32:32" x14ac:dyDescent="0.2">
      <c r="AF59175" s="679"/>
    </row>
    <row r="59176" spans="32:32" x14ac:dyDescent="0.2">
      <c r="AF59176" s="679"/>
    </row>
    <row r="59177" spans="32:32" x14ac:dyDescent="0.2">
      <c r="AF59177" s="679"/>
    </row>
    <row r="59178" spans="32:32" x14ac:dyDescent="0.2">
      <c r="AF59178" s="679"/>
    </row>
    <row r="59179" spans="32:32" x14ac:dyDescent="0.2">
      <c r="AF59179" s="679"/>
    </row>
    <row r="59180" spans="32:32" x14ac:dyDescent="0.2">
      <c r="AF59180" s="679"/>
    </row>
    <row r="59181" spans="32:32" x14ac:dyDescent="0.2">
      <c r="AF59181" s="679"/>
    </row>
    <row r="59182" spans="32:32" x14ac:dyDescent="0.2">
      <c r="AF59182" s="679"/>
    </row>
    <row r="59183" spans="32:32" x14ac:dyDescent="0.2">
      <c r="AF59183" s="679"/>
    </row>
    <row r="59184" spans="32:32" x14ac:dyDescent="0.2">
      <c r="AF59184" s="679"/>
    </row>
    <row r="59185" spans="32:32" x14ac:dyDescent="0.2">
      <c r="AF59185" s="679"/>
    </row>
    <row r="59186" spans="32:32" x14ac:dyDescent="0.2">
      <c r="AF59186" s="679"/>
    </row>
    <row r="59187" spans="32:32" x14ac:dyDescent="0.2">
      <c r="AF59187" s="679"/>
    </row>
    <row r="59188" spans="32:32" x14ac:dyDescent="0.2">
      <c r="AF59188" s="679"/>
    </row>
    <row r="59189" spans="32:32" x14ac:dyDescent="0.2">
      <c r="AF59189" s="679"/>
    </row>
    <row r="59190" spans="32:32" x14ac:dyDescent="0.2">
      <c r="AF59190" s="679"/>
    </row>
    <row r="59191" spans="32:32" x14ac:dyDescent="0.2">
      <c r="AF59191" s="679"/>
    </row>
    <row r="59192" spans="32:32" x14ac:dyDescent="0.2">
      <c r="AF59192" s="679"/>
    </row>
    <row r="59193" spans="32:32" x14ac:dyDescent="0.2">
      <c r="AF59193" s="679"/>
    </row>
    <row r="59194" spans="32:32" x14ac:dyDescent="0.2">
      <c r="AF59194" s="679"/>
    </row>
    <row r="59195" spans="32:32" x14ac:dyDescent="0.2">
      <c r="AF59195" s="679"/>
    </row>
    <row r="59196" spans="32:32" x14ac:dyDescent="0.2">
      <c r="AF59196" s="679"/>
    </row>
    <row r="59197" spans="32:32" x14ac:dyDescent="0.2">
      <c r="AF59197" s="679"/>
    </row>
    <row r="59198" spans="32:32" x14ac:dyDescent="0.2">
      <c r="AF59198" s="679"/>
    </row>
    <row r="59199" spans="32:32" x14ac:dyDescent="0.2">
      <c r="AF59199" s="679"/>
    </row>
    <row r="59200" spans="32:32" x14ac:dyDescent="0.2">
      <c r="AF59200" s="679"/>
    </row>
    <row r="59201" spans="32:32" x14ac:dyDescent="0.2">
      <c r="AF59201" s="679"/>
    </row>
    <row r="59202" spans="32:32" x14ac:dyDescent="0.2">
      <c r="AF59202" s="679"/>
    </row>
    <row r="59203" spans="32:32" x14ac:dyDescent="0.2">
      <c r="AF59203" s="679"/>
    </row>
    <row r="59204" spans="32:32" x14ac:dyDescent="0.2">
      <c r="AF59204" s="679"/>
    </row>
    <row r="59205" spans="32:32" x14ac:dyDescent="0.2">
      <c r="AF59205" s="679"/>
    </row>
    <row r="59206" spans="32:32" x14ac:dyDescent="0.2">
      <c r="AF59206" s="679"/>
    </row>
    <row r="59207" spans="32:32" x14ac:dyDescent="0.2">
      <c r="AF59207" s="679"/>
    </row>
    <row r="59208" spans="32:32" x14ac:dyDescent="0.2">
      <c r="AF59208" s="679"/>
    </row>
    <row r="59209" spans="32:32" x14ac:dyDescent="0.2">
      <c r="AF59209" s="679"/>
    </row>
    <row r="59210" spans="32:32" x14ac:dyDescent="0.2">
      <c r="AF59210" s="679"/>
    </row>
    <row r="59211" spans="32:32" x14ac:dyDescent="0.2">
      <c r="AF59211" s="679"/>
    </row>
    <row r="59212" spans="32:32" x14ac:dyDescent="0.2">
      <c r="AF59212" s="679"/>
    </row>
    <row r="59213" spans="32:32" x14ac:dyDescent="0.2">
      <c r="AF59213" s="679"/>
    </row>
    <row r="59214" spans="32:32" x14ac:dyDescent="0.2">
      <c r="AF59214" s="679"/>
    </row>
    <row r="59215" spans="32:32" x14ac:dyDescent="0.2">
      <c r="AF59215" s="679"/>
    </row>
    <row r="59216" spans="32:32" x14ac:dyDescent="0.2">
      <c r="AF59216" s="679"/>
    </row>
    <row r="59217" spans="32:32" x14ac:dyDescent="0.2">
      <c r="AF59217" s="679"/>
    </row>
    <row r="59218" spans="32:32" x14ac:dyDescent="0.2">
      <c r="AF59218" s="679"/>
    </row>
    <row r="59219" spans="32:32" x14ac:dyDescent="0.2">
      <c r="AF59219" s="679"/>
    </row>
    <row r="59220" spans="32:32" x14ac:dyDescent="0.2">
      <c r="AF59220" s="679"/>
    </row>
    <row r="59221" spans="32:32" x14ac:dyDescent="0.2">
      <c r="AF59221" s="679"/>
    </row>
    <row r="59222" spans="32:32" x14ac:dyDescent="0.2">
      <c r="AF59222" s="679"/>
    </row>
    <row r="59223" spans="32:32" x14ac:dyDescent="0.2">
      <c r="AF59223" s="679"/>
    </row>
    <row r="59224" spans="32:32" x14ac:dyDescent="0.2">
      <c r="AF59224" s="679"/>
    </row>
    <row r="59225" spans="32:32" x14ac:dyDescent="0.2">
      <c r="AF59225" s="679"/>
    </row>
    <row r="59226" spans="32:32" x14ac:dyDescent="0.2">
      <c r="AF59226" s="679"/>
    </row>
    <row r="59227" spans="32:32" x14ac:dyDescent="0.2">
      <c r="AF59227" s="679"/>
    </row>
    <row r="59228" spans="32:32" x14ac:dyDescent="0.2">
      <c r="AF59228" s="679"/>
    </row>
    <row r="59229" spans="32:32" x14ac:dyDescent="0.2">
      <c r="AF59229" s="679"/>
    </row>
    <row r="59230" spans="32:32" x14ac:dyDescent="0.2">
      <c r="AF59230" s="679"/>
    </row>
    <row r="59231" spans="32:32" x14ac:dyDescent="0.2">
      <c r="AF59231" s="679"/>
    </row>
    <row r="59232" spans="32:32" x14ac:dyDescent="0.2">
      <c r="AF59232" s="679"/>
    </row>
    <row r="59233" spans="32:32" x14ac:dyDescent="0.2">
      <c r="AF59233" s="679"/>
    </row>
    <row r="59234" spans="32:32" x14ac:dyDescent="0.2">
      <c r="AF59234" s="679"/>
    </row>
    <row r="59235" spans="32:32" x14ac:dyDescent="0.2">
      <c r="AF59235" s="679"/>
    </row>
    <row r="59236" spans="32:32" x14ac:dyDescent="0.2">
      <c r="AF59236" s="679"/>
    </row>
    <row r="59237" spans="32:32" x14ac:dyDescent="0.2">
      <c r="AF59237" s="679"/>
    </row>
    <row r="59238" spans="32:32" x14ac:dyDescent="0.2">
      <c r="AF59238" s="679"/>
    </row>
    <row r="59239" spans="32:32" x14ac:dyDescent="0.2">
      <c r="AF59239" s="679"/>
    </row>
    <row r="59240" spans="32:32" x14ac:dyDescent="0.2">
      <c r="AF59240" s="679"/>
    </row>
    <row r="59241" spans="32:32" x14ac:dyDescent="0.2">
      <c r="AF59241" s="679"/>
    </row>
    <row r="59242" spans="32:32" x14ac:dyDescent="0.2">
      <c r="AF59242" s="679"/>
    </row>
    <row r="59243" spans="32:32" x14ac:dyDescent="0.2">
      <c r="AF59243" s="679"/>
    </row>
    <row r="59244" spans="32:32" x14ac:dyDescent="0.2">
      <c r="AF59244" s="679"/>
    </row>
    <row r="59245" spans="32:32" x14ac:dyDescent="0.2">
      <c r="AF59245" s="679"/>
    </row>
    <row r="59246" spans="32:32" x14ac:dyDescent="0.2">
      <c r="AF59246" s="679"/>
    </row>
    <row r="59247" spans="32:32" x14ac:dyDescent="0.2">
      <c r="AF59247" s="679"/>
    </row>
    <row r="59248" spans="32:32" x14ac:dyDescent="0.2">
      <c r="AF59248" s="679"/>
    </row>
    <row r="59249" spans="32:32" x14ac:dyDescent="0.2">
      <c r="AF59249" s="679"/>
    </row>
    <row r="59250" spans="32:32" x14ac:dyDescent="0.2">
      <c r="AF59250" s="679"/>
    </row>
    <row r="59251" spans="32:32" x14ac:dyDescent="0.2">
      <c r="AF59251" s="679"/>
    </row>
    <row r="59252" spans="32:32" x14ac:dyDescent="0.2">
      <c r="AF59252" s="679"/>
    </row>
    <row r="59253" spans="32:32" x14ac:dyDescent="0.2">
      <c r="AF59253" s="679"/>
    </row>
    <row r="59254" spans="32:32" x14ac:dyDescent="0.2">
      <c r="AF59254" s="679"/>
    </row>
    <row r="59255" spans="32:32" x14ac:dyDescent="0.2">
      <c r="AF59255" s="679"/>
    </row>
    <row r="59256" spans="32:32" x14ac:dyDescent="0.2">
      <c r="AF59256" s="679"/>
    </row>
    <row r="59257" spans="32:32" x14ac:dyDescent="0.2">
      <c r="AF59257" s="679"/>
    </row>
    <row r="59258" spans="32:32" x14ac:dyDescent="0.2">
      <c r="AF59258" s="679"/>
    </row>
    <row r="59259" spans="32:32" x14ac:dyDescent="0.2">
      <c r="AF59259" s="679"/>
    </row>
    <row r="59260" spans="32:32" x14ac:dyDescent="0.2">
      <c r="AF59260" s="679"/>
    </row>
    <row r="59261" spans="32:32" x14ac:dyDescent="0.2">
      <c r="AF59261" s="679"/>
    </row>
    <row r="59262" spans="32:32" x14ac:dyDescent="0.2">
      <c r="AF59262" s="679"/>
    </row>
    <row r="59263" spans="32:32" x14ac:dyDescent="0.2">
      <c r="AF59263" s="679"/>
    </row>
    <row r="59264" spans="32:32" x14ac:dyDescent="0.2">
      <c r="AF59264" s="679"/>
    </row>
    <row r="59265" spans="32:32" x14ac:dyDescent="0.2">
      <c r="AF59265" s="679"/>
    </row>
    <row r="59266" spans="32:32" x14ac:dyDescent="0.2">
      <c r="AF59266" s="679"/>
    </row>
    <row r="59267" spans="32:32" x14ac:dyDescent="0.2">
      <c r="AF59267" s="679"/>
    </row>
    <row r="59268" spans="32:32" x14ac:dyDescent="0.2">
      <c r="AF59268" s="679"/>
    </row>
    <row r="59269" spans="32:32" x14ac:dyDescent="0.2">
      <c r="AF59269" s="679"/>
    </row>
    <row r="59270" spans="32:32" x14ac:dyDescent="0.2">
      <c r="AF59270" s="679"/>
    </row>
    <row r="59271" spans="32:32" x14ac:dyDescent="0.2">
      <c r="AF59271" s="679"/>
    </row>
    <row r="59272" spans="32:32" x14ac:dyDescent="0.2">
      <c r="AF59272" s="679"/>
    </row>
    <row r="59273" spans="32:32" x14ac:dyDescent="0.2">
      <c r="AF59273" s="679"/>
    </row>
    <row r="59274" spans="32:32" x14ac:dyDescent="0.2">
      <c r="AF59274" s="679"/>
    </row>
    <row r="59275" spans="32:32" x14ac:dyDescent="0.2">
      <c r="AF59275" s="679"/>
    </row>
    <row r="59276" spans="32:32" x14ac:dyDescent="0.2">
      <c r="AF59276" s="679"/>
    </row>
    <row r="59277" spans="32:32" x14ac:dyDescent="0.2">
      <c r="AF59277" s="679"/>
    </row>
    <row r="59278" spans="32:32" x14ac:dyDescent="0.2">
      <c r="AF59278" s="679"/>
    </row>
    <row r="59279" spans="32:32" x14ac:dyDescent="0.2">
      <c r="AF59279" s="679"/>
    </row>
    <row r="59280" spans="32:32" x14ac:dyDescent="0.2">
      <c r="AF59280" s="679"/>
    </row>
    <row r="59281" spans="32:32" x14ac:dyDescent="0.2">
      <c r="AF59281" s="679"/>
    </row>
    <row r="59282" spans="32:32" x14ac:dyDescent="0.2">
      <c r="AF59282" s="679"/>
    </row>
    <row r="59283" spans="32:32" x14ac:dyDescent="0.2">
      <c r="AF59283" s="679"/>
    </row>
    <row r="59284" spans="32:32" x14ac:dyDescent="0.2">
      <c r="AF59284" s="679"/>
    </row>
    <row r="59285" spans="32:32" x14ac:dyDescent="0.2">
      <c r="AF59285" s="679"/>
    </row>
    <row r="59286" spans="32:32" x14ac:dyDescent="0.2">
      <c r="AF59286" s="679"/>
    </row>
    <row r="59287" spans="32:32" x14ac:dyDescent="0.2">
      <c r="AF59287" s="679"/>
    </row>
    <row r="59288" spans="32:32" x14ac:dyDescent="0.2">
      <c r="AF59288" s="679"/>
    </row>
    <row r="59289" spans="32:32" x14ac:dyDescent="0.2">
      <c r="AF59289" s="679"/>
    </row>
    <row r="59290" spans="32:32" x14ac:dyDescent="0.2">
      <c r="AF59290" s="679"/>
    </row>
    <row r="59291" spans="32:32" x14ac:dyDescent="0.2">
      <c r="AF59291" s="679"/>
    </row>
    <row r="59292" spans="32:32" x14ac:dyDescent="0.2">
      <c r="AF59292" s="679"/>
    </row>
    <row r="59293" spans="32:32" x14ac:dyDescent="0.2">
      <c r="AF59293" s="679"/>
    </row>
    <row r="59294" spans="32:32" x14ac:dyDescent="0.2">
      <c r="AF59294" s="679"/>
    </row>
    <row r="59295" spans="32:32" x14ac:dyDescent="0.2">
      <c r="AF59295" s="679"/>
    </row>
    <row r="59296" spans="32:32" x14ac:dyDescent="0.2">
      <c r="AF59296" s="679"/>
    </row>
    <row r="59297" spans="32:32" x14ac:dyDescent="0.2">
      <c r="AF59297" s="679"/>
    </row>
    <row r="59298" spans="32:32" x14ac:dyDescent="0.2">
      <c r="AF59298" s="679"/>
    </row>
    <row r="59299" spans="32:32" x14ac:dyDescent="0.2">
      <c r="AF59299" s="679"/>
    </row>
    <row r="59300" spans="32:32" x14ac:dyDescent="0.2">
      <c r="AF59300" s="679"/>
    </row>
    <row r="59301" spans="32:32" x14ac:dyDescent="0.2">
      <c r="AF59301" s="679"/>
    </row>
    <row r="59302" spans="32:32" x14ac:dyDescent="0.2">
      <c r="AF59302" s="679"/>
    </row>
    <row r="59303" spans="32:32" x14ac:dyDescent="0.2">
      <c r="AF59303" s="679"/>
    </row>
    <row r="59304" spans="32:32" x14ac:dyDescent="0.2">
      <c r="AF59304" s="679"/>
    </row>
    <row r="59305" spans="32:32" x14ac:dyDescent="0.2">
      <c r="AF59305" s="679"/>
    </row>
    <row r="59306" spans="32:32" x14ac:dyDescent="0.2">
      <c r="AF59306" s="679"/>
    </row>
    <row r="59307" spans="32:32" x14ac:dyDescent="0.2">
      <c r="AF59307" s="679"/>
    </row>
    <row r="59308" spans="32:32" x14ac:dyDescent="0.2">
      <c r="AF59308" s="679"/>
    </row>
    <row r="59309" spans="32:32" x14ac:dyDescent="0.2">
      <c r="AF59309" s="679"/>
    </row>
    <row r="59310" spans="32:32" x14ac:dyDescent="0.2">
      <c r="AF59310" s="679"/>
    </row>
    <row r="59311" spans="32:32" x14ac:dyDescent="0.2">
      <c r="AF59311" s="679"/>
    </row>
    <row r="59312" spans="32:32" x14ac:dyDescent="0.2">
      <c r="AF59312" s="679"/>
    </row>
    <row r="59313" spans="32:32" x14ac:dyDescent="0.2">
      <c r="AF59313" s="679"/>
    </row>
    <row r="59314" spans="32:32" x14ac:dyDescent="0.2">
      <c r="AF59314" s="679"/>
    </row>
    <row r="59315" spans="32:32" x14ac:dyDescent="0.2">
      <c r="AF59315" s="679"/>
    </row>
    <row r="59316" spans="32:32" x14ac:dyDescent="0.2">
      <c r="AF59316" s="679"/>
    </row>
    <row r="59317" spans="32:32" x14ac:dyDescent="0.2">
      <c r="AF59317" s="679"/>
    </row>
    <row r="59318" spans="32:32" x14ac:dyDescent="0.2">
      <c r="AF59318" s="679"/>
    </row>
    <row r="59319" spans="32:32" x14ac:dyDescent="0.2">
      <c r="AF59319" s="679"/>
    </row>
    <row r="59320" spans="32:32" x14ac:dyDescent="0.2">
      <c r="AF59320" s="679"/>
    </row>
    <row r="59321" spans="32:32" x14ac:dyDescent="0.2">
      <c r="AF59321" s="679"/>
    </row>
    <row r="59322" spans="32:32" x14ac:dyDescent="0.2">
      <c r="AF59322" s="679"/>
    </row>
    <row r="59323" spans="32:32" x14ac:dyDescent="0.2">
      <c r="AF59323" s="679"/>
    </row>
    <row r="59324" spans="32:32" x14ac:dyDescent="0.2">
      <c r="AF59324" s="679"/>
    </row>
    <row r="59325" spans="32:32" x14ac:dyDescent="0.2">
      <c r="AF59325" s="679"/>
    </row>
    <row r="59326" spans="32:32" x14ac:dyDescent="0.2">
      <c r="AF59326" s="679"/>
    </row>
    <row r="59327" spans="32:32" x14ac:dyDescent="0.2">
      <c r="AF59327" s="679"/>
    </row>
    <row r="59328" spans="32:32" x14ac:dyDescent="0.2">
      <c r="AF59328" s="679"/>
    </row>
    <row r="59329" spans="32:32" x14ac:dyDescent="0.2">
      <c r="AF59329" s="679"/>
    </row>
    <row r="59330" spans="32:32" x14ac:dyDescent="0.2">
      <c r="AF59330" s="679"/>
    </row>
    <row r="59331" spans="32:32" x14ac:dyDescent="0.2">
      <c r="AF59331" s="679"/>
    </row>
    <row r="59332" spans="32:32" x14ac:dyDescent="0.2">
      <c r="AF59332" s="679"/>
    </row>
    <row r="59333" spans="32:32" x14ac:dyDescent="0.2">
      <c r="AF59333" s="679"/>
    </row>
    <row r="59334" spans="32:32" x14ac:dyDescent="0.2">
      <c r="AF59334" s="679"/>
    </row>
    <row r="59335" spans="32:32" x14ac:dyDescent="0.2">
      <c r="AF59335" s="679"/>
    </row>
    <row r="59336" spans="32:32" x14ac:dyDescent="0.2">
      <c r="AF59336" s="679"/>
    </row>
    <row r="59337" spans="32:32" x14ac:dyDescent="0.2">
      <c r="AF59337" s="679"/>
    </row>
    <row r="59338" spans="32:32" x14ac:dyDescent="0.2">
      <c r="AF59338" s="679"/>
    </row>
    <row r="59339" spans="32:32" x14ac:dyDescent="0.2">
      <c r="AF59339" s="679"/>
    </row>
    <row r="59340" spans="32:32" x14ac:dyDescent="0.2">
      <c r="AF59340" s="679"/>
    </row>
    <row r="59341" spans="32:32" x14ac:dyDescent="0.2">
      <c r="AF59341" s="679"/>
    </row>
    <row r="59342" spans="32:32" x14ac:dyDescent="0.2">
      <c r="AF59342" s="679"/>
    </row>
    <row r="59343" spans="32:32" x14ac:dyDescent="0.2">
      <c r="AF59343" s="679"/>
    </row>
    <row r="59344" spans="32:32" x14ac:dyDescent="0.2">
      <c r="AF59344" s="679"/>
    </row>
    <row r="59345" spans="32:32" x14ac:dyDescent="0.2">
      <c r="AF59345" s="679"/>
    </row>
    <row r="59346" spans="32:32" x14ac:dyDescent="0.2">
      <c r="AF59346" s="679"/>
    </row>
    <row r="59347" spans="32:32" x14ac:dyDescent="0.2">
      <c r="AF59347" s="679"/>
    </row>
    <row r="59348" spans="32:32" x14ac:dyDescent="0.2">
      <c r="AF59348" s="679"/>
    </row>
    <row r="59349" spans="32:32" x14ac:dyDescent="0.2">
      <c r="AF59349" s="679"/>
    </row>
    <row r="59350" spans="32:32" x14ac:dyDescent="0.2">
      <c r="AF59350" s="679"/>
    </row>
    <row r="59351" spans="32:32" x14ac:dyDescent="0.2">
      <c r="AF59351" s="679"/>
    </row>
    <row r="59352" spans="32:32" x14ac:dyDescent="0.2">
      <c r="AF59352" s="679"/>
    </row>
    <row r="59353" spans="32:32" x14ac:dyDescent="0.2">
      <c r="AF59353" s="679"/>
    </row>
    <row r="59354" spans="32:32" x14ac:dyDescent="0.2">
      <c r="AF59354" s="679"/>
    </row>
    <row r="59355" spans="32:32" x14ac:dyDescent="0.2">
      <c r="AF59355" s="679"/>
    </row>
    <row r="59356" spans="32:32" x14ac:dyDescent="0.2">
      <c r="AF59356" s="679"/>
    </row>
    <row r="59357" spans="32:32" x14ac:dyDescent="0.2">
      <c r="AF59357" s="679"/>
    </row>
    <row r="59358" spans="32:32" x14ac:dyDescent="0.2">
      <c r="AF59358" s="679"/>
    </row>
    <row r="59359" spans="32:32" x14ac:dyDescent="0.2">
      <c r="AF59359" s="679"/>
    </row>
    <row r="59360" spans="32:32" x14ac:dyDescent="0.2">
      <c r="AF59360" s="679"/>
    </row>
    <row r="59361" spans="32:32" x14ac:dyDescent="0.2">
      <c r="AF59361" s="679"/>
    </row>
    <row r="59362" spans="32:32" x14ac:dyDescent="0.2">
      <c r="AF59362" s="679"/>
    </row>
    <row r="59363" spans="32:32" x14ac:dyDescent="0.2">
      <c r="AF59363" s="679"/>
    </row>
    <row r="59364" spans="32:32" x14ac:dyDescent="0.2">
      <c r="AF59364" s="679"/>
    </row>
    <row r="59365" spans="32:32" x14ac:dyDescent="0.2">
      <c r="AF59365" s="679"/>
    </row>
    <row r="59366" spans="32:32" x14ac:dyDescent="0.2">
      <c r="AF59366" s="679"/>
    </row>
    <row r="59367" spans="32:32" x14ac:dyDescent="0.2">
      <c r="AF59367" s="679"/>
    </row>
    <row r="59368" spans="32:32" x14ac:dyDescent="0.2">
      <c r="AF59368" s="679"/>
    </row>
    <row r="59369" spans="32:32" x14ac:dyDescent="0.2">
      <c r="AF59369" s="679"/>
    </row>
    <row r="59370" spans="32:32" x14ac:dyDescent="0.2">
      <c r="AF59370" s="679"/>
    </row>
    <row r="59371" spans="32:32" x14ac:dyDescent="0.2">
      <c r="AF59371" s="679"/>
    </row>
    <row r="59372" spans="32:32" x14ac:dyDescent="0.2">
      <c r="AF59372" s="679"/>
    </row>
    <row r="59373" spans="32:32" x14ac:dyDescent="0.2">
      <c r="AF59373" s="679"/>
    </row>
    <row r="59374" spans="32:32" x14ac:dyDescent="0.2">
      <c r="AF59374" s="679"/>
    </row>
    <row r="59375" spans="32:32" x14ac:dyDescent="0.2">
      <c r="AF59375" s="679"/>
    </row>
    <row r="59376" spans="32:32" x14ac:dyDescent="0.2">
      <c r="AF59376" s="679"/>
    </row>
    <row r="59377" spans="32:32" x14ac:dyDescent="0.2">
      <c r="AF59377" s="679"/>
    </row>
    <row r="59378" spans="32:32" x14ac:dyDescent="0.2">
      <c r="AF59378" s="679"/>
    </row>
    <row r="59379" spans="32:32" x14ac:dyDescent="0.2">
      <c r="AF59379" s="679"/>
    </row>
    <row r="59380" spans="32:32" x14ac:dyDescent="0.2">
      <c r="AF59380" s="679"/>
    </row>
    <row r="59381" spans="32:32" x14ac:dyDescent="0.2">
      <c r="AF59381" s="679"/>
    </row>
    <row r="59382" spans="32:32" x14ac:dyDescent="0.2">
      <c r="AF59382" s="679"/>
    </row>
    <row r="59383" spans="32:32" x14ac:dyDescent="0.2">
      <c r="AF59383" s="679"/>
    </row>
    <row r="59384" spans="32:32" x14ac:dyDescent="0.2">
      <c r="AF59384" s="679"/>
    </row>
    <row r="59385" spans="32:32" x14ac:dyDescent="0.2">
      <c r="AF59385" s="679"/>
    </row>
    <row r="59386" spans="32:32" x14ac:dyDescent="0.2">
      <c r="AF59386" s="679"/>
    </row>
    <row r="59387" spans="32:32" x14ac:dyDescent="0.2">
      <c r="AF59387" s="679"/>
    </row>
    <row r="59388" spans="32:32" x14ac:dyDescent="0.2">
      <c r="AF59388" s="679"/>
    </row>
    <row r="59389" spans="32:32" x14ac:dyDescent="0.2">
      <c r="AF59389" s="679"/>
    </row>
    <row r="59390" spans="32:32" x14ac:dyDescent="0.2">
      <c r="AF59390" s="679"/>
    </row>
    <row r="59391" spans="32:32" x14ac:dyDescent="0.2">
      <c r="AF59391" s="679"/>
    </row>
    <row r="59392" spans="32:32" x14ac:dyDescent="0.2">
      <c r="AF59392" s="679"/>
    </row>
    <row r="59393" spans="32:32" x14ac:dyDescent="0.2">
      <c r="AF59393" s="679"/>
    </row>
    <row r="59394" spans="32:32" x14ac:dyDescent="0.2">
      <c r="AF59394" s="679"/>
    </row>
    <row r="59395" spans="32:32" x14ac:dyDescent="0.2">
      <c r="AF59395" s="679"/>
    </row>
    <row r="59396" spans="32:32" x14ac:dyDescent="0.2">
      <c r="AF59396" s="679"/>
    </row>
    <row r="59397" spans="32:32" x14ac:dyDescent="0.2">
      <c r="AF59397" s="679"/>
    </row>
    <row r="59398" spans="32:32" x14ac:dyDescent="0.2">
      <c r="AF59398" s="679"/>
    </row>
    <row r="59399" spans="32:32" x14ac:dyDescent="0.2">
      <c r="AF59399" s="679"/>
    </row>
    <row r="59400" spans="32:32" x14ac:dyDescent="0.2">
      <c r="AF59400" s="679"/>
    </row>
    <row r="59401" spans="32:32" x14ac:dyDescent="0.2">
      <c r="AF59401" s="679"/>
    </row>
    <row r="59402" spans="32:32" x14ac:dyDescent="0.2">
      <c r="AF59402" s="679"/>
    </row>
    <row r="59403" spans="32:32" x14ac:dyDescent="0.2">
      <c r="AF59403" s="679"/>
    </row>
    <row r="59404" spans="32:32" x14ac:dyDescent="0.2">
      <c r="AF59404" s="679"/>
    </row>
    <row r="59405" spans="32:32" x14ac:dyDescent="0.2">
      <c r="AF59405" s="679"/>
    </row>
    <row r="59406" spans="32:32" x14ac:dyDescent="0.2">
      <c r="AF59406" s="679"/>
    </row>
    <row r="59407" spans="32:32" x14ac:dyDescent="0.2">
      <c r="AF59407" s="679"/>
    </row>
    <row r="59408" spans="32:32" x14ac:dyDescent="0.2">
      <c r="AF59408" s="679"/>
    </row>
    <row r="59409" spans="32:32" x14ac:dyDescent="0.2">
      <c r="AF59409" s="679"/>
    </row>
    <row r="59410" spans="32:32" x14ac:dyDescent="0.2">
      <c r="AF59410" s="679"/>
    </row>
    <row r="59411" spans="32:32" x14ac:dyDescent="0.2">
      <c r="AF59411" s="679"/>
    </row>
    <row r="59412" spans="32:32" x14ac:dyDescent="0.2">
      <c r="AF59412" s="679"/>
    </row>
    <row r="59413" spans="32:32" x14ac:dyDescent="0.2">
      <c r="AF59413" s="679"/>
    </row>
    <row r="59414" spans="32:32" x14ac:dyDescent="0.2">
      <c r="AF59414" s="679"/>
    </row>
    <row r="59415" spans="32:32" x14ac:dyDescent="0.2">
      <c r="AF59415" s="679"/>
    </row>
    <row r="59416" spans="32:32" x14ac:dyDescent="0.2">
      <c r="AF59416" s="679"/>
    </row>
    <row r="59417" spans="32:32" x14ac:dyDescent="0.2">
      <c r="AF59417" s="679"/>
    </row>
    <row r="59418" spans="32:32" x14ac:dyDescent="0.2">
      <c r="AF59418" s="679"/>
    </row>
    <row r="59419" spans="32:32" x14ac:dyDescent="0.2">
      <c r="AF59419" s="679"/>
    </row>
    <row r="59420" spans="32:32" x14ac:dyDescent="0.2">
      <c r="AF59420" s="679"/>
    </row>
    <row r="59421" spans="32:32" x14ac:dyDescent="0.2">
      <c r="AF59421" s="679"/>
    </row>
    <row r="59422" spans="32:32" x14ac:dyDescent="0.2">
      <c r="AF59422" s="679"/>
    </row>
    <row r="59423" spans="32:32" x14ac:dyDescent="0.2">
      <c r="AF59423" s="679"/>
    </row>
    <row r="59424" spans="32:32" x14ac:dyDescent="0.2">
      <c r="AF59424" s="679"/>
    </row>
    <row r="59425" spans="32:32" x14ac:dyDescent="0.2">
      <c r="AF59425" s="679"/>
    </row>
    <row r="59426" spans="32:32" x14ac:dyDescent="0.2">
      <c r="AF59426" s="679"/>
    </row>
    <row r="59427" spans="32:32" x14ac:dyDescent="0.2">
      <c r="AF59427" s="679"/>
    </row>
    <row r="59428" spans="32:32" x14ac:dyDescent="0.2">
      <c r="AF59428" s="679"/>
    </row>
    <row r="59429" spans="32:32" x14ac:dyDescent="0.2">
      <c r="AF59429" s="679"/>
    </row>
    <row r="59430" spans="32:32" x14ac:dyDescent="0.2">
      <c r="AF59430" s="679"/>
    </row>
    <row r="59431" spans="32:32" x14ac:dyDescent="0.2">
      <c r="AF59431" s="679"/>
    </row>
    <row r="59432" spans="32:32" x14ac:dyDescent="0.2">
      <c r="AF59432" s="679"/>
    </row>
    <row r="59433" spans="32:32" x14ac:dyDescent="0.2">
      <c r="AF59433" s="679"/>
    </row>
    <row r="59434" spans="32:32" x14ac:dyDescent="0.2">
      <c r="AF59434" s="679"/>
    </row>
    <row r="59435" spans="32:32" x14ac:dyDescent="0.2">
      <c r="AF59435" s="679"/>
    </row>
    <row r="59436" spans="32:32" x14ac:dyDescent="0.2">
      <c r="AF59436" s="679"/>
    </row>
    <row r="59437" spans="32:32" x14ac:dyDescent="0.2">
      <c r="AF59437" s="679"/>
    </row>
    <row r="59438" spans="32:32" x14ac:dyDescent="0.2">
      <c r="AF59438" s="679"/>
    </row>
    <row r="59439" spans="32:32" x14ac:dyDescent="0.2">
      <c r="AF59439" s="679"/>
    </row>
    <row r="59440" spans="32:32" x14ac:dyDescent="0.2">
      <c r="AF59440" s="679"/>
    </row>
    <row r="59441" spans="32:32" x14ac:dyDescent="0.2">
      <c r="AF59441" s="679"/>
    </row>
    <row r="59442" spans="32:32" x14ac:dyDescent="0.2">
      <c r="AF59442" s="679"/>
    </row>
    <row r="59443" spans="32:32" x14ac:dyDescent="0.2">
      <c r="AF59443" s="679"/>
    </row>
    <row r="59444" spans="32:32" x14ac:dyDescent="0.2">
      <c r="AF59444" s="679"/>
    </row>
    <row r="59445" spans="32:32" x14ac:dyDescent="0.2">
      <c r="AF59445" s="679"/>
    </row>
    <row r="59446" spans="32:32" x14ac:dyDescent="0.2">
      <c r="AF59446" s="679"/>
    </row>
    <row r="59447" spans="32:32" x14ac:dyDescent="0.2">
      <c r="AF59447" s="679"/>
    </row>
    <row r="59448" spans="32:32" x14ac:dyDescent="0.2">
      <c r="AF59448" s="679"/>
    </row>
    <row r="59449" spans="32:32" x14ac:dyDescent="0.2">
      <c r="AF59449" s="679"/>
    </row>
    <row r="59450" spans="32:32" x14ac:dyDescent="0.2">
      <c r="AF59450" s="679"/>
    </row>
    <row r="59451" spans="32:32" x14ac:dyDescent="0.2">
      <c r="AF59451" s="679"/>
    </row>
    <row r="59452" spans="32:32" x14ac:dyDescent="0.2">
      <c r="AF59452" s="679"/>
    </row>
    <row r="59453" spans="32:32" x14ac:dyDescent="0.2">
      <c r="AF59453" s="679"/>
    </row>
    <row r="59454" spans="32:32" x14ac:dyDescent="0.2">
      <c r="AF59454" s="679"/>
    </row>
    <row r="59455" spans="32:32" x14ac:dyDescent="0.2">
      <c r="AF59455" s="679"/>
    </row>
    <row r="59456" spans="32:32" x14ac:dyDescent="0.2">
      <c r="AF59456" s="679"/>
    </row>
    <row r="59457" spans="32:32" x14ac:dyDescent="0.2">
      <c r="AF59457" s="679"/>
    </row>
    <row r="59458" spans="32:32" x14ac:dyDescent="0.2">
      <c r="AF59458" s="679"/>
    </row>
    <row r="59459" spans="32:32" x14ac:dyDescent="0.2">
      <c r="AF59459" s="679"/>
    </row>
    <row r="59460" spans="32:32" x14ac:dyDescent="0.2">
      <c r="AF59460" s="679"/>
    </row>
    <row r="59461" spans="32:32" x14ac:dyDescent="0.2">
      <c r="AF59461" s="679"/>
    </row>
    <row r="59462" spans="32:32" x14ac:dyDescent="0.2">
      <c r="AF59462" s="679"/>
    </row>
    <row r="59463" spans="32:32" x14ac:dyDescent="0.2">
      <c r="AF59463" s="679"/>
    </row>
    <row r="59464" spans="32:32" x14ac:dyDescent="0.2">
      <c r="AF59464" s="679"/>
    </row>
    <row r="59465" spans="32:32" x14ac:dyDescent="0.2">
      <c r="AF59465" s="679"/>
    </row>
    <row r="59466" spans="32:32" x14ac:dyDescent="0.2">
      <c r="AF59466" s="679"/>
    </row>
    <row r="59467" spans="32:32" x14ac:dyDescent="0.2">
      <c r="AF59467" s="679"/>
    </row>
    <row r="59468" spans="32:32" x14ac:dyDescent="0.2">
      <c r="AF59468" s="679"/>
    </row>
    <row r="59469" spans="32:32" x14ac:dyDescent="0.2">
      <c r="AF59469" s="679"/>
    </row>
    <row r="59470" spans="32:32" x14ac:dyDescent="0.2">
      <c r="AF59470" s="679"/>
    </row>
    <row r="59471" spans="32:32" x14ac:dyDescent="0.2">
      <c r="AF59471" s="679"/>
    </row>
    <row r="59472" spans="32:32" x14ac:dyDescent="0.2">
      <c r="AF59472" s="679"/>
    </row>
    <row r="59473" spans="32:32" x14ac:dyDescent="0.2">
      <c r="AF59473" s="679"/>
    </row>
    <row r="59474" spans="32:32" x14ac:dyDescent="0.2">
      <c r="AF59474" s="679"/>
    </row>
    <row r="59475" spans="32:32" x14ac:dyDescent="0.2">
      <c r="AF59475" s="679"/>
    </row>
    <row r="59476" spans="32:32" x14ac:dyDescent="0.2">
      <c r="AF59476" s="679"/>
    </row>
    <row r="59477" spans="32:32" x14ac:dyDescent="0.2">
      <c r="AF59477" s="679"/>
    </row>
    <row r="59478" spans="32:32" x14ac:dyDescent="0.2">
      <c r="AF59478" s="679"/>
    </row>
    <row r="59479" spans="32:32" x14ac:dyDescent="0.2">
      <c r="AF59479" s="679"/>
    </row>
    <row r="59480" spans="32:32" x14ac:dyDescent="0.2">
      <c r="AF59480" s="679"/>
    </row>
    <row r="59481" spans="32:32" x14ac:dyDescent="0.2">
      <c r="AF59481" s="679"/>
    </row>
    <row r="59482" spans="32:32" x14ac:dyDescent="0.2">
      <c r="AF59482" s="679"/>
    </row>
    <row r="59483" spans="32:32" x14ac:dyDescent="0.2">
      <c r="AF59483" s="679"/>
    </row>
    <row r="59484" spans="32:32" x14ac:dyDescent="0.2">
      <c r="AF59484" s="679"/>
    </row>
    <row r="59485" spans="32:32" x14ac:dyDescent="0.2">
      <c r="AF59485" s="679"/>
    </row>
    <row r="59486" spans="32:32" x14ac:dyDescent="0.2">
      <c r="AF59486" s="679"/>
    </row>
    <row r="59487" spans="32:32" x14ac:dyDescent="0.2">
      <c r="AF59487" s="679"/>
    </row>
    <row r="59488" spans="32:32" x14ac:dyDescent="0.2">
      <c r="AF59488" s="679"/>
    </row>
    <row r="59489" spans="32:32" x14ac:dyDescent="0.2">
      <c r="AF59489" s="679"/>
    </row>
    <row r="59490" spans="32:32" x14ac:dyDescent="0.2">
      <c r="AF59490" s="679"/>
    </row>
    <row r="59491" spans="32:32" x14ac:dyDescent="0.2">
      <c r="AF59491" s="679"/>
    </row>
    <row r="59492" spans="32:32" x14ac:dyDescent="0.2">
      <c r="AF59492" s="679"/>
    </row>
    <row r="59493" spans="32:32" x14ac:dyDescent="0.2">
      <c r="AF59493" s="679"/>
    </row>
    <row r="59494" spans="32:32" x14ac:dyDescent="0.2">
      <c r="AF59494" s="679"/>
    </row>
    <row r="59495" spans="32:32" x14ac:dyDescent="0.2">
      <c r="AF59495" s="679"/>
    </row>
    <row r="59496" spans="32:32" x14ac:dyDescent="0.2">
      <c r="AF59496" s="679"/>
    </row>
    <row r="59497" spans="32:32" x14ac:dyDescent="0.2">
      <c r="AF59497" s="679"/>
    </row>
    <row r="59498" spans="32:32" x14ac:dyDescent="0.2">
      <c r="AF59498" s="679"/>
    </row>
    <row r="59499" spans="32:32" x14ac:dyDescent="0.2">
      <c r="AF59499" s="679"/>
    </row>
    <row r="59500" spans="32:32" x14ac:dyDescent="0.2">
      <c r="AF59500" s="679"/>
    </row>
    <row r="59501" spans="32:32" x14ac:dyDescent="0.2">
      <c r="AF59501" s="679"/>
    </row>
    <row r="59502" spans="32:32" x14ac:dyDescent="0.2">
      <c r="AF59502" s="679"/>
    </row>
    <row r="59503" spans="32:32" x14ac:dyDescent="0.2">
      <c r="AF59503" s="679"/>
    </row>
    <row r="59504" spans="32:32" x14ac:dyDescent="0.2">
      <c r="AF59504" s="679"/>
    </row>
    <row r="59505" spans="32:32" x14ac:dyDescent="0.2">
      <c r="AF59505" s="679"/>
    </row>
    <row r="59506" spans="32:32" x14ac:dyDescent="0.2">
      <c r="AF59506" s="679"/>
    </row>
    <row r="59507" spans="32:32" x14ac:dyDescent="0.2">
      <c r="AF59507" s="679"/>
    </row>
    <row r="59508" spans="32:32" x14ac:dyDescent="0.2">
      <c r="AF59508" s="679"/>
    </row>
    <row r="59509" spans="32:32" x14ac:dyDescent="0.2">
      <c r="AF59509" s="679"/>
    </row>
    <row r="59510" spans="32:32" x14ac:dyDescent="0.2">
      <c r="AF59510" s="679"/>
    </row>
    <row r="59511" spans="32:32" x14ac:dyDescent="0.2">
      <c r="AF59511" s="679"/>
    </row>
    <row r="59512" spans="32:32" x14ac:dyDescent="0.2">
      <c r="AF59512" s="679"/>
    </row>
    <row r="59513" spans="32:32" x14ac:dyDescent="0.2">
      <c r="AF59513" s="679"/>
    </row>
    <row r="59514" spans="32:32" x14ac:dyDescent="0.2">
      <c r="AF59514" s="679"/>
    </row>
    <row r="59515" spans="32:32" x14ac:dyDescent="0.2">
      <c r="AF59515" s="679"/>
    </row>
    <row r="59516" spans="32:32" x14ac:dyDescent="0.2">
      <c r="AF59516" s="679"/>
    </row>
    <row r="59517" spans="32:32" x14ac:dyDescent="0.2">
      <c r="AF59517" s="679"/>
    </row>
    <row r="59518" spans="32:32" x14ac:dyDescent="0.2">
      <c r="AF59518" s="679"/>
    </row>
    <row r="59519" spans="32:32" x14ac:dyDescent="0.2">
      <c r="AF59519" s="679"/>
    </row>
    <row r="59520" spans="32:32" x14ac:dyDescent="0.2">
      <c r="AF59520" s="679"/>
    </row>
    <row r="59521" spans="32:32" x14ac:dyDescent="0.2">
      <c r="AF59521" s="679"/>
    </row>
    <row r="59522" spans="32:32" x14ac:dyDescent="0.2">
      <c r="AF59522" s="679"/>
    </row>
    <row r="59523" spans="32:32" x14ac:dyDescent="0.2">
      <c r="AF59523" s="679"/>
    </row>
    <row r="59524" spans="32:32" x14ac:dyDescent="0.2">
      <c r="AF59524" s="679"/>
    </row>
    <row r="59525" spans="32:32" x14ac:dyDescent="0.2">
      <c r="AF59525" s="679"/>
    </row>
    <row r="59526" spans="32:32" x14ac:dyDescent="0.2">
      <c r="AF59526" s="679"/>
    </row>
    <row r="59527" spans="32:32" x14ac:dyDescent="0.2">
      <c r="AF59527" s="679"/>
    </row>
    <row r="59528" spans="32:32" x14ac:dyDescent="0.2">
      <c r="AF59528" s="679"/>
    </row>
    <row r="59529" spans="32:32" x14ac:dyDescent="0.2">
      <c r="AF59529" s="679"/>
    </row>
    <row r="59530" spans="32:32" x14ac:dyDescent="0.2">
      <c r="AF59530" s="679"/>
    </row>
    <row r="59531" spans="32:32" x14ac:dyDescent="0.2">
      <c r="AF59531" s="679"/>
    </row>
    <row r="59532" spans="32:32" x14ac:dyDescent="0.2">
      <c r="AF59532" s="679"/>
    </row>
    <row r="59533" spans="32:32" x14ac:dyDescent="0.2">
      <c r="AF59533" s="679"/>
    </row>
    <row r="59534" spans="32:32" x14ac:dyDescent="0.2">
      <c r="AF59534" s="679"/>
    </row>
    <row r="59535" spans="32:32" x14ac:dyDescent="0.2">
      <c r="AF59535" s="679"/>
    </row>
    <row r="59536" spans="32:32" x14ac:dyDescent="0.2">
      <c r="AF59536" s="679"/>
    </row>
    <row r="59537" spans="32:32" x14ac:dyDescent="0.2">
      <c r="AF59537" s="679"/>
    </row>
    <row r="59538" spans="32:32" x14ac:dyDescent="0.2">
      <c r="AF59538" s="679"/>
    </row>
    <row r="59539" spans="32:32" x14ac:dyDescent="0.2">
      <c r="AF59539" s="679"/>
    </row>
    <row r="59540" spans="32:32" x14ac:dyDescent="0.2">
      <c r="AF59540" s="679"/>
    </row>
    <row r="59541" spans="32:32" x14ac:dyDescent="0.2">
      <c r="AF59541" s="679"/>
    </row>
    <row r="59542" spans="32:32" x14ac:dyDescent="0.2">
      <c r="AF59542" s="679"/>
    </row>
    <row r="59543" spans="32:32" x14ac:dyDescent="0.2">
      <c r="AF59543" s="679"/>
    </row>
    <row r="59544" spans="32:32" x14ac:dyDescent="0.2">
      <c r="AF59544" s="679"/>
    </row>
    <row r="59545" spans="32:32" x14ac:dyDescent="0.2">
      <c r="AF59545" s="679"/>
    </row>
    <row r="59546" spans="32:32" x14ac:dyDescent="0.2">
      <c r="AF59546" s="679"/>
    </row>
    <row r="59547" spans="32:32" x14ac:dyDescent="0.2">
      <c r="AF59547" s="679"/>
    </row>
    <row r="59548" spans="32:32" x14ac:dyDescent="0.2">
      <c r="AF59548" s="679"/>
    </row>
    <row r="59549" spans="32:32" x14ac:dyDescent="0.2">
      <c r="AF59549" s="679"/>
    </row>
    <row r="59550" spans="32:32" x14ac:dyDescent="0.2">
      <c r="AF59550" s="679"/>
    </row>
    <row r="59551" spans="32:32" x14ac:dyDescent="0.2">
      <c r="AF59551" s="679"/>
    </row>
    <row r="59552" spans="32:32" x14ac:dyDescent="0.2">
      <c r="AF59552" s="679"/>
    </row>
    <row r="59553" spans="32:32" x14ac:dyDescent="0.2">
      <c r="AF59553" s="679"/>
    </row>
    <row r="59554" spans="32:32" x14ac:dyDescent="0.2">
      <c r="AF59554" s="679"/>
    </row>
    <row r="59555" spans="32:32" x14ac:dyDescent="0.2">
      <c r="AF59555" s="679"/>
    </row>
    <row r="59556" spans="32:32" x14ac:dyDescent="0.2">
      <c r="AF59556" s="679"/>
    </row>
    <row r="59557" spans="32:32" x14ac:dyDescent="0.2">
      <c r="AF59557" s="679"/>
    </row>
    <row r="59558" spans="32:32" x14ac:dyDescent="0.2">
      <c r="AF59558" s="679"/>
    </row>
    <row r="59559" spans="32:32" x14ac:dyDescent="0.2">
      <c r="AF59559" s="679"/>
    </row>
    <row r="59560" spans="32:32" x14ac:dyDescent="0.2">
      <c r="AF59560" s="679"/>
    </row>
    <row r="59561" spans="32:32" x14ac:dyDescent="0.2">
      <c r="AF59561" s="679"/>
    </row>
    <row r="59562" spans="32:32" x14ac:dyDescent="0.2">
      <c r="AF59562" s="679"/>
    </row>
    <row r="59563" spans="32:32" x14ac:dyDescent="0.2">
      <c r="AF59563" s="679"/>
    </row>
    <row r="59564" spans="32:32" x14ac:dyDescent="0.2">
      <c r="AF59564" s="679"/>
    </row>
    <row r="59565" spans="32:32" x14ac:dyDescent="0.2">
      <c r="AF59565" s="679"/>
    </row>
    <row r="59566" spans="32:32" x14ac:dyDescent="0.2">
      <c r="AF59566" s="679"/>
    </row>
    <row r="59567" spans="32:32" x14ac:dyDescent="0.2">
      <c r="AF59567" s="679"/>
    </row>
    <row r="59568" spans="32:32" x14ac:dyDescent="0.2">
      <c r="AF59568" s="679"/>
    </row>
    <row r="59569" spans="32:32" x14ac:dyDescent="0.2">
      <c r="AF59569" s="679"/>
    </row>
    <row r="59570" spans="32:32" x14ac:dyDescent="0.2">
      <c r="AF59570" s="679"/>
    </row>
    <row r="59571" spans="32:32" x14ac:dyDescent="0.2">
      <c r="AF59571" s="679"/>
    </row>
    <row r="59572" spans="32:32" x14ac:dyDescent="0.2">
      <c r="AF59572" s="679"/>
    </row>
    <row r="59573" spans="32:32" x14ac:dyDescent="0.2">
      <c r="AF59573" s="679"/>
    </row>
    <row r="59574" spans="32:32" x14ac:dyDescent="0.2">
      <c r="AF59574" s="679"/>
    </row>
    <row r="59575" spans="32:32" x14ac:dyDescent="0.2">
      <c r="AF59575" s="679"/>
    </row>
    <row r="59576" spans="32:32" x14ac:dyDescent="0.2">
      <c r="AF59576" s="679"/>
    </row>
    <row r="59577" spans="32:32" x14ac:dyDescent="0.2">
      <c r="AF59577" s="679"/>
    </row>
    <row r="59578" spans="32:32" x14ac:dyDescent="0.2">
      <c r="AF59578" s="679"/>
    </row>
    <row r="59579" spans="32:32" x14ac:dyDescent="0.2">
      <c r="AF59579" s="679"/>
    </row>
    <row r="59580" spans="32:32" x14ac:dyDescent="0.2">
      <c r="AF59580" s="679"/>
    </row>
    <row r="59581" spans="32:32" x14ac:dyDescent="0.2">
      <c r="AF59581" s="679"/>
    </row>
    <row r="59582" spans="32:32" x14ac:dyDescent="0.2">
      <c r="AF59582" s="679"/>
    </row>
    <row r="59583" spans="32:32" x14ac:dyDescent="0.2">
      <c r="AF59583" s="679"/>
    </row>
    <row r="59584" spans="32:32" x14ac:dyDescent="0.2">
      <c r="AF59584" s="679"/>
    </row>
    <row r="59585" spans="32:32" x14ac:dyDescent="0.2">
      <c r="AF59585" s="679"/>
    </row>
    <row r="59586" spans="32:32" x14ac:dyDescent="0.2">
      <c r="AF59586" s="679"/>
    </row>
    <row r="59587" spans="32:32" x14ac:dyDescent="0.2">
      <c r="AF59587" s="679"/>
    </row>
    <row r="59588" spans="32:32" x14ac:dyDescent="0.2">
      <c r="AF59588" s="679"/>
    </row>
    <row r="59589" spans="32:32" x14ac:dyDescent="0.2">
      <c r="AF59589" s="679"/>
    </row>
    <row r="59590" spans="32:32" x14ac:dyDescent="0.2">
      <c r="AF59590" s="679"/>
    </row>
    <row r="59591" spans="32:32" x14ac:dyDescent="0.2">
      <c r="AF59591" s="679"/>
    </row>
    <row r="59592" spans="32:32" x14ac:dyDescent="0.2">
      <c r="AF59592" s="679"/>
    </row>
    <row r="59593" spans="32:32" x14ac:dyDescent="0.2">
      <c r="AF59593" s="679"/>
    </row>
    <row r="59594" spans="32:32" x14ac:dyDescent="0.2">
      <c r="AF59594" s="679"/>
    </row>
    <row r="59595" spans="32:32" x14ac:dyDescent="0.2">
      <c r="AF59595" s="679"/>
    </row>
    <row r="59596" spans="32:32" x14ac:dyDescent="0.2">
      <c r="AF59596" s="679"/>
    </row>
    <row r="59597" spans="32:32" x14ac:dyDescent="0.2">
      <c r="AF59597" s="679"/>
    </row>
    <row r="59598" spans="32:32" x14ac:dyDescent="0.2">
      <c r="AF59598" s="679"/>
    </row>
    <row r="59599" spans="32:32" x14ac:dyDescent="0.2">
      <c r="AF59599" s="679"/>
    </row>
    <row r="59600" spans="32:32" x14ac:dyDescent="0.2">
      <c r="AF59600" s="679"/>
    </row>
    <row r="59601" spans="32:32" x14ac:dyDescent="0.2">
      <c r="AF59601" s="679"/>
    </row>
    <row r="59602" spans="32:32" x14ac:dyDescent="0.2">
      <c r="AF59602" s="679"/>
    </row>
    <row r="59603" spans="32:32" x14ac:dyDescent="0.2">
      <c r="AF59603" s="679"/>
    </row>
    <row r="59604" spans="32:32" x14ac:dyDescent="0.2">
      <c r="AF59604" s="679"/>
    </row>
    <row r="59605" spans="32:32" x14ac:dyDescent="0.2">
      <c r="AF59605" s="679"/>
    </row>
    <row r="59606" spans="32:32" x14ac:dyDescent="0.2">
      <c r="AF59606" s="679"/>
    </row>
    <row r="59607" spans="32:32" x14ac:dyDescent="0.2">
      <c r="AF59607" s="679"/>
    </row>
    <row r="59608" spans="32:32" x14ac:dyDescent="0.2">
      <c r="AF59608" s="679"/>
    </row>
    <row r="59609" spans="32:32" x14ac:dyDescent="0.2">
      <c r="AF59609" s="679"/>
    </row>
    <row r="59610" spans="32:32" x14ac:dyDescent="0.2">
      <c r="AF59610" s="679"/>
    </row>
    <row r="59611" spans="32:32" x14ac:dyDescent="0.2">
      <c r="AF59611" s="679"/>
    </row>
    <row r="59612" spans="32:32" x14ac:dyDescent="0.2">
      <c r="AF59612" s="679"/>
    </row>
    <row r="59613" spans="32:32" x14ac:dyDescent="0.2">
      <c r="AF59613" s="679"/>
    </row>
    <row r="59614" spans="32:32" x14ac:dyDescent="0.2">
      <c r="AF59614" s="679"/>
    </row>
    <row r="59615" spans="32:32" x14ac:dyDescent="0.2">
      <c r="AF59615" s="679"/>
    </row>
    <row r="59616" spans="32:32" x14ac:dyDescent="0.2">
      <c r="AF59616" s="679"/>
    </row>
    <row r="59617" spans="32:32" x14ac:dyDescent="0.2">
      <c r="AF59617" s="679"/>
    </row>
    <row r="59618" spans="32:32" x14ac:dyDescent="0.2">
      <c r="AF59618" s="679"/>
    </row>
    <row r="59619" spans="32:32" x14ac:dyDescent="0.2">
      <c r="AF59619" s="679"/>
    </row>
    <row r="59620" spans="32:32" x14ac:dyDescent="0.2">
      <c r="AF59620" s="679"/>
    </row>
    <row r="59621" spans="32:32" x14ac:dyDescent="0.2">
      <c r="AF59621" s="679"/>
    </row>
    <row r="59622" spans="32:32" x14ac:dyDescent="0.2">
      <c r="AF59622" s="679"/>
    </row>
    <row r="59623" spans="32:32" x14ac:dyDescent="0.2">
      <c r="AF59623" s="679"/>
    </row>
    <row r="59624" spans="32:32" x14ac:dyDescent="0.2">
      <c r="AF59624" s="679"/>
    </row>
    <row r="59625" spans="32:32" x14ac:dyDescent="0.2">
      <c r="AF59625" s="679"/>
    </row>
    <row r="59626" spans="32:32" x14ac:dyDescent="0.2">
      <c r="AF59626" s="679"/>
    </row>
    <row r="59627" spans="32:32" x14ac:dyDescent="0.2">
      <c r="AF59627" s="679"/>
    </row>
    <row r="59628" spans="32:32" x14ac:dyDescent="0.2">
      <c r="AF59628" s="679"/>
    </row>
    <row r="59629" spans="32:32" x14ac:dyDescent="0.2">
      <c r="AF59629" s="679"/>
    </row>
    <row r="59630" spans="32:32" x14ac:dyDescent="0.2">
      <c r="AF59630" s="679"/>
    </row>
    <row r="59631" spans="32:32" x14ac:dyDescent="0.2">
      <c r="AF59631" s="679"/>
    </row>
    <row r="59632" spans="32:32" x14ac:dyDescent="0.2">
      <c r="AF59632" s="679"/>
    </row>
    <row r="59633" spans="32:32" x14ac:dyDescent="0.2">
      <c r="AF59633" s="679"/>
    </row>
    <row r="59634" spans="32:32" x14ac:dyDescent="0.2">
      <c r="AF59634" s="679"/>
    </row>
    <row r="59635" spans="32:32" x14ac:dyDescent="0.2">
      <c r="AF59635" s="679"/>
    </row>
    <row r="59636" spans="32:32" x14ac:dyDescent="0.2">
      <c r="AF59636" s="679"/>
    </row>
    <row r="59637" spans="32:32" x14ac:dyDescent="0.2">
      <c r="AF59637" s="679"/>
    </row>
    <row r="59638" spans="32:32" x14ac:dyDescent="0.2">
      <c r="AF59638" s="679"/>
    </row>
    <row r="59639" spans="32:32" x14ac:dyDescent="0.2">
      <c r="AF59639" s="679"/>
    </row>
    <row r="59640" spans="32:32" x14ac:dyDescent="0.2">
      <c r="AF59640" s="679"/>
    </row>
    <row r="59641" spans="32:32" x14ac:dyDescent="0.2">
      <c r="AF59641" s="679"/>
    </row>
    <row r="59642" spans="32:32" x14ac:dyDescent="0.2">
      <c r="AF59642" s="679"/>
    </row>
    <row r="59643" spans="32:32" x14ac:dyDescent="0.2">
      <c r="AF59643" s="679"/>
    </row>
    <row r="59644" spans="32:32" x14ac:dyDescent="0.2">
      <c r="AF59644" s="679"/>
    </row>
    <row r="59645" spans="32:32" x14ac:dyDescent="0.2">
      <c r="AF59645" s="679"/>
    </row>
    <row r="59646" spans="32:32" x14ac:dyDescent="0.2">
      <c r="AF59646" s="679"/>
    </row>
    <row r="59647" spans="32:32" x14ac:dyDescent="0.2">
      <c r="AF59647" s="679"/>
    </row>
    <row r="59648" spans="32:32" x14ac:dyDescent="0.2">
      <c r="AF59648" s="679"/>
    </row>
    <row r="59649" spans="32:32" x14ac:dyDescent="0.2">
      <c r="AF59649" s="679"/>
    </row>
    <row r="59650" spans="32:32" x14ac:dyDescent="0.2">
      <c r="AF59650" s="679"/>
    </row>
    <row r="59651" spans="32:32" x14ac:dyDescent="0.2">
      <c r="AF59651" s="679"/>
    </row>
    <row r="59652" spans="32:32" x14ac:dyDescent="0.2">
      <c r="AF59652" s="679"/>
    </row>
    <row r="59653" spans="32:32" x14ac:dyDescent="0.2">
      <c r="AF59653" s="679"/>
    </row>
    <row r="59654" spans="32:32" x14ac:dyDescent="0.2">
      <c r="AF59654" s="679"/>
    </row>
    <row r="59655" spans="32:32" x14ac:dyDescent="0.2">
      <c r="AF59655" s="679"/>
    </row>
    <row r="59656" spans="32:32" x14ac:dyDescent="0.2">
      <c r="AF59656" s="679"/>
    </row>
    <row r="59657" spans="32:32" x14ac:dyDescent="0.2">
      <c r="AF59657" s="679"/>
    </row>
    <row r="59658" spans="32:32" x14ac:dyDescent="0.2">
      <c r="AF59658" s="679"/>
    </row>
    <row r="59659" spans="32:32" x14ac:dyDescent="0.2">
      <c r="AF59659" s="679"/>
    </row>
    <row r="59660" spans="32:32" x14ac:dyDescent="0.2">
      <c r="AF59660" s="679"/>
    </row>
    <row r="59661" spans="32:32" x14ac:dyDescent="0.2">
      <c r="AF59661" s="679"/>
    </row>
    <row r="59662" spans="32:32" x14ac:dyDescent="0.2">
      <c r="AF59662" s="679"/>
    </row>
    <row r="59663" spans="32:32" x14ac:dyDescent="0.2">
      <c r="AF59663" s="679"/>
    </row>
    <row r="59664" spans="32:32" x14ac:dyDescent="0.2">
      <c r="AF59664" s="679"/>
    </row>
    <row r="59665" spans="32:32" x14ac:dyDescent="0.2">
      <c r="AF59665" s="679"/>
    </row>
    <row r="59666" spans="32:32" x14ac:dyDescent="0.2">
      <c r="AF59666" s="679"/>
    </row>
    <row r="59667" spans="32:32" x14ac:dyDescent="0.2">
      <c r="AF59667" s="679"/>
    </row>
    <row r="59668" spans="32:32" x14ac:dyDescent="0.2">
      <c r="AF59668" s="679"/>
    </row>
    <row r="59669" spans="32:32" x14ac:dyDescent="0.2">
      <c r="AF59669" s="679"/>
    </row>
    <row r="59670" spans="32:32" x14ac:dyDescent="0.2">
      <c r="AF59670" s="679"/>
    </row>
    <row r="59671" spans="32:32" x14ac:dyDescent="0.2">
      <c r="AF59671" s="679"/>
    </row>
    <row r="59672" spans="32:32" x14ac:dyDescent="0.2">
      <c r="AF59672" s="679"/>
    </row>
    <row r="59673" spans="32:32" x14ac:dyDescent="0.2">
      <c r="AF59673" s="679"/>
    </row>
    <row r="59674" spans="32:32" x14ac:dyDescent="0.2">
      <c r="AF59674" s="679"/>
    </row>
    <row r="59675" spans="32:32" x14ac:dyDescent="0.2">
      <c r="AF59675" s="679"/>
    </row>
    <row r="59676" spans="32:32" x14ac:dyDescent="0.2">
      <c r="AF59676" s="679"/>
    </row>
    <row r="59677" spans="32:32" x14ac:dyDescent="0.2">
      <c r="AF59677" s="679"/>
    </row>
    <row r="59678" spans="32:32" x14ac:dyDescent="0.2">
      <c r="AF59678" s="679"/>
    </row>
    <row r="59679" spans="32:32" x14ac:dyDescent="0.2">
      <c r="AF59679" s="679"/>
    </row>
    <row r="59680" spans="32:32" x14ac:dyDescent="0.2">
      <c r="AF59680" s="679"/>
    </row>
    <row r="59681" spans="32:32" x14ac:dyDescent="0.2">
      <c r="AF59681" s="679"/>
    </row>
    <row r="59682" spans="32:32" x14ac:dyDescent="0.2">
      <c r="AF59682" s="679"/>
    </row>
    <row r="59683" spans="32:32" x14ac:dyDescent="0.2">
      <c r="AF59683" s="679"/>
    </row>
    <row r="59684" spans="32:32" x14ac:dyDescent="0.2">
      <c r="AF59684" s="679"/>
    </row>
    <row r="59685" spans="32:32" x14ac:dyDescent="0.2">
      <c r="AF59685" s="679"/>
    </row>
    <row r="59686" spans="32:32" x14ac:dyDescent="0.2">
      <c r="AF59686" s="679"/>
    </row>
    <row r="59687" spans="32:32" x14ac:dyDescent="0.2">
      <c r="AF59687" s="679"/>
    </row>
    <row r="59688" spans="32:32" x14ac:dyDescent="0.2">
      <c r="AF59688" s="679"/>
    </row>
    <row r="59689" spans="32:32" x14ac:dyDescent="0.2">
      <c r="AF59689" s="679"/>
    </row>
    <row r="59690" spans="32:32" x14ac:dyDescent="0.2">
      <c r="AF59690" s="679"/>
    </row>
    <row r="59691" spans="32:32" x14ac:dyDescent="0.2">
      <c r="AF59691" s="679"/>
    </row>
    <row r="59692" spans="32:32" x14ac:dyDescent="0.2">
      <c r="AF59692" s="679"/>
    </row>
    <row r="59693" spans="32:32" x14ac:dyDescent="0.2">
      <c r="AF59693" s="679"/>
    </row>
    <row r="59694" spans="32:32" x14ac:dyDescent="0.2">
      <c r="AF59694" s="679"/>
    </row>
    <row r="59695" spans="32:32" x14ac:dyDescent="0.2">
      <c r="AF59695" s="679"/>
    </row>
    <row r="59696" spans="32:32" x14ac:dyDescent="0.2">
      <c r="AF59696" s="679"/>
    </row>
    <row r="59697" spans="32:32" x14ac:dyDescent="0.2">
      <c r="AF59697" s="679"/>
    </row>
    <row r="59698" spans="32:32" x14ac:dyDescent="0.2">
      <c r="AF59698" s="679"/>
    </row>
    <row r="59699" spans="32:32" x14ac:dyDescent="0.2">
      <c r="AF59699" s="679"/>
    </row>
    <row r="59700" spans="32:32" x14ac:dyDescent="0.2">
      <c r="AF59700" s="679"/>
    </row>
    <row r="59701" spans="32:32" x14ac:dyDescent="0.2">
      <c r="AF59701" s="679"/>
    </row>
    <row r="59702" spans="32:32" x14ac:dyDescent="0.2">
      <c r="AF59702" s="679"/>
    </row>
    <row r="59703" spans="32:32" x14ac:dyDescent="0.2">
      <c r="AF59703" s="679"/>
    </row>
    <row r="59704" spans="32:32" x14ac:dyDescent="0.2">
      <c r="AF59704" s="679"/>
    </row>
    <row r="59705" spans="32:32" x14ac:dyDescent="0.2">
      <c r="AF59705" s="679"/>
    </row>
    <row r="59706" spans="32:32" x14ac:dyDescent="0.2">
      <c r="AF59706" s="679"/>
    </row>
    <row r="59707" spans="32:32" x14ac:dyDescent="0.2">
      <c r="AF59707" s="679"/>
    </row>
    <row r="59708" spans="32:32" x14ac:dyDescent="0.2">
      <c r="AF59708" s="679"/>
    </row>
    <row r="59709" spans="32:32" x14ac:dyDescent="0.2">
      <c r="AF59709" s="679"/>
    </row>
    <row r="59710" spans="32:32" x14ac:dyDescent="0.2">
      <c r="AF59710" s="679"/>
    </row>
    <row r="59711" spans="32:32" x14ac:dyDescent="0.2">
      <c r="AF59711" s="679"/>
    </row>
    <row r="59712" spans="32:32" x14ac:dyDescent="0.2">
      <c r="AF59712" s="679"/>
    </row>
    <row r="59713" spans="32:32" x14ac:dyDescent="0.2">
      <c r="AF59713" s="679"/>
    </row>
    <row r="59714" spans="32:32" x14ac:dyDescent="0.2">
      <c r="AF59714" s="679"/>
    </row>
    <row r="59715" spans="32:32" x14ac:dyDescent="0.2">
      <c r="AF59715" s="679"/>
    </row>
    <row r="59716" spans="32:32" x14ac:dyDescent="0.2">
      <c r="AF59716" s="679"/>
    </row>
    <row r="59717" spans="32:32" x14ac:dyDescent="0.2">
      <c r="AF59717" s="679"/>
    </row>
    <row r="59718" spans="32:32" x14ac:dyDescent="0.2">
      <c r="AF59718" s="679"/>
    </row>
    <row r="59719" spans="32:32" x14ac:dyDescent="0.2">
      <c r="AF59719" s="679"/>
    </row>
    <row r="59720" spans="32:32" x14ac:dyDescent="0.2">
      <c r="AF59720" s="679"/>
    </row>
    <row r="59721" spans="32:32" x14ac:dyDescent="0.2">
      <c r="AF59721" s="679"/>
    </row>
    <row r="59722" spans="32:32" x14ac:dyDescent="0.2">
      <c r="AF59722" s="679"/>
    </row>
    <row r="59723" spans="32:32" x14ac:dyDescent="0.2">
      <c r="AF59723" s="679"/>
    </row>
    <row r="59724" spans="32:32" x14ac:dyDescent="0.2">
      <c r="AF59724" s="679"/>
    </row>
    <row r="59725" spans="32:32" x14ac:dyDescent="0.2">
      <c r="AF59725" s="679"/>
    </row>
    <row r="59726" spans="32:32" x14ac:dyDescent="0.2">
      <c r="AF59726" s="679"/>
    </row>
    <row r="59727" spans="32:32" x14ac:dyDescent="0.2">
      <c r="AF59727" s="679"/>
    </row>
    <row r="59728" spans="32:32" x14ac:dyDescent="0.2">
      <c r="AF59728" s="679"/>
    </row>
    <row r="59729" spans="32:32" x14ac:dyDescent="0.2">
      <c r="AF59729" s="679"/>
    </row>
    <row r="59730" spans="32:32" x14ac:dyDescent="0.2">
      <c r="AF59730" s="679"/>
    </row>
    <row r="59731" spans="32:32" x14ac:dyDescent="0.2">
      <c r="AF59731" s="679"/>
    </row>
    <row r="59732" spans="32:32" x14ac:dyDescent="0.2">
      <c r="AF59732" s="679"/>
    </row>
    <row r="59733" spans="32:32" x14ac:dyDescent="0.2">
      <c r="AF59733" s="679"/>
    </row>
    <row r="59734" spans="32:32" x14ac:dyDescent="0.2">
      <c r="AF59734" s="679"/>
    </row>
    <row r="59735" spans="32:32" x14ac:dyDescent="0.2">
      <c r="AF59735" s="679"/>
    </row>
    <row r="59736" spans="32:32" x14ac:dyDescent="0.2">
      <c r="AF59736" s="679"/>
    </row>
    <row r="59737" spans="32:32" x14ac:dyDescent="0.2">
      <c r="AF59737" s="679"/>
    </row>
    <row r="59738" spans="32:32" x14ac:dyDescent="0.2">
      <c r="AF59738" s="679"/>
    </row>
    <row r="59739" spans="32:32" x14ac:dyDescent="0.2">
      <c r="AF59739" s="679"/>
    </row>
    <row r="59740" spans="32:32" x14ac:dyDescent="0.2">
      <c r="AF59740" s="679"/>
    </row>
    <row r="59741" spans="32:32" x14ac:dyDescent="0.2">
      <c r="AF59741" s="679"/>
    </row>
    <row r="59742" spans="32:32" x14ac:dyDescent="0.2">
      <c r="AF59742" s="679"/>
    </row>
    <row r="59743" spans="32:32" x14ac:dyDescent="0.2">
      <c r="AF59743" s="679"/>
    </row>
    <row r="59744" spans="32:32" x14ac:dyDescent="0.2">
      <c r="AF59744" s="679"/>
    </row>
    <row r="59745" spans="32:32" x14ac:dyDescent="0.2">
      <c r="AF59745" s="679"/>
    </row>
    <row r="59746" spans="32:32" x14ac:dyDescent="0.2">
      <c r="AF59746" s="679"/>
    </row>
    <row r="59747" spans="32:32" x14ac:dyDescent="0.2">
      <c r="AF59747" s="679"/>
    </row>
    <row r="59748" spans="32:32" x14ac:dyDescent="0.2">
      <c r="AF59748" s="679"/>
    </row>
    <row r="59749" spans="32:32" x14ac:dyDescent="0.2">
      <c r="AF59749" s="679"/>
    </row>
    <row r="59750" spans="32:32" x14ac:dyDescent="0.2">
      <c r="AF59750" s="679"/>
    </row>
    <row r="59751" spans="32:32" x14ac:dyDescent="0.2">
      <c r="AF59751" s="679"/>
    </row>
    <row r="59752" spans="32:32" x14ac:dyDescent="0.2">
      <c r="AF59752" s="679"/>
    </row>
    <row r="59753" spans="32:32" x14ac:dyDescent="0.2">
      <c r="AF59753" s="679"/>
    </row>
    <row r="59754" spans="32:32" x14ac:dyDescent="0.2">
      <c r="AF59754" s="679"/>
    </row>
    <row r="59755" spans="32:32" x14ac:dyDescent="0.2">
      <c r="AF59755" s="679"/>
    </row>
    <row r="59756" spans="32:32" x14ac:dyDescent="0.2">
      <c r="AF59756" s="679"/>
    </row>
    <row r="59757" spans="32:32" x14ac:dyDescent="0.2">
      <c r="AF59757" s="679"/>
    </row>
    <row r="59758" spans="32:32" x14ac:dyDescent="0.2">
      <c r="AF59758" s="679"/>
    </row>
    <row r="59759" spans="32:32" x14ac:dyDescent="0.2">
      <c r="AF59759" s="679"/>
    </row>
    <row r="59760" spans="32:32" x14ac:dyDescent="0.2">
      <c r="AF59760" s="679"/>
    </row>
    <row r="59761" spans="32:32" x14ac:dyDescent="0.2">
      <c r="AF59761" s="679"/>
    </row>
    <row r="59762" spans="32:32" x14ac:dyDescent="0.2">
      <c r="AF59762" s="679"/>
    </row>
    <row r="59763" spans="32:32" x14ac:dyDescent="0.2">
      <c r="AF59763" s="679"/>
    </row>
    <row r="59764" spans="32:32" x14ac:dyDescent="0.2">
      <c r="AF59764" s="679"/>
    </row>
    <row r="59765" spans="32:32" x14ac:dyDescent="0.2">
      <c r="AF59765" s="679"/>
    </row>
    <row r="59766" spans="32:32" x14ac:dyDescent="0.2">
      <c r="AF59766" s="679"/>
    </row>
    <row r="59767" spans="32:32" x14ac:dyDescent="0.2">
      <c r="AF59767" s="679"/>
    </row>
    <row r="59768" spans="32:32" x14ac:dyDescent="0.2">
      <c r="AF59768" s="679"/>
    </row>
    <row r="59769" spans="32:32" x14ac:dyDescent="0.2">
      <c r="AF59769" s="679"/>
    </row>
    <row r="59770" spans="32:32" x14ac:dyDescent="0.2">
      <c r="AF59770" s="679"/>
    </row>
    <row r="59771" spans="32:32" x14ac:dyDescent="0.2">
      <c r="AF59771" s="679"/>
    </row>
    <row r="59772" spans="32:32" x14ac:dyDescent="0.2">
      <c r="AF59772" s="679"/>
    </row>
    <row r="59773" spans="32:32" x14ac:dyDescent="0.2">
      <c r="AF59773" s="679"/>
    </row>
    <row r="59774" spans="32:32" x14ac:dyDescent="0.2">
      <c r="AF59774" s="679"/>
    </row>
    <row r="59775" spans="32:32" x14ac:dyDescent="0.2">
      <c r="AF59775" s="679"/>
    </row>
    <row r="59776" spans="32:32" x14ac:dyDescent="0.2">
      <c r="AF59776" s="679"/>
    </row>
    <row r="59777" spans="32:32" x14ac:dyDescent="0.2">
      <c r="AF59777" s="679"/>
    </row>
    <row r="59778" spans="32:32" x14ac:dyDescent="0.2">
      <c r="AF59778" s="679"/>
    </row>
    <row r="59779" spans="32:32" x14ac:dyDescent="0.2">
      <c r="AF59779" s="679"/>
    </row>
    <row r="59780" spans="32:32" x14ac:dyDescent="0.2">
      <c r="AF59780" s="679"/>
    </row>
    <row r="59781" spans="32:32" x14ac:dyDescent="0.2">
      <c r="AF59781" s="679"/>
    </row>
    <row r="59782" spans="32:32" x14ac:dyDescent="0.2">
      <c r="AF59782" s="679"/>
    </row>
    <row r="59783" spans="32:32" x14ac:dyDescent="0.2">
      <c r="AF59783" s="679"/>
    </row>
    <row r="59784" spans="32:32" x14ac:dyDescent="0.2">
      <c r="AF59784" s="679"/>
    </row>
    <row r="59785" spans="32:32" x14ac:dyDescent="0.2">
      <c r="AF59785" s="679"/>
    </row>
    <row r="59786" spans="32:32" x14ac:dyDescent="0.2">
      <c r="AF59786" s="679"/>
    </row>
    <row r="59787" spans="32:32" x14ac:dyDescent="0.2">
      <c r="AF59787" s="679"/>
    </row>
    <row r="59788" spans="32:32" x14ac:dyDescent="0.2">
      <c r="AF59788" s="679"/>
    </row>
    <row r="59789" spans="32:32" x14ac:dyDescent="0.2">
      <c r="AF59789" s="679"/>
    </row>
    <row r="59790" spans="32:32" x14ac:dyDescent="0.2">
      <c r="AF59790" s="679"/>
    </row>
    <row r="59791" spans="32:32" x14ac:dyDescent="0.2">
      <c r="AF59791" s="679"/>
    </row>
    <row r="59792" spans="32:32" x14ac:dyDescent="0.2">
      <c r="AF59792" s="679"/>
    </row>
    <row r="59793" spans="32:32" x14ac:dyDescent="0.2">
      <c r="AF59793" s="679"/>
    </row>
    <row r="59794" spans="32:32" x14ac:dyDescent="0.2">
      <c r="AF59794" s="679"/>
    </row>
    <row r="59795" spans="32:32" x14ac:dyDescent="0.2">
      <c r="AF59795" s="679"/>
    </row>
    <row r="59796" spans="32:32" x14ac:dyDescent="0.2">
      <c r="AF59796" s="679"/>
    </row>
    <row r="59797" spans="32:32" x14ac:dyDescent="0.2">
      <c r="AF59797" s="679"/>
    </row>
    <row r="59798" spans="32:32" x14ac:dyDescent="0.2">
      <c r="AF59798" s="679"/>
    </row>
    <row r="59799" spans="32:32" x14ac:dyDescent="0.2">
      <c r="AF59799" s="679"/>
    </row>
    <row r="59800" spans="32:32" x14ac:dyDescent="0.2">
      <c r="AF59800" s="679"/>
    </row>
    <row r="59801" spans="32:32" x14ac:dyDescent="0.2">
      <c r="AF59801" s="679"/>
    </row>
    <row r="59802" spans="32:32" x14ac:dyDescent="0.2">
      <c r="AF59802" s="679"/>
    </row>
    <row r="59803" spans="32:32" x14ac:dyDescent="0.2">
      <c r="AF59803" s="679"/>
    </row>
    <row r="59804" spans="32:32" x14ac:dyDescent="0.2">
      <c r="AF59804" s="679"/>
    </row>
    <row r="59805" spans="32:32" x14ac:dyDescent="0.2">
      <c r="AF59805" s="679"/>
    </row>
    <row r="59806" spans="32:32" x14ac:dyDescent="0.2">
      <c r="AF59806" s="679"/>
    </row>
    <row r="59807" spans="32:32" x14ac:dyDescent="0.2">
      <c r="AF59807" s="679"/>
    </row>
    <row r="59808" spans="32:32" x14ac:dyDescent="0.2">
      <c r="AF59808" s="679"/>
    </row>
    <row r="59809" spans="32:32" x14ac:dyDescent="0.2">
      <c r="AF59809" s="679"/>
    </row>
    <row r="59810" spans="32:32" x14ac:dyDescent="0.2">
      <c r="AF59810" s="679"/>
    </row>
    <row r="59811" spans="32:32" x14ac:dyDescent="0.2">
      <c r="AF59811" s="679"/>
    </row>
    <row r="59812" spans="32:32" x14ac:dyDescent="0.2">
      <c r="AF59812" s="679"/>
    </row>
    <row r="59813" spans="32:32" x14ac:dyDescent="0.2">
      <c r="AF59813" s="679"/>
    </row>
    <row r="59814" spans="32:32" x14ac:dyDescent="0.2">
      <c r="AF59814" s="679"/>
    </row>
    <row r="59815" spans="32:32" x14ac:dyDescent="0.2">
      <c r="AF59815" s="679"/>
    </row>
    <row r="59816" spans="32:32" x14ac:dyDescent="0.2">
      <c r="AF59816" s="679"/>
    </row>
    <row r="59817" spans="32:32" x14ac:dyDescent="0.2">
      <c r="AF59817" s="679"/>
    </row>
    <row r="59818" spans="32:32" x14ac:dyDescent="0.2">
      <c r="AF59818" s="679"/>
    </row>
    <row r="59819" spans="32:32" x14ac:dyDescent="0.2">
      <c r="AF59819" s="679"/>
    </row>
    <row r="59820" spans="32:32" x14ac:dyDescent="0.2">
      <c r="AF59820" s="679"/>
    </row>
    <row r="59821" spans="32:32" x14ac:dyDescent="0.2">
      <c r="AF59821" s="679"/>
    </row>
    <row r="59822" spans="32:32" x14ac:dyDescent="0.2">
      <c r="AF59822" s="679"/>
    </row>
    <row r="59823" spans="32:32" x14ac:dyDescent="0.2">
      <c r="AF59823" s="679"/>
    </row>
    <row r="59824" spans="32:32" x14ac:dyDescent="0.2">
      <c r="AF59824" s="679"/>
    </row>
    <row r="59825" spans="32:32" x14ac:dyDescent="0.2">
      <c r="AF59825" s="679"/>
    </row>
    <row r="59826" spans="32:32" x14ac:dyDescent="0.2">
      <c r="AF59826" s="679"/>
    </row>
    <row r="59827" spans="32:32" x14ac:dyDescent="0.2">
      <c r="AF59827" s="679"/>
    </row>
    <row r="59828" spans="32:32" x14ac:dyDescent="0.2">
      <c r="AF59828" s="679"/>
    </row>
    <row r="59829" spans="32:32" x14ac:dyDescent="0.2">
      <c r="AF59829" s="679"/>
    </row>
    <row r="59830" spans="32:32" x14ac:dyDescent="0.2">
      <c r="AF59830" s="679"/>
    </row>
    <row r="59831" spans="32:32" x14ac:dyDescent="0.2">
      <c r="AF59831" s="679"/>
    </row>
    <row r="59832" spans="32:32" x14ac:dyDescent="0.2">
      <c r="AF59832" s="679"/>
    </row>
    <row r="59833" spans="32:32" x14ac:dyDescent="0.2">
      <c r="AF59833" s="679"/>
    </row>
    <row r="59834" spans="32:32" x14ac:dyDescent="0.2">
      <c r="AF59834" s="679"/>
    </row>
    <row r="59835" spans="32:32" x14ac:dyDescent="0.2">
      <c r="AF59835" s="679"/>
    </row>
    <row r="59836" spans="32:32" x14ac:dyDescent="0.2">
      <c r="AF59836" s="679"/>
    </row>
    <row r="59837" spans="32:32" x14ac:dyDescent="0.2">
      <c r="AF59837" s="679"/>
    </row>
    <row r="59838" spans="32:32" x14ac:dyDescent="0.2">
      <c r="AF59838" s="679"/>
    </row>
    <row r="59839" spans="32:32" x14ac:dyDescent="0.2">
      <c r="AF59839" s="679"/>
    </row>
    <row r="59840" spans="32:32" x14ac:dyDescent="0.2">
      <c r="AF59840" s="679"/>
    </row>
    <row r="59841" spans="32:32" x14ac:dyDescent="0.2">
      <c r="AF59841" s="679"/>
    </row>
    <row r="59842" spans="32:32" x14ac:dyDescent="0.2">
      <c r="AF59842" s="679"/>
    </row>
    <row r="59843" spans="32:32" x14ac:dyDescent="0.2">
      <c r="AF59843" s="679"/>
    </row>
    <row r="59844" spans="32:32" x14ac:dyDescent="0.2">
      <c r="AF59844" s="679"/>
    </row>
    <row r="59845" spans="32:32" x14ac:dyDescent="0.2">
      <c r="AF59845" s="679"/>
    </row>
    <row r="59846" spans="32:32" x14ac:dyDescent="0.2">
      <c r="AF59846" s="679"/>
    </row>
    <row r="59847" spans="32:32" x14ac:dyDescent="0.2">
      <c r="AF59847" s="679"/>
    </row>
    <row r="59848" spans="32:32" x14ac:dyDescent="0.2">
      <c r="AF59848" s="679"/>
    </row>
    <row r="59849" spans="32:32" x14ac:dyDescent="0.2">
      <c r="AF59849" s="679"/>
    </row>
    <row r="59850" spans="32:32" x14ac:dyDescent="0.2">
      <c r="AF59850" s="679"/>
    </row>
    <row r="59851" spans="32:32" x14ac:dyDescent="0.2">
      <c r="AF59851" s="679"/>
    </row>
    <row r="59852" spans="32:32" x14ac:dyDescent="0.2">
      <c r="AF59852" s="679"/>
    </row>
    <row r="59853" spans="32:32" x14ac:dyDescent="0.2">
      <c r="AF59853" s="679"/>
    </row>
    <row r="59854" spans="32:32" x14ac:dyDescent="0.2">
      <c r="AF59854" s="679"/>
    </row>
    <row r="59855" spans="32:32" x14ac:dyDescent="0.2">
      <c r="AF59855" s="679"/>
    </row>
    <row r="59856" spans="32:32" x14ac:dyDescent="0.2">
      <c r="AF59856" s="679"/>
    </row>
    <row r="59857" spans="32:32" x14ac:dyDescent="0.2">
      <c r="AF59857" s="679"/>
    </row>
    <row r="59858" spans="32:32" x14ac:dyDescent="0.2">
      <c r="AF59858" s="679"/>
    </row>
    <row r="59859" spans="32:32" x14ac:dyDescent="0.2">
      <c r="AF59859" s="679"/>
    </row>
    <row r="59860" spans="32:32" x14ac:dyDescent="0.2">
      <c r="AF59860" s="679"/>
    </row>
    <row r="59861" spans="32:32" x14ac:dyDescent="0.2">
      <c r="AF59861" s="679"/>
    </row>
    <row r="59862" spans="32:32" x14ac:dyDescent="0.2">
      <c r="AF59862" s="679"/>
    </row>
    <row r="59863" spans="32:32" x14ac:dyDescent="0.2">
      <c r="AF59863" s="679"/>
    </row>
    <row r="59864" spans="32:32" x14ac:dyDescent="0.2">
      <c r="AF59864" s="679"/>
    </row>
    <row r="59865" spans="32:32" x14ac:dyDescent="0.2">
      <c r="AF59865" s="679"/>
    </row>
    <row r="59866" spans="32:32" x14ac:dyDescent="0.2">
      <c r="AF59866" s="679"/>
    </row>
    <row r="59867" spans="32:32" x14ac:dyDescent="0.2">
      <c r="AF59867" s="679"/>
    </row>
    <row r="59868" spans="32:32" x14ac:dyDescent="0.2">
      <c r="AF59868" s="679"/>
    </row>
    <row r="59869" spans="32:32" x14ac:dyDescent="0.2">
      <c r="AF59869" s="679"/>
    </row>
    <row r="59870" spans="32:32" x14ac:dyDescent="0.2">
      <c r="AF59870" s="679"/>
    </row>
    <row r="59871" spans="32:32" x14ac:dyDescent="0.2">
      <c r="AF59871" s="679"/>
    </row>
    <row r="59872" spans="32:32" x14ac:dyDescent="0.2">
      <c r="AF59872" s="679"/>
    </row>
    <row r="59873" spans="32:32" x14ac:dyDescent="0.2">
      <c r="AF59873" s="679"/>
    </row>
    <row r="59874" spans="32:32" x14ac:dyDescent="0.2">
      <c r="AF59874" s="679"/>
    </row>
    <row r="59875" spans="32:32" x14ac:dyDescent="0.2">
      <c r="AF59875" s="679"/>
    </row>
    <row r="59876" spans="32:32" x14ac:dyDescent="0.2">
      <c r="AF59876" s="679"/>
    </row>
    <row r="59877" spans="32:32" x14ac:dyDescent="0.2">
      <c r="AF59877" s="679"/>
    </row>
    <row r="59878" spans="32:32" x14ac:dyDescent="0.2">
      <c r="AF59878" s="679"/>
    </row>
    <row r="59879" spans="32:32" x14ac:dyDescent="0.2">
      <c r="AF59879" s="679"/>
    </row>
    <row r="59880" spans="32:32" x14ac:dyDescent="0.2">
      <c r="AF59880" s="679"/>
    </row>
    <row r="59881" spans="32:32" x14ac:dyDescent="0.2">
      <c r="AF59881" s="679"/>
    </row>
    <row r="59882" spans="32:32" x14ac:dyDescent="0.2">
      <c r="AF59882" s="679"/>
    </row>
    <row r="59883" spans="32:32" x14ac:dyDescent="0.2">
      <c r="AF59883" s="679"/>
    </row>
    <row r="59884" spans="32:32" x14ac:dyDescent="0.2">
      <c r="AF59884" s="679"/>
    </row>
    <row r="59885" spans="32:32" x14ac:dyDescent="0.2">
      <c r="AF59885" s="679"/>
    </row>
    <row r="59886" spans="32:32" x14ac:dyDescent="0.2">
      <c r="AF59886" s="679"/>
    </row>
    <row r="59887" spans="32:32" x14ac:dyDescent="0.2">
      <c r="AF59887" s="679"/>
    </row>
    <row r="59888" spans="32:32" x14ac:dyDescent="0.2">
      <c r="AF59888" s="679"/>
    </row>
    <row r="59889" spans="32:32" x14ac:dyDescent="0.2">
      <c r="AF59889" s="679"/>
    </row>
    <row r="59890" spans="32:32" x14ac:dyDescent="0.2">
      <c r="AF59890" s="679"/>
    </row>
    <row r="59891" spans="32:32" x14ac:dyDescent="0.2">
      <c r="AF59891" s="679"/>
    </row>
    <row r="59892" spans="32:32" x14ac:dyDescent="0.2">
      <c r="AF59892" s="679"/>
    </row>
    <row r="59893" spans="32:32" x14ac:dyDescent="0.2">
      <c r="AF59893" s="679"/>
    </row>
    <row r="59894" spans="32:32" x14ac:dyDescent="0.2">
      <c r="AF59894" s="679"/>
    </row>
    <row r="59895" spans="32:32" x14ac:dyDescent="0.2">
      <c r="AF59895" s="679"/>
    </row>
    <row r="59896" spans="32:32" x14ac:dyDescent="0.2">
      <c r="AF59896" s="679"/>
    </row>
    <row r="59897" spans="32:32" x14ac:dyDescent="0.2">
      <c r="AF59897" s="679"/>
    </row>
    <row r="59898" spans="32:32" x14ac:dyDescent="0.2">
      <c r="AF59898" s="679"/>
    </row>
    <row r="59899" spans="32:32" x14ac:dyDescent="0.2">
      <c r="AF59899" s="679"/>
    </row>
    <row r="59900" spans="32:32" x14ac:dyDescent="0.2">
      <c r="AF59900" s="679"/>
    </row>
    <row r="59901" spans="32:32" x14ac:dyDescent="0.2">
      <c r="AF59901" s="679"/>
    </row>
    <row r="59902" spans="32:32" x14ac:dyDescent="0.2">
      <c r="AF59902" s="679"/>
    </row>
    <row r="59903" spans="32:32" x14ac:dyDescent="0.2">
      <c r="AF59903" s="679"/>
    </row>
    <row r="59904" spans="32:32" x14ac:dyDescent="0.2">
      <c r="AF59904" s="679"/>
    </row>
    <row r="59905" spans="32:32" x14ac:dyDescent="0.2">
      <c r="AF59905" s="679"/>
    </row>
    <row r="59906" spans="32:32" x14ac:dyDescent="0.2">
      <c r="AF59906" s="679"/>
    </row>
    <row r="59907" spans="32:32" x14ac:dyDescent="0.2">
      <c r="AF59907" s="679"/>
    </row>
    <row r="59908" spans="32:32" x14ac:dyDescent="0.2">
      <c r="AF59908" s="679"/>
    </row>
    <row r="59909" spans="32:32" x14ac:dyDescent="0.2">
      <c r="AF59909" s="679"/>
    </row>
    <row r="59910" spans="32:32" x14ac:dyDescent="0.2">
      <c r="AF59910" s="679"/>
    </row>
    <row r="59911" spans="32:32" x14ac:dyDescent="0.2">
      <c r="AF59911" s="679"/>
    </row>
    <row r="59912" spans="32:32" x14ac:dyDescent="0.2">
      <c r="AF59912" s="679"/>
    </row>
    <row r="59913" spans="32:32" x14ac:dyDescent="0.2">
      <c r="AF59913" s="679"/>
    </row>
    <row r="59914" spans="32:32" x14ac:dyDescent="0.2">
      <c r="AF59914" s="679"/>
    </row>
    <row r="59915" spans="32:32" x14ac:dyDescent="0.2">
      <c r="AF59915" s="679"/>
    </row>
    <row r="59916" spans="32:32" x14ac:dyDescent="0.2">
      <c r="AF59916" s="679"/>
    </row>
    <row r="59917" spans="32:32" x14ac:dyDescent="0.2">
      <c r="AF59917" s="679"/>
    </row>
    <row r="59918" spans="32:32" x14ac:dyDescent="0.2">
      <c r="AF59918" s="679"/>
    </row>
    <row r="59919" spans="32:32" x14ac:dyDescent="0.2">
      <c r="AF59919" s="679"/>
    </row>
    <row r="59920" spans="32:32" x14ac:dyDescent="0.2">
      <c r="AF59920" s="679"/>
    </row>
    <row r="59921" spans="32:32" x14ac:dyDescent="0.2">
      <c r="AF59921" s="679"/>
    </row>
    <row r="59922" spans="32:32" x14ac:dyDescent="0.2">
      <c r="AF59922" s="679"/>
    </row>
    <row r="59923" spans="32:32" x14ac:dyDescent="0.2">
      <c r="AF59923" s="679"/>
    </row>
    <row r="59924" spans="32:32" x14ac:dyDescent="0.2">
      <c r="AF59924" s="679"/>
    </row>
    <row r="59925" spans="32:32" x14ac:dyDescent="0.2">
      <c r="AF59925" s="679"/>
    </row>
    <row r="59926" spans="32:32" x14ac:dyDescent="0.2">
      <c r="AF59926" s="679"/>
    </row>
    <row r="59927" spans="32:32" x14ac:dyDescent="0.2">
      <c r="AF59927" s="679"/>
    </row>
    <row r="59928" spans="32:32" x14ac:dyDescent="0.2">
      <c r="AF59928" s="679"/>
    </row>
    <row r="59929" spans="32:32" x14ac:dyDescent="0.2">
      <c r="AF59929" s="679"/>
    </row>
    <row r="59930" spans="32:32" x14ac:dyDescent="0.2">
      <c r="AF59930" s="679"/>
    </row>
    <row r="59931" spans="32:32" x14ac:dyDescent="0.2">
      <c r="AF59931" s="679"/>
    </row>
    <row r="59932" spans="32:32" x14ac:dyDescent="0.2">
      <c r="AF59932" s="679"/>
    </row>
    <row r="59933" spans="32:32" x14ac:dyDescent="0.2">
      <c r="AF59933" s="679"/>
    </row>
    <row r="59934" spans="32:32" x14ac:dyDescent="0.2">
      <c r="AF59934" s="679"/>
    </row>
    <row r="59935" spans="32:32" x14ac:dyDescent="0.2">
      <c r="AF59935" s="679"/>
    </row>
    <row r="59936" spans="32:32" x14ac:dyDescent="0.2">
      <c r="AF59936" s="679"/>
    </row>
    <row r="59937" spans="32:32" x14ac:dyDescent="0.2">
      <c r="AF59937" s="679"/>
    </row>
    <row r="59938" spans="32:32" x14ac:dyDescent="0.2">
      <c r="AF59938" s="679"/>
    </row>
    <row r="59939" spans="32:32" x14ac:dyDescent="0.2">
      <c r="AF59939" s="679"/>
    </row>
    <row r="59940" spans="32:32" x14ac:dyDescent="0.2">
      <c r="AF59940" s="679"/>
    </row>
    <row r="59941" spans="32:32" x14ac:dyDescent="0.2">
      <c r="AF59941" s="679"/>
    </row>
    <row r="59942" spans="32:32" x14ac:dyDescent="0.2">
      <c r="AF59942" s="679"/>
    </row>
    <row r="59943" spans="32:32" x14ac:dyDescent="0.2">
      <c r="AF59943" s="679"/>
    </row>
    <row r="59944" spans="32:32" x14ac:dyDescent="0.2">
      <c r="AF59944" s="679"/>
    </row>
    <row r="59945" spans="32:32" x14ac:dyDescent="0.2">
      <c r="AF59945" s="679"/>
    </row>
    <row r="59946" spans="32:32" x14ac:dyDescent="0.2">
      <c r="AF59946" s="679"/>
    </row>
    <row r="59947" spans="32:32" x14ac:dyDescent="0.2">
      <c r="AF59947" s="679"/>
    </row>
    <row r="59948" spans="32:32" x14ac:dyDescent="0.2">
      <c r="AF59948" s="679"/>
    </row>
    <row r="59949" spans="32:32" x14ac:dyDescent="0.2">
      <c r="AF59949" s="679"/>
    </row>
    <row r="59950" spans="32:32" x14ac:dyDescent="0.2">
      <c r="AF59950" s="679"/>
    </row>
    <row r="59951" spans="32:32" x14ac:dyDescent="0.2">
      <c r="AF59951" s="679"/>
    </row>
    <row r="59952" spans="32:32" x14ac:dyDescent="0.2">
      <c r="AF59952" s="679"/>
    </row>
    <row r="59953" spans="32:32" x14ac:dyDescent="0.2">
      <c r="AF59953" s="679"/>
    </row>
    <row r="59954" spans="32:32" x14ac:dyDescent="0.2">
      <c r="AF59954" s="679"/>
    </row>
    <row r="59955" spans="32:32" x14ac:dyDescent="0.2">
      <c r="AF59955" s="679"/>
    </row>
    <row r="59956" spans="32:32" x14ac:dyDescent="0.2">
      <c r="AF59956" s="679"/>
    </row>
    <row r="59957" spans="32:32" x14ac:dyDescent="0.2">
      <c r="AF59957" s="679"/>
    </row>
    <row r="59958" spans="32:32" x14ac:dyDescent="0.2">
      <c r="AF59958" s="679"/>
    </row>
    <row r="59959" spans="32:32" x14ac:dyDescent="0.2">
      <c r="AF59959" s="679"/>
    </row>
    <row r="59960" spans="32:32" x14ac:dyDescent="0.2">
      <c r="AF59960" s="679"/>
    </row>
    <row r="59961" spans="32:32" x14ac:dyDescent="0.2">
      <c r="AF59961" s="679"/>
    </row>
    <row r="59962" spans="32:32" x14ac:dyDescent="0.2">
      <c r="AF59962" s="679"/>
    </row>
    <row r="59963" spans="32:32" x14ac:dyDescent="0.2">
      <c r="AF59963" s="679"/>
    </row>
    <row r="59964" spans="32:32" x14ac:dyDescent="0.2">
      <c r="AF59964" s="679"/>
    </row>
    <row r="59965" spans="32:32" x14ac:dyDescent="0.2">
      <c r="AF59965" s="679"/>
    </row>
    <row r="59966" spans="32:32" x14ac:dyDescent="0.2">
      <c r="AF59966" s="679"/>
    </row>
    <row r="59967" spans="32:32" x14ac:dyDescent="0.2">
      <c r="AF59967" s="679"/>
    </row>
    <row r="59968" spans="32:32" x14ac:dyDescent="0.2">
      <c r="AF59968" s="679"/>
    </row>
    <row r="59969" spans="32:32" x14ac:dyDescent="0.2">
      <c r="AF59969" s="679"/>
    </row>
    <row r="59970" spans="32:32" x14ac:dyDescent="0.2">
      <c r="AF59970" s="679"/>
    </row>
    <row r="59971" spans="32:32" x14ac:dyDescent="0.2">
      <c r="AF59971" s="679"/>
    </row>
    <row r="59972" spans="32:32" x14ac:dyDescent="0.2">
      <c r="AF59972" s="679"/>
    </row>
    <row r="59973" spans="32:32" x14ac:dyDescent="0.2">
      <c r="AF59973" s="679"/>
    </row>
    <row r="59974" spans="32:32" x14ac:dyDescent="0.2">
      <c r="AF59974" s="679"/>
    </row>
    <row r="59975" spans="32:32" x14ac:dyDescent="0.2">
      <c r="AF59975" s="679"/>
    </row>
    <row r="59976" spans="32:32" x14ac:dyDescent="0.2">
      <c r="AF59976" s="679"/>
    </row>
    <row r="59977" spans="32:32" x14ac:dyDescent="0.2">
      <c r="AF59977" s="679"/>
    </row>
    <row r="59978" spans="32:32" x14ac:dyDescent="0.2">
      <c r="AF59978" s="679"/>
    </row>
    <row r="59979" spans="32:32" x14ac:dyDescent="0.2">
      <c r="AF59979" s="679"/>
    </row>
    <row r="59980" spans="32:32" x14ac:dyDescent="0.2">
      <c r="AF59980" s="679"/>
    </row>
    <row r="59981" spans="32:32" x14ac:dyDescent="0.2">
      <c r="AF59981" s="679"/>
    </row>
    <row r="59982" spans="32:32" x14ac:dyDescent="0.2">
      <c r="AF59982" s="679"/>
    </row>
    <row r="59983" spans="32:32" x14ac:dyDescent="0.2">
      <c r="AF59983" s="679"/>
    </row>
    <row r="59984" spans="32:32" x14ac:dyDescent="0.2">
      <c r="AF59984" s="679"/>
    </row>
    <row r="59985" spans="32:32" x14ac:dyDescent="0.2">
      <c r="AF59985" s="679"/>
    </row>
    <row r="59986" spans="32:32" x14ac:dyDescent="0.2">
      <c r="AF59986" s="679"/>
    </row>
    <row r="59987" spans="32:32" x14ac:dyDescent="0.2">
      <c r="AF59987" s="679"/>
    </row>
    <row r="59988" spans="32:32" x14ac:dyDescent="0.2">
      <c r="AF59988" s="679"/>
    </row>
    <row r="59989" spans="32:32" x14ac:dyDescent="0.2">
      <c r="AF59989" s="679"/>
    </row>
    <row r="59990" spans="32:32" x14ac:dyDescent="0.2">
      <c r="AF59990" s="679"/>
    </row>
    <row r="59991" spans="32:32" x14ac:dyDescent="0.2">
      <c r="AF59991" s="679"/>
    </row>
    <row r="59992" spans="32:32" x14ac:dyDescent="0.2">
      <c r="AF59992" s="679"/>
    </row>
    <row r="59993" spans="32:32" x14ac:dyDescent="0.2">
      <c r="AF59993" s="679"/>
    </row>
    <row r="59994" spans="32:32" x14ac:dyDescent="0.2">
      <c r="AF59994" s="679"/>
    </row>
    <row r="59995" spans="32:32" x14ac:dyDescent="0.2">
      <c r="AF59995" s="679"/>
    </row>
    <row r="59996" spans="32:32" x14ac:dyDescent="0.2">
      <c r="AF59996" s="679"/>
    </row>
    <row r="59997" spans="32:32" x14ac:dyDescent="0.2">
      <c r="AF59997" s="679"/>
    </row>
    <row r="59998" spans="32:32" x14ac:dyDescent="0.2">
      <c r="AF59998" s="679"/>
    </row>
    <row r="59999" spans="32:32" x14ac:dyDescent="0.2">
      <c r="AF59999" s="679"/>
    </row>
    <row r="60000" spans="32:32" x14ac:dyDescent="0.2">
      <c r="AF60000" s="679"/>
    </row>
    <row r="60001" spans="32:32" x14ac:dyDescent="0.2">
      <c r="AF60001" s="679"/>
    </row>
    <row r="60002" spans="32:32" x14ac:dyDescent="0.2">
      <c r="AF60002" s="679"/>
    </row>
    <row r="60003" spans="32:32" x14ac:dyDescent="0.2">
      <c r="AF60003" s="679"/>
    </row>
    <row r="60004" spans="32:32" x14ac:dyDescent="0.2">
      <c r="AF60004" s="679"/>
    </row>
    <row r="60005" spans="32:32" x14ac:dyDescent="0.2">
      <c r="AF60005" s="679"/>
    </row>
    <row r="60006" spans="32:32" x14ac:dyDescent="0.2">
      <c r="AF60006" s="679"/>
    </row>
    <row r="60007" spans="32:32" x14ac:dyDescent="0.2">
      <c r="AF60007" s="679"/>
    </row>
    <row r="60008" spans="32:32" x14ac:dyDescent="0.2">
      <c r="AF60008" s="679"/>
    </row>
    <row r="60009" spans="32:32" x14ac:dyDescent="0.2">
      <c r="AF60009" s="679"/>
    </row>
    <row r="60010" spans="32:32" x14ac:dyDescent="0.2">
      <c r="AF60010" s="679"/>
    </row>
    <row r="60011" spans="32:32" x14ac:dyDescent="0.2">
      <c r="AF60011" s="679"/>
    </row>
    <row r="60012" spans="32:32" x14ac:dyDescent="0.2">
      <c r="AF60012" s="679"/>
    </row>
    <row r="60013" spans="32:32" x14ac:dyDescent="0.2">
      <c r="AF60013" s="679"/>
    </row>
    <row r="60014" spans="32:32" x14ac:dyDescent="0.2">
      <c r="AF60014" s="679"/>
    </row>
    <row r="60015" spans="32:32" x14ac:dyDescent="0.2">
      <c r="AF60015" s="679"/>
    </row>
    <row r="60016" spans="32:32" x14ac:dyDescent="0.2">
      <c r="AF60016" s="679"/>
    </row>
    <row r="60017" spans="32:32" x14ac:dyDescent="0.2">
      <c r="AF60017" s="679"/>
    </row>
    <row r="60018" spans="32:32" x14ac:dyDescent="0.2">
      <c r="AF60018" s="679"/>
    </row>
    <row r="60019" spans="32:32" x14ac:dyDescent="0.2">
      <c r="AF60019" s="679"/>
    </row>
    <row r="60020" spans="32:32" x14ac:dyDescent="0.2">
      <c r="AF60020" s="679"/>
    </row>
    <row r="60021" spans="32:32" x14ac:dyDescent="0.2">
      <c r="AF60021" s="679"/>
    </row>
    <row r="60022" spans="32:32" x14ac:dyDescent="0.2">
      <c r="AF60022" s="679"/>
    </row>
    <row r="60023" spans="32:32" x14ac:dyDescent="0.2">
      <c r="AF60023" s="679"/>
    </row>
    <row r="60024" spans="32:32" x14ac:dyDescent="0.2">
      <c r="AF60024" s="679"/>
    </row>
    <row r="60025" spans="32:32" x14ac:dyDescent="0.2">
      <c r="AF60025" s="679"/>
    </row>
    <row r="60026" spans="32:32" x14ac:dyDescent="0.2">
      <c r="AF60026" s="679"/>
    </row>
    <row r="60027" spans="32:32" x14ac:dyDescent="0.2">
      <c r="AF60027" s="679"/>
    </row>
    <row r="60028" spans="32:32" x14ac:dyDescent="0.2">
      <c r="AF60028" s="679"/>
    </row>
    <row r="60029" spans="32:32" x14ac:dyDescent="0.2">
      <c r="AF60029" s="679"/>
    </row>
    <row r="60030" spans="32:32" x14ac:dyDescent="0.2">
      <c r="AF60030" s="679"/>
    </row>
    <row r="60031" spans="32:32" x14ac:dyDescent="0.2">
      <c r="AF60031" s="679"/>
    </row>
    <row r="60032" spans="32:32" x14ac:dyDescent="0.2">
      <c r="AF60032" s="679"/>
    </row>
    <row r="60033" spans="32:32" x14ac:dyDescent="0.2">
      <c r="AF60033" s="679"/>
    </row>
    <row r="60034" spans="32:32" x14ac:dyDescent="0.2">
      <c r="AF60034" s="679"/>
    </row>
    <row r="60035" spans="32:32" x14ac:dyDescent="0.2">
      <c r="AF60035" s="679"/>
    </row>
    <row r="60036" spans="32:32" x14ac:dyDescent="0.2">
      <c r="AF60036" s="679"/>
    </row>
    <row r="60037" spans="32:32" x14ac:dyDescent="0.2">
      <c r="AF60037" s="679"/>
    </row>
    <row r="60038" spans="32:32" x14ac:dyDescent="0.2">
      <c r="AF60038" s="679"/>
    </row>
    <row r="60039" spans="32:32" x14ac:dyDescent="0.2">
      <c r="AF60039" s="679"/>
    </row>
    <row r="60040" spans="32:32" x14ac:dyDescent="0.2">
      <c r="AF60040" s="679"/>
    </row>
    <row r="60041" spans="32:32" x14ac:dyDescent="0.2">
      <c r="AF60041" s="679"/>
    </row>
    <row r="60042" spans="32:32" x14ac:dyDescent="0.2">
      <c r="AF60042" s="679"/>
    </row>
    <row r="60043" spans="32:32" x14ac:dyDescent="0.2">
      <c r="AF60043" s="679"/>
    </row>
    <row r="60044" spans="32:32" x14ac:dyDescent="0.2">
      <c r="AF60044" s="679"/>
    </row>
    <row r="60045" spans="32:32" x14ac:dyDescent="0.2">
      <c r="AF60045" s="679"/>
    </row>
    <row r="60046" spans="32:32" x14ac:dyDescent="0.2">
      <c r="AF60046" s="679"/>
    </row>
    <row r="60047" spans="32:32" x14ac:dyDescent="0.2">
      <c r="AF60047" s="679"/>
    </row>
    <row r="60048" spans="32:32" x14ac:dyDescent="0.2">
      <c r="AF60048" s="679"/>
    </row>
    <row r="60049" spans="32:32" x14ac:dyDescent="0.2">
      <c r="AF60049" s="679"/>
    </row>
    <row r="60050" spans="32:32" x14ac:dyDescent="0.2">
      <c r="AF60050" s="679"/>
    </row>
    <row r="60051" spans="32:32" x14ac:dyDescent="0.2">
      <c r="AF60051" s="679"/>
    </row>
    <row r="60052" spans="32:32" x14ac:dyDescent="0.2">
      <c r="AF60052" s="679"/>
    </row>
    <row r="60053" spans="32:32" x14ac:dyDescent="0.2">
      <c r="AF60053" s="679"/>
    </row>
    <row r="60054" spans="32:32" x14ac:dyDescent="0.2">
      <c r="AF60054" s="679"/>
    </row>
    <row r="60055" spans="32:32" x14ac:dyDescent="0.2">
      <c r="AF60055" s="679"/>
    </row>
    <row r="60056" spans="32:32" x14ac:dyDescent="0.2">
      <c r="AF60056" s="679"/>
    </row>
    <row r="60057" spans="32:32" x14ac:dyDescent="0.2">
      <c r="AF60057" s="679"/>
    </row>
    <row r="60058" spans="32:32" x14ac:dyDescent="0.2">
      <c r="AF60058" s="679"/>
    </row>
    <row r="60059" spans="32:32" x14ac:dyDescent="0.2">
      <c r="AF60059" s="679"/>
    </row>
    <row r="60060" spans="32:32" x14ac:dyDescent="0.2">
      <c r="AF60060" s="679"/>
    </row>
    <row r="60061" spans="32:32" x14ac:dyDescent="0.2">
      <c r="AF60061" s="679"/>
    </row>
    <row r="60062" spans="32:32" x14ac:dyDescent="0.2">
      <c r="AF60062" s="679"/>
    </row>
    <row r="60063" spans="32:32" x14ac:dyDescent="0.2">
      <c r="AF60063" s="679"/>
    </row>
    <row r="60064" spans="32:32" x14ac:dyDescent="0.2">
      <c r="AF60064" s="679"/>
    </row>
    <row r="60065" spans="32:32" x14ac:dyDescent="0.2">
      <c r="AF60065" s="679"/>
    </row>
    <row r="60066" spans="32:32" x14ac:dyDescent="0.2">
      <c r="AF60066" s="679"/>
    </row>
    <row r="60067" spans="32:32" x14ac:dyDescent="0.2">
      <c r="AF60067" s="679"/>
    </row>
    <row r="60068" spans="32:32" x14ac:dyDescent="0.2">
      <c r="AF60068" s="679"/>
    </row>
    <row r="60069" spans="32:32" x14ac:dyDescent="0.2">
      <c r="AF60069" s="679"/>
    </row>
    <row r="60070" spans="32:32" x14ac:dyDescent="0.2">
      <c r="AF60070" s="679"/>
    </row>
    <row r="60071" spans="32:32" x14ac:dyDescent="0.2">
      <c r="AF60071" s="679"/>
    </row>
    <row r="60072" spans="32:32" x14ac:dyDescent="0.2">
      <c r="AF60072" s="679"/>
    </row>
    <row r="60073" spans="32:32" x14ac:dyDescent="0.2">
      <c r="AF60073" s="679"/>
    </row>
    <row r="60074" spans="32:32" x14ac:dyDescent="0.2">
      <c r="AF60074" s="679"/>
    </row>
    <row r="60075" spans="32:32" x14ac:dyDescent="0.2">
      <c r="AF60075" s="679"/>
    </row>
    <row r="60076" spans="32:32" x14ac:dyDescent="0.2">
      <c r="AF60076" s="679"/>
    </row>
    <row r="60077" spans="32:32" x14ac:dyDescent="0.2">
      <c r="AF60077" s="679"/>
    </row>
    <row r="60078" spans="32:32" x14ac:dyDescent="0.2">
      <c r="AF60078" s="679"/>
    </row>
    <row r="60079" spans="32:32" x14ac:dyDescent="0.2">
      <c r="AF60079" s="679"/>
    </row>
    <row r="60080" spans="32:32" x14ac:dyDescent="0.2">
      <c r="AF60080" s="679"/>
    </row>
    <row r="60081" spans="32:32" x14ac:dyDescent="0.2">
      <c r="AF60081" s="679"/>
    </row>
    <row r="60082" spans="32:32" x14ac:dyDescent="0.2">
      <c r="AF60082" s="679"/>
    </row>
    <row r="60083" spans="32:32" x14ac:dyDescent="0.2">
      <c r="AF60083" s="679"/>
    </row>
    <row r="60084" spans="32:32" x14ac:dyDescent="0.2">
      <c r="AF60084" s="679"/>
    </row>
    <row r="60085" spans="32:32" x14ac:dyDescent="0.2">
      <c r="AF60085" s="679"/>
    </row>
    <row r="60086" spans="32:32" x14ac:dyDescent="0.2">
      <c r="AF60086" s="679"/>
    </row>
    <row r="60087" spans="32:32" x14ac:dyDescent="0.2">
      <c r="AF60087" s="679"/>
    </row>
    <row r="60088" spans="32:32" x14ac:dyDescent="0.2">
      <c r="AF60088" s="679"/>
    </row>
    <row r="60089" spans="32:32" x14ac:dyDescent="0.2">
      <c r="AF60089" s="679"/>
    </row>
    <row r="60090" spans="32:32" x14ac:dyDescent="0.2">
      <c r="AF60090" s="679"/>
    </row>
    <row r="60091" spans="32:32" x14ac:dyDescent="0.2">
      <c r="AF60091" s="679"/>
    </row>
    <row r="60092" spans="32:32" x14ac:dyDescent="0.2">
      <c r="AF60092" s="679"/>
    </row>
    <row r="60093" spans="32:32" x14ac:dyDescent="0.2">
      <c r="AF60093" s="679"/>
    </row>
    <row r="60094" spans="32:32" x14ac:dyDescent="0.2">
      <c r="AF60094" s="679"/>
    </row>
    <row r="60095" spans="32:32" x14ac:dyDescent="0.2">
      <c r="AF60095" s="679"/>
    </row>
    <row r="60096" spans="32:32" x14ac:dyDescent="0.2">
      <c r="AF60096" s="679"/>
    </row>
    <row r="60097" spans="32:32" x14ac:dyDescent="0.2">
      <c r="AF60097" s="679"/>
    </row>
    <row r="60098" spans="32:32" x14ac:dyDescent="0.2">
      <c r="AF60098" s="679"/>
    </row>
    <row r="60099" spans="32:32" x14ac:dyDescent="0.2">
      <c r="AF60099" s="679"/>
    </row>
    <row r="60100" spans="32:32" x14ac:dyDescent="0.2">
      <c r="AF60100" s="679"/>
    </row>
    <row r="60101" spans="32:32" x14ac:dyDescent="0.2">
      <c r="AF60101" s="679"/>
    </row>
    <row r="60102" spans="32:32" x14ac:dyDescent="0.2">
      <c r="AF60102" s="679"/>
    </row>
    <row r="60103" spans="32:32" x14ac:dyDescent="0.2">
      <c r="AF60103" s="679"/>
    </row>
    <row r="60104" spans="32:32" x14ac:dyDescent="0.2">
      <c r="AF60104" s="679"/>
    </row>
    <row r="60105" spans="32:32" x14ac:dyDescent="0.2">
      <c r="AF60105" s="679"/>
    </row>
    <row r="60106" spans="32:32" x14ac:dyDescent="0.2">
      <c r="AF60106" s="679"/>
    </row>
    <row r="60107" spans="32:32" x14ac:dyDescent="0.2">
      <c r="AF60107" s="679"/>
    </row>
    <row r="60108" spans="32:32" x14ac:dyDescent="0.2">
      <c r="AF60108" s="679"/>
    </row>
    <row r="60109" spans="32:32" x14ac:dyDescent="0.2">
      <c r="AF60109" s="679"/>
    </row>
    <row r="60110" spans="32:32" x14ac:dyDescent="0.2">
      <c r="AF60110" s="679"/>
    </row>
    <row r="60111" spans="32:32" x14ac:dyDescent="0.2">
      <c r="AF60111" s="679"/>
    </row>
    <row r="60112" spans="32:32" x14ac:dyDescent="0.2">
      <c r="AF60112" s="679"/>
    </row>
    <row r="60113" spans="32:32" x14ac:dyDescent="0.2">
      <c r="AF60113" s="679"/>
    </row>
    <row r="60114" spans="32:32" x14ac:dyDescent="0.2">
      <c r="AF60114" s="679"/>
    </row>
    <row r="60115" spans="32:32" x14ac:dyDescent="0.2">
      <c r="AF60115" s="679"/>
    </row>
    <row r="60116" spans="32:32" x14ac:dyDescent="0.2">
      <c r="AF60116" s="679"/>
    </row>
    <row r="60117" spans="32:32" x14ac:dyDescent="0.2">
      <c r="AF60117" s="679"/>
    </row>
    <row r="60118" spans="32:32" x14ac:dyDescent="0.2">
      <c r="AF60118" s="679"/>
    </row>
    <row r="60119" spans="32:32" x14ac:dyDescent="0.2">
      <c r="AF60119" s="679"/>
    </row>
    <row r="60120" spans="32:32" x14ac:dyDescent="0.2">
      <c r="AF60120" s="679"/>
    </row>
    <row r="60121" spans="32:32" x14ac:dyDescent="0.2">
      <c r="AF60121" s="679"/>
    </row>
    <row r="60122" spans="32:32" x14ac:dyDescent="0.2">
      <c r="AF60122" s="679"/>
    </row>
    <row r="60123" spans="32:32" x14ac:dyDescent="0.2">
      <c r="AF60123" s="679"/>
    </row>
    <row r="60124" spans="32:32" x14ac:dyDescent="0.2">
      <c r="AF60124" s="679"/>
    </row>
    <row r="60125" spans="32:32" x14ac:dyDescent="0.2">
      <c r="AF60125" s="679"/>
    </row>
    <row r="60126" spans="32:32" x14ac:dyDescent="0.2">
      <c r="AF60126" s="679"/>
    </row>
    <row r="60127" spans="32:32" x14ac:dyDescent="0.2">
      <c r="AF60127" s="679"/>
    </row>
    <row r="60128" spans="32:32" x14ac:dyDescent="0.2">
      <c r="AF60128" s="679"/>
    </row>
    <row r="60129" spans="32:32" x14ac:dyDescent="0.2">
      <c r="AF60129" s="679"/>
    </row>
    <row r="60130" spans="32:32" x14ac:dyDescent="0.2">
      <c r="AF60130" s="679"/>
    </row>
    <row r="60131" spans="32:32" x14ac:dyDescent="0.2">
      <c r="AF60131" s="679"/>
    </row>
    <row r="60132" spans="32:32" x14ac:dyDescent="0.2">
      <c r="AF60132" s="679"/>
    </row>
    <row r="60133" spans="32:32" x14ac:dyDescent="0.2">
      <c r="AF60133" s="679"/>
    </row>
    <row r="60134" spans="32:32" x14ac:dyDescent="0.2">
      <c r="AF60134" s="679"/>
    </row>
    <row r="60135" spans="32:32" x14ac:dyDescent="0.2">
      <c r="AF60135" s="679"/>
    </row>
    <row r="60136" spans="32:32" x14ac:dyDescent="0.2">
      <c r="AF60136" s="679"/>
    </row>
    <row r="60137" spans="32:32" x14ac:dyDescent="0.2">
      <c r="AF60137" s="679"/>
    </row>
    <row r="60138" spans="32:32" x14ac:dyDescent="0.2">
      <c r="AF60138" s="679"/>
    </row>
    <row r="60139" spans="32:32" x14ac:dyDescent="0.2">
      <c r="AF60139" s="679"/>
    </row>
    <row r="60140" spans="32:32" x14ac:dyDescent="0.2">
      <c r="AF60140" s="679"/>
    </row>
    <row r="60141" spans="32:32" x14ac:dyDescent="0.2">
      <c r="AF60141" s="679"/>
    </row>
    <row r="60142" spans="32:32" x14ac:dyDescent="0.2">
      <c r="AF60142" s="679"/>
    </row>
    <row r="60143" spans="32:32" x14ac:dyDescent="0.2">
      <c r="AF60143" s="679"/>
    </row>
    <row r="60144" spans="32:32" x14ac:dyDescent="0.2">
      <c r="AF60144" s="679"/>
    </row>
    <row r="60145" spans="32:32" x14ac:dyDescent="0.2">
      <c r="AF60145" s="679"/>
    </row>
    <row r="60146" spans="32:32" x14ac:dyDescent="0.2">
      <c r="AF60146" s="679"/>
    </row>
    <row r="60147" spans="32:32" x14ac:dyDescent="0.2">
      <c r="AF60147" s="679"/>
    </row>
    <row r="60148" spans="32:32" x14ac:dyDescent="0.2">
      <c r="AF60148" s="679"/>
    </row>
    <row r="60149" spans="32:32" x14ac:dyDescent="0.2">
      <c r="AF60149" s="679"/>
    </row>
    <row r="60150" spans="32:32" x14ac:dyDescent="0.2">
      <c r="AF60150" s="679"/>
    </row>
    <row r="60151" spans="32:32" x14ac:dyDescent="0.2">
      <c r="AF60151" s="679"/>
    </row>
    <row r="60152" spans="32:32" x14ac:dyDescent="0.2">
      <c r="AF60152" s="679"/>
    </row>
    <row r="60153" spans="32:32" x14ac:dyDescent="0.2">
      <c r="AF60153" s="679"/>
    </row>
    <row r="60154" spans="32:32" x14ac:dyDescent="0.2">
      <c r="AF60154" s="679"/>
    </row>
    <row r="60155" spans="32:32" x14ac:dyDescent="0.2">
      <c r="AF60155" s="679"/>
    </row>
    <row r="60156" spans="32:32" x14ac:dyDescent="0.2">
      <c r="AF60156" s="679"/>
    </row>
    <row r="60157" spans="32:32" x14ac:dyDescent="0.2">
      <c r="AF60157" s="679"/>
    </row>
    <row r="60158" spans="32:32" x14ac:dyDescent="0.2">
      <c r="AF60158" s="679"/>
    </row>
    <row r="60159" spans="32:32" x14ac:dyDescent="0.2">
      <c r="AF60159" s="679"/>
    </row>
    <row r="60160" spans="32:32" x14ac:dyDescent="0.2">
      <c r="AF60160" s="679"/>
    </row>
    <row r="60161" spans="32:32" x14ac:dyDescent="0.2">
      <c r="AF60161" s="679"/>
    </row>
    <row r="60162" spans="32:32" x14ac:dyDescent="0.2">
      <c r="AF60162" s="679"/>
    </row>
    <row r="60163" spans="32:32" x14ac:dyDescent="0.2">
      <c r="AF60163" s="679"/>
    </row>
    <row r="60164" spans="32:32" x14ac:dyDescent="0.2">
      <c r="AF60164" s="679"/>
    </row>
    <row r="60165" spans="32:32" x14ac:dyDescent="0.2">
      <c r="AF60165" s="679"/>
    </row>
    <row r="60166" spans="32:32" x14ac:dyDescent="0.2">
      <c r="AF60166" s="679"/>
    </row>
    <row r="60167" spans="32:32" x14ac:dyDescent="0.2">
      <c r="AF60167" s="679"/>
    </row>
    <row r="60168" spans="32:32" x14ac:dyDescent="0.2">
      <c r="AF60168" s="679"/>
    </row>
    <row r="60169" spans="32:32" x14ac:dyDescent="0.2">
      <c r="AF60169" s="679"/>
    </row>
    <row r="60170" spans="32:32" x14ac:dyDescent="0.2">
      <c r="AF60170" s="679"/>
    </row>
    <row r="60171" spans="32:32" x14ac:dyDescent="0.2">
      <c r="AF60171" s="679"/>
    </row>
    <row r="60172" spans="32:32" x14ac:dyDescent="0.2">
      <c r="AF60172" s="679"/>
    </row>
    <row r="60173" spans="32:32" x14ac:dyDescent="0.2">
      <c r="AF60173" s="679"/>
    </row>
    <row r="60174" spans="32:32" x14ac:dyDescent="0.2">
      <c r="AF60174" s="679"/>
    </row>
    <row r="60175" spans="32:32" x14ac:dyDescent="0.2">
      <c r="AF60175" s="679"/>
    </row>
    <row r="60176" spans="32:32" x14ac:dyDescent="0.2">
      <c r="AF60176" s="679"/>
    </row>
    <row r="60177" spans="32:32" x14ac:dyDescent="0.2">
      <c r="AF60177" s="679"/>
    </row>
    <row r="60178" spans="32:32" x14ac:dyDescent="0.2">
      <c r="AF60178" s="679"/>
    </row>
    <row r="60179" spans="32:32" x14ac:dyDescent="0.2">
      <c r="AF60179" s="679"/>
    </row>
    <row r="60180" spans="32:32" x14ac:dyDescent="0.2">
      <c r="AF60180" s="679"/>
    </row>
    <row r="60181" spans="32:32" x14ac:dyDescent="0.2">
      <c r="AF60181" s="679"/>
    </row>
    <row r="60182" spans="32:32" x14ac:dyDescent="0.2">
      <c r="AF60182" s="679"/>
    </row>
    <row r="60183" spans="32:32" x14ac:dyDescent="0.2">
      <c r="AF60183" s="679"/>
    </row>
    <row r="60184" spans="32:32" x14ac:dyDescent="0.2">
      <c r="AF60184" s="679"/>
    </row>
    <row r="60185" spans="32:32" x14ac:dyDescent="0.2">
      <c r="AF60185" s="679"/>
    </row>
    <row r="60186" spans="32:32" x14ac:dyDescent="0.2">
      <c r="AF60186" s="679"/>
    </row>
    <row r="60187" spans="32:32" x14ac:dyDescent="0.2">
      <c r="AF60187" s="679"/>
    </row>
    <row r="60188" spans="32:32" x14ac:dyDescent="0.2">
      <c r="AF60188" s="679"/>
    </row>
    <row r="60189" spans="32:32" x14ac:dyDescent="0.2">
      <c r="AF60189" s="679"/>
    </row>
    <row r="60190" spans="32:32" x14ac:dyDescent="0.2">
      <c r="AF60190" s="679"/>
    </row>
    <row r="60191" spans="32:32" x14ac:dyDescent="0.2">
      <c r="AF60191" s="679"/>
    </row>
    <row r="60192" spans="32:32" x14ac:dyDescent="0.2">
      <c r="AF60192" s="679"/>
    </row>
    <row r="60193" spans="32:32" x14ac:dyDescent="0.2">
      <c r="AF60193" s="679"/>
    </row>
    <row r="60194" spans="32:32" x14ac:dyDescent="0.2">
      <c r="AF60194" s="679"/>
    </row>
    <row r="60195" spans="32:32" x14ac:dyDescent="0.2">
      <c r="AF60195" s="679"/>
    </row>
    <row r="60196" spans="32:32" x14ac:dyDescent="0.2">
      <c r="AF60196" s="679"/>
    </row>
    <row r="60197" spans="32:32" x14ac:dyDescent="0.2">
      <c r="AF60197" s="679"/>
    </row>
    <row r="60198" spans="32:32" x14ac:dyDescent="0.2">
      <c r="AF60198" s="679"/>
    </row>
    <row r="60199" spans="32:32" x14ac:dyDescent="0.2">
      <c r="AF60199" s="679"/>
    </row>
    <row r="60200" spans="32:32" x14ac:dyDescent="0.2">
      <c r="AF60200" s="679"/>
    </row>
    <row r="60201" spans="32:32" x14ac:dyDescent="0.2">
      <c r="AF60201" s="679"/>
    </row>
    <row r="60202" spans="32:32" x14ac:dyDescent="0.2">
      <c r="AF60202" s="679"/>
    </row>
    <row r="60203" spans="32:32" x14ac:dyDescent="0.2">
      <c r="AF60203" s="679"/>
    </row>
    <row r="60204" spans="32:32" x14ac:dyDescent="0.2">
      <c r="AF60204" s="679"/>
    </row>
    <row r="60205" spans="32:32" x14ac:dyDescent="0.2">
      <c r="AF60205" s="679"/>
    </row>
    <row r="60206" spans="32:32" x14ac:dyDescent="0.2">
      <c r="AF60206" s="679"/>
    </row>
    <row r="60207" spans="32:32" x14ac:dyDescent="0.2">
      <c r="AF60207" s="679"/>
    </row>
    <row r="60208" spans="32:32" x14ac:dyDescent="0.2">
      <c r="AF60208" s="679"/>
    </row>
    <row r="60209" spans="32:32" x14ac:dyDescent="0.2">
      <c r="AF60209" s="679"/>
    </row>
    <row r="60210" spans="32:32" x14ac:dyDescent="0.2">
      <c r="AF60210" s="679"/>
    </row>
    <row r="60211" spans="32:32" x14ac:dyDescent="0.2">
      <c r="AF60211" s="679"/>
    </row>
    <row r="60212" spans="32:32" x14ac:dyDescent="0.2">
      <c r="AF60212" s="679"/>
    </row>
    <row r="60213" spans="32:32" x14ac:dyDescent="0.2">
      <c r="AF60213" s="679"/>
    </row>
    <row r="60214" spans="32:32" x14ac:dyDescent="0.2">
      <c r="AF60214" s="679"/>
    </row>
    <row r="60215" spans="32:32" x14ac:dyDescent="0.2">
      <c r="AF60215" s="679"/>
    </row>
    <row r="60216" spans="32:32" x14ac:dyDescent="0.2">
      <c r="AF60216" s="679"/>
    </row>
    <row r="60217" spans="32:32" x14ac:dyDescent="0.2">
      <c r="AF60217" s="679"/>
    </row>
    <row r="60218" spans="32:32" x14ac:dyDescent="0.2">
      <c r="AF60218" s="679"/>
    </row>
    <row r="60219" spans="32:32" x14ac:dyDescent="0.2">
      <c r="AF60219" s="679"/>
    </row>
    <row r="60220" spans="32:32" x14ac:dyDescent="0.2">
      <c r="AF60220" s="679"/>
    </row>
    <row r="60221" spans="32:32" x14ac:dyDescent="0.2">
      <c r="AF60221" s="679"/>
    </row>
    <row r="60222" spans="32:32" x14ac:dyDescent="0.2">
      <c r="AF60222" s="679"/>
    </row>
    <row r="60223" spans="32:32" x14ac:dyDescent="0.2">
      <c r="AF60223" s="679"/>
    </row>
    <row r="60224" spans="32:32" x14ac:dyDescent="0.2">
      <c r="AF60224" s="679"/>
    </row>
    <row r="60225" spans="32:32" x14ac:dyDescent="0.2">
      <c r="AF60225" s="679"/>
    </row>
    <row r="60226" spans="32:32" x14ac:dyDescent="0.2">
      <c r="AF60226" s="679"/>
    </row>
    <row r="60227" spans="32:32" x14ac:dyDescent="0.2">
      <c r="AF60227" s="679"/>
    </row>
    <row r="60228" spans="32:32" x14ac:dyDescent="0.2">
      <c r="AF60228" s="679"/>
    </row>
    <row r="60229" spans="32:32" x14ac:dyDescent="0.2">
      <c r="AF60229" s="679"/>
    </row>
    <row r="60230" spans="32:32" x14ac:dyDescent="0.2">
      <c r="AF60230" s="679"/>
    </row>
    <row r="60231" spans="32:32" x14ac:dyDescent="0.2">
      <c r="AF60231" s="679"/>
    </row>
    <row r="60232" spans="32:32" x14ac:dyDescent="0.2">
      <c r="AF60232" s="679"/>
    </row>
    <row r="60233" spans="32:32" x14ac:dyDescent="0.2">
      <c r="AF60233" s="679"/>
    </row>
    <row r="60234" spans="32:32" x14ac:dyDescent="0.2">
      <c r="AF60234" s="679"/>
    </row>
    <row r="60235" spans="32:32" x14ac:dyDescent="0.2">
      <c r="AF60235" s="679"/>
    </row>
    <row r="60236" spans="32:32" x14ac:dyDescent="0.2">
      <c r="AF60236" s="679"/>
    </row>
    <row r="60237" spans="32:32" x14ac:dyDescent="0.2">
      <c r="AF60237" s="679"/>
    </row>
    <row r="60238" spans="32:32" x14ac:dyDescent="0.2">
      <c r="AF60238" s="679"/>
    </row>
    <row r="60239" spans="32:32" x14ac:dyDescent="0.2">
      <c r="AF60239" s="679"/>
    </row>
    <row r="60240" spans="32:32" x14ac:dyDescent="0.2">
      <c r="AF60240" s="679"/>
    </row>
    <row r="60241" spans="32:32" x14ac:dyDescent="0.2">
      <c r="AF60241" s="679"/>
    </row>
    <row r="60242" spans="32:32" x14ac:dyDescent="0.2">
      <c r="AF60242" s="679"/>
    </row>
    <row r="60243" spans="32:32" x14ac:dyDescent="0.2">
      <c r="AF60243" s="679"/>
    </row>
    <row r="60244" spans="32:32" x14ac:dyDescent="0.2">
      <c r="AF60244" s="679"/>
    </row>
    <row r="60245" spans="32:32" x14ac:dyDescent="0.2">
      <c r="AF60245" s="679"/>
    </row>
    <row r="60246" spans="32:32" x14ac:dyDescent="0.2">
      <c r="AF60246" s="679"/>
    </row>
    <row r="60247" spans="32:32" x14ac:dyDescent="0.2">
      <c r="AF60247" s="679"/>
    </row>
    <row r="60248" spans="32:32" x14ac:dyDescent="0.2">
      <c r="AF60248" s="679"/>
    </row>
    <row r="60249" spans="32:32" x14ac:dyDescent="0.2">
      <c r="AF60249" s="679"/>
    </row>
    <row r="60250" spans="32:32" x14ac:dyDescent="0.2">
      <c r="AF60250" s="679"/>
    </row>
    <row r="60251" spans="32:32" x14ac:dyDescent="0.2">
      <c r="AF60251" s="679"/>
    </row>
    <row r="60252" spans="32:32" x14ac:dyDescent="0.2">
      <c r="AF60252" s="679"/>
    </row>
    <row r="60253" spans="32:32" x14ac:dyDescent="0.2">
      <c r="AF60253" s="679"/>
    </row>
    <row r="60254" spans="32:32" x14ac:dyDescent="0.2">
      <c r="AF60254" s="679"/>
    </row>
    <row r="60255" spans="32:32" x14ac:dyDescent="0.2">
      <c r="AF60255" s="679"/>
    </row>
    <row r="60256" spans="32:32" x14ac:dyDescent="0.2">
      <c r="AF60256" s="679"/>
    </row>
    <row r="60257" spans="32:32" x14ac:dyDescent="0.2">
      <c r="AF60257" s="679"/>
    </row>
    <row r="60258" spans="32:32" x14ac:dyDescent="0.2">
      <c r="AF60258" s="679"/>
    </row>
    <row r="60259" spans="32:32" x14ac:dyDescent="0.2">
      <c r="AF60259" s="679"/>
    </row>
    <row r="60260" spans="32:32" x14ac:dyDescent="0.2">
      <c r="AF60260" s="679"/>
    </row>
    <row r="60261" spans="32:32" x14ac:dyDescent="0.2">
      <c r="AF60261" s="679"/>
    </row>
    <row r="60262" spans="32:32" x14ac:dyDescent="0.2">
      <c r="AF60262" s="679"/>
    </row>
    <row r="60263" spans="32:32" x14ac:dyDescent="0.2">
      <c r="AF60263" s="679"/>
    </row>
    <row r="60264" spans="32:32" x14ac:dyDescent="0.2">
      <c r="AF60264" s="679"/>
    </row>
    <row r="60265" spans="32:32" x14ac:dyDescent="0.2">
      <c r="AF60265" s="679"/>
    </row>
    <row r="60266" spans="32:32" x14ac:dyDescent="0.2">
      <c r="AF60266" s="679"/>
    </row>
    <row r="60267" spans="32:32" x14ac:dyDescent="0.2">
      <c r="AF60267" s="679"/>
    </row>
    <row r="60268" spans="32:32" x14ac:dyDescent="0.2">
      <c r="AF60268" s="679"/>
    </row>
    <row r="60269" spans="32:32" x14ac:dyDescent="0.2">
      <c r="AF60269" s="679"/>
    </row>
    <row r="60270" spans="32:32" x14ac:dyDescent="0.2">
      <c r="AF60270" s="679"/>
    </row>
    <row r="60271" spans="32:32" x14ac:dyDescent="0.2">
      <c r="AF60271" s="679"/>
    </row>
    <row r="60272" spans="32:32" x14ac:dyDescent="0.2">
      <c r="AF60272" s="679"/>
    </row>
    <row r="60273" spans="32:32" x14ac:dyDescent="0.2">
      <c r="AF60273" s="679"/>
    </row>
    <row r="60274" spans="32:32" x14ac:dyDescent="0.2">
      <c r="AF60274" s="679"/>
    </row>
    <row r="60275" spans="32:32" x14ac:dyDescent="0.2">
      <c r="AF60275" s="679"/>
    </row>
    <row r="60276" spans="32:32" x14ac:dyDescent="0.2">
      <c r="AF60276" s="679"/>
    </row>
    <row r="60277" spans="32:32" x14ac:dyDescent="0.2">
      <c r="AF60277" s="679"/>
    </row>
    <row r="60278" spans="32:32" x14ac:dyDescent="0.2">
      <c r="AF60278" s="679"/>
    </row>
    <row r="60279" spans="32:32" x14ac:dyDescent="0.2">
      <c r="AF60279" s="679"/>
    </row>
    <row r="60280" spans="32:32" x14ac:dyDescent="0.2">
      <c r="AF60280" s="679"/>
    </row>
    <row r="60281" spans="32:32" x14ac:dyDescent="0.2">
      <c r="AF60281" s="679"/>
    </row>
    <row r="60282" spans="32:32" x14ac:dyDescent="0.2">
      <c r="AF60282" s="679"/>
    </row>
    <row r="60283" spans="32:32" x14ac:dyDescent="0.2">
      <c r="AF60283" s="679"/>
    </row>
    <row r="60284" spans="32:32" x14ac:dyDescent="0.2">
      <c r="AF60284" s="679"/>
    </row>
    <row r="60285" spans="32:32" x14ac:dyDescent="0.2">
      <c r="AF60285" s="679"/>
    </row>
    <row r="60286" spans="32:32" x14ac:dyDescent="0.2">
      <c r="AF60286" s="679"/>
    </row>
    <row r="60287" spans="32:32" x14ac:dyDescent="0.2">
      <c r="AF60287" s="679"/>
    </row>
    <row r="60288" spans="32:32" x14ac:dyDescent="0.2">
      <c r="AF60288" s="679"/>
    </row>
    <row r="60289" spans="32:32" x14ac:dyDescent="0.2">
      <c r="AF60289" s="679"/>
    </row>
    <row r="60290" spans="32:32" x14ac:dyDescent="0.2">
      <c r="AF60290" s="679"/>
    </row>
    <row r="60291" spans="32:32" x14ac:dyDescent="0.2">
      <c r="AF60291" s="679"/>
    </row>
    <row r="60292" spans="32:32" x14ac:dyDescent="0.2">
      <c r="AF60292" s="679"/>
    </row>
    <row r="60293" spans="32:32" x14ac:dyDescent="0.2">
      <c r="AF60293" s="679"/>
    </row>
    <row r="60294" spans="32:32" x14ac:dyDescent="0.2">
      <c r="AF60294" s="679"/>
    </row>
    <row r="60295" spans="32:32" x14ac:dyDescent="0.2">
      <c r="AF60295" s="679"/>
    </row>
    <row r="60296" spans="32:32" x14ac:dyDescent="0.2">
      <c r="AF60296" s="679"/>
    </row>
    <row r="60297" spans="32:32" x14ac:dyDescent="0.2">
      <c r="AF60297" s="679"/>
    </row>
    <row r="60298" spans="32:32" x14ac:dyDescent="0.2">
      <c r="AF60298" s="679"/>
    </row>
    <row r="60299" spans="32:32" x14ac:dyDescent="0.2">
      <c r="AF60299" s="679"/>
    </row>
    <row r="60300" spans="32:32" x14ac:dyDescent="0.2">
      <c r="AF60300" s="679"/>
    </row>
    <row r="60301" spans="32:32" x14ac:dyDescent="0.2">
      <c r="AF60301" s="679"/>
    </row>
    <row r="60302" spans="32:32" x14ac:dyDescent="0.2">
      <c r="AF60302" s="679"/>
    </row>
    <row r="60303" spans="32:32" x14ac:dyDescent="0.2">
      <c r="AF60303" s="679"/>
    </row>
    <row r="60304" spans="32:32" x14ac:dyDescent="0.2">
      <c r="AF60304" s="679"/>
    </row>
    <row r="60305" spans="32:32" x14ac:dyDescent="0.2">
      <c r="AF60305" s="679"/>
    </row>
    <row r="60306" spans="32:32" x14ac:dyDescent="0.2">
      <c r="AF60306" s="679"/>
    </row>
    <row r="60307" spans="32:32" x14ac:dyDescent="0.2">
      <c r="AF60307" s="679"/>
    </row>
    <row r="60308" spans="32:32" x14ac:dyDescent="0.2">
      <c r="AF60308" s="679"/>
    </row>
    <row r="60309" spans="32:32" x14ac:dyDescent="0.2">
      <c r="AF60309" s="679"/>
    </row>
    <row r="60310" spans="32:32" x14ac:dyDescent="0.2">
      <c r="AF60310" s="679"/>
    </row>
    <row r="60311" spans="32:32" x14ac:dyDescent="0.2">
      <c r="AF60311" s="679"/>
    </row>
    <row r="60312" spans="32:32" x14ac:dyDescent="0.2">
      <c r="AF60312" s="679"/>
    </row>
    <row r="60313" spans="32:32" x14ac:dyDescent="0.2">
      <c r="AF60313" s="679"/>
    </row>
    <row r="60314" spans="32:32" x14ac:dyDescent="0.2">
      <c r="AF60314" s="679"/>
    </row>
    <row r="60315" spans="32:32" x14ac:dyDescent="0.2">
      <c r="AF60315" s="679"/>
    </row>
    <row r="60316" spans="32:32" x14ac:dyDescent="0.2">
      <c r="AF60316" s="679"/>
    </row>
    <row r="60317" spans="32:32" x14ac:dyDescent="0.2">
      <c r="AF60317" s="679"/>
    </row>
    <row r="60318" spans="32:32" x14ac:dyDescent="0.2">
      <c r="AF60318" s="679"/>
    </row>
    <row r="60319" spans="32:32" x14ac:dyDescent="0.2">
      <c r="AF60319" s="679"/>
    </row>
    <row r="60320" spans="32:32" x14ac:dyDescent="0.2">
      <c r="AF60320" s="679"/>
    </row>
    <row r="60321" spans="32:32" x14ac:dyDescent="0.2">
      <c r="AF60321" s="679"/>
    </row>
    <row r="60322" spans="32:32" x14ac:dyDescent="0.2">
      <c r="AF60322" s="679"/>
    </row>
    <row r="60323" spans="32:32" x14ac:dyDescent="0.2">
      <c r="AF60323" s="679"/>
    </row>
    <row r="60324" spans="32:32" x14ac:dyDescent="0.2">
      <c r="AF60324" s="679"/>
    </row>
    <row r="60325" spans="32:32" x14ac:dyDescent="0.2">
      <c r="AF60325" s="679"/>
    </row>
    <row r="60326" spans="32:32" x14ac:dyDescent="0.2">
      <c r="AF60326" s="679"/>
    </row>
    <row r="60327" spans="32:32" x14ac:dyDescent="0.2">
      <c r="AF60327" s="679"/>
    </row>
    <row r="60328" spans="32:32" x14ac:dyDescent="0.2">
      <c r="AF60328" s="679"/>
    </row>
    <row r="60329" spans="32:32" x14ac:dyDescent="0.2">
      <c r="AF60329" s="679"/>
    </row>
    <row r="60330" spans="32:32" x14ac:dyDescent="0.2">
      <c r="AF60330" s="679"/>
    </row>
    <row r="60331" spans="32:32" x14ac:dyDescent="0.2">
      <c r="AF60331" s="679"/>
    </row>
    <row r="60332" spans="32:32" x14ac:dyDescent="0.2">
      <c r="AF60332" s="679"/>
    </row>
    <row r="60333" spans="32:32" x14ac:dyDescent="0.2">
      <c r="AF60333" s="679"/>
    </row>
    <row r="60334" spans="32:32" x14ac:dyDescent="0.2">
      <c r="AF60334" s="679"/>
    </row>
    <row r="60335" spans="32:32" x14ac:dyDescent="0.2">
      <c r="AF60335" s="679"/>
    </row>
    <row r="60336" spans="32:32" x14ac:dyDescent="0.2">
      <c r="AF60336" s="679"/>
    </row>
    <row r="60337" spans="32:32" x14ac:dyDescent="0.2">
      <c r="AF60337" s="679"/>
    </row>
    <row r="60338" spans="32:32" x14ac:dyDescent="0.2">
      <c r="AF60338" s="679"/>
    </row>
    <row r="60339" spans="32:32" x14ac:dyDescent="0.2">
      <c r="AF60339" s="679"/>
    </row>
    <row r="60340" spans="32:32" x14ac:dyDescent="0.2">
      <c r="AF60340" s="679"/>
    </row>
    <row r="60341" spans="32:32" x14ac:dyDescent="0.2">
      <c r="AF60341" s="679"/>
    </row>
    <row r="60342" spans="32:32" x14ac:dyDescent="0.2">
      <c r="AF60342" s="679"/>
    </row>
    <row r="60343" spans="32:32" x14ac:dyDescent="0.2">
      <c r="AF60343" s="679"/>
    </row>
    <row r="60344" spans="32:32" x14ac:dyDescent="0.2">
      <c r="AF60344" s="679"/>
    </row>
    <row r="60345" spans="32:32" x14ac:dyDescent="0.2">
      <c r="AF60345" s="679"/>
    </row>
    <row r="60346" spans="32:32" x14ac:dyDescent="0.2">
      <c r="AF60346" s="679"/>
    </row>
    <row r="60347" spans="32:32" x14ac:dyDescent="0.2">
      <c r="AF60347" s="679"/>
    </row>
    <row r="60348" spans="32:32" x14ac:dyDescent="0.2">
      <c r="AF60348" s="679"/>
    </row>
    <row r="60349" spans="32:32" x14ac:dyDescent="0.2">
      <c r="AF60349" s="679"/>
    </row>
    <row r="60350" spans="32:32" x14ac:dyDescent="0.2">
      <c r="AF60350" s="679"/>
    </row>
    <row r="60351" spans="32:32" x14ac:dyDescent="0.2">
      <c r="AF60351" s="679"/>
    </row>
    <row r="60352" spans="32:32" x14ac:dyDescent="0.2">
      <c r="AF60352" s="679"/>
    </row>
    <row r="60353" spans="32:32" x14ac:dyDescent="0.2">
      <c r="AF60353" s="679"/>
    </row>
    <row r="60354" spans="32:32" x14ac:dyDescent="0.2">
      <c r="AF60354" s="679"/>
    </row>
    <row r="60355" spans="32:32" x14ac:dyDescent="0.2">
      <c r="AF60355" s="679"/>
    </row>
    <row r="60356" spans="32:32" x14ac:dyDescent="0.2">
      <c r="AF60356" s="679"/>
    </row>
    <row r="60357" spans="32:32" x14ac:dyDescent="0.2">
      <c r="AF60357" s="679"/>
    </row>
    <row r="60358" spans="32:32" x14ac:dyDescent="0.2">
      <c r="AF60358" s="679"/>
    </row>
    <row r="60359" spans="32:32" x14ac:dyDescent="0.2">
      <c r="AF60359" s="679"/>
    </row>
    <row r="60360" spans="32:32" x14ac:dyDescent="0.2">
      <c r="AF60360" s="679"/>
    </row>
    <row r="60361" spans="32:32" x14ac:dyDescent="0.2">
      <c r="AF60361" s="679"/>
    </row>
    <row r="60362" spans="32:32" x14ac:dyDescent="0.2">
      <c r="AF60362" s="679"/>
    </row>
    <row r="60363" spans="32:32" x14ac:dyDescent="0.2">
      <c r="AF60363" s="679"/>
    </row>
    <row r="60364" spans="32:32" x14ac:dyDescent="0.2">
      <c r="AF60364" s="679"/>
    </row>
    <row r="60365" spans="32:32" x14ac:dyDescent="0.2">
      <c r="AF60365" s="679"/>
    </row>
    <row r="60366" spans="32:32" x14ac:dyDescent="0.2">
      <c r="AF60366" s="679"/>
    </row>
    <row r="60367" spans="32:32" x14ac:dyDescent="0.2">
      <c r="AF60367" s="679"/>
    </row>
    <row r="60368" spans="32:32" x14ac:dyDescent="0.2">
      <c r="AF60368" s="679"/>
    </row>
    <row r="60369" spans="32:32" x14ac:dyDescent="0.2">
      <c r="AF60369" s="679"/>
    </row>
    <row r="60370" spans="32:32" x14ac:dyDescent="0.2">
      <c r="AF60370" s="679"/>
    </row>
    <row r="60371" spans="32:32" x14ac:dyDescent="0.2">
      <c r="AF60371" s="679"/>
    </row>
    <row r="60372" spans="32:32" x14ac:dyDescent="0.2">
      <c r="AF60372" s="679"/>
    </row>
    <row r="60373" spans="32:32" x14ac:dyDescent="0.2">
      <c r="AF60373" s="679"/>
    </row>
    <row r="60374" spans="32:32" x14ac:dyDescent="0.2">
      <c r="AF60374" s="679"/>
    </row>
    <row r="60375" spans="32:32" x14ac:dyDescent="0.2">
      <c r="AF60375" s="679"/>
    </row>
    <row r="60376" spans="32:32" x14ac:dyDescent="0.2">
      <c r="AF60376" s="679"/>
    </row>
    <row r="60377" spans="32:32" x14ac:dyDescent="0.2">
      <c r="AF60377" s="679"/>
    </row>
    <row r="60378" spans="32:32" x14ac:dyDescent="0.2">
      <c r="AF60378" s="679"/>
    </row>
    <row r="60379" spans="32:32" x14ac:dyDescent="0.2">
      <c r="AF60379" s="679"/>
    </row>
    <row r="60380" spans="32:32" x14ac:dyDescent="0.2">
      <c r="AF60380" s="679"/>
    </row>
    <row r="60381" spans="32:32" x14ac:dyDescent="0.2">
      <c r="AF60381" s="679"/>
    </row>
    <row r="60382" spans="32:32" x14ac:dyDescent="0.2">
      <c r="AF60382" s="679"/>
    </row>
    <row r="60383" spans="32:32" x14ac:dyDescent="0.2">
      <c r="AF60383" s="679"/>
    </row>
    <row r="60384" spans="32:32" x14ac:dyDescent="0.2">
      <c r="AF60384" s="679"/>
    </row>
    <row r="60385" spans="32:32" x14ac:dyDescent="0.2">
      <c r="AF60385" s="679"/>
    </row>
    <row r="60386" spans="32:32" x14ac:dyDescent="0.2">
      <c r="AF60386" s="679"/>
    </row>
    <row r="60387" spans="32:32" x14ac:dyDescent="0.2">
      <c r="AF60387" s="679"/>
    </row>
    <row r="60388" spans="32:32" x14ac:dyDescent="0.2">
      <c r="AF60388" s="679"/>
    </row>
    <row r="60389" spans="32:32" x14ac:dyDescent="0.2">
      <c r="AF60389" s="679"/>
    </row>
    <row r="60390" spans="32:32" x14ac:dyDescent="0.2">
      <c r="AF60390" s="679"/>
    </row>
    <row r="60391" spans="32:32" x14ac:dyDescent="0.2">
      <c r="AF60391" s="679"/>
    </row>
    <row r="60392" spans="32:32" x14ac:dyDescent="0.2">
      <c r="AF60392" s="679"/>
    </row>
    <row r="60393" spans="32:32" x14ac:dyDescent="0.2">
      <c r="AF60393" s="679"/>
    </row>
    <row r="60394" spans="32:32" x14ac:dyDescent="0.2">
      <c r="AF60394" s="679"/>
    </row>
    <row r="60395" spans="32:32" x14ac:dyDescent="0.2">
      <c r="AF60395" s="679"/>
    </row>
    <row r="60396" spans="32:32" x14ac:dyDescent="0.2">
      <c r="AF60396" s="679"/>
    </row>
    <row r="60397" spans="32:32" x14ac:dyDescent="0.2">
      <c r="AF60397" s="679"/>
    </row>
    <row r="60398" spans="32:32" x14ac:dyDescent="0.2">
      <c r="AF60398" s="679"/>
    </row>
    <row r="60399" spans="32:32" x14ac:dyDescent="0.2">
      <c r="AF60399" s="679"/>
    </row>
    <row r="60400" spans="32:32" x14ac:dyDescent="0.2">
      <c r="AF60400" s="679"/>
    </row>
    <row r="60401" spans="32:32" x14ac:dyDescent="0.2">
      <c r="AF60401" s="679"/>
    </row>
    <row r="60402" spans="32:32" x14ac:dyDescent="0.2">
      <c r="AF60402" s="679"/>
    </row>
    <row r="60403" spans="32:32" x14ac:dyDescent="0.2">
      <c r="AF60403" s="679"/>
    </row>
    <row r="60404" spans="32:32" x14ac:dyDescent="0.2">
      <c r="AF60404" s="679"/>
    </row>
    <row r="60405" spans="32:32" x14ac:dyDescent="0.2">
      <c r="AF60405" s="679"/>
    </row>
    <row r="60406" spans="32:32" x14ac:dyDescent="0.2">
      <c r="AF60406" s="679"/>
    </row>
    <row r="60407" spans="32:32" x14ac:dyDescent="0.2">
      <c r="AF60407" s="679"/>
    </row>
    <row r="60408" spans="32:32" x14ac:dyDescent="0.2">
      <c r="AF60408" s="679"/>
    </row>
    <row r="60409" spans="32:32" x14ac:dyDescent="0.2">
      <c r="AF60409" s="679"/>
    </row>
    <row r="60410" spans="32:32" x14ac:dyDescent="0.2">
      <c r="AF60410" s="679"/>
    </row>
    <row r="60411" spans="32:32" x14ac:dyDescent="0.2">
      <c r="AF60411" s="679"/>
    </row>
    <row r="60412" spans="32:32" x14ac:dyDescent="0.2">
      <c r="AF60412" s="679"/>
    </row>
    <row r="60413" spans="32:32" x14ac:dyDescent="0.2">
      <c r="AF60413" s="679"/>
    </row>
    <row r="60414" spans="32:32" x14ac:dyDescent="0.2">
      <c r="AF60414" s="679"/>
    </row>
    <row r="60415" spans="32:32" x14ac:dyDescent="0.2">
      <c r="AF60415" s="679"/>
    </row>
    <row r="60416" spans="32:32" x14ac:dyDescent="0.2">
      <c r="AF60416" s="679"/>
    </row>
    <row r="60417" spans="32:32" x14ac:dyDescent="0.2">
      <c r="AF60417" s="679"/>
    </row>
    <row r="60418" spans="32:32" x14ac:dyDescent="0.2">
      <c r="AF60418" s="679"/>
    </row>
    <row r="60419" spans="32:32" x14ac:dyDescent="0.2">
      <c r="AF60419" s="679"/>
    </row>
    <row r="60420" spans="32:32" x14ac:dyDescent="0.2">
      <c r="AF60420" s="679"/>
    </row>
    <row r="60421" spans="32:32" x14ac:dyDescent="0.2">
      <c r="AF60421" s="679"/>
    </row>
    <row r="60422" spans="32:32" x14ac:dyDescent="0.2">
      <c r="AF60422" s="679"/>
    </row>
    <row r="60423" spans="32:32" x14ac:dyDescent="0.2">
      <c r="AF60423" s="679"/>
    </row>
    <row r="60424" spans="32:32" x14ac:dyDescent="0.2">
      <c r="AF60424" s="679"/>
    </row>
    <row r="60425" spans="32:32" x14ac:dyDescent="0.2">
      <c r="AF60425" s="679"/>
    </row>
    <row r="60426" spans="32:32" x14ac:dyDescent="0.2">
      <c r="AF60426" s="679"/>
    </row>
    <row r="60427" spans="32:32" x14ac:dyDescent="0.2">
      <c r="AF60427" s="679"/>
    </row>
    <row r="60428" spans="32:32" x14ac:dyDescent="0.2">
      <c r="AF60428" s="679"/>
    </row>
    <row r="60429" spans="32:32" x14ac:dyDescent="0.2">
      <c r="AF60429" s="679"/>
    </row>
    <row r="60430" spans="32:32" x14ac:dyDescent="0.2">
      <c r="AF60430" s="679"/>
    </row>
    <row r="60431" spans="32:32" x14ac:dyDescent="0.2">
      <c r="AF60431" s="679"/>
    </row>
    <row r="60432" spans="32:32" x14ac:dyDescent="0.2">
      <c r="AF60432" s="679"/>
    </row>
    <row r="60433" spans="32:32" x14ac:dyDescent="0.2">
      <c r="AF60433" s="679"/>
    </row>
    <row r="60434" spans="32:32" x14ac:dyDescent="0.2">
      <c r="AF60434" s="679"/>
    </row>
    <row r="60435" spans="32:32" x14ac:dyDescent="0.2">
      <c r="AF60435" s="679"/>
    </row>
    <row r="60436" spans="32:32" x14ac:dyDescent="0.2">
      <c r="AF60436" s="679"/>
    </row>
    <row r="60437" spans="32:32" x14ac:dyDescent="0.2">
      <c r="AF60437" s="679"/>
    </row>
    <row r="60438" spans="32:32" x14ac:dyDescent="0.2">
      <c r="AF60438" s="679"/>
    </row>
    <row r="60439" spans="32:32" x14ac:dyDescent="0.2">
      <c r="AF60439" s="679"/>
    </row>
    <row r="60440" spans="32:32" x14ac:dyDescent="0.2">
      <c r="AF60440" s="679"/>
    </row>
    <row r="60441" spans="32:32" x14ac:dyDescent="0.2">
      <c r="AF60441" s="679"/>
    </row>
    <row r="60442" spans="32:32" x14ac:dyDescent="0.2">
      <c r="AF60442" s="679"/>
    </row>
    <row r="60443" spans="32:32" x14ac:dyDescent="0.2">
      <c r="AF60443" s="679"/>
    </row>
    <row r="60444" spans="32:32" x14ac:dyDescent="0.2">
      <c r="AF60444" s="679"/>
    </row>
    <row r="60445" spans="32:32" x14ac:dyDescent="0.2">
      <c r="AF60445" s="679"/>
    </row>
    <row r="60446" spans="32:32" x14ac:dyDescent="0.2">
      <c r="AF60446" s="679"/>
    </row>
    <row r="60447" spans="32:32" x14ac:dyDescent="0.2">
      <c r="AF60447" s="679"/>
    </row>
    <row r="60448" spans="32:32" x14ac:dyDescent="0.2">
      <c r="AF60448" s="679"/>
    </row>
    <row r="60449" spans="32:32" x14ac:dyDescent="0.2">
      <c r="AF60449" s="679"/>
    </row>
    <row r="60450" spans="32:32" x14ac:dyDescent="0.2">
      <c r="AF60450" s="679"/>
    </row>
    <row r="60451" spans="32:32" x14ac:dyDescent="0.2">
      <c r="AF60451" s="679"/>
    </row>
    <row r="60452" spans="32:32" x14ac:dyDescent="0.2">
      <c r="AF60452" s="679"/>
    </row>
    <row r="60453" spans="32:32" x14ac:dyDescent="0.2">
      <c r="AF60453" s="679"/>
    </row>
    <row r="60454" spans="32:32" x14ac:dyDescent="0.2">
      <c r="AF60454" s="679"/>
    </row>
    <row r="60455" spans="32:32" x14ac:dyDescent="0.2">
      <c r="AF60455" s="679"/>
    </row>
    <row r="60456" spans="32:32" x14ac:dyDescent="0.2">
      <c r="AF60456" s="679"/>
    </row>
    <row r="60457" spans="32:32" x14ac:dyDescent="0.2">
      <c r="AF60457" s="679"/>
    </row>
    <row r="60458" spans="32:32" x14ac:dyDescent="0.2">
      <c r="AF60458" s="679"/>
    </row>
    <row r="60459" spans="32:32" x14ac:dyDescent="0.2">
      <c r="AF60459" s="679"/>
    </row>
    <row r="60460" spans="32:32" x14ac:dyDescent="0.2">
      <c r="AF60460" s="679"/>
    </row>
    <row r="60461" spans="32:32" x14ac:dyDescent="0.2">
      <c r="AF60461" s="679"/>
    </row>
    <row r="60462" spans="32:32" x14ac:dyDescent="0.2">
      <c r="AF60462" s="679"/>
    </row>
    <row r="60463" spans="32:32" x14ac:dyDescent="0.2">
      <c r="AF60463" s="679"/>
    </row>
    <row r="60464" spans="32:32" x14ac:dyDescent="0.2">
      <c r="AF60464" s="679"/>
    </row>
    <row r="60465" spans="32:32" x14ac:dyDescent="0.2">
      <c r="AF60465" s="679"/>
    </row>
    <row r="60466" spans="32:32" x14ac:dyDescent="0.2">
      <c r="AF60466" s="679"/>
    </row>
    <row r="60467" spans="32:32" x14ac:dyDescent="0.2">
      <c r="AF60467" s="679"/>
    </row>
    <row r="60468" spans="32:32" x14ac:dyDescent="0.2">
      <c r="AF60468" s="679"/>
    </row>
    <row r="60469" spans="32:32" x14ac:dyDescent="0.2">
      <c r="AF60469" s="679"/>
    </row>
    <row r="60470" spans="32:32" x14ac:dyDescent="0.2">
      <c r="AF60470" s="679"/>
    </row>
    <row r="60471" spans="32:32" x14ac:dyDescent="0.2">
      <c r="AF60471" s="679"/>
    </row>
    <row r="60472" spans="32:32" x14ac:dyDescent="0.2">
      <c r="AF60472" s="679"/>
    </row>
    <row r="60473" spans="32:32" x14ac:dyDescent="0.2">
      <c r="AF60473" s="679"/>
    </row>
    <row r="60474" spans="32:32" x14ac:dyDescent="0.2">
      <c r="AF60474" s="679"/>
    </row>
    <row r="60475" spans="32:32" x14ac:dyDescent="0.2">
      <c r="AF60475" s="679"/>
    </row>
    <row r="60476" spans="32:32" x14ac:dyDescent="0.2">
      <c r="AF60476" s="679"/>
    </row>
    <row r="60477" spans="32:32" x14ac:dyDescent="0.2">
      <c r="AF60477" s="679"/>
    </row>
    <row r="60478" spans="32:32" x14ac:dyDescent="0.2">
      <c r="AF60478" s="679"/>
    </row>
    <row r="60479" spans="32:32" x14ac:dyDescent="0.2">
      <c r="AF60479" s="679"/>
    </row>
    <row r="60480" spans="32:32" x14ac:dyDescent="0.2">
      <c r="AF60480" s="679"/>
    </row>
    <row r="60481" spans="32:32" x14ac:dyDescent="0.2">
      <c r="AF60481" s="679"/>
    </row>
    <row r="60482" spans="32:32" x14ac:dyDescent="0.2">
      <c r="AF60482" s="679"/>
    </row>
    <row r="60483" spans="32:32" x14ac:dyDescent="0.2">
      <c r="AF60483" s="679"/>
    </row>
    <row r="60484" spans="32:32" x14ac:dyDescent="0.2">
      <c r="AF60484" s="679"/>
    </row>
    <row r="60485" spans="32:32" x14ac:dyDescent="0.2">
      <c r="AF60485" s="679"/>
    </row>
    <row r="60486" spans="32:32" x14ac:dyDescent="0.2">
      <c r="AF60486" s="679"/>
    </row>
    <row r="60487" spans="32:32" x14ac:dyDescent="0.2">
      <c r="AF60487" s="679"/>
    </row>
    <row r="60488" spans="32:32" x14ac:dyDescent="0.2">
      <c r="AF60488" s="679"/>
    </row>
    <row r="60489" spans="32:32" x14ac:dyDescent="0.2">
      <c r="AF60489" s="679"/>
    </row>
    <row r="60490" spans="32:32" x14ac:dyDescent="0.2">
      <c r="AF60490" s="679"/>
    </row>
    <row r="60491" spans="32:32" x14ac:dyDescent="0.2">
      <c r="AF60491" s="679"/>
    </row>
    <row r="60492" spans="32:32" x14ac:dyDescent="0.2">
      <c r="AF60492" s="679"/>
    </row>
    <row r="60493" spans="32:32" x14ac:dyDescent="0.2">
      <c r="AF60493" s="679"/>
    </row>
    <row r="60494" spans="32:32" x14ac:dyDescent="0.2">
      <c r="AF60494" s="679"/>
    </row>
    <row r="60495" spans="32:32" x14ac:dyDescent="0.2">
      <c r="AF60495" s="679"/>
    </row>
    <row r="60496" spans="32:32" x14ac:dyDescent="0.2">
      <c r="AF60496" s="679"/>
    </row>
    <row r="60497" spans="32:32" x14ac:dyDescent="0.2">
      <c r="AF60497" s="679"/>
    </row>
    <row r="60498" spans="32:32" x14ac:dyDescent="0.2">
      <c r="AF60498" s="679"/>
    </row>
    <row r="60499" spans="32:32" x14ac:dyDescent="0.2">
      <c r="AF60499" s="679"/>
    </row>
    <row r="60500" spans="32:32" x14ac:dyDescent="0.2">
      <c r="AF60500" s="679"/>
    </row>
    <row r="60501" spans="32:32" x14ac:dyDescent="0.2">
      <c r="AF60501" s="679"/>
    </row>
    <row r="60502" spans="32:32" x14ac:dyDescent="0.2">
      <c r="AF60502" s="679"/>
    </row>
    <row r="60503" spans="32:32" x14ac:dyDescent="0.2">
      <c r="AF60503" s="679"/>
    </row>
    <row r="60504" spans="32:32" x14ac:dyDescent="0.2">
      <c r="AF60504" s="679"/>
    </row>
    <row r="60505" spans="32:32" x14ac:dyDescent="0.2">
      <c r="AF60505" s="679"/>
    </row>
    <row r="60506" spans="32:32" x14ac:dyDescent="0.2">
      <c r="AF60506" s="679"/>
    </row>
    <row r="60507" spans="32:32" x14ac:dyDescent="0.2">
      <c r="AF60507" s="679"/>
    </row>
    <row r="60508" spans="32:32" x14ac:dyDescent="0.2">
      <c r="AF60508" s="679"/>
    </row>
    <row r="60509" spans="32:32" x14ac:dyDescent="0.2">
      <c r="AF60509" s="679"/>
    </row>
    <row r="60510" spans="32:32" x14ac:dyDescent="0.2">
      <c r="AF60510" s="679"/>
    </row>
    <row r="60511" spans="32:32" x14ac:dyDescent="0.2">
      <c r="AF60511" s="679"/>
    </row>
    <row r="60512" spans="32:32" x14ac:dyDescent="0.2">
      <c r="AF60512" s="679"/>
    </row>
    <row r="60513" spans="32:32" x14ac:dyDescent="0.2">
      <c r="AF60513" s="679"/>
    </row>
    <row r="60514" spans="32:32" x14ac:dyDescent="0.2">
      <c r="AF60514" s="679"/>
    </row>
    <row r="60515" spans="32:32" x14ac:dyDescent="0.2">
      <c r="AF60515" s="679"/>
    </row>
    <row r="60516" spans="32:32" x14ac:dyDescent="0.2">
      <c r="AF60516" s="679"/>
    </row>
    <row r="60517" spans="32:32" x14ac:dyDescent="0.2">
      <c r="AF60517" s="679"/>
    </row>
    <row r="60518" spans="32:32" x14ac:dyDescent="0.2">
      <c r="AF60518" s="679"/>
    </row>
    <row r="60519" spans="32:32" x14ac:dyDescent="0.2">
      <c r="AF60519" s="679"/>
    </row>
    <row r="60520" spans="32:32" x14ac:dyDescent="0.2">
      <c r="AF60520" s="679"/>
    </row>
    <row r="60521" spans="32:32" x14ac:dyDescent="0.2">
      <c r="AF60521" s="679"/>
    </row>
    <row r="60522" spans="32:32" x14ac:dyDescent="0.2">
      <c r="AF60522" s="679"/>
    </row>
    <row r="60523" spans="32:32" x14ac:dyDescent="0.2">
      <c r="AF60523" s="679"/>
    </row>
    <row r="60524" spans="32:32" x14ac:dyDescent="0.2">
      <c r="AF60524" s="679"/>
    </row>
    <row r="60525" spans="32:32" x14ac:dyDescent="0.2">
      <c r="AF60525" s="679"/>
    </row>
    <row r="60526" spans="32:32" x14ac:dyDescent="0.2">
      <c r="AF60526" s="679"/>
    </row>
    <row r="60527" spans="32:32" x14ac:dyDescent="0.2">
      <c r="AF60527" s="679"/>
    </row>
    <row r="60528" spans="32:32" x14ac:dyDescent="0.2">
      <c r="AF60528" s="679"/>
    </row>
    <row r="60529" spans="32:32" x14ac:dyDescent="0.2">
      <c r="AF60529" s="679"/>
    </row>
    <row r="60530" spans="32:32" x14ac:dyDescent="0.2">
      <c r="AF60530" s="679"/>
    </row>
    <row r="60531" spans="32:32" x14ac:dyDescent="0.2">
      <c r="AF60531" s="679"/>
    </row>
    <row r="60532" spans="32:32" x14ac:dyDescent="0.2">
      <c r="AF60532" s="679"/>
    </row>
    <row r="60533" spans="32:32" x14ac:dyDescent="0.2">
      <c r="AF60533" s="679"/>
    </row>
    <row r="60534" spans="32:32" x14ac:dyDescent="0.2">
      <c r="AF60534" s="679"/>
    </row>
    <row r="60535" spans="32:32" x14ac:dyDescent="0.2">
      <c r="AF60535" s="679"/>
    </row>
    <row r="60536" spans="32:32" x14ac:dyDescent="0.2">
      <c r="AF60536" s="679"/>
    </row>
    <row r="60537" spans="32:32" x14ac:dyDescent="0.2">
      <c r="AF60537" s="679"/>
    </row>
    <row r="60538" spans="32:32" x14ac:dyDescent="0.2">
      <c r="AF60538" s="679"/>
    </row>
    <row r="60539" spans="32:32" x14ac:dyDescent="0.2">
      <c r="AF60539" s="679"/>
    </row>
    <row r="60540" spans="32:32" x14ac:dyDescent="0.2">
      <c r="AF60540" s="679"/>
    </row>
    <row r="60541" spans="32:32" x14ac:dyDescent="0.2">
      <c r="AF60541" s="679"/>
    </row>
    <row r="60542" spans="32:32" x14ac:dyDescent="0.2">
      <c r="AF60542" s="679"/>
    </row>
    <row r="60543" spans="32:32" x14ac:dyDescent="0.2">
      <c r="AF60543" s="679"/>
    </row>
    <row r="60544" spans="32:32" x14ac:dyDescent="0.2">
      <c r="AF60544" s="679"/>
    </row>
    <row r="60545" spans="32:32" x14ac:dyDescent="0.2">
      <c r="AF60545" s="679"/>
    </row>
    <row r="60546" spans="32:32" x14ac:dyDescent="0.2">
      <c r="AF60546" s="679"/>
    </row>
    <row r="60547" spans="32:32" x14ac:dyDescent="0.2">
      <c r="AF60547" s="679"/>
    </row>
    <row r="60548" spans="32:32" x14ac:dyDescent="0.2">
      <c r="AF60548" s="679"/>
    </row>
    <row r="60549" spans="32:32" x14ac:dyDescent="0.2">
      <c r="AF60549" s="679"/>
    </row>
    <row r="60550" spans="32:32" x14ac:dyDescent="0.2">
      <c r="AF60550" s="679"/>
    </row>
    <row r="60551" spans="32:32" x14ac:dyDescent="0.2">
      <c r="AF60551" s="679"/>
    </row>
    <row r="60552" spans="32:32" x14ac:dyDescent="0.2">
      <c r="AF60552" s="679"/>
    </row>
    <row r="60553" spans="32:32" x14ac:dyDescent="0.2">
      <c r="AF60553" s="679"/>
    </row>
    <row r="60554" spans="32:32" x14ac:dyDescent="0.2">
      <c r="AF60554" s="679"/>
    </row>
    <row r="60555" spans="32:32" x14ac:dyDescent="0.2">
      <c r="AF60555" s="679"/>
    </row>
    <row r="60556" spans="32:32" x14ac:dyDescent="0.2">
      <c r="AF60556" s="679"/>
    </row>
    <row r="60557" spans="32:32" x14ac:dyDescent="0.2">
      <c r="AF60557" s="679"/>
    </row>
    <row r="60558" spans="32:32" x14ac:dyDescent="0.2">
      <c r="AF60558" s="679"/>
    </row>
    <row r="60559" spans="32:32" x14ac:dyDescent="0.2">
      <c r="AF60559" s="679"/>
    </row>
    <row r="60560" spans="32:32" x14ac:dyDescent="0.2">
      <c r="AF60560" s="679"/>
    </row>
    <row r="60561" spans="32:32" x14ac:dyDescent="0.2">
      <c r="AF60561" s="679"/>
    </row>
    <row r="60562" spans="32:32" x14ac:dyDescent="0.2">
      <c r="AF60562" s="679"/>
    </row>
    <row r="60563" spans="32:32" x14ac:dyDescent="0.2">
      <c r="AF60563" s="679"/>
    </row>
    <row r="60564" spans="32:32" x14ac:dyDescent="0.2">
      <c r="AF60564" s="679"/>
    </row>
    <row r="60565" spans="32:32" x14ac:dyDescent="0.2">
      <c r="AF60565" s="679"/>
    </row>
    <row r="60566" spans="32:32" x14ac:dyDescent="0.2">
      <c r="AF60566" s="679"/>
    </row>
    <row r="60567" spans="32:32" x14ac:dyDescent="0.2">
      <c r="AF60567" s="679"/>
    </row>
    <row r="60568" spans="32:32" x14ac:dyDescent="0.2">
      <c r="AF60568" s="679"/>
    </row>
    <row r="60569" spans="32:32" x14ac:dyDescent="0.2">
      <c r="AF60569" s="679"/>
    </row>
    <row r="60570" spans="32:32" x14ac:dyDescent="0.2">
      <c r="AF60570" s="679"/>
    </row>
    <row r="60571" spans="32:32" x14ac:dyDescent="0.2">
      <c r="AF60571" s="679"/>
    </row>
    <row r="60572" spans="32:32" x14ac:dyDescent="0.2">
      <c r="AF60572" s="679"/>
    </row>
    <row r="60573" spans="32:32" x14ac:dyDescent="0.2">
      <c r="AF60573" s="679"/>
    </row>
    <row r="60574" spans="32:32" x14ac:dyDescent="0.2">
      <c r="AF60574" s="679"/>
    </row>
    <row r="60575" spans="32:32" x14ac:dyDescent="0.2">
      <c r="AF60575" s="679"/>
    </row>
    <row r="60576" spans="32:32" x14ac:dyDescent="0.2">
      <c r="AF60576" s="679"/>
    </row>
    <row r="60577" spans="32:32" x14ac:dyDescent="0.2">
      <c r="AF60577" s="679"/>
    </row>
    <row r="60578" spans="32:32" x14ac:dyDescent="0.2">
      <c r="AF60578" s="679"/>
    </row>
    <row r="60579" spans="32:32" x14ac:dyDescent="0.2">
      <c r="AF60579" s="679"/>
    </row>
    <row r="60580" spans="32:32" x14ac:dyDescent="0.2">
      <c r="AF60580" s="679"/>
    </row>
    <row r="60581" spans="32:32" x14ac:dyDescent="0.2">
      <c r="AF60581" s="679"/>
    </row>
    <row r="60582" spans="32:32" x14ac:dyDescent="0.2">
      <c r="AF60582" s="679"/>
    </row>
    <row r="60583" spans="32:32" x14ac:dyDescent="0.2">
      <c r="AF60583" s="679"/>
    </row>
    <row r="60584" spans="32:32" x14ac:dyDescent="0.2">
      <c r="AF60584" s="679"/>
    </row>
    <row r="60585" spans="32:32" x14ac:dyDescent="0.2">
      <c r="AF60585" s="679"/>
    </row>
    <row r="60586" spans="32:32" x14ac:dyDescent="0.2">
      <c r="AF60586" s="679"/>
    </row>
    <row r="60587" spans="32:32" x14ac:dyDescent="0.2">
      <c r="AF60587" s="679"/>
    </row>
    <row r="60588" spans="32:32" x14ac:dyDescent="0.2">
      <c r="AF60588" s="679"/>
    </row>
    <row r="60589" spans="32:32" x14ac:dyDescent="0.2">
      <c r="AF60589" s="679"/>
    </row>
    <row r="60590" spans="32:32" x14ac:dyDescent="0.2">
      <c r="AF60590" s="679"/>
    </row>
    <row r="60591" spans="32:32" x14ac:dyDescent="0.2">
      <c r="AF60591" s="679"/>
    </row>
    <row r="60592" spans="32:32" x14ac:dyDescent="0.2">
      <c r="AF60592" s="679"/>
    </row>
    <row r="60593" spans="32:32" x14ac:dyDescent="0.2">
      <c r="AF60593" s="679"/>
    </row>
    <row r="60594" spans="32:32" x14ac:dyDescent="0.2">
      <c r="AF60594" s="679"/>
    </row>
    <row r="60595" spans="32:32" x14ac:dyDescent="0.2">
      <c r="AF60595" s="679"/>
    </row>
    <row r="60596" spans="32:32" x14ac:dyDescent="0.2">
      <c r="AF60596" s="679"/>
    </row>
    <row r="60597" spans="32:32" x14ac:dyDescent="0.2">
      <c r="AF60597" s="679"/>
    </row>
    <row r="60598" spans="32:32" x14ac:dyDescent="0.2">
      <c r="AF60598" s="679"/>
    </row>
    <row r="60599" spans="32:32" x14ac:dyDescent="0.2">
      <c r="AF60599" s="679"/>
    </row>
    <row r="60600" spans="32:32" x14ac:dyDescent="0.2">
      <c r="AF60600" s="679"/>
    </row>
    <row r="60601" spans="32:32" x14ac:dyDescent="0.2">
      <c r="AF60601" s="679"/>
    </row>
    <row r="60602" spans="32:32" x14ac:dyDescent="0.2">
      <c r="AF60602" s="679"/>
    </row>
    <row r="60603" spans="32:32" x14ac:dyDescent="0.2">
      <c r="AF60603" s="679"/>
    </row>
    <row r="60604" spans="32:32" x14ac:dyDescent="0.2">
      <c r="AF60604" s="679"/>
    </row>
    <row r="60605" spans="32:32" x14ac:dyDescent="0.2">
      <c r="AF60605" s="679"/>
    </row>
    <row r="60606" spans="32:32" x14ac:dyDescent="0.2">
      <c r="AF60606" s="679"/>
    </row>
    <row r="60607" spans="32:32" x14ac:dyDescent="0.2">
      <c r="AF60607" s="679"/>
    </row>
    <row r="60608" spans="32:32" x14ac:dyDescent="0.2">
      <c r="AF60608" s="679"/>
    </row>
    <row r="60609" spans="32:32" x14ac:dyDescent="0.2">
      <c r="AF60609" s="679"/>
    </row>
    <row r="60610" spans="32:32" x14ac:dyDescent="0.2">
      <c r="AF60610" s="679"/>
    </row>
    <row r="60611" spans="32:32" x14ac:dyDescent="0.2">
      <c r="AF60611" s="679"/>
    </row>
    <row r="60612" spans="32:32" x14ac:dyDescent="0.2">
      <c r="AF60612" s="679"/>
    </row>
    <row r="60613" spans="32:32" x14ac:dyDescent="0.2">
      <c r="AF60613" s="679"/>
    </row>
    <row r="60614" spans="32:32" x14ac:dyDescent="0.2">
      <c r="AF60614" s="679"/>
    </row>
    <row r="60615" spans="32:32" x14ac:dyDescent="0.2">
      <c r="AF60615" s="679"/>
    </row>
    <row r="60616" spans="32:32" x14ac:dyDescent="0.2">
      <c r="AF60616" s="679"/>
    </row>
    <row r="60617" spans="32:32" x14ac:dyDescent="0.2">
      <c r="AF60617" s="679"/>
    </row>
    <row r="60618" spans="32:32" x14ac:dyDescent="0.2">
      <c r="AF60618" s="679"/>
    </row>
    <row r="60619" spans="32:32" x14ac:dyDescent="0.2">
      <c r="AF60619" s="679"/>
    </row>
    <row r="60620" spans="32:32" x14ac:dyDescent="0.2">
      <c r="AF60620" s="679"/>
    </row>
    <row r="60621" spans="32:32" x14ac:dyDescent="0.2">
      <c r="AF60621" s="679"/>
    </row>
    <row r="60622" spans="32:32" x14ac:dyDescent="0.2">
      <c r="AF60622" s="679"/>
    </row>
    <row r="60623" spans="32:32" x14ac:dyDescent="0.2">
      <c r="AF60623" s="679"/>
    </row>
    <row r="60624" spans="32:32" x14ac:dyDescent="0.2">
      <c r="AF60624" s="679"/>
    </row>
    <row r="60625" spans="32:32" x14ac:dyDescent="0.2">
      <c r="AF60625" s="679"/>
    </row>
    <row r="60626" spans="32:32" x14ac:dyDescent="0.2">
      <c r="AF60626" s="679"/>
    </row>
    <row r="60627" spans="32:32" x14ac:dyDescent="0.2">
      <c r="AF60627" s="679"/>
    </row>
    <row r="60628" spans="32:32" x14ac:dyDescent="0.2">
      <c r="AF60628" s="679"/>
    </row>
    <row r="60629" spans="32:32" x14ac:dyDescent="0.2">
      <c r="AF60629" s="679"/>
    </row>
    <row r="60630" spans="32:32" x14ac:dyDescent="0.2">
      <c r="AF60630" s="679"/>
    </row>
    <row r="60631" spans="32:32" x14ac:dyDescent="0.2">
      <c r="AF60631" s="679"/>
    </row>
    <row r="60632" spans="32:32" x14ac:dyDescent="0.2">
      <c r="AF60632" s="679"/>
    </row>
    <row r="60633" spans="32:32" x14ac:dyDescent="0.2">
      <c r="AF60633" s="679"/>
    </row>
    <row r="60634" spans="32:32" x14ac:dyDescent="0.2">
      <c r="AF60634" s="679"/>
    </row>
    <row r="60635" spans="32:32" x14ac:dyDescent="0.2">
      <c r="AF60635" s="679"/>
    </row>
    <row r="60636" spans="32:32" x14ac:dyDescent="0.2">
      <c r="AF60636" s="679"/>
    </row>
    <row r="60637" spans="32:32" x14ac:dyDescent="0.2">
      <c r="AF60637" s="679"/>
    </row>
    <row r="60638" spans="32:32" x14ac:dyDescent="0.2">
      <c r="AF60638" s="679"/>
    </row>
    <row r="60639" spans="32:32" x14ac:dyDescent="0.2">
      <c r="AF60639" s="679"/>
    </row>
    <row r="60640" spans="32:32" x14ac:dyDescent="0.2">
      <c r="AF60640" s="679"/>
    </row>
    <row r="60641" spans="32:32" x14ac:dyDescent="0.2">
      <c r="AF60641" s="679"/>
    </row>
    <row r="60642" spans="32:32" x14ac:dyDescent="0.2">
      <c r="AF60642" s="679"/>
    </row>
    <row r="60643" spans="32:32" x14ac:dyDescent="0.2">
      <c r="AF60643" s="679"/>
    </row>
    <row r="60644" spans="32:32" x14ac:dyDescent="0.2">
      <c r="AF60644" s="679"/>
    </row>
    <row r="60645" spans="32:32" x14ac:dyDescent="0.2">
      <c r="AF60645" s="679"/>
    </row>
    <row r="60646" spans="32:32" x14ac:dyDescent="0.2">
      <c r="AF60646" s="679"/>
    </row>
    <row r="60647" spans="32:32" x14ac:dyDescent="0.2">
      <c r="AF60647" s="679"/>
    </row>
    <row r="60648" spans="32:32" x14ac:dyDescent="0.2">
      <c r="AF60648" s="679"/>
    </row>
    <row r="60649" spans="32:32" x14ac:dyDescent="0.2">
      <c r="AF60649" s="679"/>
    </row>
    <row r="60650" spans="32:32" x14ac:dyDescent="0.2">
      <c r="AF60650" s="679"/>
    </row>
    <row r="60651" spans="32:32" x14ac:dyDescent="0.2">
      <c r="AF60651" s="679"/>
    </row>
    <row r="60652" spans="32:32" x14ac:dyDescent="0.2">
      <c r="AF60652" s="679"/>
    </row>
    <row r="60653" spans="32:32" x14ac:dyDescent="0.2">
      <c r="AF60653" s="679"/>
    </row>
    <row r="60654" spans="32:32" x14ac:dyDescent="0.2">
      <c r="AF60654" s="679"/>
    </row>
    <row r="60655" spans="32:32" x14ac:dyDescent="0.2">
      <c r="AF60655" s="679"/>
    </row>
    <row r="60656" spans="32:32" x14ac:dyDescent="0.2">
      <c r="AF60656" s="679"/>
    </row>
    <row r="60657" spans="32:32" x14ac:dyDescent="0.2">
      <c r="AF60657" s="679"/>
    </row>
    <row r="60658" spans="32:32" x14ac:dyDescent="0.2">
      <c r="AF60658" s="679"/>
    </row>
    <row r="60659" spans="32:32" x14ac:dyDescent="0.2">
      <c r="AF60659" s="679"/>
    </row>
    <row r="60660" spans="32:32" x14ac:dyDescent="0.2">
      <c r="AF60660" s="679"/>
    </row>
    <row r="60661" spans="32:32" x14ac:dyDescent="0.2">
      <c r="AF60661" s="679"/>
    </row>
    <row r="60662" spans="32:32" x14ac:dyDescent="0.2">
      <c r="AF60662" s="679"/>
    </row>
    <row r="60663" spans="32:32" x14ac:dyDescent="0.2">
      <c r="AF60663" s="679"/>
    </row>
    <row r="60664" spans="32:32" x14ac:dyDescent="0.2">
      <c r="AF60664" s="679"/>
    </row>
    <row r="60665" spans="32:32" x14ac:dyDescent="0.2">
      <c r="AF60665" s="679"/>
    </row>
    <row r="60666" spans="32:32" x14ac:dyDescent="0.2">
      <c r="AF60666" s="679"/>
    </row>
    <row r="60667" spans="32:32" x14ac:dyDescent="0.2">
      <c r="AF60667" s="679"/>
    </row>
    <row r="60668" spans="32:32" x14ac:dyDescent="0.2">
      <c r="AF60668" s="679"/>
    </row>
    <row r="60669" spans="32:32" x14ac:dyDescent="0.2">
      <c r="AF60669" s="679"/>
    </row>
    <row r="60670" spans="32:32" x14ac:dyDescent="0.2">
      <c r="AF60670" s="679"/>
    </row>
    <row r="60671" spans="32:32" x14ac:dyDescent="0.2">
      <c r="AF60671" s="679"/>
    </row>
    <row r="60672" spans="32:32" x14ac:dyDescent="0.2">
      <c r="AF60672" s="679"/>
    </row>
    <row r="60673" spans="32:32" x14ac:dyDescent="0.2">
      <c r="AF60673" s="679"/>
    </row>
    <row r="60674" spans="32:32" x14ac:dyDescent="0.2">
      <c r="AF60674" s="679"/>
    </row>
    <row r="60675" spans="32:32" x14ac:dyDescent="0.2">
      <c r="AF60675" s="679"/>
    </row>
    <row r="60676" spans="32:32" x14ac:dyDescent="0.2">
      <c r="AF60676" s="679"/>
    </row>
    <row r="60677" spans="32:32" x14ac:dyDescent="0.2">
      <c r="AF60677" s="679"/>
    </row>
    <row r="60678" spans="32:32" x14ac:dyDescent="0.2">
      <c r="AF60678" s="679"/>
    </row>
    <row r="60679" spans="32:32" x14ac:dyDescent="0.2">
      <c r="AF60679" s="679"/>
    </row>
    <row r="60680" spans="32:32" x14ac:dyDescent="0.2">
      <c r="AF60680" s="679"/>
    </row>
    <row r="60681" spans="32:32" x14ac:dyDescent="0.2">
      <c r="AF60681" s="679"/>
    </row>
    <row r="60682" spans="32:32" x14ac:dyDescent="0.2">
      <c r="AF60682" s="679"/>
    </row>
    <row r="60683" spans="32:32" x14ac:dyDescent="0.2">
      <c r="AF60683" s="679"/>
    </row>
    <row r="60684" spans="32:32" x14ac:dyDescent="0.2">
      <c r="AF60684" s="679"/>
    </row>
    <row r="60685" spans="32:32" x14ac:dyDescent="0.2">
      <c r="AF60685" s="679"/>
    </row>
    <row r="60686" spans="32:32" x14ac:dyDescent="0.2">
      <c r="AF60686" s="679"/>
    </row>
    <row r="60687" spans="32:32" x14ac:dyDescent="0.2">
      <c r="AF60687" s="679"/>
    </row>
    <row r="60688" spans="32:32" x14ac:dyDescent="0.2">
      <c r="AF60688" s="679"/>
    </row>
    <row r="60689" spans="32:32" x14ac:dyDescent="0.2">
      <c r="AF60689" s="679"/>
    </row>
    <row r="60690" spans="32:32" x14ac:dyDescent="0.2">
      <c r="AF60690" s="679"/>
    </row>
    <row r="60691" spans="32:32" x14ac:dyDescent="0.2">
      <c r="AF60691" s="679"/>
    </row>
    <row r="60692" spans="32:32" x14ac:dyDescent="0.2">
      <c r="AF60692" s="679"/>
    </row>
    <row r="60693" spans="32:32" x14ac:dyDescent="0.2">
      <c r="AF60693" s="679"/>
    </row>
    <row r="60694" spans="32:32" x14ac:dyDescent="0.2">
      <c r="AF60694" s="679"/>
    </row>
    <row r="60695" spans="32:32" x14ac:dyDescent="0.2">
      <c r="AF60695" s="679"/>
    </row>
    <row r="60696" spans="32:32" x14ac:dyDescent="0.2">
      <c r="AF60696" s="679"/>
    </row>
    <row r="60697" spans="32:32" x14ac:dyDescent="0.2">
      <c r="AF60697" s="679"/>
    </row>
    <row r="60698" spans="32:32" x14ac:dyDescent="0.2">
      <c r="AF60698" s="679"/>
    </row>
    <row r="60699" spans="32:32" x14ac:dyDescent="0.2">
      <c r="AF60699" s="679"/>
    </row>
    <row r="60700" spans="32:32" x14ac:dyDescent="0.2">
      <c r="AF60700" s="679"/>
    </row>
    <row r="60701" spans="32:32" x14ac:dyDescent="0.2">
      <c r="AF60701" s="679"/>
    </row>
    <row r="60702" spans="32:32" x14ac:dyDescent="0.2">
      <c r="AF60702" s="679"/>
    </row>
    <row r="60703" spans="32:32" x14ac:dyDescent="0.2">
      <c r="AF60703" s="679"/>
    </row>
    <row r="60704" spans="32:32" x14ac:dyDescent="0.2">
      <c r="AF60704" s="679"/>
    </row>
    <row r="60705" spans="32:32" x14ac:dyDescent="0.2">
      <c r="AF60705" s="679"/>
    </row>
    <row r="60706" spans="32:32" x14ac:dyDescent="0.2">
      <c r="AF60706" s="679"/>
    </row>
    <row r="60707" spans="32:32" x14ac:dyDescent="0.2">
      <c r="AF60707" s="679"/>
    </row>
    <row r="60708" spans="32:32" x14ac:dyDescent="0.2">
      <c r="AF60708" s="679"/>
    </row>
    <row r="60709" spans="32:32" x14ac:dyDescent="0.2">
      <c r="AF60709" s="679"/>
    </row>
    <row r="60710" spans="32:32" x14ac:dyDescent="0.2">
      <c r="AF60710" s="679"/>
    </row>
    <row r="60711" spans="32:32" x14ac:dyDescent="0.2">
      <c r="AF60711" s="679"/>
    </row>
    <row r="60712" spans="32:32" x14ac:dyDescent="0.2">
      <c r="AF60712" s="679"/>
    </row>
    <row r="60713" spans="32:32" x14ac:dyDescent="0.2">
      <c r="AF60713" s="679"/>
    </row>
    <row r="60714" spans="32:32" x14ac:dyDescent="0.2">
      <c r="AF60714" s="679"/>
    </row>
    <row r="60715" spans="32:32" x14ac:dyDescent="0.2">
      <c r="AF60715" s="679"/>
    </row>
    <row r="60716" spans="32:32" x14ac:dyDescent="0.2">
      <c r="AF60716" s="679"/>
    </row>
    <row r="60717" spans="32:32" x14ac:dyDescent="0.2">
      <c r="AF60717" s="679"/>
    </row>
    <row r="60718" spans="32:32" x14ac:dyDescent="0.2">
      <c r="AF60718" s="679"/>
    </row>
    <row r="60719" spans="32:32" x14ac:dyDescent="0.2">
      <c r="AF60719" s="679"/>
    </row>
    <row r="60720" spans="32:32" x14ac:dyDescent="0.2">
      <c r="AF60720" s="679"/>
    </row>
    <row r="60721" spans="32:32" x14ac:dyDescent="0.2">
      <c r="AF60721" s="679"/>
    </row>
    <row r="60722" spans="32:32" x14ac:dyDescent="0.2">
      <c r="AF60722" s="679"/>
    </row>
    <row r="60723" spans="32:32" x14ac:dyDescent="0.2">
      <c r="AF60723" s="679"/>
    </row>
    <row r="60724" spans="32:32" x14ac:dyDescent="0.2">
      <c r="AF60724" s="679"/>
    </row>
    <row r="60725" spans="32:32" x14ac:dyDescent="0.2">
      <c r="AF60725" s="679"/>
    </row>
    <row r="60726" spans="32:32" x14ac:dyDescent="0.2">
      <c r="AF60726" s="679"/>
    </row>
    <row r="60727" spans="32:32" x14ac:dyDescent="0.2">
      <c r="AF60727" s="679"/>
    </row>
    <row r="60728" spans="32:32" x14ac:dyDescent="0.2">
      <c r="AF60728" s="679"/>
    </row>
    <row r="60729" spans="32:32" x14ac:dyDescent="0.2">
      <c r="AF60729" s="679"/>
    </row>
    <row r="60730" spans="32:32" x14ac:dyDescent="0.2">
      <c r="AF60730" s="679"/>
    </row>
    <row r="60731" spans="32:32" x14ac:dyDescent="0.2">
      <c r="AF60731" s="679"/>
    </row>
    <row r="60732" spans="32:32" x14ac:dyDescent="0.2">
      <c r="AF60732" s="679"/>
    </row>
    <row r="60733" spans="32:32" x14ac:dyDescent="0.2">
      <c r="AF60733" s="679"/>
    </row>
    <row r="60734" spans="32:32" x14ac:dyDescent="0.2">
      <c r="AF60734" s="679"/>
    </row>
    <row r="60735" spans="32:32" x14ac:dyDescent="0.2">
      <c r="AF60735" s="679"/>
    </row>
    <row r="60736" spans="32:32" x14ac:dyDescent="0.2">
      <c r="AF60736" s="679"/>
    </row>
    <row r="60737" spans="32:32" x14ac:dyDescent="0.2">
      <c r="AF60737" s="679"/>
    </row>
    <row r="60738" spans="32:32" x14ac:dyDescent="0.2">
      <c r="AF60738" s="679"/>
    </row>
    <row r="60739" spans="32:32" x14ac:dyDescent="0.2">
      <c r="AF60739" s="679"/>
    </row>
    <row r="60740" spans="32:32" x14ac:dyDescent="0.2">
      <c r="AF60740" s="679"/>
    </row>
    <row r="60741" spans="32:32" x14ac:dyDescent="0.2">
      <c r="AF60741" s="679"/>
    </row>
    <row r="60742" spans="32:32" x14ac:dyDescent="0.2">
      <c r="AF60742" s="679"/>
    </row>
    <row r="60743" spans="32:32" x14ac:dyDescent="0.2">
      <c r="AF60743" s="679"/>
    </row>
    <row r="60744" spans="32:32" x14ac:dyDescent="0.2">
      <c r="AF60744" s="679"/>
    </row>
    <row r="60745" spans="32:32" x14ac:dyDescent="0.2">
      <c r="AF60745" s="679"/>
    </row>
    <row r="60746" spans="32:32" x14ac:dyDescent="0.2">
      <c r="AF60746" s="679"/>
    </row>
    <row r="60747" spans="32:32" x14ac:dyDescent="0.2">
      <c r="AF60747" s="679"/>
    </row>
    <row r="60748" spans="32:32" x14ac:dyDescent="0.2">
      <c r="AF60748" s="679"/>
    </row>
    <row r="60749" spans="32:32" x14ac:dyDescent="0.2">
      <c r="AF60749" s="679"/>
    </row>
    <row r="60750" spans="32:32" x14ac:dyDescent="0.2">
      <c r="AF60750" s="679"/>
    </row>
    <row r="60751" spans="32:32" x14ac:dyDescent="0.2">
      <c r="AF60751" s="679"/>
    </row>
    <row r="60752" spans="32:32" x14ac:dyDescent="0.2">
      <c r="AF60752" s="679"/>
    </row>
    <row r="60753" spans="32:32" x14ac:dyDescent="0.2">
      <c r="AF60753" s="679"/>
    </row>
    <row r="60754" spans="32:32" x14ac:dyDescent="0.2">
      <c r="AF60754" s="679"/>
    </row>
    <row r="60755" spans="32:32" x14ac:dyDescent="0.2">
      <c r="AF60755" s="679"/>
    </row>
    <row r="60756" spans="32:32" x14ac:dyDescent="0.2">
      <c r="AF60756" s="679"/>
    </row>
    <row r="60757" spans="32:32" x14ac:dyDescent="0.2">
      <c r="AF60757" s="679"/>
    </row>
    <row r="60758" spans="32:32" x14ac:dyDescent="0.2">
      <c r="AF60758" s="679"/>
    </row>
    <row r="60759" spans="32:32" x14ac:dyDescent="0.2">
      <c r="AF60759" s="679"/>
    </row>
    <row r="60760" spans="32:32" x14ac:dyDescent="0.2">
      <c r="AF60760" s="679"/>
    </row>
    <row r="60761" spans="32:32" x14ac:dyDescent="0.2">
      <c r="AF60761" s="679"/>
    </row>
    <row r="60762" spans="32:32" x14ac:dyDescent="0.2">
      <c r="AF60762" s="679"/>
    </row>
    <row r="60763" spans="32:32" x14ac:dyDescent="0.2">
      <c r="AF60763" s="679"/>
    </row>
    <row r="60764" spans="32:32" x14ac:dyDescent="0.2">
      <c r="AF60764" s="679"/>
    </row>
    <row r="60765" spans="32:32" x14ac:dyDescent="0.2">
      <c r="AF60765" s="679"/>
    </row>
    <row r="60766" spans="32:32" x14ac:dyDescent="0.2">
      <c r="AF60766" s="679"/>
    </row>
    <row r="60767" spans="32:32" x14ac:dyDescent="0.2">
      <c r="AF60767" s="679"/>
    </row>
    <row r="60768" spans="32:32" x14ac:dyDescent="0.2">
      <c r="AF60768" s="679"/>
    </row>
    <row r="60769" spans="32:32" x14ac:dyDescent="0.2">
      <c r="AF60769" s="679"/>
    </row>
    <row r="60770" spans="32:32" x14ac:dyDescent="0.2">
      <c r="AF60770" s="679"/>
    </row>
    <row r="60771" spans="32:32" x14ac:dyDescent="0.2">
      <c r="AF60771" s="679"/>
    </row>
    <row r="60772" spans="32:32" x14ac:dyDescent="0.2">
      <c r="AF60772" s="679"/>
    </row>
    <row r="60773" spans="32:32" x14ac:dyDescent="0.2">
      <c r="AF60773" s="679"/>
    </row>
    <row r="60774" spans="32:32" x14ac:dyDescent="0.2">
      <c r="AF60774" s="679"/>
    </row>
    <row r="60775" spans="32:32" x14ac:dyDescent="0.2">
      <c r="AF60775" s="679"/>
    </row>
    <row r="60776" spans="32:32" x14ac:dyDescent="0.2">
      <c r="AF60776" s="679"/>
    </row>
    <row r="60777" spans="32:32" x14ac:dyDescent="0.2">
      <c r="AF60777" s="679"/>
    </row>
    <row r="60778" spans="32:32" x14ac:dyDescent="0.2">
      <c r="AF60778" s="679"/>
    </row>
    <row r="60779" spans="32:32" x14ac:dyDescent="0.2">
      <c r="AF60779" s="679"/>
    </row>
    <row r="60780" spans="32:32" x14ac:dyDescent="0.2">
      <c r="AF60780" s="679"/>
    </row>
    <row r="60781" spans="32:32" x14ac:dyDescent="0.2">
      <c r="AF60781" s="679"/>
    </row>
    <row r="60782" spans="32:32" x14ac:dyDescent="0.2">
      <c r="AF60782" s="679"/>
    </row>
    <row r="60783" spans="32:32" x14ac:dyDescent="0.2">
      <c r="AF60783" s="679"/>
    </row>
    <row r="60784" spans="32:32" x14ac:dyDescent="0.2">
      <c r="AF60784" s="679"/>
    </row>
    <row r="60785" spans="32:32" x14ac:dyDescent="0.2">
      <c r="AF60785" s="679"/>
    </row>
    <row r="60786" spans="32:32" x14ac:dyDescent="0.2">
      <c r="AF60786" s="679"/>
    </row>
    <row r="60787" spans="32:32" x14ac:dyDescent="0.2">
      <c r="AF60787" s="679"/>
    </row>
    <row r="60788" spans="32:32" x14ac:dyDescent="0.2">
      <c r="AF60788" s="679"/>
    </row>
    <row r="60789" spans="32:32" x14ac:dyDescent="0.2">
      <c r="AF60789" s="679"/>
    </row>
    <row r="60790" spans="32:32" x14ac:dyDescent="0.2">
      <c r="AF60790" s="679"/>
    </row>
    <row r="60791" spans="32:32" x14ac:dyDescent="0.2">
      <c r="AF60791" s="679"/>
    </row>
    <row r="60792" spans="32:32" x14ac:dyDescent="0.2">
      <c r="AF60792" s="679"/>
    </row>
    <row r="60793" spans="32:32" x14ac:dyDescent="0.2">
      <c r="AF60793" s="679"/>
    </row>
    <row r="60794" spans="32:32" x14ac:dyDescent="0.2">
      <c r="AF60794" s="679"/>
    </row>
    <row r="60795" spans="32:32" x14ac:dyDescent="0.2">
      <c r="AF60795" s="679"/>
    </row>
    <row r="60796" spans="32:32" x14ac:dyDescent="0.2">
      <c r="AF60796" s="679"/>
    </row>
    <row r="60797" spans="32:32" x14ac:dyDescent="0.2">
      <c r="AF60797" s="679"/>
    </row>
    <row r="60798" spans="32:32" x14ac:dyDescent="0.2">
      <c r="AF60798" s="679"/>
    </row>
    <row r="60799" spans="32:32" x14ac:dyDescent="0.2">
      <c r="AF60799" s="679"/>
    </row>
    <row r="60800" spans="32:32" x14ac:dyDescent="0.2">
      <c r="AF60800" s="679"/>
    </row>
    <row r="60801" spans="32:32" x14ac:dyDescent="0.2">
      <c r="AF60801" s="679"/>
    </row>
    <row r="60802" spans="32:32" x14ac:dyDescent="0.2">
      <c r="AF60802" s="679"/>
    </row>
    <row r="60803" spans="32:32" x14ac:dyDescent="0.2">
      <c r="AF60803" s="679"/>
    </row>
    <row r="60804" spans="32:32" x14ac:dyDescent="0.2">
      <c r="AF60804" s="679"/>
    </row>
    <row r="60805" spans="32:32" x14ac:dyDescent="0.2">
      <c r="AF60805" s="679"/>
    </row>
    <row r="60806" spans="32:32" x14ac:dyDescent="0.2">
      <c r="AF60806" s="679"/>
    </row>
    <row r="60807" spans="32:32" x14ac:dyDescent="0.2">
      <c r="AF60807" s="679"/>
    </row>
    <row r="60808" spans="32:32" x14ac:dyDescent="0.2">
      <c r="AF60808" s="679"/>
    </row>
    <row r="60809" spans="32:32" x14ac:dyDescent="0.2">
      <c r="AF60809" s="679"/>
    </row>
    <row r="60810" spans="32:32" x14ac:dyDescent="0.2">
      <c r="AF60810" s="679"/>
    </row>
    <row r="60811" spans="32:32" x14ac:dyDescent="0.2">
      <c r="AF60811" s="679"/>
    </row>
    <row r="60812" spans="32:32" x14ac:dyDescent="0.2">
      <c r="AF60812" s="679"/>
    </row>
    <row r="60813" spans="32:32" x14ac:dyDescent="0.2">
      <c r="AF60813" s="679"/>
    </row>
    <row r="60814" spans="32:32" x14ac:dyDescent="0.2">
      <c r="AF60814" s="679"/>
    </row>
    <row r="60815" spans="32:32" x14ac:dyDescent="0.2">
      <c r="AF60815" s="679"/>
    </row>
    <row r="60816" spans="32:32" x14ac:dyDescent="0.2">
      <c r="AF60816" s="679"/>
    </row>
    <row r="60817" spans="32:32" x14ac:dyDescent="0.2">
      <c r="AF60817" s="679"/>
    </row>
    <row r="60818" spans="32:32" x14ac:dyDescent="0.2">
      <c r="AF60818" s="679"/>
    </row>
    <row r="60819" spans="32:32" x14ac:dyDescent="0.2">
      <c r="AF60819" s="679"/>
    </row>
    <row r="60820" spans="32:32" x14ac:dyDescent="0.2">
      <c r="AF60820" s="679"/>
    </row>
    <row r="60821" spans="32:32" x14ac:dyDescent="0.2">
      <c r="AF60821" s="679"/>
    </row>
    <row r="60822" spans="32:32" x14ac:dyDescent="0.2">
      <c r="AF60822" s="679"/>
    </row>
    <row r="60823" spans="32:32" x14ac:dyDescent="0.2">
      <c r="AF60823" s="679"/>
    </row>
    <row r="60824" spans="32:32" x14ac:dyDescent="0.2">
      <c r="AF60824" s="679"/>
    </row>
    <row r="60825" spans="32:32" x14ac:dyDescent="0.2">
      <c r="AF60825" s="679"/>
    </row>
    <row r="60826" spans="32:32" x14ac:dyDescent="0.2">
      <c r="AF60826" s="679"/>
    </row>
    <row r="60827" spans="32:32" x14ac:dyDescent="0.2">
      <c r="AF60827" s="679"/>
    </row>
    <row r="60828" spans="32:32" x14ac:dyDescent="0.2">
      <c r="AF60828" s="679"/>
    </row>
    <row r="60829" spans="32:32" x14ac:dyDescent="0.2">
      <c r="AF60829" s="679"/>
    </row>
    <row r="60830" spans="32:32" x14ac:dyDescent="0.2">
      <c r="AF60830" s="679"/>
    </row>
    <row r="60831" spans="32:32" x14ac:dyDescent="0.2">
      <c r="AF60831" s="679"/>
    </row>
    <row r="60832" spans="32:32" x14ac:dyDescent="0.2">
      <c r="AF60832" s="679"/>
    </row>
    <row r="60833" spans="32:32" x14ac:dyDescent="0.2">
      <c r="AF60833" s="679"/>
    </row>
    <row r="60834" spans="32:32" x14ac:dyDescent="0.2">
      <c r="AF60834" s="679"/>
    </row>
    <row r="60835" spans="32:32" x14ac:dyDescent="0.2">
      <c r="AF60835" s="679"/>
    </row>
    <row r="60836" spans="32:32" x14ac:dyDescent="0.2">
      <c r="AF60836" s="679"/>
    </row>
    <row r="60837" spans="32:32" x14ac:dyDescent="0.2">
      <c r="AF60837" s="679"/>
    </row>
    <row r="60838" spans="32:32" x14ac:dyDescent="0.2">
      <c r="AF60838" s="679"/>
    </row>
    <row r="60839" spans="32:32" x14ac:dyDescent="0.2">
      <c r="AF60839" s="679"/>
    </row>
    <row r="60840" spans="32:32" x14ac:dyDescent="0.2">
      <c r="AF60840" s="679"/>
    </row>
    <row r="60841" spans="32:32" x14ac:dyDescent="0.2">
      <c r="AF60841" s="679"/>
    </row>
    <row r="60842" spans="32:32" x14ac:dyDescent="0.2">
      <c r="AF60842" s="679"/>
    </row>
    <row r="60843" spans="32:32" x14ac:dyDescent="0.2">
      <c r="AF60843" s="679"/>
    </row>
    <row r="60844" spans="32:32" x14ac:dyDescent="0.2">
      <c r="AF60844" s="679"/>
    </row>
    <row r="60845" spans="32:32" x14ac:dyDescent="0.2">
      <c r="AF60845" s="679"/>
    </row>
    <row r="60846" spans="32:32" x14ac:dyDescent="0.2">
      <c r="AF60846" s="679"/>
    </row>
    <row r="60847" spans="32:32" x14ac:dyDescent="0.2">
      <c r="AF60847" s="679"/>
    </row>
    <row r="60848" spans="32:32" x14ac:dyDescent="0.2">
      <c r="AF60848" s="679"/>
    </row>
    <row r="60849" spans="32:32" x14ac:dyDescent="0.2">
      <c r="AF60849" s="679"/>
    </row>
    <row r="60850" spans="32:32" x14ac:dyDescent="0.2">
      <c r="AF60850" s="679"/>
    </row>
    <row r="60851" spans="32:32" x14ac:dyDescent="0.2">
      <c r="AF60851" s="679"/>
    </row>
    <row r="60852" spans="32:32" x14ac:dyDescent="0.2">
      <c r="AF60852" s="679"/>
    </row>
    <row r="60853" spans="32:32" x14ac:dyDescent="0.2">
      <c r="AF60853" s="679"/>
    </row>
    <row r="60854" spans="32:32" x14ac:dyDescent="0.2">
      <c r="AF60854" s="679"/>
    </row>
    <row r="60855" spans="32:32" x14ac:dyDescent="0.2">
      <c r="AF60855" s="679"/>
    </row>
    <row r="60856" spans="32:32" x14ac:dyDescent="0.2">
      <c r="AF60856" s="679"/>
    </row>
    <row r="60857" spans="32:32" x14ac:dyDescent="0.2">
      <c r="AF60857" s="679"/>
    </row>
    <row r="60858" spans="32:32" x14ac:dyDescent="0.2">
      <c r="AF60858" s="679"/>
    </row>
    <row r="60859" spans="32:32" x14ac:dyDescent="0.2">
      <c r="AF60859" s="679"/>
    </row>
    <row r="60860" spans="32:32" x14ac:dyDescent="0.2">
      <c r="AF60860" s="679"/>
    </row>
    <row r="60861" spans="32:32" x14ac:dyDescent="0.2">
      <c r="AF60861" s="679"/>
    </row>
    <row r="60862" spans="32:32" x14ac:dyDescent="0.2">
      <c r="AF60862" s="679"/>
    </row>
    <row r="60863" spans="32:32" x14ac:dyDescent="0.2">
      <c r="AF60863" s="679"/>
    </row>
    <row r="60864" spans="32:32" x14ac:dyDescent="0.2">
      <c r="AF60864" s="679"/>
    </row>
    <row r="60865" spans="32:32" x14ac:dyDescent="0.2">
      <c r="AF60865" s="679"/>
    </row>
    <row r="60866" spans="32:32" x14ac:dyDescent="0.2">
      <c r="AF60866" s="679"/>
    </row>
    <row r="60867" spans="32:32" x14ac:dyDescent="0.2">
      <c r="AF60867" s="679"/>
    </row>
    <row r="60868" spans="32:32" x14ac:dyDescent="0.2">
      <c r="AF60868" s="679"/>
    </row>
    <row r="60869" spans="32:32" x14ac:dyDescent="0.2">
      <c r="AF60869" s="679"/>
    </row>
    <row r="60870" spans="32:32" x14ac:dyDescent="0.2">
      <c r="AF60870" s="679"/>
    </row>
    <row r="60871" spans="32:32" x14ac:dyDescent="0.2">
      <c r="AF60871" s="679"/>
    </row>
    <row r="60872" spans="32:32" x14ac:dyDescent="0.2">
      <c r="AF60872" s="679"/>
    </row>
    <row r="60873" spans="32:32" x14ac:dyDescent="0.2">
      <c r="AF60873" s="679"/>
    </row>
    <row r="60874" spans="32:32" x14ac:dyDescent="0.2">
      <c r="AF60874" s="679"/>
    </row>
    <row r="60875" spans="32:32" x14ac:dyDescent="0.2">
      <c r="AF60875" s="679"/>
    </row>
    <row r="60876" spans="32:32" x14ac:dyDescent="0.2">
      <c r="AF60876" s="679"/>
    </row>
    <row r="60877" spans="32:32" x14ac:dyDescent="0.2">
      <c r="AF60877" s="679"/>
    </row>
    <row r="60878" spans="32:32" x14ac:dyDescent="0.2">
      <c r="AF60878" s="679"/>
    </row>
    <row r="60879" spans="32:32" x14ac:dyDescent="0.2">
      <c r="AF60879" s="679"/>
    </row>
    <row r="60880" spans="32:32" x14ac:dyDescent="0.2">
      <c r="AF60880" s="679"/>
    </row>
    <row r="60881" spans="32:32" x14ac:dyDescent="0.2">
      <c r="AF60881" s="679"/>
    </row>
    <row r="60882" spans="32:32" x14ac:dyDescent="0.2">
      <c r="AF60882" s="679"/>
    </row>
    <row r="60883" spans="32:32" x14ac:dyDescent="0.2">
      <c r="AF60883" s="679"/>
    </row>
    <row r="60884" spans="32:32" x14ac:dyDescent="0.2">
      <c r="AF60884" s="679"/>
    </row>
    <row r="60885" spans="32:32" x14ac:dyDescent="0.2">
      <c r="AF60885" s="679"/>
    </row>
    <row r="60886" spans="32:32" x14ac:dyDescent="0.2">
      <c r="AF60886" s="679"/>
    </row>
    <row r="60887" spans="32:32" x14ac:dyDescent="0.2">
      <c r="AF60887" s="679"/>
    </row>
    <row r="60888" spans="32:32" x14ac:dyDescent="0.2">
      <c r="AF60888" s="679"/>
    </row>
    <row r="60889" spans="32:32" x14ac:dyDescent="0.2">
      <c r="AF60889" s="679"/>
    </row>
    <row r="60890" spans="32:32" x14ac:dyDescent="0.2">
      <c r="AF60890" s="679"/>
    </row>
    <row r="60891" spans="32:32" x14ac:dyDescent="0.2">
      <c r="AF60891" s="679"/>
    </row>
    <row r="60892" spans="32:32" x14ac:dyDescent="0.2">
      <c r="AF60892" s="679"/>
    </row>
    <row r="60893" spans="32:32" x14ac:dyDescent="0.2">
      <c r="AF60893" s="679"/>
    </row>
    <row r="60894" spans="32:32" x14ac:dyDescent="0.2">
      <c r="AF60894" s="679"/>
    </row>
    <row r="60895" spans="32:32" x14ac:dyDescent="0.2">
      <c r="AF60895" s="679"/>
    </row>
    <row r="60896" spans="32:32" x14ac:dyDescent="0.2">
      <c r="AF60896" s="679"/>
    </row>
    <row r="60897" spans="32:32" x14ac:dyDescent="0.2">
      <c r="AF60897" s="679"/>
    </row>
    <row r="60898" spans="32:32" x14ac:dyDescent="0.2">
      <c r="AF60898" s="679"/>
    </row>
    <row r="60899" spans="32:32" x14ac:dyDescent="0.2">
      <c r="AF60899" s="679"/>
    </row>
    <row r="60900" spans="32:32" x14ac:dyDescent="0.2">
      <c r="AF60900" s="679"/>
    </row>
    <row r="60901" spans="32:32" x14ac:dyDescent="0.2">
      <c r="AF60901" s="679"/>
    </row>
    <row r="60902" spans="32:32" x14ac:dyDescent="0.2">
      <c r="AF60902" s="679"/>
    </row>
    <row r="60903" spans="32:32" x14ac:dyDescent="0.2">
      <c r="AF60903" s="679"/>
    </row>
    <row r="60904" spans="32:32" x14ac:dyDescent="0.2">
      <c r="AF60904" s="679"/>
    </row>
    <row r="60905" spans="32:32" x14ac:dyDescent="0.2">
      <c r="AF60905" s="679"/>
    </row>
    <row r="60906" spans="32:32" x14ac:dyDescent="0.2">
      <c r="AF60906" s="679"/>
    </row>
    <row r="60907" spans="32:32" x14ac:dyDescent="0.2">
      <c r="AF60907" s="679"/>
    </row>
    <row r="60908" spans="32:32" x14ac:dyDescent="0.2">
      <c r="AF60908" s="679"/>
    </row>
    <row r="60909" spans="32:32" x14ac:dyDescent="0.2">
      <c r="AF60909" s="679"/>
    </row>
    <row r="60910" spans="32:32" x14ac:dyDescent="0.2">
      <c r="AF60910" s="679"/>
    </row>
    <row r="60911" spans="32:32" x14ac:dyDescent="0.2">
      <c r="AF60911" s="679"/>
    </row>
    <row r="60912" spans="32:32" x14ac:dyDescent="0.2">
      <c r="AF60912" s="679"/>
    </row>
    <row r="60913" spans="32:32" x14ac:dyDescent="0.2">
      <c r="AF60913" s="679"/>
    </row>
    <row r="60914" spans="32:32" x14ac:dyDescent="0.2">
      <c r="AF60914" s="679"/>
    </row>
    <row r="60915" spans="32:32" x14ac:dyDescent="0.2">
      <c r="AF60915" s="679"/>
    </row>
    <row r="60916" spans="32:32" x14ac:dyDescent="0.2">
      <c r="AF60916" s="679"/>
    </row>
    <row r="60917" spans="32:32" x14ac:dyDescent="0.2">
      <c r="AF60917" s="679"/>
    </row>
    <row r="60918" spans="32:32" x14ac:dyDescent="0.2">
      <c r="AF60918" s="679"/>
    </row>
    <row r="60919" spans="32:32" x14ac:dyDescent="0.2">
      <c r="AF60919" s="679"/>
    </row>
    <row r="60920" spans="32:32" x14ac:dyDescent="0.2">
      <c r="AF60920" s="679"/>
    </row>
    <row r="60921" spans="32:32" x14ac:dyDescent="0.2">
      <c r="AF60921" s="679"/>
    </row>
    <row r="60922" spans="32:32" x14ac:dyDescent="0.2">
      <c r="AF60922" s="679"/>
    </row>
    <row r="60923" spans="32:32" x14ac:dyDescent="0.2">
      <c r="AF60923" s="679"/>
    </row>
    <row r="60924" spans="32:32" x14ac:dyDescent="0.2">
      <c r="AF60924" s="679"/>
    </row>
    <row r="60925" spans="32:32" x14ac:dyDescent="0.2">
      <c r="AF60925" s="679"/>
    </row>
    <row r="60926" spans="32:32" x14ac:dyDescent="0.2">
      <c r="AF60926" s="679"/>
    </row>
    <row r="60927" spans="32:32" x14ac:dyDescent="0.2">
      <c r="AF60927" s="679"/>
    </row>
    <row r="60928" spans="32:32" x14ac:dyDescent="0.2">
      <c r="AF60928" s="679"/>
    </row>
    <row r="60929" spans="32:32" x14ac:dyDescent="0.2">
      <c r="AF60929" s="679"/>
    </row>
    <row r="60930" spans="32:32" x14ac:dyDescent="0.2">
      <c r="AF60930" s="679"/>
    </row>
    <row r="60931" spans="32:32" x14ac:dyDescent="0.2">
      <c r="AF60931" s="679"/>
    </row>
    <row r="60932" spans="32:32" x14ac:dyDescent="0.2">
      <c r="AF60932" s="679"/>
    </row>
    <row r="60933" spans="32:32" x14ac:dyDescent="0.2">
      <c r="AF60933" s="679"/>
    </row>
    <row r="60934" spans="32:32" x14ac:dyDescent="0.2">
      <c r="AF60934" s="679"/>
    </row>
    <row r="60935" spans="32:32" x14ac:dyDescent="0.2">
      <c r="AF60935" s="679"/>
    </row>
    <row r="60936" spans="32:32" x14ac:dyDescent="0.2">
      <c r="AF60936" s="679"/>
    </row>
    <row r="60937" spans="32:32" x14ac:dyDescent="0.2">
      <c r="AF60937" s="679"/>
    </row>
    <row r="60938" spans="32:32" x14ac:dyDescent="0.2">
      <c r="AF60938" s="679"/>
    </row>
    <row r="60939" spans="32:32" x14ac:dyDescent="0.2">
      <c r="AF60939" s="679"/>
    </row>
    <row r="60940" spans="32:32" x14ac:dyDescent="0.2">
      <c r="AF60940" s="679"/>
    </row>
    <row r="60941" spans="32:32" x14ac:dyDescent="0.2">
      <c r="AF60941" s="679"/>
    </row>
    <row r="60942" spans="32:32" x14ac:dyDescent="0.2">
      <c r="AF60942" s="679"/>
    </row>
    <row r="60943" spans="32:32" x14ac:dyDescent="0.2">
      <c r="AF60943" s="679"/>
    </row>
    <row r="60944" spans="32:32" x14ac:dyDescent="0.2">
      <c r="AF60944" s="679"/>
    </row>
    <row r="60945" spans="32:32" x14ac:dyDescent="0.2">
      <c r="AF60945" s="679"/>
    </row>
    <row r="60946" spans="32:32" x14ac:dyDescent="0.2">
      <c r="AF60946" s="679"/>
    </row>
    <row r="60947" spans="32:32" x14ac:dyDescent="0.2">
      <c r="AF60947" s="679"/>
    </row>
    <row r="60948" spans="32:32" x14ac:dyDescent="0.2">
      <c r="AF60948" s="679"/>
    </row>
    <row r="60949" spans="32:32" x14ac:dyDescent="0.2">
      <c r="AF60949" s="679"/>
    </row>
    <row r="60950" spans="32:32" x14ac:dyDescent="0.2">
      <c r="AF60950" s="679"/>
    </row>
    <row r="60951" spans="32:32" x14ac:dyDescent="0.2">
      <c r="AF60951" s="679"/>
    </row>
    <row r="60952" spans="32:32" x14ac:dyDescent="0.2">
      <c r="AF60952" s="679"/>
    </row>
    <row r="60953" spans="32:32" x14ac:dyDescent="0.2">
      <c r="AF60953" s="679"/>
    </row>
    <row r="60954" spans="32:32" x14ac:dyDescent="0.2">
      <c r="AF60954" s="679"/>
    </row>
    <row r="60955" spans="32:32" x14ac:dyDescent="0.2">
      <c r="AF60955" s="679"/>
    </row>
    <row r="60956" spans="32:32" x14ac:dyDescent="0.2">
      <c r="AF60956" s="679"/>
    </row>
    <row r="60957" spans="32:32" x14ac:dyDescent="0.2">
      <c r="AF60957" s="679"/>
    </row>
    <row r="60958" spans="32:32" x14ac:dyDescent="0.2">
      <c r="AF60958" s="679"/>
    </row>
    <row r="60959" spans="32:32" x14ac:dyDescent="0.2">
      <c r="AF60959" s="679"/>
    </row>
    <row r="60960" spans="32:32" x14ac:dyDescent="0.2">
      <c r="AF60960" s="679"/>
    </row>
    <row r="60961" spans="32:32" x14ac:dyDescent="0.2">
      <c r="AF60961" s="679"/>
    </row>
    <row r="60962" spans="32:32" x14ac:dyDescent="0.2">
      <c r="AF60962" s="679"/>
    </row>
    <row r="60963" spans="32:32" x14ac:dyDescent="0.2">
      <c r="AF60963" s="679"/>
    </row>
    <row r="60964" spans="32:32" x14ac:dyDescent="0.2">
      <c r="AF60964" s="679"/>
    </row>
    <row r="60965" spans="32:32" x14ac:dyDescent="0.2">
      <c r="AF60965" s="679"/>
    </row>
    <row r="60966" spans="32:32" x14ac:dyDescent="0.2">
      <c r="AF60966" s="679"/>
    </row>
    <row r="60967" spans="32:32" x14ac:dyDescent="0.2">
      <c r="AF60967" s="679"/>
    </row>
    <row r="60968" spans="32:32" x14ac:dyDescent="0.2">
      <c r="AF60968" s="679"/>
    </row>
    <row r="60969" spans="32:32" x14ac:dyDescent="0.2">
      <c r="AF60969" s="679"/>
    </row>
    <row r="60970" spans="32:32" x14ac:dyDescent="0.2">
      <c r="AF60970" s="679"/>
    </row>
    <row r="60971" spans="32:32" x14ac:dyDescent="0.2">
      <c r="AF60971" s="679"/>
    </row>
    <row r="60972" spans="32:32" x14ac:dyDescent="0.2">
      <c r="AF60972" s="679"/>
    </row>
    <row r="60973" spans="32:32" x14ac:dyDescent="0.2">
      <c r="AF60973" s="679"/>
    </row>
    <row r="60974" spans="32:32" x14ac:dyDescent="0.2">
      <c r="AF60974" s="679"/>
    </row>
    <row r="60975" spans="32:32" x14ac:dyDescent="0.2">
      <c r="AF60975" s="679"/>
    </row>
    <row r="60976" spans="32:32" x14ac:dyDescent="0.2">
      <c r="AF60976" s="679"/>
    </row>
    <row r="60977" spans="32:32" x14ac:dyDescent="0.2">
      <c r="AF60977" s="679"/>
    </row>
    <row r="60978" spans="32:32" x14ac:dyDescent="0.2">
      <c r="AF60978" s="679"/>
    </row>
    <row r="60979" spans="32:32" x14ac:dyDescent="0.2">
      <c r="AF60979" s="679"/>
    </row>
    <row r="60980" spans="32:32" x14ac:dyDescent="0.2">
      <c r="AF60980" s="679"/>
    </row>
    <row r="60981" spans="32:32" x14ac:dyDescent="0.2">
      <c r="AF60981" s="679"/>
    </row>
    <row r="60982" spans="32:32" x14ac:dyDescent="0.2">
      <c r="AF60982" s="679"/>
    </row>
    <row r="60983" spans="32:32" x14ac:dyDescent="0.2">
      <c r="AF60983" s="679"/>
    </row>
    <row r="60984" spans="32:32" x14ac:dyDescent="0.2">
      <c r="AF60984" s="679"/>
    </row>
    <row r="60985" spans="32:32" x14ac:dyDescent="0.2">
      <c r="AF60985" s="679"/>
    </row>
    <row r="60986" spans="32:32" x14ac:dyDescent="0.2">
      <c r="AF60986" s="679"/>
    </row>
    <row r="60987" spans="32:32" x14ac:dyDescent="0.2">
      <c r="AF60987" s="679"/>
    </row>
    <row r="60988" spans="32:32" x14ac:dyDescent="0.2">
      <c r="AF60988" s="679"/>
    </row>
    <row r="60989" spans="32:32" x14ac:dyDescent="0.2">
      <c r="AF60989" s="679"/>
    </row>
    <row r="60990" spans="32:32" x14ac:dyDescent="0.2">
      <c r="AF60990" s="679"/>
    </row>
    <row r="60991" spans="32:32" x14ac:dyDescent="0.2">
      <c r="AF60991" s="679"/>
    </row>
    <row r="60992" spans="32:32" x14ac:dyDescent="0.2">
      <c r="AF60992" s="679"/>
    </row>
    <row r="60993" spans="32:32" x14ac:dyDescent="0.2">
      <c r="AF60993" s="679"/>
    </row>
    <row r="60994" spans="32:32" x14ac:dyDescent="0.2">
      <c r="AF60994" s="679"/>
    </row>
    <row r="60995" spans="32:32" x14ac:dyDescent="0.2">
      <c r="AF60995" s="679"/>
    </row>
    <row r="60996" spans="32:32" x14ac:dyDescent="0.2">
      <c r="AF60996" s="679"/>
    </row>
    <row r="60997" spans="32:32" x14ac:dyDescent="0.2">
      <c r="AF60997" s="679"/>
    </row>
    <row r="60998" spans="32:32" x14ac:dyDescent="0.2">
      <c r="AF60998" s="679"/>
    </row>
    <row r="60999" spans="32:32" x14ac:dyDescent="0.2">
      <c r="AF60999" s="679"/>
    </row>
    <row r="61000" spans="32:32" x14ac:dyDescent="0.2">
      <c r="AF61000" s="679"/>
    </row>
    <row r="61001" spans="32:32" x14ac:dyDescent="0.2">
      <c r="AF61001" s="679"/>
    </row>
    <row r="61002" spans="32:32" x14ac:dyDescent="0.2">
      <c r="AF61002" s="679"/>
    </row>
    <row r="61003" spans="32:32" x14ac:dyDescent="0.2">
      <c r="AF61003" s="679"/>
    </row>
    <row r="61004" spans="32:32" x14ac:dyDescent="0.2">
      <c r="AF61004" s="679"/>
    </row>
    <row r="61005" spans="32:32" x14ac:dyDescent="0.2">
      <c r="AF61005" s="679"/>
    </row>
    <row r="61006" spans="32:32" x14ac:dyDescent="0.2">
      <c r="AF61006" s="679"/>
    </row>
    <row r="61007" spans="32:32" x14ac:dyDescent="0.2">
      <c r="AF61007" s="679"/>
    </row>
    <row r="61008" spans="32:32" x14ac:dyDescent="0.2">
      <c r="AF61008" s="679"/>
    </row>
    <row r="61009" spans="32:32" x14ac:dyDescent="0.2">
      <c r="AF61009" s="679"/>
    </row>
    <row r="61010" spans="32:32" x14ac:dyDescent="0.2">
      <c r="AF61010" s="679"/>
    </row>
    <row r="61011" spans="32:32" x14ac:dyDescent="0.2">
      <c r="AF61011" s="679"/>
    </row>
    <row r="61012" spans="32:32" x14ac:dyDescent="0.2">
      <c r="AF61012" s="679"/>
    </row>
    <row r="61013" spans="32:32" x14ac:dyDescent="0.2">
      <c r="AF61013" s="679"/>
    </row>
    <row r="61014" spans="32:32" x14ac:dyDescent="0.2">
      <c r="AF61014" s="679"/>
    </row>
    <row r="61015" spans="32:32" x14ac:dyDescent="0.2">
      <c r="AF61015" s="679"/>
    </row>
    <row r="61016" spans="32:32" x14ac:dyDescent="0.2">
      <c r="AF61016" s="679"/>
    </row>
    <row r="61017" spans="32:32" x14ac:dyDescent="0.2">
      <c r="AF61017" s="679"/>
    </row>
    <row r="61018" spans="32:32" x14ac:dyDescent="0.2">
      <c r="AF61018" s="679"/>
    </row>
    <row r="61019" spans="32:32" x14ac:dyDescent="0.2">
      <c r="AF61019" s="679"/>
    </row>
    <row r="61020" spans="32:32" x14ac:dyDescent="0.2">
      <c r="AF61020" s="679"/>
    </row>
    <row r="61021" spans="32:32" x14ac:dyDescent="0.2">
      <c r="AF61021" s="679"/>
    </row>
    <row r="61022" spans="32:32" x14ac:dyDescent="0.2">
      <c r="AF61022" s="679"/>
    </row>
    <row r="61023" spans="32:32" x14ac:dyDescent="0.2">
      <c r="AF61023" s="679"/>
    </row>
    <row r="61024" spans="32:32" x14ac:dyDescent="0.2">
      <c r="AF61024" s="679"/>
    </row>
    <row r="61025" spans="32:32" x14ac:dyDescent="0.2">
      <c r="AF61025" s="679"/>
    </row>
    <row r="61026" spans="32:32" x14ac:dyDescent="0.2">
      <c r="AF61026" s="679"/>
    </row>
    <row r="61027" spans="32:32" x14ac:dyDescent="0.2">
      <c r="AF61027" s="679"/>
    </row>
    <row r="61028" spans="32:32" x14ac:dyDescent="0.2">
      <c r="AF61028" s="679"/>
    </row>
    <row r="61029" spans="32:32" x14ac:dyDescent="0.2">
      <c r="AF61029" s="679"/>
    </row>
    <row r="61030" spans="32:32" x14ac:dyDescent="0.2">
      <c r="AF61030" s="679"/>
    </row>
    <row r="61031" spans="32:32" x14ac:dyDescent="0.2">
      <c r="AF61031" s="679"/>
    </row>
    <row r="61032" spans="32:32" x14ac:dyDescent="0.2">
      <c r="AF61032" s="679"/>
    </row>
    <row r="61033" spans="32:32" x14ac:dyDescent="0.2">
      <c r="AF61033" s="679"/>
    </row>
    <row r="61034" spans="32:32" x14ac:dyDescent="0.2">
      <c r="AF61034" s="679"/>
    </row>
    <row r="61035" spans="32:32" x14ac:dyDescent="0.2">
      <c r="AF61035" s="679"/>
    </row>
    <row r="61036" spans="32:32" x14ac:dyDescent="0.2">
      <c r="AF61036" s="679"/>
    </row>
    <row r="61037" spans="32:32" x14ac:dyDescent="0.2">
      <c r="AF61037" s="679"/>
    </row>
    <row r="61038" spans="32:32" x14ac:dyDescent="0.2">
      <c r="AF61038" s="679"/>
    </row>
    <row r="61039" spans="32:32" x14ac:dyDescent="0.2">
      <c r="AF61039" s="679"/>
    </row>
    <row r="61040" spans="32:32" x14ac:dyDescent="0.2">
      <c r="AF61040" s="679"/>
    </row>
    <row r="61041" spans="32:32" x14ac:dyDescent="0.2">
      <c r="AF61041" s="679"/>
    </row>
    <row r="61042" spans="32:32" x14ac:dyDescent="0.2">
      <c r="AF61042" s="679"/>
    </row>
    <row r="61043" spans="32:32" x14ac:dyDescent="0.2">
      <c r="AF61043" s="679"/>
    </row>
    <row r="61044" spans="32:32" x14ac:dyDescent="0.2">
      <c r="AF61044" s="679"/>
    </row>
    <row r="61045" spans="32:32" x14ac:dyDescent="0.2">
      <c r="AF61045" s="679"/>
    </row>
    <row r="61046" spans="32:32" x14ac:dyDescent="0.2">
      <c r="AF61046" s="679"/>
    </row>
    <row r="61047" spans="32:32" x14ac:dyDescent="0.2">
      <c r="AF61047" s="679"/>
    </row>
    <row r="61048" spans="32:32" x14ac:dyDescent="0.2">
      <c r="AF61048" s="679"/>
    </row>
    <row r="61049" spans="32:32" x14ac:dyDescent="0.2">
      <c r="AF61049" s="679"/>
    </row>
    <row r="61050" spans="32:32" x14ac:dyDescent="0.2">
      <c r="AF61050" s="679"/>
    </row>
    <row r="61051" spans="32:32" x14ac:dyDescent="0.2">
      <c r="AF61051" s="679"/>
    </row>
    <row r="61052" spans="32:32" x14ac:dyDescent="0.2">
      <c r="AF61052" s="679"/>
    </row>
    <row r="61053" spans="32:32" x14ac:dyDescent="0.2">
      <c r="AF61053" s="679"/>
    </row>
    <row r="61054" spans="32:32" x14ac:dyDescent="0.2">
      <c r="AF61054" s="679"/>
    </row>
    <row r="61055" spans="32:32" x14ac:dyDescent="0.2">
      <c r="AF61055" s="679"/>
    </row>
    <row r="61056" spans="32:32" x14ac:dyDescent="0.2">
      <c r="AF61056" s="679"/>
    </row>
    <row r="61057" spans="32:32" x14ac:dyDescent="0.2">
      <c r="AF61057" s="679"/>
    </row>
    <row r="61058" spans="32:32" x14ac:dyDescent="0.2">
      <c r="AF61058" s="679"/>
    </row>
    <row r="61059" spans="32:32" x14ac:dyDescent="0.2">
      <c r="AF61059" s="679"/>
    </row>
    <row r="61060" spans="32:32" x14ac:dyDescent="0.2">
      <c r="AF61060" s="679"/>
    </row>
    <row r="61061" spans="32:32" x14ac:dyDescent="0.2">
      <c r="AF61061" s="679"/>
    </row>
    <row r="61062" spans="32:32" x14ac:dyDescent="0.2">
      <c r="AF61062" s="679"/>
    </row>
    <row r="61063" spans="32:32" x14ac:dyDescent="0.2">
      <c r="AF61063" s="679"/>
    </row>
    <row r="61064" spans="32:32" x14ac:dyDescent="0.2">
      <c r="AF61064" s="679"/>
    </row>
    <row r="61065" spans="32:32" x14ac:dyDescent="0.2">
      <c r="AF61065" s="679"/>
    </row>
    <row r="61066" spans="32:32" x14ac:dyDescent="0.2">
      <c r="AF61066" s="679"/>
    </row>
    <row r="61067" spans="32:32" x14ac:dyDescent="0.2">
      <c r="AF61067" s="679"/>
    </row>
    <row r="61068" spans="32:32" x14ac:dyDescent="0.2">
      <c r="AF61068" s="679"/>
    </row>
    <row r="61069" spans="32:32" x14ac:dyDescent="0.2">
      <c r="AF61069" s="679"/>
    </row>
    <row r="61070" spans="32:32" x14ac:dyDescent="0.2">
      <c r="AF61070" s="679"/>
    </row>
    <row r="61071" spans="32:32" x14ac:dyDescent="0.2">
      <c r="AF61071" s="679"/>
    </row>
    <row r="61072" spans="32:32" x14ac:dyDescent="0.2">
      <c r="AF61072" s="679"/>
    </row>
    <row r="61073" spans="32:32" x14ac:dyDescent="0.2">
      <c r="AF61073" s="679"/>
    </row>
    <row r="61074" spans="32:32" x14ac:dyDescent="0.2">
      <c r="AF61074" s="679"/>
    </row>
    <row r="61075" spans="32:32" x14ac:dyDescent="0.2">
      <c r="AF61075" s="679"/>
    </row>
    <row r="61076" spans="32:32" x14ac:dyDescent="0.2">
      <c r="AF61076" s="679"/>
    </row>
    <row r="61077" spans="32:32" x14ac:dyDescent="0.2">
      <c r="AF61077" s="679"/>
    </row>
    <row r="61078" spans="32:32" x14ac:dyDescent="0.2">
      <c r="AF61078" s="679"/>
    </row>
    <row r="61079" spans="32:32" x14ac:dyDescent="0.2">
      <c r="AF61079" s="679"/>
    </row>
    <row r="61080" spans="32:32" x14ac:dyDescent="0.2">
      <c r="AF61080" s="679"/>
    </row>
    <row r="61081" spans="32:32" x14ac:dyDescent="0.2">
      <c r="AF61081" s="679"/>
    </row>
    <row r="61082" spans="32:32" x14ac:dyDescent="0.2">
      <c r="AF61082" s="679"/>
    </row>
    <row r="61083" spans="32:32" x14ac:dyDescent="0.2">
      <c r="AF61083" s="679"/>
    </row>
    <row r="61084" spans="32:32" x14ac:dyDescent="0.2">
      <c r="AF61084" s="679"/>
    </row>
    <row r="61085" spans="32:32" x14ac:dyDescent="0.2">
      <c r="AF61085" s="679"/>
    </row>
    <row r="61086" spans="32:32" x14ac:dyDescent="0.2">
      <c r="AF61086" s="679"/>
    </row>
    <row r="61087" spans="32:32" x14ac:dyDescent="0.2">
      <c r="AF61087" s="679"/>
    </row>
    <row r="61088" spans="32:32" x14ac:dyDescent="0.2">
      <c r="AF61088" s="679"/>
    </row>
    <row r="61089" spans="32:32" x14ac:dyDescent="0.2">
      <c r="AF61089" s="679"/>
    </row>
    <row r="61090" spans="32:32" x14ac:dyDescent="0.2">
      <c r="AF61090" s="679"/>
    </row>
    <row r="61091" spans="32:32" x14ac:dyDescent="0.2">
      <c r="AF61091" s="679"/>
    </row>
    <row r="61092" spans="32:32" x14ac:dyDescent="0.2">
      <c r="AF61092" s="679"/>
    </row>
    <row r="61093" spans="32:32" x14ac:dyDescent="0.2">
      <c r="AF61093" s="679"/>
    </row>
    <row r="61094" spans="32:32" x14ac:dyDescent="0.2">
      <c r="AF61094" s="679"/>
    </row>
    <row r="61095" spans="32:32" x14ac:dyDescent="0.2">
      <c r="AF61095" s="679"/>
    </row>
    <row r="61096" spans="32:32" x14ac:dyDescent="0.2">
      <c r="AF61096" s="679"/>
    </row>
    <row r="61097" spans="32:32" x14ac:dyDescent="0.2">
      <c r="AF61097" s="679"/>
    </row>
    <row r="61098" spans="32:32" x14ac:dyDescent="0.2">
      <c r="AF61098" s="679"/>
    </row>
    <row r="61099" spans="32:32" x14ac:dyDescent="0.2">
      <c r="AF61099" s="679"/>
    </row>
    <row r="61100" spans="32:32" x14ac:dyDescent="0.2">
      <c r="AF61100" s="679"/>
    </row>
    <row r="61101" spans="32:32" x14ac:dyDescent="0.2">
      <c r="AF61101" s="679"/>
    </row>
    <row r="61102" spans="32:32" x14ac:dyDescent="0.2">
      <c r="AF61102" s="679"/>
    </row>
    <row r="61103" spans="32:32" x14ac:dyDescent="0.2">
      <c r="AF61103" s="679"/>
    </row>
    <row r="61104" spans="32:32" x14ac:dyDescent="0.2">
      <c r="AF61104" s="679"/>
    </row>
    <row r="61105" spans="32:32" x14ac:dyDescent="0.2">
      <c r="AF61105" s="679"/>
    </row>
    <row r="61106" spans="32:32" x14ac:dyDescent="0.2">
      <c r="AF61106" s="679"/>
    </row>
    <row r="61107" spans="32:32" x14ac:dyDescent="0.2">
      <c r="AF61107" s="679"/>
    </row>
    <row r="61108" spans="32:32" x14ac:dyDescent="0.2">
      <c r="AF61108" s="679"/>
    </row>
    <row r="61109" spans="32:32" x14ac:dyDescent="0.2">
      <c r="AF61109" s="679"/>
    </row>
    <row r="61110" spans="32:32" x14ac:dyDescent="0.2">
      <c r="AF61110" s="679"/>
    </row>
    <row r="61111" spans="32:32" x14ac:dyDescent="0.2">
      <c r="AF61111" s="679"/>
    </row>
    <row r="61112" spans="32:32" x14ac:dyDescent="0.2">
      <c r="AF61112" s="679"/>
    </row>
    <row r="61113" spans="32:32" x14ac:dyDescent="0.2">
      <c r="AF61113" s="679"/>
    </row>
    <row r="61114" spans="32:32" x14ac:dyDescent="0.2">
      <c r="AF61114" s="679"/>
    </row>
    <row r="61115" spans="32:32" x14ac:dyDescent="0.2">
      <c r="AF61115" s="679"/>
    </row>
    <row r="61116" spans="32:32" x14ac:dyDescent="0.2">
      <c r="AF61116" s="679"/>
    </row>
    <row r="61117" spans="32:32" x14ac:dyDescent="0.2">
      <c r="AF61117" s="679"/>
    </row>
    <row r="61118" spans="32:32" x14ac:dyDescent="0.2">
      <c r="AF61118" s="679"/>
    </row>
    <row r="61119" spans="32:32" x14ac:dyDescent="0.2">
      <c r="AF61119" s="679"/>
    </row>
    <row r="61120" spans="32:32" x14ac:dyDescent="0.2">
      <c r="AF61120" s="679"/>
    </row>
    <row r="61121" spans="32:32" x14ac:dyDescent="0.2">
      <c r="AF61121" s="679"/>
    </row>
    <row r="61122" spans="32:32" x14ac:dyDescent="0.2">
      <c r="AF61122" s="679"/>
    </row>
    <row r="61123" spans="32:32" x14ac:dyDescent="0.2">
      <c r="AF61123" s="679"/>
    </row>
    <row r="61124" spans="32:32" x14ac:dyDescent="0.2">
      <c r="AF61124" s="679"/>
    </row>
    <row r="61125" spans="32:32" x14ac:dyDescent="0.2">
      <c r="AF61125" s="679"/>
    </row>
    <row r="61126" spans="32:32" x14ac:dyDescent="0.2">
      <c r="AF61126" s="679"/>
    </row>
    <row r="61127" spans="32:32" x14ac:dyDescent="0.2">
      <c r="AF61127" s="679"/>
    </row>
    <row r="61128" spans="32:32" x14ac:dyDescent="0.2">
      <c r="AF61128" s="679"/>
    </row>
    <row r="61129" spans="32:32" x14ac:dyDescent="0.2">
      <c r="AF61129" s="679"/>
    </row>
    <row r="61130" spans="32:32" x14ac:dyDescent="0.2">
      <c r="AF61130" s="679"/>
    </row>
    <row r="61131" spans="32:32" x14ac:dyDescent="0.2">
      <c r="AF61131" s="679"/>
    </row>
    <row r="61132" spans="32:32" x14ac:dyDescent="0.2">
      <c r="AF61132" s="679"/>
    </row>
    <row r="61133" spans="32:32" x14ac:dyDescent="0.2">
      <c r="AF61133" s="679"/>
    </row>
    <row r="61134" spans="32:32" x14ac:dyDescent="0.2">
      <c r="AF61134" s="679"/>
    </row>
    <row r="61135" spans="32:32" x14ac:dyDescent="0.2">
      <c r="AF61135" s="679"/>
    </row>
    <row r="61136" spans="32:32" x14ac:dyDescent="0.2">
      <c r="AF61136" s="679"/>
    </row>
    <row r="61137" spans="32:32" x14ac:dyDescent="0.2">
      <c r="AF61137" s="679"/>
    </row>
    <row r="61138" spans="32:32" x14ac:dyDescent="0.2">
      <c r="AF61138" s="679"/>
    </row>
    <row r="61139" spans="32:32" x14ac:dyDescent="0.2">
      <c r="AF61139" s="679"/>
    </row>
    <row r="61140" spans="32:32" x14ac:dyDescent="0.2">
      <c r="AF61140" s="679"/>
    </row>
    <row r="61141" spans="32:32" x14ac:dyDescent="0.2">
      <c r="AF61141" s="679"/>
    </row>
    <row r="61142" spans="32:32" x14ac:dyDescent="0.2">
      <c r="AF61142" s="679"/>
    </row>
    <row r="61143" spans="32:32" x14ac:dyDescent="0.2">
      <c r="AF61143" s="679"/>
    </row>
    <row r="61144" spans="32:32" x14ac:dyDescent="0.2">
      <c r="AF61144" s="679"/>
    </row>
    <row r="61145" spans="32:32" x14ac:dyDescent="0.2">
      <c r="AF61145" s="679"/>
    </row>
    <row r="61146" spans="32:32" x14ac:dyDescent="0.2">
      <c r="AF61146" s="679"/>
    </row>
    <row r="61147" spans="32:32" x14ac:dyDescent="0.2">
      <c r="AF61147" s="679"/>
    </row>
    <row r="61148" spans="32:32" x14ac:dyDescent="0.2">
      <c r="AF61148" s="679"/>
    </row>
    <row r="61149" spans="32:32" x14ac:dyDescent="0.2">
      <c r="AF61149" s="679"/>
    </row>
    <row r="61150" spans="32:32" x14ac:dyDescent="0.2">
      <c r="AF61150" s="679"/>
    </row>
    <row r="61151" spans="32:32" x14ac:dyDescent="0.2">
      <c r="AF61151" s="679"/>
    </row>
    <row r="61152" spans="32:32" x14ac:dyDescent="0.2">
      <c r="AF61152" s="679"/>
    </row>
    <row r="61153" spans="32:32" x14ac:dyDescent="0.2">
      <c r="AF61153" s="679"/>
    </row>
    <row r="61154" spans="32:32" x14ac:dyDescent="0.2">
      <c r="AF61154" s="679"/>
    </row>
    <row r="61155" spans="32:32" x14ac:dyDescent="0.2">
      <c r="AF61155" s="679"/>
    </row>
    <row r="61156" spans="32:32" x14ac:dyDescent="0.2">
      <c r="AF61156" s="679"/>
    </row>
    <row r="61157" spans="32:32" x14ac:dyDescent="0.2">
      <c r="AF61157" s="679"/>
    </row>
    <row r="61158" spans="32:32" x14ac:dyDescent="0.2">
      <c r="AF61158" s="679"/>
    </row>
    <row r="61159" spans="32:32" x14ac:dyDescent="0.2">
      <c r="AF61159" s="679"/>
    </row>
    <row r="61160" spans="32:32" x14ac:dyDescent="0.2">
      <c r="AF61160" s="679"/>
    </row>
    <row r="61161" spans="32:32" x14ac:dyDescent="0.2">
      <c r="AF61161" s="679"/>
    </row>
    <row r="61162" spans="32:32" x14ac:dyDescent="0.2">
      <c r="AF61162" s="679"/>
    </row>
    <row r="61163" spans="32:32" x14ac:dyDescent="0.2">
      <c r="AF61163" s="679"/>
    </row>
    <row r="61164" spans="32:32" x14ac:dyDescent="0.2">
      <c r="AF61164" s="679"/>
    </row>
    <row r="61165" spans="32:32" x14ac:dyDescent="0.2">
      <c r="AF61165" s="679"/>
    </row>
    <row r="61166" spans="32:32" x14ac:dyDescent="0.2">
      <c r="AF61166" s="679"/>
    </row>
    <row r="61167" spans="32:32" x14ac:dyDescent="0.2">
      <c r="AF61167" s="679"/>
    </row>
    <row r="61168" spans="32:32" x14ac:dyDescent="0.2">
      <c r="AF61168" s="679"/>
    </row>
    <row r="61169" spans="32:32" x14ac:dyDescent="0.2">
      <c r="AF61169" s="679"/>
    </row>
    <row r="61170" spans="32:32" x14ac:dyDescent="0.2">
      <c r="AF61170" s="679"/>
    </row>
    <row r="61171" spans="32:32" x14ac:dyDescent="0.2">
      <c r="AF61171" s="679"/>
    </row>
    <row r="61172" spans="32:32" x14ac:dyDescent="0.2">
      <c r="AF61172" s="679"/>
    </row>
    <row r="61173" spans="32:32" x14ac:dyDescent="0.2">
      <c r="AF61173" s="679"/>
    </row>
    <row r="61174" spans="32:32" x14ac:dyDescent="0.2">
      <c r="AF61174" s="679"/>
    </row>
    <row r="61175" spans="32:32" x14ac:dyDescent="0.2">
      <c r="AF61175" s="679"/>
    </row>
    <row r="61176" spans="32:32" x14ac:dyDescent="0.2">
      <c r="AF61176" s="679"/>
    </row>
    <row r="61177" spans="32:32" x14ac:dyDescent="0.2">
      <c r="AF61177" s="679"/>
    </row>
    <row r="61178" spans="32:32" x14ac:dyDescent="0.2">
      <c r="AF61178" s="679"/>
    </row>
    <row r="61179" spans="32:32" x14ac:dyDescent="0.2">
      <c r="AF61179" s="679"/>
    </row>
    <row r="61180" spans="32:32" x14ac:dyDescent="0.2">
      <c r="AF61180" s="679"/>
    </row>
    <row r="61181" spans="32:32" x14ac:dyDescent="0.2">
      <c r="AF61181" s="679"/>
    </row>
    <row r="61182" spans="32:32" x14ac:dyDescent="0.2">
      <c r="AF61182" s="679"/>
    </row>
    <row r="61183" spans="32:32" x14ac:dyDescent="0.2">
      <c r="AF61183" s="679"/>
    </row>
    <row r="61184" spans="32:32" x14ac:dyDescent="0.2">
      <c r="AF61184" s="679"/>
    </row>
    <row r="61185" spans="32:32" x14ac:dyDescent="0.2">
      <c r="AF61185" s="679"/>
    </row>
    <row r="61186" spans="32:32" x14ac:dyDescent="0.2">
      <c r="AF61186" s="679"/>
    </row>
    <row r="61187" spans="32:32" x14ac:dyDescent="0.2">
      <c r="AF61187" s="679"/>
    </row>
    <row r="61188" spans="32:32" x14ac:dyDescent="0.2">
      <c r="AF61188" s="679"/>
    </row>
    <row r="61189" spans="32:32" x14ac:dyDescent="0.2">
      <c r="AF61189" s="679"/>
    </row>
    <row r="61190" spans="32:32" x14ac:dyDescent="0.2">
      <c r="AF61190" s="679"/>
    </row>
    <row r="61191" spans="32:32" x14ac:dyDescent="0.2">
      <c r="AF61191" s="679"/>
    </row>
    <row r="61192" spans="32:32" x14ac:dyDescent="0.2">
      <c r="AF61192" s="679"/>
    </row>
    <row r="61193" spans="32:32" x14ac:dyDescent="0.2">
      <c r="AF61193" s="679"/>
    </row>
    <row r="61194" spans="32:32" x14ac:dyDescent="0.2">
      <c r="AF61194" s="679"/>
    </row>
    <row r="61195" spans="32:32" x14ac:dyDescent="0.2">
      <c r="AF61195" s="679"/>
    </row>
    <row r="61196" spans="32:32" x14ac:dyDescent="0.2">
      <c r="AF61196" s="679"/>
    </row>
    <row r="61197" spans="32:32" x14ac:dyDescent="0.2">
      <c r="AF61197" s="679"/>
    </row>
    <row r="61198" spans="32:32" x14ac:dyDescent="0.2">
      <c r="AF61198" s="679"/>
    </row>
    <row r="61199" spans="32:32" x14ac:dyDescent="0.2">
      <c r="AF61199" s="679"/>
    </row>
    <row r="61200" spans="32:32" x14ac:dyDescent="0.2">
      <c r="AF61200" s="679"/>
    </row>
    <row r="61201" spans="32:32" x14ac:dyDescent="0.2">
      <c r="AF61201" s="679"/>
    </row>
    <row r="61202" spans="32:32" x14ac:dyDescent="0.2">
      <c r="AF61202" s="679"/>
    </row>
    <row r="61203" spans="32:32" x14ac:dyDescent="0.2">
      <c r="AF61203" s="679"/>
    </row>
    <row r="61204" spans="32:32" x14ac:dyDescent="0.2">
      <c r="AF61204" s="679"/>
    </row>
    <row r="61205" spans="32:32" x14ac:dyDescent="0.2">
      <c r="AF61205" s="679"/>
    </row>
    <row r="61206" spans="32:32" x14ac:dyDescent="0.2">
      <c r="AF61206" s="679"/>
    </row>
    <row r="61207" spans="32:32" x14ac:dyDescent="0.2">
      <c r="AF61207" s="679"/>
    </row>
    <row r="61208" spans="32:32" x14ac:dyDescent="0.2">
      <c r="AF61208" s="679"/>
    </row>
    <row r="61209" spans="32:32" x14ac:dyDescent="0.2">
      <c r="AF61209" s="679"/>
    </row>
    <row r="61210" spans="32:32" x14ac:dyDescent="0.2">
      <c r="AF61210" s="679"/>
    </row>
    <row r="61211" spans="32:32" x14ac:dyDescent="0.2">
      <c r="AF61211" s="679"/>
    </row>
    <row r="61212" spans="32:32" x14ac:dyDescent="0.2">
      <c r="AF61212" s="679"/>
    </row>
    <row r="61213" spans="32:32" x14ac:dyDescent="0.2">
      <c r="AF61213" s="679"/>
    </row>
    <row r="61214" spans="32:32" x14ac:dyDescent="0.2">
      <c r="AF61214" s="679"/>
    </row>
    <row r="61215" spans="32:32" x14ac:dyDescent="0.2">
      <c r="AF61215" s="679"/>
    </row>
    <row r="61216" spans="32:32" x14ac:dyDescent="0.2">
      <c r="AF61216" s="679"/>
    </row>
    <row r="61217" spans="32:32" x14ac:dyDescent="0.2">
      <c r="AF61217" s="679"/>
    </row>
    <row r="61218" spans="32:32" x14ac:dyDescent="0.2">
      <c r="AF61218" s="679"/>
    </row>
    <row r="61219" spans="32:32" x14ac:dyDescent="0.2">
      <c r="AF61219" s="679"/>
    </row>
    <row r="61220" spans="32:32" x14ac:dyDescent="0.2">
      <c r="AF61220" s="679"/>
    </row>
    <row r="61221" spans="32:32" x14ac:dyDescent="0.2">
      <c r="AF61221" s="679"/>
    </row>
    <row r="61222" spans="32:32" x14ac:dyDescent="0.2">
      <c r="AF61222" s="679"/>
    </row>
    <row r="61223" spans="32:32" x14ac:dyDescent="0.2">
      <c r="AF61223" s="679"/>
    </row>
    <row r="61224" spans="32:32" x14ac:dyDescent="0.2">
      <c r="AF61224" s="679"/>
    </row>
    <row r="61225" spans="32:32" x14ac:dyDescent="0.2">
      <c r="AF61225" s="679"/>
    </row>
    <row r="61226" spans="32:32" x14ac:dyDescent="0.2">
      <c r="AF61226" s="679"/>
    </row>
    <row r="61227" spans="32:32" x14ac:dyDescent="0.2">
      <c r="AF61227" s="679"/>
    </row>
    <row r="61228" spans="32:32" x14ac:dyDescent="0.2">
      <c r="AF61228" s="679"/>
    </row>
    <row r="61229" spans="32:32" x14ac:dyDescent="0.2">
      <c r="AF61229" s="679"/>
    </row>
    <row r="61230" spans="32:32" x14ac:dyDescent="0.2">
      <c r="AF61230" s="679"/>
    </row>
    <row r="61231" spans="32:32" x14ac:dyDescent="0.2">
      <c r="AF61231" s="679"/>
    </row>
    <row r="61232" spans="32:32" x14ac:dyDescent="0.2">
      <c r="AF61232" s="679"/>
    </row>
    <row r="61233" spans="32:32" x14ac:dyDescent="0.2">
      <c r="AF61233" s="679"/>
    </row>
    <row r="61234" spans="32:32" x14ac:dyDescent="0.2">
      <c r="AF61234" s="679"/>
    </row>
    <row r="61235" spans="32:32" x14ac:dyDescent="0.2">
      <c r="AF61235" s="679"/>
    </row>
    <row r="61236" spans="32:32" x14ac:dyDescent="0.2">
      <c r="AF61236" s="679"/>
    </row>
    <row r="61237" spans="32:32" x14ac:dyDescent="0.2">
      <c r="AF61237" s="679"/>
    </row>
    <row r="61238" spans="32:32" x14ac:dyDescent="0.2">
      <c r="AF61238" s="679"/>
    </row>
    <row r="61239" spans="32:32" x14ac:dyDescent="0.2">
      <c r="AF61239" s="679"/>
    </row>
    <row r="61240" spans="32:32" x14ac:dyDescent="0.2">
      <c r="AF61240" s="679"/>
    </row>
    <row r="61241" spans="32:32" x14ac:dyDescent="0.2">
      <c r="AF61241" s="679"/>
    </row>
    <row r="61242" spans="32:32" x14ac:dyDescent="0.2">
      <c r="AF61242" s="679"/>
    </row>
    <row r="61243" spans="32:32" x14ac:dyDescent="0.2">
      <c r="AF61243" s="679"/>
    </row>
    <row r="61244" spans="32:32" x14ac:dyDescent="0.2">
      <c r="AF61244" s="679"/>
    </row>
    <row r="61245" spans="32:32" x14ac:dyDescent="0.2">
      <c r="AF61245" s="679"/>
    </row>
    <row r="61246" spans="32:32" x14ac:dyDescent="0.2">
      <c r="AF61246" s="679"/>
    </row>
    <row r="61247" spans="32:32" x14ac:dyDescent="0.2">
      <c r="AF61247" s="679"/>
    </row>
    <row r="61248" spans="32:32" x14ac:dyDescent="0.2">
      <c r="AF61248" s="679"/>
    </row>
    <row r="61249" spans="32:32" x14ac:dyDescent="0.2">
      <c r="AF61249" s="679"/>
    </row>
    <row r="61250" spans="32:32" x14ac:dyDescent="0.2">
      <c r="AF61250" s="679"/>
    </row>
    <row r="61251" spans="32:32" x14ac:dyDescent="0.2">
      <c r="AF61251" s="679"/>
    </row>
    <row r="61252" spans="32:32" x14ac:dyDescent="0.2">
      <c r="AF61252" s="679"/>
    </row>
    <row r="61253" spans="32:32" x14ac:dyDescent="0.2">
      <c r="AF61253" s="679"/>
    </row>
    <row r="61254" spans="32:32" x14ac:dyDescent="0.2">
      <c r="AF61254" s="679"/>
    </row>
    <row r="61255" spans="32:32" x14ac:dyDescent="0.2">
      <c r="AF61255" s="679"/>
    </row>
    <row r="61256" spans="32:32" x14ac:dyDescent="0.2">
      <c r="AF61256" s="679"/>
    </row>
    <row r="61257" spans="32:32" x14ac:dyDescent="0.2">
      <c r="AF61257" s="679"/>
    </row>
    <row r="61258" spans="32:32" x14ac:dyDescent="0.2">
      <c r="AF61258" s="679"/>
    </row>
    <row r="61259" spans="32:32" x14ac:dyDescent="0.2">
      <c r="AF61259" s="679"/>
    </row>
    <row r="61260" spans="32:32" x14ac:dyDescent="0.2">
      <c r="AF61260" s="679"/>
    </row>
    <row r="61261" spans="32:32" x14ac:dyDescent="0.2">
      <c r="AF61261" s="679"/>
    </row>
    <row r="61262" spans="32:32" x14ac:dyDescent="0.2">
      <c r="AF61262" s="679"/>
    </row>
    <row r="61263" spans="32:32" x14ac:dyDescent="0.2">
      <c r="AF61263" s="679"/>
    </row>
    <row r="61264" spans="32:32" x14ac:dyDescent="0.2">
      <c r="AF61264" s="679"/>
    </row>
    <row r="61265" spans="32:32" x14ac:dyDescent="0.2">
      <c r="AF61265" s="679"/>
    </row>
    <row r="61266" spans="32:32" x14ac:dyDescent="0.2">
      <c r="AF61266" s="679"/>
    </row>
    <row r="61267" spans="32:32" x14ac:dyDescent="0.2">
      <c r="AF61267" s="679"/>
    </row>
    <row r="61268" spans="32:32" x14ac:dyDescent="0.2">
      <c r="AF61268" s="679"/>
    </row>
    <row r="61269" spans="32:32" x14ac:dyDescent="0.2">
      <c r="AF61269" s="679"/>
    </row>
    <row r="61270" spans="32:32" x14ac:dyDescent="0.2">
      <c r="AF61270" s="679"/>
    </row>
    <row r="61271" spans="32:32" x14ac:dyDescent="0.2">
      <c r="AF61271" s="679"/>
    </row>
    <row r="61272" spans="32:32" x14ac:dyDescent="0.2">
      <c r="AF61272" s="679"/>
    </row>
    <row r="61273" spans="32:32" x14ac:dyDescent="0.2">
      <c r="AF61273" s="679"/>
    </row>
    <row r="61274" spans="32:32" x14ac:dyDescent="0.2">
      <c r="AF61274" s="679"/>
    </row>
    <row r="61275" spans="32:32" x14ac:dyDescent="0.2">
      <c r="AF61275" s="679"/>
    </row>
    <row r="61276" spans="32:32" x14ac:dyDescent="0.2">
      <c r="AF61276" s="679"/>
    </row>
    <row r="61277" spans="32:32" x14ac:dyDescent="0.2">
      <c r="AF61277" s="679"/>
    </row>
    <row r="61278" spans="32:32" x14ac:dyDescent="0.2">
      <c r="AF61278" s="679"/>
    </row>
    <row r="61279" spans="32:32" x14ac:dyDescent="0.2">
      <c r="AF61279" s="679"/>
    </row>
    <row r="61280" spans="32:32" x14ac:dyDescent="0.2">
      <c r="AF61280" s="679"/>
    </row>
    <row r="61281" spans="32:32" x14ac:dyDescent="0.2">
      <c r="AF61281" s="679"/>
    </row>
    <row r="61282" spans="32:32" x14ac:dyDescent="0.2">
      <c r="AF61282" s="679"/>
    </row>
    <row r="61283" spans="32:32" x14ac:dyDescent="0.2">
      <c r="AF61283" s="679"/>
    </row>
    <row r="61284" spans="32:32" x14ac:dyDescent="0.2">
      <c r="AF61284" s="679"/>
    </row>
    <row r="61285" spans="32:32" x14ac:dyDescent="0.2">
      <c r="AF61285" s="679"/>
    </row>
    <row r="61286" spans="32:32" x14ac:dyDescent="0.2">
      <c r="AF61286" s="679"/>
    </row>
    <row r="61287" spans="32:32" x14ac:dyDescent="0.2">
      <c r="AF61287" s="679"/>
    </row>
    <row r="61288" spans="32:32" x14ac:dyDescent="0.2">
      <c r="AF61288" s="679"/>
    </row>
    <row r="61289" spans="32:32" x14ac:dyDescent="0.2">
      <c r="AF61289" s="679"/>
    </row>
    <row r="61290" spans="32:32" x14ac:dyDescent="0.2">
      <c r="AF61290" s="679"/>
    </row>
    <row r="61291" spans="32:32" x14ac:dyDescent="0.2">
      <c r="AF61291" s="679"/>
    </row>
    <row r="61292" spans="32:32" x14ac:dyDescent="0.2">
      <c r="AF61292" s="679"/>
    </row>
    <row r="61293" spans="32:32" x14ac:dyDescent="0.2">
      <c r="AF61293" s="679"/>
    </row>
    <row r="61294" spans="32:32" x14ac:dyDescent="0.2">
      <c r="AF61294" s="679"/>
    </row>
    <row r="61295" spans="32:32" x14ac:dyDescent="0.2">
      <c r="AF61295" s="679"/>
    </row>
    <row r="61296" spans="32:32" x14ac:dyDescent="0.2">
      <c r="AF61296" s="679"/>
    </row>
    <row r="61297" spans="32:32" x14ac:dyDescent="0.2">
      <c r="AF61297" s="679"/>
    </row>
    <row r="61298" spans="32:32" x14ac:dyDescent="0.2">
      <c r="AF61298" s="679"/>
    </row>
    <row r="61299" spans="32:32" x14ac:dyDescent="0.2">
      <c r="AF61299" s="679"/>
    </row>
    <row r="61300" spans="32:32" x14ac:dyDescent="0.2">
      <c r="AF61300" s="679"/>
    </row>
    <row r="61301" spans="32:32" x14ac:dyDescent="0.2">
      <c r="AF61301" s="679"/>
    </row>
    <row r="61302" spans="32:32" x14ac:dyDescent="0.2">
      <c r="AF61302" s="679"/>
    </row>
    <row r="61303" spans="32:32" x14ac:dyDescent="0.2">
      <c r="AF61303" s="679"/>
    </row>
    <row r="61304" spans="32:32" x14ac:dyDescent="0.2">
      <c r="AF61304" s="679"/>
    </row>
    <row r="61305" spans="32:32" x14ac:dyDescent="0.2">
      <c r="AF61305" s="679"/>
    </row>
    <row r="61306" spans="32:32" x14ac:dyDescent="0.2">
      <c r="AF61306" s="679"/>
    </row>
    <row r="61307" spans="32:32" x14ac:dyDescent="0.2">
      <c r="AF61307" s="679"/>
    </row>
    <row r="61308" spans="32:32" x14ac:dyDescent="0.2">
      <c r="AF61308" s="679"/>
    </row>
    <row r="61309" spans="32:32" x14ac:dyDescent="0.2">
      <c r="AF61309" s="679"/>
    </row>
    <row r="61310" spans="32:32" x14ac:dyDescent="0.2">
      <c r="AF61310" s="679"/>
    </row>
    <row r="61311" spans="32:32" x14ac:dyDescent="0.2">
      <c r="AF61311" s="679"/>
    </row>
    <row r="61312" spans="32:32" x14ac:dyDescent="0.2">
      <c r="AF61312" s="679"/>
    </row>
    <row r="61313" spans="32:32" x14ac:dyDescent="0.2">
      <c r="AF61313" s="679"/>
    </row>
    <row r="61314" spans="32:32" x14ac:dyDescent="0.2">
      <c r="AF61314" s="679"/>
    </row>
    <row r="61315" spans="32:32" x14ac:dyDescent="0.2">
      <c r="AF61315" s="679"/>
    </row>
    <row r="61316" spans="32:32" x14ac:dyDescent="0.2">
      <c r="AF61316" s="679"/>
    </row>
    <row r="61317" spans="32:32" x14ac:dyDescent="0.2">
      <c r="AF61317" s="679"/>
    </row>
    <row r="61318" spans="32:32" x14ac:dyDescent="0.2">
      <c r="AF61318" s="679"/>
    </row>
    <row r="61319" spans="32:32" x14ac:dyDescent="0.2">
      <c r="AF61319" s="679"/>
    </row>
    <row r="61320" spans="32:32" x14ac:dyDescent="0.2">
      <c r="AF61320" s="679"/>
    </row>
    <row r="61321" spans="32:32" x14ac:dyDescent="0.2">
      <c r="AF61321" s="679"/>
    </row>
    <row r="61322" spans="32:32" x14ac:dyDescent="0.2">
      <c r="AF61322" s="679"/>
    </row>
    <row r="61323" spans="32:32" x14ac:dyDescent="0.2">
      <c r="AF61323" s="679"/>
    </row>
    <row r="61324" spans="32:32" x14ac:dyDescent="0.2">
      <c r="AF61324" s="679"/>
    </row>
    <row r="61325" spans="32:32" x14ac:dyDescent="0.2">
      <c r="AF61325" s="679"/>
    </row>
    <row r="61326" spans="32:32" x14ac:dyDescent="0.2">
      <c r="AF61326" s="679"/>
    </row>
    <row r="61327" spans="32:32" x14ac:dyDescent="0.2">
      <c r="AF61327" s="679"/>
    </row>
    <row r="61328" spans="32:32" x14ac:dyDescent="0.2">
      <c r="AF61328" s="679"/>
    </row>
    <row r="61329" spans="32:32" x14ac:dyDescent="0.2">
      <c r="AF61329" s="679"/>
    </row>
    <row r="61330" spans="32:32" x14ac:dyDescent="0.2">
      <c r="AF61330" s="679"/>
    </row>
    <row r="61331" spans="32:32" x14ac:dyDescent="0.2">
      <c r="AF61331" s="679"/>
    </row>
    <row r="61332" spans="32:32" x14ac:dyDescent="0.2">
      <c r="AF61332" s="679"/>
    </row>
    <row r="61333" spans="32:32" x14ac:dyDescent="0.2">
      <c r="AF61333" s="679"/>
    </row>
    <row r="61334" spans="32:32" x14ac:dyDescent="0.2">
      <c r="AF61334" s="679"/>
    </row>
    <row r="61335" spans="32:32" x14ac:dyDescent="0.2">
      <c r="AF61335" s="679"/>
    </row>
    <row r="61336" spans="32:32" x14ac:dyDescent="0.2">
      <c r="AF61336" s="679"/>
    </row>
    <row r="61337" spans="32:32" x14ac:dyDescent="0.2">
      <c r="AF61337" s="679"/>
    </row>
    <row r="61338" spans="32:32" x14ac:dyDescent="0.2">
      <c r="AF61338" s="679"/>
    </row>
    <row r="61339" spans="32:32" x14ac:dyDescent="0.2">
      <c r="AF61339" s="679"/>
    </row>
    <row r="61340" spans="32:32" x14ac:dyDescent="0.2">
      <c r="AF61340" s="679"/>
    </row>
    <row r="61341" spans="32:32" x14ac:dyDescent="0.2">
      <c r="AF61341" s="679"/>
    </row>
    <row r="61342" spans="32:32" x14ac:dyDescent="0.2">
      <c r="AF61342" s="679"/>
    </row>
    <row r="61343" spans="32:32" x14ac:dyDescent="0.2">
      <c r="AF61343" s="679"/>
    </row>
    <row r="61344" spans="32:32" x14ac:dyDescent="0.2">
      <c r="AF61344" s="679"/>
    </row>
    <row r="61345" spans="32:32" x14ac:dyDescent="0.2">
      <c r="AF61345" s="679"/>
    </row>
    <row r="61346" spans="32:32" x14ac:dyDescent="0.2">
      <c r="AF61346" s="679"/>
    </row>
    <row r="61347" spans="32:32" x14ac:dyDescent="0.2">
      <c r="AF61347" s="679"/>
    </row>
    <row r="61348" spans="32:32" x14ac:dyDescent="0.2">
      <c r="AF61348" s="679"/>
    </row>
    <row r="61349" spans="32:32" x14ac:dyDescent="0.2">
      <c r="AF61349" s="679"/>
    </row>
    <row r="61350" spans="32:32" x14ac:dyDescent="0.2">
      <c r="AF61350" s="679"/>
    </row>
    <row r="61351" spans="32:32" x14ac:dyDescent="0.2">
      <c r="AF61351" s="679"/>
    </row>
    <row r="61352" spans="32:32" x14ac:dyDescent="0.2">
      <c r="AF61352" s="679"/>
    </row>
    <row r="61353" spans="32:32" x14ac:dyDescent="0.2">
      <c r="AF61353" s="679"/>
    </row>
    <row r="61354" spans="32:32" x14ac:dyDescent="0.2">
      <c r="AF61354" s="679"/>
    </row>
    <row r="61355" spans="32:32" x14ac:dyDescent="0.2">
      <c r="AF61355" s="679"/>
    </row>
    <row r="61356" spans="32:32" x14ac:dyDescent="0.2">
      <c r="AF61356" s="679"/>
    </row>
    <row r="61357" spans="32:32" x14ac:dyDescent="0.2">
      <c r="AF61357" s="679"/>
    </row>
    <row r="61358" spans="32:32" x14ac:dyDescent="0.2">
      <c r="AF61358" s="679"/>
    </row>
    <row r="61359" spans="32:32" x14ac:dyDescent="0.2">
      <c r="AF61359" s="679"/>
    </row>
    <row r="61360" spans="32:32" x14ac:dyDescent="0.2">
      <c r="AF61360" s="679"/>
    </row>
    <row r="61361" spans="32:32" x14ac:dyDescent="0.2">
      <c r="AF61361" s="679"/>
    </row>
    <row r="61362" spans="32:32" x14ac:dyDescent="0.2">
      <c r="AF61362" s="679"/>
    </row>
    <row r="61363" spans="32:32" x14ac:dyDescent="0.2">
      <c r="AF61363" s="679"/>
    </row>
    <row r="61364" spans="32:32" x14ac:dyDescent="0.2">
      <c r="AF61364" s="679"/>
    </row>
    <row r="61365" spans="32:32" x14ac:dyDescent="0.2">
      <c r="AF61365" s="679"/>
    </row>
    <row r="61366" spans="32:32" x14ac:dyDescent="0.2">
      <c r="AF61366" s="679"/>
    </row>
    <row r="61367" spans="32:32" x14ac:dyDescent="0.2">
      <c r="AF61367" s="679"/>
    </row>
    <row r="61368" spans="32:32" x14ac:dyDescent="0.2">
      <c r="AF61368" s="679"/>
    </row>
    <row r="61369" spans="32:32" x14ac:dyDescent="0.2">
      <c r="AF61369" s="679"/>
    </row>
    <row r="61370" spans="32:32" x14ac:dyDescent="0.2">
      <c r="AF61370" s="679"/>
    </row>
    <row r="61371" spans="32:32" x14ac:dyDescent="0.2">
      <c r="AF61371" s="679"/>
    </row>
    <row r="61372" spans="32:32" x14ac:dyDescent="0.2">
      <c r="AF61372" s="679"/>
    </row>
    <row r="61373" spans="32:32" x14ac:dyDescent="0.2">
      <c r="AF61373" s="679"/>
    </row>
    <row r="61374" spans="32:32" x14ac:dyDescent="0.2">
      <c r="AF61374" s="679"/>
    </row>
    <row r="61375" spans="32:32" x14ac:dyDescent="0.2">
      <c r="AF61375" s="679"/>
    </row>
    <row r="61376" spans="32:32" x14ac:dyDescent="0.2">
      <c r="AF61376" s="679"/>
    </row>
    <row r="61377" spans="32:32" x14ac:dyDescent="0.2">
      <c r="AF61377" s="679"/>
    </row>
    <row r="61378" spans="32:32" x14ac:dyDescent="0.2">
      <c r="AF61378" s="679"/>
    </row>
    <row r="61379" spans="32:32" x14ac:dyDescent="0.2">
      <c r="AF61379" s="679"/>
    </row>
    <row r="61380" spans="32:32" x14ac:dyDescent="0.2">
      <c r="AF61380" s="679"/>
    </row>
    <row r="61381" spans="32:32" x14ac:dyDescent="0.2">
      <c r="AF61381" s="679"/>
    </row>
    <row r="61382" spans="32:32" x14ac:dyDescent="0.2">
      <c r="AF61382" s="679"/>
    </row>
    <row r="61383" spans="32:32" x14ac:dyDescent="0.2">
      <c r="AF61383" s="679"/>
    </row>
    <row r="61384" spans="32:32" x14ac:dyDescent="0.2">
      <c r="AF61384" s="679"/>
    </row>
    <row r="61385" spans="32:32" x14ac:dyDescent="0.2">
      <c r="AF61385" s="679"/>
    </row>
    <row r="61386" spans="32:32" x14ac:dyDescent="0.2">
      <c r="AF61386" s="679"/>
    </row>
    <row r="61387" spans="32:32" x14ac:dyDescent="0.2">
      <c r="AF61387" s="679"/>
    </row>
    <row r="61388" spans="32:32" x14ac:dyDescent="0.2">
      <c r="AF61388" s="679"/>
    </row>
    <row r="61389" spans="32:32" x14ac:dyDescent="0.2">
      <c r="AF61389" s="679"/>
    </row>
    <row r="61390" spans="32:32" x14ac:dyDescent="0.2">
      <c r="AF61390" s="679"/>
    </row>
    <row r="61391" spans="32:32" x14ac:dyDescent="0.2">
      <c r="AF61391" s="679"/>
    </row>
    <row r="61392" spans="32:32" x14ac:dyDescent="0.2">
      <c r="AF61392" s="679"/>
    </row>
    <row r="61393" spans="32:32" x14ac:dyDescent="0.2">
      <c r="AF61393" s="679"/>
    </row>
    <row r="61394" spans="32:32" x14ac:dyDescent="0.2">
      <c r="AF61394" s="679"/>
    </row>
    <row r="61395" spans="32:32" x14ac:dyDescent="0.2">
      <c r="AF61395" s="679"/>
    </row>
    <row r="61396" spans="32:32" x14ac:dyDescent="0.2">
      <c r="AF61396" s="679"/>
    </row>
    <row r="61397" spans="32:32" x14ac:dyDescent="0.2">
      <c r="AF61397" s="679"/>
    </row>
    <row r="61398" spans="32:32" x14ac:dyDescent="0.2">
      <c r="AF61398" s="679"/>
    </row>
    <row r="61399" spans="32:32" x14ac:dyDescent="0.2">
      <c r="AF61399" s="679"/>
    </row>
    <row r="61400" spans="32:32" x14ac:dyDescent="0.2">
      <c r="AF61400" s="679"/>
    </row>
    <row r="61401" spans="32:32" x14ac:dyDescent="0.2">
      <c r="AF61401" s="679"/>
    </row>
    <row r="61402" spans="32:32" x14ac:dyDescent="0.2">
      <c r="AF61402" s="679"/>
    </row>
    <row r="61403" spans="32:32" x14ac:dyDescent="0.2">
      <c r="AF61403" s="679"/>
    </row>
    <row r="61404" spans="32:32" x14ac:dyDescent="0.2">
      <c r="AF61404" s="679"/>
    </row>
    <row r="61405" spans="32:32" x14ac:dyDescent="0.2">
      <c r="AF61405" s="679"/>
    </row>
    <row r="61406" spans="32:32" x14ac:dyDescent="0.2">
      <c r="AF61406" s="679"/>
    </row>
    <row r="61407" spans="32:32" x14ac:dyDescent="0.2">
      <c r="AF61407" s="679"/>
    </row>
    <row r="61408" spans="32:32" x14ac:dyDescent="0.2">
      <c r="AF61408" s="679"/>
    </row>
    <row r="61409" spans="32:32" x14ac:dyDescent="0.2">
      <c r="AF61409" s="679"/>
    </row>
    <row r="61410" spans="32:32" x14ac:dyDescent="0.2">
      <c r="AF61410" s="679"/>
    </row>
    <row r="61411" spans="32:32" x14ac:dyDescent="0.2">
      <c r="AF61411" s="679"/>
    </row>
    <row r="61412" spans="32:32" x14ac:dyDescent="0.2">
      <c r="AF61412" s="679"/>
    </row>
    <row r="61413" spans="32:32" x14ac:dyDescent="0.2">
      <c r="AF61413" s="679"/>
    </row>
    <row r="61414" spans="32:32" x14ac:dyDescent="0.2">
      <c r="AF61414" s="679"/>
    </row>
    <row r="61415" spans="32:32" x14ac:dyDescent="0.2">
      <c r="AF61415" s="679"/>
    </row>
    <row r="61416" spans="32:32" x14ac:dyDescent="0.2">
      <c r="AF61416" s="679"/>
    </row>
    <row r="61417" spans="32:32" x14ac:dyDescent="0.2">
      <c r="AF61417" s="679"/>
    </row>
    <row r="61418" spans="32:32" x14ac:dyDescent="0.2">
      <c r="AF61418" s="679"/>
    </row>
    <row r="61419" spans="32:32" x14ac:dyDescent="0.2">
      <c r="AF61419" s="679"/>
    </row>
    <row r="61420" spans="32:32" x14ac:dyDescent="0.2">
      <c r="AF61420" s="679"/>
    </row>
    <row r="61421" spans="32:32" x14ac:dyDescent="0.2">
      <c r="AF61421" s="679"/>
    </row>
    <row r="61422" spans="32:32" x14ac:dyDescent="0.2">
      <c r="AF61422" s="679"/>
    </row>
    <row r="61423" spans="32:32" x14ac:dyDescent="0.2">
      <c r="AF61423" s="679"/>
    </row>
    <row r="61424" spans="32:32" x14ac:dyDescent="0.2">
      <c r="AF61424" s="679"/>
    </row>
    <row r="61425" spans="32:32" x14ac:dyDescent="0.2">
      <c r="AF61425" s="679"/>
    </row>
    <row r="61426" spans="32:32" x14ac:dyDescent="0.2">
      <c r="AF61426" s="679"/>
    </row>
    <row r="61427" spans="32:32" x14ac:dyDescent="0.2">
      <c r="AF61427" s="679"/>
    </row>
    <row r="61428" spans="32:32" x14ac:dyDescent="0.2">
      <c r="AF61428" s="679"/>
    </row>
    <row r="61429" spans="32:32" x14ac:dyDescent="0.2">
      <c r="AF61429" s="679"/>
    </row>
    <row r="61430" spans="32:32" x14ac:dyDescent="0.2">
      <c r="AF61430" s="679"/>
    </row>
    <row r="61431" spans="32:32" x14ac:dyDescent="0.2">
      <c r="AF61431" s="679"/>
    </row>
    <row r="61432" spans="32:32" x14ac:dyDescent="0.2">
      <c r="AF61432" s="679"/>
    </row>
    <row r="61433" spans="32:32" x14ac:dyDescent="0.2">
      <c r="AF61433" s="679"/>
    </row>
    <row r="61434" spans="32:32" x14ac:dyDescent="0.2">
      <c r="AF61434" s="679"/>
    </row>
    <row r="61435" spans="32:32" x14ac:dyDescent="0.2">
      <c r="AF61435" s="679"/>
    </row>
    <row r="61436" spans="32:32" x14ac:dyDescent="0.2">
      <c r="AF61436" s="679"/>
    </row>
    <row r="61437" spans="32:32" x14ac:dyDescent="0.2">
      <c r="AF61437" s="679"/>
    </row>
    <row r="61438" spans="32:32" x14ac:dyDescent="0.2">
      <c r="AF61438" s="679"/>
    </row>
    <row r="61439" spans="32:32" x14ac:dyDescent="0.2">
      <c r="AF61439" s="679"/>
    </row>
    <row r="61440" spans="32:32" x14ac:dyDescent="0.2">
      <c r="AF61440" s="679"/>
    </row>
    <row r="61441" spans="32:32" x14ac:dyDescent="0.2">
      <c r="AF61441" s="679"/>
    </row>
    <row r="61442" spans="32:32" x14ac:dyDescent="0.2">
      <c r="AF61442" s="679"/>
    </row>
    <row r="61443" spans="32:32" x14ac:dyDescent="0.2">
      <c r="AF61443" s="679"/>
    </row>
    <row r="61444" spans="32:32" x14ac:dyDescent="0.2">
      <c r="AF61444" s="679"/>
    </row>
    <row r="61445" spans="32:32" x14ac:dyDescent="0.2">
      <c r="AF61445" s="679"/>
    </row>
    <row r="61446" spans="32:32" x14ac:dyDescent="0.2">
      <c r="AF61446" s="679"/>
    </row>
    <row r="61447" spans="32:32" x14ac:dyDescent="0.2">
      <c r="AF61447" s="679"/>
    </row>
    <row r="61448" spans="32:32" x14ac:dyDescent="0.2">
      <c r="AF61448" s="679"/>
    </row>
    <row r="61449" spans="32:32" x14ac:dyDescent="0.2">
      <c r="AF61449" s="679"/>
    </row>
    <row r="61450" spans="32:32" x14ac:dyDescent="0.2">
      <c r="AF61450" s="679"/>
    </row>
    <row r="61451" spans="32:32" x14ac:dyDescent="0.2">
      <c r="AF61451" s="679"/>
    </row>
    <row r="61452" spans="32:32" x14ac:dyDescent="0.2">
      <c r="AF61452" s="679"/>
    </row>
    <row r="61453" spans="32:32" x14ac:dyDescent="0.2">
      <c r="AF61453" s="679"/>
    </row>
    <row r="61454" spans="32:32" x14ac:dyDescent="0.2">
      <c r="AF61454" s="679"/>
    </row>
    <row r="61455" spans="32:32" x14ac:dyDescent="0.2">
      <c r="AF61455" s="679"/>
    </row>
    <row r="61456" spans="32:32" x14ac:dyDescent="0.2">
      <c r="AF61456" s="679"/>
    </row>
    <row r="61457" spans="32:32" x14ac:dyDescent="0.2">
      <c r="AF61457" s="679"/>
    </row>
    <row r="61458" spans="32:32" x14ac:dyDescent="0.2">
      <c r="AF61458" s="679"/>
    </row>
    <row r="61459" spans="32:32" x14ac:dyDescent="0.2">
      <c r="AF61459" s="679"/>
    </row>
    <row r="61460" spans="32:32" x14ac:dyDescent="0.2">
      <c r="AF61460" s="679"/>
    </row>
    <row r="61461" spans="32:32" x14ac:dyDescent="0.2">
      <c r="AF61461" s="679"/>
    </row>
    <row r="61462" spans="32:32" x14ac:dyDescent="0.2">
      <c r="AF61462" s="679"/>
    </row>
    <row r="61463" spans="32:32" x14ac:dyDescent="0.2">
      <c r="AF61463" s="679"/>
    </row>
    <row r="61464" spans="32:32" x14ac:dyDescent="0.2">
      <c r="AF61464" s="679"/>
    </row>
    <row r="61465" spans="32:32" x14ac:dyDescent="0.2">
      <c r="AF61465" s="679"/>
    </row>
    <row r="61466" spans="32:32" x14ac:dyDescent="0.2">
      <c r="AF61466" s="679"/>
    </row>
    <row r="61467" spans="32:32" x14ac:dyDescent="0.2">
      <c r="AF61467" s="679"/>
    </row>
    <row r="61468" spans="32:32" x14ac:dyDescent="0.2">
      <c r="AF61468" s="679"/>
    </row>
    <row r="61469" spans="32:32" x14ac:dyDescent="0.2">
      <c r="AF61469" s="679"/>
    </row>
    <row r="61470" spans="32:32" x14ac:dyDescent="0.2">
      <c r="AF61470" s="679"/>
    </row>
    <row r="61471" spans="32:32" x14ac:dyDescent="0.2">
      <c r="AF61471" s="679"/>
    </row>
    <row r="61472" spans="32:32" x14ac:dyDescent="0.2">
      <c r="AF61472" s="679"/>
    </row>
    <row r="61473" spans="32:32" x14ac:dyDescent="0.2">
      <c r="AF61473" s="679"/>
    </row>
    <row r="61474" spans="32:32" x14ac:dyDescent="0.2">
      <c r="AF61474" s="679"/>
    </row>
    <row r="61475" spans="32:32" x14ac:dyDescent="0.2">
      <c r="AF61475" s="679"/>
    </row>
    <row r="61476" spans="32:32" x14ac:dyDescent="0.2">
      <c r="AF61476" s="679"/>
    </row>
    <row r="61477" spans="32:32" x14ac:dyDescent="0.2">
      <c r="AF61477" s="679"/>
    </row>
    <row r="61478" spans="32:32" x14ac:dyDescent="0.2">
      <c r="AF61478" s="679"/>
    </row>
    <row r="61479" spans="32:32" x14ac:dyDescent="0.2">
      <c r="AF61479" s="679"/>
    </row>
    <row r="61480" spans="32:32" x14ac:dyDescent="0.2">
      <c r="AF61480" s="679"/>
    </row>
    <row r="61481" spans="32:32" x14ac:dyDescent="0.2">
      <c r="AF61481" s="679"/>
    </row>
    <row r="61482" spans="32:32" x14ac:dyDescent="0.2">
      <c r="AF61482" s="679"/>
    </row>
    <row r="61483" spans="32:32" x14ac:dyDescent="0.2">
      <c r="AF61483" s="679"/>
    </row>
    <row r="61484" spans="32:32" x14ac:dyDescent="0.2">
      <c r="AF61484" s="679"/>
    </row>
    <row r="61485" spans="32:32" x14ac:dyDescent="0.2">
      <c r="AF61485" s="679"/>
    </row>
    <row r="61486" spans="32:32" x14ac:dyDescent="0.2">
      <c r="AF61486" s="679"/>
    </row>
    <row r="61487" spans="32:32" x14ac:dyDescent="0.2">
      <c r="AF61487" s="679"/>
    </row>
    <row r="61488" spans="32:32" x14ac:dyDescent="0.2">
      <c r="AF61488" s="679"/>
    </row>
    <row r="61489" spans="32:32" x14ac:dyDescent="0.2">
      <c r="AF61489" s="679"/>
    </row>
    <row r="61490" spans="32:32" x14ac:dyDescent="0.2">
      <c r="AF61490" s="679"/>
    </row>
    <row r="61491" spans="32:32" x14ac:dyDescent="0.2">
      <c r="AF61491" s="679"/>
    </row>
    <row r="61492" spans="32:32" x14ac:dyDescent="0.2">
      <c r="AF61492" s="679"/>
    </row>
    <row r="61493" spans="32:32" x14ac:dyDescent="0.2">
      <c r="AF61493" s="679"/>
    </row>
    <row r="61494" spans="32:32" x14ac:dyDescent="0.2">
      <c r="AF61494" s="679"/>
    </row>
    <row r="61495" spans="32:32" x14ac:dyDescent="0.2">
      <c r="AF61495" s="679"/>
    </row>
    <row r="61496" spans="32:32" x14ac:dyDescent="0.2">
      <c r="AF61496" s="679"/>
    </row>
    <row r="61497" spans="32:32" x14ac:dyDescent="0.2">
      <c r="AF61497" s="679"/>
    </row>
    <row r="61498" spans="32:32" x14ac:dyDescent="0.2">
      <c r="AF61498" s="679"/>
    </row>
    <row r="61499" spans="32:32" x14ac:dyDescent="0.2">
      <c r="AF61499" s="679"/>
    </row>
    <row r="61500" spans="32:32" x14ac:dyDescent="0.2">
      <c r="AF61500" s="679"/>
    </row>
    <row r="61501" spans="32:32" x14ac:dyDescent="0.2">
      <c r="AF61501" s="679"/>
    </row>
    <row r="61502" spans="32:32" x14ac:dyDescent="0.2">
      <c r="AF61502" s="679"/>
    </row>
    <row r="61503" spans="32:32" x14ac:dyDescent="0.2">
      <c r="AF61503" s="679"/>
    </row>
    <row r="61504" spans="32:32" x14ac:dyDescent="0.2">
      <c r="AF61504" s="679"/>
    </row>
    <row r="61505" spans="32:32" x14ac:dyDescent="0.2">
      <c r="AF61505" s="679"/>
    </row>
    <row r="61506" spans="32:32" x14ac:dyDescent="0.2">
      <c r="AF61506" s="679"/>
    </row>
    <row r="61507" spans="32:32" x14ac:dyDescent="0.2">
      <c r="AF61507" s="679"/>
    </row>
    <row r="61508" spans="32:32" x14ac:dyDescent="0.2">
      <c r="AF61508" s="679"/>
    </row>
    <row r="61509" spans="32:32" x14ac:dyDescent="0.2">
      <c r="AF61509" s="679"/>
    </row>
    <row r="61510" spans="32:32" x14ac:dyDescent="0.2">
      <c r="AF61510" s="679"/>
    </row>
    <row r="61511" spans="32:32" x14ac:dyDescent="0.2">
      <c r="AF61511" s="679"/>
    </row>
    <row r="61512" spans="32:32" x14ac:dyDescent="0.2">
      <c r="AF61512" s="679"/>
    </row>
    <row r="61513" spans="32:32" x14ac:dyDescent="0.2">
      <c r="AF61513" s="679"/>
    </row>
    <row r="61514" spans="32:32" x14ac:dyDescent="0.2">
      <c r="AF61514" s="679"/>
    </row>
    <row r="61515" spans="32:32" x14ac:dyDescent="0.2">
      <c r="AF61515" s="679"/>
    </row>
    <row r="61516" spans="32:32" x14ac:dyDescent="0.2">
      <c r="AF61516" s="679"/>
    </row>
    <row r="61517" spans="32:32" x14ac:dyDescent="0.2">
      <c r="AF61517" s="679"/>
    </row>
    <row r="61518" spans="32:32" x14ac:dyDescent="0.2">
      <c r="AF61518" s="679"/>
    </row>
    <row r="61519" spans="32:32" x14ac:dyDescent="0.2">
      <c r="AF61519" s="679"/>
    </row>
    <row r="61520" spans="32:32" x14ac:dyDescent="0.2">
      <c r="AF61520" s="679"/>
    </row>
    <row r="61521" spans="32:32" x14ac:dyDescent="0.2">
      <c r="AF61521" s="679"/>
    </row>
    <row r="61522" spans="32:32" x14ac:dyDescent="0.2">
      <c r="AF61522" s="679"/>
    </row>
    <row r="61523" spans="32:32" x14ac:dyDescent="0.2">
      <c r="AF61523" s="679"/>
    </row>
    <row r="61524" spans="32:32" x14ac:dyDescent="0.2">
      <c r="AF61524" s="679"/>
    </row>
    <row r="61525" spans="32:32" x14ac:dyDescent="0.2">
      <c r="AF61525" s="679"/>
    </row>
    <row r="61526" spans="32:32" x14ac:dyDescent="0.2">
      <c r="AF61526" s="679"/>
    </row>
    <row r="61527" spans="32:32" x14ac:dyDescent="0.2">
      <c r="AF61527" s="679"/>
    </row>
    <row r="61528" spans="32:32" x14ac:dyDescent="0.2">
      <c r="AF61528" s="679"/>
    </row>
    <row r="61529" spans="32:32" x14ac:dyDescent="0.2">
      <c r="AF61529" s="679"/>
    </row>
    <row r="61530" spans="32:32" x14ac:dyDescent="0.2">
      <c r="AF61530" s="679"/>
    </row>
    <row r="61531" spans="32:32" x14ac:dyDescent="0.2">
      <c r="AF61531" s="679"/>
    </row>
    <row r="61532" spans="32:32" x14ac:dyDescent="0.2">
      <c r="AF61532" s="679"/>
    </row>
    <row r="61533" spans="32:32" x14ac:dyDescent="0.2">
      <c r="AF61533" s="679"/>
    </row>
    <row r="61534" spans="32:32" x14ac:dyDescent="0.2">
      <c r="AF61534" s="679"/>
    </row>
    <row r="61535" spans="32:32" x14ac:dyDescent="0.2">
      <c r="AF61535" s="679"/>
    </row>
    <row r="61536" spans="32:32" x14ac:dyDescent="0.2">
      <c r="AF61536" s="679"/>
    </row>
    <row r="61537" spans="32:32" x14ac:dyDescent="0.2">
      <c r="AF61537" s="679"/>
    </row>
    <row r="61538" spans="32:32" x14ac:dyDescent="0.2">
      <c r="AF61538" s="679"/>
    </row>
    <row r="61539" spans="32:32" x14ac:dyDescent="0.2">
      <c r="AF61539" s="679"/>
    </row>
    <row r="61540" spans="32:32" x14ac:dyDescent="0.2">
      <c r="AF61540" s="679"/>
    </row>
    <row r="61541" spans="32:32" x14ac:dyDescent="0.2">
      <c r="AF61541" s="679"/>
    </row>
    <row r="61542" spans="32:32" x14ac:dyDescent="0.2">
      <c r="AF61542" s="679"/>
    </row>
    <row r="61543" spans="32:32" x14ac:dyDescent="0.2">
      <c r="AF61543" s="679"/>
    </row>
    <row r="61544" spans="32:32" x14ac:dyDescent="0.2">
      <c r="AF61544" s="679"/>
    </row>
    <row r="61545" spans="32:32" x14ac:dyDescent="0.2">
      <c r="AF61545" s="679"/>
    </row>
    <row r="61546" spans="32:32" x14ac:dyDescent="0.2">
      <c r="AF61546" s="679"/>
    </row>
    <row r="61547" spans="32:32" x14ac:dyDescent="0.2">
      <c r="AF61547" s="679"/>
    </row>
    <row r="61548" spans="32:32" x14ac:dyDescent="0.2">
      <c r="AF61548" s="679"/>
    </row>
    <row r="61549" spans="32:32" x14ac:dyDescent="0.2">
      <c r="AF61549" s="679"/>
    </row>
    <row r="61550" spans="32:32" x14ac:dyDescent="0.2">
      <c r="AF61550" s="679"/>
    </row>
    <row r="61551" spans="32:32" x14ac:dyDescent="0.2">
      <c r="AF61551" s="679"/>
    </row>
    <row r="61552" spans="32:32" x14ac:dyDescent="0.2">
      <c r="AF61552" s="679"/>
    </row>
    <row r="61553" spans="32:32" x14ac:dyDescent="0.2">
      <c r="AF61553" s="679"/>
    </row>
    <row r="61554" spans="32:32" x14ac:dyDescent="0.2">
      <c r="AF61554" s="679"/>
    </row>
    <row r="61555" spans="32:32" x14ac:dyDescent="0.2">
      <c r="AF61555" s="679"/>
    </row>
    <row r="61556" spans="32:32" x14ac:dyDescent="0.2">
      <c r="AF61556" s="679"/>
    </row>
    <row r="61557" spans="32:32" x14ac:dyDescent="0.2">
      <c r="AF61557" s="679"/>
    </row>
    <row r="61558" spans="32:32" x14ac:dyDescent="0.2">
      <c r="AF61558" s="679"/>
    </row>
    <row r="61559" spans="32:32" x14ac:dyDescent="0.2">
      <c r="AF61559" s="679"/>
    </row>
    <row r="61560" spans="32:32" x14ac:dyDescent="0.2">
      <c r="AF61560" s="679"/>
    </row>
    <row r="61561" spans="32:32" x14ac:dyDescent="0.2">
      <c r="AF61561" s="679"/>
    </row>
    <row r="61562" spans="32:32" x14ac:dyDescent="0.2">
      <c r="AF61562" s="679"/>
    </row>
    <row r="61563" spans="32:32" x14ac:dyDescent="0.2">
      <c r="AF61563" s="679"/>
    </row>
    <row r="61564" spans="32:32" x14ac:dyDescent="0.2">
      <c r="AF61564" s="679"/>
    </row>
    <row r="61565" spans="32:32" x14ac:dyDescent="0.2">
      <c r="AF61565" s="679"/>
    </row>
    <row r="61566" spans="32:32" x14ac:dyDescent="0.2">
      <c r="AF61566" s="679"/>
    </row>
    <row r="61567" spans="32:32" x14ac:dyDescent="0.2">
      <c r="AF61567" s="679"/>
    </row>
    <row r="61568" spans="32:32" x14ac:dyDescent="0.2">
      <c r="AF61568" s="679"/>
    </row>
    <row r="61569" spans="32:32" x14ac:dyDescent="0.2">
      <c r="AF61569" s="679"/>
    </row>
    <row r="61570" spans="32:32" x14ac:dyDescent="0.2">
      <c r="AF61570" s="679"/>
    </row>
    <row r="61571" spans="32:32" x14ac:dyDescent="0.2">
      <c r="AF61571" s="679"/>
    </row>
    <row r="61572" spans="32:32" x14ac:dyDescent="0.2">
      <c r="AF61572" s="679"/>
    </row>
    <row r="61573" spans="32:32" x14ac:dyDescent="0.2">
      <c r="AF61573" s="679"/>
    </row>
    <row r="61574" spans="32:32" x14ac:dyDescent="0.2">
      <c r="AF61574" s="679"/>
    </row>
    <row r="61575" spans="32:32" x14ac:dyDescent="0.2">
      <c r="AF61575" s="679"/>
    </row>
    <row r="61576" spans="32:32" x14ac:dyDescent="0.2">
      <c r="AF61576" s="679"/>
    </row>
    <row r="61577" spans="32:32" x14ac:dyDescent="0.2">
      <c r="AF61577" s="679"/>
    </row>
    <row r="61578" spans="32:32" x14ac:dyDescent="0.2">
      <c r="AF61578" s="679"/>
    </row>
    <row r="61579" spans="32:32" x14ac:dyDescent="0.2">
      <c r="AF61579" s="679"/>
    </row>
    <row r="61580" spans="32:32" x14ac:dyDescent="0.2">
      <c r="AF61580" s="679"/>
    </row>
    <row r="61581" spans="32:32" x14ac:dyDescent="0.2">
      <c r="AF61581" s="679"/>
    </row>
    <row r="61582" spans="32:32" x14ac:dyDescent="0.2">
      <c r="AF61582" s="679"/>
    </row>
    <row r="61583" spans="32:32" x14ac:dyDescent="0.2">
      <c r="AF61583" s="679"/>
    </row>
    <row r="61584" spans="32:32" x14ac:dyDescent="0.2">
      <c r="AF61584" s="679"/>
    </row>
    <row r="61585" spans="32:32" x14ac:dyDescent="0.2">
      <c r="AF61585" s="679"/>
    </row>
    <row r="61586" spans="32:32" x14ac:dyDescent="0.2">
      <c r="AF61586" s="679"/>
    </row>
    <row r="61587" spans="32:32" x14ac:dyDescent="0.2">
      <c r="AF61587" s="679"/>
    </row>
    <row r="61588" spans="32:32" x14ac:dyDescent="0.2">
      <c r="AF61588" s="679"/>
    </row>
    <row r="61589" spans="32:32" x14ac:dyDescent="0.2">
      <c r="AF61589" s="679"/>
    </row>
    <row r="61590" spans="32:32" x14ac:dyDescent="0.2">
      <c r="AF61590" s="679"/>
    </row>
    <row r="61591" spans="32:32" x14ac:dyDescent="0.2">
      <c r="AF61591" s="679"/>
    </row>
    <row r="61592" spans="32:32" x14ac:dyDescent="0.2">
      <c r="AF61592" s="679"/>
    </row>
    <row r="61593" spans="32:32" x14ac:dyDescent="0.2">
      <c r="AF61593" s="679"/>
    </row>
    <row r="61594" spans="32:32" x14ac:dyDescent="0.2">
      <c r="AF61594" s="679"/>
    </row>
    <row r="61595" spans="32:32" x14ac:dyDescent="0.2">
      <c r="AF61595" s="679"/>
    </row>
    <row r="61596" spans="32:32" x14ac:dyDescent="0.2">
      <c r="AF61596" s="679"/>
    </row>
    <row r="61597" spans="32:32" x14ac:dyDescent="0.2">
      <c r="AF61597" s="679"/>
    </row>
    <row r="61598" spans="32:32" x14ac:dyDescent="0.2">
      <c r="AF61598" s="679"/>
    </row>
    <row r="61599" spans="32:32" x14ac:dyDescent="0.2">
      <c r="AF61599" s="679"/>
    </row>
    <row r="61600" spans="32:32" x14ac:dyDescent="0.2">
      <c r="AF61600" s="679"/>
    </row>
    <row r="61601" spans="32:32" x14ac:dyDescent="0.2">
      <c r="AF61601" s="679"/>
    </row>
    <row r="61602" spans="32:32" x14ac:dyDescent="0.2">
      <c r="AF61602" s="679"/>
    </row>
    <row r="61603" spans="32:32" x14ac:dyDescent="0.2">
      <c r="AF61603" s="679"/>
    </row>
    <row r="61604" spans="32:32" x14ac:dyDescent="0.2">
      <c r="AF61604" s="679"/>
    </row>
    <row r="61605" spans="32:32" x14ac:dyDescent="0.2">
      <c r="AF61605" s="679"/>
    </row>
    <row r="61606" spans="32:32" x14ac:dyDescent="0.2">
      <c r="AF61606" s="679"/>
    </row>
    <row r="61607" spans="32:32" x14ac:dyDescent="0.2">
      <c r="AF61607" s="679"/>
    </row>
    <row r="61608" spans="32:32" x14ac:dyDescent="0.2">
      <c r="AF61608" s="679"/>
    </row>
    <row r="61609" spans="32:32" x14ac:dyDescent="0.2">
      <c r="AF61609" s="679"/>
    </row>
    <row r="61610" spans="32:32" x14ac:dyDescent="0.2">
      <c r="AF61610" s="679"/>
    </row>
    <row r="61611" spans="32:32" x14ac:dyDescent="0.2">
      <c r="AF61611" s="679"/>
    </row>
    <row r="61612" spans="32:32" x14ac:dyDescent="0.2">
      <c r="AF61612" s="679"/>
    </row>
    <row r="61613" spans="32:32" x14ac:dyDescent="0.2">
      <c r="AF61613" s="679"/>
    </row>
    <row r="61614" spans="32:32" x14ac:dyDescent="0.2">
      <c r="AF61614" s="679"/>
    </row>
    <row r="61615" spans="32:32" x14ac:dyDescent="0.2">
      <c r="AF61615" s="679"/>
    </row>
    <row r="61616" spans="32:32" x14ac:dyDescent="0.2">
      <c r="AF61616" s="679"/>
    </row>
    <row r="61617" spans="32:32" x14ac:dyDescent="0.2">
      <c r="AF61617" s="679"/>
    </row>
    <row r="61618" spans="32:32" x14ac:dyDescent="0.2">
      <c r="AF61618" s="679"/>
    </row>
    <row r="61619" spans="32:32" x14ac:dyDescent="0.2">
      <c r="AF61619" s="679"/>
    </row>
    <row r="61620" spans="32:32" x14ac:dyDescent="0.2">
      <c r="AF61620" s="679"/>
    </row>
    <row r="61621" spans="32:32" x14ac:dyDescent="0.2">
      <c r="AF61621" s="679"/>
    </row>
    <row r="61622" spans="32:32" x14ac:dyDescent="0.2">
      <c r="AF61622" s="679"/>
    </row>
    <row r="61623" spans="32:32" x14ac:dyDescent="0.2">
      <c r="AF61623" s="679"/>
    </row>
    <row r="61624" spans="32:32" x14ac:dyDescent="0.2">
      <c r="AF61624" s="679"/>
    </row>
    <row r="61625" spans="32:32" x14ac:dyDescent="0.2">
      <c r="AF61625" s="679"/>
    </row>
    <row r="61626" spans="32:32" x14ac:dyDescent="0.2">
      <c r="AF61626" s="679"/>
    </row>
    <row r="61627" spans="32:32" x14ac:dyDescent="0.2">
      <c r="AF61627" s="679"/>
    </row>
    <row r="61628" spans="32:32" x14ac:dyDescent="0.2">
      <c r="AF61628" s="679"/>
    </row>
    <row r="61629" spans="32:32" x14ac:dyDescent="0.2">
      <c r="AF61629" s="679"/>
    </row>
    <row r="61630" spans="32:32" x14ac:dyDescent="0.2">
      <c r="AF61630" s="679"/>
    </row>
    <row r="61631" spans="32:32" x14ac:dyDescent="0.2">
      <c r="AF61631" s="679"/>
    </row>
    <row r="61632" spans="32:32" x14ac:dyDescent="0.2">
      <c r="AF61632" s="679"/>
    </row>
    <row r="61633" spans="32:32" x14ac:dyDescent="0.2">
      <c r="AF61633" s="679"/>
    </row>
    <row r="61634" spans="32:32" x14ac:dyDescent="0.2">
      <c r="AF61634" s="679"/>
    </row>
    <row r="61635" spans="32:32" x14ac:dyDescent="0.2">
      <c r="AF61635" s="679"/>
    </row>
    <row r="61636" spans="32:32" x14ac:dyDescent="0.2">
      <c r="AF61636" s="679"/>
    </row>
    <row r="61637" spans="32:32" x14ac:dyDescent="0.2">
      <c r="AF61637" s="679"/>
    </row>
    <row r="61638" spans="32:32" x14ac:dyDescent="0.2">
      <c r="AF61638" s="679"/>
    </row>
    <row r="61639" spans="32:32" x14ac:dyDescent="0.2">
      <c r="AF61639" s="679"/>
    </row>
    <row r="61640" spans="32:32" x14ac:dyDescent="0.2">
      <c r="AF61640" s="679"/>
    </row>
    <row r="61641" spans="32:32" x14ac:dyDescent="0.2">
      <c r="AF61641" s="679"/>
    </row>
    <row r="61642" spans="32:32" x14ac:dyDescent="0.2">
      <c r="AF61642" s="679"/>
    </row>
    <row r="61643" spans="32:32" x14ac:dyDescent="0.2">
      <c r="AF61643" s="679"/>
    </row>
    <row r="61644" spans="32:32" x14ac:dyDescent="0.2">
      <c r="AF61644" s="679"/>
    </row>
    <row r="61645" spans="32:32" x14ac:dyDescent="0.2">
      <c r="AF61645" s="679"/>
    </row>
    <row r="61646" spans="32:32" x14ac:dyDescent="0.2">
      <c r="AF61646" s="679"/>
    </row>
    <row r="61647" spans="32:32" x14ac:dyDescent="0.2">
      <c r="AF61647" s="679"/>
    </row>
    <row r="61648" spans="32:32" x14ac:dyDescent="0.2">
      <c r="AF61648" s="679"/>
    </row>
    <row r="61649" spans="32:32" x14ac:dyDescent="0.2">
      <c r="AF61649" s="679"/>
    </row>
    <row r="61650" spans="32:32" x14ac:dyDescent="0.2">
      <c r="AF61650" s="679"/>
    </row>
    <row r="61651" spans="32:32" x14ac:dyDescent="0.2">
      <c r="AF61651" s="679"/>
    </row>
    <row r="61652" spans="32:32" x14ac:dyDescent="0.2">
      <c r="AF61652" s="679"/>
    </row>
    <row r="61653" spans="32:32" x14ac:dyDescent="0.2">
      <c r="AF61653" s="679"/>
    </row>
    <row r="61654" spans="32:32" x14ac:dyDescent="0.2">
      <c r="AF61654" s="679"/>
    </row>
    <row r="61655" spans="32:32" x14ac:dyDescent="0.2">
      <c r="AF61655" s="679"/>
    </row>
    <row r="61656" spans="32:32" x14ac:dyDescent="0.2">
      <c r="AF61656" s="679"/>
    </row>
    <row r="61657" spans="32:32" x14ac:dyDescent="0.2">
      <c r="AF61657" s="679"/>
    </row>
    <row r="61658" spans="32:32" x14ac:dyDescent="0.2">
      <c r="AF61658" s="679"/>
    </row>
    <row r="61659" spans="32:32" x14ac:dyDescent="0.2">
      <c r="AF61659" s="679"/>
    </row>
    <row r="61660" spans="32:32" x14ac:dyDescent="0.2">
      <c r="AF61660" s="679"/>
    </row>
    <row r="61661" spans="32:32" x14ac:dyDescent="0.2">
      <c r="AF61661" s="679"/>
    </row>
    <row r="61662" spans="32:32" x14ac:dyDescent="0.2">
      <c r="AF61662" s="679"/>
    </row>
    <row r="61663" spans="32:32" x14ac:dyDescent="0.2">
      <c r="AF61663" s="679"/>
    </row>
    <row r="61664" spans="32:32" x14ac:dyDescent="0.2">
      <c r="AF61664" s="679"/>
    </row>
    <row r="61665" spans="32:32" x14ac:dyDescent="0.2">
      <c r="AF61665" s="679"/>
    </row>
    <row r="61666" spans="32:32" x14ac:dyDescent="0.2">
      <c r="AF61666" s="679"/>
    </row>
    <row r="61667" spans="32:32" x14ac:dyDescent="0.2">
      <c r="AF61667" s="679"/>
    </row>
    <row r="61668" spans="32:32" x14ac:dyDescent="0.2">
      <c r="AF61668" s="679"/>
    </row>
    <row r="61669" spans="32:32" x14ac:dyDescent="0.2">
      <c r="AF61669" s="679"/>
    </row>
    <row r="61670" spans="32:32" x14ac:dyDescent="0.2">
      <c r="AF61670" s="679"/>
    </row>
    <row r="61671" spans="32:32" x14ac:dyDescent="0.2">
      <c r="AF61671" s="679"/>
    </row>
    <row r="61672" spans="32:32" x14ac:dyDescent="0.2">
      <c r="AF61672" s="679"/>
    </row>
    <row r="61673" spans="32:32" x14ac:dyDescent="0.2">
      <c r="AF61673" s="679"/>
    </row>
    <row r="61674" spans="32:32" x14ac:dyDescent="0.2">
      <c r="AF61674" s="679"/>
    </row>
    <row r="61675" spans="32:32" x14ac:dyDescent="0.2">
      <c r="AF61675" s="679"/>
    </row>
    <row r="61676" spans="32:32" x14ac:dyDescent="0.2">
      <c r="AF61676" s="679"/>
    </row>
    <row r="61677" spans="32:32" x14ac:dyDescent="0.2">
      <c r="AF61677" s="679"/>
    </row>
    <row r="61678" spans="32:32" x14ac:dyDescent="0.2">
      <c r="AF61678" s="679"/>
    </row>
    <row r="61679" spans="32:32" x14ac:dyDescent="0.2">
      <c r="AF61679" s="679"/>
    </row>
    <row r="61680" spans="32:32" x14ac:dyDescent="0.2">
      <c r="AF61680" s="679"/>
    </row>
    <row r="61681" spans="32:32" x14ac:dyDescent="0.2">
      <c r="AF61681" s="679"/>
    </row>
    <row r="61682" spans="32:32" x14ac:dyDescent="0.2">
      <c r="AF61682" s="679"/>
    </row>
    <row r="61683" spans="32:32" x14ac:dyDescent="0.2">
      <c r="AF61683" s="679"/>
    </row>
    <row r="61684" spans="32:32" x14ac:dyDescent="0.2">
      <c r="AF61684" s="679"/>
    </row>
    <row r="61685" spans="32:32" x14ac:dyDescent="0.2">
      <c r="AF61685" s="679"/>
    </row>
    <row r="61686" spans="32:32" x14ac:dyDescent="0.2">
      <c r="AF61686" s="679"/>
    </row>
    <row r="61687" spans="32:32" x14ac:dyDescent="0.2">
      <c r="AF61687" s="679"/>
    </row>
    <row r="61688" spans="32:32" x14ac:dyDescent="0.2">
      <c r="AF61688" s="679"/>
    </row>
    <row r="61689" spans="32:32" x14ac:dyDescent="0.2">
      <c r="AF61689" s="679"/>
    </row>
    <row r="61690" spans="32:32" x14ac:dyDescent="0.2">
      <c r="AF61690" s="679"/>
    </row>
    <row r="61691" spans="32:32" x14ac:dyDescent="0.2">
      <c r="AF61691" s="679"/>
    </row>
    <row r="61692" spans="32:32" x14ac:dyDescent="0.2">
      <c r="AF61692" s="679"/>
    </row>
    <row r="61693" spans="32:32" x14ac:dyDescent="0.2">
      <c r="AF61693" s="679"/>
    </row>
    <row r="61694" spans="32:32" x14ac:dyDescent="0.2">
      <c r="AF61694" s="679"/>
    </row>
    <row r="61695" spans="32:32" x14ac:dyDescent="0.2">
      <c r="AF61695" s="679"/>
    </row>
    <row r="61696" spans="32:32" x14ac:dyDescent="0.2">
      <c r="AF61696" s="679"/>
    </row>
    <row r="61697" spans="32:32" x14ac:dyDescent="0.2">
      <c r="AF61697" s="679"/>
    </row>
    <row r="61698" spans="32:32" x14ac:dyDescent="0.2">
      <c r="AF61698" s="679"/>
    </row>
    <row r="61699" spans="32:32" x14ac:dyDescent="0.2">
      <c r="AF61699" s="679"/>
    </row>
    <row r="61700" spans="32:32" x14ac:dyDescent="0.2">
      <c r="AF61700" s="679"/>
    </row>
    <row r="61701" spans="32:32" x14ac:dyDescent="0.2">
      <c r="AF61701" s="679"/>
    </row>
    <row r="61702" spans="32:32" x14ac:dyDescent="0.2">
      <c r="AF61702" s="679"/>
    </row>
    <row r="61703" spans="32:32" x14ac:dyDescent="0.2">
      <c r="AF61703" s="679"/>
    </row>
    <row r="61704" spans="32:32" x14ac:dyDescent="0.2">
      <c r="AF61704" s="679"/>
    </row>
    <row r="61705" spans="32:32" x14ac:dyDescent="0.2">
      <c r="AF61705" s="679"/>
    </row>
    <row r="61706" spans="32:32" x14ac:dyDescent="0.2">
      <c r="AF61706" s="679"/>
    </row>
    <row r="61707" spans="32:32" x14ac:dyDescent="0.2">
      <c r="AF61707" s="679"/>
    </row>
    <row r="61708" spans="32:32" x14ac:dyDescent="0.2">
      <c r="AF61708" s="679"/>
    </row>
    <row r="61709" spans="32:32" x14ac:dyDescent="0.2">
      <c r="AF61709" s="679"/>
    </row>
    <row r="61710" spans="32:32" x14ac:dyDescent="0.2">
      <c r="AF61710" s="679"/>
    </row>
    <row r="61711" spans="32:32" x14ac:dyDescent="0.2">
      <c r="AF61711" s="679"/>
    </row>
    <row r="61712" spans="32:32" x14ac:dyDescent="0.2">
      <c r="AF61712" s="679"/>
    </row>
    <row r="61713" spans="32:32" x14ac:dyDescent="0.2">
      <c r="AF61713" s="679"/>
    </row>
    <row r="61714" spans="32:32" x14ac:dyDescent="0.2">
      <c r="AF61714" s="679"/>
    </row>
    <row r="61715" spans="32:32" x14ac:dyDescent="0.2">
      <c r="AF61715" s="679"/>
    </row>
    <row r="61716" spans="32:32" x14ac:dyDescent="0.2">
      <c r="AF61716" s="679"/>
    </row>
    <row r="61717" spans="32:32" x14ac:dyDescent="0.2">
      <c r="AF61717" s="679"/>
    </row>
    <row r="61718" spans="32:32" x14ac:dyDescent="0.2">
      <c r="AF61718" s="679"/>
    </row>
    <row r="61719" spans="32:32" x14ac:dyDescent="0.2">
      <c r="AF61719" s="679"/>
    </row>
    <row r="61720" spans="32:32" x14ac:dyDescent="0.2">
      <c r="AF61720" s="679"/>
    </row>
    <row r="61721" spans="32:32" x14ac:dyDescent="0.2">
      <c r="AF61721" s="679"/>
    </row>
    <row r="61722" spans="32:32" x14ac:dyDescent="0.2">
      <c r="AF61722" s="679"/>
    </row>
    <row r="61723" spans="32:32" x14ac:dyDescent="0.2">
      <c r="AF61723" s="679"/>
    </row>
    <row r="61724" spans="32:32" x14ac:dyDescent="0.2">
      <c r="AF61724" s="679"/>
    </row>
    <row r="61725" spans="32:32" x14ac:dyDescent="0.2">
      <c r="AF61725" s="679"/>
    </row>
    <row r="61726" spans="32:32" x14ac:dyDescent="0.2">
      <c r="AF61726" s="679"/>
    </row>
    <row r="61727" spans="32:32" x14ac:dyDescent="0.2">
      <c r="AF61727" s="679"/>
    </row>
    <row r="61728" spans="32:32" x14ac:dyDescent="0.2">
      <c r="AF61728" s="679"/>
    </row>
    <row r="61729" spans="32:32" x14ac:dyDescent="0.2">
      <c r="AF61729" s="679"/>
    </row>
    <row r="61730" spans="32:32" x14ac:dyDescent="0.2">
      <c r="AF61730" s="679"/>
    </row>
    <row r="61731" spans="32:32" x14ac:dyDescent="0.2">
      <c r="AF61731" s="679"/>
    </row>
    <row r="61732" spans="32:32" x14ac:dyDescent="0.2">
      <c r="AF61732" s="679"/>
    </row>
    <row r="61733" spans="32:32" x14ac:dyDescent="0.2">
      <c r="AF61733" s="679"/>
    </row>
    <row r="61734" spans="32:32" x14ac:dyDescent="0.2">
      <c r="AF61734" s="679"/>
    </row>
    <row r="61735" spans="32:32" x14ac:dyDescent="0.2">
      <c r="AF61735" s="679"/>
    </row>
    <row r="61736" spans="32:32" x14ac:dyDescent="0.2">
      <c r="AF61736" s="679"/>
    </row>
    <row r="61737" spans="32:32" x14ac:dyDescent="0.2">
      <c r="AF61737" s="679"/>
    </row>
    <row r="61738" spans="32:32" x14ac:dyDescent="0.2">
      <c r="AF61738" s="679"/>
    </row>
    <row r="61739" spans="32:32" x14ac:dyDescent="0.2">
      <c r="AF61739" s="679"/>
    </row>
    <row r="61740" spans="32:32" x14ac:dyDescent="0.2">
      <c r="AF61740" s="679"/>
    </row>
    <row r="61741" spans="32:32" x14ac:dyDescent="0.2">
      <c r="AF61741" s="679"/>
    </row>
    <row r="61742" spans="32:32" x14ac:dyDescent="0.2">
      <c r="AF61742" s="679"/>
    </row>
    <row r="61743" spans="32:32" x14ac:dyDescent="0.2">
      <c r="AF61743" s="679"/>
    </row>
    <row r="61744" spans="32:32" x14ac:dyDescent="0.2">
      <c r="AF61744" s="679"/>
    </row>
    <row r="61745" spans="32:32" x14ac:dyDescent="0.2">
      <c r="AF61745" s="679"/>
    </row>
    <row r="61746" spans="32:32" x14ac:dyDescent="0.2">
      <c r="AF61746" s="679"/>
    </row>
    <row r="61747" spans="32:32" x14ac:dyDescent="0.2">
      <c r="AF61747" s="679"/>
    </row>
    <row r="61748" spans="32:32" x14ac:dyDescent="0.2">
      <c r="AF61748" s="679"/>
    </row>
    <row r="61749" spans="32:32" x14ac:dyDescent="0.2">
      <c r="AF61749" s="679"/>
    </row>
    <row r="61750" spans="32:32" x14ac:dyDescent="0.2">
      <c r="AF61750" s="679"/>
    </row>
    <row r="61751" spans="32:32" x14ac:dyDescent="0.2">
      <c r="AF61751" s="679"/>
    </row>
    <row r="61752" spans="32:32" x14ac:dyDescent="0.2">
      <c r="AF61752" s="679"/>
    </row>
    <row r="61753" spans="32:32" x14ac:dyDescent="0.2">
      <c r="AF61753" s="679"/>
    </row>
    <row r="61754" spans="32:32" x14ac:dyDescent="0.2">
      <c r="AF61754" s="679"/>
    </row>
    <row r="61755" spans="32:32" x14ac:dyDescent="0.2">
      <c r="AF61755" s="679"/>
    </row>
    <row r="61756" spans="32:32" x14ac:dyDescent="0.2">
      <c r="AF61756" s="679"/>
    </row>
    <row r="61757" spans="32:32" x14ac:dyDescent="0.2">
      <c r="AF61757" s="679"/>
    </row>
    <row r="61758" spans="32:32" x14ac:dyDescent="0.2">
      <c r="AF61758" s="679"/>
    </row>
    <row r="61759" spans="32:32" x14ac:dyDescent="0.2">
      <c r="AF61759" s="679"/>
    </row>
    <row r="61760" spans="32:32" x14ac:dyDescent="0.2">
      <c r="AF61760" s="679"/>
    </row>
    <row r="61761" spans="32:32" x14ac:dyDescent="0.2">
      <c r="AF61761" s="679"/>
    </row>
    <row r="61762" spans="32:32" x14ac:dyDescent="0.2">
      <c r="AF61762" s="679"/>
    </row>
    <row r="61763" spans="32:32" x14ac:dyDescent="0.2">
      <c r="AF61763" s="679"/>
    </row>
    <row r="61764" spans="32:32" x14ac:dyDescent="0.2">
      <c r="AF61764" s="679"/>
    </row>
    <row r="61765" spans="32:32" x14ac:dyDescent="0.2">
      <c r="AF61765" s="679"/>
    </row>
    <row r="61766" spans="32:32" x14ac:dyDescent="0.2">
      <c r="AF61766" s="679"/>
    </row>
    <row r="61767" spans="32:32" x14ac:dyDescent="0.2">
      <c r="AF61767" s="679"/>
    </row>
    <row r="61768" spans="32:32" x14ac:dyDescent="0.2">
      <c r="AF61768" s="679"/>
    </row>
    <row r="61769" spans="32:32" x14ac:dyDescent="0.2">
      <c r="AF61769" s="679"/>
    </row>
    <row r="61770" spans="32:32" x14ac:dyDescent="0.2">
      <c r="AF61770" s="679"/>
    </row>
    <row r="61771" spans="32:32" x14ac:dyDescent="0.2">
      <c r="AF61771" s="679"/>
    </row>
    <row r="61772" spans="32:32" x14ac:dyDescent="0.2">
      <c r="AF61772" s="679"/>
    </row>
    <row r="61773" spans="32:32" x14ac:dyDescent="0.2">
      <c r="AF61773" s="679"/>
    </row>
    <row r="61774" spans="32:32" x14ac:dyDescent="0.2">
      <c r="AF61774" s="679"/>
    </row>
    <row r="61775" spans="32:32" x14ac:dyDescent="0.2">
      <c r="AF61775" s="679"/>
    </row>
    <row r="61776" spans="32:32" x14ac:dyDescent="0.2">
      <c r="AF61776" s="679"/>
    </row>
    <row r="61777" spans="32:32" x14ac:dyDescent="0.2">
      <c r="AF61777" s="679"/>
    </row>
    <row r="61778" spans="32:32" x14ac:dyDescent="0.2">
      <c r="AF61778" s="679"/>
    </row>
    <row r="61779" spans="32:32" x14ac:dyDescent="0.2">
      <c r="AF61779" s="679"/>
    </row>
    <row r="61780" spans="32:32" x14ac:dyDescent="0.2">
      <c r="AF61780" s="679"/>
    </row>
    <row r="61781" spans="32:32" x14ac:dyDescent="0.2">
      <c r="AF61781" s="679"/>
    </row>
    <row r="61782" spans="32:32" x14ac:dyDescent="0.2">
      <c r="AF61782" s="679"/>
    </row>
    <row r="61783" spans="32:32" x14ac:dyDescent="0.2">
      <c r="AF61783" s="679"/>
    </row>
    <row r="61784" spans="32:32" x14ac:dyDescent="0.2">
      <c r="AF61784" s="679"/>
    </row>
    <row r="61785" spans="32:32" x14ac:dyDescent="0.2">
      <c r="AF61785" s="679"/>
    </row>
    <row r="61786" spans="32:32" x14ac:dyDescent="0.2">
      <c r="AF61786" s="679"/>
    </row>
    <row r="61787" spans="32:32" x14ac:dyDescent="0.2">
      <c r="AF61787" s="679"/>
    </row>
    <row r="61788" spans="32:32" x14ac:dyDescent="0.2">
      <c r="AF61788" s="679"/>
    </row>
    <row r="61789" spans="32:32" x14ac:dyDescent="0.2">
      <c r="AF61789" s="679"/>
    </row>
    <row r="61790" spans="32:32" x14ac:dyDescent="0.2">
      <c r="AF61790" s="679"/>
    </row>
    <row r="61791" spans="32:32" x14ac:dyDescent="0.2">
      <c r="AF61791" s="679"/>
    </row>
    <row r="61792" spans="32:32" x14ac:dyDescent="0.2">
      <c r="AF61792" s="679"/>
    </row>
    <row r="61793" spans="32:32" x14ac:dyDescent="0.2">
      <c r="AF61793" s="679"/>
    </row>
    <row r="61794" spans="32:32" x14ac:dyDescent="0.2">
      <c r="AF61794" s="679"/>
    </row>
    <row r="61795" spans="32:32" x14ac:dyDescent="0.2">
      <c r="AF61795" s="679"/>
    </row>
    <row r="61796" spans="32:32" x14ac:dyDescent="0.2">
      <c r="AF61796" s="679"/>
    </row>
    <row r="61797" spans="32:32" x14ac:dyDescent="0.2">
      <c r="AF61797" s="679"/>
    </row>
    <row r="61798" spans="32:32" x14ac:dyDescent="0.2">
      <c r="AF61798" s="679"/>
    </row>
    <row r="61799" spans="32:32" x14ac:dyDescent="0.2">
      <c r="AF61799" s="679"/>
    </row>
    <row r="61800" spans="32:32" x14ac:dyDescent="0.2">
      <c r="AF61800" s="679"/>
    </row>
    <row r="61801" spans="32:32" x14ac:dyDescent="0.2">
      <c r="AF61801" s="679"/>
    </row>
    <row r="61802" spans="32:32" x14ac:dyDescent="0.2">
      <c r="AF61802" s="679"/>
    </row>
    <row r="61803" spans="32:32" x14ac:dyDescent="0.2">
      <c r="AF61803" s="679"/>
    </row>
    <row r="61804" spans="32:32" x14ac:dyDescent="0.2">
      <c r="AF61804" s="679"/>
    </row>
    <row r="61805" spans="32:32" x14ac:dyDescent="0.2">
      <c r="AF61805" s="679"/>
    </row>
    <row r="61806" spans="32:32" x14ac:dyDescent="0.2">
      <c r="AF61806" s="679"/>
    </row>
    <row r="61807" spans="32:32" x14ac:dyDescent="0.2">
      <c r="AF61807" s="679"/>
    </row>
    <row r="61808" spans="32:32" x14ac:dyDescent="0.2">
      <c r="AF61808" s="679"/>
    </row>
    <row r="61809" spans="32:32" x14ac:dyDescent="0.2">
      <c r="AF61809" s="679"/>
    </row>
    <row r="61810" spans="32:32" x14ac:dyDescent="0.2">
      <c r="AF61810" s="679"/>
    </row>
    <row r="61811" spans="32:32" x14ac:dyDescent="0.2">
      <c r="AF61811" s="679"/>
    </row>
    <row r="61812" spans="32:32" x14ac:dyDescent="0.2">
      <c r="AF61812" s="679"/>
    </row>
    <row r="61813" spans="32:32" x14ac:dyDescent="0.2">
      <c r="AF61813" s="679"/>
    </row>
    <row r="61814" spans="32:32" x14ac:dyDescent="0.2">
      <c r="AF61814" s="679"/>
    </row>
    <row r="61815" spans="32:32" x14ac:dyDescent="0.2">
      <c r="AF61815" s="679"/>
    </row>
    <row r="61816" spans="32:32" x14ac:dyDescent="0.2">
      <c r="AF61816" s="679"/>
    </row>
    <row r="61817" spans="32:32" x14ac:dyDescent="0.2">
      <c r="AF61817" s="679"/>
    </row>
    <row r="61818" spans="32:32" x14ac:dyDescent="0.2">
      <c r="AF61818" s="679"/>
    </row>
    <row r="61819" spans="32:32" x14ac:dyDescent="0.2">
      <c r="AF61819" s="679"/>
    </row>
    <row r="61820" spans="32:32" x14ac:dyDescent="0.2">
      <c r="AF61820" s="679"/>
    </row>
    <row r="61821" spans="32:32" x14ac:dyDescent="0.2">
      <c r="AF61821" s="679"/>
    </row>
    <row r="61822" spans="32:32" x14ac:dyDescent="0.2">
      <c r="AF61822" s="679"/>
    </row>
    <row r="61823" spans="32:32" x14ac:dyDescent="0.2">
      <c r="AF61823" s="679"/>
    </row>
    <row r="61824" spans="32:32" x14ac:dyDescent="0.2">
      <c r="AF61824" s="679"/>
    </row>
    <row r="61825" spans="32:32" x14ac:dyDescent="0.2">
      <c r="AF61825" s="679"/>
    </row>
    <row r="61826" spans="32:32" x14ac:dyDescent="0.2">
      <c r="AF61826" s="679"/>
    </row>
    <row r="61827" spans="32:32" x14ac:dyDescent="0.2">
      <c r="AF61827" s="679"/>
    </row>
    <row r="61828" spans="32:32" x14ac:dyDescent="0.2">
      <c r="AF61828" s="679"/>
    </row>
    <row r="61829" spans="32:32" x14ac:dyDescent="0.2">
      <c r="AF61829" s="679"/>
    </row>
    <row r="61830" spans="32:32" x14ac:dyDescent="0.2">
      <c r="AF61830" s="679"/>
    </row>
    <row r="61831" spans="32:32" x14ac:dyDescent="0.2">
      <c r="AF61831" s="679"/>
    </row>
    <row r="61832" spans="32:32" x14ac:dyDescent="0.2">
      <c r="AF61832" s="679"/>
    </row>
    <row r="61833" spans="32:32" x14ac:dyDescent="0.2">
      <c r="AF61833" s="679"/>
    </row>
    <row r="61834" spans="32:32" x14ac:dyDescent="0.2">
      <c r="AF61834" s="679"/>
    </row>
    <row r="61835" spans="32:32" x14ac:dyDescent="0.2">
      <c r="AF61835" s="679"/>
    </row>
    <row r="61836" spans="32:32" x14ac:dyDescent="0.2">
      <c r="AF61836" s="679"/>
    </row>
    <row r="61837" spans="32:32" x14ac:dyDescent="0.2">
      <c r="AF61837" s="679"/>
    </row>
    <row r="61838" spans="32:32" x14ac:dyDescent="0.2">
      <c r="AF61838" s="679"/>
    </row>
    <row r="61839" spans="32:32" x14ac:dyDescent="0.2">
      <c r="AF61839" s="679"/>
    </row>
    <row r="61840" spans="32:32" x14ac:dyDescent="0.2">
      <c r="AF61840" s="679"/>
    </row>
    <row r="61841" spans="32:32" x14ac:dyDescent="0.2">
      <c r="AF61841" s="679"/>
    </row>
    <row r="61842" spans="32:32" x14ac:dyDescent="0.2">
      <c r="AF61842" s="679"/>
    </row>
    <row r="61843" spans="32:32" x14ac:dyDescent="0.2">
      <c r="AF61843" s="679"/>
    </row>
    <row r="61844" spans="32:32" x14ac:dyDescent="0.2">
      <c r="AF61844" s="679"/>
    </row>
    <row r="61845" spans="32:32" x14ac:dyDescent="0.2">
      <c r="AF61845" s="679"/>
    </row>
    <row r="61846" spans="32:32" x14ac:dyDescent="0.2">
      <c r="AF61846" s="679"/>
    </row>
    <row r="61847" spans="32:32" x14ac:dyDescent="0.2">
      <c r="AF61847" s="679"/>
    </row>
    <row r="61848" spans="32:32" x14ac:dyDescent="0.2">
      <c r="AF61848" s="679"/>
    </row>
    <row r="61849" spans="32:32" x14ac:dyDescent="0.2">
      <c r="AF61849" s="679"/>
    </row>
    <row r="61850" spans="32:32" x14ac:dyDescent="0.2">
      <c r="AF61850" s="679"/>
    </row>
    <row r="61851" spans="32:32" x14ac:dyDescent="0.2">
      <c r="AF61851" s="679"/>
    </row>
    <row r="61852" spans="32:32" x14ac:dyDescent="0.2">
      <c r="AF61852" s="679"/>
    </row>
    <row r="61853" spans="32:32" x14ac:dyDescent="0.2">
      <c r="AF61853" s="679"/>
    </row>
    <row r="61854" spans="32:32" x14ac:dyDescent="0.2">
      <c r="AF61854" s="679"/>
    </row>
    <row r="61855" spans="32:32" x14ac:dyDescent="0.2">
      <c r="AF61855" s="679"/>
    </row>
    <row r="61856" spans="32:32" x14ac:dyDescent="0.2">
      <c r="AF61856" s="679"/>
    </row>
    <row r="61857" spans="32:32" x14ac:dyDescent="0.2">
      <c r="AF61857" s="679"/>
    </row>
    <row r="61858" spans="32:32" x14ac:dyDescent="0.2">
      <c r="AF61858" s="679"/>
    </row>
    <row r="61859" spans="32:32" x14ac:dyDescent="0.2">
      <c r="AF61859" s="679"/>
    </row>
    <row r="61860" spans="32:32" x14ac:dyDescent="0.2">
      <c r="AF61860" s="679"/>
    </row>
    <row r="61861" spans="32:32" x14ac:dyDescent="0.2">
      <c r="AF61861" s="679"/>
    </row>
    <row r="61862" spans="32:32" x14ac:dyDescent="0.2">
      <c r="AF61862" s="679"/>
    </row>
    <row r="61863" spans="32:32" x14ac:dyDescent="0.2">
      <c r="AF61863" s="679"/>
    </row>
    <row r="61864" spans="32:32" x14ac:dyDescent="0.2">
      <c r="AF61864" s="679"/>
    </row>
    <row r="61865" spans="32:32" x14ac:dyDescent="0.2">
      <c r="AF61865" s="679"/>
    </row>
    <row r="61866" spans="32:32" x14ac:dyDescent="0.2">
      <c r="AF61866" s="679"/>
    </row>
    <row r="61867" spans="32:32" x14ac:dyDescent="0.2">
      <c r="AF61867" s="679"/>
    </row>
    <row r="61868" spans="32:32" x14ac:dyDescent="0.2">
      <c r="AF61868" s="679"/>
    </row>
    <row r="61869" spans="32:32" x14ac:dyDescent="0.2">
      <c r="AF61869" s="679"/>
    </row>
    <row r="61870" spans="32:32" x14ac:dyDescent="0.2">
      <c r="AF61870" s="679"/>
    </row>
    <row r="61871" spans="32:32" x14ac:dyDescent="0.2">
      <c r="AF61871" s="679"/>
    </row>
    <row r="61872" spans="32:32" x14ac:dyDescent="0.2">
      <c r="AF61872" s="679"/>
    </row>
    <row r="61873" spans="32:32" x14ac:dyDescent="0.2">
      <c r="AF61873" s="679"/>
    </row>
    <row r="61874" spans="32:32" x14ac:dyDescent="0.2">
      <c r="AF61874" s="679"/>
    </row>
    <row r="61875" spans="32:32" x14ac:dyDescent="0.2">
      <c r="AF61875" s="679"/>
    </row>
    <row r="61876" spans="32:32" x14ac:dyDescent="0.2">
      <c r="AF61876" s="679"/>
    </row>
    <row r="61877" spans="32:32" x14ac:dyDescent="0.2">
      <c r="AF61877" s="679"/>
    </row>
    <row r="61878" spans="32:32" x14ac:dyDescent="0.2">
      <c r="AF61878" s="679"/>
    </row>
    <row r="61879" spans="32:32" x14ac:dyDescent="0.2">
      <c r="AF61879" s="679"/>
    </row>
    <row r="61880" spans="32:32" x14ac:dyDescent="0.2">
      <c r="AF61880" s="679"/>
    </row>
    <row r="61881" spans="32:32" x14ac:dyDescent="0.2">
      <c r="AF61881" s="679"/>
    </row>
    <row r="61882" spans="32:32" x14ac:dyDescent="0.2">
      <c r="AF61882" s="679"/>
    </row>
    <row r="61883" spans="32:32" x14ac:dyDescent="0.2">
      <c r="AF61883" s="679"/>
    </row>
    <row r="61884" spans="32:32" x14ac:dyDescent="0.2">
      <c r="AF61884" s="679"/>
    </row>
    <row r="61885" spans="32:32" x14ac:dyDescent="0.2">
      <c r="AF61885" s="679"/>
    </row>
    <row r="61886" spans="32:32" x14ac:dyDescent="0.2">
      <c r="AF61886" s="679"/>
    </row>
    <row r="61887" spans="32:32" x14ac:dyDescent="0.2">
      <c r="AF61887" s="679"/>
    </row>
    <row r="61888" spans="32:32" x14ac:dyDescent="0.2">
      <c r="AF61888" s="679"/>
    </row>
    <row r="61889" spans="32:32" x14ac:dyDescent="0.2">
      <c r="AF61889" s="679"/>
    </row>
    <row r="61890" spans="32:32" x14ac:dyDescent="0.2">
      <c r="AF61890" s="679"/>
    </row>
    <row r="61891" spans="32:32" x14ac:dyDescent="0.2">
      <c r="AF61891" s="679"/>
    </row>
    <row r="61892" spans="32:32" x14ac:dyDescent="0.2">
      <c r="AF61892" s="679"/>
    </row>
    <row r="61893" spans="32:32" x14ac:dyDescent="0.2">
      <c r="AF61893" s="679"/>
    </row>
    <row r="61894" spans="32:32" x14ac:dyDescent="0.2">
      <c r="AF61894" s="679"/>
    </row>
    <row r="61895" spans="32:32" x14ac:dyDescent="0.2">
      <c r="AF61895" s="679"/>
    </row>
    <row r="61896" spans="32:32" x14ac:dyDescent="0.2">
      <c r="AF61896" s="679"/>
    </row>
    <row r="61897" spans="32:32" x14ac:dyDescent="0.2">
      <c r="AF61897" s="679"/>
    </row>
    <row r="61898" spans="32:32" x14ac:dyDescent="0.2">
      <c r="AF61898" s="679"/>
    </row>
    <row r="61899" spans="32:32" x14ac:dyDescent="0.2">
      <c r="AF61899" s="679"/>
    </row>
    <row r="61900" spans="32:32" x14ac:dyDescent="0.2">
      <c r="AF61900" s="679"/>
    </row>
    <row r="61901" spans="32:32" x14ac:dyDescent="0.2">
      <c r="AF61901" s="679"/>
    </row>
    <row r="61902" spans="32:32" x14ac:dyDescent="0.2">
      <c r="AF61902" s="679"/>
    </row>
    <row r="61903" spans="32:32" x14ac:dyDescent="0.2">
      <c r="AF61903" s="679"/>
    </row>
    <row r="61904" spans="32:32" x14ac:dyDescent="0.2">
      <c r="AF61904" s="679"/>
    </row>
    <row r="61905" spans="32:32" x14ac:dyDescent="0.2">
      <c r="AF61905" s="679"/>
    </row>
    <row r="61906" spans="32:32" x14ac:dyDescent="0.2">
      <c r="AF61906" s="679"/>
    </row>
    <row r="61907" spans="32:32" x14ac:dyDescent="0.2">
      <c r="AF61907" s="679"/>
    </row>
    <row r="61908" spans="32:32" x14ac:dyDescent="0.2">
      <c r="AF61908" s="679"/>
    </row>
    <row r="61909" spans="32:32" x14ac:dyDescent="0.2">
      <c r="AF61909" s="679"/>
    </row>
    <row r="61910" spans="32:32" x14ac:dyDescent="0.2">
      <c r="AF61910" s="679"/>
    </row>
    <row r="61911" spans="32:32" x14ac:dyDescent="0.2">
      <c r="AF61911" s="679"/>
    </row>
    <row r="61912" spans="32:32" x14ac:dyDescent="0.2">
      <c r="AF61912" s="679"/>
    </row>
    <row r="61913" spans="32:32" x14ac:dyDescent="0.2">
      <c r="AF61913" s="679"/>
    </row>
    <row r="61914" spans="32:32" x14ac:dyDescent="0.2">
      <c r="AF61914" s="679"/>
    </row>
    <row r="61915" spans="32:32" x14ac:dyDescent="0.2">
      <c r="AF61915" s="679"/>
    </row>
    <row r="61916" spans="32:32" x14ac:dyDescent="0.2">
      <c r="AF61916" s="679"/>
    </row>
    <row r="61917" spans="32:32" x14ac:dyDescent="0.2">
      <c r="AF61917" s="679"/>
    </row>
    <row r="61918" spans="32:32" x14ac:dyDescent="0.2">
      <c r="AF61918" s="679"/>
    </row>
    <row r="61919" spans="32:32" x14ac:dyDescent="0.2">
      <c r="AF61919" s="679"/>
    </row>
    <row r="61920" spans="32:32" x14ac:dyDescent="0.2">
      <c r="AF61920" s="679"/>
    </row>
    <row r="61921" spans="32:32" x14ac:dyDescent="0.2">
      <c r="AF61921" s="679"/>
    </row>
    <row r="61922" spans="32:32" x14ac:dyDescent="0.2">
      <c r="AF61922" s="679"/>
    </row>
    <row r="61923" spans="32:32" x14ac:dyDescent="0.2">
      <c r="AF61923" s="679"/>
    </row>
    <row r="61924" spans="32:32" x14ac:dyDescent="0.2">
      <c r="AF61924" s="679"/>
    </row>
    <row r="61925" spans="32:32" x14ac:dyDescent="0.2">
      <c r="AF61925" s="679"/>
    </row>
    <row r="61926" spans="32:32" x14ac:dyDescent="0.2">
      <c r="AF61926" s="679"/>
    </row>
    <row r="61927" spans="32:32" x14ac:dyDescent="0.2">
      <c r="AF61927" s="679"/>
    </row>
    <row r="61928" spans="32:32" x14ac:dyDescent="0.2">
      <c r="AF61928" s="679"/>
    </row>
    <row r="61929" spans="32:32" x14ac:dyDescent="0.2">
      <c r="AF61929" s="679"/>
    </row>
    <row r="61930" spans="32:32" x14ac:dyDescent="0.2">
      <c r="AF61930" s="679"/>
    </row>
    <row r="61931" spans="32:32" x14ac:dyDescent="0.2">
      <c r="AF61931" s="679"/>
    </row>
    <row r="61932" spans="32:32" x14ac:dyDescent="0.2">
      <c r="AF61932" s="679"/>
    </row>
    <row r="61933" spans="32:32" x14ac:dyDescent="0.2">
      <c r="AF61933" s="679"/>
    </row>
    <row r="61934" spans="32:32" x14ac:dyDescent="0.2">
      <c r="AF61934" s="679"/>
    </row>
    <row r="61935" spans="32:32" x14ac:dyDescent="0.2">
      <c r="AF61935" s="679"/>
    </row>
    <row r="61936" spans="32:32" x14ac:dyDescent="0.2">
      <c r="AF61936" s="679"/>
    </row>
    <row r="61937" spans="32:32" x14ac:dyDescent="0.2">
      <c r="AF61937" s="679"/>
    </row>
    <row r="61938" spans="32:32" x14ac:dyDescent="0.2">
      <c r="AF61938" s="679"/>
    </row>
    <row r="61939" spans="32:32" x14ac:dyDescent="0.2">
      <c r="AF61939" s="679"/>
    </row>
    <row r="61940" spans="32:32" x14ac:dyDescent="0.2">
      <c r="AF61940" s="679"/>
    </row>
    <row r="61941" spans="32:32" x14ac:dyDescent="0.2">
      <c r="AF61941" s="679"/>
    </row>
    <row r="61942" spans="32:32" x14ac:dyDescent="0.2">
      <c r="AF61942" s="679"/>
    </row>
    <row r="61943" spans="32:32" x14ac:dyDescent="0.2">
      <c r="AF61943" s="679"/>
    </row>
    <row r="61944" spans="32:32" x14ac:dyDescent="0.2">
      <c r="AF61944" s="679"/>
    </row>
    <row r="61945" spans="32:32" x14ac:dyDescent="0.2">
      <c r="AF61945" s="679"/>
    </row>
    <row r="61946" spans="32:32" x14ac:dyDescent="0.2">
      <c r="AF61946" s="679"/>
    </row>
    <row r="61947" spans="32:32" x14ac:dyDescent="0.2">
      <c r="AF61947" s="679"/>
    </row>
    <row r="61948" spans="32:32" x14ac:dyDescent="0.2">
      <c r="AF61948" s="679"/>
    </row>
    <row r="61949" spans="32:32" x14ac:dyDescent="0.2">
      <c r="AF61949" s="679"/>
    </row>
    <row r="61950" spans="32:32" x14ac:dyDescent="0.2">
      <c r="AF61950" s="679"/>
    </row>
    <row r="61951" spans="32:32" x14ac:dyDescent="0.2">
      <c r="AF61951" s="679"/>
    </row>
    <row r="61952" spans="32:32" x14ac:dyDescent="0.2">
      <c r="AF61952" s="679"/>
    </row>
    <row r="61953" spans="32:32" x14ac:dyDescent="0.2">
      <c r="AF61953" s="679"/>
    </row>
    <row r="61954" spans="32:32" x14ac:dyDescent="0.2">
      <c r="AF61954" s="679"/>
    </row>
    <row r="61955" spans="32:32" x14ac:dyDescent="0.2">
      <c r="AF61955" s="679"/>
    </row>
    <row r="61956" spans="32:32" x14ac:dyDescent="0.2">
      <c r="AF61956" s="679"/>
    </row>
    <row r="61957" spans="32:32" x14ac:dyDescent="0.2">
      <c r="AF61957" s="679"/>
    </row>
    <row r="61958" spans="32:32" x14ac:dyDescent="0.2">
      <c r="AF61958" s="679"/>
    </row>
    <row r="61959" spans="32:32" x14ac:dyDescent="0.2">
      <c r="AF61959" s="679"/>
    </row>
    <row r="61960" spans="32:32" x14ac:dyDescent="0.2">
      <c r="AF61960" s="679"/>
    </row>
    <row r="61961" spans="32:32" x14ac:dyDescent="0.2">
      <c r="AF61961" s="679"/>
    </row>
    <row r="61962" spans="32:32" x14ac:dyDescent="0.2">
      <c r="AF61962" s="679"/>
    </row>
    <row r="61963" spans="32:32" x14ac:dyDescent="0.2">
      <c r="AF61963" s="679"/>
    </row>
    <row r="61964" spans="32:32" x14ac:dyDescent="0.2">
      <c r="AF61964" s="679"/>
    </row>
    <row r="61965" spans="32:32" x14ac:dyDescent="0.2">
      <c r="AF61965" s="679"/>
    </row>
    <row r="61966" spans="32:32" x14ac:dyDescent="0.2">
      <c r="AF61966" s="679"/>
    </row>
    <row r="61967" spans="32:32" x14ac:dyDescent="0.2">
      <c r="AF61967" s="679"/>
    </row>
    <row r="61968" spans="32:32" x14ac:dyDescent="0.2">
      <c r="AF61968" s="679"/>
    </row>
    <row r="61969" spans="32:32" x14ac:dyDescent="0.2">
      <c r="AF61969" s="679"/>
    </row>
    <row r="61970" spans="32:32" x14ac:dyDescent="0.2">
      <c r="AF61970" s="679"/>
    </row>
    <row r="61971" spans="32:32" x14ac:dyDescent="0.2">
      <c r="AF61971" s="679"/>
    </row>
    <row r="61972" spans="32:32" x14ac:dyDescent="0.2">
      <c r="AF61972" s="679"/>
    </row>
    <row r="61973" spans="32:32" x14ac:dyDescent="0.2">
      <c r="AF61973" s="679"/>
    </row>
    <row r="61974" spans="32:32" x14ac:dyDescent="0.2">
      <c r="AF61974" s="679"/>
    </row>
    <row r="61975" spans="32:32" x14ac:dyDescent="0.2">
      <c r="AF61975" s="679"/>
    </row>
    <row r="61976" spans="32:32" x14ac:dyDescent="0.2">
      <c r="AF61976" s="679"/>
    </row>
    <row r="61977" spans="32:32" x14ac:dyDescent="0.2">
      <c r="AF61977" s="679"/>
    </row>
    <row r="61978" spans="32:32" x14ac:dyDescent="0.2">
      <c r="AF61978" s="679"/>
    </row>
    <row r="61979" spans="32:32" x14ac:dyDescent="0.2">
      <c r="AF61979" s="679"/>
    </row>
    <row r="61980" spans="32:32" x14ac:dyDescent="0.2">
      <c r="AF61980" s="679"/>
    </row>
    <row r="61981" spans="32:32" x14ac:dyDescent="0.2">
      <c r="AF61981" s="679"/>
    </row>
    <row r="61982" spans="32:32" x14ac:dyDescent="0.2">
      <c r="AF61982" s="679"/>
    </row>
    <row r="61983" spans="32:32" x14ac:dyDescent="0.2">
      <c r="AF61983" s="679"/>
    </row>
    <row r="61984" spans="32:32" x14ac:dyDescent="0.2">
      <c r="AF61984" s="679"/>
    </row>
    <row r="61985" spans="32:32" x14ac:dyDescent="0.2">
      <c r="AF61985" s="679"/>
    </row>
    <row r="61986" spans="32:32" x14ac:dyDescent="0.2">
      <c r="AF61986" s="679"/>
    </row>
    <row r="61987" spans="32:32" x14ac:dyDescent="0.2">
      <c r="AF61987" s="679"/>
    </row>
    <row r="61988" spans="32:32" x14ac:dyDescent="0.2">
      <c r="AF61988" s="679"/>
    </row>
    <row r="61989" spans="32:32" x14ac:dyDescent="0.2">
      <c r="AF61989" s="679"/>
    </row>
    <row r="61990" spans="32:32" x14ac:dyDescent="0.2">
      <c r="AF61990" s="679"/>
    </row>
    <row r="61991" spans="32:32" x14ac:dyDescent="0.2">
      <c r="AF61991" s="679"/>
    </row>
    <row r="61992" spans="32:32" x14ac:dyDescent="0.2">
      <c r="AF61992" s="679"/>
    </row>
    <row r="61993" spans="32:32" x14ac:dyDescent="0.2">
      <c r="AF61993" s="679"/>
    </row>
    <row r="61994" spans="32:32" x14ac:dyDescent="0.2">
      <c r="AF61994" s="679"/>
    </row>
    <row r="61995" spans="32:32" x14ac:dyDescent="0.2">
      <c r="AF61995" s="679"/>
    </row>
    <row r="61996" spans="32:32" x14ac:dyDescent="0.2">
      <c r="AF61996" s="679"/>
    </row>
    <row r="61997" spans="32:32" x14ac:dyDescent="0.2">
      <c r="AF61997" s="679"/>
    </row>
    <row r="61998" spans="32:32" x14ac:dyDescent="0.2">
      <c r="AF61998" s="679"/>
    </row>
    <row r="61999" spans="32:32" x14ac:dyDescent="0.2">
      <c r="AF61999" s="679"/>
    </row>
    <row r="62000" spans="32:32" x14ac:dyDescent="0.2">
      <c r="AF62000" s="679"/>
    </row>
    <row r="62001" spans="32:32" x14ac:dyDescent="0.2">
      <c r="AF62001" s="679"/>
    </row>
    <row r="62002" spans="32:32" x14ac:dyDescent="0.2">
      <c r="AF62002" s="679"/>
    </row>
    <row r="62003" spans="32:32" x14ac:dyDescent="0.2">
      <c r="AF62003" s="679"/>
    </row>
    <row r="62004" spans="32:32" x14ac:dyDescent="0.2">
      <c r="AF62004" s="679"/>
    </row>
    <row r="62005" spans="32:32" x14ac:dyDescent="0.2">
      <c r="AF62005" s="679"/>
    </row>
    <row r="62006" spans="32:32" x14ac:dyDescent="0.2">
      <c r="AF62006" s="679"/>
    </row>
    <row r="62007" spans="32:32" x14ac:dyDescent="0.2">
      <c r="AF62007" s="679"/>
    </row>
    <row r="62008" spans="32:32" x14ac:dyDescent="0.2">
      <c r="AF62008" s="679"/>
    </row>
    <row r="62009" spans="32:32" x14ac:dyDescent="0.2">
      <c r="AF62009" s="679"/>
    </row>
    <row r="62010" spans="32:32" x14ac:dyDescent="0.2">
      <c r="AF62010" s="679"/>
    </row>
    <row r="62011" spans="32:32" x14ac:dyDescent="0.2">
      <c r="AF62011" s="679"/>
    </row>
    <row r="62012" spans="32:32" x14ac:dyDescent="0.2">
      <c r="AF62012" s="679"/>
    </row>
    <row r="62013" spans="32:32" x14ac:dyDescent="0.2">
      <c r="AF62013" s="679"/>
    </row>
    <row r="62014" spans="32:32" x14ac:dyDescent="0.2">
      <c r="AF62014" s="679"/>
    </row>
    <row r="62015" spans="32:32" x14ac:dyDescent="0.2">
      <c r="AF62015" s="679"/>
    </row>
    <row r="62016" spans="32:32" x14ac:dyDescent="0.2">
      <c r="AF62016" s="679"/>
    </row>
    <row r="62017" spans="32:32" x14ac:dyDescent="0.2">
      <c r="AF62017" s="679"/>
    </row>
    <row r="62018" spans="32:32" x14ac:dyDescent="0.2">
      <c r="AF62018" s="679"/>
    </row>
    <row r="62019" spans="32:32" x14ac:dyDescent="0.2">
      <c r="AF62019" s="679"/>
    </row>
    <row r="62020" spans="32:32" x14ac:dyDescent="0.2">
      <c r="AF62020" s="679"/>
    </row>
    <row r="62021" spans="32:32" x14ac:dyDescent="0.2">
      <c r="AF62021" s="679"/>
    </row>
    <row r="62022" spans="32:32" x14ac:dyDescent="0.2">
      <c r="AF62022" s="679"/>
    </row>
    <row r="62023" spans="32:32" x14ac:dyDescent="0.2">
      <c r="AF62023" s="679"/>
    </row>
    <row r="62024" spans="32:32" x14ac:dyDescent="0.2">
      <c r="AF62024" s="679"/>
    </row>
    <row r="62025" spans="32:32" x14ac:dyDescent="0.2">
      <c r="AF62025" s="679"/>
    </row>
    <row r="62026" spans="32:32" x14ac:dyDescent="0.2">
      <c r="AF62026" s="679"/>
    </row>
    <row r="62027" spans="32:32" x14ac:dyDescent="0.2">
      <c r="AF62027" s="679"/>
    </row>
    <row r="62028" spans="32:32" x14ac:dyDescent="0.2">
      <c r="AF62028" s="679"/>
    </row>
    <row r="62029" spans="32:32" x14ac:dyDescent="0.2">
      <c r="AF62029" s="679"/>
    </row>
    <row r="62030" spans="32:32" x14ac:dyDescent="0.2">
      <c r="AF62030" s="679"/>
    </row>
    <row r="62031" spans="32:32" x14ac:dyDescent="0.2">
      <c r="AF62031" s="679"/>
    </row>
    <row r="62032" spans="32:32" x14ac:dyDescent="0.2">
      <c r="AF62032" s="679"/>
    </row>
    <row r="62033" spans="32:32" x14ac:dyDescent="0.2">
      <c r="AF62033" s="679"/>
    </row>
    <row r="62034" spans="32:32" x14ac:dyDescent="0.2">
      <c r="AF62034" s="679"/>
    </row>
    <row r="62035" spans="32:32" x14ac:dyDescent="0.2">
      <c r="AF62035" s="679"/>
    </row>
    <row r="62036" spans="32:32" x14ac:dyDescent="0.2">
      <c r="AF62036" s="679"/>
    </row>
    <row r="62037" spans="32:32" x14ac:dyDescent="0.2">
      <c r="AF62037" s="679"/>
    </row>
    <row r="62038" spans="32:32" x14ac:dyDescent="0.2">
      <c r="AF62038" s="679"/>
    </row>
    <row r="62039" spans="32:32" x14ac:dyDescent="0.2">
      <c r="AF62039" s="679"/>
    </row>
    <row r="62040" spans="32:32" x14ac:dyDescent="0.2">
      <c r="AF62040" s="679"/>
    </row>
    <row r="62041" spans="32:32" x14ac:dyDescent="0.2">
      <c r="AF62041" s="679"/>
    </row>
    <row r="62042" spans="32:32" x14ac:dyDescent="0.2">
      <c r="AF62042" s="679"/>
    </row>
    <row r="62043" spans="32:32" x14ac:dyDescent="0.2">
      <c r="AF62043" s="679"/>
    </row>
    <row r="62044" spans="32:32" x14ac:dyDescent="0.2">
      <c r="AF62044" s="679"/>
    </row>
    <row r="62045" spans="32:32" x14ac:dyDescent="0.2">
      <c r="AF62045" s="679"/>
    </row>
    <row r="62046" spans="32:32" x14ac:dyDescent="0.2">
      <c r="AF62046" s="679"/>
    </row>
    <row r="62047" spans="32:32" x14ac:dyDescent="0.2">
      <c r="AF62047" s="679"/>
    </row>
    <row r="62048" spans="32:32" x14ac:dyDescent="0.2">
      <c r="AF62048" s="679"/>
    </row>
    <row r="62049" spans="32:32" x14ac:dyDescent="0.2">
      <c r="AF62049" s="679"/>
    </row>
    <row r="62050" spans="32:32" x14ac:dyDescent="0.2">
      <c r="AF62050" s="679"/>
    </row>
    <row r="62051" spans="32:32" x14ac:dyDescent="0.2">
      <c r="AF62051" s="679"/>
    </row>
    <row r="62052" spans="32:32" x14ac:dyDescent="0.2">
      <c r="AF62052" s="679"/>
    </row>
    <row r="62053" spans="32:32" x14ac:dyDescent="0.2">
      <c r="AF62053" s="679"/>
    </row>
    <row r="62054" spans="32:32" x14ac:dyDescent="0.2">
      <c r="AF62054" s="679"/>
    </row>
    <row r="62055" spans="32:32" x14ac:dyDescent="0.2">
      <c r="AF62055" s="679"/>
    </row>
    <row r="62056" spans="32:32" x14ac:dyDescent="0.2">
      <c r="AF62056" s="679"/>
    </row>
    <row r="62057" spans="32:32" x14ac:dyDescent="0.2">
      <c r="AF62057" s="679"/>
    </row>
    <row r="62058" spans="32:32" x14ac:dyDescent="0.2">
      <c r="AF62058" s="679"/>
    </row>
    <row r="62059" spans="32:32" x14ac:dyDescent="0.2">
      <c r="AF62059" s="679"/>
    </row>
    <row r="62060" spans="32:32" x14ac:dyDescent="0.2">
      <c r="AF62060" s="679"/>
    </row>
    <row r="62061" spans="32:32" x14ac:dyDescent="0.2">
      <c r="AF62061" s="679"/>
    </row>
    <row r="62062" spans="32:32" x14ac:dyDescent="0.2">
      <c r="AF62062" s="679"/>
    </row>
    <row r="62063" spans="32:32" x14ac:dyDescent="0.2">
      <c r="AF62063" s="679"/>
    </row>
    <row r="62064" spans="32:32" x14ac:dyDescent="0.2">
      <c r="AF62064" s="679"/>
    </row>
    <row r="62065" spans="32:32" x14ac:dyDescent="0.2">
      <c r="AF62065" s="679"/>
    </row>
    <row r="62066" spans="32:32" x14ac:dyDescent="0.2">
      <c r="AF62066" s="679"/>
    </row>
    <row r="62067" spans="32:32" x14ac:dyDescent="0.2">
      <c r="AF62067" s="679"/>
    </row>
    <row r="62068" spans="32:32" x14ac:dyDescent="0.2">
      <c r="AF62068" s="679"/>
    </row>
    <row r="62069" spans="32:32" x14ac:dyDescent="0.2">
      <c r="AF62069" s="679"/>
    </row>
    <row r="62070" spans="32:32" x14ac:dyDescent="0.2">
      <c r="AF62070" s="679"/>
    </row>
    <row r="62071" spans="32:32" x14ac:dyDescent="0.2">
      <c r="AF62071" s="679"/>
    </row>
    <row r="62072" spans="32:32" x14ac:dyDescent="0.2">
      <c r="AF62072" s="679"/>
    </row>
    <row r="62073" spans="32:32" x14ac:dyDescent="0.2">
      <c r="AF62073" s="679"/>
    </row>
    <row r="62074" spans="32:32" x14ac:dyDescent="0.2">
      <c r="AF62074" s="679"/>
    </row>
    <row r="62075" spans="32:32" x14ac:dyDescent="0.2">
      <c r="AF62075" s="679"/>
    </row>
    <row r="62076" spans="32:32" x14ac:dyDescent="0.2">
      <c r="AF62076" s="679"/>
    </row>
    <row r="62077" spans="32:32" x14ac:dyDescent="0.2">
      <c r="AF62077" s="679"/>
    </row>
    <row r="62078" spans="32:32" x14ac:dyDescent="0.2">
      <c r="AF62078" s="679"/>
    </row>
    <row r="62079" spans="32:32" x14ac:dyDescent="0.2">
      <c r="AF62079" s="679"/>
    </row>
    <row r="62080" spans="32:32" x14ac:dyDescent="0.2">
      <c r="AF62080" s="679"/>
    </row>
    <row r="62081" spans="32:32" x14ac:dyDescent="0.2">
      <c r="AF62081" s="679"/>
    </row>
    <row r="62082" spans="32:32" x14ac:dyDescent="0.2">
      <c r="AF62082" s="679"/>
    </row>
    <row r="62083" spans="32:32" x14ac:dyDescent="0.2">
      <c r="AF62083" s="679"/>
    </row>
    <row r="62084" spans="32:32" x14ac:dyDescent="0.2">
      <c r="AF62084" s="679"/>
    </row>
    <row r="62085" spans="32:32" x14ac:dyDescent="0.2">
      <c r="AF62085" s="679"/>
    </row>
    <row r="62086" spans="32:32" x14ac:dyDescent="0.2">
      <c r="AF62086" s="679"/>
    </row>
    <row r="62087" spans="32:32" x14ac:dyDescent="0.2">
      <c r="AF62087" s="679"/>
    </row>
    <row r="62088" spans="32:32" x14ac:dyDescent="0.2">
      <c r="AF62088" s="679"/>
    </row>
    <row r="62089" spans="32:32" x14ac:dyDescent="0.2">
      <c r="AF62089" s="679"/>
    </row>
    <row r="62090" spans="32:32" x14ac:dyDescent="0.2">
      <c r="AF62090" s="679"/>
    </row>
    <row r="62091" spans="32:32" x14ac:dyDescent="0.2">
      <c r="AF62091" s="679"/>
    </row>
    <row r="62092" spans="32:32" x14ac:dyDescent="0.2">
      <c r="AF62092" s="679"/>
    </row>
    <row r="62093" spans="32:32" x14ac:dyDescent="0.2">
      <c r="AF62093" s="679"/>
    </row>
    <row r="62094" spans="32:32" x14ac:dyDescent="0.2">
      <c r="AF62094" s="679"/>
    </row>
    <row r="62095" spans="32:32" x14ac:dyDescent="0.2">
      <c r="AF62095" s="679"/>
    </row>
    <row r="62096" spans="32:32" x14ac:dyDescent="0.2">
      <c r="AF62096" s="679"/>
    </row>
    <row r="62097" spans="32:32" x14ac:dyDescent="0.2">
      <c r="AF62097" s="679"/>
    </row>
    <row r="62098" spans="32:32" x14ac:dyDescent="0.2">
      <c r="AF62098" s="679"/>
    </row>
    <row r="62099" spans="32:32" x14ac:dyDescent="0.2">
      <c r="AF62099" s="679"/>
    </row>
    <row r="62100" spans="32:32" x14ac:dyDescent="0.2">
      <c r="AF62100" s="679"/>
    </row>
    <row r="62101" spans="32:32" x14ac:dyDescent="0.2">
      <c r="AF62101" s="679"/>
    </row>
    <row r="62102" spans="32:32" x14ac:dyDescent="0.2">
      <c r="AF62102" s="679"/>
    </row>
    <row r="62103" spans="32:32" x14ac:dyDescent="0.2">
      <c r="AF62103" s="679"/>
    </row>
    <row r="62104" spans="32:32" x14ac:dyDescent="0.2">
      <c r="AF62104" s="679"/>
    </row>
    <row r="62105" spans="32:32" x14ac:dyDescent="0.2">
      <c r="AF62105" s="679"/>
    </row>
    <row r="62106" spans="32:32" x14ac:dyDescent="0.2">
      <c r="AF62106" s="679"/>
    </row>
    <row r="62107" spans="32:32" x14ac:dyDescent="0.2">
      <c r="AF62107" s="679"/>
    </row>
    <row r="62108" spans="32:32" x14ac:dyDescent="0.2">
      <c r="AF62108" s="679"/>
    </row>
    <row r="62109" spans="32:32" x14ac:dyDescent="0.2">
      <c r="AF62109" s="679"/>
    </row>
    <row r="62110" spans="32:32" x14ac:dyDescent="0.2">
      <c r="AF62110" s="679"/>
    </row>
    <row r="62111" spans="32:32" x14ac:dyDescent="0.2">
      <c r="AF62111" s="679"/>
    </row>
    <row r="62112" spans="32:32" x14ac:dyDescent="0.2">
      <c r="AF62112" s="679"/>
    </row>
    <row r="62113" spans="32:32" x14ac:dyDescent="0.2">
      <c r="AF62113" s="679"/>
    </row>
    <row r="62114" spans="32:32" x14ac:dyDescent="0.2">
      <c r="AF62114" s="679"/>
    </row>
    <row r="62115" spans="32:32" x14ac:dyDescent="0.2">
      <c r="AF62115" s="679"/>
    </row>
    <row r="62116" spans="32:32" x14ac:dyDescent="0.2">
      <c r="AF62116" s="679"/>
    </row>
    <row r="62117" spans="32:32" x14ac:dyDescent="0.2">
      <c r="AF62117" s="679"/>
    </row>
    <row r="62118" spans="32:32" x14ac:dyDescent="0.2">
      <c r="AF62118" s="679"/>
    </row>
    <row r="62119" spans="32:32" x14ac:dyDescent="0.2">
      <c r="AF62119" s="679"/>
    </row>
    <row r="62120" spans="32:32" x14ac:dyDescent="0.2">
      <c r="AF62120" s="679"/>
    </row>
    <row r="62121" spans="32:32" x14ac:dyDescent="0.2">
      <c r="AF62121" s="679"/>
    </row>
    <row r="62122" spans="32:32" x14ac:dyDescent="0.2">
      <c r="AF62122" s="679"/>
    </row>
    <row r="62123" spans="32:32" x14ac:dyDescent="0.2">
      <c r="AF62123" s="679"/>
    </row>
    <row r="62124" spans="32:32" x14ac:dyDescent="0.2">
      <c r="AF62124" s="679"/>
    </row>
    <row r="62125" spans="32:32" x14ac:dyDescent="0.2">
      <c r="AF62125" s="679"/>
    </row>
    <row r="62126" spans="32:32" x14ac:dyDescent="0.2">
      <c r="AF62126" s="679"/>
    </row>
    <row r="62127" spans="32:32" x14ac:dyDescent="0.2">
      <c r="AF62127" s="679"/>
    </row>
    <row r="62128" spans="32:32" x14ac:dyDescent="0.2">
      <c r="AF62128" s="679"/>
    </row>
    <row r="62129" spans="32:32" x14ac:dyDescent="0.2">
      <c r="AF62129" s="679"/>
    </row>
    <row r="62130" spans="32:32" x14ac:dyDescent="0.2">
      <c r="AF62130" s="679"/>
    </row>
    <row r="62131" spans="32:32" x14ac:dyDescent="0.2">
      <c r="AF62131" s="679"/>
    </row>
    <row r="62132" spans="32:32" x14ac:dyDescent="0.2">
      <c r="AF62132" s="679"/>
    </row>
    <row r="62133" spans="32:32" x14ac:dyDescent="0.2">
      <c r="AF62133" s="679"/>
    </row>
    <row r="62134" spans="32:32" x14ac:dyDescent="0.2">
      <c r="AF62134" s="679"/>
    </row>
    <row r="62135" spans="32:32" x14ac:dyDescent="0.2">
      <c r="AF62135" s="679"/>
    </row>
    <row r="62136" spans="32:32" x14ac:dyDescent="0.2">
      <c r="AF62136" s="679"/>
    </row>
    <row r="62137" spans="32:32" x14ac:dyDescent="0.2">
      <c r="AF62137" s="679"/>
    </row>
    <row r="62138" spans="32:32" x14ac:dyDescent="0.2">
      <c r="AF62138" s="679"/>
    </row>
    <row r="62139" spans="32:32" x14ac:dyDescent="0.2">
      <c r="AF62139" s="679"/>
    </row>
    <row r="62140" spans="32:32" x14ac:dyDescent="0.2">
      <c r="AF62140" s="679"/>
    </row>
    <row r="62141" spans="32:32" x14ac:dyDescent="0.2">
      <c r="AF62141" s="679"/>
    </row>
    <row r="62142" spans="32:32" x14ac:dyDescent="0.2">
      <c r="AF62142" s="679"/>
    </row>
    <row r="62143" spans="32:32" x14ac:dyDescent="0.2">
      <c r="AF62143" s="679"/>
    </row>
    <row r="62144" spans="32:32" x14ac:dyDescent="0.2">
      <c r="AF62144" s="679"/>
    </row>
    <row r="62145" spans="32:32" x14ac:dyDescent="0.2">
      <c r="AF62145" s="679"/>
    </row>
    <row r="62146" spans="32:32" x14ac:dyDescent="0.2">
      <c r="AF62146" s="679"/>
    </row>
    <row r="62147" spans="32:32" x14ac:dyDescent="0.2">
      <c r="AF62147" s="679"/>
    </row>
    <row r="62148" spans="32:32" x14ac:dyDescent="0.2">
      <c r="AF62148" s="679"/>
    </row>
    <row r="62149" spans="32:32" x14ac:dyDescent="0.2">
      <c r="AF62149" s="679"/>
    </row>
    <row r="62150" spans="32:32" x14ac:dyDescent="0.2">
      <c r="AF62150" s="679"/>
    </row>
    <row r="62151" spans="32:32" x14ac:dyDescent="0.2">
      <c r="AF62151" s="679"/>
    </row>
    <row r="62152" spans="32:32" x14ac:dyDescent="0.2">
      <c r="AF62152" s="679"/>
    </row>
    <row r="62153" spans="32:32" x14ac:dyDescent="0.2">
      <c r="AF62153" s="679"/>
    </row>
    <row r="62154" spans="32:32" x14ac:dyDescent="0.2">
      <c r="AF62154" s="679"/>
    </row>
    <row r="62155" spans="32:32" x14ac:dyDescent="0.2">
      <c r="AF62155" s="679"/>
    </row>
    <row r="62156" spans="32:32" x14ac:dyDescent="0.2">
      <c r="AF62156" s="679"/>
    </row>
    <row r="62157" spans="32:32" x14ac:dyDescent="0.2">
      <c r="AF62157" s="679"/>
    </row>
    <row r="62158" spans="32:32" x14ac:dyDescent="0.2">
      <c r="AF62158" s="679"/>
    </row>
    <row r="62159" spans="32:32" x14ac:dyDescent="0.2">
      <c r="AF62159" s="679"/>
    </row>
    <row r="62160" spans="32:32" x14ac:dyDescent="0.2">
      <c r="AF62160" s="679"/>
    </row>
    <row r="62161" spans="32:32" x14ac:dyDescent="0.2">
      <c r="AF62161" s="679"/>
    </row>
    <row r="62162" spans="32:32" x14ac:dyDescent="0.2">
      <c r="AF62162" s="679"/>
    </row>
    <row r="62163" spans="32:32" x14ac:dyDescent="0.2">
      <c r="AF62163" s="679"/>
    </row>
    <row r="62164" spans="32:32" x14ac:dyDescent="0.2">
      <c r="AF62164" s="679"/>
    </row>
    <row r="62165" spans="32:32" x14ac:dyDescent="0.2">
      <c r="AF62165" s="679"/>
    </row>
    <row r="62166" spans="32:32" x14ac:dyDescent="0.2">
      <c r="AF62166" s="679"/>
    </row>
    <row r="62167" spans="32:32" x14ac:dyDescent="0.2">
      <c r="AF62167" s="679"/>
    </row>
    <row r="62168" spans="32:32" x14ac:dyDescent="0.2">
      <c r="AF62168" s="679"/>
    </row>
    <row r="62169" spans="32:32" x14ac:dyDescent="0.2">
      <c r="AF62169" s="679"/>
    </row>
    <row r="62170" spans="32:32" x14ac:dyDescent="0.2">
      <c r="AF62170" s="679"/>
    </row>
    <row r="62171" spans="32:32" x14ac:dyDescent="0.2">
      <c r="AF62171" s="679"/>
    </row>
    <row r="62172" spans="32:32" x14ac:dyDescent="0.2">
      <c r="AF62172" s="679"/>
    </row>
    <row r="62173" spans="32:32" x14ac:dyDescent="0.2">
      <c r="AF62173" s="679"/>
    </row>
    <row r="62174" spans="32:32" x14ac:dyDescent="0.2">
      <c r="AF62174" s="679"/>
    </row>
    <row r="62175" spans="32:32" x14ac:dyDescent="0.2">
      <c r="AF62175" s="679"/>
    </row>
    <row r="62176" spans="32:32" x14ac:dyDescent="0.2">
      <c r="AF62176" s="679"/>
    </row>
    <row r="62177" spans="32:32" x14ac:dyDescent="0.2">
      <c r="AF62177" s="679"/>
    </row>
    <row r="62178" spans="32:32" x14ac:dyDescent="0.2">
      <c r="AF62178" s="679"/>
    </row>
    <row r="62179" spans="32:32" x14ac:dyDescent="0.2">
      <c r="AF62179" s="679"/>
    </row>
    <row r="62180" spans="32:32" x14ac:dyDescent="0.2">
      <c r="AF62180" s="679"/>
    </row>
    <row r="62181" spans="32:32" x14ac:dyDescent="0.2">
      <c r="AF62181" s="679"/>
    </row>
    <row r="62182" spans="32:32" x14ac:dyDescent="0.2">
      <c r="AF62182" s="679"/>
    </row>
    <row r="62183" spans="32:32" x14ac:dyDescent="0.2">
      <c r="AF62183" s="679"/>
    </row>
    <row r="62184" spans="32:32" x14ac:dyDescent="0.2">
      <c r="AF62184" s="679"/>
    </row>
    <row r="62185" spans="32:32" x14ac:dyDescent="0.2">
      <c r="AF62185" s="679"/>
    </row>
    <row r="62186" spans="32:32" x14ac:dyDescent="0.2">
      <c r="AF62186" s="679"/>
    </row>
    <row r="62187" spans="32:32" x14ac:dyDescent="0.2">
      <c r="AF62187" s="679"/>
    </row>
    <row r="62188" spans="32:32" x14ac:dyDescent="0.2">
      <c r="AF62188" s="679"/>
    </row>
    <row r="62189" spans="32:32" x14ac:dyDescent="0.2">
      <c r="AF62189" s="679"/>
    </row>
    <row r="62190" spans="32:32" x14ac:dyDescent="0.2">
      <c r="AF62190" s="679"/>
    </row>
    <row r="62191" spans="32:32" x14ac:dyDescent="0.2">
      <c r="AF62191" s="679"/>
    </row>
    <row r="62192" spans="32:32" x14ac:dyDescent="0.2">
      <c r="AF62192" s="679"/>
    </row>
    <row r="62193" spans="32:32" x14ac:dyDescent="0.2">
      <c r="AF62193" s="679"/>
    </row>
    <row r="62194" spans="32:32" x14ac:dyDescent="0.2">
      <c r="AF62194" s="679"/>
    </row>
    <row r="62195" spans="32:32" x14ac:dyDescent="0.2">
      <c r="AF62195" s="679"/>
    </row>
    <row r="62196" spans="32:32" x14ac:dyDescent="0.2">
      <c r="AF62196" s="679"/>
    </row>
    <row r="62197" spans="32:32" x14ac:dyDescent="0.2">
      <c r="AF62197" s="679"/>
    </row>
    <row r="62198" spans="32:32" x14ac:dyDescent="0.2">
      <c r="AF62198" s="679"/>
    </row>
    <row r="62199" spans="32:32" x14ac:dyDescent="0.2">
      <c r="AF62199" s="679"/>
    </row>
    <row r="62200" spans="32:32" x14ac:dyDescent="0.2">
      <c r="AF62200" s="679"/>
    </row>
    <row r="62201" spans="32:32" x14ac:dyDescent="0.2">
      <c r="AF62201" s="679"/>
    </row>
    <row r="62202" spans="32:32" x14ac:dyDescent="0.2">
      <c r="AF62202" s="679"/>
    </row>
    <row r="62203" spans="32:32" x14ac:dyDescent="0.2">
      <c r="AF62203" s="679"/>
    </row>
    <row r="62204" spans="32:32" x14ac:dyDescent="0.2">
      <c r="AF62204" s="679"/>
    </row>
    <row r="62205" spans="32:32" x14ac:dyDescent="0.2">
      <c r="AF62205" s="679"/>
    </row>
    <row r="62206" spans="32:32" x14ac:dyDescent="0.2">
      <c r="AF62206" s="679"/>
    </row>
    <row r="62207" spans="32:32" x14ac:dyDescent="0.2">
      <c r="AF62207" s="679"/>
    </row>
    <row r="62208" spans="32:32" x14ac:dyDescent="0.2">
      <c r="AF62208" s="679"/>
    </row>
    <row r="62209" spans="32:32" x14ac:dyDescent="0.2">
      <c r="AF62209" s="679"/>
    </row>
    <row r="62210" spans="32:32" x14ac:dyDescent="0.2">
      <c r="AF62210" s="679"/>
    </row>
    <row r="62211" spans="32:32" x14ac:dyDescent="0.2">
      <c r="AF62211" s="679"/>
    </row>
    <row r="62212" spans="32:32" x14ac:dyDescent="0.2">
      <c r="AF62212" s="679"/>
    </row>
    <row r="62213" spans="32:32" x14ac:dyDescent="0.2">
      <c r="AF62213" s="679"/>
    </row>
    <row r="62214" spans="32:32" x14ac:dyDescent="0.2">
      <c r="AF62214" s="679"/>
    </row>
    <row r="62215" spans="32:32" x14ac:dyDescent="0.2">
      <c r="AF62215" s="679"/>
    </row>
    <row r="62216" spans="32:32" x14ac:dyDescent="0.2">
      <c r="AF62216" s="679"/>
    </row>
    <row r="62217" spans="32:32" x14ac:dyDescent="0.2">
      <c r="AF62217" s="679"/>
    </row>
    <row r="62218" spans="32:32" x14ac:dyDescent="0.2">
      <c r="AF62218" s="679"/>
    </row>
    <row r="62219" spans="32:32" x14ac:dyDescent="0.2">
      <c r="AF62219" s="679"/>
    </row>
    <row r="62220" spans="32:32" x14ac:dyDescent="0.2">
      <c r="AF62220" s="679"/>
    </row>
    <row r="62221" spans="32:32" x14ac:dyDescent="0.2">
      <c r="AF62221" s="679"/>
    </row>
    <row r="62222" spans="32:32" x14ac:dyDescent="0.2">
      <c r="AF62222" s="679"/>
    </row>
    <row r="62223" spans="32:32" x14ac:dyDescent="0.2">
      <c r="AF62223" s="679"/>
    </row>
    <row r="62224" spans="32:32" x14ac:dyDescent="0.2">
      <c r="AF62224" s="679"/>
    </row>
    <row r="62225" spans="32:32" x14ac:dyDescent="0.2">
      <c r="AF62225" s="679"/>
    </row>
    <row r="62226" spans="32:32" x14ac:dyDescent="0.2">
      <c r="AF62226" s="679"/>
    </row>
    <row r="62227" spans="32:32" x14ac:dyDescent="0.2">
      <c r="AF62227" s="679"/>
    </row>
    <row r="62228" spans="32:32" x14ac:dyDescent="0.2">
      <c r="AF62228" s="679"/>
    </row>
    <row r="62229" spans="32:32" x14ac:dyDescent="0.2">
      <c r="AF62229" s="679"/>
    </row>
    <row r="62230" spans="32:32" x14ac:dyDescent="0.2">
      <c r="AF62230" s="679"/>
    </row>
    <row r="62231" spans="32:32" x14ac:dyDescent="0.2">
      <c r="AF62231" s="679"/>
    </row>
    <row r="62232" spans="32:32" x14ac:dyDescent="0.2">
      <c r="AF62232" s="679"/>
    </row>
    <row r="62233" spans="32:32" x14ac:dyDescent="0.2">
      <c r="AF62233" s="679"/>
    </row>
    <row r="62234" spans="32:32" x14ac:dyDescent="0.2">
      <c r="AF62234" s="679"/>
    </row>
    <row r="62235" spans="32:32" x14ac:dyDescent="0.2">
      <c r="AF62235" s="679"/>
    </row>
    <row r="62236" spans="32:32" x14ac:dyDescent="0.2">
      <c r="AF62236" s="679"/>
    </row>
    <row r="62237" spans="32:32" x14ac:dyDescent="0.2">
      <c r="AF62237" s="679"/>
    </row>
    <row r="62238" spans="32:32" x14ac:dyDescent="0.2">
      <c r="AF62238" s="679"/>
    </row>
    <row r="62239" spans="32:32" x14ac:dyDescent="0.2">
      <c r="AF62239" s="679"/>
    </row>
    <row r="62240" spans="32:32" x14ac:dyDescent="0.2">
      <c r="AF62240" s="679"/>
    </row>
    <row r="62241" spans="32:32" x14ac:dyDescent="0.2">
      <c r="AF62241" s="679"/>
    </row>
    <row r="62242" spans="32:32" x14ac:dyDescent="0.2">
      <c r="AF62242" s="679"/>
    </row>
    <row r="62243" spans="32:32" x14ac:dyDescent="0.2">
      <c r="AF62243" s="679"/>
    </row>
    <row r="62244" spans="32:32" x14ac:dyDescent="0.2">
      <c r="AF62244" s="679"/>
    </row>
    <row r="62245" spans="32:32" x14ac:dyDescent="0.2">
      <c r="AF62245" s="679"/>
    </row>
    <row r="62246" spans="32:32" x14ac:dyDescent="0.2">
      <c r="AF62246" s="679"/>
    </row>
    <row r="62247" spans="32:32" x14ac:dyDescent="0.2">
      <c r="AF62247" s="679"/>
    </row>
    <row r="62248" spans="32:32" x14ac:dyDescent="0.2">
      <c r="AF62248" s="679"/>
    </row>
    <row r="62249" spans="32:32" x14ac:dyDescent="0.2">
      <c r="AF62249" s="679"/>
    </row>
    <row r="62250" spans="32:32" x14ac:dyDescent="0.2">
      <c r="AF62250" s="679"/>
    </row>
    <row r="62251" spans="32:32" x14ac:dyDescent="0.2">
      <c r="AF62251" s="679"/>
    </row>
    <row r="62252" spans="32:32" x14ac:dyDescent="0.2">
      <c r="AF62252" s="679"/>
    </row>
    <row r="62253" spans="32:32" x14ac:dyDescent="0.2">
      <c r="AF62253" s="679"/>
    </row>
    <row r="62254" spans="32:32" x14ac:dyDescent="0.2">
      <c r="AF62254" s="679"/>
    </row>
    <row r="62255" spans="32:32" x14ac:dyDescent="0.2">
      <c r="AF62255" s="679"/>
    </row>
    <row r="62256" spans="32:32" x14ac:dyDescent="0.2">
      <c r="AF62256" s="679"/>
    </row>
    <row r="62257" spans="32:32" x14ac:dyDescent="0.2">
      <c r="AF62257" s="679"/>
    </row>
    <row r="62258" spans="32:32" x14ac:dyDescent="0.2">
      <c r="AF62258" s="679"/>
    </row>
    <row r="62259" spans="32:32" x14ac:dyDescent="0.2">
      <c r="AF62259" s="679"/>
    </row>
    <row r="62260" spans="32:32" x14ac:dyDescent="0.2">
      <c r="AF62260" s="679"/>
    </row>
    <row r="62261" spans="32:32" x14ac:dyDescent="0.2">
      <c r="AF62261" s="679"/>
    </row>
    <row r="62262" spans="32:32" x14ac:dyDescent="0.2">
      <c r="AF62262" s="679"/>
    </row>
    <row r="62263" spans="32:32" x14ac:dyDescent="0.2">
      <c r="AF62263" s="679"/>
    </row>
    <row r="62264" spans="32:32" x14ac:dyDescent="0.2">
      <c r="AF62264" s="679"/>
    </row>
    <row r="62265" spans="32:32" x14ac:dyDescent="0.2">
      <c r="AF62265" s="679"/>
    </row>
    <row r="62266" spans="32:32" x14ac:dyDescent="0.2">
      <c r="AF62266" s="679"/>
    </row>
    <row r="62267" spans="32:32" x14ac:dyDescent="0.2">
      <c r="AF62267" s="679"/>
    </row>
    <row r="62268" spans="32:32" x14ac:dyDescent="0.2">
      <c r="AF62268" s="679"/>
    </row>
    <row r="62269" spans="32:32" x14ac:dyDescent="0.2">
      <c r="AF62269" s="679"/>
    </row>
    <row r="62270" spans="32:32" x14ac:dyDescent="0.2">
      <c r="AF62270" s="679"/>
    </row>
    <row r="62271" spans="32:32" x14ac:dyDescent="0.2">
      <c r="AF62271" s="679"/>
    </row>
    <row r="62272" spans="32:32" x14ac:dyDescent="0.2">
      <c r="AF62272" s="679"/>
    </row>
    <row r="62273" spans="32:32" x14ac:dyDescent="0.2">
      <c r="AF62273" s="679"/>
    </row>
    <row r="62274" spans="32:32" x14ac:dyDescent="0.2">
      <c r="AF62274" s="679"/>
    </row>
    <row r="62275" spans="32:32" x14ac:dyDescent="0.2">
      <c r="AF62275" s="679"/>
    </row>
    <row r="62276" spans="32:32" x14ac:dyDescent="0.2">
      <c r="AF62276" s="679"/>
    </row>
    <row r="62277" spans="32:32" x14ac:dyDescent="0.2">
      <c r="AF62277" s="679"/>
    </row>
    <row r="62278" spans="32:32" x14ac:dyDescent="0.2">
      <c r="AF62278" s="679"/>
    </row>
    <row r="62279" spans="32:32" x14ac:dyDescent="0.2">
      <c r="AF62279" s="679"/>
    </row>
    <row r="62280" spans="32:32" x14ac:dyDescent="0.2">
      <c r="AF62280" s="679"/>
    </row>
    <row r="62281" spans="32:32" x14ac:dyDescent="0.2">
      <c r="AF62281" s="679"/>
    </row>
    <row r="62282" spans="32:32" x14ac:dyDescent="0.2">
      <c r="AF62282" s="679"/>
    </row>
    <row r="62283" spans="32:32" x14ac:dyDescent="0.2">
      <c r="AF62283" s="679"/>
    </row>
    <row r="62284" spans="32:32" x14ac:dyDescent="0.2">
      <c r="AF62284" s="679"/>
    </row>
    <row r="62285" spans="32:32" x14ac:dyDescent="0.2">
      <c r="AF62285" s="679"/>
    </row>
    <row r="62286" spans="32:32" x14ac:dyDescent="0.2">
      <c r="AF62286" s="679"/>
    </row>
    <row r="62287" spans="32:32" x14ac:dyDescent="0.2">
      <c r="AF62287" s="679"/>
    </row>
    <row r="62288" spans="32:32" x14ac:dyDescent="0.2">
      <c r="AF62288" s="679"/>
    </row>
    <row r="62289" spans="32:32" x14ac:dyDescent="0.2">
      <c r="AF62289" s="679"/>
    </row>
    <row r="62290" spans="32:32" x14ac:dyDescent="0.2">
      <c r="AF62290" s="679"/>
    </row>
    <row r="62291" spans="32:32" x14ac:dyDescent="0.2">
      <c r="AF62291" s="679"/>
    </row>
    <row r="62292" spans="32:32" x14ac:dyDescent="0.2">
      <c r="AF62292" s="679"/>
    </row>
    <row r="62293" spans="32:32" x14ac:dyDescent="0.2">
      <c r="AF62293" s="679"/>
    </row>
    <row r="62294" spans="32:32" x14ac:dyDescent="0.2">
      <c r="AF62294" s="679"/>
    </row>
    <row r="62295" spans="32:32" x14ac:dyDescent="0.2">
      <c r="AF62295" s="679"/>
    </row>
    <row r="62296" spans="32:32" x14ac:dyDescent="0.2">
      <c r="AF62296" s="679"/>
    </row>
    <row r="62297" spans="32:32" x14ac:dyDescent="0.2">
      <c r="AF62297" s="679"/>
    </row>
    <row r="62298" spans="32:32" x14ac:dyDescent="0.2">
      <c r="AF62298" s="679"/>
    </row>
    <row r="62299" spans="32:32" x14ac:dyDescent="0.2">
      <c r="AF62299" s="679"/>
    </row>
    <row r="62300" spans="32:32" x14ac:dyDescent="0.2">
      <c r="AF62300" s="679"/>
    </row>
    <row r="62301" spans="32:32" x14ac:dyDescent="0.2">
      <c r="AF62301" s="679"/>
    </row>
    <row r="62302" spans="32:32" x14ac:dyDescent="0.2">
      <c r="AF62302" s="679"/>
    </row>
    <row r="62303" spans="32:32" x14ac:dyDescent="0.2">
      <c r="AF62303" s="679"/>
    </row>
    <row r="62304" spans="32:32" x14ac:dyDescent="0.2">
      <c r="AF62304" s="679"/>
    </row>
    <row r="62305" spans="32:32" x14ac:dyDescent="0.2">
      <c r="AF62305" s="679"/>
    </row>
    <row r="62306" spans="32:32" x14ac:dyDescent="0.2">
      <c r="AF62306" s="679"/>
    </row>
    <row r="62307" spans="32:32" x14ac:dyDescent="0.2">
      <c r="AF62307" s="679"/>
    </row>
    <row r="62308" spans="32:32" x14ac:dyDescent="0.2">
      <c r="AF62308" s="679"/>
    </row>
    <row r="62309" spans="32:32" x14ac:dyDescent="0.2">
      <c r="AF62309" s="679"/>
    </row>
    <row r="62310" spans="32:32" x14ac:dyDescent="0.2">
      <c r="AF62310" s="679"/>
    </row>
    <row r="62311" spans="32:32" x14ac:dyDescent="0.2">
      <c r="AF62311" s="679"/>
    </row>
    <row r="62312" spans="32:32" x14ac:dyDescent="0.2">
      <c r="AF62312" s="679"/>
    </row>
    <row r="62313" spans="32:32" x14ac:dyDescent="0.2">
      <c r="AF62313" s="679"/>
    </row>
    <row r="62314" spans="32:32" x14ac:dyDescent="0.2">
      <c r="AF62314" s="679"/>
    </row>
    <row r="62315" spans="32:32" x14ac:dyDescent="0.2">
      <c r="AF62315" s="679"/>
    </row>
    <row r="62316" spans="32:32" x14ac:dyDescent="0.2">
      <c r="AF62316" s="679"/>
    </row>
    <row r="62317" spans="32:32" x14ac:dyDescent="0.2">
      <c r="AF62317" s="679"/>
    </row>
    <row r="62318" spans="32:32" x14ac:dyDescent="0.2">
      <c r="AF62318" s="679"/>
    </row>
    <row r="62319" spans="32:32" x14ac:dyDescent="0.2">
      <c r="AF62319" s="679"/>
    </row>
    <row r="62320" spans="32:32" x14ac:dyDescent="0.2">
      <c r="AF62320" s="679"/>
    </row>
    <row r="62321" spans="32:32" x14ac:dyDescent="0.2">
      <c r="AF62321" s="679"/>
    </row>
    <row r="62322" spans="32:32" x14ac:dyDescent="0.2">
      <c r="AF62322" s="679"/>
    </row>
    <row r="62323" spans="32:32" x14ac:dyDescent="0.2">
      <c r="AF62323" s="679"/>
    </row>
    <row r="62324" spans="32:32" x14ac:dyDescent="0.2">
      <c r="AF62324" s="679"/>
    </row>
    <row r="62325" spans="32:32" x14ac:dyDescent="0.2">
      <c r="AF62325" s="679"/>
    </row>
    <row r="62326" spans="32:32" x14ac:dyDescent="0.2">
      <c r="AF62326" s="679"/>
    </row>
    <row r="62327" spans="32:32" x14ac:dyDescent="0.2">
      <c r="AF62327" s="679"/>
    </row>
    <row r="62328" spans="32:32" x14ac:dyDescent="0.2">
      <c r="AF62328" s="679"/>
    </row>
    <row r="62329" spans="32:32" x14ac:dyDescent="0.2">
      <c r="AF62329" s="679"/>
    </row>
    <row r="62330" spans="32:32" x14ac:dyDescent="0.2">
      <c r="AF62330" s="679"/>
    </row>
    <row r="62331" spans="32:32" x14ac:dyDescent="0.2">
      <c r="AF62331" s="679"/>
    </row>
    <row r="62332" spans="32:32" x14ac:dyDescent="0.2">
      <c r="AF62332" s="679"/>
    </row>
    <row r="62333" spans="32:32" x14ac:dyDescent="0.2">
      <c r="AF62333" s="679"/>
    </row>
    <row r="62334" spans="32:32" x14ac:dyDescent="0.2">
      <c r="AF62334" s="679"/>
    </row>
    <row r="62335" spans="32:32" x14ac:dyDescent="0.2">
      <c r="AF62335" s="679"/>
    </row>
    <row r="62336" spans="32:32" x14ac:dyDescent="0.2">
      <c r="AF62336" s="679"/>
    </row>
    <row r="62337" spans="32:32" x14ac:dyDescent="0.2">
      <c r="AF62337" s="679"/>
    </row>
    <row r="62338" spans="32:32" x14ac:dyDescent="0.2">
      <c r="AF62338" s="679"/>
    </row>
    <row r="62339" spans="32:32" x14ac:dyDescent="0.2">
      <c r="AF62339" s="679"/>
    </row>
    <row r="62340" spans="32:32" x14ac:dyDescent="0.2">
      <c r="AF62340" s="679"/>
    </row>
    <row r="62341" spans="32:32" x14ac:dyDescent="0.2">
      <c r="AF62341" s="679"/>
    </row>
    <row r="62342" spans="32:32" x14ac:dyDescent="0.2">
      <c r="AF62342" s="679"/>
    </row>
    <row r="62343" spans="32:32" x14ac:dyDescent="0.2">
      <c r="AF62343" s="679"/>
    </row>
    <row r="62344" spans="32:32" x14ac:dyDescent="0.2">
      <c r="AF62344" s="679"/>
    </row>
    <row r="62345" spans="32:32" x14ac:dyDescent="0.2">
      <c r="AF62345" s="679"/>
    </row>
    <row r="62346" spans="32:32" x14ac:dyDescent="0.2">
      <c r="AF62346" s="679"/>
    </row>
    <row r="62347" spans="32:32" x14ac:dyDescent="0.2">
      <c r="AF62347" s="679"/>
    </row>
    <row r="62348" spans="32:32" x14ac:dyDescent="0.2">
      <c r="AF62348" s="679"/>
    </row>
    <row r="62349" spans="32:32" x14ac:dyDescent="0.2">
      <c r="AF62349" s="679"/>
    </row>
    <row r="62350" spans="32:32" x14ac:dyDescent="0.2">
      <c r="AF62350" s="679"/>
    </row>
    <row r="62351" spans="32:32" x14ac:dyDescent="0.2">
      <c r="AF62351" s="679"/>
    </row>
    <row r="62352" spans="32:32" x14ac:dyDescent="0.2">
      <c r="AF62352" s="679"/>
    </row>
    <row r="62353" spans="32:32" x14ac:dyDescent="0.2">
      <c r="AF62353" s="679"/>
    </row>
    <row r="62354" spans="32:32" x14ac:dyDescent="0.2">
      <c r="AF62354" s="679"/>
    </row>
    <row r="62355" spans="32:32" x14ac:dyDescent="0.2">
      <c r="AF62355" s="679"/>
    </row>
    <row r="62356" spans="32:32" x14ac:dyDescent="0.2">
      <c r="AF62356" s="679"/>
    </row>
    <row r="62357" spans="32:32" x14ac:dyDescent="0.2">
      <c r="AF62357" s="679"/>
    </row>
    <row r="62358" spans="32:32" x14ac:dyDescent="0.2">
      <c r="AF62358" s="679"/>
    </row>
    <row r="62359" spans="32:32" x14ac:dyDescent="0.2">
      <c r="AF62359" s="679"/>
    </row>
    <row r="62360" spans="32:32" x14ac:dyDescent="0.2">
      <c r="AF62360" s="679"/>
    </row>
    <row r="62361" spans="32:32" x14ac:dyDescent="0.2">
      <c r="AF62361" s="679"/>
    </row>
    <row r="62362" spans="32:32" x14ac:dyDescent="0.2">
      <c r="AF62362" s="679"/>
    </row>
    <row r="62363" spans="32:32" x14ac:dyDescent="0.2">
      <c r="AF62363" s="679"/>
    </row>
    <row r="62364" spans="32:32" x14ac:dyDescent="0.2">
      <c r="AF62364" s="679"/>
    </row>
    <row r="62365" spans="32:32" x14ac:dyDescent="0.2">
      <c r="AF62365" s="679"/>
    </row>
    <row r="62366" spans="32:32" x14ac:dyDescent="0.2">
      <c r="AF62366" s="679"/>
    </row>
    <row r="62367" spans="32:32" x14ac:dyDescent="0.2">
      <c r="AF62367" s="679"/>
    </row>
    <row r="62368" spans="32:32" x14ac:dyDescent="0.2">
      <c r="AF62368" s="679"/>
    </row>
    <row r="62369" spans="32:32" x14ac:dyDescent="0.2">
      <c r="AF62369" s="679"/>
    </row>
    <row r="62370" spans="32:32" x14ac:dyDescent="0.2">
      <c r="AF62370" s="679"/>
    </row>
    <row r="62371" spans="32:32" x14ac:dyDescent="0.2">
      <c r="AF62371" s="679"/>
    </row>
    <row r="62372" spans="32:32" x14ac:dyDescent="0.2">
      <c r="AF62372" s="679"/>
    </row>
    <row r="62373" spans="32:32" x14ac:dyDescent="0.2">
      <c r="AF62373" s="679"/>
    </row>
    <row r="62374" spans="32:32" x14ac:dyDescent="0.2">
      <c r="AF62374" s="679"/>
    </row>
    <row r="62375" spans="32:32" x14ac:dyDescent="0.2">
      <c r="AF62375" s="679"/>
    </row>
    <row r="62376" spans="32:32" x14ac:dyDescent="0.2">
      <c r="AF62376" s="679"/>
    </row>
    <row r="62377" spans="32:32" x14ac:dyDescent="0.2">
      <c r="AF62377" s="679"/>
    </row>
    <row r="62378" spans="32:32" x14ac:dyDescent="0.2">
      <c r="AF62378" s="679"/>
    </row>
    <row r="62379" spans="32:32" x14ac:dyDescent="0.2">
      <c r="AF62379" s="679"/>
    </row>
    <row r="62380" spans="32:32" x14ac:dyDescent="0.2">
      <c r="AF62380" s="679"/>
    </row>
    <row r="62381" spans="32:32" x14ac:dyDescent="0.2">
      <c r="AF62381" s="679"/>
    </row>
    <row r="62382" spans="32:32" x14ac:dyDescent="0.2">
      <c r="AF62382" s="679"/>
    </row>
    <row r="62383" spans="32:32" x14ac:dyDescent="0.2">
      <c r="AF62383" s="679"/>
    </row>
    <row r="62384" spans="32:32" x14ac:dyDescent="0.2">
      <c r="AF62384" s="679"/>
    </row>
    <row r="62385" spans="32:32" x14ac:dyDescent="0.2">
      <c r="AF62385" s="679"/>
    </row>
    <row r="62386" spans="32:32" x14ac:dyDescent="0.2">
      <c r="AF62386" s="679"/>
    </row>
    <row r="62387" spans="32:32" x14ac:dyDescent="0.2">
      <c r="AF62387" s="679"/>
    </row>
    <row r="62388" spans="32:32" x14ac:dyDescent="0.2">
      <c r="AF62388" s="679"/>
    </row>
    <row r="62389" spans="32:32" x14ac:dyDescent="0.2">
      <c r="AF62389" s="679"/>
    </row>
    <row r="62390" spans="32:32" x14ac:dyDescent="0.2">
      <c r="AF62390" s="679"/>
    </row>
    <row r="62391" spans="32:32" x14ac:dyDescent="0.2">
      <c r="AF62391" s="679"/>
    </row>
    <row r="62392" spans="32:32" x14ac:dyDescent="0.2">
      <c r="AF62392" s="679"/>
    </row>
    <row r="62393" spans="32:32" x14ac:dyDescent="0.2">
      <c r="AF62393" s="679"/>
    </row>
    <row r="62394" spans="32:32" x14ac:dyDescent="0.2">
      <c r="AF62394" s="679"/>
    </row>
    <row r="62395" spans="32:32" x14ac:dyDescent="0.2">
      <c r="AF62395" s="679"/>
    </row>
    <row r="62396" spans="32:32" x14ac:dyDescent="0.2">
      <c r="AF62396" s="679"/>
    </row>
    <row r="62397" spans="32:32" x14ac:dyDescent="0.2">
      <c r="AF62397" s="679"/>
    </row>
    <row r="62398" spans="32:32" x14ac:dyDescent="0.2">
      <c r="AF62398" s="679"/>
    </row>
    <row r="62399" spans="32:32" x14ac:dyDescent="0.2">
      <c r="AF62399" s="679"/>
    </row>
    <row r="62400" spans="32:32" x14ac:dyDescent="0.2">
      <c r="AF62400" s="679"/>
    </row>
    <row r="62401" spans="32:32" x14ac:dyDescent="0.2">
      <c r="AF62401" s="679"/>
    </row>
    <row r="62402" spans="32:32" x14ac:dyDescent="0.2">
      <c r="AF62402" s="679"/>
    </row>
    <row r="62403" spans="32:32" x14ac:dyDescent="0.2">
      <c r="AF62403" s="679"/>
    </row>
    <row r="62404" spans="32:32" x14ac:dyDescent="0.2">
      <c r="AF62404" s="679"/>
    </row>
    <row r="62405" spans="32:32" x14ac:dyDescent="0.2">
      <c r="AF62405" s="679"/>
    </row>
    <row r="62406" spans="32:32" x14ac:dyDescent="0.2">
      <c r="AF62406" s="679"/>
    </row>
    <row r="62407" spans="32:32" x14ac:dyDescent="0.2">
      <c r="AF62407" s="679"/>
    </row>
    <row r="62408" spans="32:32" x14ac:dyDescent="0.2">
      <c r="AF62408" s="679"/>
    </row>
    <row r="62409" spans="32:32" x14ac:dyDescent="0.2">
      <c r="AF62409" s="679"/>
    </row>
    <row r="62410" spans="32:32" x14ac:dyDescent="0.2">
      <c r="AF62410" s="679"/>
    </row>
    <row r="62411" spans="32:32" x14ac:dyDescent="0.2">
      <c r="AF62411" s="679"/>
    </row>
    <row r="62412" spans="32:32" x14ac:dyDescent="0.2">
      <c r="AF62412" s="679"/>
    </row>
    <row r="62413" spans="32:32" x14ac:dyDescent="0.2">
      <c r="AF62413" s="679"/>
    </row>
    <row r="62414" spans="32:32" x14ac:dyDescent="0.2">
      <c r="AF62414" s="679"/>
    </row>
    <row r="62415" spans="32:32" x14ac:dyDescent="0.2">
      <c r="AF62415" s="679"/>
    </row>
    <row r="62416" spans="32:32" x14ac:dyDescent="0.2">
      <c r="AF62416" s="679"/>
    </row>
    <row r="62417" spans="32:32" x14ac:dyDescent="0.2">
      <c r="AF62417" s="679"/>
    </row>
    <row r="62418" spans="32:32" x14ac:dyDescent="0.2">
      <c r="AF62418" s="679"/>
    </row>
    <row r="62419" spans="32:32" x14ac:dyDescent="0.2">
      <c r="AF62419" s="679"/>
    </row>
    <row r="62420" spans="32:32" x14ac:dyDescent="0.2">
      <c r="AF62420" s="679"/>
    </row>
    <row r="62421" spans="32:32" x14ac:dyDescent="0.2">
      <c r="AF62421" s="679"/>
    </row>
    <row r="62422" spans="32:32" x14ac:dyDescent="0.2">
      <c r="AF62422" s="679"/>
    </row>
    <row r="62423" spans="32:32" x14ac:dyDescent="0.2">
      <c r="AF62423" s="679"/>
    </row>
    <row r="62424" spans="32:32" x14ac:dyDescent="0.2">
      <c r="AF62424" s="679"/>
    </row>
    <row r="62425" spans="32:32" x14ac:dyDescent="0.2">
      <c r="AF62425" s="679"/>
    </row>
    <row r="62426" spans="32:32" x14ac:dyDescent="0.2">
      <c r="AF62426" s="679"/>
    </row>
    <row r="62427" spans="32:32" x14ac:dyDescent="0.2">
      <c r="AF62427" s="679"/>
    </row>
    <row r="62428" spans="32:32" x14ac:dyDescent="0.2">
      <c r="AF62428" s="679"/>
    </row>
    <row r="62429" spans="32:32" x14ac:dyDescent="0.2">
      <c r="AF62429" s="679"/>
    </row>
    <row r="62430" spans="32:32" x14ac:dyDescent="0.2">
      <c r="AF62430" s="679"/>
    </row>
    <row r="62431" spans="32:32" x14ac:dyDescent="0.2">
      <c r="AF62431" s="679"/>
    </row>
    <row r="62432" spans="32:32" x14ac:dyDescent="0.2">
      <c r="AF62432" s="679"/>
    </row>
    <row r="62433" spans="32:32" x14ac:dyDescent="0.2">
      <c r="AF62433" s="679"/>
    </row>
    <row r="62434" spans="32:32" x14ac:dyDescent="0.2">
      <c r="AF62434" s="679"/>
    </row>
    <row r="62435" spans="32:32" x14ac:dyDescent="0.2">
      <c r="AF62435" s="679"/>
    </row>
    <row r="62436" spans="32:32" x14ac:dyDescent="0.2">
      <c r="AF62436" s="679"/>
    </row>
    <row r="62437" spans="32:32" x14ac:dyDescent="0.2">
      <c r="AF62437" s="679"/>
    </row>
    <row r="62438" spans="32:32" x14ac:dyDescent="0.2">
      <c r="AF62438" s="679"/>
    </row>
    <row r="62439" spans="32:32" x14ac:dyDescent="0.2">
      <c r="AF62439" s="679"/>
    </row>
    <row r="62440" spans="32:32" x14ac:dyDescent="0.2">
      <c r="AF62440" s="679"/>
    </row>
    <row r="62441" spans="32:32" x14ac:dyDescent="0.2">
      <c r="AF62441" s="679"/>
    </row>
    <row r="62442" spans="32:32" x14ac:dyDescent="0.2">
      <c r="AF62442" s="679"/>
    </row>
    <row r="62443" spans="32:32" x14ac:dyDescent="0.2">
      <c r="AF62443" s="679"/>
    </row>
    <row r="62444" spans="32:32" x14ac:dyDescent="0.2">
      <c r="AF62444" s="679"/>
    </row>
    <row r="62445" spans="32:32" x14ac:dyDescent="0.2">
      <c r="AF62445" s="679"/>
    </row>
    <row r="62446" spans="32:32" x14ac:dyDescent="0.2">
      <c r="AF62446" s="679"/>
    </row>
    <row r="62447" spans="32:32" x14ac:dyDescent="0.2">
      <c r="AF62447" s="679"/>
    </row>
    <row r="62448" spans="32:32" x14ac:dyDescent="0.2">
      <c r="AF62448" s="679"/>
    </row>
    <row r="62449" spans="32:32" x14ac:dyDescent="0.2">
      <c r="AF62449" s="679"/>
    </row>
    <row r="62450" spans="32:32" x14ac:dyDescent="0.2">
      <c r="AF62450" s="679"/>
    </row>
    <row r="62451" spans="32:32" x14ac:dyDescent="0.2">
      <c r="AF62451" s="679"/>
    </row>
    <row r="62452" spans="32:32" x14ac:dyDescent="0.2">
      <c r="AF62452" s="679"/>
    </row>
    <row r="62453" spans="32:32" x14ac:dyDescent="0.2">
      <c r="AF62453" s="679"/>
    </row>
    <row r="62454" spans="32:32" x14ac:dyDescent="0.2">
      <c r="AF62454" s="679"/>
    </row>
    <row r="62455" spans="32:32" x14ac:dyDescent="0.2">
      <c r="AF62455" s="679"/>
    </row>
    <row r="62456" spans="32:32" x14ac:dyDescent="0.2">
      <c r="AF62456" s="679"/>
    </row>
    <row r="62457" spans="32:32" x14ac:dyDescent="0.2">
      <c r="AF62457" s="679"/>
    </row>
    <row r="62458" spans="32:32" x14ac:dyDescent="0.2">
      <c r="AF62458" s="679"/>
    </row>
    <row r="62459" spans="32:32" x14ac:dyDescent="0.2">
      <c r="AF62459" s="679"/>
    </row>
    <row r="62460" spans="32:32" x14ac:dyDescent="0.2">
      <c r="AF62460" s="679"/>
    </row>
    <row r="62461" spans="32:32" x14ac:dyDescent="0.2">
      <c r="AF62461" s="679"/>
    </row>
    <row r="62462" spans="32:32" x14ac:dyDescent="0.2">
      <c r="AF62462" s="679"/>
    </row>
    <row r="62463" spans="32:32" x14ac:dyDescent="0.2">
      <c r="AF62463" s="679"/>
    </row>
    <row r="62464" spans="32:32" x14ac:dyDescent="0.2">
      <c r="AF62464" s="679"/>
    </row>
    <row r="62465" spans="32:32" x14ac:dyDescent="0.2">
      <c r="AF62465" s="679"/>
    </row>
    <row r="62466" spans="32:32" x14ac:dyDescent="0.2">
      <c r="AF62466" s="679"/>
    </row>
    <row r="62467" spans="32:32" x14ac:dyDescent="0.2">
      <c r="AF62467" s="679"/>
    </row>
    <row r="62468" spans="32:32" x14ac:dyDescent="0.2">
      <c r="AF62468" s="679"/>
    </row>
    <row r="62469" spans="32:32" x14ac:dyDescent="0.2">
      <c r="AF62469" s="679"/>
    </row>
    <row r="62470" spans="32:32" x14ac:dyDescent="0.2">
      <c r="AF62470" s="679"/>
    </row>
    <row r="62471" spans="32:32" x14ac:dyDescent="0.2">
      <c r="AF62471" s="679"/>
    </row>
    <row r="62472" spans="32:32" x14ac:dyDescent="0.2">
      <c r="AF62472" s="679"/>
    </row>
    <row r="62473" spans="32:32" x14ac:dyDescent="0.2">
      <c r="AF62473" s="679"/>
    </row>
    <row r="62474" spans="32:32" x14ac:dyDescent="0.2">
      <c r="AF62474" s="679"/>
    </row>
    <row r="62475" spans="32:32" x14ac:dyDescent="0.2">
      <c r="AF62475" s="679"/>
    </row>
    <row r="62476" spans="32:32" x14ac:dyDescent="0.2">
      <c r="AF62476" s="679"/>
    </row>
    <row r="62477" spans="32:32" x14ac:dyDescent="0.2">
      <c r="AF62477" s="679"/>
    </row>
    <row r="62478" spans="32:32" x14ac:dyDescent="0.2">
      <c r="AF62478" s="679"/>
    </row>
    <row r="62479" spans="32:32" x14ac:dyDescent="0.2">
      <c r="AF62479" s="679"/>
    </row>
    <row r="62480" spans="32:32" x14ac:dyDescent="0.2">
      <c r="AF62480" s="679"/>
    </row>
    <row r="62481" spans="32:32" x14ac:dyDescent="0.2">
      <c r="AF62481" s="679"/>
    </row>
    <row r="62482" spans="32:32" x14ac:dyDescent="0.2">
      <c r="AF62482" s="679"/>
    </row>
    <row r="62483" spans="32:32" x14ac:dyDescent="0.2">
      <c r="AF62483" s="679"/>
    </row>
    <row r="62484" spans="32:32" x14ac:dyDescent="0.2">
      <c r="AF62484" s="679"/>
    </row>
    <row r="62485" spans="32:32" x14ac:dyDescent="0.2">
      <c r="AF62485" s="679"/>
    </row>
    <row r="62486" spans="32:32" x14ac:dyDescent="0.2">
      <c r="AF62486" s="679"/>
    </row>
    <row r="62487" spans="32:32" x14ac:dyDescent="0.2">
      <c r="AF62487" s="679"/>
    </row>
    <row r="62488" spans="32:32" x14ac:dyDescent="0.2">
      <c r="AF62488" s="679"/>
    </row>
    <row r="62489" spans="32:32" x14ac:dyDescent="0.2">
      <c r="AF62489" s="679"/>
    </row>
    <row r="62490" spans="32:32" x14ac:dyDescent="0.2">
      <c r="AF62490" s="679"/>
    </row>
    <row r="62491" spans="32:32" x14ac:dyDescent="0.2">
      <c r="AF62491" s="679"/>
    </row>
    <row r="62492" spans="32:32" x14ac:dyDescent="0.2">
      <c r="AF62492" s="679"/>
    </row>
    <row r="62493" spans="32:32" x14ac:dyDescent="0.2">
      <c r="AF62493" s="679"/>
    </row>
    <row r="62494" spans="32:32" x14ac:dyDescent="0.2">
      <c r="AF62494" s="679"/>
    </row>
    <row r="62495" spans="32:32" x14ac:dyDescent="0.2">
      <c r="AF62495" s="679"/>
    </row>
    <row r="62496" spans="32:32" x14ac:dyDescent="0.2">
      <c r="AF62496" s="679"/>
    </row>
    <row r="62497" spans="32:32" x14ac:dyDescent="0.2">
      <c r="AF62497" s="679"/>
    </row>
    <row r="62498" spans="32:32" x14ac:dyDescent="0.2">
      <c r="AF62498" s="679"/>
    </row>
    <row r="62499" spans="32:32" x14ac:dyDescent="0.2">
      <c r="AF62499" s="679"/>
    </row>
    <row r="62500" spans="32:32" x14ac:dyDescent="0.2">
      <c r="AF62500" s="679"/>
    </row>
    <row r="62501" spans="32:32" x14ac:dyDescent="0.2">
      <c r="AF62501" s="679"/>
    </row>
    <row r="62502" spans="32:32" x14ac:dyDescent="0.2">
      <c r="AF62502" s="679"/>
    </row>
    <row r="62503" spans="32:32" x14ac:dyDescent="0.2">
      <c r="AF62503" s="679"/>
    </row>
    <row r="62504" spans="32:32" x14ac:dyDescent="0.2">
      <c r="AF62504" s="679"/>
    </row>
    <row r="62505" spans="32:32" x14ac:dyDescent="0.2">
      <c r="AF62505" s="679"/>
    </row>
    <row r="62506" spans="32:32" x14ac:dyDescent="0.2">
      <c r="AF62506" s="679"/>
    </row>
    <row r="62507" spans="32:32" x14ac:dyDescent="0.2">
      <c r="AF62507" s="679"/>
    </row>
    <row r="62508" spans="32:32" x14ac:dyDescent="0.2">
      <c r="AF62508" s="679"/>
    </row>
    <row r="62509" spans="32:32" x14ac:dyDescent="0.2">
      <c r="AF62509" s="679"/>
    </row>
    <row r="62510" spans="32:32" x14ac:dyDescent="0.2">
      <c r="AF62510" s="679"/>
    </row>
    <row r="62511" spans="32:32" x14ac:dyDescent="0.2">
      <c r="AF62511" s="679"/>
    </row>
    <row r="62512" spans="32:32" x14ac:dyDescent="0.2">
      <c r="AF62512" s="679"/>
    </row>
    <row r="62513" spans="32:32" x14ac:dyDescent="0.2">
      <c r="AF62513" s="679"/>
    </row>
    <row r="62514" spans="32:32" x14ac:dyDescent="0.2">
      <c r="AF62514" s="679"/>
    </row>
    <row r="62515" spans="32:32" x14ac:dyDescent="0.2">
      <c r="AF62515" s="679"/>
    </row>
    <row r="62516" spans="32:32" x14ac:dyDescent="0.2">
      <c r="AF62516" s="679"/>
    </row>
    <row r="62517" spans="32:32" x14ac:dyDescent="0.2">
      <c r="AF62517" s="679"/>
    </row>
    <row r="62518" spans="32:32" x14ac:dyDescent="0.2">
      <c r="AF62518" s="679"/>
    </row>
    <row r="62519" spans="32:32" x14ac:dyDescent="0.2">
      <c r="AF62519" s="679"/>
    </row>
    <row r="62520" spans="32:32" x14ac:dyDescent="0.2">
      <c r="AF62520" s="679"/>
    </row>
    <row r="62521" spans="32:32" x14ac:dyDescent="0.2">
      <c r="AF62521" s="679"/>
    </row>
    <row r="62522" spans="32:32" x14ac:dyDescent="0.2">
      <c r="AF62522" s="679"/>
    </row>
    <row r="62523" spans="32:32" x14ac:dyDescent="0.2">
      <c r="AF62523" s="679"/>
    </row>
    <row r="62524" spans="32:32" x14ac:dyDescent="0.2">
      <c r="AF62524" s="679"/>
    </row>
    <row r="62525" spans="32:32" x14ac:dyDescent="0.2">
      <c r="AF62525" s="679"/>
    </row>
    <row r="62526" spans="32:32" x14ac:dyDescent="0.2">
      <c r="AF62526" s="679"/>
    </row>
    <row r="62527" spans="32:32" x14ac:dyDescent="0.2">
      <c r="AF62527" s="679"/>
    </row>
    <row r="62528" spans="32:32" x14ac:dyDescent="0.2">
      <c r="AF62528" s="679"/>
    </row>
    <row r="62529" spans="32:32" x14ac:dyDescent="0.2">
      <c r="AF62529" s="679"/>
    </row>
    <row r="62530" spans="32:32" x14ac:dyDescent="0.2">
      <c r="AF62530" s="679"/>
    </row>
    <row r="62531" spans="32:32" x14ac:dyDescent="0.2">
      <c r="AF62531" s="679"/>
    </row>
    <row r="62532" spans="32:32" x14ac:dyDescent="0.2">
      <c r="AF62532" s="679"/>
    </row>
    <row r="62533" spans="32:32" x14ac:dyDescent="0.2">
      <c r="AF62533" s="679"/>
    </row>
    <row r="62534" spans="32:32" x14ac:dyDescent="0.2">
      <c r="AF62534" s="679"/>
    </row>
    <row r="62535" spans="32:32" x14ac:dyDescent="0.2">
      <c r="AF62535" s="679"/>
    </row>
    <row r="62536" spans="32:32" x14ac:dyDescent="0.2">
      <c r="AF62536" s="679"/>
    </row>
    <row r="62537" spans="32:32" x14ac:dyDescent="0.2">
      <c r="AF62537" s="679"/>
    </row>
    <row r="62538" spans="32:32" x14ac:dyDescent="0.2">
      <c r="AF62538" s="679"/>
    </row>
    <row r="62539" spans="32:32" x14ac:dyDescent="0.2">
      <c r="AF62539" s="679"/>
    </row>
    <row r="62540" spans="32:32" x14ac:dyDescent="0.2">
      <c r="AF62540" s="679"/>
    </row>
    <row r="62541" spans="32:32" x14ac:dyDescent="0.2">
      <c r="AF62541" s="679"/>
    </row>
    <row r="62542" spans="32:32" x14ac:dyDescent="0.2">
      <c r="AF62542" s="679"/>
    </row>
    <row r="62543" spans="32:32" x14ac:dyDescent="0.2">
      <c r="AF62543" s="679"/>
    </row>
    <row r="62544" spans="32:32" x14ac:dyDescent="0.2">
      <c r="AF62544" s="679"/>
    </row>
    <row r="62545" spans="32:32" x14ac:dyDescent="0.2">
      <c r="AF62545" s="679"/>
    </row>
    <row r="62546" spans="32:32" x14ac:dyDescent="0.2">
      <c r="AF62546" s="679"/>
    </row>
    <row r="62547" spans="32:32" x14ac:dyDescent="0.2">
      <c r="AF62547" s="679"/>
    </row>
    <row r="62548" spans="32:32" x14ac:dyDescent="0.2">
      <c r="AF62548" s="679"/>
    </row>
    <row r="62549" spans="32:32" x14ac:dyDescent="0.2">
      <c r="AF62549" s="679"/>
    </row>
    <row r="62550" spans="32:32" x14ac:dyDescent="0.2">
      <c r="AF62550" s="679"/>
    </row>
    <row r="62551" spans="32:32" x14ac:dyDescent="0.2">
      <c r="AF62551" s="679"/>
    </row>
    <row r="62552" spans="32:32" x14ac:dyDescent="0.2">
      <c r="AF62552" s="679"/>
    </row>
    <row r="62553" spans="32:32" x14ac:dyDescent="0.2">
      <c r="AF62553" s="679"/>
    </row>
    <row r="62554" spans="32:32" x14ac:dyDescent="0.2">
      <c r="AF62554" s="679"/>
    </row>
    <row r="62555" spans="32:32" x14ac:dyDescent="0.2">
      <c r="AF62555" s="679"/>
    </row>
    <row r="62556" spans="32:32" x14ac:dyDescent="0.2">
      <c r="AF62556" s="679"/>
    </row>
    <row r="62557" spans="32:32" x14ac:dyDescent="0.2">
      <c r="AF62557" s="679"/>
    </row>
    <row r="62558" spans="32:32" x14ac:dyDescent="0.2">
      <c r="AF62558" s="679"/>
    </row>
    <row r="62559" spans="32:32" x14ac:dyDescent="0.2">
      <c r="AF62559" s="679"/>
    </row>
    <row r="62560" spans="32:32" x14ac:dyDescent="0.2">
      <c r="AF62560" s="679"/>
    </row>
    <row r="62561" spans="32:32" x14ac:dyDescent="0.2">
      <c r="AF62561" s="679"/>
    </row>
    <row r="62562" spans="32:32" x14ac:dyDescent="0.2">
      <c r="AF62562" s="679"/>
    </row>
    <row r="62563" spans="32:32" x14ac:dyDescent="0.2">
      <c r="AF62563" s="679"/>
    </row>
    <row r="62564" spans="32:32" x14ac:dyDescent="0.2">
      <c r="AF62564" s="679"/>
    </row>
    <row r="62565" spans="32:32" x14ac:dyDescent="0.2">
      <c r="AF62565" s="679"/>
    </row>
    <row r="62566" spans="32:32" x14ac:dyDescent="0.2">
      <c r="AF62566" s="679"/>
    </row>
    <row r="62567" spans="32:32" x14ac:dyDescent="0.2">
      <c r="AF62567" s="679"/>
    </row>
    <row r="62568" spans="32:32" x14ac:dyDescent="0.2">
      <c r="AF62568" s="679"/>
    </row>
    <row r="62569" spans="32:32" x14ac:dyDescent="0.2">
      <c r="AF62569" s="679"/>
    </row>
    <row r="62570" spans="32:32" x14ac:dyDescent="0.2">
      <c r="AF62570" s="679"/>
    </row>
    <row r="62571" spans="32:32" x14ac:dyDescent="0.2">
      <c r="AF62571" s="679"/>
    </row>
    <row r="62572" spans="32:32" x14ac:dyDescent="0.2">
      <c r="AF62572" s="679"/>
    </row>
    <row r="62573" spans="32:32" x14ac:dyDescent="0.2">
      <c r="AF62573" s="679"/>
    </row>
    <row r="62574" spans="32:32" x14ac:dyDescent="0.2">
      <c r="AF62574" s="679"/>
    </row>
    <row r="62575" spans="32:32" x14ac:dyDescent="0.2">
      <c r="AF62575" s="679"/>
    </row>
    <row r="62576" spans="32:32" x14ac:dyDescent="0.2">
      <c r="AF62576" s="679"/>
    </row>
    <row r="62577" spans="32:32" x14ac:dyDescent="0.2">
      <c r="AF62577" s="679"/>
    </row>
    <row r="62578" spans="32:32" x14ac:dyDescent="0.2">
      <c r="AF62578" s="679"/>
    </row>
    <row r="62579" spans="32:32" x14ac:dyDescent="0.2">
      <c r="AF62579" s="679"/>
    </row>
    <row r="62580" spans="32:32" x14ac:dyDescent="0.2">
      <c r="AF62580" s="679"/>
    </row>
    <row r="62581" spans="32:32" x14ac:dyDescent="0.2">
      <c r="AF62581" s="679"/>
    </row>
    <row r="62582" spans="32:32" x14ac:dyDescent="0.2">
      <c r="AF62582" s="679"/>
    </row>
    <row r="62583" spans="32:32" x14ac:dyDescent="0.2">
      <c r="AF62583" s="679"/>
    </row>
    <row r="62584" spans="32:32" x14ac:dyDescent="0.2">
      <c r="AF62584" s="679"/>
    </row>
    <row r="62585" spans="32:32" x14ac:dyDescent="0.2">
      <c r="AF62585" s="679"/>
    </row>
    <row r="62586" spans="32:32" x14ac:dyDescent="0.2">
      <c r="AF62586" s="679"/>
    </row>
    <row r="62587" spans="32:32" x14ac:dyDescent="0.2">
      <c r="AF62587" s="679"/>
    </row>
    <row r="62588" spans="32:32" x14ac:dyDescent="0.2">
      <c r="AF62588" s="679"/>
    </row>
    <row r="62589" spans="32:32" x14ac:dyDescent="0.2">
      <c r="AF62589" s="679"/>
    </row>
    <row r="62590" spans="32:32" x14ac:dyDescent="0.2">
      <c r="AF62590" s="679"/>
    </row>
    <row r="62591" spans="32:32" x14ac:dyDescent="0.2">
      <c r="AF62591" s="679"/>
    </row>
    <row r="62592" spans="32:32" x14ac:dyDescent="0.2">
      <c r="AF62592" s="679"/>
    </row>
    <row r="62593" spans="32:32" x14ac:dyDescent="0.2">
      <c r="AF62593" s="679"/>
    </row>
    <row r="62594" spans="32:32" x14ac:dyDescent="0.2">
      <c r="AF62594" s="679"/>
    </row>
    <row r="62595" spans="32:32" x14ac:dyDescent="0.2">
      <c r="AF62595" s="679"/>
    </row>
    <row r="62596" spans="32:32" x14ac:dyDescent="0.2">
      <c r="AF62596" s="679"/>
    </row>
    <row r="62597" spans="32:32" x14ac:dyDescent="0.2">
      <c r="AF62597" s="679"/>
    </row>
    <row r="62598" spans="32:32" x14ac:dyDescent="0.2">
      <c r="AF62598" s="679"/>
    </row>
    <row r="62599" spans="32:32" x14ac:dyDescent="0.2">
      <c r="AF62599" s="679"/>
    </row>
    <row r="62600" spans="32:32" x14ac:dyDescent="0.2">
      <c r="AF62600" s="679"/>
    </row>
    <row r="62601" spans="32:32" x14ac:dyDescent="0.2">
      <c r="AF62601" s="679"/>
    </row>
    <row r="62602" spans="32:32" x14ac:dyDescent="0.2">
      <c r="AF62602" s="679"/>
    </row>
    <row r="62603" spans="32:32" x14ac:dyDescent="0.2">
      <c r="AF62603" s="679"/>
    </row>
    <row r="62604" spans="32:32" x14ac:dyDescent="0.2">
      <c r="AF62604" s="679"/>
    </row>
    <row r="62605" spans="32:32" x14ac:dyDescent="0.2">
      <c r="AF62605" s="679"/>
    </row>
    <row r="62606" spans="32:32" x14ac:dyDescent="0.2">
      <c r="AF62606" s="679"/>
    </row>
    <row r="62607" spans="32:32" x14ac:dyDescent="0.2">
      <c r="AF62607" s="679"/>
    </row>
    <row r="62608" spans="32:32" x14ac:dyDescent="0.2">
      <c r="AF62608" s="679"/>
    </row>
    <row r="62609" spans="32:32" x14ac:dyDescent="0.2">
      <c r="AF62609" s="679"/>
    </row>
    <row r="62610" spans="32:32" x14ac:dyDescent="0.2">
      <c r="AF62610" s="679"/>
    </row>
    <row r="62611" spans="32:32" x14ac:dyDescent="0.2">
      <c r="AF62611" s="679"/>
    </row>
    <row r="62612" spans="32:32" x14ac:dyDescent="0.2">
      <c r="AF62612" s="679"/>
    </row>
    <row r="62613" spans="32:32" x14ac:dyDescent="0.2">
      <c r="AF62613" s="679"/>
    </row>
    <row r="62614" spans="32:32" x14ac:dyDescent="0.2">
      <c r="AF62614" s="679"/>
    </row>
    <row r="62615" spans="32:32" x14ac:dyDescent="0.2">
      <c r="AF62615" s="679"/>
    </row>
    <row r="62616" spans="32:32" x14ac:dyDescent="0.2">
      <c r="AF62616" s="679"/>
    </row>
    <row r="62617" spans="32:32" x14ac:dyDescent="0.2">
      <c r="AF62617" s="679"/>
    </row>
    <row r="62618" spans="32:32" x14ac:dyDescent="0.2">
      <c r="AF62618" s="679"/>
    </row>
    <row r="62619" spans="32:32" x14ac:dyDescent="0.2">
      <c r="AF62619" s="679"/>
    </row>
    <row r="62620" spans="32:32" x14ac:dyDescent="0.2">
      <c r="AF62620" s="679"/>
    </row>
    <row r="62621" spans="32:32" x14ac:dyDescent="0.2">
      <c r="AF62621" s="679"/>
    </row>
    <row r="62622" spans="32:32" x14ac:dyDescent="0.2">
      <c r="AF62622" s="679"/>
    </row>
    <row r="62623" spans="32:32" x14ac:dyDescent="0.2">
      <c r="AF62623" s="679"/>
    </row>
    <row r="62624" spans="32:32" x14ac:dyDescent="0.2">
      <c r="AF62624" s="679"/>
    </row>
    <row r="62625" spans="32:32" x14ac:dyDescent="0.2">
      <c r="AF62625" s="679"/>
    </row>
    <row r="62626" spans="32:32" x14ac:dyDescent="0.2">
      <c r="AF62626" s="679"/>
    </row>
    <row r="62627" spans="32:32" x14ac:dyDescent="0.2">
      <c r="AF62627" s="679"/>
    </row>
    <row r="62628" spans="32:32" x14ac:dyDescent="0.2">
      <c r="AF62628" s="679"/>
    </row>
    <row r="62629" spans="32:32" x14ac:dyDescent="0.2">
      <c r="AF62629" s="679"/>
    </row>
    <row r="62630" spans="32:32" x14ac:dyDescent="0.2">
      <c r="AF62630" s="679"/>
    </row>
    <row r="62631" spans="32:32" x14ac:dyDescent="0.2">
      <c r="AF62631" s="679"/>
    </row>
    <row r="62632" spans="32:32" x14ac:dyDescent="0.2">
      <c r="AF62632" s="679"/>
    </row>
    <row r="62633" spans="32:32" x14ac:dyDescent="0.2">
      <c r="AF62633" s="679"/>
    </row>
    <row r="62634" spans="32:32" x14ac:dyDescent="0.2">
      <c r="AF62634" s="679"/>
    </row>
    <row r="62635" spans="32:32" x14ac:dyDescent="0.2">
      <c r="AF62635" s="679"/>
    </row>
    <row r="62636" spans="32:32" x14ac:dyDescent="0.2">
      <c r="AF62636" s="679"/>
    </row>
    <row r="62637" spans="32:32" x14ac:dyDescent="0.2">
      <c r="AF62637" s="679"/>
    </row>
    <row r="62638" spans="32:32" x14ac:dyDescent="0.2">
      <c r="AF62638" s="679"/>
    </row>
    <row r="62639" spans="32:32" x14ac:dyDescent="0.2">
      <c r="AF62639" s="679"/>
    </row>
    <row r="62640" spans="32:32" x14ac:dyDescent="0.2">
      <c r="AF62640" s="679"/>
    </row>
    <row r="62641" spans="32:32" x14ac:dyDescent="0.2">
      <c r="AF62641" s="679"/>
    </row>
    <row r="62642" spans="32:32" x14ac:dyDescent="0.2">
      <c r="AF62642" s="679"/>
    </row>
    <row r="62643" spans="32:32" x14ac:dyDescent="0.2">
      <c r="AF62643" s="679"/>
    </row>
    <row r="62644" spans="32:32" x14ac:dyDescent="0.2">
      <c r="AF62644" s="679"/>
    </row>
    <row r="62645" spans="32:32" x14ac:dyDescent="0.2">
      <c r="AF62645" s="679"/>
    </row>
    <row r="62646" spans="32:32" x14ac:dyDescent="0.2">
      <c r="AF62646" s="679"/>
    </row>
    <row r="62647" spans="32:32" x14ac:dyDescent="0.2">
      <c r="AF62647" s="679"/>
    </row>
    <row r="62648" spans="32:32" x14ac:dyDescent="0.2">
      <c r="AF62648" s="679"/>
    </row>
    <row r="62649" spans="32:32" x14ac:dyDescent="0.2">
      <c r="AF62649" s="679"/>
    </row>
    <row r="62650" spans="32:32" x14ac:dyDescent="0.2">
      <c r="AF62650" s="679"/>
    </row>
    <row r="62651" spans="32:32" x14ac:dyDescent="0.2">
      <c r="AF62651" s="679"/>
    </row>
    <row r="62652" spans="32:32" x14ac:dyDescent="0.2">
      <c r="AF62652" s="679"/>
    </row>
    <row r="62653" spans="32:32" x14ac:dyDescent="0.2">
      <c r="AF62653" s="679"/>
    </row>
    <row r="62654" spans="32:32" x14ac:dyDescent="0.2">
      <c r="AF62654" s="679"/>
    </row>
    <row r="62655" spans="32:32" x14ac:dyDescent="0.2">
      <c r="AF62655" s="679"/>
    </row>
    <row r="62656" spans="32:32" x14ac:dyDescent="0.2">
      <c r="AF62656" s="679"/>
    </row>
    <row r="62657" spans="32:32" x14ac:dyDescent="0.2">
      <c r="AF62657" s="679"/>
    </row>
    <row r="62658" spans="32:32" x14ac:dyDescent="0.2">
      <c r="AF62658" s="679"/>
    </row>
    <row r="62659" spans="32:32" x14ac:dyDescent="0.2">
      <c r="AF62659" s="679"/>
    </row>
    <row r="62660" spans="32:32" x14ac:dyDescent="0.2">
      <c r="AF62660" s="679"/>
    </row>
    <row r="62661" spans="32:32" x14ac:dyDescent="0.2">
      <c r="AF62661" s="679"/>
    </row>
    <row r="62662" spans="32:32" x14ac:dyDescent="0.2">
      <c r="AF62662" s="679"/>
    </row>
    <row r="62663" spans="32:32" x14ac:dyDescent="0.2">
      <c r="AF62663" s="679"/>
    </row>
    <row r="62664" spans="32:32" x14ac:dyDescent="0.2">
      <c r="AF62664" s="679"/>
    </row>
    <row r="62665" spans="32:32" x14ac:dyDescent="0.2">
      <c r="AF62665" s="679"/>
    </row>
    <row r="62666" spans="32:32" x14ac:dyDescent="0.2">
      <c r="AF62666" s="679"/>
    </row>
    <row r="62667" spans="32:32" x14ac:dyDescent="0.2">
      <c r="AF62667" s="679"/>
    </row>
    <row r="62668" spans="32:32" x14ac:dyDescent="0.2">
      <c r="AF62668" s="679"/>
    </row>
    <row r="62669" spans="32:32" x14ac:dyDescent="0.2">
      <c r="AF62669" s="679"/>
    </row>
    <row r="62670" spans="32:32" x14ac:dyDescent="0.2">
      <c r="AF62670" s="679"/>
    </row>
    <row r="62671" spans="32:32" x14ac:dyDescent="0.2">
      <c r="AF62671" s="679"/>
    </row>
    <row r="62672" spans="32:32" x14ac:dyDescent="0.2">
      <c r="AF62672" s="679"/>
    </row>
    <row r="62673" spans="32:32" x14ac:dyDescent="0.2">
      <c r="AF62673" s="679"/>
    </row>
    <row r="62674" spans="32:32" x14ac:dyDescent="0.2">
      <c r="AF62674" s="679"/>
    </row>
    <row r="62675" spans="32:32" x14ac:dyDescent="0.2">
      <c r="AF62675" s="679"/>
    </row>
    <row r="62676" spans="32:32" x14ac:dyDescent="0.2">
      <c r="AF62676" s="679"/>
    </row>
    <row r="62677" spans="32:32" x14ac:dyDescent="0.2">
      <c r="AF62677" s="679"/>
    </row>
    <row r="62678" spans="32:32" x14ac:dyDescent="0.2">
      <c r="AF62678" s="679"/>
    </row>
    <row r="62679" spans="32:32" x14ac:dyDescent="0.2">
      <c r="AF62679" s="679"/>
    </row>
    <row r="62680" spans="32:32" x14ac:dyDescent="0.2">
      <c r="AF62680" s="679"/>
    </row>
    <row r="62681" spans="32:32" x14ac:dyDescent="0.2">
      <c r="AF62681" s="679"/>
    </row>
    <row r="62682" spans="32:32" x14ac:dyDescent="0.2">
      <c r="AF62682" s="679"/>
    </row>
    <row r="62683" spans="32:32" x14ac:dyDescent="0.2">
      <c r="AF62683" s="679"/>
    </row>
    <row r="62684" spans="32:32" x14ac:dyDescent="0.2">
      <c r="AF62684" s="679"/>
    </row>
    <row r="62685" spans="32:32" x14ac:dyDescent="0.2">
      <c r="AF62685" s="679"/>
    </row>
    <row r="62686" spans="32:32" x14ac:dyDescent="0.2">
      <c r="AF62686" s="679"/>
    </row>
    <row r="62687" spans="32:32" x14ac:dyDescent="0.2">
      <c r="AF62687" s="679"/>
    </row>
    <row r="62688" spans="32:32" x14ac:dyDescent="0.2">
      <c r="AF62688" s="679"/>
    </row>
    <row r="62689" spans="32:32" x14ac:dyDescent="0.2">
      <c r="AF62689" s="679"/>
    </row>
    <row r="62690" spans="32:32" x14ac:dyDescent="0.2">
      <c r="AF62690" s="679"/>
    </row>
    <row r="62691" spans="32:32" x14ac:dyDescent="0.2">
      <c r="AF62691" s="679"/>
    </row>
    <row r="62692" spans="32:32" x14ac:dyDescent="0.2">
      <c r="AF62692" s="679"/>
    </row>
    <row r="62693" spans="32:32" x14ac:dyDescent="0.2">
      <c r="AF62693" s="679"/>
    </row>
    <row r="62694" spans="32:32" x14ac:dyDescent="0.2">
      <c r="AF62694" s="679"/>
    </row>
    <row r="62695" spans="32:32" x14ac:dyDescent="0.2">
      <c r="AF62695" s="679"/>
    </row>
    <row r="62696" spans="32:32" x14ac:dyDescent="0.2">
      <c r="AF62696" s="679"/>
    </row>
    <row r="62697" spans="32:32" x14ac:dyDescent="0.2">
      <c r="AF62697" s="679"/>
    </row>
    <row r="62698" spans="32:32" x14ac:dyDescent="0.2">
      <c r="AF62698" s="679"/>
    </row>
    <row r="62699" spans="32:32" x14ac:dyDescent="0.2">
      <c r="AF62699" s="679"/>
    </row>
    <row r="62700" spans="32:32" x14ac:dyDescent="0.2">
      <c r="AF62700" s="679"/>
    </row>
    <row r="62701" spans="32:32" x14ac:dyDescent="0.2">
      <c r="AF62701" s="679"/>
    </row>
    <row r="62702" spans="32:32" x14ac:dyDescent="0.2">
      <c r="AF62702" s="679"/>
    </row>
    <row r="62703" spans="32:32" x14ac:dyDescent="0.2">
      <c r="AF62703" s="679"/>
    </row>
    <row r="62704" spans="32:32" x14ac:dyDescent="0.2">
      <c r="AF62704" s="679"/>
    </row>
    <row r="62705" spans="32:32" x14ac:dyDescent="0.2">
      <c r="AF62705" s="679"/>
    </row>
    <row r="62706" spans="32:32" x14ac:dyDescent="0.2">
      <c r="AF62706" s="679"/>
    </row>
    <row r="62707" spans="32:32" x14ac:dyDescent="0.2">
      <c r="AF62707" s="679"/>
    </row>
    <row r="62708" spans="32:32" x14ac:dyDescent="0.2">
      <c r="AF62708" s="679"/>
    </row>
    <row r="62709" spans="32:32" x14ac:dyDescent="0.2">
      <c r="AF62709" s="679"/>
    </row>
    <row r="62710" spans="32:32" x14ac:dyDescent="0.2">
      <c r="AF62710" s="679"/>
    </row>
    <row r="62711" spans="32:32" x14ac:dyDescent="0.2">
      <c r="AF62711" s="679"/>
    </row>
    <row r="62712" spans="32:32" x14ac:dyDescent="0.2">
      <c r="AF62712" s="679"/>
    </row>
    <row r="62713" spans="32:32" x14ac:dyDescent="0.2">
      <c r="AF62713" s="679"/>
    </row>
    <row r="62714" spans="32:32" x14ac:dyDescent="0.2">
      <c r="AF62714" s="679"/>
    </row>
    <row r="62715" spans="32:32" x14ac:dyDescent="0.2">
      <c r="AF62715" s="679"/>
    </row>
    <row r="62716" spans="32:32" x14ac:dyDescent="0.2">
      <c r="AF62716" s="679"/>
    </row>
    <row r="62717" spans="32:32" x14ac:dyDescent="0.2">
      <c r="AF62717" s="679"/>
    </row>
    <row r="62718" spans="32:32" x14ac:dyDescent="0.2">
      <c r="AF62718" s="679"/>
    </row>
    <row r="62719" spans="32:32" x14ac:dyDescent="0.2">
      <c r="AF62719" s="679"/>
    </row>
    <row r="62720" spans="32:32" x14ac:dyDescent="0.2">
      <c r="AF62720" s="679"/>
    </row>
    <row r="62721" spans="32:32" x14ac:dyDescent="0.2">
      <c r="AF62721" s="679"/>
    </row>
    <row r="62722" spans="32:32" x14ac:dyDescent="0.2">
      <c r="AF62722" s="679"/>
    </row>
    <row r="62723" spans="32:32" x14ac:dyDescent="0.2">
      <c r="AF62723" s="679"/>
    </row>
    <row r="62724" spans="32:32" x14ac:dyDescent="0.2">
      <c r="AF62724" s="679"/>
    </row>
    <row r="62725" spans="32:32" x14ac:dyDescent="0.2">
      <c r="AF62725" s="679"/>
    </row>
    <row r="62726" spans="32:32" x14ac:dyDescent="0.2">
      <c r="AF62726" s="679"/>
    </row>
    <row r="62727" spans="32:32" x14ac:dyDescent="0.2">
      <c r="AF62727" s="679"/>
    </row>
    <row r="62728" spans="32:32" x14ac:dyDescent="0.2">
      <c r="AF62728" s="679"/>
    </row>
    <row r="62729" spans="32:32" x14ac:dyDescent="0.2">
      <c r="AF62729" s="679"/>
    </row>
    <row r="62730" spans="32:32" x14ac:dyDescent="0.2">
      <c r="AF62730" s="679"/>
    </row>
    <row r="62731" spans="32:32" x14ac:dyDescent="0.2">
      <c r="AF62731" s="679"/>
    </row>
    <row r="62732" spans="32:32" x14ac:dyDescent="0.2">
      <c r="AF62732" s="679"/>
    </row>
    <row r="62733" spans="32:32" x14ac:dyDescent="0.2">
      <c r="AF62733" s="679"/>
    </row>
    <row r="62734" spans="32:32" x14ac:dyDescent="0.2">
      <c r="AF62734" s="679"/>
    </row>
    <row r="62735" spans="32:32" x14ac:dyDescent="0.2">
      <c r="AF62735" s="679"/>
    </row>
    <row r="62736" spans="32:32" x14ac:dyDescent="0.2">
      <c r="AF62736" s="679"/>
    </row>
    <row r="62737" spans="32:32" x14ac:dyDescent="0.2">
      <c r="AF62737" s="679"/>
    </row>
    <row r="62738" spans="32:32" x14ac:dyDescent="0.2">
      <c r="AF62738" s="679"/>
    </row>
    <row r="62739" spans="32:32" x14ac:dyDescent="0.2">
      <c r="AF62739" s="679"/>
    </row>
    <row r="62740" spans="32:32" x14ac:dyDescent="0.2">
      <c r="AF62740" s="679"/>
    </row>
    <row r="62741" spans="32:32" x14ac:dyDescent="0.2">
      <c r="AF62741" s="679"/>
    </row>
    <row r="62742" spans="32:32" x14ac:dyDescent="0.2">
      <c r="AF62742" s="679"/>
    </row>
    <row r="62743" spans="32:32" x14ac:dyDescent="0.2">
      <c r="AF62743" s="679"/>
    </row>
    <row r="62744" spans="32:32" x14ac:dyDescent="0.2">
      <c r="AF62744" s="679"/>
    </row>
    <row r="62745" spans="32:32" x14ac:dyDescent="0.2">
      <c r="AF62745" s="679"/>
    </row>
    <row r="62746" spans="32:32" x14ac:dyDescent="0.2">
      <c r="AF62746" s="679"/>
    </row>
    <row r="62747" spans="32:32" x14ac:dyDescent="0.2">
      <c r="AF62747" s="679"/>
    </row>
    <row r="62748" spans="32:32" x14ac:dyDescent="0.2">
      <c r="AF62748" s="679"/>
    </row>
    <row r="62749" spans="32:32" x14ac:dyDescent="0.2">
      <c r="AF62749" s="679"/>
    </row>
    <row r="62750" spans="32:32" x14ac:dyDescent="0.2">
      <c r="AF62750" s="679"/>
    </row>
    <row r="62751" spans="32:32" x14ac:dyDescent="0.2">
      <c r="AF62751" s="679"/>
    </row>
    <row r="62752" spans="32:32" x14ac:dyDescent="0.2">
      <c r="AF62752" s="679"/>
    </row>
    <row r="62753" spans="32:32" x14ac:dyDescent="0.2">
      <c r="AF62753" s="679"/>
    </row>
    <row r="62754" spans="32:32" x14ac:dyDescent="0.2">
      <c r="AF62754" s="679"/>
    </row>
    <row r="62755" spans="32:32" x14ac:dyDescent="0.2">
      <c r="AF62755" s="679"/>
    </row>
    <row r="62756" spans="32:32" x14ac:dyDescent="0.2">
      <c r="AF62756" s="679"/>
    </row>
    <row r="62757" spans="32:32" x14ac:dyDescent="0.2">
      <c r="AF62757" s="679"/>
    </row>
    <row r="62758" spans="32:32" x14ac:dyDescent="0.2">
      <c r="AF62758" s="679"/>
    </row>
    <row r="62759" spans="32:32" x14ac:dyDescent="0.2">
      <c r="AF62759" s="679"/>
    </row>
    <row r="62760" spans="32:32" x14ac:dyDescent="0.2">
      <c r="AF62760" s="679"/>
    </row>
    <row r="62761" spans="32:32" x14ac:dyDescent="0.2">
      <c r="AF62761" s="679"/>
    </row>
    <row r="62762" spans="32:32" x14ac:dyDescent="0.2">
      <c r="AF62762" s="679"/>
    </row>
    <row r="62763" spans="32:32" x14ac:dyDescent="0.2">
      <c r="AF62763" s="679"/>
    </row>
    <row r="62764" spans="32:32" x14ac:dyDescent="0.2">
      <c r="AF62764" s="679"/>
    </row>
    <row r="62765" spans="32:32" x14ac:dyDescent="0.2">
      <c r="AF62765" s="679"/>
    </row>
    <row r="62766" spans="32:32" x14ac:dyDescent="0.2">
      <c r="AF62766" s="679"/>
    </row>
    <row r="62767" spans="32:32" x14ac:dyDescent="0.2">
      <c r="AF62767" s="679"/>
    </row>
    <row r="62768" spans="32:32" x14ac:dyDescent="0.2">
      <c r="AF62768" s="679"/>
    </row>
    <row r="62769" spans="32:32" x14ac:dyDescent="0.2">
      <c r="AF62769" s="679"/>
    </row>
    <row r="62770" spans="32:32" x14ac:dyDescent="0.2">
      <c r="AF62770" s="679"/>
    </row>
    <row r="62771" spans="32:32" x14ac:dyDescent="0.2">
      <c r="AF62771" s="679"/>
    </row>
    <row r="62772" spans="32:32" x14ac:dyDescent="0.2">
      <c r="AF62772" s="679"/>
    </row>
    <row r="62773" spans="32:32" x14ac:dyDescent="0.2">
      <c r="AF62773" s="679"/>
    </row>
    <row r="62774" spans="32:32" x14ac:dyDescent="0.2">
      <c r="AF62774" s="679"/>
    </row>
    <row r="62775" spans="32:32" x14ac:dyDescent="0.2">
      <c r="AF62775" s="679"/>
    </row>
    <row r="62776" spans="32:32" x14ac:dyDescent="0.2">
      <c r="AF62776" s="679"/>
    </row>
    <row r="62777" spans="32:32" x14ac:dyDescent="0.2">
      <c r="AF62777" s="679"/>
    </row>
    <row r="62778" spans="32:32" x14ac:dyDescent="0.2">
      <c r="AF62778" s="679"/>
    </row>
    <row r="62779" spans="32:32" x14ac:dyDescent="0.2">
      <c r="AF62779" s="679"/>
    </row>
    <row r="62780" spans="32:32" x14ac:dyDescent="0.2">
      <c r="AF62780" s="679"/>
    </row>
    <row r="62781" spans="32:32" x14ac:dyDescent="0.2">
      <c r="AF62781" s="679"/>
    </row>
    <row r="62782" spans="32:32" x14ac:dyDescent="0.2">
      <c r="AF62782" s="679"/>
    </row>
    <row r="62783" spans="32:32" x14ac:dyDescent="0.2">
      <c r="AF62783" s="679"/>
    </row>
    <row r="62784" spans="32:32" x14ac:dyDescent="0.2">
      <c r="AF62784" s="679"/>
    </row>
    <row r="62785" spans="32:32" x14ac:dyDescent="0.2">
      <c r="AF62785" s="679"/>
    </row>
    <row r="62786" spans="32:32" x14ac:dyDescent="0.2">
      <c r="AF62786" s="679"/>
    </row>
    <row r="62787" spans="32:32" x14ac:dyDescent="0.2">
      <c r="AF62787" s="679"/>
    </row>
    <row r="62788" spans="32:32" x14ac:dyDescent="0.2">
      <c r="AF62788" s="679"/>
    </row>
    <row r="62789" spans="32:32" x14ac:dyDescent="0.2">
      <c r="AF62789" s="679"/>
    </row>
    <row r="62790" spans="32:32" x14ac:dyDescent="0.2">
      <c r="AF62790" s="679"/>
    </row>
    <row r="62791" spans="32:32" x14ac:dyDescent="0.2">
      <c r="AF62791" s="679"/>
    </row>
    <row r="62792" spans="32:32" x14ac:dyDescent="0.2">
      <c r="AF62792" s="679"/>
    </row>
    <row r="62793" spans="32:32" x14ac:dyDescent="0.2">
      <c r="AF62793" s="679"/>
    </row>
    <row r="62794" spans="32:32" x14ac:dyDescent="0.2">
      <c r="AF62794" s="679"/>
    </row>
    <row r="62795" spans="32:32" x14ac:dyDescent="0.2">
      <c r="AF62795" s="679"/>
    </row>
    <row r="62796" spans="32:32" x14ac:dyDescent="0.2">
      <c r="AF62796" s="679"/>
    </row>
    <row r="62797" spans="32:32" x14ac:dyDescent="0.2">
      <c r="AF62797" s="679"/>
    </row>
    <row r="62798" spans="32:32" x14ac:dyDescent="0.2">
      <c r="AF62798" s="679"/>
    </row>
    <row r="62799" spans="32:32" x14ac:dyDescent="0.2">
      <c r="AF62799" s="679"/>
    </row>
    <row r="62800" spans="32:32" x14ac:dyDescent="0.2">
      <c r="AF62800" s="679"/>
    </row>
    <row r="62801" spans="32:32" x14ac:dyDescent="0.2">
      <c r="AF62801" s="679"/>
    </row>
    <row r="62802" spans="32:32" x14ac:dyDescent="0.2">
      <c r="AF62802" s="679"/>
    </row>
    <row r="62803" spans="32:32" x14ac:dyDescent="0.2">
      <c r="AF62803" s="679"/>
    </row>
    <row r="62804" spans="32:32" x14ac:dyDescent="0.2">
      <c r="AF62804" s="679"/>
    </row>
    <row r="62805" spans="32:32" x14ac:dyDescent="0.2">
      <c r="AF62805" s="679"/>
    </row>
    <row r="62806" spans="32:32" x14ac:dyDescent="0.2">
      <c r="AF62806" s="679"/>
    </row>
    <row r="62807" spans="32:32" x14ac:dyDescent="0.2">
      <c r="AF62807" s="679"/>
    </row>
    <row r="62808" spans="32:32" x14ac:dyDescent="0.2">
      <c r="AF62808" s="679"/>
    </row>
    <row r="62809" spans="32:32" x14ac:dyDescent="0.2">
      <c r="AF62809" s="679"/>
    </row>
    <row r="62810" spans="32:32" x14ac:dyDescent="0.2">
      <c r="AF62810" s="679"/>
    </row>
    <row r="62811" spans="32:32" x14ac:dyDescent="0.2">
      <c r="AF62811" s="679"/>
    </row>
    <row r="62812" spans="32:32" x14ac:dyDescent="0.2">
      <c r="AF62812" s="679"/>
    </row>
    <row r="62813" spans="32:32" x14ac:dyDescent="0.2">
      <c r="AF62813" s="679"/>
    </row>
    <row r="62814" spans="32:32" x14ac:dyDescent="0.2">
      <c r="AF62814" s="679"/>
    </row>
    <row r="62815" spans="32:32" x14ac:dyDescent="0.2">
      <c r="AF62815" s="679"/>
    </row>
    <row r="62816" spans="32:32" x14ac:dyDescent="0.2">
      <c r="AF62816" s="679"/>
    </row>
    <row r="62817" spans="32:32" x14ac:dyDescent="0.2">
      <c r="AF62817" s="679"/>
    </row>
    <row r="62818" spans="32:32" x14ac:dyDescent="0.2">
      <c r="AF62818" s="679"/>
    </row>
    <row r="62819" spans="32:32" x14ac:dyDescent="0.2">
      <c r="AF62819" s="679"/>
    </row>
    <row r="62820" spans="32:32" x14ac:dyDescent="0.2">
      <c r="AF62820" s="679"/>
    </row>
    <row r="62821" spans="32:32" x14ac:dyDescent="0.2">
      <c r="AF62821" s="679"/>
    </row>
    <row r="62822" spans="32:32" x14ac:dyDescent="0.2">
      <c r="AF62822" s="679"/>
    </row>
    <row r="62823" spans="32:32" x14ac:dyDescent="0.2">
      <c r="AF62823" s="679"/>
    </row>
    <row r="62824" spans="32:32" x14ac:dyDescent="0.2">
      <c r="AF62824" s="679"/>
    </row>
    <row r="62825" spans="32:32" x14ac:dyDescent="0.2">
      <c r="AF62825" s="679"/>
    </row>
    <row r="62826" spans="32:32" x14ac:dyDescent="0.2">
      <c r="AF62826" s="679"/>
    </row>
    <row r="62827" spans="32:32" x14ac:dyDescent="0.2">
      <c r="AF62827" s="679"/>
    </row>
    <row r="62828" spans="32:32" x14ac:dyDescent="0.2">
      <c r="AF62828" s="679"/>
    </row>
    <row r="62829" spans="32:32" x14ac:dyDescent="0.2">
      <c r="AF62829" s="679"/>
    </row>
    <row r="62830" spans="32:32" x14ac:dyDescent="0.2">
      <c r="AF62830" s="679"/>
    </row>
    <row r="62831" spans="32:32" x14ac:dyDescent="0.2">
      <c r="AF62831" s="679"/>
    </row>
    <row r="62832" spans="32:32" x14ac:dyDescent="0.2">
      <c r="AF62832" s="679"/>
    </row>
    <row r="62833" spans="32:32" x14ac:dyDescent="0.2">
      <c r="AF62833" s="679"/>
    </row>
    <row r="62834" spans="32:32" x14ac:dyDescent="0.2">
      <c r="AF62834" s="679"/>
    </row>
    <row r="62835" spans="32:32" x14ac:dyDescent="0.2">
      <c r="AF62835" s="679"/>
    </row>
    <row r="62836" spans="32:32" x14ac:dyDescent="0.2">
      <c r="AF62836" s="679"/>
    </row>
    <row r="62837" spans="32:32" x14ac:dyDescent="0.2">
      <c r="AF62837" s="679"/>
    </row>
    <row r="62838" spans="32:32" x14ac:dyDescent="0.2">
      <c r="AF62838" s="679"/>
    </row>
    <row r="62839" spans="32:32" x14ac:dyDescent="0.2">
      <c r="AF62839" s="679"/>
    </row>
    <row r="62840" spans="32:32" x14ac:dyDescent="0.2">
      <c r="AF62840" s="679"/>
    </row>
    <row r="62841" spans="32:32" x14ac:dyDescent="0.2">
      <c r="AF62841" s="679"/>
    </row>
    <row r="62842" spans="32:32" x14ac:dyDescent="0.2">
      <c r="AF62842" s="679"/>
    </row>
    <row r="62843" spans="32:32" x14ac:dyDescent="0.2">
      <c r="AF62843" s="679"/>
    </row>
    <row r="62844" spans="32:32" x14ac:dyDescent="0.2">
      <c r="AF62844" s="679"/>
    </row>
    <row r="62845" spans="32:32" x14ac:dyDescent="0.2">
      <c r="AF62845" s="679"/>
    </row>
    <row r="62846" spans="32:32" x14ac:dyDescent="0.2">
      <c r="AF62846" s="679"/>
    </row>
    <row r="62847" spans="32:32" x14ac:dyDescent="0.2">
      <c r="AF62847" s="679"/>
    </row>
    <row r="62848" spans="32:32" x14ac:dyDescent="0.2">
      <c r="AF62848" s="679"/>
    </row>
    <row r="62849" spans="32:32" x14ac:dyDescent="0.2">
      <c r="AF62849" s="679"/>
    </row>
    <row r="62850" spans="32:32" x14ac:dyDescent="0.2">
      <c r="AF62850" s="679"/>
    </row>
    <row r="62851" spans="32:32" x14ac:dyDescent="0.2">
      <c r="AF62851" s="679"/>
    </row>
    <row r="62852" spans="32:32" x14ac:dyDescent="0.2">
      <c r="AF62852" s="679"/>
    </row>
    <row r="62853" spans="32:32" x14ac:dyDescent="0.2">
      <c r="AF62853" s="679"/>
    </row>
    <row r="62854" spans="32:32" x14ac:dyDescent="0.2">
      <c r="AF62854" s="679"/>
    </row>
    <row r="62855" spans="32:32" x14ac:dyDescent="0.2">
      <c r="AF62855" s="679"/>
    </row>
    <row r="62856" spans="32:32" x14ac:dyDescent="0.2">
      <c r="AF62856" s="679"/>
    </row>
    <row r="62857" spans="32:32" x14ac:dyDescent="0.2">
      <c r="AF62857" s="679"/>
    </row>
    <row r="62858" spans="32:32" x14ac:dyDescent="0.2">
      <c r="AF62858" s="679"/>
    </row>
    <row r="62859" spans="32:32" x14ac:dyDescent="0.2">
      <c r="AF62859" s="679"/>
    </row>
    <row r="62860" spans="32:32" x14ac:dyDescent="0.2">
      <c r="AF62860" s="679"/>
    </row>
    <row r="62861" spans="32:32" x14ac:dyDescent="0.2">
      <c r="AF62861" s="679"/>
    </row>
    <row r="62862" spans="32:32" x14ac:dyDescent="0.2">
      <c r="AF62862" s="679"/>
    </row>
    <row r="62863" spans="32:32" x14ac:dyDescent="0.2">
      <c r="AF62863" s="679"/>
    </row>
    <row r="62864" spans="32:32" x14ac:dyDescent="0.2">
      <c r="AF62864" s="679"/>
    </row>
    <row r="62865" spans="32:32" x14ac:dyDescent="0.2">
      <c r="AF62865" s="679"/>
    </row>
    <row r="62866" spans="32:32" x14ac:dyDescent="0.2">
      <c r="AF62866" s="679"/>
    </row>
    <row r="62867" spans="32:32" x14ac:dyDescent="0.2">
      <c r="AF62867" s="679"/>
    </row>
    <row r="62868" spans="32:32" x14ac:dyDescent="0.2">
      <c r="AF62868" s="679"/>
    </row>
    <row r="62869" spans="32:32" x14ac:dyDescent="0.2">
      <c r="AF62869" s="679"/>
    </row>
    <row r="62870" spans="32:32" x14ac:dyDescent="0.2">
      <c r="AF62870" s="679"/>
    </row>
    <row r="62871" spans="32:32" x14ac:dyDescent="0.2">
      <c r="AF62871" s="679"/>
    </row>
    <row r="62872" spans="32:32" x14ac:dyDescent="0.2">
      <c r="AF62872" s="679"/>
    </row>
    <row r="62873" spans="32:32" x14ac:dyDescent="0.2">
      <c r="AF62873" s="679"/>
    </row>
    <row r="62874" spans="32:32" x14ac:dyDescent="0.2">
      <c r="AF62874" s="679"/>
    </row>
    <row r="62875" spans="32:32" x14ac:dyDescent="0.2">
      <c r="AF62875" s="679"/>
    </row>
    <row r="62876" spans="32:32" x14ac:dyDescent="0.2">
      <c r="AF62876" s="679"/>
    </row>
    <row r="62877" spans="32:32" x14ac:dyDescent="0.2">
      <c r="AF62877" s="679"/>
    </row>
    <row r="62878" spans="32:32" x14ac:dyDescent="0.2">
      <c r="AF62878" s="679"/>
    </row>
    <row r="62879" spans="32:32" x14ac:dyDescent="0.2">
      <c r="AF62879" s="679"/>
    </row>
    <row r="62880" spans="32:32" x14ac:dyDescent="0.2">
      <c r="AF62880" s="679"/>
    </row>
    <row r="62881" spans="32:32" x14ac:dyDescent="0.2">
      <c r="AF62881" s="679"/>
    </row>
    <row r="62882" spans="32:32" x14ac:dyDescent="0.2">
      <c r="AF62882" s="679"/>
    </row>
    <row r="62883" spans="32:32" x14ac:dyDescent="0.2">
      <c r="AF62883" s="679"/>
    </row>
    <row r="62884" spans="32:32" x14ac:dyDescent="0.2">
      <c r="AF62884" s="679"/>
    </row>
    <row r="62885" spans="32:32" x14ac:dyDescent="0.2">
      <c r="AF62885" s="679"/>
    </row>
    <row r="62886" spans="32:32" x14ac:dyDescent="0.2">
      <c r="AF62886" s="679"/>
    </row>
    <row r="62887" spans="32:32" x14ac:dyDescent="0.2">
      <c r="AF62887" s="679"/>
    </row>
    <row r="62888" spans="32:32" x14ac:dyDescent="0.2">
      <c r="AF62888" s="679"/>
    </row>
    <row r="62889" spans="32:32" x14ac:dyDescent="0.2">
      <c r="AF62889" s="679"/>
    </row>
    <row r="62890" spans="32:32" x14ac:dyDescent="0.2">
      <c r="AF62890" s="679"/>
    </row>
    <row r="62891" spans="32:32" x14ac:dyDescent="0.2">
      <c r="AF62891" s="679"/>
    </row>
    <row r="62892" spans="32:32" x14ac:dyDescent="0.2">
      <c r="AF62892" s="679"/>
    </row>
    <row r="62893" spans="32:32" x14ac:dyDescent="0.2">
      <c r="AF62893" s="679"/>
    </row>
    <row r="62894" spans="32:32" x14ac:dyDescent="0.2">
      <c r="AF62894" s="679"/>
    </row>
    <row r="62895" spans="32:32" x14ac:dyDescent="0.2">
      <c r="AF62895" s="679"/>
    </row>
    <row r="62896" spans="32:32" x14ac:dyDescent="0.2">
      <c r="AF62896" s="679"/>
    </row>
    <row r="62897" spans="32:32" x14ac:dyDescent="0.2">
      <c r="AF62897" s="679"/>
    </row>
    <row r="62898" spans="32:32" x14ac:dyDescent="0.2">
      <c r="AF62898" s="679"/>
    </row>
    <row r="62899" spans="32:32" x14ac:dyDescent="0.2">
      <c r="AF62899" s="679"/>
    </row>
    <row r="62900" spans="32:32" x14ac:dyDescent="0.2">
      <c r="AF62900" s="679"/>
    </row>
    <row r="62901" spans="32:32" x14ac:dyDescent="0.2">
      <c r="AF62901" s="679"/>
    </row>
    <row r="62902" spans="32:32" x14ac:dyDescent="0.2">
      <c r="AF62902" s="679"/>
    </row>
    <row r="62903" spans="32:32" x14ac:dyDescent="0.2">
      <c r="AF62903" s="679"/>
    </row>
    <row r="62904" spans="32:32" x14ac:dyDescent="0.2">
      <c r="AF62904" s="679"/>
    </row>
    <row r="62905" spans="32:32" x14ac:dyDescent="0.2">
      <c r="AF62905" s="679"/>
    </row>
    <row r="62906" spans="32:32" x14ac:dyDescent="0.2">
      <c r="AF62906" s="679"/>
    </row>
    <row r="62907" spans="32:32" x14ac:dyDescent="0.2">
      <c r="AF62907" s="679"/>
    </row>
    <row r="62908" spans="32:32" x14ac:dyDescent="0.2">
      <c r="AF62908" s="679"/>
    </row>
    <row r="62909" spans="32:32" x14ac:dyDescent="0.2">
      <c r="AF62909" s="679"/>
    </row>
    <row r="62910" spans="32:32" x14ac:dyDescent="0.2">
      <c r="AF62910" s="679"/>
    </row>
    <row r="62911" spans="32:32" x14ac:dyDescent="0.2">
      <c r="AF62911" s="679"/>
    </row>
    <row r="62912" spans="32:32" x14ac:dyDescent="0.2">
      <c r="AF62912" s="679"/>
    </row>
    <row r="62913" spans="32:32" x14ac:dyDescent="0.2">
      <c r="AF62913" s="679"/>
    </row>
    <row r="62914" spans="32:32" x14ac:dyDescent="0.2">
      <c r="AF62914" s="679"/>
    </row>
    <row r="62915" spans="32:32" x14ac:dyDescent="0.2">
      <c r="AF62915" s="679"/>
    </row>
    <row r="62916" spans="32:32" x14ac:dyDescent="0.2">
      <c r="AF62916" s="679"/>
    </row>
    <row r="62917" spans="32:32" x14ac:dyDescent="0.2">
      <c r="AF62917" s="679"/>
    </row>
    <row r="62918" spans="32:32" x14ac:dyDescent="0.2">
      <c r="AF62918" s="679"/>
    </row>
    <row r="62919" spans="32:32" x14ac:dyDescent="0.2">
      <c r="AF62919" s="679"/>
    </row>
    <row r="62920" spans="32:32" x14ac:dyDescent="0.2">
      <c r="AF62920" s="679"/>
    </row>
    <row r="62921" spans="32:32" x14ac:dyDescent="0.2">
      <c r="AF62921" s="679"/>
    </row>
    <row r="62922" spans="32:32" x14ac:dyDescent="0.2">
      <c r="AF62922" s="679"/>
    </row>
    <row r="62923" spans="32:32" x14ac:dyDescent="0.2">
      <c r="AF62923" s="679"/>
    </row>
    <row r="62924" spans="32:32" x14ac:dyDescent="0.2">
      <c r="AF62924" s="679"/>
    </row>
    <row r="62925" spans="32:32" x14ac:dyDescent="0.2">
      <c r="AF62925" s="679"/>
    </row>
    <row r="62926" spans="32:32" x14ac:dyDescent="0.2">
      <c r="AF62926" s="679"/>
    </row>
    <row r="62927" spans="32:32" x14ac:dyDescent="0.2">
      <c r="AF62927" s="679"/>
    </row>
    <row r="62928" spans="32:32" x14ac:dyDescent="0.2">
      <c r="AF62928" s="679"/>
    </row>
    <row r="62929" spans="32:32" x14ac:dyDescent="0.2">
      <c r="AF62929" s="679"/>
    </row>
    <row r="62930" spans="32:32" x14ac:dyDescent="0.2">
      <c r="AF62930" s="679"/>
    </row>
    <row r="62931" spans="32:32" x14ac:dyDescent="0.2">
      <c r="AF62931" s="679"/>
    </row>
    <row r="62932" spans="32:32" x14ac:dyDescent="0.2">
      <c r="AF62932" s="679"/>
    </row>
    <row r="62933" spans="32:32" x14ac:dyDescent="0.2">
      <c r="AF62933" s="679"/>
    </row>
    <row r="62934" spans="32:32" x14ac:dyDescent="0.2">
      <c r="AF62934" s="679"/>
    </row>
    <row r="62935" spans="32:32" x14ac:dyDescent="0.2">
      <c r="AF62935" s="679"/>
    </row>
    <row r="62936" spans="32:32" x14ac:dyDescent="0.2">
      <c r="AF62936" s="679"/>
    </row>
    <row r="62937" spans="32:32" x14ac:dyDescent="0.2">
      <c r="AF62937" s="679"/>
    </row>
    <row r="62938" spans="32:32" x14ac:dyDescent="0.2">
      <c r="AF62938" s="679"/>
    </row>
    <row r="62939" spans="32:32" x14ac:dyDescent="0.2">
      <c r="AF62939" s="679"/>
    </row>
    <row r="62940" spans="32:32" x14ac:dyDescent="0.2">
      <c r="AF62940" s="679"/>
    </row>
    <row r="62941" spans="32:32" x14ac:dyDescent="0.2">
      <c r="AF62941" s="679"/>
    </row>
    <row r="62942" spans="32:32" x14ac:dyDescent="0.2">
      <c r="AF62942" s="679"/>
    </row>
    <row r="62943" spans="32:32" x14ac:dyDescent="0.2">
      <c r="AF62943" s="679"/>
    </row>
    <row r="62944" spans="32:32" x14ac:dyDescent="0.2">
      <c r="AF62944" s="679"/>
    </row>
    <row r="62945" spans="32:32" x14ac:dyDescent="0.2">
      <c r="AF62945" s="679"/>
    </row>
    <row r="62946" spans="32:32" x14ac:dyDescent="0.2">
      <c r="AF62946" s="679"/>
    </row>
    <row r="62947" spans="32:32" x14ac:dyDescent="0.2">
      <c r="AF62947" s="679"/>
    </row>
    <row r="62948" spans="32:32" x14ac:dyDescent="0.2">
      <c r="AF62948" s="679"/>
    </row>
    <row r="62949" spans="32:32" x14ac:dyDescent="0.2">
      <c r="AF62949" s="679"/>
    </row>
    <row r="62950" spans="32:32" x14ac:dyDescent="0.2">
      <c r="AF62950" s="679"/>
    </row>
    <row r="62951" spans="32:32" x14ac:dyDescent="0.2">
      <c r="AF62951" s="679"/>
    </row>
    <row r="62952" spans="32:32" x14ac:dyDescent="0.2">
      <c r="AF62952" s="679"/>
    </row>
    <row r="62953" spans="32:32" x14ac:dyDescent="0.2">
      <c r="AF62953" s="679"/>
    </row>
    <row r="62954" spans="32:32" x14ac:dyDescent="0.2">
      <c r="AF62954" s="679"/>
    </row>
    <row r="62955" spans="32:32" x14ac:dyDescent="0.2">
      <c r="AF62955" s="679"/>
    </row>
    <row r="62956" spans="32:32" x14ac:dyDescent="0.2">
      <c r="AF62956" s="679"/>
    </row>
    <row r="62957" spans="32:32" x14ac:dyDescent="0.2">
      <c r="AF62957" s="679"/>
    </row>
    <row r="62958" spans="32:32" x14ac:dyDescent="0.2">
      <c r="AF62958" s="679"/>
    </row>
    <row r="62959" spans="32:32" x14ac:dyDescent="0.2">
      <c r="AF62959" s="679"/>
    </row>
    <row r="62960" spans="32:32" x14ac:dyDescent="0.2">
      <c r="AF62960" s="679"/>
    </row>
    <row r="62961" spans="32:32" x14ac:dyDescent="0.2">
      <c r="AF62961" s="679"/>
    </row>
    <row r="62962" spans="32:32" x14ac:dyDescent="0.2">
      <c r="AF62962" s="679"/>
    </row>
    <row r="62963" spans="32:32" x14ac:dyDescent="0.2">
      <c r="AF62963" s="679"/>
    </row>
    <row r="62964" spans="32:32" x14ac:dyDescent="0.2">
      <c r="AF62964" s="679"/>
    </row>
    <row r="62965" spans="32:32" x14ac:dyDescent="0.2">
      <c r="AF62965" s="679"/>
    </row>
    <row r="62966" spans="32:32" x14ac:dyDescent="0.2">
      <c r="AF62966" s="679"/>
    </row>
    <row r="62967" spans="32:32" x14ac:dyDescent="0.2">
      <c r="AF62967" s="679"/>
    </row>
    <row r="62968" spans="32:32" x14ac:dyDescent="0.2">
      <c r="AF62968" s="679"/>
    </row>
    <row r="62969" spans="32:32" x14ac:dyDescent="0.2">
      <c r="AF62969" s="679"/>
    </row>
    <row r="62970" spans="32:32" x14ac:dyDescent="0.2">
      <c r="AF62970" s="679"/>
    </row>
    <row r="62971" spans="32:32" x14ac:dyDescent="0.2">
      <c r="AF62971" s="679"/>
    </row>
    <row r="62972" spans="32:32" x14ac:dyDescent="0.2">
      <c r="AF62972" s="679"/>
    </row>
    <row r="62973" spans="32:32" x14ac:dyDescent="0.2">
      <c r="AF62973" s="679"/>
    </row>
    <row r="62974" spans="32:32" x14ac:dyDescent="0.2">
      <c r="AF62974" s="679"/>
    </row>
    <row r="62975" spans="32:32" x14ac:dyDescent="0.2">
      <c r="AF62975" s="679"/>
    </row>
    <row r="62976" spans="32:32" x14ac:dyDescent="0.2">
      <c r="AF62976" s="679"/>
    </row>
    <row r="62977" spans="32:32" x14ac:dyDescent="0.2">
      <c r="AF62977" s="679"/>
    </row>
    <row r="62978" spans="32:32" x14ac:dyDescent="0.2">
      <c r="AF62978" s="679"/>
    </row>
    <row r="62979" spans="32:32" x14ac:dyDescent="0.2">
      <c r="AF62979" s="679"/>
    </row>
    <row r="62980" spans="32:32" x14ac:dyDescent="0.2">
      <c r="AF62980" s="679"/>
    </row>
    <row r="62981" spans="32:32" x14ac:dyDescent="0.2">
      <c r="AF62981" s="679"/>
    </row>
    <row r="62982" spans="32:32" x14ac:dyDescent="0.2">
      <c r="AF62982" s="679"/>
    </row>
    <row r="62983" spans="32:32" x14ac:dyDescent="0.2">
      <c r="AF62983" s="679"/>
    </row>
    <row r="62984" spans="32:32" x14ac:dyDescent="0.2">
      <c r="AF62984" s="679"/>
    </row>
    <row r="62985" spans="32:32" x14ac:dyDescent="0.2">
      <c r="AF62985" s="679"/>
    </row>
    <row r="62986" spans="32:32" x14ac:dyDescent="0.2">
      <c r="AF62986" s="679"/>
    </row>
    <row r="62987" spans="32:32" x14ac:dyDescent="0.2">
      <c r="AF62987" s="679"/>
    </row>
    <row r="62988" spans="32:32" x14ac:dyDescent="0.2">
      <c r="AF62988" s="679"/>
    </row>
    <row r="62989" spans="32:32" x14ac:dyDescent="0.2">
      <c r="AF62989" s="679"/>
    </row>
    <row r="62990" spans="32:32" x14ac:dyDescent="0.2">
      <c r="AF62990" s="679"/>
    </row>
    <row r="62991" spans="32:32" x14ac:dyDescent="0.2">
      <c r="AF62991" s="679"/>
    </row>
    <row r="62992" spans="32:32" x14ac:dyDescent="0.2">
      <c r="AF62992" s="679"/>
    </row>
    <row r="62993" spans="32:32" x14ac:dyDescent="0.2">
      <c r="AF62993" s="679"/>
    </row>
    <row r="62994" spans="32:32" x14ac:dyDescent="0.2">
      <c r="AF62994" s="679"/>
    </row>
    <row r="62995" spans="32:32" x14ac:dyDescent="0.2">
      <c r="AF62995" s="679"/>
    </row>
    <row r="62996" spans="32:32" x14ac:dyDescent="0.2">
      <c r="AF62996" s="679"/>
    </row>
    <row r="62997" spans="32:32" x14ac:dyDescent="0.2">
      <c r="AF62997" s="679"/>
    </row>
    <row r="62998" spans="32:32" x14ac:dyDescent="0.2">
      <c r="AF62998" s="679"/>
    </row>
    <row r="62999" spans="32:32" x14ac:dyDescent="0.2">
      <c r="AF62999" s="679"/>
    </row>
    <row r="63000" spans="32:32" x14ac:dyDescent="0.2">
      <c r="AF63000" s="679"/>
    </row>
    <row r="63001" spans="32:32" x14ac:dyDescent="0.2">
      <c r="AF63001" s="679"/>
    </row>
    <row r="63002" spans="32:32" x14ac:dyDescent="0.2">
      <c r="AF63002" s="679"/>
    </row>
    <row r="63003" spans="32:32" x14ac:dyDescent="0.2">
      <c r="AF63003" s="679"/>
    </row>
    <row r="63004" spans="32:32" x14ac:dyDescent="0.2">
      <c r="AF63004" s="679"/>
    </row>
    <row r="63005" spans="32:32" x14ac:dyDescent="0.2">
      <c r="AF63005" s="679"/>
    </row>
    <row r="63006" spans="32:32" x14ac:dyDescent="0.2">
      <c r="AF63006" s="679"/>
    </row>
    <row r="63007" spans="32:32" x14ac:dyDescent="0.2">
      <c r="AF63007" s="679"/>
    </row>
    <row r="63008" spans="32:32" x14ac:dyDescent="0.2">
      <c r="AF63008" s="679"/>
    </row>
    <row r="63009" spans="32:32" x14ac:dyDescent="0.2">
      <c r="AF63009" s="679"/>
    </row>
    <row r="63010" spans="32:32" x14ac:dyDescent="0.2">
      <c r="AF63010" s="679"/>
    </row>
    <row r="63011" spans="32:32" x14ac:dyDescent="0.2">
      <c r="AF63011" s="679"/>
    </row>
    <row r="63012" spans="32:32" x14ac:dyDescent="0.2">
      <c r="AF63012" s="679"/>
    </row>
    <row r="63013" spans="32:32" x14ac:dyDescent="0.2">
      <c r="AF63013" s="679"/>
    </row>
    <row r="63014" spans="32:32" x14ac:dyDescent="0.2">
      <c r="AF63014" s="679"/>
    </row>
    <row r="63015" spans="32:32" x14ac:dyDescent="0.2">
      <c r="AF63015" s="679"/>
    </row>
    <row r="63016" spans="32:32" x14ac:dyDescent="0.2">
      <c r="AF63016" s="679"/>
    </row>
    <row r="63017" spans="32:32" x14ac:dyDescent="0.2">
      <c r="AF63017" s="679"/>
    </row>
    <row r="63018" spans="32:32" x14ac:dyDescent="0.2">
      <c r="AF63018" s="679"/>
    </row>
    <row r="63019" spans="32:32" x14ac:dyDescent="0.2">
      <c r="AF63019" s="679"/>
    </row>
    <row r="63020" spans="32:32" x14ac:dyDescent="0.2">
      <c r="AF63020" s="679"/>
    </row>
    <row r="63021" spans="32:32" x14ac:dyDescent="0.2">
      <c r="AF63021" s="679"/>
    </row>
    <row r="63022" spans="32:32" x14ac:dyDescent="0.2">
      <c r="AF63022" s="679"/>
    </row>
    <row r="63023" spans="32:32" x14ac:dyDescent="0.2">
      <c r="AF63023" s="679"/>
    </row>
    <row r="63024" spans="32:32" x14ac:dyDescent="0.2">
      <c r="AF63024" s="679"/>
    </row>
    <row r="63025" spans="32:32" x14ac:dyDescent="0.2">
      <c r="AF63025" s="679"/>
    </row>
    <row r="63026" spans="32:32" x14ac:dyDescent="0.2">
      <c r="AF63026" s="679"/>
    </row>
    <row r="63027" spans="32:32" x14ac:dyDescent="0.2">
      <c r="AF63027" s="679"/>
    </row>
    <row r="63028" spans="32:32" x14ac:dyDescent="0.2">
      <c r="AF63028" s="679"/>
    </row>
    <row r="63029" spans="32:32" x14ac:dyDescent="0.2">
      <c r="AF63029" s="679"/>
    </row>
    <row r="63030" spans="32:32" x14ac:dyDescent="0.2">
      <c r="AF63030" s="679"/>
    </row>
    <row r="63031" spans="32:32" x14ac:dyDescent="0.2">
      <c r="AF63031" s="679"/>
    </row>
    <row r="63032" spans="32:32" x14ac:dyDescent="0.2">
      <c r="AF63032" s="679"/>
    </row>
    <row r="63033" spans="32:32" x14ac:dyDescent="0.2">
      <c r="AF63033" s="679"/>
    </row>
    <row r="63034" spans="32:32" x14ac:dyDescent="0.2">
      <c r="AF63034" s="679"/>
    </row>
    <row r="63035" spans="32:32" x14ac:dyDescent="0.2">
      <c r="AF63035" s="679"/>
    </row>
    <row r="63036" spans="32:32" x14ac:dyDescent="0.2">
      <c r="AF63036" s="679"/>
    </row>
    <row r="63037" spans="32:32" x14ac:dyDescent="0.2">
      <c r="AF63037" s="679"/>
    </row>
    <row r="63038" spans="32:32" x14ac:dyDescent="0.2">
      <c r="AF63038" s="679"/>
    </row>
    <row r="63039" spans="32:32" x14ac:dyDescent="0.2">
      <c r="AF63039" s="679"/>
    </row>
    <row r="63040" spans="32:32" x14ac:dyDescent="0.2">
      <c r="AF63040" s="679"/>
    </row>
    <row r="63041" spans="32:32" x14ac:dyDescent="0.2">
      <c r="AF63041" s="679"/>
    </row>
    <row r="63042" spans="32:32" x14ac:dyDescent="0.2">
      <c r="AF63042" s="679"/>
    </row>
    <row r="63043" spans="32:32" x14ac:dyDescent="0.2">
      <c r="AF63043" s="679"/>
    </row>
    <row r="63044" spans="32:32" x14ac:dyDescent="0.2">
      <c r="AF63044" s="679"/>
    </row>
    <row r="63045" spans="32:32" x14ac:dyDescent="0.2">
      <c r="AF63045" s="679"/>
    </row>
    <row r="63046" spans="32:32" x14ac:dyDescent="0.2">
      <c r="AF63046" s="679"/>
    </row>
    <row r="63047" spans="32:32" x14ac:dyDescent="0.2">
      <c r="AF63047" s="679"/>
    </row>
    <row r="63048" spans="32:32" x14ac:dyDescent="0.2">
      <c r="AF63048" s="679"/>
    </row>
    <row r="63049" spans="32:32" x14ac:dyDescent="0.2">
      <c r="AF63049" s="679"/>
    </row>
    <row r="63050" spans="32:32" x14ac:dyDescent="0.2">
      <c r="AF63050" s="679"/>
    </row>
    <row r="63051" spans="32:32" x14ac:dyDescent="0.2">
      <c r="AF63051" s="679"/>
    </row>
    <row r="63052" spans="32:32" x14ac:dyDescent="0.2">
      <c r="AF63052" s="679"/>
    </row>
    <row r="63053" spans="32:32" x14ac:dyDescent="0.2">
      <c r="AF63053" s="679"/>
    </row>
    <row r="63054" spans="32:32" x14ac:dyDescent="0.2">
      <c r="AF63054" s="679"/>
    </row>
    <row r="63055" spans="32:32" x14ac:dyDescent="0.2">
      <c r="AF63055" s="679"/>
    </row>
    <row r="63056" spans="32:32" x14ac:dyDescent="0.2">
      <c r="AF63056" s="679"/>
    </row>
    <row r="63057" spans="32:32" x14ac:dyDescent="0.2">
      <c r="AF63057" s="679"/>
    </row>
    <row r="63058" spans="32:32" x14ac:dyDescent="0.2">
      <c r="AF63058" s="679"/>
    </row>
    <row r="63059" spans="32:32" x14ac:dyDescent="0.2">
      <c r="AF63059" s="679"/>
    </row>
    <row r="63060" spans="32:32" x14ac:dyDescent="0.2">
      <c r="AF63060" s="679"/>
    </row>
    <row r="63061" spans="32:32" x14ac:dyDescent="0.2">
      <c r="AF63061" s="679"/>
    </row>
    <row r="63062" spans="32:32" x14ac:dyDescent="0.2">
      <c r="AF63062" s="679"/>
    </row>
    <row r="63063" spans="32:32" x14ac:dyDescent="0.2">
      <c r="AF63063" s="679"/>
    </row>
    <row r="63064" spans="32:32" x14ac:dyDescent="0.2">
      <c r="AF63064" s="679"/>
    </row>
    <row r="63065" spans="32:32" x14ac:dyDescent="0.2">
      <c r="AF63065" s="679"/>
    </row>
    <row r="63066" spans="32:32" x14ac:dyDescent="0.2">
      <c r="AF63066" s="679"/>
    </row>
    <row r="63067" spans="32:32" x14ac:dyDescent="0.2">
      <c r="AF63067" s="679"/>
    </row>
    <row r="63068" spans="32:32" x14ac:dyDescent="0.2">
      <c r="AF63068" s="679"/>
    </row>
    <row r="63069" spans="32:32" x14ac:dyDescent="0.2">
      <c r="AF63069" s="679"/>
    </row>
    <row r="63070" spans="32:32" x14ac:dyDescent="0.2">
      <c r="AF63070" s="679"/>
    </row>
    <row r="63071" spans="32:32" x14ac:dyDescent="0.2">
      <c r="AF63071" s="679"/>
    </row>
    <row r="63072" spans="32:32" x14ac:dyDescent="0.2">
      <c r="AF63072" s="679"/>
    </row>
    <row r="63073" spans="32:32" x14ac:dyDescent="0.2">
      <c r="AF63073" s="679"/>
    </row>
    <row r="63074" spans="32:32" x14ac:dyDescent="0.2">
      <c r="AF63074" s="679"/>
    </row>
    <row r="63075" spans="32:32" x14ac:dyDescent="0.2">
      <c r="AF63075" s="679"/>
    </row>
    <row r="63076" spans="32:32" x14ac:dyDescent="0.2">
      <c r="AF63076" s="679"/>
    </row>
    <row r="63077" spans="32:32" x14ac:dyDescent="0.2">
      <c r="AF63077" s="679"/>
    </row>
    <row r="63078" spans="32:32" x14ac:dyDescent="0.2">
      <c r="AF63078" s="679"/>
    </row>
    <row r="63079" spans="32:32" x14ac:dyDescent="0.2">
      <c r="AF63079" s="679"/>
    </row>
    <row r="63080" spans="32:32" x14ac:dyDescent="0.2">
      <c r="AF63080" s="679"/>
    </row>
    <row r="63081" spans="32:32" x14ac:dyDescent="0.2">
      <c r="AF63081" s="679"/>
    </row>
    <row r="63082" spans="32:32" x14ac:dyDescent="0.2">
      <c r="AF63082" s="679"/>
    </row>
    <row r="63083" spans="32:32" x14ac:dyDescent="0.2">
      <c r="AF63083" s="679"/>
    </row>
    <row r="63084" spans="32:32" x14ac:dyDescent="0.2">
      <c r="AF63084" s="679"/>
    </row>
    <row r="63085" spans="32:32" x14ac:dyDescent="0.2">
      <c r="AF63085" s="679"/>
    </row>
    <row r="63086" spans="32:32" x14ac:dyDescent="0.2">
      <c r="AF63086" s="679"/>
    </row>
    <row r="63087" spans="32:32" x14ac:dyDescent="0.2">
      <c r="AF63087" s="679"/>
    </row>
    <row r="63088" spans="32:32" x14ac:dyDescent="0.2">
      <c r="AF63088" s="679"/>
    </row>
    <row r="63089" spans="32:32" x14ac:dyDescent="0.2">
      <c r="AF63089" s="679"/>
    </row>
    <row r="63090" spans="32:32" x14ac:dyDescent="0.2">
      <c r="AF63090" s="679"/>
    </row>
    <row r="63091" spans="32:32" x14ac:dyDescent="0.2">
      <c r="AF63091" s="679"/>
    </row>
    <row r="63092" spans="32:32" x14ac:dyDescent="0.2">
      <c r="AF63092" s="679"/>
    </row>
    <row r="63093" spans="32:32" x14ac:dyDescent="0.2">
      <c r="AF63093" s="679"/>
    </row>
    <row r="63094" spans="32:32" x14ac:dyDescent="0.2">
      <c r="AF63094" s="679"/>
    </row>
    <row r="63095" spans="32:32" x14ac:dyDescent="0.2">
      <c r="AF63095" s="679"/>
    </row>
    <row r="63096" spans="32:32" x14ac:dyDescent="0.2">
      <c r="AF63096" s="679"/>
    </row>
    <row r="63097" spans="32:32" x14ac:dyDescent="0.2">
      <c r="AF63097" s="679"/>
    </row>
    <row r="63098" spans="32:32" x14ac:dyDescent="0.2">
      <c r="AF63098" s="679"/>
    </row>
    <row r="63099" spans="32:32" x14ac:dyDescent="0.2">
      <c r="AF63099" s="679"/>
    </row>
    <row r="63100" spans="32:32" x14ac:dyDescent="0.2">
      <c r="AF63100" s="679"/>
    </row>
    <row r="63101" spans="32:32" x14ac:dyDescent="0.2">
      <c r="AF63101" s="679"/>
    </row>
    <row r="63102" spans="32:32" x14ac:dyDescent="0.2">
      <c r="AF63102" s="679"/>
    </row>
    <row r="63103" spans="32:32" x14ac:dyDescent="0.2">
      <c r="AF63103" s="679"/>
    </row>
    <row r="63104" spans="32:32" x14ac:dyDescent="0.2">
      <c r="AF63104" s="679"/>
    </row>
    <row r="63105" spans="32:32" x14ac:dyDescent="0.2">
      <c r="AF63105" s="679"/>
    </row>
    <row r="63106" spans="32:32" x14ac:dyDescent="0.2">
      <c r="AF63106" s="679"/>
    </row>
    <row r="63107" spans="32:32" x14ac:dyDescent="0.2">
      <c r="AF63107" s="679"/>
    </row>
    <row r="63108" spans="32:32" x14ac:dyDescent="0.2">
      <c r="AF63108" s="679"/>
    </row>
    <row r="63109" spans="32:32" x14ac:dyDescent="0.2">
      <c r="AF63109" s="679"/>
    </row>
    <row r="63110" spans="32:32" x14ac:dyDescent="0.2">
      <c r="AF63110" s="679"/>
    </row>
    <row r="63111" spans="32:32" x14ac:dyDescent="0.2">
      <c r="AF63111" s="679"/>
    </row>
    <row r="63112" spans="32:32" x14ac:dyDescent="0.2">
      <c r="AF63112" s="679"/>
    </row>
    <row r="63113" spans="32:32" x14ac:dyDescent="0.2">
      <c r="AF63113" s="679"/>
    </row>
    <row r="63114" spans="32:32" x14ac:dyDescent="0.2">
      <c r="AF63114" s="679"/>
    </row>
    <row r="63115" spans="32:32" x14ac:dyDescent="0.2">
      <c r="AF63115" s="679"/>
    </row>
    <row r="63116" spans="32:32" x14ac:dyDescent="0.2">
      <c r="AF63116" s="679"/>
    </row>
    <row r="63117" spans="32:32" x14ac:dyDescent="0.2">
      <c r="AF63117" s="679"/>
    </row>
    <row r="63118" spans="32:32" x14ac:dyDescent="0.2">
      <c r="AF63118" s="679"/>
    </row>
    <row r="63119" spans="32:32" x14ac:dyDescent="0.2">
      <c r="AF63119" s="679"/>
    </row>
    <row r="63120" spans="32:32" x14ac:dyDescent="0.2">
      <c r="AF63120" s="679"/>
    </row>
    <row r="63121" spans="32:32" x14ac:dyDescent="0.2">
      <c r="AF63121" s="679"/>
    </row>
    <row r="63122" spans="32:32" x14ac:dyDescent="0.2">
      <c r="AF63122" s="679"/>
    </row>
    <row r="63123" spans="32:32" x14ac:dyDescent="0.2">
      <c r="AF63123" s="679"/>
    </row>
    <row r="63124" spans="32:32" x14ac:dyDescent="0.2">
      <c r="AF63124" s="679"/>
    </row>
    <row r="63125" spans="32:32" x14ac:dyDescent="0.2">
      <c r="AF63125" s="679"/>
    </row>
    <row r="63126" spans="32:32" x14ac:dyDescent="0.2">
      <c r="AF63126" s="679"/>
    </row>
    <row r="63127" spans="32:32" x14ac:dyDescent="0.2">
      <c r="AF63127" s="679"/>
    </row>
    <row r="63128" spans="32:32" x14ac:dyDescent="0.2">
      <c r="AF63128" s="679"/>
    </row>
    <row r="63129" spans="32:32" x14ac:dyDescent="0.2">
      <c r="AF63129" s="679"/>
    </row>
    <row r="63130" spans="32:32" x14ac:dyDescent="0.2">
      <c r="AF63130" s="679"/>
    </row>
    <row r="63131" spans="32:32" x14ac:dyDescent="0.2">
      <c r="AF63131" s="679"/>
    </row>
    <row r="63132" spans="32:32" x14ac:dyDescent="0.2">
      <c r="AF63132" s="679"/>
    </row>
    <row r="63133" spans="32:32" x14ac:dyDescent="0.2">
      <c r="AF63133" s="679"/>
    </row>
    <row r="63134" spans="32:32" x14ac:dyDescent="0.2">
      <c r="AF63134" s="679"/>
    </row>
    <row r="63135" spans="32:32" x14ac:dyDescent="0.2">
      <c r="AF63135" s="679"/>
    </row>
    <row r="63136" spans="32:32" x14ac:dyDescent="0.2">
      <c r="AF63136" s="679"/>
    </row>
    <row r="63137" spans="32:32" x14ac:dyDescent="0.2">
      <c r="AF63137" s="679"/>
    </row>
    <row r="63138" spans="32:32" x14ac:dyDescent="0.2">
      <c r="AF63138" s="679"/>
    </row>
    <row r="63139" spans="32:32" x14ac:dyDescent="0.2">
      <c r="AF63139" s="679"/>
    </row>
    <row r="63140" spans="32:32" x14ac:dyDescent="0.2">
      <c r="AF63140" s="679"/>
    </row>
    <row r="63141" spans="32:32" x14ac:dyDescent="0.2">
      <c r="AF63141" s="679"/>
    </row>
    <row r="63142" spans="32:32" x14ac:dyDescent="0.2">
      <c r="AF63142" s="679"/>
    </row>
    <row r="63143" spans="32:32" x14ac:dyDescent="0.2">
      <c r="AF63143" s="679"/>
    </row>
    <row r="63144" spans="32:32" x14ac:dyDescent="0.2">
      <c r="AF63144" s="679"/>
    </row>
    <row r="63145" spans="32:32" x14ac:dyDescent="0.2">
      <c r="AF63145" s="679"/>
    </row>
    <row r="63146" spans="32:32" x14ac:dyDescent="0.2">
      <c r="AF63146" s="679"/>
    </row>
    <row r="63147" spans="32:32" x14ac:dyDescent="0.2">
      <c r="AF63147" s="679"/>
    </row>
    <row r="63148" spans="32:32" x14ac:dyDescent="0.2">
      <c r="AF63148" s="679"/>
    </row>
    <row r="63149" spans="32:32" x14ac:dyDescent="0.2">
      <c r="AF63149" s="679"/>
    </row>
    <row r="63150" spans="32:32" x14ac:dyDescent="0.2">
      <c r="AF63150" s="679"/>
    </row>
    <row r="63151" spans="32:32" x14ac:dyDescent="0.2">
      <c r="AF63151" s="679"/>
    </row>
    <row r="63152" spans="32:32" x14ac:dyDescent="0.2">
      <c r="AF63152" s="679"/>
    </row>
    <row r="63153" spans="32:32" x14ac:dyDescent="0.2">
      <c r="AF63153" s="679"/>
    </row>
    <row r="63154" spans="32:32" x14ac:dyDescent="0.2">
      <c r="AF63154" s="679"/>
    </row>
    <row r="63155" spans="32:32" x14ac:dyDescent="0.2">
      <c r="AF63155" s="679"/>
    </row>
    <row r="63156" spans="32:32" x14ac:dyDescent="0.2">
      <c r="AF63156" s="679"/>
    </row>
    <row r="63157" spans="32:32" x14ac:dyDescent="0.2">
      <c r="AF63157" s="679"/>
    </row>
    <row r="63158" spans="32:32" x14ac:dyDescent="0.2">
      <c r="AF63158" s="679"/>
    </row>
    <row r="63159" spans="32:32" x14ac:dyDescent="0.2">
      <c r="AF63159" s="679"/>
    </row>
    <row r="63160" spans="32:32" x14ac:dyDescent="0.2">
      <c r="AF63160" s="679"/>
    </row>
    <row r="63161" spans="32:32" x14ac:dyDescent="0.2">
      <c r="AF63161" s="679"/>
    </row>
    <row r="63162" spans="32:32" x14ac:dyDescent="0.2">
      <c r="AF63162" s="679"/>
    </row>
    <row r="63163" spans="32:32" x14ac:dyDescent="0.2">
      <c r="AF63163" s="679"/>
    </row>
    <row r="63164" spans="32:32" x14ac:dyDescent="0.2">
      <c r="AF63164" s="679"/>
    </row>
    <row r="63165" spans="32:32" x14ac:dyDescent="0.2">
      <c r="AF63165" s="679"/>
    </row>
    <row r="63166" spans="32:32" x14ac:dyDescent="0.2">
      <c r="AF63166" s="679"/>
    </row>
    <row r="63167" spans="32:32" x14ac:dyDescent="0.2">
      <c r="AF63167" s="679"/>
    </row>
    <row r="63168" spans="32:32" x14ac:dyDescent="0.2">
      <c r="AF63168" s="679"/>
    </row>
    <row r="63169" spans="32:32" x14ac:dyDescent="0.2">
      <c r="AF63169" s="679"/>
    </row>
    <row r="63170" spans="32:32" x14ac:dyDescent="0.2">
      <c r="AF63170" s="679"/>
    </row>
    <row r="63171" spans="32:32" x14ac:dyDescent="0.2">
      <c r="AF63171" s="679"/>
    </row>
    <row r="63172" spans="32:32" x14ac:dyDescent="0.2">
      <c r="AF63172" s="679"/>
    </row>
    <row r="63173" spans="32:32" x14ac:dyDescent="0.2">
      <c r="AF63173" s="679"/>
    </row>
    <row r="63174" spans="32:32" x14ac:dyDescent="0.2">
      <c r="AF63174" s="679"/>
    </row>
    <row r="63175" spans="32:32" x14ac:dyDescent="0.2">
      <c r="AF63175" s="679"/>
    </row>
    <row r="63176" spans="32:32" x14ac:dyDescent="0.2">
      <c r="AF63176" s="679"/>
    </row>
    <row r="63177" spans="32:32" x14ac:dyDescent="0.2">
      <c r="AF63177" s="679"/>
    </row>
    <row r="63178" spans="32:32" x14ac:dyDescent="0.2">
      <c r="AF63178" s="679"/>
    </row>
    <row r="63179" spans="32:32" x14ac:dyDescent="0.2">
      <c r="AF63179" s="679"/>
    </row>
    <row r="63180" spans="32:32" x14ac:dyDescent="0.2">
      <c r="AF63180" s="679"/>
    </row>
    <row r="63181" spans="32:32" x14ac:dyDescent="0.2">
      <c r="AF63181" s="679"/>
    </row>
    <row r="63182" spans="32:32" x14ac:dyDescent="0.2">
      <c r="AF63182" s="679"/>
    </row>
    <row r="63183" spans="32:32" x14ac:dyDescent="0.2">
      <c r="AF63183" s="679"/>
    </row>
    <row r="63184" spans="32:32" x14ac:dyDescent="0.2">
      <c r="AF63184" s="679"/>
    </row>
    <row r="63185" spans="32:32" x14ac:dyDescent="0.2">
      <c r="AF63185" s="679"/>
    </row>
    <row r="63186" spans="32:32" x14ac:dyDescent="0.2">
      <c r="AF63186" s="679"/>
    </row>
    <row r="63187" spans="32:32" x14ac:dyDescent="0.2">
      <c r="AF63187" s="679"/>
    </row>
    <row r="63188" spans="32:32" x14ac:dyDescent="0.2">
      <c r="AF63188" s="679"/>
    </row>
    <row r="63189" spans="32:32" x14ac:dyDescent="0.2">
      <c r="AF63189" s="679"/>
    </row>
    <row r="63190" spans="32:32" x14ac:dyDescent="0.2">
      <c r="AF63190" s="679"/>
    </row>
    <row r="63191" spans="32:32" x14ac:dyDescent="0.2">
      <c r="AF63191" s="679"/>
    </row>
    <row r="63192" spans="32:32" x14ac:dyDescent="0.2">
      <c r="AF63192" s="679"/>
    </row>
    <row r="63193" spans="32:32" x14ac:dyDescent="0.2">
      <c r="AF63193" s="679"/>
    </row>
    <row r="63194" spans="32:32" x14ac:dyDescent="0.2">
      <c r="AF63194" s="679"/>
    </row>
    <row r="63195" spans="32:32" x14ac:dyDescent="0.2">
      <c r="AF63195" s="679"/>
    </row>
    <row r="63196" spans="32:32" x14ac:dyDescent="0.2">
      <c r="AF63196" s="679"/>
    </row>
    <row r="63197" spans="32:32" x14ac:dyDescent="0.2">
      <c r="AF63197" s="679"/>
    </row>
    <row r="63198" spans="32:32" x14ac:dyDescent="0.2">
      <c r="AF63198" s="679"/>
    </row>
    <row r="63199" spans="32:32" x14ac:dyDescent="0.2">
      <c r="AF63199" s="679"/>
    </row>
    <row r="63200" spans="32:32" x14ac:dyDescent="0.2">
      <c r="AF63200" s="679"/>
    </row>
    <row r="63201" spans="32:32" x14ac:dyDescent="0.2">
      <c r="AF63201" s="679"/>
    </row>
    <row r="63202" spans="32:32" x14ac:dyDescent="0.2">
      <c r="AF63202" s="679"/>
    </row>
    <row r="63203" spans="32:32" x14ac:dyDescent="0.2">
      <c r="AF63203" s="679"/>
    </row>
    <row r="63204" spans="32:32" x14ac:dyDescent="0.2">
      <c r="AF63204" s="679"/>
    </row>
    <row r="63205" spans="32:32" x14ac:dyDescent="0.2">
      <c r="AF63205" s="679"/>
    </row>
    <row r="63206" spans="32:32" x14ac:dyDescent="0.2">
      <c r="AF63206" s="679"/>
    </row>
    <row r="63207" spans="32:32" x14ac:dyDescent="0.2">
      <c r="AF63207" s="679"/>
    </row>
    <row r="63208" spans="32:32" x14ac:dyDescent="0.2">
      <c r="AF63208" s="679"/>
    </row>
    <row r="63209" spans="32:32" x14ac:dyDescent="0.2">
      <c r="AF63209" s="679"/>
    </row>
    <row r="63210" spans="32:32" x14ac:dyDescent="0.2">
      <c r="AF63210" s="679"/>
    </row>
    <row r="63211" spans="32:32" x14ac:dyDescent="0.2">
      <c r="AF63211" s="679"/>
    </row>
    <row r="63212" spans="32:32" x14ac:dyDescent="0.2">
      <c r="AF63212" s="679"/>
    </row>
    <row r="63213" spans="32:32" x14ac:dyDescent="0.2">
      <c r="AF63213" s="679"/>
    </row>
    <row r="63214" spans="32:32" x14ac:dyDescent="0.2">
      <c r="AF63214" s="679"/>
    </row>
    <row r="63215" spans="32:32" x14ac:dyDescent="0.2">
      <c r="AF63215" s="679"/>
    </row>
    <row r="63216" spans="32:32" x14ac:dyDescent="0.2">
      <c r="AF63216" s="679"/>
    </row>
    <row r="63217" spans="32:32" x14ac:dyDescent="0.2">
      <c r="AF63217" s="679"/>
    </row>
    <row r="63218" spans="32:32" x14ac:dyDescent="0.2">
      <c r="AF63218" s="679"/>
    </row>
    <row r="63219" spans="32:32" x14ac:dyDescent="0.2">
      <c r="AF63219" s="679"/>
    </row>
    <row r="63220" spans="32:32" x14ac:dyDescent="0.2">
      <c r="AF63220" s="679"/>
    </row>
    <row r="63221" spans="32:32" x14ac:dyDescent="0.2">
      <c r="AF63221" s="679"/>
    </row>
    <row r="63222" spans="32:32" x14ac:dyDescent="0.2">
      <c r="AF63222" s="679"/>
    </row>
    <row r="63223" spans="32:32" x14ac:dyDescent="0.2">
      <c r="AF63223" s="679"/>
    </row>
    <row r="63224" spans="32:32" x14ac:dyDescent="0.2">
      <c r="AF63224" s="679"/>
    </row>
    <row r="63225" spans="32:32" x14ac:dyDescent="0.2">
      <c r="AF63225" s="679"/>
    </row>
    <row r="63226" spans="32:32" x14ac:dyDescent="0.2">
      <c r="AF63226" s="679"/>
    </row>
    <row r="63227" spans="32:32" x14ac:dyDescent="0.2">
      <c r="AF63227" s="679"/>
    </row>
    <row r="63228" spans="32:32" x14ac:dyDescent="0.2">
      <c r="AF63228" s="679"/>
    </row>
    <row r="63229" spans="32:32" x14ac:dyDescent="0.2">
      <c r="AF63229" s="679"/>
    </row>
    <row r="63230" spans="32:32" x14ac:dyDescent="0.2">
      <c r="AF63230" s="679"/>
    </row>
    <row r="63231" spans="32:32" x14ac:dyDescent="0.2">
      <c r="AF63231" s="679"/>
    </row>
    <row r="63232" spans="32:32" x14ac:dyDescent="0.2">
      <c r="AF63232" s="679"/>
    </row>
    <row r="63233" spans="32:32" x14ac:dyDescent="0.2">
      <c r="AF63233" s="679"/>
    </row>
    <row r="63234" spans="32:32" x14ac:dyDescent="0.2">
      <c r="AF63234" s="679"/>
    </row>
    <row r="63235" spans="32:32" x14ac:dyDescent="0.2">
      <c r="AF63235" s="679"/>
    </row>
    <row r="63236" spans="32:32" x14ac:dyDescent="0.2">
      <c r="AF63236" s="679"/>
    </row>
    <row r="63237" spans="32:32" x14ac:dyDescent="0.2">
      <c r="AF63237" s="679"/>
    </row>
    <row r="63238" spans="32:32" x14ac:dyDescent="0.2">
      <c r="AF63238" s="679"/>
    </row>
    <row r="63239" spans="32:32" x14ac:dyDescent="0.2">
      <c r="AF63239" s="679"/>
    </row>
    <row r="63240" spans="32:32" x14ac:dyDescent="0.2">
      <c r="AF63240" s="679"/>
    </row>
    <row r="63241" spans="32:32" x14ac:dyDescent="0.2">
      <c r="AF63241" s="679"/>
    </row>
    <row r="63242" spans="32:32" x14ac:dyDescent="0.2">
      <c r="AF63242" s="679"/>
    </row>
    <row r="63243" spans="32:32" x14ac:dyDescent="0.2">
      <c r="AF63243" s="679"/>
    </row>
    <row r="63244" spans="32:32" x14ac:dyDescent="0.2">
      <c r="AF63244" s="679"/>
    </row>
    <row r="63245" spans="32:32" x14ac:dyDescent="0.2">
      <c r="AF63245" s="679"/>
    </row>
    <row r="63246" spans="32:32" x14ac:dyDescent="0.2">
      <c r="AF63246" s="679"/>
    </row>
    <row r="63247" spans="32:32" x14ac:dyDescent="0.2">
      <c r="AF63247" s="679"/>
    </row>
    <row r="63248" spans="32:32" x14ac:dyDescent="0.2">
      <c r="AF63248" s="679"/>
    </row>
    <row r="63249" spans="32:32" x14ac:dyDescent="0.2">
      <c r="AF63249" s="679"/>
    </row>
    <row r="63250" spans="32:32" x14ac:dyDescent="0.2">
      <c r="AF63250" s="679"/>
    </row>
    <row r="63251" spans="32:32" x14ac:dyDescent="0.2">
      <c r="AF63251" s="679"/>
    </row>
    <row r="63252" spans="32:32" x14ac:dyDescent="0.2">
      <c r="AF63252" s="679"/>
    </row>
    <row r="63253" spans="32:32" x14ac:dyDescent="0.2">
      <c r="AF63253" s="679"/>
    </row>
    <row r="63254" spans="32:32" x14ac:dyDescent="0.2">
      <c r="AF63254" s="679"/>
    </row>
    <row r="63255" spans="32:32" x14ac:dyDescent="0.2">
      <c r="AF63255" s="679"/>
    </row>
    <row r="63256" spans="32:32" x14ac:dyDescent="0.2">
      <c r="AF63256" s="679"/>
    </row>
    <row r="63257" spans="32:32" x14ac:dyDescent="0.2">
      <c r="AF63257" s="679"/>
    </row>
    <row r="63258" spans="32:32" x14ac:dyDescent="0.2">
      <c r="AF63258" s="679"/>
    </row>
    <row r="63259" spans="32:32" x14ac:dyDescent="0.2">
      <c r="AF63259" s="679"/>
    </row>
    <row r="63260" spans="32:32" x14ac:dyDescent="0.2">
      <c r="AF63260" s="679"/>
    </row>
    <row r="63261" spans="32:32" x14ac:dyDescent="0.2">
      <c r="AF63261" s="679"/>
    </row>
    <row r="63262" spans="32:32" x14ac:dyDescent="0.2">
      <c r="AF63262" s="679"/>
    </row>
    <row r="63263" spans="32:32" x14ac:dyDescent="0.2">
      <c r="AF63263" s="679"/>
    </row>
    <row r="63264" spans="32:32" x14ac:dyDescent="0.2">
      <c r="AF63264" s="679"/>
    </row>
    <row r="63265" spans="32:32" x14ac:dyDescent="0.2">
      <c r="AF63265" s="679"/>
    </row>
    <row r="63266" spans="32:32" x14ac:dyDescent="0.2">
      <c r="AF63266" s="679"/>
    </row>
    <row r="63267" spans="32:32" x14ac:dyDescent="0.2">
      <c r="AF63267" s="679"/>
    </row>
    <row r="63268" spans="32:32" x14ac:dyDescent="0.2">
      <c r="AF63268" s="679"/>
    </row>
    <row r="63269" spans="32:32" x14ac:dyDescent="0.2">
      <c r="AF63269" s="679"/>
    </row>
    <row r="63270" spans="32:32" x14ac:dyDescent="0.2">
      <c r="AF63270" s="679"/>
    </row>
    <row r="63271" spans="32:32" x14ac:dyDescent="0.2">
      <c r="AF63271" s="679"/>
    </row>
    <row r="63272" spans="32:32" x14ac:dyDescent="0.2">
      <c r="AF63272" s="679"/>
    </row>
    <row r="63273" spans="32:32" x14ac:dyDescent="0.2">
      <c r="AF63273" s="679"/>
    </row>
    <row r="63274" spans="32:32" x14ac:dyDescent="0.2">
      <c r="AF63274" s="679"/>
    </row>
    <row r="63275" spans="32:32" x14ac:dyDescent="0.2">
      <c r="AF63275" s="679"/>
    </row>
    <row r="63276" spans="32:32" x14ac:dyDescent="0.2">
      <c r="AF63276" s="679"/>
    </row>
    <row r="63277" spans="32:32" x14ac:dyDescent="0.2">
      <c r="AF63277" s="679"/>
    </row>
    <row r="63278" spans="32:32" x14ac:dyDescent="0.2">
      <c r="AF63278" s="679"/>
    </row>
    <row r="63279" spans="32:32" x14ac:dyDescent="0.2">
      <c r="AF63279" s="679"/>
    </row>
    <row r="63280" spans="32:32" x14ac:dyDescent="0.2">
      <c r="AF63280" s="679"/>
    </row>
    <row r="63281" spans="32:32" x14ac:dyDescent="0.2">
      <c r="AF63281" s="679"/>
    </row>
    <row r="63282" spans="32:32" x14ac:dyDescent="0.2">
      <c r="AF63282" s="679"/>
    </row>
    <row r="63283" spans="32:32" x14ac:dyDescent="0.2">
      <c r="AF63283" s="679"/>
    </row>
    <row r="63284" spans="32:32" x14ac:dyDescent="0.2">
      <c r="AF63284" s="679"/>
    </row>
    <row r="63285" spans="32:32" x14ac:dyDescent="0.2">
      <c r="AF63285" s="679"/>
    </row>
    <row r="63286" spans="32:32" x14ac:dyDescent="0.2">
      <c r="AF63286" s="679"/>
    </row>
    <row r="63287" spans="32:32" x14ac:dyDescent="0.2">
      <c r="AF63287" s="679"/>
    </row>
    <row r="63288" spans="32:32" x14ac:dyDescent="0.2">
      <c r="AF63288" s="679"/>
    </row>
    <row r="63289" spans="32:32" x14ac:dyDescent="0.2">
      <c r="AF63289" s="679"/>
    </row>
    <row r="63290" spans="32:32" x14ac:dyDescent="0.2">
      <c r="AF63290" s="679"/>
    </row>
    <row r="63291" spans="32:32" x14ac:dyDescent="0.2">
      <c r="AF63291" s="679"/>
    </row>
    <row r="63292" spans="32:32" x14ac:dyDescent="0.2">
      <c r="AF63292" s="679"/>
    </row>
    <row r="63293" spans="32:32" x14ac:dyDescent="0.2">
      <c r="AF63293" s="679"/>
    </row>
    <row r="63294" spans="32:32" x14ac:dyDescent="0.2">
      <c r="AF63294" s="679"/>
    </row>
    <row r="63295" spans="32:32" x14ac:dyDescent="0.2">
      <c r="AF63295" s="679"/>
    </row>
    <row r="63296" spans="32:32" x14ac:dyDescent="0.2">
      <c r="AF63296" s="679"/>
    </row>
    <row r="63297" spans="32:32" x14ac:dyDescent="0.2">
      <c r="AF63297" s="679"/>
    </row>
    <row r="63298" spans="32:32" x14ac:dyDescent="0.2">
      <c r="AF63298" s="679"/>
    </row>
    <row r="63299" spans="32:32" x14ac:dyDescent="0.2">
      <c r="AF63299" s="679"/>
    </row>
    <row r="63300" spans="32:32" x14ac:dyDescent="0.2">
      <c r="AF63300" s="679"/>
    </row>
    <row r="63301" spans="32:32" x14ac:dyDescent="0.2">
      <c r="AF63301" s="679"/>
    </row>
    <row r="63302" spans="32:32" x14ac:dyDescent="0.2">
      <c r="AF63302" s="679"/>
    </row>
    <row r="63303" spans="32:32" x14ac:dyDescent="0.2">
      <c r="AF63303" s="679"/>
    </row>
    <row r="63304" spans="32:32" x14ac:dyDescent="0.2">
      <c r="AF63304" s="679"/>
    </row>
    <row r="63305" spans="32:32" x14ac:dyDescent="0.2">
      <c r="AF63305" s="679"/>
    </row>
    <row r="63306" spans="32:32" x14ac:dyDescent="0.2">
      <c r="AF63306" s="679"/>
    </row>
    <row r="63307" spans="32:32" x14ac:dyDescent="0.2">
      <c r="AF63307" s="679"/>
    </row>
    <row r="63308" spans="32:32" x14ac:dyDescent="0.2">
      <c r="AF63308" s="679"/>
    </row>
    <row r="63309" spans="32:32" x14ac:dyDescent="0.2">
      <c r="AF63309" s="679"/>
    </row>
    <row r="63310" spans="32:32" x14ac:dyDescent="0.2">
      <c r="AF63310" s="679"/>
    </row>
    <row r="63311" spans="32:32" x14ac:dyDescent="0.2">
      <c r="AF63311" s="679"/>
    </row>
    <row r="63312" spans="32:32" x14ac:dyDescent="0.2">
      <c r="AF63312" s="679"/>
    </row>
    <row r="63313" spans="32:32" x14ac:dyDescent="0.2">
      <c r="AF63313" s="679"/>
    </row>
    <row r="63314" spans="32:32" x14ac:dyDescent="0.2">
      <c r="AF63314" s="679"/>
    </row>
    <row r="63315" spans="32:32" x14ac:dyDescent="0.2">
      <c r="AF63315" s="679"/>
    </row>
    <row r="63316" spans="32:32" x14ac:dyDescent="0.2">
      <c r="AF63316" s="679"/>
    </row>
    <row r="63317" spans="32:32" x14ac:dyDescent="0.2">
      <c r="AF63317" s="679"/>
    </row>
    <row r="63318" spans="32:32" x14ac:dyDescent="0.2">
      <c r="AF63318" s="679"/>
    </row>
    <row r="63319" spans="32:32" x14ac:dyDescent="0.2">
      <c r="AF63319" s="679"/>
    </row>
    <row r="63320" spans="32:32" x14ac:dyDescent="0.2">
      <c r="AF63320" s="679"/>
    </row>
    <row r="63321" spans="32:32" x14ac:dyDescent="0.2">
      <c r="AF63321" s="679"/>
    </row>
    <row r="63322" spans="32:32" x14ac:dyDescent="0.2">
      <c r="AF63322" s="679"/>
    </row>
    <row r="63323" spans="32:32" x14ac:dyDescent="0.2">
      <c r="AF63323" s="679"/>
    </row>
    <row r="63324" spans="32:32" x14ac:dyDescent="0.2">
      <c r="AF63324" s="679"/>
    </row>
    <row r="63325" spans="32:32" x14ac:dyDescent="0.2">
      <c r="AF63325" s="679"/>
    </row>
    <row r="63326" spans="32:32" x14ac:dyDescent="0.2">
      <c r="AF63326" s="679"/>
    </row>
    <row r="63327" spans="32:32" x14ac:dyDescent="0.2">
      <c r="AF63327" s="679"/>
    </row>
    <row r="63328" spans="32:32" x14ac:dyDescent="0.2">
      <c r="AF63328" s="679"/>
    </row>
    <row r="63329" spans="32:32" x14ac:dyDescent="0.2">
      <c r="AF63329" s="679"/>
    </row>
    <row r="63330" spans="32:32" x14ac:dyDescent="0.2">
      <c r="AF63330" s="679"/>
    </row>
    <row r="63331" spans="32:32" x14ac:dyDescent="0.2">
      <c r="AF63331" s="679"/>
    </row>
    <row r="63332" spans="32:32" x14ac:dyDescent="0.2">
      <c r="AF63332" s="679"/>
    </row>
    <row r="63333" spans="32:32" x14ac:dyDescent="0.2">
      <c r="AF63333" s="679"/>
    </row>
    <row r="63334" spans="32:32" x14ac:dyDescent="0.2">
      <c r="AF63334" s="679"/>
    </row>
    <row r="63335" spans="32:32" x14ac:dyDescent="0.2">
      <c r="AF63335" s="679"/>
    </row>
    <row r="63336" spans="32:32" x14ac:dyDescent="0.2">
      <c r="AF63336" s="679"/>
    </row>
    <row r="63337" spans="32:32" x14ac:dyDescent="0.2">
      <c r="AF63337" s="679"/>
    </row>
    <row r="63338" spans="32:32" x14ac:dyDescent="0.2">
      <c r="AF63338" s="679"/>
    </row>
    <row r="63339" spans="32:32" x14ac:dyDescent="0.2">
      <c r="AF63339" s="679"/>
    </row>
    <row r="63340" spans="32:32" x14ac:dyDescent="0.2">
      <c r="AF63340" s="679"/>
    </row>
    <row r="63341" spans="32:32" x14ac:dyDescent="0.2">
      <c r="AF63341" s="679"/>
    </row>
    <row r="63342" spans="32:32" x14ac:dyDescent="0.2">
      <c r="AF63342" s="679"/>
    </row>
    <row r="63343" spans="32:32" x14ac:dyDescent="0.2">
      <c r="AF63343" s="679"/>
    </row>
    <row r="63344" spans="32:32" x14ac:dyDescent="0.2">
      <c r="AF63344" s="679"/>
    </row>
    <row r="63345" spans="32:32" x14ac:dyDescent="0.2">
      <c r="AF63345" s="679"/>
    </row>
    <row r="63346" spans="32:32" x14ac:dyDescent="0.2">
      <c r="AF63346" s="679"/>
    </row>
    <row r="63347" spans="32:32" x14ac:dyDescent="0.2">
      <c r="AF63347" s="679"/>
    </row>
    <row r="63348" spans="32:32" x14ac:dyDescent="0.2">
      <c r="AF63348" s="679"/>
    </row>
    <row r="63349" spans="32:32" x14ac:dyDescent="0.2">
      <c r="AF63349" s="679"/>
    </row>
    <row r="63350" spans="32:32" x14ac:dyDescent="0.2">
      <c r="AF63350" s="679"/>
    </row>
    <row r="63351" spans="32:32" x14ac:dyDescent="0.2">
      <c r="AF63351" s="679"/>
    </row>
    <row r="63352" spans="32:32" x14ac:dyDescent="0.2">
      <c r="AF63352" s="679"/>
    </row>
    <row r="63353" spans="32:32" x14ac:dyDescent="0.2">
      <c r="AF63353" s="679"/>
    </row>
    <row r="63354" spans="32:32" x14ac:dyDescent="0.2">
      <c r="AF63354" s="679"/>
    </row>
    <row r="63355" spans="32:32" x14ac:dyDescent="0.2">
      <c r="AF63355" s="679"/>
    </row>
    <row r="63356" spans="32:32" x14ac:dyDescent="0.2">
      <c r="AF63356" s="679"/>
    </row>
    <row r="63357" spans="32:32" x14ac:dyDescent="0.2">
      <c r="AF63357" s="679"/>
    </row>
    <row r="63358" spans="32:32" x14ac:dyDescent="0.2">
      <c r="AF63358" s="679"/>
    </row>
    <row r="63359" spans="32:32" x14ac:dyDescent="0.2">
      <c r="AF63359" s="679"/>
    </row>
    <row r="63360" spans="32:32" x14ac:dyDescent="0.2">
      <c r="AF63360" s="679"/>
    </row>
    <row r="63361" spans="32:32" x14ac:dyDescent="0.2">
      <c r="AF63361" s="679"/>
    </row>
    <row r="63362" spans="32:32" x14ac:dyDescent="0.2">
      <c r="AF63362" s="679"/>
    </row>
    <row r="63363" spans="32:32" x14ac:dyDescent="0.2">
      <c r="AF63363" s="679"/>
    </row>
    <row r="63364" spans="32:32" x14ac:dyDescent="0.2">
      <c r="AF63364" s="679"/>
    </row>
    <row r="63365" spans="32:32" x14ac:dyDescent="0.2">
      <c r="AF63365" s="679"/>
    </row>
    <row r="63366" spans="32:32" x14ac:dyDescent="0.2">
      <c r="AF63366" s="679"/>
    </row>
    <row r="63367" spans="32:32" x14ac:dyDescent="0.2">
      <c r="AF63367" s="679"/>
    </row>
    <row r="63368" spans="32:32" x14ac:dyDescent="0.2">
      <c r="AF63368" s="679"/>
    </row>
    <row r="63369" spans="32:32" x14ac:dyDescent="0.2">
      <c r="AF63369" s="679"/>
    </row>
    <row r="63370" spans="32:32" x14ac:dyDescent="0.2">
      <c r="AF63370" s="679"/>
    </row>
    <row r="63371" spans="32:32" x14ac:dyDescent="0.2">
      <c r="AF63371" s="679"/>
    </row>
    <row r="63372" spans="32:32" x14ac:dyDescent="0.2">
      <c r="AF63372" s="679"/>
    </row>
    <row r="63373" spans="32:32" x14ac:dyDescent="0.2">
      <c r="AF63373" s="679"/>
    </row>
    <row r="63374" spans="32:32" x14ac:dyDescent="0.2">
      <c r="AF63374" s="679"/>
    </row>
    <row r="63375" spans="32:32" x14ac:dyDescent="0.2">
      <c r="AF63375" s="679"/>
    </row>
    <row r="63376" spans="32:32" x14ac:dyDescent="0.2">
      <c r="AF63376" s="679"/>
    </row>
    <row r="63377" spans="32:32" x14ac:dyDescent="0.2">
      <c r="AF63377" s="679"/>
    </row>
    <row r="63378" spans="32:32" x14ac:dyDescent="0.2">
      <c r="AF63378" s="679"/>
    </row>
    <row r="63379" spans="32:32" x14ac:dyDescent="0.2">
      <c r="AF63379" s="679"/>
    </row>
    <row r="63380" spans="32:32" x14ac:dyDescent="0.2">
      <c r="AF63380" s="679"/>
    </row>
    <row r="63381" spans="32:32" x14ac:dyDescent="0.2">
      <c r="AF63381" s="679"/>
    </row>
    <row r="63382" spans="32:32" x14ac:dyDescent="0.2">
      <c r="AF63382" s="679"/>
    </row>
    <row r="63383" spans="32:32" x14ac:dyDescent="0.2">
      <c r="AF63383" s="679"/>
    </row>
    <row r="63384" spans="32:32" x14ac:dyDescent="0.2">
      <c r="AF63384" s="679"/>
    </row>
    <row r="63385" spans="32:32" x14ac:dyDescent="0.2">
      <c r="AF63385" s="679"/>
    </row>
    <row r="63386" spans="32:32" x14ac:dyDescent="0.2">
      <c r="AF63386" s="679"/>
    </row>
    <row r="63387" spans="32:32" x14ac:dyDescent="0.2">
      <c r="AF63387" s="679"/>
    </row>
    <row r="63388" spans="32:32" x14ac:dyDescent="0.2">
      <c r="AF63388" s="679"/>
    </row>
    <row r="63389" spans="32:32" x14ac:dyDescent="0.2">
      <c r="AF63389" s="679"/>
    </row>
    <row r="63390" spans="32:32" x14ac:dyDescent="0.2">
      <c r="AF63390" s="679"/>
    </row>
    <row r="63391" spans="32:32" x14ac:dyDescent="0.2">
      <c r="AF63391" s="679"/>
    </row>
    <row r="63392" spans="32:32" x14ac:dyDescent="0.2">
      <c r="AF63392" s="679"/>
    </row>
    <row r="63393" spans="32:32" x14ac:dyDescent="0.2">
      <c r="AF63393" s="679"/>
    </row>
    <row r="63394" spans="32:32" x14ac:dyDescent="0.2">
      <c r="AF63394" s="679"/>
    </row>
    <row r="63395" spans="32:32" x14ac:dyDescent="0.2">
      <c r="AF63395" s="679"/>
    </row>
    <row r="63396" spans="32:32" x14ac:dyDescent="0.2">
      <c r="AF63396" s="679"/>
    </row>
    <row r="63397" spans="32:32" x14ac:dyDescent="0.2">
      <c r="AF63397" s="679"/>
    </row>
    <row r="63398" spans="32:32" x14ac:dyDescent="0.2">
      <c r="AF63398" s="679"/>
    </row>
    <row r="63399" spans="32:32" x14ac:dyDescent="0.2">
      <c r="AF63399" s="679"/>
    </row>
    <row r="63400" spans="32:32" x14ac:dyDescent="0.2">
      <c r="AF63400" s="679"/>
    </row>
    <row r="63401" spans="32:32" x14ac:dyDescent="0.2">
      <c r="AF63401" s="679"/>
    </row>
    <row r="63402" spans="32:32" x14ac:dyDescent="0.2">
      <c r="AF63402" s="679"/>
    </row>
    <row r="63403" spans="32:32" x14ac:dyDescent="0.2">
      <c r="AF63403" s="679"/>
    </row>
    <row r="63404" spans="32:32" x14ac:dyDescent="0.2">
      <c r="AF63404" s="679"/>
    </row>
    <row r="63405" spans="32:32" x14ac:dyDescent="0.2">
      <c r="AF63405" s="679"/>
    </row>
    <row r="63406" spans="32:32" x14ac:dyDescent="0.2">
      <c r="AF63406" s="679"/>
    </row>
    <row r="63407" spans="32:32" x14ac:dyDescent="0.2">
      <c r="AF63407" s="679"/>
    </row>
    <row r="63408" spans="32:32" x14ac:dyDescent="0.2">
      <c r="AF63408" s="679"/>
    </row>
    <row r="63409" spans="32:32" x14ac:dyDescent="0.2">
      <c r="AF63409" s="679"/>
    </row>
    <row r="63410" spans="32:32" x14ac:dyDescent="0.2">
      <c r="AF63410" s="679"/>
    </row>
    <row r="63411" spans="32:32" x14ac:dyDescent="0.2">
      <c r="AF63411" s="679"/>
    </row>
    <row r="63412" spans="32:32" x14ac:dyDescent="0.2">
      <c r="AF63412" s="679"/>
    </row>
    <row r="63413" spans="32:32" x14ac:dyDescent="0.2">
      <c r="AF63413" s="679"/>
    </row>
    <row r="63414" spans="32:32" x14ac:dyDescent="0.2">
      <c r="AF63414" s="679"/>
    </row>
    <row r="63415" spans="32:32" x14ac:dyDescent="0.2">
      <c r="AF63415" s="679"/>
    </row>
    <row r="63416" spans="32:32" x14ac:dyDescent="0.2">
      <c r="AF63416" s="679"/>
    </row>
    <row r="63417" spans="32:32" x14ac:dyDescent="0.2">
      <c r="AF63417" s="679"/>
    </row>
    <row r="63418" spans="32:32" x14ac:dyDescent="0.2">
      <c r="AF63418" s="679"/>
    </row>
    <row r="63419" spans="32:32" x14ac:dyDescent="0.2">
      <c r="AF63419" s="679"/>
    </row>
    <row r="63420" spans="32:32" x14ac:dyDescent="0.2">
      <c r="AF63420" s="679"/>
    </row>
    <row r="63421" spans="32:32" x14ac:dyDescent="0.2">
      <c r="AF63421" s="679"/>
    </row>
    <row r="63422" spans="32:32" x14ac:dyDescent="0.2">
      <c r="AF63422" s="679"/>
    </row>
    <row r="63423" spans="32:32" x14ac:dyDescent="0.2">
      <c r="AF63423" s="679"/>
    </row>
    <row r="63424" spans="32:32" x14ac:dyDescent="0.2">
      <c r="AF63424" s="679"/>
    </row>
    <row r="63425" spans="32:32" x14ac:dyDescent="0.2">
      <c r="AF63425" s="679"/>
    </row>
    <row r="63426" spans="32:32" x14ac:dyDescent="0.2">
      <c r="AF63426" s="679"/>
    </row>
    <row r="63427" spans="32:32" x14ac:dyDescent="0.2">
      <c r="AF63427" s="679"/>
    </row>
    <row r="63428" spans="32:32" x14ac:dyDescent="0.2">
      <c r="AF63428" s="679"/>
    </row>
    <row r="63429" spans="32:32" x14ac:dyDescent="0.2">
      <c r="AF63429" s="679"/>
    </row>
    <row r="63430" spans="32:32" x14ac:dyDescent="0.2">
      <c r="AF63430" s="679"/>
    </row>
    <row r="63431" spans="32:32" x14ac:dyDescent="0.2">
      <c r="AF63431" s="679"/>
    </row>
    <row r="63432" spans="32:32" x14ac:dyDescent="0.2">
      <c r="AF63432" s="679"/>
    </row>
    <row r="63433" spans="32:32" x14ac:dyDescent="0.2">
      <c r="AF63433" s="679"/>
    </row>
    <row r="63434" spans="32:32" x14ac:dyDescent="0.2">
      <c r="AF63434" s="679"/>
    </row>
    <row r="63435" spans="32:32" x14ac:dyDescent="0.2">
      <c r="AF63435" s="679"/>
    </row>
    <row r="63436" spans="32:32" x14ac:dyDescent="0.2">
      <c r="AF63436" s="679"/>
    </row>
    <row r="63437" spans="32:32" x14ac:dyDescent="0.2">
      <c r="AF63437" s="679"/>
    </row>
    <row r="63438" spans="32:32" x14ac:dyDescent="0.2">
      <c r="AF63438" s="679"/>
    </row>
    <row r="63439" spans="32:32" x14ac:dyDescent="0.2">
      <c r="AF63439" s="679"/>
    </row>
    <row r="63440" spans="32:32" x14ac:dyDescent="0.2">
      <c r="AF63440" s="679"/>
    </row>
    <row r="63441" spans="32:32" x14ac:dyDescent="0.2">
      <c r="AF63441" s="679"/>
    </row>
    <row r="63442" spans="32:32" x14ac:dyDescent="0.2">
      <c r="AF63442" s="679"/>
    </row>
    <row r="63443" spans="32:32" x14ac:dyDescent="0.2">
      <c r="AF63443" s="679"/>
    </row>
    <row r="63444" spans="32:32" x14ac:dyDescent="0.2">
      <c r="AF63444" s="679"/>
    </row>
    <row r="63445" spans="32:32" x14ac:dyDescent="0.2">
      <c r="AF63445" s="679"/>
    </row>
    <row r="63446" spans="32:32" x14ac:dyDescent="0.2">
      <c r="AF63446" s="679"/>
    </row>
    <row r="63447" spans="32:32" x14ac:dyDescent="0.2">
      <c r="AF63447" s="679"/>
    </row>
    <row r="63448" spans="32:32" x14ac:dyDescent="0.2">
      <c r="AF63448" s="679"/>
    </row>
    <row r="63449" spans="32:32" x14ac:dyDescent="0.2">
      <c r="AF63449" s="679"/>
    </row>
    <row r="63450" spans="32:32" x14ac:dyDescent="0.2">
      <c r="AF63450" s="679"/>
    </row>
    <row r="63451" spans="32:32" x14ac:dyDescent="0.2">
      <c r="AF63451" s="679"/>
    </row>
    <row r="63452" spans="32:32" x14ac:dyDescent="0.2">
      <c r="AF63452" s="679"/>
    </row>
    <row r="63453" spans="32:32" x14ac:dyDescent="0.2">
      <c r="AF63453" s="679"/>
    </row>
    <row r="63454" spans="32:32" x14ac:dyDescent="0.2">
      <c r="AF63454" s="679"/>
    </row>
    <row r="63455" spans="32:32" x14ac:dyDescent="0.2">
      <c r="AF63455" s="679"/>
    </row>
    <row r="63456" spans="32:32" x14ac:dyDescent="0.2">
      <c r="AF63456" s="679"/>
    </row>
    <row r="63457" spans="32:32" x14ac:dyDescent="0.2">
      <c r="AF63457" s="679"/>
    </row>
    <row r="63458" spans="32:32" x14ac:dyDescent="0.2">
      <c r="AF63458" s="679"/>
    </row>
    <row r="63459" spans="32:32" x14ac:dyDescent="0.2">
      <c r="AF63459" s="679"/>
    </row>
    <row r="63460" spans="32:32" x14ac:dyDescent="0.2">
      <c r="AF63460" s="679"/>
    </row>
    <row r="63461" spans="32:32" x14ac:dyDescent="0.2">
      <c r="AF63461" s="679"/>
    </row>
    <row r="63462" spans="32:32" x14ac:dyDescent="0.2">
      <c r="AF63462" s="679"/>
    </row>
    <row r="63463" spans="32:32" x14ac:dyDescent="0.2">
      <c r="AF63463" s="679"/>
    </row>
    <row r="63464" spans="32:32" x14ac:dyDescent="0.2">
      <c r="AF63464" s="679"/>
    </row>
    <row r="63465" spans="32:32" x14ac:dyDescent="0.2">
      <c r="AF63465" s="679"/>
    </row>
    <row r="63466" spans="32:32" x14ac:dyDescent="0.2">
      <c r="AF63466" s="679"/>
    </row>
    <row r="63467" spans="32:32" x14ac:dyDescent="0.2">
      <c r="AF63467" s="679"/>
    </row>
    <row r="63468" spans="32:32" x14ac:dyDescent="0.2">
      <c r="AF63468" s="679"/>
    </row>
    <row r="63469" spans="32:32" x14ac:dyDescent="0.2">
      <c r="AF63469" s="679"/>
    </row>
    <row r="63470" spans="32:32" x14ac:dyDescent="0.2">
      <c r="AF63470" s="679"/>
    </row>
    <row r="63471" spans="32:32" x14ac:dyDescent="0.2">
      <c r="AF63471" s="679"/>
    </row>
    <row r="63472" spans="32:32" x14ac:dyDescent="0.2">
      <c r="AF63472" s="679"/>
    </row>
    <row r="63473" spans="32:32" x14ac:dyDescent="0.2">
      <c r="AF63473" s="679"/>
    </row>
    <row r="63474" spans="32:32" x14ac:dyDescent="0.2">
      <c r="AF63474" s="679"/>
    </row>
    <row r="63475" spans="32:32" x14ac:dyDescent="0.2">
      <c r="AF63475" s="679"/>
    </row>
    <row r="63476" spans="32:32" x14ac:dyDescent="0.2">
      <c r="AF63476" s="679"/>
    </row>
    <row r="63477" spans="32:32" x14ac:dyDescent="0.2">
      <c r="AF63477" s="679"/>
    </row>
    <row r="63478" spans="32:32" x14ac:dyDescent="0.2">
      <c r="AF63478" s="679"/>
    </row>
    <row r="63479" spans="32:32" x14ac:dyDescent="0.2">
      <c r="AF63479" s="679"/>
    </row>
    <row r="63480" spans="32:32" x14ac:dyDescent="0.2">
      <c r="AF63480" s="679"/>
    </row>
    <row r="63481" spans="32:32" x14ac:dyDescent="0.2">
      <c r="AF63481" s="679"/>
    </row>
    <row r="63482" spans="32:32" x14ac:dyDescent="0.2">
      <c r="AF63482" s="679"/>
    </row>
    <row r="63483" spans="32:32" x14ac:dyDescent="0.2">
      <c r="AF63483" s="679"/>
    </row>
    <row r="63484" spans="32:32" x14ac:dyDescent="0.2">
      <c r="AF63484" s="679"/>
    </row>
    <row r="63485" spans="32:32" x14ac:dyDescent="0.2">
      <c r="AF63485" s="679"/>
    </row>
    <row r="63486" spans="32:32" x14ac:dyDescent="0.2">
      <c r="AF63486" s="679"/>
    </row>
    <row r="63487" spans="32:32" x14ac:dyDescent="0.2">
      <c r="AF63487" s="679"/>
    </row>
    <row r="63488" spans="32:32" x14ac:dyDescent="0.2">
      <c r="AF63488" s="679"/>
    </row>
    <row r="63489" spans="32:32" x14ac:dyDescent="0.2">
      <c r="AF63489" s="679"/>
    </row>
    <row r="63490" spans="32:32" x14ac:dyDescent="0.2">
      <c r="AF63490" s="679"/>
    </row>
    <row r="63491" spans="32:32" x14ac:dyDescent="0.2">
      <c r="AF63491" s="679"/>
    </row>
    <row r="63492" spans="32:32" x14ac:dyDescent="0.2">
      <c r="AF63492" s="679"/>
    </row>
    <row r="63493" spans="32:32" x14ac:dyDescent="0.2">
      <c r="AF63493" s="679"/>
    </row>
    <row r="63494" spans="32:32" x14ac:dyDescent="0.2">
      <c r="AF63494" s="679"/>
    </row>
    <row r="63495" spans="32:32" x14ac:dyDescent="0.2">
      <c r="AF63495" s="679"/>
    </row>
    <row r="63496" spans="32:32" x14ac:dyDescent="0.2">
      <c r="AF63496" s="679"/>
    </row>
    <row r="63497" spans="32:32" x14ac:dyDescent="0.2">
      <c r="AF63497" s="679"/>
    </row>
    <row r="63498" spans="32:32" x14ac:dyDescent="0.2">
      <c r="AF63498" s="679"/>
    </row>
    <row r="63499" spans="32:32" x14ac:dyDescent="0.2">
      <c r="AF63499" s="679"/>
    </row>
    <row r="63500" spans="32:32" x14ac:dyDescent="0.2">
      <c r="AF63500" s="679"/>
    </row>
    <row r="63501" spans="32:32" x14ac:dyDescent="0.2">
      <c r="AF63501" s="679"/>
    </row>
    <row r="63502" spans="32:32" x14ac:dyDescent="0.2">
      <c r="AF63502" s="679"/>
    </row>
    <row r="63503" spans="32:32" x14ac:dyDescent="0.2">
      <c r="AF63503" s="679"/>
    </row>
    <row r="63504" spans="32:32" x14ac:dyDescent="0.2">
      <c r="AF63504" s="679"/>
    </row>
    <row r="63505" spans="32:32" x14ac:dyDescent="0.2">
      <c r="AF63505" s="679"/>
    </row>
    <row r="63506" spans="32:32" x14ac:dyDescent="0.2">
      <c r="AF63506" s="679"/>
    </row>
    <row r="63507" spans="32:32" x14ac:dyDescent="0.2">
      <c r="AF63507" s="679"/>
    </row>
    <row r="63508" spans="32:32" x14ac:dyDescent="0.2">
      <c r="AF63508" s="679"/>
    </row>
    <row r="63509" spans="32:32" x14ac:dyDescent="0.2">
      <c r="AF63509" s="679"/>
    </row>
    <row r="63510" spans="32:32" x14ac:dyDescent="0.2">
      <c r="AF63510" s="679"/>
    </row>
    <row r="63511" spans="32:32" x14ac:dyDescent="0.2">
      <c r="AF63511" s="679"/>
    </row>
    <row r="63512" spans="32:32" x14ac:dyDescent="0.2">
      <c r="AF63512" s="679"/>
    </row>
    <row r="63513" spans="32:32" x14ac:dyDescent="0.2">
      <c r="AF63513" s="679"/>
    </row>
    <row r="63514" spans="32:32" x14ac:dyDescent="0.2">
      <c r="AF63514" s="679"/>
    </row>
    <row r="63515" spans="32:32" x14ac:dyDescent="0.2">
      <c r="AF63515" s="679"/>
    </row>
    <row r="63516" spans="32:32" x14ac:dyDescent="0.2">
      <c r="AF63516" s="679"/>
    </row>
    <row r="63517" spans="32:32" x14ac:dyDescent="0.2">
      <c r="AF63517" s="679"/>
    </row>
    <row r="63518" spans="32:32" x14ac:dyDescent="0.2">
      <c r="AF63518" s="679"/>
    </row>
    <row r="63519" spans="32:32" x14ac:dyDescent="0.2">
      <c r="AF63519" s="679"/>
    </row>
    <row r="63520" spans="32:32" x14ac:dyDescent="0.2">
      <c r="AF63520" s="679"/>
    </row>
    <row r="63521" spans="32:32" x14ac:dyDescent="0.2">
      <c r="AF63521" s="679"/>
    </row>
    <row r="63522" spans="32:32" x14ac:dyDescent="0.2">
      <c r="AF63522" s="679"/>
    </row>
    <row r="63523" spans="32:32" x14ac:dyDescent="0.2">
      <c r="AF63523" s="679"/>
    </row>
    <row r="63524" spans="32:32" x14ac:dyDescent="0.2">
      <c r="AF63524" s="679"/>
    </row>
    <row r="63525" spans="32:32" x14ac:dyDescent="0.2">
      <c r="AF63525" s="679"/>
    </row>
    <row r="63526" spans="32:32" x14ac:dyDescent="0.2">
      <c r="AF63526" s="679"/>
    </row>
    <row r="63527" spans="32:32" x14ac:dyDescent="0.2">
      <c r="AF63527" s="679"/>
    </row>
    <row r="63528" spans="32:32" x14ac:dyDescent="0.2">
      <c r="AF63528" s="679"/>
    </row>
    <row r="63529" spans="32:32" x14ac:dyDescent="0.2">
      <c r="AF63529" s="679"/>
    </row>
    <row r="63530" spans="32:32" x14ac:dyDescent="0.2">
      <c r="AF63530" s="679"/>
    </row>
    <row r="63531" spans="32:32" x14ac:dyDescent="0.2">
      <c r="AF63531" s="679"/>
    </row>
    <row r="63532" spans="32:32" x14ac:dyDescent="0.2">
      <c r="AF63532" s="679"/>
    </row>
    <row r="63533" spans="32:32" x14ac:dyDescent="0.2">
      <c r="AF63533" s="679"/>
    </row>
    <row r="63534" spans="32:32" x14ac:dyDescent="0.2">
      <c r="AF63534" s="679"/>
    </row>
    <row r="63535" spans="32:32" x14ac:dyDescent="0.2">
      <c r="AF63535" s="679"/>
    </row>
    <row r="63536" spans="32:32" x14ac:dyDescent="0.2">
      <c r="AF63536" s="679"/>
    </row>
    <row r="63537" spans="32:32" x14ac:dyDescent="0.2">
      <c r="AF63537" s="679"/>
    </row>
    <row r="63538" spans="32:32" x14ac:dyDescent="0.2">
      <c r="AF63538" s="679"/>
    </row>
    <row r="63539" spans="32:32" x14ac:dyDescent="0.2">
      <c r="AF63539" s="679"/>
    </row>
    <row r="63540" spans="32:32" x14ac:dyDescent="0.2">
      <c r="AF63540" s="679"/>
    </row>
    <row r="63541" spans="32:32" x14ac:dyDescent="0.2">
      <c r="AF63541" s="679"/>
    </row>
    <row r="63542" spans="32:32" x14ac:dyDescent="0.2">
      <c r="AF63542" s="679"/>
    </row>
    <row r="63543" spans="32:32" x14ac:dyDescent="0.2">
      <c r="AF63543" s="679"/>
    </row>
    <row r="63544" spans="32:32" x14ac:dyDescent="0.2">
      <c r="AF63544" s="679"/>
    </row>
    <row r="63545" spans="32:32" x14ac:dyDescent="0.2">
      <c r="AF63545" s="679"/>
    </row>
    <row r="63546" spans="32:32" x14ac:dyDescent="0.2">
      <c r="AF63546" s="679"/>
    </row>
    <row r="63547" spans="32:32" x14ac:dyDescent="0.2">
      <c r="AF63547" s="679"/>
    </row>
    <row r="63548" spans="32:32" x14ac:dyDescent="0.2">
      <c r="AF63548" s="679"/>
    </row>
    <row r="63549" spans="32:32" x14ac:dyDescent="0.2">
      <c r="AF63549" s="679"/>
    </row>
    <row r="63550" spans="32:32" x14ac:dyDescent="0.2">
      <c r="AF63550" s="679"/>
    </row>
    <row r="63551" spans="32:32" x14ac:dyDescent="0.2">
      <c r="AF63551" s="679"/>
    </row>
    <row r="63552" spans="32:32" x14ac:dyDescent="0.2">
      <c r="AF63552" s="679"/>
    </row>
    <row r="63553" spans="32:32" x14ac:dyDescent="0.2">
      <c r="AF63553" s="679"/>
    </row>
    <row r="63554" spans="32:32" x14ac:dyDescent="0.2">
      <c r="AF63554" s="679"/>
    </row>
    <row r="63555" spans="32:32" x14ac:dyDescent="0.2">
      <c r="AF63555" s="679"/>
    </row>
    <row r="63556" spans="32:32" x14ac:dyDescent="0.2">
      <c r="AF63556" s="679"/>
    </row>
    <row r="63557" spans="32:32" x14ac:dyDescent="0.2">
      <c r="AF63557" s="679"/>
    </row>
    <row r="63558" spans="32:32" x14ac:dyDescent="0.2">
      <c r="AF63558" s="679"/>
    </row>
    <row r="63559" spans="32:32" x14ac:dyDescent="0.2">
      <c r="AF63559" s="679"/>
    </row>
    <row r="63560" spans="32:32" x14ac:dyDescent="0.2">
      <c r="AF63560" s="679"/>
    </row>
    <row r="63561" spans="32:32" x14ac:dyDescent="0.2">
      <c r="AF63561" s="679"/>
    </row>
    <row r="63562" spans="32:32" x14ac:dyDescent="0.2">
      <c r="AF63562" s="679"/>
    </row>
    <row r="63563" spans="32:32" x14ac:dyDescent="0.2">
      <c r="AF63563" s="679"/>
    </row>
    <row r="63564" spans="32:32" x14ac:dyDescent="0.2">
      <c r="AF63564" s="679"/>
    </row>
    <row r="63565" spans="32:32" x14ac:dyDescent="0.2">
      <c r="AF63565" s="679"/>
    </row>
    <row r="63566" spans="32:32" x14ac:dyDescent="0.2">
      <c r="AF63566" s="679"/>
    </row>
    <row r="63567" spans="32:32" x14ac:dyDescent="0.2">
      <c r="AF63567" s="679"/>
    </row>
    <row r="63568" spans="32:32" x14ac:dyDescent="0.2">
      <c r="AF63568" s="679"/>
    </row>
    <row r="63569" spans="32:32" x14ac:dyDescent="0.2">
      <c r="AF63569" s="679"/>
    </row>
    <row r="63570" spans="32:32" x14ac:dyDescent="0.2">
      <c r="AF63570" s="679"/>
    </row>
    <row r="63571" spans="32:32" x14ac:dyDescent="0.2">
      <c r="AF63571" s="679"/>
    </row>
    <row r="63572" spans="32:32" x14ac:dyDescent="0.2">
      <c r="AF63572" s="679"/>
    </row>
    <row r="63573" spans="32:32" x14ac:dyDescent="0.2">
      <c r="AF63573" s="679"/>
    </row>
    <row r="63574" spans="32:32" x14ac:dyDescent="0.2">
      <c r="AF63574" s="679"/>
    </row>
    <row r="63575" spans="32:32" x14ac:dyDescent="0.2">
      <c r="AF63575" s="679"/>
    </row>
    <row r="63576" spans="32:32" x14ac:dyDescent="0.2">
      <c r="AF63576" s="679"/>
    </row>
    <row r="63577" spans="32:32" x14ac:dyDescent="0.2">
      <c r="AF63577" s="679"/>
    </row>
    <row r="63578" spans="32:32" x14ac:dyDescent="0.2">
      <c r="AF63578" s="679"/>
    </row>
    <row r="63579" spans="32:32" x14ac:dyDescent="0.2">
      <c r="AF63579" s="679"/>
    </row>
    <row r="63580" spans="32:32" x14ac:dyDescent="0.2">
      <c r="AF63580" s="679"/>
    </row>
    <row r="63581" spans="32:32" x14ac:dyDescent="0.2">
      <c r="AF63581" s="679"/>
    </row>
    <row r="63582" spans="32:32" x14ac:dyDescent="0.2">
      <c r="AF63582" s="679"/>
    </row>
    <row r="63583" spans="32:32" x14ac:dyDescent="0.2">
      <c r="AF63583" s="679"/>
    </row>
    <row r="63584" spans="32:32" x14ac:dyDescent="0.2">
      <c r="AF63584" s="679"/>
    </row>
    <row r="63585" spans="32:32" x14ac:dyDescent="0.2">
      <c r="AF63585" s="679"/>
    </row>
    <row r="63586" spans="32:32" x14ac:dyDescent="0.2">
      <c r="AF63586" s="679"/>
    </row>
    <row r="63587" spans="32:32" x14ac:dyDescent="0.2">
      <c r="AF63587" s="679"/>
    </row>
    <row r="63588" spans="32:32" x14ac:dyDescent="0.2">
      <c r="AF63588" s="679"/>
    </row>
    <row r="63589" spans="32:32" x14ac:dyDescent="0.2">
      <c r="AF63589" s="679"/>
    </row>
    <row r="63590" spans="32:32" x14ac:dyDescent="0.2">
      <c r="AF63590" s="679"/>
    </row>
    <row r="63591" spans="32:32" x14ac:dyDescent="0.2">
      <c r="AF63591" s="679"/>
    </row>
    <row r="63592" spans="32:32" x14ac:dyDescent="0.2">
      <c r="AF63592" s="679"/>
    </row>
    <row r="63593" spans="32:32" x14ac:dyDescent="0.2">
      <c r="AF63593" s="679"/>
    </row>
    <row r="63594" spans="32:32" x14ac:dyDescent="0.2">
      <c r="AF63594" s="679"/>
    </row>
    <row r="63595" spans="32:32" x14ac:dyDescent="0.2">
      <c r="AF63595" s="679"/>
    </row>
    <row r="63596" spans="32:32" x14ac:dyDescent="0.2">
      <c r="AF63596" s="679"/>
    </row>
    <row r="63597" spans="32:32" x14ac:dyDescent="0.2">
      <c r="AF63597" s="679"/>
    </row>
    <row r="63598" spans="32:32" x14ac:dyDescent="0.2">
      <c r="AF63598" s="679"/>
    </row>
    <row r="63599" spans="32:32" x14ac:dyDescent="0.2">
      <c r="AF63599" s="679"/>
    </row>
    <row r="63600" spans="32:32" x14ac:dyDescent="0.2">
      <c r="AF63600" s="679"/>
    </row>
    <row r="63601" spans="32:32" x14ac:dyDescent="0.2">
      <c r="AF63601" s="679"/>
    </row>
    <row r="63602" spans="32:32" x14ac:dyDescent="0.2">
      <c r="AF63602" s="679"/>
    </row>
    <row r="63603" spans="32:32" x14ac:dyDescent="0.2">
      <c r="AF63603" s="679"/>
    </row>
    <row r="63604" spans="32:32" x14ac:dyDescent="0.2">
      <c r="AF63604" s="679"/>
    </row>
    <row r="63605" spans="32:32" x14ac:dyDescent="0.2">
      <c r="AF63605" s="679"/>
    </row>
    <row r="63606" spans="32:32" x14ac:dyDescent="0.2">
      <c r="AF63606" s="679"/>
    </row>
    <row r="63607" spans="32:32" x14ac:dyDescent="0.2">
      <c r="AF63607" s="679"/>
    </row>
    <row r="63608" spans="32:32" x14ac:dyDescent="0.2">
      <c r="AF63608" s="679"/>
    </row>
    <row r="63609" spans="32:32" x14ac:dyDescent="0.2">
      <c r="AF63609" s="679"/>
    </row>
    <row r="63610" spans="32:32" x14ac:dyDescent="0.2">
      <c r="AF63610" s="679"/>
    </row>
    <row r="63611" spans="32:32" x14ac:dyDescent="0.2">
      <c r="AF63611" s="679"/>
    </row>
    <row r="63612" spans="32:32" x14ac:dyDescent="0.2">
      <c r="AF63612" s="679"/>
    </row>
    <row r="63613" spans="32:32" x14ac:dyDescent="0.2">
      <c r="AF63613" s="679"/>
    </row>
    <row r="63614" spans="32:32" x14ac:dyDescent="0.2">
      <c r="AF63614" s="679"/>
    </row>
    <row r="63615" spans="32:32" x14ac:dyDescent="0.2">
      <c r="AF63615" s="679"/>
    </row>
    <row r="63616" spans="32:32" x14ac:dyDescent="0.2">
      <c r="AF63616" s="679"/>
    </row>
    <row r="63617" spans="32:32" x14ac:dyDescent="0.2">
      <c r="AF63617" s="679"/>
    </row>
    <row r="63618" spans="32:32" x14ac:dyDescent="0.2">
      <c r="AF63618" s="679"/>
    </row>
    <row r="63619" spans="32:32" x14ac:dyDescent="0.2">
      <c r="AF63619" s="679"/>
    </row>
    <row r="63620" spans="32:32" x14ac:dyDescent="0.2">
      <c r="AF63620" s="679"/>
    </row>
    <row r="63621" spans="32:32" x14ac:dyDescent="0.2">
      <c r="AF63621" s="679"/>
    </row>
    <row r="63622" spans="32:32" x14ac:dyDescent="0.2">
      <c r="AF63622" s="679"/>
    </row>
    <row r="63623" spans="32:32" x14ac:dyDescent="0.2">
      <c r="AF63623" s="679"/>
    </row>
    <row r="63624" spans="32:32" x14ac:dyDescent="0.2">
      <c r="AF63624" s="679"/>
    </row>
    <row r="63625" spans="32:32" x14ac:dyDescent="0.2">
      <c r="AF63625" s="679"/>
    </row>
    <row r="63626" spans="32:32" x14ac:dyDescent="0.2">
      <c r="AF63626" s="679"/>
    </row>
    <row r="63627" spans="32:32" x14ac:dyDescent="0.2">
      <c r="AF63627" s="679"/>
    </row>
    <row r="63628" spans="32:32" x14ac:dyDescent="0.2">
      <c r="AF63628" s="679"/>
    </row>
    <row r="63629" spans="32:32" x14ac:dyDescent="0.2">
      <c r="AF63629" s="679"/>
    </row>
    <row r="63630" spans="32:32" x14ac:dyDescent="0.2">
      <c r="AF63630" s="679"/>
    </row>
    <row r="63631" spans="32:32" x14ac:dyDescent="0.2">
      <c r="AF63631" s="679"/>
    </row>
    <row r="63632" spans="32:32" x14ac:dyDescent="0.2">
      <c r="AF63632" s="679"/>
    </row>
    <row r="63633" spans="32:32" x14ac:dyDescent="0.2">
      <c r="AF63633" s="679"/>
    </row>
    <row r="63634" spans="32:32" x14ac:dyDescent="0.2">
      <c r="AF63634" s="679"/>
    </row>
    <row r="63635" spans="32:32" x14ac:dyDescent="0.2">
      <c r="AF63635" s="679"/>
    </row>
    <row r="63636" spans="32:32" x14ac:dyDescent="0.2">
      <c r="AF63636" s="679"/>
    </row>
    <row r="63637" spans="32:32" x14ac:dyDescent="0.2">
      <c r="AF63637" s="679"/>
    </row>
    <row r="63638" spans="32:32" x14ac:dyDescent="0.2">
      <c r="AF63638" s="679"/>
    </row>
    <row r="63639" spans="32:32" x14ac:dyDescent="0.2">
      <c r="AF63639" s="679"/>
    </row>
    <row r="63640" spans="32:32" x14ac:dyDescent="0.2">
      <c r="AF63640" s="679"/>
    </row>
    <row r="63641" spans="32:32" x14ac:dyDescent="0.2">
      <c r="AF63641" s="679"/>
    </row>
    <row r="63642" spans="32:32" x14ac:dyDescent="0.2">
      <c r="AF63642" s="679"/>
    </row>
    <row r="63643" spans="32:32" x14ac:dyDescent="0.2">
      <c r="AF63643" s="679"/>
    </row>
    <row r="63644" spans="32:32" x14ac:dyDescent="0.2">
      <c r="AF63644" s="679"/>
    </row>
    <row r="63645" spans="32:32" x14ac:dyDescent="0.2">
      <c r="AF63645" s="679"/>
    </row>
    <row r="63646" spans="32:32" x14ac:dyDescent="0.2">
      <c r="AF63646" s="679"/>
    </row>
    <row r="63647" spans="32:32" x14ac:dyDescent="0.2">
      <c r="AF63647" s="679"/>
    </row>
    <row r="63648" spans="32:32" x14ac:dyDescent="0.2">
      <c r="AF63648" s="679"/>
    </row>
    <row r="63649" spans="32:32" x14ac:dyDescent="0.2">
      <c r="AF63649" s="679"/>
    </row>
    <row r="63650" spans="32:32" x14ac:dyDescent="0.2">
      <c r="AF63650" s="679"/>
    </row>
    <row r="63651" spans="32:32" x14ac:dyDescent="0.2">
      <c r="AF63651" s="679"/>
    </row>
    <row r="63652" spans="32:32" x14ac:dyDescent="0.2">
      <c r="AF63652" s="679"/>
    </row>
    <row r="63653" spans="32:32" x14ac:dyDescent="0.2">
      <c r="AF63653" s="679"/>
    </row>
    <row r="63654" spans="32:32" x14ac:dyDescent="0.2">
      <c r="AF63654" s="679"/>
    </row>
    <row r="63655" spans="32:32" x14ac:dyDescent="0.2">
      <c r="AF63655" s="679"/>
    </row>
    <row r="63656" spans="32:32" x14ac:dyDescent="0.2">
      <c r="AF63656" s="679"/>
    </row>
    <row r="63657" spans="32:32" x14ac:dyDescent="0.2">
      <c r="AF63657" s="679"/>
    </row>
    <row r="63658" spans="32:32" x14ac:dyDescent="0.2">
      <c r="AF63658" s="679"/>
    </row>
    <row r="63659" spans="32:32" x14ac:dyDescent="0.2">
      <c r="AF63659" s="679"/>
    </row>
    <row r="63660" spans="32:32" x14ac:dyDescent="0.2">
      <c r="AF63660" s="679"/>
    </row>
    <row r="63661" spans="32:32" x14ac:dyDescent="0.2">
      <c r="AF63661" s="679"/>
    </row>
    <row r="63662" spans="32:32" x14ac:dyDescent="0.2">
      <c r="AF63662" s="679"/>
    </row>
    <row r="63663" spans="32:32" x14ac:dyDescent="0.2">
      <c r="AF63663" s="679"/>
    </row>
    <row r="63664" spans="32:32" x14ac:dyDescent="0.2">
      <c r="AF63664" s="679"/>
    </row>
    <row r="63665" spans="32:32" x14ac:dyDescent="0.2">
      <c r="AF63665" s="679"/>
    </row>
    <row r="63666" spans="32:32" x14ac:dyDescent="0.2">
      <c r="AF63666" s="679"/>
    </row>
    <row r="63667" spans="32:32" x14ac:dyDescent="0.2">
      <c r="AF63667" s="679"/>
    </row>
    <row r="63668" spans="32:32" x14ac:dyDescent="0.2">
      <c r="AF63668" s="679"/>
    </row>
    <row r="63669" spans="32:32" x14ac:dyDescent="0.2">
      <c r="AF63669" s="679"/>
    </row>
    <row r="63670" spans="32:32" x14ac:dyDescent="0.2">
      <c r="AF63670" s="679"/>
    </row>
    <row r="63671" spans="32:32" x14ac:dyDescent="0.2">
      <c r="AF63671" s="679"/>
    </row>
    <row r="63672" spans="32:32" x14ac:dyDescent="0.2">
      <c r="AF63672" s="679"/>
    </row>
    <row r="63673" spans="32:32" x14ac:dyDescent="0.2">
      <c r="AF63673" s="679"/>
    </row>
    <row r="63674" spans="32:32" x14ac:dyDescent="0.2">
      <c r="AF63674" s="679"/>
    </row>
    <row r="63675" spans="32:32" x14ac:dyDescent="0.2">
      <c r="AF63675" s="679"/>
    </row>
    <row r="63676" spans="32:32" x14ac:dyDescent="0.2">
      <c r="AF63676" s="679"/>
    </row>
    <row r="63677" spans="32:32" x14ac:dyDescent="0.2">
      <c r="AF63677" s="679"/>
    </row>
    <row r="63678" spans="32:32" x14ac:dyDescent="0.2">
      <c r="AF63678" s="679"/>
    </row>
    <row r="63679" spans="32:32" x14ac:dyDescent="0.2">
      <c r="AF63679" s="679"/>
    </row>
    <row r="63680" spans="32:32" x14ac:dyDescent="0.2">
      <c r="AF63680" s="679"/>
    </row>
    <row r="63681" spans="32:32" x14ac:dyDescent="0.2">
      <c r="AF63681" s="679"/>
    </row>
    <row r="63682" spans="32:32" x14ac:dyDescent="0.2">
      <c r="AF63682" s="679"/>
    </row>
    <row r="63683" spans="32:32" x14ac:dyDescent="0.2">
      <c r="AF63683" s="679"/>
    </row>
    <row r="63684" spans="32:32" x14ac:dyDescent="0.2">
      <c r="AF63684" s="679"/>
    </row>
    <row r="63685" spans="32:32" x14ac:dyDescent="0.2">
      <c r="AF63685" s="679"/>
    </row>
    <row r="63686" spans="32:32" x14ac:dyDescent="0.2">
      <c r="AF63686" s="679"/>
    </row>
    <row r="63687" spans="32:32" x14ac:dyDescent="0.2">
      <c r="AF63687" s="679"/>
    </row>
    <row r="63688" spans="32:32" x14ac:dyDescent="0.2">
      <c r="AF63688" s="679"/>
    </row>
    <row r="63689" spans="32:32" x14ac:dyDescent="0.2">
      <c r="AF63689" s="679"/>
    </row>
    <row r="63690" spans="32:32" x14ac:dyDescent="0.2">
      <c r="AF63690" s="679"/>
    </row>
    <row r="63691" spans="32:32" x14ac:dyDescent="0.2">
      <c r="AF63691" s="679"/>
    </row>
    <row r="63692" spans="32:32" x14ac:dyDescent="0.2">
      <c r="AF63692" s="679"/>
    </row>
    <row r="63693" spans="32:32" x14ac:dyDescent="0.2">
      <c r="AF63693" s="679"/>
    </row>
    <row r="63694" spans="32:32" x14ac:dyDescent="0.2">
      <c r="AF63694" s="679"/>
    </row>
    <row r="63695" spans="32:32" x14ac:dyDescent="0.2">
      <c r="AF63695" s="679"/>
    </row>
    <row r="63696" spans="32:32" x14ac:dyDescent="0.2">
      <c r="AF63696" s="679"/>
    </row>
    <row r="63697" spans="32:32" x14ac:dyDescent="0.2">
      <c r="AF63697" s="679"/>
    </row>
    <row r="63698" spans="32:32" x14ac:dyDescent="0.2">
      <c r="AF63698" s="679"/>
    </row>
    <row r="63699" spans="32:32" x14ac:dyDescent="0.2">
      <c r="AF63699" s="679"/>
    </row>
    <row r="63700" spans="32:32" x14ac:dyDescent="0.2">
      <c r="AF63700" s="679"/>
    </row>
    <row r="63701" spans="32:32" x14ac:dyDescent="0.2">
      <c r="AF63701" s="679"/>
    </row>
    <row r="63702" spans="32:32" x14ac:dyDescent="0.2">
      <c r="AF63702" s="679"/>
    </row>
    <row r="63703" spans="32:32" x14ac:dyDescent="0.2">
      <c r="AF63703" s="679"/>
    </row>
    <row r="63704" spans="32:32" x14ac:dyDescent="0.2">
      <c r="AF63704" s="679"/>
    </row>
    <row r="63705" spans="32:32" x14ac:dyDescent="0.2">
      <c r="AF63705" s="679"/>
    </row>
    <row r="63706" spans="32:32" x14ac:dyDescent="0.2">
      <c r="AF63706" s="679"/>
    </row>
    <row r="63707" spans="32:32" x14ac:dyDescent="0.2">
      <c r="AF63707" s="679"/>
    </row>
    <row r="63708" spans="32:32" x14ac:dyDescent="0.2">
      <c r="AF63708" s="679"/>
    </row>
    <row r="63709" spans="32:32" x14ac:dyDescent="0.2">
      <c r="AF63709" s="679"/>
    </row>
    <row r="63710" spans="32:32" x14ac:dyDescent="0.2">
      <c r="AF63710" s="679"/>
    </row>
    <row r="63711" spans="32:32" x14ac:dyDescent="0.2">
      <c r="AF63711" s="679"/>
    </row>
    <row r="63712" spans="32:32" x14ac:dyDescent="0.2">
      <c r="AF63712" s="679"/>
    </row>
    <row r="63713" spans="32:32" x14ac:dyDescent="0.2">
      <c r="AF63713" s="679"/>
    </row>
    <row r="63714" spans="32:32" x14ac:dyDescent="0.2">
      <c r="AF63714" s="679"/>
    </row>
    <row r="63715" spans="32:32" x14ac:dyDescent="0.2">
      <c r="AF63715" s="679"/>
    </row>
    <row r="63716" spans="32:32" x14ac:dyDescent="0.2">
      <c r="AF63716" s="679"/>
    </row>
    <row r="63717" spans="32:32" x14ac:dyDescent="0.2">
      <c r="AF63717" s="679"/>
    </row>
    <row r="63718" spans="32:32" x14ac:dyDescent="0.2">
      <c r="AF63718" s="679"/>
    </row>
    <row r="63719" spans="32:32" x14ac:dyDescent="0.2">
      <c r="AF63719" s="679"/>
    </row>
    <row r="63720" spans="32:32" x14ac:dyDescent="0.2">
      <c r="AF63720" s="679"/>
    </row>
    <row r="63721" spans="32:32" x14ac:dyDescent="0.2">
      <c r="AF63721" s="679"/>
    </row>
    <row r="63722" spans="32:32" x14ac:dyDescent="0.2">
      <c r="AF63722" s="679"/>
    </row>
    <row r="63723" spans="32:32" x14ac:dyDescent="0.2">
      <c r="AF63723" s="679"/>
    </row>
    <row r="63724" spans="32:32" x14ac:dyDescent="0.2">
      <c r="AF63724" s="679"/>
    </row>
    <row r="63725" spans="32:32" x14ac:dyDescent="0.2">
      <c r="AF63725" s="679"/>
    </row>
    <row r="63726" spans="32:32" x14ac:dyDescent="0.2">
      <c r="AF63726" s="679"/>
    </row>
    <row r="63727" spans="32:32" x14ac:dyDescent="0.2">
      <c r="AF63727" s="679"/>
    </row>
    <row r="63728" spans="32:32" x14ac:dyDescent="0.2">
      <c r="AF63728" s="679"/>
    </row>
    <row r="63729" spans="32:32" x14ac:dyDescent="0.2">
      <c r="AF63729" s="679"/>
    </row>
    <row r="63730" spans="32:32" x14ac:dyDescent="0.2">
      <c r="AF63730" s="679"/>
    </row>
    <row r="63731" spans="32:32" x14ac:dyDescent="0.2">
      <c r="AF63731" s="679"/>
    </row>
    <row r="63732" spans="32:32" x14ac:dyDescent="0.2">
      <c r="AF63732" s="679"/>
    </row>
    <row r="63733" spans="32:32" x14ac:dyDescent="0.2">
      <c r="AF63733" s="679"/>
    </row>
    <row r="63734" spans="32:32" x14ac:dyDescent="0.2">
      <c r="AF63734" s="679"/>
    </row>
    <row r="63735" spans="32:32" x14ac:dyDescent="0.2">
      <c r="AF63735" s="679"/>
    </row>
    <row r="63736" spans="32:32" x14ac:dyDescent="0.2">
      <c r="AF63736" s="679"/>
    </row>
    <row r="63737" spans="32:32" x14ac:dyDescent="0.2">
      <c r="AF63737" s="679"/>
    </row>
    <row r="63738" spans="32:32" x14ac:dyDescent="0.2">
      <c r="AF63738" s="679"/>
    </row>
    <row r="63739" spans="32:32" x14ac:dyDescent="0.2">
      <c r="AF63739" s="679"/>
    </row>
    <row r="63740" spans="32:32" x14ac:dyDescent="0.2">
      <c r="AF63740" s="679"/>
    </row>
    <row r="63741" spans="32:32" x14ac:dyDescent="0.2">
      <c r="AF63741" s="679"/>
    </row>
    <row r="63742" spans="32:32" x14ac:dyDescent="0.2">
      <c r="AF63742" s="679"/>
    </row>
    <row r="63743" spans="32:32" x14ac:dyDescent="0.2">
      <c r="AF63743" s="679"/>
    </row>
    <row r="63744" spans="32:32" x14ac:dyDescent="0.2">
      <c r="AF63744" s="679"/>
    </row>
    <row r="63745" spans="32:32" x14ac:dyDescent="0.2">
      <c r="AF63745" s="679"/>
    </row>
    <row r="63746" spans="32:32" x14ac:dyDescent="0.2">
      <c r="AF63746" s="679"/>
    </row>
    <row r="63747" spans="32:32" x14ac:dyDescent="0.2">
      <c r="AF63747" s="679"/>
    </row>
    <row r="63748" spans="32:32" x14ac:dyDescent="0.2">
      <c r="AF63748" s="679"/>
    </row>
    <row r="63749" spans="32:32" x14ac:dyDescent="0.2">
      <c r="AF63749" s="679"/>
    </row>
    <row r="63750" spans="32:32" x14ac:dyDescent="0.2">
      <c r="AF63750" s="679"/>
    </row>
    <row r="63751" spans="32:32" x14ac:dyDescent="0.2">
      <c r="AF63751" s="679"/>
    </row>
    <row r="63752" spans="32:32" x14ac:dyDescent="0.2">
      <c r="AF63752" s="679"/>
    </row>
    <row r="63753" spans="32:32" x14ac:dyDescent="0.2">
      <c r="AF63753" s="679"/>
    </row>
    <row r="63754" spans="32:32" x14ac:dyDescent="0.2">
      <c r="AF63754" s="679"/>
    </row>
    <row r="63755" spans="32:32" x14ac:dyDescent="0.2">
      <c r="AF63755" s="679"/>
    </row>
    <row r="63756" spans="32:32" x14ac:dyDescent="0.2">
      <c r="AF63756" s="679"/>
    </row>
    <row r="63757" spans="32:32" x14ac:dyDescent="0.2">
      <c r="AF63757" s="679"/>
    </row>
    <row r="63758" spans="32:32" x14ac:dyDescent="0.2">
      <c r="AF63758" s="679"/>
    </row>
    <row r="63759" spans="32:32" x14ac:dyDescent="0.2">
      <c r="AF63759" s="679"/>
    </row>
    <row r="63760" spans="32:32" x14ac:dyDescent="0.2">
      <c r="AF63760" s="679"/>
    </row>
    <row r="63761" spans="32:32" x14ac:dyDescent="0.2">
      <c r="AF63761" s="679"/>
    </row>
    <row r="63762" spans="32:32" x14ac:dyDescent="0.2">
      <c r="AF63762" s="679"/>
    </row>
    <row r="63763" spans="32:32" x14ac:dyDescent="0.2">
      <c r="AF63763" s="679"/>
    </row>
    <row r="63764" spans="32:32" x14ac:dyDescent="0.2">
      <c r="AF63764" s="679"/>
    </row>
    <row r="63765" spans="32:32" x14ac:dyDescent="0.2">
      <c r="AF63765" s="679"/>
    </row>
    <row r="63766" spans="32:32" x14ac:dyDescent="0.2">
      <c r="AF63766" s="679"/>
    </row>
    <row r="63767" spans="32:32" x14ac:dyDescent="0.2">
      <c r="AF63767" s="679"/>
    </row>
    <row r="63768" spans="32:32" x14ac:dyDescent="0.2">
      <c r="AF63768" s="679"/>
    </row>
    <row r="63769" spans="32:32" x14ac:dyDescent="0.2">
      <c r="AF63769" s="679"/>
    </row>
    <row r="63770" spans="32:32" x14ac:dyDescent="0.2">
      <c r="AF63770" s="679"/>
    </row>
    <row r="63771" spans="32:32" x14ac:dyDescent="0.2">
      <c r="AF63771" s="679"/>
    </row>
    <row r="63772" spans="32:32" x14ac:dyDescent="0.2">
      <c r="AF63772" s="679"/>
    </row>
    <row r="63773" spans="32:32" x14ac:dyDescent="0.2">
      <c r="AF63773" s="679"/>
    </row>
    <row r="63774" spans="32:32" x14ac:dyDescent="0.2">
      <c r="AF63774" s="679"/>
    </row>
    <row r="63775" spans="32:32" x14ac:dyDescent="0.2">
      <c r="AF63775" s="679"/>
    </row>
    <row r="63776" spans="32:32" x14ac:dyDescent="0.2">
      <c r="AF63776" s="679"/>
    </row>
    <row r="63777" spans="32:32" x14ac:dyDescent="0.2">
      <c r="AF63777" s="679"/>
    </row>
    <row r="63778" spans="32:32" x14ac:dyDescent="0.2">
      <c r="AF63778" s="679"/>
    </row>
    <row r="63779" spans="32:32" x14ac:dyDescent="0.2">
      <c r="AF63779" s="679"/>
    </row>
    <row r="63780" spans="32:32" x14ac:dyDescent="0.2">
      <c r="AF63780" s="679"/>
    </row>
    <row r="63781" spans="32:32" x14ac:dyDescent="0.2">
      <c r="AF63781" s="679"/>
    </row>
    <row r="63782" spans="32:32" x14ac:dyDescent="0.2">
      <c r="AF63782" s="679"/>
    </row>
    <row r="63783" spans="32:32" x14ac:dyDescent="0.2">
      <c r="AF63783" s="679"/>
    </row>
    <row r="63784" spans="32:32" x14ac:dyDescent="0.2">
      <c r="AF63784" s="679"/>
    </row>
    <row r="63785" spans="32:32" x14ac:dyDescent="0.2">
      <c r="AF63785" s="679"/>
    </row>
    <row r="63786" spans="32:32" x14ac:dyDescent="0.2">
      <c r="AF63786" s="679"/>
    </row>
    <row r="63787" spans="32:32" x14ac:dyDescent="0.2">
      <c r="AF63787" s="679"/>
    </row>
    <row r="63788" spans="32:32" x14ac:dyDescent="0.2">
      <c r="AF63788" s="679"/>
    </row>
    <row r="63789" spans="32:32" x14ac:dyDescent="0.2">
      <c r="AF63789" s="679"/>
    </row>
    <row r="63790" spans="32:32" x14ac:dyDescent="0.2">
      <c r="AF63790" s="679"/>
    </row>
    <row r="63791" spans="32:32" x14ac:dyDescent="0.2">
      <c r="AF63791" s="679"/>
    </row>
    <row r="63792" spans="32:32" x14ac:dyDescent="0.2">
      <c r="AF63792" s="679"/>
    </row>
    <row r="63793" spans="32:32" x14ac:dyDescent="0.2">
      <c r="AF63793" s="679"/>
    </row>
    <row r="63794" spans="32:32" x14ac:dyDescent="0.2">
      <c r="AF63794" s="679"/>
    </row>
    <row r="63795" spans="32:32" x14ac:dyDescent="0.2">
      <c r="AF63795" s="679"/>
    </row>
    <row r="63796" spans="32:32" x14ac:dyDescent="0.2">
      <c r="AF63796" s="679"/>
    </row>
    <row r="63797" spans="32:32" x14ac:dyDescent="0.2">
      <c r="AF63797" s="679"/>
    </row>
    <row r="63798" spans="32:32" x14ac:dyDescent="0.2">
      <c r="AF63798" s="679"/>
    </row>
    <row r="63799" spans="32:32" x14ac:dyDescent="0.2">
      <c r="AF63799" s="679"/>
    </row>
    <row r="63800" spans="32:32" x14ac:dyDescent="0.2">
      <c r="AF63800" s="679"/>
    </row>
    <row r="63801" spans="32:32" x14ac:dyDescent="0.2">
      <c r="AF63801" s="679"/>
    </row>
    <row r="63802" spans="32:32" x14ac:dyDescent="0.2">
      <c r="AF63802" s="679"/>
    </row>
    <row r="63803" spans="32:32" x14ac:dyDescent="0.2">
      <c r="AF63803" s="679"/>
    </row>
    <row r="63804" spans="32:32" x14ac:dyDescent="0.2">
      <c r="AF63804" s="679"/>
    </row>
    <row r="63805" spans="32:32" x14ac:dyDescent="0.2">
      <c r="AF63805" s="679"/>
    </row>
    <row r="63806" spans="32:32" x14ac:dyDescent="0.2">
      <c r="AF63806" s="679"/>
    </row>
    <row r="63807" spans="32:32" x14ac:dyDescent="0.2">
      <c r="AF63807" s="679"/>
    </row>
    <row r="63808" spans="32:32" x14ac:dyDescent="0.2">
      <c r="AF63808" s="679"/>
    </row>
    <row r="63809" spans="32:32" x14ac:dyDescent="0.2">
      <c r="AF63809" s="679"/>
    </row>
    <row r="63810" spans="32:32" x14ac:dyDescent="0.2">
      <c r="AF63810" s="679"/>
    </row>
    <row r="63811" spans="32:32" x14ac:dyDescent="0.2">
      <c r="AF63811" s="679"/>
    </row>
    <row r="63812" spans="32:32" x14ac:dyDescent="0.2">
      <c r="AF63812" s="679"/>
    </row>
    <row r="63813" spans="32:32" x14ac:dyDescent="0.2">
      <c r="AF63813" s="679"/>
    </row>
    <row r="63814" spans="32:32" x14ac:dyDescent="0.2">
      <c r="AF63814" s="679"/>
    </row>
    <row r="63815" spans="32:32" x14ac:dyDescent="0.2">
      <c r="AF63815" s="679"/>
    </row>
    <row r="63816" spans="32:32" x14ac:dyDescent="0.2">
      <c r="AF63816" s="679"/>
    </row>
    <row r="63817" spans="32:32" x14ac:dyDescent="0.2">
      <c r="AF63817" s="679"/>
    </row>
    <row r="63818" spans="32:32" x14ac:dyDescent="0.2">
      <c r="AF63818" s="679"/>
    </row>
    <row r="63819" spans="32:32" x14ac:dyDescent="0.2">
      <c r="AF63819" s="679"/>
    </row>
    <row r="63820" spans="32:32" x14ac:dyDescent="0.2">
      <c r="AF63820" s="679"/>
    </row>
    <row r="63821" spans="32:32" x14ac:dyDescent="0.2">
      <c r="AF63821" s="679"/>
    </row>
    <row r="63822" spans="32:32" x14ac:dyDescent="0.2">
      <c r="AF63822" s="679"/>
    </row>
    <row r="63823" spans="32:32" x14ac:dyDescent="0.2">
      <c r="AF63823" s="679"/>
    </row>
    <row r="63824" spans="32:32" x14ac:dyDescent="0.2">
      <c r="AF63824" s="679"/>
    </row>
    <row r="63825" spans="32:32" x14ac:dyDescent="0.2">
      <c r="AF63825" s="679"/>
    </row>
    <row r="63826" spans="32:32" x14ac:dyDescent="0.2">
      <c r="AF63826" s="679"/>
    </row>
    <row r="63827" spans="32:32" x14ac:dyDescent="0.2">
      <c r="AF63827" s="679"/>
    </row>
    <row r="63828" spans="32:32" x14ac:dyDescent="0.2">
      <c r="AF63828" s="679"/>
    </row>
    <row r="63829" spans="32:32" x14ac:dyDescent="0.2">
      <c r="AF63829" s="679"/>
    </row>
    <row r="63830" spans="32:32" x14ac:dyDescent="0.2">
      <c r="AF63830" s="679"/>
    </row>
    <row r="63831" spans="32:32" x14ac:dyDescent="0.2">
      <c r="AF63831" s="679"/>
    </row>
    <row r="63832" spans="32:32" x14ac:dyDescent="0.2">
      <c r="AF63832" s="679"/>
    </row>
    <row r="63833" spans="32:32" x14ac:dyDescent="0.2">
      <c r="AF63833" s="679"/>
    </row>
    <row r="63834" spans="32:32" x14ac:dyDescent="0.2">
      <c r="AF63834" s="679"/>
    </row>
    <row r="63835" spans="32:32" x14ac:dyDescent="0.2">
      <c r="AF63835" s="679"/>
    </row>
    <row r="63836" spans="32:32" x14ac:dyDescent="0.2">
      <c r="AF63836" s="679"/>
    </row>
    <row r="63837" spans="32:32" x14ac:dyDescent="0.2">
      <c r="AF63837" s="679"/>
    </row>
    <row r="63838" spans="32:32" x14ac:dyDescent="0.2">
      <c r="AF63838" s="679"/>
    </row>
    <row r="63839" spans="32:32" x14ac:dyDescent="0.2">
      <c r="AF63839" s="679"/>
    </row>
    <row r="63840" spans="32:32" x14ac:dyDescent="0.2">
      <c r="AF63840" s="679"/>
    </row>
    <row r="63841" spans="32:32" x14ac:dyDescent="0.2">
      <c r="AF63841" s="679"/>
    </row>
    <row r="63842" spans="32:32" x14ac:dyDescent="0.2">
      <c r="AF63842" s="679"/>
    </row>
    <row r="63843" spans="32:32" x14ac:dyDescent="0.2">
      <c r="AF63843" s="679"/>
    </row>
    <row r="63844" spans="32:32" x14ac:dyDescent="0.2">
      <c r="AF63844" s="679"/>
    </row>
    <row r="63845" spans="32:32" x14ac:dyDescent="0.2">
      <c r="AF63845" s="679"/>
    </row>
    <row r="63846" spans="32:32" x14ac:dyDescent="0.2">
      <c r="AF63846" s="679"/>
    </row>
    <row r="63847" spans="32:32" x14ac:dyDescent="0.2">
      <c r="AF63847" s="679"/>
    </row>
    <row r="63848" spans="32:32" x14ac:dyDescent="0.2">
      <c r="AF63848" s="679"/>
    </row>
    <row r="63849" spans="32:32" x14ac:dyDescent="0.2">
      <c r="AF63849" s="679"/>
    </row>
    <row r="63850" spans="32:32" x14ac:dyDescent="0.2">
      <c r="AF63850" s="679"/>
    </row>
    <row r="63851" spans="32:32" x14ac:dyDescent="0.2">
      <c r="AF63851" s="679"/>
    </row>
    <row r="63852" spans="32:32" x14ac:dyDescent="0.2">
      <c r="AF63852" s="679"/>
    </row>
    <row r="63853" spans="32:32" x14ac:dyDescent="0.2">
      <c r="AF63853" s="679"/>
    </row>
    <row r="63854" spans="32:32" x14ac:dyDescent="0.2">
      <c r="AF63854" s="679"/>
    </row>
    <row r="63855" spans="32:32" x14ac:dyDescent="0.2">
      <c r="AF63855" s="679"/>
    </row>
    <row r="63856" spans="32:32" x14ac:dyDescent="0.2">
      <c r="AF63856" s="679"/>
    </row>
    <row r="63857" spans="32:32" x14ac:dyDescent="0.2">
      <c r="AF63857" s="679"/>
    </row>
    <row r="63858" spans="32:32" x14ac:dyDescent="0.2">
      <c r="AF63858" s="679"/>
    </row>
    <row r="63859" spans="32:32" x14ac:dyDescent="0.2">
      <c r="AF63859" s="679"/>
    </row>
    <row r="63860" spans="32:32" x14ac:dyDescent="0.2">
      <c r="AF63860" s="679"/>
    </row>
    <row r="63861" spans="32:32" x14ac:dyDescent="0.2">
      <c r="AF63861" s="679"/>
    </row>
    <row r="63862" spans="32:32" x14ac:dyDescent="0.2">
      <c r="AF63862" s="679"/>
    </row>
    <row r="63863" spans="32:32" x14ac:dyDescent="0.2">
      <c r="AF63863" s="679"/>
    </row>
    <row r="63864" spans="32:32" x14ac:dyDescent="0.2">
      <c r="AF63864" s="679"/>
    </row>
    <row r="63865" spans="32:32" x14ac:dyDescent="0.2">
      <c r="AF63865" s="679"/>
    </row>
    <row r="63866" spans="32:32" x14ac:dyDescent="0.2">
      <c r="AF63866" s="679"/>
    </row>
    <row r="63867" spans="32:32" x14ac:dyDescent="0.2">
      <c r="AF63867" s="679"/>
    </row>
    <row r="63868" spans="32:32" x14ac:dyDescent="0.2">
      <c r="AF63868" s="679"/>
    </row>
    <row r="63869" spans="32:32" x14ac:dyDescent="0.2">
      <c r="AF63869" s="679"/>
    </row>
    <row r="63870" spans="32:32" x14ac:dyDescent="0.2">
      <c r="AF63870" s="679"/>
    </row>
    <row r="63871" spans="32:32" x14ac:dyDescent="0.2">
      <c r="AF63871" s="679"/>
    </row>
    <row r="63872" spans="32:32" x14ac:dyDescent="0.2">
      <c r="AF63872" s="679"/>
    </row>
    <row r="63873" spans="32:32" x14ac:dyDescent="0.2">
      <c r="AF63873" s="679"/>
    </row>
    <row r="63874" spans="32:32" x14ac:dyDescent="0.2">
      <c r="AF63874" s="679"/>
    </row>
    <row r="63875" spans="32:32" x14ac:dyDescent="0.2">
      <c r="AF63875" s="679"/>
    </row>
    <row r="63876" spans="32:32" x14ac:dyDescent="0.2">
      <c r="AF63876" s="679"/>
    </row>
    <row r="63877" spans="32:32" x14ac:dyDescent="0.2">
      <c r="AF63877" s="679"/>
    </row>
    <row r="63878" spans="32:32" x14ac:dyDescent="0.2">
      <c r="AF63878" s="679"/>
    </row>
    <row r="63879" spans="32:32" x14ac:dyDescent="0.2">
      <c r="AF63879" s="679"/>
    </row>
    <row r="63880" spans="32:32" x14ac:dyDescent="0.2">
      <c r="AF63880" s="679"/>
    </row>
    <row r="63881" spans="32:32" x14ac:dyDescent="0.2">
      <c r="AF63881" s="679"/>
    </row>
    <row r="63882" spans="32:32" x14ac:dyDescent="0.2">
      <c r="AF63882" s="679"/>
    </row>
    <row r="63883" spans="32:32" x14ac:dyDescent="0.2">
      <c r="AF63883" s="679"/>
    </row>
    <row r="63884" spans="32:32" x14ac:dyDescent="0.2">
      <c r="AF63884" s="679"/>
    </row>
    <row r="63885" spans="32:32" x14ac:dyDescent="0.2">
      <c r="AF63885" s="679"/>
    </row>
    <row r="63886" spans="32:32" x14ac:dyDescent="0.2">
      <c r="AF63886" s="679"/>
    </row>
    <row r="63887" spans="32:32" x14ac:dyDescent="0.2">
      <c r="AF63887" s="679"/>
    </row>
    <row r="63888" spans="32:32" x14ac:dyDescent="0.2">
      <c r="AF63888" s="679"/>
    </row>
    <row r="63889" spans="32:32" x14ac:dyDescent="0.2">
      <c r="AF63889" s="679"/>
    </row>
    <row r="63890" spans="32:32" x14ac:dyDescent="0.2">
      <c r="AF63890" s="679"/>
    </row>
    <row r="63891" spans="32:32" x14ac:dyDescent="0.2">
      <c r="AF63891" s="679"/>
    </row>
    <row r="63892" spans="32:32" x14ac:dyDescent="0.2">
      <c r="AF63892" s="679"/>
    </row>
    <row r="63893" spans="32:32" x14ac:dyDescent="0.2">
      <c r="AF63893" s="679"/>
    </row>
    <row r="63894" spans="32:32" x14ac:dyDescent="0.2">
      <c r="AF63894" s="679"/>
    </row>
    <row r="63895" spans="32:32" x14ac:dyDescent="0.2">
      <c r="AF63895" s="679"/>
    </row>
    <row r="63896" spans="32:32" x14ac:dyDescent="0.2">
      <c r="AF63896" s="679"/>
    </row>
    <row r="63897" spans="32:32" x14ac:dyDescent="0.2">
      <c r="AF63897" s="679"/>
    </row>
    <row r="63898" spans="32:32" x14ac:dyDescent="0.2">
      <c r="AF63898" s="679"/>
    </row>
    <row r="63899" spans="32:32" x14ac:dyDescent="0.2">
      <c r="AF63899" s="679"/>
    </row>
    <row r="63900" spans="32:32" x14ac:dyDescent="0.2">
      <c r="AF63900" s="679"/>
    </row>
    <row r="63901" spans="32:32" x14ac:dyDescent="0.2">
      <c r="AF63901" s="679"/>
    </row>
    <row r="63902" spans="32:32" x14ac:dyDescent="0.2">
      <c r="AF63902" s="679"/>
    </row>
    <row r="63903" spans="32:32" x14ac:dyDescent="0.2">
      <c r="AF63903" s="679"/>
    </row>
    <row r="63904" spans="32:32" x14ac:dyDescent="0.2">
      <c r="AF63904" s="679"/>
    </row>
    <row r="63905" spans="32:32" x14ac:dyDescent="0.2">
      <c r="AF63905" s="679"/>
    </row>
    <row r="63906" spans="32:32" x14ac:dyDescent="0.2">
      <c r="AF63906" s="679"/>
    </row>
    <row r="63907" spans="32:32" x14ac:dyDescent="0.2">
      <c r="AF63907" s="679"/>
    </row>
    <row r="63908" spans="32:32" x14ac:dyDescent="0.2">
      <c r="AF63908" s="679"/>
    </row>
    <row r="63909" spans="32:32" x14ac:dyDescent="0.2">
      <c r="AF63909" s="679"/>
    </row>
    <row r="63910" spans="32:32" x14ac:dyDescent="0.2">
      <c r="AF63910" s="679"/>
    </row>
    <row r="63911" spans="32:32" x14ac:dyDescent="0.2">
      <c r="AF63911" s="679"/>
    </row>
    <row r="63912" spans="32:32" x14ac:dyDescent="0.2">
      <c r="AF63912" s="679"/>
    </row>
    <row r="63913" spans="32:32" x14ac:dyDescent="0.2">
      <c r="AF63913" s="679"/>
    </row>
    <row r="63914" spans="32:32" x14ac:dyDescent="0.2">
      <c r="AF63914" s="679"/>
    </row>
    <row r="63915" spans="32:32" x14ac:dyDescent="0.2">
      <c r="AF63915" s="679"/>
    </row>
    <row r="63916" spans="32:32" x14ac:dyDescent="0.2">
      <c r="AF63916" s="679"/>
    </row>
    <row r="63917" spans="32:32" x14ac:dyDescent="0.2">
      <c r="AF63917" s="679"/>
    </row>
    <row r="63918" spans="32:32" x14ac:dyDescent="0.2">
      <c r="AF63918" s="679"/>
    </row>
    <row r="63919" spans="32:32" x14ac:dyDescent="0.2">
      <c r="AF63919" s="679"/>
    </row>
    <row r="63920" spans="32:32" x14ac:dyDescent="0.2">
      <c r="AF63920" s="679"/>
    </row>
    <row r="63921" spans="32:32" x14ac:dyDescent="0.2">
      <c r="AF63921" s="679"/>
    </row>
    <row r="63922" spans="32:32" x14ac:dyDescent="0.2">
      <c r="AF63922" s="679"/>
    </row>
    <row r="63923" spans="32:32" x14ac:dyDescent="0.2">
      <c r="AF63923" s="679"/>
    </row>
    <row r="63924" spans="32:32" x14ac:dyDescent="0.2">
      <c r="AF63924" s="679"/>
    </row>
    <row r="63925" spans="32:32" x14ac:dyDescent="0.2">
      <c r="AF63925" s="679"/>
    </row>
    <row r="63926" spans="32:32" x14ac:dyDescent="0.2">
      <c r="AF63926" s="679"/>
    </row>
    <row r="63927" spans="32:32" x14ac:dyDescent="0.2">
      <c r="AF63927" s="679"/>
    </row>
    <row r="63928" spans="32:32" x14ac:dyDescent="0.2">
      <c r="AF63928" s="679"/>
    </row>
    <row r="63929" spans="32:32" x14ac:dyDescent="0.2">
      <c r="AF63929" s="679"/>
    </row>
    <row r="63930" spans="32:32" x14ac:dyDescent="0.2">
      <c r="AF63930" s="679"/>
    </row>
    <row r="63931" spans="32:32" x14ac:dyDescent="0.2">
      <c r="AF63931" s="679"/>
    </row>
    <row r="63932" spans="32:32" x14ac:dyDescent="0.2">
      <c r="AF63932" s="679"/>
    </row>
    <row r="63933" spans="32:32" x14ac:dyDescent="0.2">
      <c r="AF63933" s="679"/>
    </row>
    <row r="63934" spans="32:32" x14ac:dyDescent="0.2">
      <c r="AF63934" s="679"/>
    </row>
    <row r="63935" spans="32:32" x14ac:dyDescent="0.2">
      <c r="AF63935" s="679"/>
    </row>
    <row r="63936" spans="32:32" x14ac:dyDescent="0.2">
      <c r="AF63936" s="679"/>
    </row>
    <row r="63937" spans="32:32" x14ac:dyDescent="0.2">
      <c r="AF63937" s="679"/>
    </row>
    <row r="63938" spans="32:32" x14ac:dyDescent="0.2">
      <c r="AF63938" s="679"/>
    </row>
    <row r="63939" spans="32:32" x14ac:dyDescent="0.2">
      <c r="AF63939" s="679"/>
    </row>
    <row r="63940" spans="32:32" x14ac:dyDescent="0.2">
      <c r="AF63940" s="679"/>
    </row>
    <row r="63941" spans="32:32" x14ac:dyDescent="0.2">
      <c r="AF63941" s="679"/>
    </row>
    <row r="63942" spans="32:32" x14ac:dyDescent="0.2">
      <c r="AF63942" s="679"/>
    </row>
    <row r="63943" spans="32:32" x14ac:dyDescent="0.2">
      <c r="AF63943" s="679"/>
    </row>
    <row r="63944" spans="32:32" x14ac:dyDescent="0.2">
      <c r="AF63944" s="679"/>
    </row>
    <row r="63945" spans="32:32" x14ac:dyDescent="0.2">
      <c r="AF63945" s="679"/>
    </row>
    <row r="63946" spans="32:32" x14ac:dyDescent="0.2">
      <c r="AF63946" s="679"/>
    </row>
    <row r="63947" spans="32:32" x14ac:dyDescent="0.2">
      <c r="AF63947" s="679"/>
    </row>
    <row r="63948" spans="32:32" x14ac:dyDescent="0.2">
      <c r="AF63948" s="679"/>
    </row>
    <row r="63949" spans="32:32" x14ac:dyDescent="0.2">
      <c r="AF63949" s="679"/>
    </row>
    <row r="63950" spans="32:32" x14ac:dyDescent="0.2">
      <c r="AF63950" s="679"/>
    </row>
    <row r="63951" spans="32:32" x14ac:dyDescent="0.2">
      <c r="AF63951" s="679"/>
    </row>
    <row r="63952" spans="32:32" x14ac:dyDescent="0.2">
      <c r="AF63952" s="679"/>
    </row>
    <row r="63953" spans="32:32" x14ac:dyDescent="0.2">
      <c r="AF63953" s="679"/>
    </row>
    <row r="63954" spans="32:32" x14ac:dyDescent="0.2">
      <c r="AF63954" s="679"/>
    </row>
    <row r="63955" spans="32:32" x14ac:dyDescent="0.2">
      <c r="AF63955" s="679"/>
    </row>
    <row r="63956" spans="32:32" x14ac:dyDescent="0.2">
      <c r="AF63956" s="679"/>
    </row>
    <row r="63957" spans="32:32" x14ac:dyDescent="0.2">
      <c r="AF63957" s="679"/>
    </row>
    <row r="63958" spans="32:32" x14ac:dyDescent="0.2">
      <c r="AF63958" s="679"/>
    </row>
    <row r="63959" spans="32:32" x14ac:dyDescent="0.2">
      <c r="AF63959" s="679"/>
    </row>
    <row r="63960" spans="32:32" x14ac:dyDescent="0.2">
      <c r="AF63960" s="679"/>
    </row>
    <row r="63961" spans="32:32" x14ac:dyDescent="0.2">
      <c r="AF63961" s="679"/>
    </row>
    <row r="63962" spans="32:32" x14ac:dyDescent="0.2">
      <c r="AF63962" s="679"/>
    </row>
    <row r="63963" spans="32:32" x14ac:dyDescent="0.2">
      <c r="AF63963" s="679"/>
    </row>
    <row r="63964" spans="32:32" x14ac:dyDescent="0.2">
      <c r="AF63964" s="679"/>
    </row>
    <row r="63965" spans="32:32" x14ac:dyDescent="0.2">
      <c r="AF63965" s="679"/>
    </row>
    <row r="63966" spans="32:32" x14ac:dyDescent="0.2">
      <c r="AF63966" s="679"/>
    </row>
    <row r="63967" spans="32:32" x14ac:dyDescent="0.2">
      <c r="AF63967" s="679"/>
    </row>
    <row r="63968" spans="32:32" x14ac:dyDescent="0.2">
      <c r="AF63968" s="679"/>
    </row>
    <row r="63969" spans="32:32" x14ac:dyDescent="0.2">
      <c r="AF63969" s="679"/>
    </row>
    <row r="63970" spans="32:32" x14ac:dyDescent="0.2">
      <c r="AF63970" s="679"/>
    </row>
    <row r="63971" spans="32:32" x14ac:dyDescent="0.2">
      <c r="AF63971" s="679"/>
    </row>
    <row r="63972" spans="32:32" x14ac:dyDescent="0.2">
      <c r="AF63972" s="679"/>
    </row>
    <row r="63973" spans="32:32" x14ac:dyDescent="0.2">
      <c r="AF63973" s="679"/>
    </row>
    <row r="63974" spans="32:32" x14ac:dyDescent="0.2">
      <c r="AF63974" s="679"/>
    </row>
    <row r="63975" spans="32:32" x14ac:dyDescent="0.2">
      <c r="AF63975" s="679"/>
    </row>
    <row r="63976" spans="32:32" x14ac:dyDescent="0.2">
      <c r="AF63976" s="679"/>
    </row>
    <row r="63977" spans="32:32" x14ac:dyDescent="0.2">
      <c r="AF63977" s="679"/>
    </row>
    <row r="63978" spans="32:32" x14ac:dyDescent="0.2">
      <c r="AF63978" s="679"/>
    </row>
    <row r="63979" spans="32:32" x14ac:dyDescent="0.2">
      <c r="AF63979" s="679"/>
    </row>
    <row r="63980" spans="32:32" x14ac:dyDescent="0.2">
      <c r="AF63980" s="679"/>
    </row>
    <row r="63981" spans="32:32" x14ac:dyDescent="0.2">
      <c r="AF63981" s="679"/>
    </row>
    <row r="63982" spans="32:32" x14ac:dyDescent="0.2">
      <c r="AF63982" s="679"/>
    </row>
    <row r="63983" spans="32:32" x14ac:dyDescent="0.2">
      <c r="AF63983" s="679"/>
    </row>
    <row r="63984" spans="32:32" x14ac:dyDescent="0.2">
      <c r="AF63984" s="679"/>
    </row>
    <row r="63985" spans="32:32" x14ac:dyDescent="0.2">
      <c r="AF63985" s="679"/>
    </row>
    <row r="63986" spans="32:32" x14ac:dyDescent="0.2">
      <c r="AF63986" s="679"/>
    </row>
    <row r="63987" spans="32:32" x14ac:dyDescent="0.2">
      <c r="AF63987" s="679"/>
    </row>
    <row r="63988" spans="32:32" x14ac:dyDescent="0.2">
      <c r="AF63988" s="679"/>
    </row>
    <row r="63989" spans="32:32" x14ac:dyDescent="0.2">
      <c r="AF63989" s="679"/>
    </row>
    <row r="63990" spans="32:32" x14ac:dyDescent="0.2">
      <c r="AF63990" s="679"/>
    </row>
    <row r="63991" spans="32:32" x14ac:dyDescent="0.2">
      <c r="AF63991" s="679"/>
    </row>
    <row r="63992" spans="32:32" x14ac:dyDescent="0.2">
      <c r="AF63992" s="679"/>
    </row>
    <row r="63993" spans="32:32" x14ac:dyDescent="0.2">
      <c r="AF63993" s="679"/>
    </row>
    <row r="63994" spans="32:32" x14ac:dyDescent="0.2">
      <c r="AF63994" s="679"/>
    </row>
    <row r="63995" spans="32:32" x14ac:dyDescent="0.2">
      <c r="AF63995" s="679"/>
    </row>
    <row r="63996" spans="32:32" x14ac:dyDescent="0.2">
      <c r="AF63996" s="679"/>
    </row>
    <row r="63997" spans="32:32" x14ac:dyDescent="0.2">
      <c r="AF63997" s="679"/>
    </row>
    <row r="63998" spans="32:32" x14ac:dyDescent="0.2">
      <c r="AF63998" s="679"/>
    </row>
    <row r="63999" spans="32:32" x14ac:dyDescent="0.2">
      <c r="AF63999" s="679"/>
    </row>
    <row r="64000" spans="32:32" x14ac:dyDescent="0.2">
      <c r="AF64000" s="679"/>
    </row>
    <row r="64001" spans="32:32" x14ac:dyDescent="0.2">
      <c r="AF64001" s="679"/>
    </row>
    <row r="64002" spans="32:32" x14ac:dyDescent="0.2">
      <c r="AF64002" s="679"/>
    </row>
    <row r="64003" spans="32:32" x14ac:dyDescent="0.2">
      <c r="AF64003" s="679"/>
    </row>
    <row r="64004" spans="32:32" x14ac:dyDescent="0.2">
      <c r="AF64004" s="679"/>
    </row>
    <row r="64005" spans="32:32" x14ac:dyDescent="0.2">
      <c r="AF64005" s="679"/>
    </row>
    <row r="64006" spans="32:32" x14ac:dyDescent="0.2">
      <c r="AF64006" s="679"/>
    </row>
    <row r="64007" spans="32:32" x14ac:dyDescent="0.2">
      <c r="AF64007" s="679"/>
    </row>
    <row r="64008" spans="32:32" x14ac:dyDescent="0.2">
      <c r="AF64008" s="679"/>
    </row>
    <row r="64009" spans="32:32" x14ac:dyDescent="0.2">
      <c r="AF64009" s="679"/>
    </row>
    <row r="64010" spans="32:32" x14ac:dyDescent="0.2">
      <c r="AF64010" s="679"/>
    </row>
    <row r="64011" spans="32:32" x14ac:dyDescent="0.2">
      <c r="AF64011" s="679"/>
    </row>
    <row r="64012" spans="32:32" x14ac:dyDescent="0.2">
      <c r="AF64012" s="679"/>
    </row>
    <row r="64013" spans="32:32" x14ac:dyDescent="0.2">
      <c r="AF64013" s="679"/>
    </row>
    <row r="64014" spans="32:32" x14ac:dyDescent="0.2">
      <c r="AF64014" s="679"/>
    </row>
    <row r="64015" spans="32:32" x14ac:dyDescent="0.2">
      <c r="AF64015" s="679"/>
    </row>
    <row r="64016" spans="32:32" x14ac:dyDescent="0.2">
      <c r="AF64016" s="679"/>
    </row>
    <row r="64017" spans="32:32" x14ac:dyDescent="0.2">
      <c r="AF64017" s="679"/>
    </row>
    <row r="64018" spans="32:32" x14ac:dyDescent="0.2">
      <c r="AF64018" s="679"/>
    </row>
    <row r="64019" spans="32:32" x14ac:dyDescent="0.2">
      <c r="AF64019" s="679"/>
    </row>
    <row r="64020" spans="32:32" x14ac:dyDescent="0.2">
      <c r="AF64020" s="679"/>
    </row>
    <row r="64021" spans="32:32" x14ac:dyDescent="0.2">
      <c r="AF64021" s="679"/>
    </row>
    <row r="64022" spans="32:32" x14ac:dyDescent="0.2">
      <c r="AF64022" s="679"/>
    </row>
    <row r="64023" spans="32:32" x14ac:dyDescent="0.2">
      <c r="AF64023" s="679"/>
    </row>
    <row r="64024" spans="32:32" x14ac:dyDescent="0.2">
      <c r="AF64024" s="679"/>
    </row>
    <row r="64025" spans="32:32" x14ac:dyDescent="0.2">
      <c r="AF64025" s="679"/>
    </row>
    <row r="64026" spans="32:32" x14ac:dyDescent="0.2">
      <c r="AF64026" s="679"/>
    </row>
    <row r="64027" spans="32:32" x14ac:dyDescent="0.2">
      <c r="AF64027" s="679"/>
    </row>
    <row r="64028" spans="32:32" x14ac:dyDescent="0.2">
      <c r="AF64028" s="679"/>
    </row>
    <row r="64029" spans="32:32" x14ac:dyDescent="0.2">
      <c r="AF64029" s="679"/>
    </row>
    <row r="64030" spans="32:32" x14ac:dyDescent="0.2">
      <c r="AF64030" s="679"/>
    </row>
    <row r="64031" spans="32:32" x14ac:dyDescent="0.2">
      <c r="AF64031" s="679"/>
    </row>
    <row r="64032" spans="32:32" x14ac:dyDescent="0.2">
      <c r="AF64032" s="679"/>
    </row>
    <row r="64033" spans="32:32" x14ac:dyDescent="0.2">
      <c r="AF64033" s="679"/>
    </row>
    <row r="64034" spans="32:32" x14ac:dyDescent="0.2">
      <c r="AF64034" s="679"/>
    </row>
    <row r="64035" spans="32:32" x14ac:dyDescent="0.2">
      <c r="AF64035" s="679"/>
    </row>
    <row r="64036" spans="32:32" x14ac:dyDescent="0.2">
      <c r="AF64036" s="679"/>
    </row>
    <row r="64037" spans="32:32" x14ac:dyDescent="0.2">
      <c r="AF64037" s="679"/>
    </row>
    <row r="64038" spans="32:32" x14ac:dyDescent="0.2">
      <c r="AF64038" s="679"/>
    </row>
    <row r="64039" spans="32:32" x14ac:dyDescent="0.2">
      <c r="AF64039" s="679"/>
    </row>
    <row r="64040" spans="32:32" x14ac:dyDescent="0.2">
      <c r="AF64040" s="679"/>
    </row>
    <row r="64041" spans="32:32" x14ac:dyDescent="0.2">
      <c r="AF64041" s="679"/>
    </row>
    <row r="64042" spans="32:32" x14ac:dyDescent="0.2">
      <c r="AF64042" s="679"/>
    </row>
    <row r="64043" spans="32:32" x14ac:dyDescent="0.2">
      <c r="AF64043" s="679"/>
    </row>
    <row r="64044" spans="32:32" x14ac:dyDescent="0.2">
      <c r="AF64044" s="679"/>
    </row>
    <row r="64045" spans="32:32" x14ac:dyDescent="0.2">
      <c r="AF64045" s="679"/>
    </row>
    <row r="64046" spans="32:32" x14ac:dyDescent="0.2">
      <c r="AF64046" s="679"/>
    </row>
    <row r="64047" spans="32:32" x14ac:dyDescent="0.2">
      <c r="AF64047" s="679"/>
    </row>
    <row r="64048" spans="32:32" x14ac:dyDescent="0.2">
      <c r="AF64048" s="679"/>
    </row>
    <row r="64049" spans="32:32" x14ac:dyDescent="0.2">
      <c r="AF64049" s="679"/>
    </row>
    <row r="64050" spans="32:32" x14ac:dyDescent="0.2">
      <c r="AF64050" s="679"/>
    </row>
    <row r="64051" spans="32:32" x14ac:dyDescent="0.2">
      <c r="AF64051" s="679"/>
    </row>
    <row r="64052" spans="32:32" x14ac:dyDescent="0.2">
      <c r="AF64052" s="679"/>
    </row>
    <row r="64053" spans="32:32" x14ac:dyDescent="0.2">
      <c r="AF64053" s="679"/>
    </row>
    <row r="64054" spans="32:32" x14ac:dyDescent="0.2">
      <c r="AF64054" s="679"/>
    </row>
    <row r="64055" spans="32:32" x14ac:dyDescent="0.2">
      <c r="AF64055" s="679"/>
    </row>
    <row r="64056" spans="32:32" x14ac:dyDescent="0.2">
      <c r="AF64056" s="679"/>
    </row>
    <row r="64057" spans="32:32" x14ac:dyDescent="0.2">
      <c r="AF64057" s="679"/>
    </row>
    <row r="64058" spans="32:32" x14ac:dyDescent="0.2">
      <c r="AF64058" s="679"/>
    </row>
    <row r="64059" spans="32:32" x14ac:dyDescent="0.2">
      <c r="AF64059" s="679"/>
    </row>
    <row r="64060" spans="32:32" x14ac:dyDescent="0.2">
      <c r="AF64060" s="679"/>
    </row>
    <row r="64061" spans="32:32" x14ac:dyDescent="0.2">
      <c r="AF64061" s="679"/>
    </row>
    <row r="64062" spans="32:32" x14ac:dyDescent="0.2">
      <c r="AF64062" s="679"/>
    </row>
    <row r="64063" spans="32:32" x14ac:dyDescent="0.2">
      <c r="AF64063" s="679"/>
    </row>
    <row r="64064" spans="32:32" x14ac:dyDescent="0.2">
      <c r="AF64064" s="679"/>
    </row>
    <row r="64065" spans="32:32" x14ac:dyDescent="0.2">
      <c r="AF64065" s="679"/>
    </row>
    <row r="64066" spans="32:32" x14ac:dyDescent="0.2">
      <c r="AF64066" s="679"/>
    </row>
    <row r="64067" spans="32:32" x14ac:dyDescent="0.2">
      <c r="AF64067" s="679"/>
    </row>
    <row r="64068" spans="32:32" x14ac:dyDescent="0.2">
      <c r="AF64068" s="679"/>
    </row>
    <row r="64069" spans="32:32" x14ac:dyDescent="0.2">
      <c r="AF64069" s="679"/>
    </row>
    <row r="64070" spans="32:32" x14ac:dyDescent="0.2">
      <c r="AF64070" s="679"/>
    </row>
    <row r="64071" spans="32:32" x14ac:dyDescent="0.2">
      <c r="AF64071" s="679"/>
    </row>
    <row r="64072" spans="32:32" x14ac:dyDescent="0.2">
      <c r="AF64072" s="679"/>
    </row>
    <row r="64073" spans="32:32" x14ac:dyDescent="0.2">
      <c r="AF64073" s="679"/>
    </row>
    <row r="64074" spans="32:32" x14ac:dyDescent="0.2">
      <c r="AF64074" s="679"/>
    </row>
    <row r="64075" spans="32:32" x14ac:dyDescent="0.2">
      <c r="AF64075" s="679"/>
    </row>
    <row r="64076" spans="32:32" x14ac:dyDescent="0.2">
      <c r="AF64076" s="679"/>
    </row>
    <row r="64077" spans="32:32" x14ac:dyDescent="0.2">
      <c r="AF64077" s="679"/>
    </row>
    <row r="64078" spans="32:32" x14ac:dyDescent="0.2">
      <c r="AF64078" s="679"/>
    </row>
    <row r="64079" spans="32:32" x14ac:dyDescent="0.2">
      <c r="AF64079" s="679"/>
    </row>
    <row r="64080" spans="32:32" x14ac:dyDescent="0.2">
      <c r="AF64080" s="679"/>
    </row>
    <row r="64081" spans="32:32" x14ac:dyDescent="0.2">
      <c r="AF64081" s="679"/>
    </row>
    <row r="64082" spans="32:32" x14ac:dyDescent="0.2">
      <c r="AF64082" s="679"/>
    </row>
    <row r="64083" spans="32:32" x14ac:dyDescent="0.2">
      <c r="AF64083" s="679"/>
    </row>
    <row r="64084" spans="32:32" x14ac:dyDescent="0.2">
      <c r="AF64084" s="679"/>
    </row>
    <row r="64085" spans="32:32" x14ac:dyDescent="0.2">
      <c r="AF64085" s="679"/>
    </row>
    <row r="64086" spans="32:32" x14ac:dyDescent="0.2">
      <c r="AF64086" s="679"/>
    </row>
    <row r="64087" spans="32:32" x14ac:dyDescent="0.2">
      <c r="AF64087" s="679"/>
    </row>
    <row r="64088" spans="32:32" x14ac:dyDescent="0.2">
      <c r="AF64088" s="679"/>
    </row>
    <row r="64089" spans="32:32" x14ac:dyDescent="0.2">
      <c r="AF64089" s="679"/>
    </row>
    <row r="64090" spans="32:32" x14ac:dyDescent="0.2">
      <c r="AF64090" s="679"/>
    </row>
    <row r="64091" spans="32:32" x14ac:dyDescent="0.2">
      <c r="AF64091" s="679"/>
    </row>
    <row r="64092" spans="32:32" x14ac:dyDescent="0.2">
      <c r="AF64092" s="679"/>
    </row>
    <row r="64093" spans="32:32" x14ac:dyDescent="0.2">
      <c r="AF64093" s="679"/>
    </row>
    <row r="64094" spans="32:32" x14ac:dyDescent="0.2">
      <c r="AF64094" s="679"/>
    </row>
    <row r="64095" spans="32:32" x14ac:dyDescent="0.2">
      <c r="AF64095" s="679"/>
    </row>
    <row r="64096" spans="32:32" x14ac:dyDescent="0.2">
      <c r="AF64096" s="679"/>
    </row>
    <row r="64097" spans="32:32" x14ac:dyDescent="0.2">
      <c r="AF64097" s="679"/>
    </row>
    <row r="64098" spans="32:32" x14ac:dyDescent="0.2">
      <c r="AF64098" s="679"/>
    </row>
    <row r="64099" spans="32:32" x14ac:dyDescent="0.2">
      <c r="AF64099" s="679"/>
    </row>
    <row r="64100" spans="32:32" x14ac:dyDescent="0.2">
      <c r="AF64100" s="679"/>
    </row>
    <row r="64101" spans="32:32" x14ac:dyDescent="0.2">
      <c r="AF64101" s="679"/>
    </row>
    <row r="64102" spans="32:32" x14ac:dyDescent="0.2">
      <c r="AF64102" s="679"/>
    </row>
    <row r="64103" spans="32:32" x14ac:dyDescent="0.2">
      <c r="AF64103" s="679"/>
    </row>
    <row r="64104" spans="32:32" x14ac:dyDescent="0.2">
      <c r="AF64104" s="679"/>
    </row>
    <row r="64105" spans="32:32" x14ac:dyDescent="0.2">
      <c r="AF64105" s="679"/>
    </row>
    <row r="64106" spans="32:32" x14ac:dyDescent="0.2">
      <c r="AF64106" s="679"/>
    </row>
    <row r="64107" spans="32:32" x14ac:dyDescent="0.2">
      <c r="AF64107" s="679"/>
    </row>
    <row r="64108" spans="32:32" x14ac:dyDescent="0.2">
      <c r="AF64108" s="679"/>
    </row>
    <row r="64109" spans="32:32" x14ac:dyDescent="0.2">
      <c r="AF64109" s="679"/>
    </row>
    <row r="64110" spans="32:32" x14ac:dyDescent="0.2">
      <c r="AF64110" s="679"/>
    </row>
    <row r="64111" spans="32:32" x14ac:dyDescent="0.2">
      <c r="AF64111" s="679"/>
    </row>
    <row r="64112" spans="32:32" x14ac:dyDescent="0.2">
      <c r="AF64112" s="679"/>
    </row>
    <row r="64113" spans="32:32" x14ac:dyDescent="0.2">
      <c r="AF64113" s="679"/>
    </row>
    <row r="64114" spans="32:32" x14ac:dyDescent="0.2">
      <c r="AF64114" s="679"/>
    </row>
    <row r="64115" spans="32:32" x14ac:dyDescent="0.2">
      <c r="AF64115" s="679"/>
    </row>
    <row r="64116" spans="32:32" x14ac:dyDescent="0.2">
      <c r="AF64116" s="679"/>
    </row>
    <row r="64117" spans="32:32" x14ac:dyDescent="0.2">
      <c r="AF64117" s="679"/>
    </row>
    <row r="64118" spans="32:32" x14ac:dyDescent="0.2">
      <c r="AF64118" s="679"/>
    </row>
    <row r="64119" spans="32:32" x14ac:dyDescent="0.2">
      <c r="AF64119" s="679"/>
    </row>
    <row r="64120" spans="32:32" x14ac:dyDescent="0.2">
      <c r="AF64120" s="679"/>
    </row>
    <row r="64121" spans="32:32" x14ac:dyDescent="0.2">
      <c r="AF64121" s="679"/>
    </row>
    <row r="64122" spans="32:32" x14ac:dyDescent="0.2">
      <c r="AF64122" s="679"/>
    </row>
    <row r="64123" spans="32:32" x14ac:dyDescent="0.2">
      <c r="AF64123" s="679"/>
    </row>
    <row r="64124" spans="32:32" x14ac:dyDescent="0.2">
      <c r="AF64124" s="679"/>
    </row>
    <row r="64125" spans="32:32" x14ac:dyDescent="0.2">
      <c r="AF64125" s="679"/>
    </row>
    <row r="64126" spans="32:32" x14ac:dyDescent="0.2">
      <c r="AF64126" s="679"/>
    </row>
    <row r="64127" spans="32:32" x14ac:dyDescent="0.2">
      <c r="AF64127" s="679"/>
    </row>
    <row r="64128" spans="32:32" x14ac:dyDescent="0.2">
      <c r="AF64128" s="679"/>
    </row>
    <row r="64129" spans="32:32" x14ac:dyDescent="0.2">
      <c r="AF64129" s="679"/>
    </row>
    <row r="64130" spans="32:32" x14ac:dyDescent="0.2">
      <c r="AF64130" s="679"/>
    </row>
    <row r="64131" spans="32:32" x14ac:dyDescent="0.2">
      <c r="AF64131" s="679"/>
    </row>
    <row r="64132" spans="32:32" x14ac:dyDescent="0.2">
      <c r="AF64132" s="679"/>
    </row>
    <row r="64133" spans="32:32" x14ac:dyDescent="0.2">
      <c r="AF64133" s="679"/>
    </row>
    <row r="64134" spans="32:32" x14ac:dyDescent="0.2">
      <c r="AF64134" s="679"/>
    </row>
    <row r="64135" spans="32:32" x14ac:dyDescent="0.2">
      <c r="AF64135" s="679"/>
    </row>
    <row r="64136" spans="32:32" x14ac:dyDescent="0.2">
      <c r="AF64136" s="679"/>
    </row>
    <row r="64137" spans="32:32" x14ac:dyDescent="0.2">
      <c r="AF64137" s="679"/>
    </row>
    <row r="64138" spans="32:32" x14ac:dyDescent="0.2">
      <c r="AF64138" s="679"/>
    </row>
    <row r="64139" spans="32:32" x14ac:dyDescent="0.2">
      <c r="AF64139" s="679"/>
    </row>
    <row r="64140" spans="32:32" x14ac:dyDescent="0.2">
      <c r="AF64140" s="679"/>
    </row>
    <row r="64141" spans="32:32" x14ac:dyDescent="0.2">
      <c r="AF64141" s="679"/>
    </row>
    <row r="64142" spans="32:32" x14ac:dyDescent="0.2">
      <c r="AF64142" s="679"/>
    </row>
    <row r="64143" spans="32:32" x14ac:dyDescent="0.2">
      <c r="AF64143" s="679"/>
    </row>
    <row r="64144" spans="32:32" x14ac:dyDescent="0.2">
      <c r="AF64144" s="679"/>
    </row>
    <row r="64145" spans="32:32" x14ac:dyDescent="0.2">
      <c r="AF64145" s="679"/>
    </row>
    <row r="64146" spans="32:32" x14ac:dyDescent="0.2">
      <c r="AF64146" s="679"/>
    </row>
    <row r="64147" spans="32:32" x14ac:dyDescent="0.2">
      <c r="AF64147" s="679"/>
    </row>
    <row r="64148" spans="32:32" x14ac:dyDescent="0.2">
      <c r="AF64148" s="679"/>
    </row>
    <row r="64149" spans="32:32" x14ac:dyDescent="0.2">
      <c r="AF64149" s="679"/>
    </row>
    <row r="64150" spans="32:32" x14ac:dyDescent="0.2">
      <c r="AF64150" s="679"/>
    </row>
    <row r="64151" spans="32:32" x14ac:dyDescent="0.2">
      <c r="AF64151" s="679"/>
    </row>
    <row r="64152" spans="32:32" x14ac:dyDescent="0.2">
      <c r="AF64152" s="679"/>
    </row>
    <row r="64153" spans="32:32" x14ac:dyDescent="0.2">
      <c r="AF64153" s="679"/>
    </row>
    <row r="64154" spans="32:32" x14ac:dyDescent="0.2">
      <c r="AF64154" s="679"/>
    </row>
    <row r="64155" spans="32:32" x14ac:dyDescent="0.2">
      <c r="AF64155" s="679"/>
    </row>
    <row r="64156" spans="32:32" x14ac:dyDescent="0.2">
      <c r="AF64156" s="679"/>
    </row>
    <row r="64157" spans="32:32" x14ac:dyDescent="0.2">
      <c r="AF64157" s="679"/>
    </row>
    <row r="64158" spans="32:32" x14ac:dyDescent="0.2">
      <c r="AF64158" s="679"/>
    </row>
    <row r="64159" spans="32:32" x14ac:dyDescent="0.2">
      <c r="AF64159" s="679"/>
    </row>
    <row r="64160" spans="32:32" x14ac:dyDescent="0.2">
      <c r="AF64160" s="679"/>
    </row>
    <row r="64161" spans="32:32" x14ac:dyDescent="0.2">
      <c r="AF64161" s="679"/>
    </row>
    <row r="64162" spans="32:32" x14ac:dyDescent="0.2">
      <c r="AF64162" s="679"/>
    </row>
    <row r="64163" spans="32:32" x14ac:dyDescent="0.2">
      <c r="AF64163" s="679"/>
    </row>
    <row r="64164" spans="32:32" x14ac:dyDescent="0.2">
      <c r="AF64164" s="679"/>
    </row>
    <row r="64165" spans="32:32" x14ac:dyDescent="0.2">
      <c r="AF64165" s="679"/>
    </row>
    <row r="64166" spans="32:32" x14ac:dyDescent="0.2">
      <c r="AF64166" s="679"/>
    </row>
    <row r="64167" spans="32:32" x14ac:dyDescent="0.2">
      <c r="AF64167" s="679"/>
    </row>
    <row r="64168" spans="32:32" x14ac:dyDescent="0.2">
      <c r="AF64168" s="679"/>
    </row>
    <row r="64169" spans="32:32" x14ac:dyDescent="0.2">
      <c r="AF64169" s="679"/>
    </row>
    <row r="64170" spans="32:32" x14ac:dyDescent="0.2">
      <c r="AF64170" s="679"/>
    </row>
    <row r="64171" spans="32:32" x14ac:dyDescent="0.2">
      <c r="AF64171" s="679"/>
    </row>
    <row r="64172" spans="32:32" x14ac:dyDescent="0.2">
      <c r="AF64172" s="679"/>
    </row>
    <row r="64173" spans="32:32" x14ac:dyDescent="0.2">
      <c r="AF64173" s="679"/>
    </row>
    <row r="64174" spans="32:32" x14ac:dyDescent="0.2">
      <c r="AF64174" s="679"/>
    </row>
    <row r="64175" spans="32:32" x14ac:dyDescent="0.2">
      <c r="AF64175" s="679"/>
    </row>
    <row r="64176" spans="32:32" x14ac:dyDescent="0.2">
      <c r="AF64176" s="679"/>
    </row>
    <row r="64177" spans="32:32" x14ac:dyDescent="0.2">
      <c r="AF64177" s="679"/>
    </row>
    <row r="64178" spans="32:32" x14ac:dyDescent="0.2">
      <c r="AF64178" s="679"/>
    </row>
    <row r="64179" spans="32:32" x14ac:dyDescent="0.2">
      <c r="AF64179" s="679"/>
    </row>
    <row r="64180" spans="32:32" x14ac:dyDescent="0.2">
      <c r="AF64180" s="679"/>
    </row>
    <row r="64181" spans="32:32" x14ac:dyDescent="0.2">
      <c r="AF64181" s="679"/>
    </row>
    <row r="64182" spans="32:32" x14ac:dyDescent="0.2">
      <c r="AF64182" s="679"/>
    </row>
    <row r="64183" spans="32:32" x14ac:dyDescent="0.2">
      <c r="AF64183" s="679"/>
    </row>
    <row r="64184" spans="32:32" x14ac:dyDescent="0.2">
      <c r="AF64184" s="679"/>
    </row>
    <row r="64185" spans="32:32" x14ac:dyDescent="0.2">
      <c r="AF64185" s="679"/>
    </row>
    <row r="64186" spans="32:32" x14ac:dyDescent="0.2">
      <c r="AF64186" s="679"/>
    </row>
    <row r="64187" spans="32:32" x14ac:dyDescent="0.2">
      <c r="AF64187" s="679"/>
    </row>
    <row r="64188" spans="32:32" x14ac:dyDescent="0.2">
      <c r="AF64188" s="679"/>
    </row>
    <row r="64189" spans="32:32" x14ac:dyDescent="0.2">
      <c r="AF64189" s="679"/>
    </row>
    <row r="64190" spans="32:32" x14ac:dyDescent="0.2">
      <c r="AF64190" s="679"/>
    </row>
    <row r="64191" spans="32:32" x14ac:dyDescent="0.2">
      <c r="AF64191" s="679"/>
    </row>
    <row r="64192" spans="32:32" x14ac:dyDescent="0.2">
      <c r="AF64192" s="679"/>
    </row>
    <row r="64193" spans="32:32" x14ac:dyDescent="0.2">
      <c r="AF64193" s="679"/>
    </row>
    <row r="64194" spans="32:32" x14ac:dyDescent="0.2">
      <c r="AF64194" s="679"/>
    </row>
    <row r="64195" spans="32:32" x14ac:dyDescent="0.2">
      <c r="AF64195" s="679"/>
    </row>
    <row r="64196" spans="32:32" x14ac:dyDescent="0.2">
      <c r="AF64196" s="679"/>
    </row>
    <row r="64197" spans="32:32" x14ac:dyDescent="0.2">
      <c r="AF64197" s="679"/>
    </row>
    <row r="64198" spans="32:32" x14ac:dyDescent="0.2">
      <c r="AF64198" s="679"/>
    </row>
    <row r="64199" spans="32:32" x14ac:dyDescent="0.2">
      <c r="AF64199" s="679"/>
    </row>
    <row r="64200" spans="32:32" x14ac:dyDescent="0.2">
      <c r="AF64200" s="679"/>
    </row>
    <row r="64201" spans="32:32" x14ac:dyDescent="0.2">
      <c r="AF64201" s="679"/>
    </row>
    <row r="64202" spans="32:32" x14ac:dyDescent="0.2">
      <c r="AF64202" s="679"/>
    </row>
    <row r="64203" spans="32:32" x14ac:dyDescent="0.2">
      <c r="AF64203" s="679"/>
    </row>
    <row r="64204" spans="32:32" x14ac:dyDescent="0.2">
      <c r="AF64204" s="679"/>
    </row>
    <row r="64205" spans="32:32" x14ac:dyDescent="0.2">
      <c r="AF64205" s="679"/>
    </row>
    <row r="64206" spans="32:32" x14ac:dyDescent="0.2">
      <c r="AF64206" s="679"/>
    </row>
    <row r="64207" spans="32:32" x14ac:dyDescent="0.2">
      <c r="AF64207" s="679"/>
    </row>
    <row r="64208" spans="32:32" x14ac:dyDescent="0.2">
      <c r="AF64208" s="679"/>
    </row>
    <row r="64209" spans="32:32" x14ac:dyDescent="0.2">
      <c r="AF64209" s="679"/>
    </row>
    <row r="64210" spans="32:32" x14ac:dyDescent="0.2">
      <c r="AF64210" s="679"/>
    </row>
    <row r="64211" spans="32:32" x14ac:dyDescent="0.2">
      <c r="AF64211" s="679"/>
    </row>
    <row r="64212" spans="32:32" x14ac:dyDescent="0.2">
      <c r="AF64212" s="679"/>
    </row>
    <row r="64213" spans="32:32" x14ac:dyDescent="0.2">
      <c r="AF64213" s="679"/>
    </row>
    <row r="64214" spans="32:32" x14ac:dyDescent="0.2">
      <c r="AF64214" s="679"/>
    </row>
    <row r="64215" spans="32:32" x14ac:dyDescent="0.2">
      <c r="AF64215" s="679"/>
    </row>
    <row r="64216" spans="32:32" x14ac:dyDescent="0.2">
      <c r="AF64216" s="679"/>
    </row>
    <row r="64217" spans="32:32" x14ac:dyDescent="0.2">
      <c r="AF64217" s="679"/>
    </row>
    <row r="64218" spans="32:32" x14ac:dyDescent="0.2">
      <c r="AF64218" s="679"/>
    </row>
    <row r="64219" spans="32:32" x14ac:dyDescent="0.2">
      <c r="AF64219" s="679"/>
    </row>
    <row r="64220" spans="32:32" x14ac:dyDescent="0.2">
      <c r="AF64220" s="679"/>
    </row>
    <row r="64221" spans="32:32" x14ac:dyDescent="0.2">
      <c r="AF64221" s="679"/>
    </row>
    <row r="64222" spans="32:32" x14ac:dyDescent="0.2">
      <c r="AF64222" s="679"/>
    </row>
    <row r="64223" spans="32:32" x14ac:dyDescent="0.2">
      <c r="AF64223" s="679"/>
    </row>
    <row r="64224" spans="32:32" x14ac:dyDescent="0.2">
      <c r="AF64224" s="679"/>
    </row>
    <row r="64225" spans="32:32" x14ac:dyDescent="0.2">
      <c r="AF64225" s="679"/>
    </row>
    <row r="64226" spans="32:32" x14ac:dyDescent="0.2">
      <c r="AF64226" s="679"/>
    </row>
    <row r="64227" spans="32:32" x14ac:dyDescent="0.2">
      <c r="AF64227" s="679"/>
    </row>
    <row r="64228" spans="32:32" x14ac:dyDescent="0.2">
      <c r="AF64228" s="679"/>
    </row>
    <row r="64229" spans="32:32" x14ac:dyDescent="0.2">
      <c r="AF64229" s="679"/>
    </row>
    <row r="64230" spans="32:32" x14ac:dyDescent="0.2">
      <c r="AF64230" s="679"/>
    </row>
    <row r="64231" spans="32:32" x14ac:dyDescent="0.2">
      <c r="AF64231" s="679"/>
    </row>
    <row r="64232" spans="32:32" x14ac:dyDescent="0.2">
      <c r="AF64232" s="679"/>
    </row>
    <row r="64233" spans="32:32" x14ac:dyDescent="0.2">
      <c r="AF64233" s="679"/>
    </row>
    <row r="64234" spans="32:32" x14ac:dyDescent="0.2">
      <c r="AF64234" s="679"/>
    </row>
    <row r="64235" spans="32:32" x14ac:dyDescent="0.2">
      <c r="AF64235" s="679"/>
    </row>
    <row r="64236" spans="32:32" x14ac:dyDescent="0.2">
      <c r="AF64236" s="679"/>
    </row>
    <row r="64237" spans="32:32" x14ac:dyDescent="0.2">
      <c r="AF64237" s="679"/>
    </row>
    <row r="64238" spans="32:32" x14ac:dyDescent="0.2">
      <c r="AF64238" s="679"/>
    </row>
    <row r="64239" spans="32:32" x14ac:dyDescent="0.2">
      <c r="AF64239" s="679"/>
    </row>
    <row r="64240" spans="32:32" x14ac:dyDescent="0.2">
      <c r="AF64240" s="679"/>
    </row>
    <row r="64241" spans="32:32" x14ac:dyDescent="0.2">
      <c r="AF64241" s="679"/>
    </row>
    <row r="64242" spans="32:32" x14ac:dyDescent="0.2">
      <c r="AF64242" s="679"/>
    </row>
    <row r="64243" spans="32:32" x14ac:dyDescent="0.2">
      <c r="AF64243" s="679"/>
    </row>
    <row r="64244" spans="32:32" x14ac:dyDescent="0.2">
      <c r="AF64244" s="679"/>
    </row>
    <row r="64245" spans="32:32" x14ac:dyDescent="0.2">
      <c r="AF64245" s="679"/>
    </row>
    <row r="64246" spans="32:32" x14ac:dyDescent="0.2">
      <c r="AF64246" s="679"/>
    </row>
    <row r="64247" spans="32:32" x14ac:dyDescent="0.2">
      <c r="AF64247" s="679"/>
    </row>
    <row r="64248" spans="32:32" x14ac:dyDescent="0.2">
      <c r="AF64248" s="679"/>
    </row>
    <row r="64249" spans="32:32" x14ac:dyDescent="0.2">
      <c r="AF64249" s="679"/>
    </row>
    <row r="64250" spans="32:32" x14ac:dyDescent="0.2">
      <c r="AF64250" s="679"/>
    </row>
    <row r="64251" spans="32:32" x14ac:dyDescent="0.2">
      <c r="AF64251" s="679"/>
    </row>
    <row r="64252" spans="32:32" x14ac:dyDescent="0.2">
      <c r="AF64252" s="679"/>
    </row>
    <row r="64253" spans="32:32" x14ac:dyDescent="0.2">
      <c r="AF64253" s="679"/>
    </row>
    <row r="64254" spans="32:32" x14ac:dyDescent="0.2">
      <c r="AF64254" s="679"/>
    </row>
    <row r="64255" spans="32:32" x14ac:dyDescent="0.2">
      <c r="AF64255" s="679"/>
    </row>
    <row r="64256" spans="32:32" x14ac:dyDescent="0.2">
      <c r="AF64256" s="679"/>
    </row>
    <row r="64257" spans="32:32" x14ac:dyDescent="0.2">
      <c r="AF64257" s="679"/>
    </row>
    <row r="64258" spans="32:32" x14ac:dyDescent="0.2">
      <c r="AF64258" s="679"/>
    </row>
    <row r="64259" spans="32:32" x14ac:dyDescent="0.2">
      <c r="AF64259" s="679"/>
    </row>
    <row r="64260" spans="32:32" x14ac:dyDescent="0.2">
      <c r="AF64260" s="679"/>
    </row>
    <row r="64261" spans="32:32" x14ac:dyDescent="0.2">
      <c r="AF64261" s="679"/>
    </row>
    <row r="64262" spans="32:32" x14ac:dyDescent="0.2">
      <c r="AF64262" s="679"/>
    </row>
    <row r="64263" spans="32:32" x14ac:dyDescent="0.2">
      <c r="AF64263" s="679"/>
    </row>
    <row r="64264" spans="32:32" x14ac:dyDescent="0.2">
      <c r="AF64264" s="679"/>
    </row>
    <row r="64265" spans="32:32" x14ac:dyDescent="0.2">
      <c r="AF64265" s="679"/>
    </row>
    <row r="64266" spans="32:32" x14ac:dyDescent="0.2">
      <c r="AF64266" s="679"/>
    </row>
    <row r="64267" spans="32:32" x14ac:dyDescent="0.2">
      <c r="AF64267" s="679"/>
    </row>
    <row r="64268" spans="32:32" x14ac:dyDescent="0.2">
      <c r="AF64268" s="679"/>
    </row>
    <row r="64269" spans="32:32" x14ac:dyDescent="0.2">
      <c r="AF64269" s="679"/>
    </row>
    <row r="64270" spans="32:32" x14ac:dyDescent="0.2">
      <c r="AF64270" s="679"/>
    </row>
    <row r="64271" spans="32:32" x14ac:dyDescent="0.2">
      <c r="AF64271" s="679"/>
    </row>
    <row r="64272" spans="32:32" x14ac:dyDescent="0.2">
      <c r="AF64272" s="679"/>
    </row>
    <row r="64273" spans="32:32" x14ac:dyDescent="0.2">
      <c r="AF64273" s="679"/>
    </row>
    <row r="64274" spans="32:32" x14ac:dyDescent="0.2">
      <c r="AF64274" s="679"/>
    </row>
    <row r="64275" spans="32:32" x14ac:dyDescent="0.2">
      <c r="AF64275" s="679"/>
    </row>
    <row r="64276" spans="32:32" x14ac:dyDescent="0.2">
      <c r="AF64276" s="679"/>
    </row>
    <row r="64277" spans="32:32" x14ac:dyDescent="0.2">
      <c r="AF64277" s="679"/>
    </row>
    <row r="64278" spans="32:32" x14ac:dyDescent="0.2">
      <c r="AF64278" s="679"/>
    </row>
    <row r="64279" spans="32:32" x14ac:dyDescent="0.2">
      <c r="AF64279" s="679"/>
    </row>
    <row r="64280" spans="32:32" x14ac:dyDescent="0.2">
      <c r="AF64280" s="679"/>
    </row>
    <row r="64281" spans="32:32" x14ac:dyDescent="0.2">
      <c r="AF64281" s="679"/>
    </row>
    <row r="64282" spans="32:32" x14ac:dyDescent="0.2">
      <c r="AF64282" s="679"/>
    </row>
    <row r="64283" spans="32:32" x14ac:dyDescent="0.2">
      <c r="AF64283" s="679"/>
    </row>
    <row r="64284" spans="32:32" x14ac:dyDescent="0.2">
      <c r="AF64284" s="679"/>
    </row>
    <row r="64285" spans="32:32" x14ac:dyDescent="0.2">
      <c r="AF64285" s="679"/>
    </row>
    <row r="64286" spans="32:32" x14ac:dyDescent="0.2">
      <c r="AF64286" s="679"/>
    </row>
    <row r="64287" spans="32:32" x14ac:dyDescent="0.2">
      <c r="AF64287" s="679"/>
    </row>
    <row r="64288" spans="32:32" x14ac:dyDescent="0.2">
      <c r="AF64288" s="679"/>
    </row>
    <row r="64289" spans="32:32" x14ac:dyDescent="0.2">
      <c r="AF64289" s="679"/>
    </row>
    <row r="64290" spans="32:32" x14ac:dyDescent="0.2">
      <c r="AF64290" s="679"/>
    </row>
    <row r="64291" spans="32:32" x14ac:dyDescent="0.2">
      <c r="AF64291" s="679"/>
    </row>
    <row r="64292" spans="32:32" x14ac:dyDescent="0.2">
      <c r="AF64292" s="679"/>
    </row>
    <row r="64293" spans="32:32" x14ac:dyDescent="0.2">
      <c r="AF64293" s="679"/>
    </row>
    <row r="64294" spans="32:32" x14ac:dyDescent="0.2">
      <c r="AF64294" s="679"/>
    </row>
    <row r="64295" spans="32:32" x14ac:dyDescent="0.2">
      <c r="AF64295" s="679"/>
    </row>
    <row r="64296" spans="32:32" x14ac:dyDescent="0.2">
      <c r="AF64296" s="679"/>
    </row>
    <row r="64297" spans="32:32" x14ac:dyDescent="0.2">
      <c r="AF64297" s="679"/>
    </row>
    <row r="64298" spans="32:32" x14ac:dyDescent="0.2">
      <c r="AF64298" s="679"/>
    </row>
    <row r="64299" spans="32:32" x14ac:dyDescent="0.2">
      <c r="AF64299" s="679"/>
    </row>
    <row r="64300" spans="32:32" x14ac:dyDescent="0.2">
      <c r="AF64300" s="679"/>
    </row>
    <row r="64301" spans="32:32" x14ac:dyDescent="0.2">
      <c r="AF64301" s="679"/>
    </row>
    <row r="64302" spans="32:32" x14ac:dyDescent="0.2">
      <c r="AF64302" s="679"/>
    </row>
    <row r="64303" spans="32:32" x14ac:dyDescent="0.2">
      <c r="AF64303" s="679"/>
    </row>
    <row r="64304" spans="32:32" x14ac:dyDescent="0.2">
      <c r="AF64304" s="679"/>
    </row>
    <row r="64305" spans="32:32" x14ac:dyDescent="0.2">
      <c r="AF64305" s="679"/>
    </row>
    <row r="64306" spans="32:32" x14ac:dyDescent="0.2">
      <c r="AF64306" s="679"/>
    </row>
    <row r="64307" spans="32:32" x14ac:dyDescent="0.2">
      <c r="AF64307" s="679"/>
    </row>
    <row r="64308" spans="32:32" x14ac:dyDescent="0.2">
      <c r="AF64308" s="679"/>
    </row>
    <row r="64309" spans="32:32" x14ac:dyDescent="0.2">
      <c r="AF64309" s="679"/>
    </row>
    <row r="64310" spans="32:32" x14ac:dyDescent="0.2">
      <c r="AF64310" s="679"/>
    </row>
    <row r="64311" spans="32:32" x14ac:dyDescent="0.2">
      <c r="AF64311" s="679"/>
    </row>
    <row r="64312" spans="32:32" x14ac:dyDescent="0.2">
      <c r="AF64312" s="679"/>
    </row>
    <row r="64313" spans="32:32" x14ac:dyDescent="0.2">
      <c r="AF64313" s="679"/>
    </row>
    <row r="64314" spans="32:32" x14ac:dyDescent="0.2">
      <c r="AF64314" s="679"/>
    </row>
    <row r="64315" spans="32:32" x14ac:dyDescent="0.2">
      <c r="AF64315" s="679"/>
    </row>
    <row r="64316" spans="32:32" x14ac:dyDescent="0.2">
      <c r="AF64316" s="679"/>
    </row>
    <row r="64317" spans="32:32" x14ac:dyDescent="0.2">
      <c r="AF64317" s="679"/>
    </row>
    <row r="64318" spans="32:32" x14ac:dyDescent="0.2">
      <c r="AF64318" s="679"/>
    </row>
    <row r="64319" spans="32:32" x14ac:dyDescent="0.2">
      <c r="AF64319" s="679"/>
    </row>
    <row r="64320" spans="32:32" x14ac:dyDescent="0.2">
      <c r="AF64320" s="679"/>
    </row>
    <row r="64321" spans="32:32" x14ac:dyDescent="0.2">
      <c r="AF64321" s="679"/>
    </row>
    <row r="64322" spans="32:32" x14ac:dyDescent="0.2">
      <c r="AF64322" s="679"/>
    </row>
    <row r="64323" spans="32:32" x14ac:dyDescent="0.2">
      <c r="AF64323" s="679"/>
    </row>
    <row r="64324" spans="32:32" x14ac:dyDescent="0.2">
      <c r="AF64324" s="679"/>
    </row>
    <row r="64325" spans="32:32" x14ac:dyDescent="0.2">
      <c r="AF64325" s="679"/>
    </row>
    <row r="64326" spans="32:32" x14ac:dyDescent="0.2">
      <c r="AF64326" s="679"/>
    </row>
    <row r="64327" spans="32:32" x14ac:dyDescent="0.2">
      <c r="AF64327" s="679"/>
    </row>
    <row r="64328" spans="32:32" x14ac:dyDescent="0.2">
      <c r="AF64328" s="679"/>
    </row>
    <row r="64329" spans="32:32" x14ac:dyDescent="0.2">
      <c r="AF64329" s="679"/>
    </row>
    <row r="64330" spans="32:32" x14ac:dyDescent="0.2">
      <c r="AF64330" s="679"/>
    </row>
    <row r="64331" spans="32:32" x14ac:dyDescent="0.2">
      <c r="AF64331" s="679"/>
    </row>
    <row r="64332" spans="32:32" x14ac:dyDescent="0.2">
      <c r="AF64332" s="679"/>
    </row>
    <row r="64333" spans="32:32" x14ac:dyDescent="0.2">
      <c r="AF64333" s="679"/>
    </row>
    <row r="64334" spans="32:32" x14ac:dyDescent="0.2">
      <c r="AF64334" s="679"/>
    </row>
    <row r="64335" spans="32:32" x14ac:dyDescent="0.2">
      <c r="AF64335" s="679"/>
    </row>
    <row r="64336" spans="32:32" x14ac:dyDescent="0.2">
      <c r="AF64336" s="679"/>
    </row>
    <row r="64337" spans="32:32" x14ac:dyDescent="0.2">
      <c r="AF64337" s="679"/>
    </row>
    <row r="64338" spans="32:32" x14ac:dyDescent="0.2">
      <c r="AF64338" s="679"/>
    </row>
    <row r="64339" spans="32:32" x14ac:dyDescent="0.2">
      <c r="AF64339" s="679"/>
    </row>
    <row r="64340" spans="32:32" x14ac:dyDescent="0.2">
      <c r="AF64340" s="679"/>
    </row>
    <row r="64341" spans="32:32" x14ac:dyDescent="0.2">
      <c r="AF64341" s="679"/>
    </row>
    <row r="64342" spans="32:32" x14ac:dyDescent="0.2">
      <c r="AF64342" s="679"/>
    </row>
    <row r="64343" spans="32:32" x14ac:dyDescent="0.2">
      <c r="AF64343" s="679"/>
    </row>
    <row r="64344" spans="32:32" x14ac:dyDescent="0.2">
      <c r="AF64344" s="679"/>
    </row>
    <row r="64345" spans="32:32" x14ac:dyDescent="0.2">
      <c r="AF64345" s="679"/>
    </row>
    <row r="64346" spans="32:32" x14ac:dyDescent="0.2">
      <c r="AF64346" s="679"/>
    </row>
    <row r="64347" spans="32:32" x14ac:dyDescent="0.2">
      <c r="AF64347" s="679"/>
    </row>
    <row r="64348" spans="32:32" x14ac:dyDescent="0.2">
      <c r="AF64348" s="679"/>
    </row>
    <row r="64349" spans="32:32" x14ac:dyDescent="0.2">
      <c r="AF64349" s="679"/>
    </row>
    <row r="64350" spans="32:32" x14ac:dyDescent="0.2">
      <c r="AF64350" s="679"/>
    </row>
    <row r="64351" spans="32:32" x14ac:dyDescent="0.2">
      <c r="AF64351" s="679"/>
    </row>
    <row r="64352" spans="32:32" x14ac:dyDescent="0.2">
      <c r="AF64352" s="679"/>
    </row>
    <row r="64353" spans="32:32" x14ac:dyDescent="0.2">
      <c r="AF64353" s="679"/>
    </row>
    <row r="64354" spans="32:32" x14ac:dyDescent="0.2">
      <c r="AF64354" s="679"/>
    </row>
    <row r="64355" spans="32:32" x14ac:dyDescent="0.2">
      <c r="AF64355" s="679"/>
    </row>
    <row r="64356" spans="32:32" x14ac:dyDescent="0.2">
      <c r="AF64356" s="679"/>
    </row>
    <row r="64357" spans="32:32" x14ac:dyDescent="0.2">
      <c r="AF64357" s="679"/>
    </row>
    <row r="64358" spans="32:32" x14ac:dyDescent="0.2">
      <c r="AF64358" s="679"/>
    </row>
    <row r="64359" spans="32:32" x14ac:dyDescent="0.2">
      <c r="AF64359" s="679"/>
    </row>
    <row r="64360" spans="32:32" x14ac:dyDescent="0.2">
      <c r="AF64360" s="679"/>
    </row>
    <row r="64361" spans="32:32" x14ac:dyDescent="0.2">
      <c r="AF64361" s="679"/>
    </row>
    <row r="64362" spans="32:32" x14ac:dyDescent="0.2">
      <c r="AF64362" s="679"/>
    </row>
    <row r="64363" spans="32:32" x14ac:dyDescent="0.2">
      <c r="AF64363" s="679"/>
    </row>
    <row r="64364" spans="32:32" x14ac:dyDescent="0.2">
      <c r="AF64364" s="679"/>
    </row>
    <row r="64365" spans="32:32" x14ac:dyDescent="0.2">
      <c r="AF64365" s="679"/>
    </row>
    <row r="64366" spans="32:32" x14ac:dyDescent="0.2">
      <c r="AF64366" s="679"/>
    </row>
    <row r="64367" spans="32:32" x14ac:dyDescent="0.2">
      <c r="AF64367" s="679"/>
    </row>
    <row r="64368" spans="32:32" x14ac:dyDescent="0.2">
      <c r="AF64368" s="679"/>
    </row>
    <row r="64369" spans="32:32" x14ac:dyDescent="0.2">
      <c r="AF64369" s="679"/>
    </row>
    <row r="64370" spans="32:32" x14ac:dyDescent="0.2">
      <c r="AF64370" s="679"/>
    </row>
    <row r="64371" spans="32:32" x14ac:dyDescent="0.2">
      <c r="AF64371" s="679"/>
    </row>
    <row r="64372" spans="32:32" x14ac:dyDescent="0.2">
      <c r="AF64372" s="679"/>
    </row>
    <row r="64373" spans="32:32" x14ac:dyDescent="0.2">
      <c r="AF64373" s="679"/>
    </row>
    <row r="64374" spans="32:32" x14ac:dyDescent="0.2">
      <c r="AF64374" s="679"/>
    </row>
    <row r="64375" spans="32:32" x14ac:dyDescent="0.2">
      <c r="AF64375" s="679"/>
    </row>
    <row r="64376" spans="32:32" x14ac:dyDescent="0.2">
      <c r="AF64376" s="679"/>
    </row>
    <row r="64377" spans="32:32" x14ac:dyDescent="0.2">
      <c r="AF64377" s="679"/>
    </row>
    <row r="64378" spans="32:32" x14ac:dyDescent="0.2">
      <c r="AF64378" s="679"/>
    </row>
    <row r="64379" spans="32:32" x14ac:dyDescent="0.2">
      <c r="AF64379" s="679"/>
    </row>
    <row r="64380" spans="32:32" x14ac:dyDescent="0.2">
      <c r="AF64380" s="679"/>
    </row>
    <row r="64381" spans="32:32" x14ac:dyDescent="0.2">
      <c r="AF64381" s="679"/>
    </row>
    <row r="64382" spans="32:32" x14ac:dyDescent="0.2">
      <c r="AF64382" s="679"/>
    </row>
    <row r="64383" spans="32:32" x14ac:dyDescent="0.2">
      <c r="AF64383" s="679"/>
    </row>
    <row r="64384" spans="32:32" x14ac:dyDescent="0.2">
      <c r="AF64384" s="679"/>
    </row>
    <row r="64385" spans="32:32" x14ac:dyDescent="0.2">
      <c r="AF64385" s="679"/>
    </row>
    <row r="64386" spans="32:32" x14ac:dyDescent="0.2">
      <c r="AF64386" s="679"/>
    </row>
    <row r="64387" spans="32:32" x14ac:dyDescent="0.2">
      <c r="AF64387" s="679"/>
    </row>
    <row r="64388" spans="32:32" x14ac:dyDescent="0.2">
      <c r="AF64388" s="679"/>
    </row>
    <row r="64389" spans="32:32" x14ac:dyDescent="0.2">
      <c r="AF64389" s="679"/>
    </row>
    <row r="64390" spans="32:32" x14ac:dyDescent="0.2">
      <c r="AF64390" s="679"/>
    </row>
    <row r="64391" spans="32:32" x14ac:dyDescent="0.2">
      <c r="AF64391" s="679"/>
    </row>
    <row r="64392" spans="32:32" x14ac:dyDescent="0.2">
      <c r="AF64392" s="679"/>
    </row>
    <row r="64393" spans="32:32" x14ac:dyDescent="0.2">
      <c r="AF64393" s="679"/>
    </row>
    <row r="64394" spans="32:32" x14ac:dyDescent="0.2">
      <c r="AF64394" s="679"/>
    </row>
    <row r="64395" spans="32:32" x14ac:dyDescent="0.2">
      <c r="AF64395" s="679"/>
    </row>
    <row r="64396" spans="32:32" x14ac:dyDescent="0.2">
      <c r="AF64396" s="679"/>
    </row>
    <row r="64397" spans="32:32" x14ac:dyDescent="0.2">
      <c r="AF64397" s="679"/>
    </row>
    <row r="64398" spans="32:32" x14ac:dyDescent="0.2">
      <c r="AF64398" s="679"/>
    </row>
    <row r="64399" spans="32:32" x14ac:dyDescent="0.2">
      <c r="AF64399" s="679"/>
    </row>
    <row r="64400" spans="32:32" x14ac:dyDescent="0.2">
      <c r="AF64400" s="679"/>
    </row>
    <row r="64401" spans="32:32" x14ac:dyDescent="0.2">
      <c r="AF64401" s="679"/>
    </row>
    <row r="64402" spans="32:32" x14ac:dyDescent="0.2">
      <c r="AF64402" s="679"/>
    </row>
    <row r="64403" spans="32:32" x14ac:dyDescent="0.2">
      <c r="AF64403" s="679"/>
    </row>
    <row r="64404" spans="32:32" x14ac:dyDescent="0.2">
      <c r="AF64404" s="679"/>
    </row>
    <row r="64405" spans="32:32" x14ac:dyDescent="0.2">
      <c r="AF64405" s="679"/>
    </row>
    <row r="64406" spans="32:32" x14ac:dyDescent="0.2">
      <c r="AF64406" s="679"/>
    </row>
    <row r="64407" spans="32:32" x14ac:dyDescent="0.2">
      <c r="AF64407" s="679"/>
    </row>
    <row r="64408" spans="32:32" x14ac:dyDescent="0.2">
      <c r="AF64408" s="679"/>
    </row>
    <row r="64409" spans="32:32" x14ac:dyDescent="0.2">
      <c r="AF64409" s="679"/>
    </row>
    <row r="64410" spans="32:32" x14ac:dyDescent="0.2">
      <c r="AF64410" s="679"/>
    </row>
    <row r="64411" spans="32:32" x14ac:dyDescent="0.2">
      <c r="AF64411" s="679"/>
    </row>
    <row r="64412" spans="32:32" x14ac:dyDescent="0.2">
      <c r="AF64412" s="679"/>
    </row>
    <row r="64413" spans="32:32" x14ac:dyDescent="0.2">
      <c r="AF64413" s="679"/>
    </row>
    <row r="64414" spans="32:32" x14ac:dyDescent="0.2">
      <c r="AF64414" s="679"/>
    </row>
    <row r="64415" spans="32:32" x14ac:dyDescent="0.2">
      <c r="AF64415" s="679"/>
    </row>
    <row r="64416" spans="32:32" x14ac:dyDescent="0.2">
      <c r="AF64416" s="679"/>
    </row>
    <row r="64417" spans="32:32" x14ac:dyDescent="0.2">
      <c r="AF64417" s="679"/>
    </row>
    <row r="64418" spans="32:32" x14ac:dyDescent="0.2">
      <c r="AF64418" s="679"/>
    </row>
    <row r="64419" spans="32:32" x14ac:dyDescent="0.2">
      <c r="AF64419" s="679"/>
    </row>
    <row r="64420" spans="32:32" x14ac:dyDescent="0.2">
      <c r="AF64420" s="679"/>
    </row>
    <row r="64421" spans="32:32" x14ac:dyDescent="0.2">
      <c r="AF64421" s="679"/>
    </row>
    <row r="64422" spans="32:32" x14ac:dyDescent="0.2">
      <c r="AF64422" s="679"/>
    </row>
    <row r="64423" spans="32:32" x14ac:dyDescent="0.2">
      <c r="AF64423" s="679"/>
    </row>
    <row r="64424" spans="32:32" x14ac:dyDescent="0.2">
      <c r="AF64424" s="679"/>
    </row>
    <row r="64425" spans="32:32" x14ac:dyDescent="0.2">
      <c r="AF64425" s="679"/>
    </row>
    <row r="64426" spans="32:32" x14ac:dyDescent="0.2">
      <c r="AF64426" s="679"/>
    </row>
    <row r="64427" spans="32:32" x14ac:dyDescent="0.2">
      <c r="AF64427" s="679"/>
    </row>
    <row r="64428" spans="32:32" x14ac:dyDescent="0.2">
      <c r="AF64428" s="679"/>
    </row>
    <row r="64429" spans="32:32" x14ac:dyDescent="0.2">
      <c r="AF64429" s="679"/>
    </row>
    <row r="64430" spans="32:32" x14ac:dyDescent="0.2">
      <c r="AF64430" s="679"/>
    </row>
    <row r="64431" spans="32:32" x14ac:dyDescent="0.2">
      <c r="AF64431" s="679"/>
    </row>
    <row r="64432" spans="32:32" x14ac:dyDescent="0.2">
      <c r="AF64432" s="679"/>
    </row>
    <row r="64433" spans="32:32" x14ac:dyDescent="0.2">
      <c r="AF64433" s="679"/>
    </row>
    <row r="64434" spans="32:32" x14ac:dyDescent="0.2">
      <c r="AF64434" s="679"/>
    </row>
    <row r="64435" spans="32:32" x14ac:dyDescent="0.2">
      <c r="AF64435" s="679"/>
    </row>
    <row r="64436" spans="32:32" x14ac:dyDescent="0.2">
      <c r="AF64436" s="679"/>
    </row>
    <row r="64437" spans="32:32" x14ac:dyDescent="0.2">
      <c r="AF64437" s="679"/>
    </row>
    <row r="64438" spans="32:32" x14ac:dyDescent="0.2">
      <c r="AF64438" s="679"/>
    </row>
    <row r="64439" spans="32:32" x14ac:dyDescent="0.2">
      <c r="AF64439" s="679"/>
    </row>
    <row r="64440" spans="32:32" x14ac:dyDescent="0.2">
      <c r="AF64440" s="679"/>
    </row>
    <row r="64441" spans="32:32" x14ac:dyDescent="0.2">
      <c r="AF64441" s="679"/>
    </row>
    <row r="64442" spans="32:32" x14ac:dyDescent="0.2">
      <c r="AF64442" s="679"/>
    </row>
    <row r="64443" spans="32:32" x14ac:dyDescent="0.2">
      <c r="AF64443" s="679"/>
    </row>
    <row r="64444" spans="32:32" x14ac:dyDescent="0.2">
      <c r="AF64444" s="679"/>
    </row>
    <row r="64445" spans="32:32" x14ac:dyDescent="0.2">
      <c r="AF64445" s="679"/>
    </row>
    <row r="64446" spans="32:32" x14ac:dyDescent="0.2">
      <c r="AF64446" s="679"/>
    </row>
    <row r="64447" spans="32:32" x14ac:dyDescent="0.2">
      <c r="AF64447" s="679"/>
    </row>
    <row r="64448" spans="32:32" x14ac:dyDescent="0.2">
      <c r="AF64448" s="679"/>
    </row>
    <row r="64449" spans="32:32" x14ac:dyDescent="0.2">
      <c r="AF64449" s="679"/>
    </row>
    <row r="64450" spans="32:32" x14ac:dyDescent="0.2">
      <c r="AF64450" s="679"/>
    </row>
    <row r="64451" spans="32:32" x14ac:dyDescent="0.2">
      <c r="AF64451" s="679"/>
    </row>
    <row r="64452" spans="32:32" x14ac:dyDescent="0.2">
      <c r="AF64452" s="679"/>
    </row>
    <row r="64453" spans="32:32" x14ac:dyDescent="0.2">
      <c r="AF64453" s="679"/>
    </row>
    <row r="64454" spans="32:32" x14ac:dyDescent="0.2">
      <c r="AF64454" s="679"/>
    </row>
    <row r="64455" spans="32:32" x14ac:dyDescent="0.2">
      <c r="AF64455" s="679"/>
    </row>
    <row r="64456" spans="32:32" x14ac:dyDescent="0.2">
      <c r="AF64456" s="679"/>
    </row>
    <row r="64457" spans="32:32" x14ac:dyDescent="0.2">
      <c r="AF64457" s="679"/>
    </row>
    <row r="64458" spans="32:32" x14ac:dyDescent="0.2">
      <c r="AF64458" s="679"/>
    </row>
    <row r="64459" spans="32:32" x14ac:dyDescent="0.2">
      <c r="AF64459" s="679"/>
    </row>
    <row r="64460" spans="32:32" x14ac:dyDescent="0.2">
      <c r="AF64460" s="679"/>
    </row>
    <row r="64461" spans="32:32" x14ac:dyDescent="0.2">
      <c r="AF64461" s="679"/>
    </row>
    <row r="64462" spans="32:32" x14ac:dyDescent="0.2">
      <c r="AF64462" s="679"/>
    </row>
    <row r="64463" spans="32:32" x14ac:dyDescent="0.2">
      <c r="AF64463" s="679"/>
    </row>
    <row r="64464" spans="32:32" x14ac:dyDescent="0.2">
      <c r="AF64464" s="679"/>
    </row>
    <row r="64465" spans="32:32" x14ac:dyDescent="0.2">
      <c r="AF64465" s="679"/>
    </row>
    <row r="64466" spans="32:32" x14ac:dyDescent="0.2">
      <c r="AF64466" s="679"/>
    </row>
    <row r="64467" spans="32:32" x14ac:dyDescent="0.2">
      <c r="AF64467" s="679"/>
    </row>
    <row r="64468" spans="32:32" x14ac:dyDescent="0.2">
      <c r="AF64468" s="679"/>
    </row>
    <row r="64469" spans="32:32" x14ac:dyDescent="0.2">
      <c r="AF64469" s="679"/>
    </row>
    <row r="64470" spans="32:32" x14ac:dyDescent="0.2">
      <c r="AF64470" s="679"/>
    </row>
    <row r="64471" spans="32:32" x14ac:dyDescent="0.2">
      <c r="AF64471" s="679"/>
    </row>
    <row r="64472" spans="32:32" x14ac:dyDescent="0.2">
      <c r="AF64472" s="679"/>
    </row>
    <row r="64473" spans="32:32" x14ac:dyDescent="0.2">
      <c r="AF64473" s="679"/>
    </row>
    <row r="64474" spans="32:32" x14ac:dyDescent="0.2">
      <c r="AF64474" s="679"/>
    </row>
    <row r="64475" spans="32:32" x14ac:dyDescent="0.2">
      <c r="AF64475" s="679"/>
    </row>
    <row r="64476" spans="32:32" x14ac:dyDescent="0.2">
      <c r="AF64476" s="679"/>
    </row>
    <row r="64477" spans="32:32" x14ac:dyDescent="0.2">
      <c r="AF64477" s="679"/>
    </row>
    <row r="64478" spans="32:32" x14ac:dyDescent="0.2">
      <c r="AF64478" s="679"/>
    </row>
    <row r="64479" spans="32:32" x14ac:dyDescent="0.2">
      <c r="AF64479" s="679"/>
    </row>
    <row r="64480" spans="32:32" x14ac:dyDescent="0.2">
      <c r="AF64480" s="679"/>
    </row>
    <row r="64481" spans="32:32" x14ac:dyDescent="0.2">
      <c r="AF64481" s="679"/>
    </row>
    <row r="64482" spans="32:32" x14ac:dyDescent="0.2">
      <c r="AF64482" s="679"/>
    </row>
    <row r="64483" spans="32:32" x14ac:dyDescent="0.2">
      <c r="AF64483" s="679"/>
    </row>
    <row r="64484" spans="32:32" x14ac:dyDescent="0.2">
      <c r="AF64484" s="679"/>
    </row>
    <row r="64485" spans="32:32" x14ac:dyDescent="0.2">
      <c r="AF64485" s="679"/>
    </row>
    <row r="64486" spans="32:32" x14ac:dyDescent="0.2">
      <c r="AF64486" s="679"/>
    </row>
    <row r="64487" spans="32:32" x14ac:dyDescent="0.2">
      <c r="AF64487" s="679"/>
    </row>
    <row r="64488" spans="32:32" x14ac:dyDescent="0.2">
      <c r="AF64488" s="679"/>
    </row>
    <row r="64489" spans="32:32" x14ac:dyDescent="0.2">
      <c r="AF64489" s="679"/>
    </row>
    <row r="64490" spans="32:32" x14ac:dyDescent="0.2">
      <c r="AF64490" s="679"/>
    </row>
    <row r="64491" spans="32:32" x14ac:dyDescent="0.2">
      <c r="AF64491" s="679"/>
    </row>
    <row r="64492" spans="32:32" x14ac:dyDescent="0.2">
      <c r="AF64492" s="679"/>
    </row>
    <row r="64493" spans="32:32" x14ac:dyDescent="0.2">
      <c r="AF64493" s="679"/>
    </row>
    <row r="64494" spans="32:32" x14ac:dyDescent="0.2">
      <c r="AF64494" s="679"/>
    </row>
    <row r="64495" spans="32:32" x14ac:dyDescent="0.2">
      <c r="AF64495" s="679"/>
    </row>
    <row r="64496" spans="32:32" x14ac:dyDescent="0.2">
      <c r="AF64496" s="679"/>
    </row>
    <row r="64497" spans="32:32" x14ac:dyDescent="0.2">
      <c r="AF64497" s="679"/>
    </row>
    <row r="64498" spans="32:32" x14ac:dyDescent="0.2">
      <c r="AF64498" s="679"/>
    </row>
    <row r="64499" spans="32:32" x14ac:dyDescent="0.2">
      <c r="AF64499" s="679"/>
    </row>
    <row r="64500" spans="32:32" x14ac:dyDescent="0.2">
      <c r="AF64500" s="679"/>
    </row>
    <row r="64501" spans="32:32" x14ac:dyDescent="0.2">
      <c r="AF64501" s="679"/>
    </row>
    <row r="64502" spans="32:32" x14ac:dyDescent="0.2">
      <c r="AF64502" s="679"/>
    </row>
    <row r="64503" spans="32:32" x14ac:dyDescent="0.2">
      <c r="AF64503" s="679"/>
    </row>
    <row r="64504" spans="32:32" x14ac:dyDescent="0.2">
      <c r="AF64504" s="679"/>
    </row>
    <row r="64505" spans="32:32" x14ac:dyDescent="0.2">
      <c r="AF64505" s="679"/>
    </row>
    <row r="64506" spans="32:32" x14ac:dyDescent="0.2">
      <c r="AF64506" s="679"/>
    </row>
    <row r="64507" spans="32:32" x14ac:dyDescent="0.2">
      <c r="AF64507" s="679"/>
    </row>
    <row r="64508" spans="32:32" x14ac:dyDescent="0.2">
      <c r="AF64508" s="679"/>
    </row>
    <row r="64509" spans="32:32" x14ac:dyDescent="0.2">
      <c r="AF64509" s="679"/>
    </row>
    <row r="64510" spans="32:32" x14ac:dyDescent="0.2">
      <c r="AF64510" s="679"/>
    </row>
    <row r="64511" spans="32:32" x14ac:dyDescent="0.2">
      <c r="AF64511" s="679"/>
    </row>
    <row r="64512" spans="32:32" x14ac:dyDescent="0.2">
      <c r="AF64512" s="679"/>
    </row>
    <row r="64513" spans="32:32" x14ac:dyDescent="0.2">
      <c r="AF64513" s="679"/>
    </row>
    <row r="64514" spans="32:32" x14ac:dyDescent="0.2">
      <c r="AF64514" s="679"/>
    </row>
    <row r="64515" spans="32:32" x14ac:dyDescent="0.2">
      <c r="AF64515" s="679"/>
    </row>
    <row r="64516" spans="32:32" x14ac:dyDescent="0.2">
      <c r="AF64516" s="679"/>
    </row>
    <row r="64517" spans="32:32" x14ac:dyDescent="0.2">
      <c r="AF64517" s="679"/>
    </row>
    <row r="64518" spans="32:32" x14ac:dyDescent="0.2">
      <c r="AF64518" s="679"/>
    </row>
    <row r="64519" spans="32:32" x14ac:dyDescent="0.2">
      <c r="AF64519" s="679"/>
    </row>
    <row r="64520" spans="32:32" x14ac:dyDescent="0.2">
      <c r="AF64520" s="679"/>
    </row>
    <row r="64521" spans="32:32" x14ac:dyDescent="0.2">
      <c r="AF64521" s="679"/>
    </row>
    <row r="64522" spans="32:32" x14ac:dyDescent="0.2">
      <c r="AF64522" s="679"/>
    </row>
    <row r="64523" spans="32:32" x14ac:dyDescent="0.2">
      <c r="AF64523" s="679"/>
    </row>
    <row r="64524" spans="32:32" x14ac:dyDescent="0.2">
      <c r="AF64524" s="679"/>
    </row>
    <row r="64525" spans="32:32" x14ac:dyDescent="0.2">
      <c r="AF64525" s="679"/>
    </row>
    <row r="64526" spans="32:32" x14ac:dyDescent="0.2">
      <c r="AF64526" s="679"/>
    </row>
    <row r="64527" spans="32:32" x14ac:dyDescent="0.2">
      <c r="AF64527" s="679"/>
    </row>
    <row r="64528" spans="32:32" x14ac:dyDescent="0.2">
      <c r="AF64528" s="679"/>
    </row>
    <row r="64529" spans="32:32" x14ac:dyDescent="0.2">
      <c r="AF64529" s="679"/>
    </row>
    <row r="64530" spans="32:32" x14ac:dyDescent="0.2">
      <c r="AF64530" s="679"/>
    </row>
    <row r="64531" spans="32:32" x14ac:dyDescent="0.2">
      <c r="AF64531" s="679"/>
    </row>
    <row r="64532" spans="32:32" x14ac:dyDescent="0.2">
      <c r="AF64532" s="679"/>
    </row>
    <row r="64533" spans="32:32" x14ac:dyDescent="0.2">
      <c r="AF64533" s="679"/>
    </row>
    <row r="64534" spans="32:32" x14ac:dyDescent="0.2">
      <c r="AF64534" s="679"/>
    </row>
    <row r="64535" spans="32:32" x14ac:dyDescent="0.2">
      <c r="AF64535" s="679"/>
    </row>
    <row r="64536" spans="32:32" x14ac:dyDescent="0.2">
      <c r="AF64536" s="679"/>
    </row>
    <row r="64537" spans="32:32" x14ac:dyDescent="0.2">
      <c r="AF64537" s="679"/>
    </row>
    <row r="64538" spans="32:32" x14ac:dyDescent="0.2">
      <c r="AF64538" s="679"/>
    </row>
    <row r="64539" spans="32:32" x14ac:dyDescent="0.2">
      <c r="AF64539" s="679"/>
    </row>
    <row r="64540" spans="32:32" x14ac:dyDescent="0.2">
      <c r="AF64540" s="679"/>
    </row>
    <row r="64541" spans="32:32" x14ac:dyDescent="0.2">
      <c r="AF64541" s="679"/>
    </row>
    <row r="64542" spans="32:32" x14ac:dyDescent="0.2">
      <c r="AF64542" s="679"/>
    </row>
    <row r="64543" spans="32:32" x14ac:dyDescent="0.2">
      <c r="AF64543" s="679"/>
    </row>
    <row r="64544" spans="32:32" x14ac:dyDescent="0.2">
      <c r="AF64544" s="679"/>
    </row>
    <row r="64545" spans="32:32" x14ac:dyDescent="0.2">
      <c r="AF64545" s="679"/>
    </row>
    <row r="64546" spans="32:32" x14ac:dyDescent="0.2">
      <c r="AF64546" s="679"/>
    </row>
    <row r="64547" spans="32:32" x14ac:dyDescent="0.2">
      <c r="AF64547" s="679"/>
    </row>
    <row r="64548" spans="32:32" x14ac:dyDescent="0.2">
      <c r="AF64548" s="679"/>
    </row>
    <row r="64549" spans="32:32" x14ac:dyDescent="0.2">
      <c r="AF64549" s="679"/>
    </row>
    <row r="64550" spans="32:32" x14ac:dyDescent="0.2">
      <c r="AF64550" s="679"/>
    </row>
    <row r="64551" spans="32:32" x14ac:dyDescent="0.2">
      <c r="AF64551" s="679"/>
    </row>
    <row r="64552" spans="32:32" x14ac:dyDescent="0.2">
      <c r="AF64552" s="679"/>
    </row>
    <row r="64553" spans="32:32" x14ac:dyDescent="0.2">
      <c r="AF64553" s="679"/>
    </row>
    <row r="64554" spans="32:32" x14ac:dyDescent="0.2">
      <c r="AF64554" s="679"/>
    </row>
    <row r="64555" spans="32:32" x14ac:dyDescent="0.2">
      <c r="AF64555" s="679"/>
    </row>
    <row r="64556" spans="32:32" x14ac:dyDescent="0.2">
      <c r="AF64556" s="679"/>
    </row>
    <row r="64557" spans="32:32" x14ac:dyDescent="0.2">
      <c r="AF64557" s="679"/>
    </row>
    <row r="64558" spans="32:32" x14ac:dyDescent="0.2">
      <c r="AF64558" s="679"/>
    </row>
    <row r="64559" spans="32:32" x14ac:dyDescent="0.2">
      <c r="AF64559" s="679"/>
    </row>
    <row r="64560" spans="32:32" x14ac:dyDescent="0.2">
      <c r="AF64560" s="679"/>
    </row>
    <row r="64561" spans="32:32" x14ac:dyDescent="0.2">
      <c r="AF64561" s="679"/>
    </row>
    <row r="64562" spans="32:32" x14ac:dyDescent="0.2">
      <c r="AF64562" s="679"/>
    </row>
    <row r="64563" spans="32:32" x14ac:dyDescent="0.2">
      <c r="AF64563" s="679"/>
    </row>
    <row r="64564" spans="32:32" x14ac:dyDescent="0.2">
      <c r="AF64564" s="679"/>
    </row>
    <row r="64565" spans="32:32" x14ac:dyDescent="0.2">
      <c r="AF64565" s="679"/>
    </row>
    <row r="64566" spans="32:32" x14ac:dyDescent="0.2">
      <c r="AF64566" s="679"/>
    </row>
    <row r="64567" spans="32:32" x14ac:dyDescent="0.2">
      <c r="AF64567" s="679"/>
    </row>
    <row r="64568" spans="32:32" x14ac:dyDescent="0.2">
      <c r="AF64568" s="679"/>
    </row>
    <row r="64569" spans="32:32" x14ac:dyDescent="0.2">
      <c r="AF64569" s="679"/>
    </row>
    <row r="64570" spans="32:32" x14ac:dyDescent="0.2">
      <c r="AF64570" s="679"/>
    </row>
    <row r="64571" spans="32:32" x14ac:dyDescent="0.2">
      <c r="AF64571" s="679"/>
    </row>
    <row r="64572" spans="32:32" x14ac:dyDescent="0.2">
      <c r="AF64572" s="679"/>
    </row>
    <row r="64573" spans="32:32" x14ac:dyDescent="0.2">
      <c r="AF64573" s="679"/>
    </row>
    <row r="64574" spans="32:32" x14ac:dyDescent="0.2">
      <c r="AF64574" s="679"/>
    </row>
    <row r="64575" spans="32:32" x14ac:dyDescent="0.2">
      <c r="AF64575" s="679"/>
    </row>
    <row r="64576" spans="32:32" x14ac:dyDescent="0.2">
      <c r="AF64576" s="679"/>
    </row>
    <row r="64577" spans="32:32" x14ac:dyDescent="0.2">
      <c r="AF64577" s="679"/>
    </row>
    <row r="64578" spans="32:32" x14ac:dyDescent="0.2">
      <c r="AF64578" s="679"/>
    </row>
    <row r="64579" spans="32:32" x14ac:dyDescent="0.2">
      <c r="AF64579" s="679"/>
    </row>
    <row r="64580" spans="32:32" x14ac:dyDescent="0.2">
      <c r="AF64580" s="679"/>
    </row>
    <row r="64581" spans="32:32" x14ac:dyDescent="0.2">
      <c r="AF64581" s="679"/>
    </row>
    <row r="64582" spans="32:32" x14ac:dyDescent="0.2">
      <c r="AF64582" s="679"/>
    </row>
    <row r="64583" spans="32:32" x14ac:dyDescent="0.2">
      <c r="AF64583" s="679"/>
    </row>
    <row r="64584" spans="32:32" x14ac:dyDescent="0.2">
      <c r="AF64584" s="679"/>
    </row>
    <row r="64585" spans="32:32" x14ac:dyDescent="0.2">
      <c r="AF64585" s="679"/>
    </row>
    <row r="64586" spans="32:32" x14ac:dyDescent="0.2">
      <c r="AF64586" s="679"/>
    </row>
    <row r="64587" spans="32:32" x14ac:dyDescent="0.2">
      <c r="AF64587" s="679"/>
    </row>
    <row r="64588" spans="32:32" x14ac:dyDescent="0.2">
      <c r="AF64588" s="679"/>
    </row>
    <row r="64589" spans="32:32" x14ac:dyDescent="0.2">
      <c r="AF64589" s="679"/>
    </row>
    <row r="64590" spans="32:32" x14ac:dyDescent="0.2">
      <c r="AF64590" s="679"/>
    </row>
    <row r="64591" spans="32:32" x14ac:dyDescent="0.2">
      <c r="AF64591" s="679"/>
    </row>
    <row r="64592" spans="32:32" x14ac:dyDescent="0.2">
      <c r="AF64592" s="679"/>
    </row>
    <row r="64593" spans="32:32" x14ac:dyDescent="0.2">
      <c r="AF64593" s="679"/>
    </row>
    <row r="64594" spans="32:32" x14ac:dyDescent="0.2">
      <c r="AF64594" s="679"/>
    </row>
    <row r="64595" spans="32:32" x14ac:dyDescent="0.2">
      <c r="AF64595" s="679"/>
    </row>
    <row r="64596" spans="32:32" x14ac:dyDescent="0.2">
      <c r="AF64596" s="679"/>
    </row>
    <row r="64597" spans="32:32" x14ac:dyDescent="0.2">
      <c r="AF64597" s="679"/>
    </row>
    <row r="64598" spans="32:32" x14ac:dyDescent="0.2">
      <c r="AF64598" s="679"/>
    </row>
    <row r="64599" spans="32:32" x14ac:dyDescent="0.2">
      <c r="AF64599" s="679"/>
    </row>
    <row r="64600" spans="32:32" x14ac:dyDescent="0.2">
      <c r="AF64600" s="679"/>
    </row>
    <row r="64601" spans="32:32" x14ac:dyDescent="0.2">
      <c r="AF64601" s="679"/>
    </row>
    <row r="64602" spans="32:32" x14ac:dyDescent="0.2">
      <c r="AF64602" s="679"/>
    </row>
    <row r="64603" spans="32:32" x14ac:dyDescent="0.2">
      <c r="AF64603" s="679"/>
    </row>
    <row r="64604" spans="32:32" x14ac:dyDescent="0.2">
      <c r="AF64604" s="679"/>
    </row>
    <row r="64605" spans="32:32" x14ac:dyDescent="0.2">
      <c r="AF64605" s="679"/>
    </row>
    <row r="64606" spans="32:32" x14ac:dyDescent="0.2">
      <c r="AF64606" s="679"/>
    </row>
    <row r="64607" spans="32:32" x14ac:dyDescent="0.2">
      <c r="AF64607" s="679"/>
    </row>
    <row r="64608" spans="32:32" x14ac:dyDescent="0.2">
      <c r="AF64608" s="679"/>
    </row>
    <row r="64609" spans="32:32" x14ac:dyDescent="0.2">
      <c r="AF64609" s="679"/>
    </row>
    <row r="64610" spans="32:32" x14ac:dyDescent="0.2">
      <c r="AF64610" s="679"/>
    </row>
    <row r="64611" spans="32:32" x14ac:dyDescent="0.2">
      <c r="AF64611" s="679"/>
    </row>
    <row r="64612" spans="32:32" x14ac:dyDescent="0.2">
      <c r="AF64612" s="679"/>
    </row>
    <row r="64613" spans="32:32" x14ac:dyDescent="0.2">
      <c r="AF64613" s="679"/>
    </row>
    <row r="64614" spans="32:32" x14ac:dyDescent="0.2">
      <c r="AF64614" s="679"/>
    </row>
    <row r="64615" spans="32:32" x14ac:dyDescent="0.2">
      <c r="AF64615" s="679"/>
    </row>
    <row r="64616" spans="32:32" x14ac:dyDescent="0.2">
      <c r="AF64616" s="679"/>
    </row>
    <row r="64617" spans="32:32" x14ac:dyDescent="0.2">
      <c r="AF64617" s="679"/>
    </row>
    <row r="64618" spans="32:32" x14ac:dyDescent="0.2">
      <c r="AF64618" s="679"/>
    </row>
    <row r="64619" spans="32:32" x14ac:dyDescent="0.2">
      <c r="AF64619" s="679"/>
    </row>
    <row r="64620" spans="32:32" x14ac:dyDescent="0.2">
      <c r="AF64620" s="679"/>
    </row>
    <row r="64621" spans="32:32" x14ac:dyDescent="0.2">
      <c r="AF64621" s="679"/>
    </row>
    <row r="64622" spans="32:32" x14ac:dyDescent="0.2">
      <c r="AF64622" s="679"/>
    </row>
    <row r="64623" spans="32:32" x14ac:dyDescent="0.2">
      <c r="AF64623" s="679"/>
    </row>
    <row r="64624" spans="32:32" x14ac:dyDescent="0.2">
      <c r="AF64624" s="679"/>
    </row>
    <row r="64625" spans="32:32" x14ac:dyDescent="0.2">
      <c r="AF64625" s="679"/>
    </row>
    <row r="64626" spans="32:32" x14ac:dyDescent="0.2">
      <c r="AF64626" s="679"/>
    </row>
    <row r="64627" spans="32:32" x14ac:dyDescent="0.2">
      <c r="AF64627" s="679"/>
    </row>
    <row r="64628" spans="32:32" x14ac:dyDescent="0.2">
      <c r="AF64628" s="679"/>
    </row>
    <row r="64629" spans="32:32" x14ac:dyDescent="0.2">
      <c r="AF64629" s="679"/>
    </row>
    <row r="64630" spans="32:32" x14ac:dyDescent="0.2">
      <c r="AF64630" s="679"/>
    </row>
    <row r="64631" spans="32:32" x14ac:dyDescent="0.2">
      <c r="AF64631" s="679"/>
    </row>
    <row r="64632" spans="32:32" x14ac:dyDescent="0.2">
      <c r="AF64632" s="679"/>
    </row>
    <row r="64633" spans="32:32" x14ac:dyDescent="0.2">
      <c r="AF64633" s="679"/>
    </row>
    <row r="64634" spans="32:32" x14ac:dyDescent="0.2">
      <c r="AF64634" s="679"/>
    </row>
    <row r="64635" spans="32:32" x14ac:dyDescent="0.2">
      <c r="AF64635" s="679"/>
    </row>
    <row r="64636" spans="32:32" x14ac:dyDescent="0.2">
      <c r="AF64636" s="679"/>
    </row>
    <row r="64637" spans="32:32" x14ac:dyDescent="0.2">
      <c r="AF64637" s="679"/>
    </row>
    <row r="64638" spans="32:32" x14ac:dyDescent="0.2">
      <c r="AF64638" s="679"/>
    </row>
    <row r="64639" spans="32:32" x14ac:dyDescent="0.2">
      <c r="AF64639" s="679"/>
    </row>
    <row r="64640" spans="32:32" x14ac:dyDescent="0.2">
      <c r="AF64640" s="679"/>
    </row>
    <row r="64641" spans="32:32" x14ac:dyDescent="0.2">
      <c r="AF64641" s="679"/>
    </row>
    <row r="64642" spans="32:32" x14ac:dyDescent="0.2">
      <c r="AF64642" s="679"/>
    </row>
    <row r="64643" spans="32:32" x14ac:dyDescent="0.2">
      <c r="AF64643" s="679"/>
    </row>
    <row r="64644" spans="32:32" x14ac:dyDescent="0.2">
      <c r="AF64644" s="679"/>
    </row>
    <row r="64645" spans="32:32" x14ac:dyDescent="0.2">
      <c r="AF64645" s="679"/>
    </row>
    <row r="64646" spans="32:32" x14ac:dyDescent="0.2">
      <c r="AF64646" s="679"/>
    </row>
    <row r="64647" spans="32:32" x14ac:dyDescent="0.2">
      <c r="AF64647" s="679"/>
    </row>
    <row r="64648" spans="32:32" x14ac:dyDescent="0.2">
      <c r="AF64648" s="679"/>
    </row>
    <row r="64649" spans="32:32" x14ac:dyDescent="0.2">
      <c r="AF64649" s="679"/>
    </row>
    <row r="64650" spans="32:32" x14ac:dyDescent="0.2">
      <c r="AF64650" s="679"/>
    </row>
    <row r="64651" spans="32:32" x14ac:dyDescent="0.2">
      <c r="AF64651" s="679"/>
    </row>
    <row r="64652" spans="32:32" x14ac:dyDescent="0.2">
      <c r="AF64652" s="679"/>
    </row>
    <row r="64653" spans="32:32" x14ac:dyDescent="0.2">
      <c r="AF64653" s="679"/>
    </row>
    <row r="64654" spans="32:32" x14ac:dyDescent="0.2">
      <c r="AF64654" s="679"/>
    </row>
    <row r="64655" spans="32:32" x14ac:dyDescent="0.2">
      <c r="AF64655" s="679"/>
    </row>
    <row r="64656" spans="32:32" x14ac:dyDescent="0.2">
      <c r="AF64656" s="679"/>
    </row>
    <row r="64657" spans="32:32" x14ac:dyDescent="0.2">
      <c r="AF64657" s="679"/>
    </row>
    <row r="64658" spans="32:32" x14ac:dyDescent="0.2">
      <c r="AF64658" s="679"/>
    </row>
    <row r="64659" spans="32:32" x14ac:dyDescent="0.2">
      <c r="AF64659" s="679"/>
    </row>
    <row r="64660" spans="32:32" x14ac:dyDescent="0.2">
      <c r="AF64660" s="679"/>
    </row>
    <row r="64661" spans="32:32" x14ac:dyDescent="0.2">
      <c r="AF64661" s="679"/>
    </row>
    <row r="64662" spans="32:32" x14ac:dyDescent="0.2">
      <c r="AF64662" s="679"/>
    </row>
    <row r="64663" spans="32:32" x14ac:dyDescent="0.2">
      <c r="AF64663" s="679"/>
    </row>
    <row r="64664" spans="32:32" x14ac:dyDescent="0.2">
      <c r="AF64664" s="679"/>
    </row>
    <row r="64665" spans="32:32" x14ac:dyDescent="0.2">
      <c r="AF64665" s="679"/>
    </row>
    <row r="64666" spans="32:32" x14ac:dyDescent="0.2">
      <c r="AF64666" s="679"/>
    </row>
    <row r="64667" spans="32:32" x14ac:dyDescent="0.2">
      <c r="AF64667" s="679"/>
    </row>
    <row r="64668" spans="32:32" x14ac:dyDescent="0.2">
      <c r="AF64668" s="679"/>
    </row>
    <row r="64669" spans="32:32" x14ac:dyDescent="0.2">
      <c r="AF64669" s="679"/>
    </row>
    <row r="64670" spans="32:32" x14ac:dyDescent="0.2">
      <c r="AF64670" s="679"/>
    </row>
    <row r="64671" spans="32:32" x14ac:dyDescent="0.2">
      <c r="AF64671" s="679"/>
    </row>
    <row r="64672" spans="32:32" x14ac:dyDescent="0.2">
      <c r="AF64672" s="679"/>
    </row>
    <row r="64673" spans="32:32" x14ac:dyDescent="0.2">
      <c r="AF64673" s="679"/>
    </row>
    <row r="64674" spans="32:32" x14ac:dyDescent="0.2">
      <c r="AF64674" s="679"/>
    </row>
    <row r="64675" spans="32:32" x14ac:dyDescent="0.2">
      <c r="AF64675" s="679"/>
    </row>
    <row r="64676" spans="32:32" x14ac:dyDescent="0.2">
      <c r="AF64676" s="679"/>
    </row>
    <row r="64677" spans="32:32" x14ac:dyDescent="0.2">
      <c r="AF64677" s="679"/>
    </row>
    <row r="64678" spans="32:32" x14ac:dyDescent="0.2">
      <c r="AF64678" s="679"/>
    </row>
    <row r="64679" spans="32:32" x14ac:dyDescent="0.2">
      <c r="AF64679" s="679"/>
    </row>
    <row r="64680" spans="32:32" x14ac:dyDescent="0.2">
      <c r="AF64680" s="679"/>
    </row>
    <row r="64681" spans="32:32" x14ac:dyDescent="0.2">
      <c r="AF64681" s="679"/>
    </row>
    <row r="64682" spans="32:32" x14ac:dyDescent="0.2">
      <c r="AF64682" s="679"/>
    </row>
    <row r="64683" spans="32:32" x14ac:dyDescent="0.2">
      <c r="AF64683" s="679"/>
    </row>
    <row r="64684" spans="32:32" x14ac:dyDescent="0.2">
      <c r="AF64684" s="679"/>
    </row>
    <row r="64685" spans="32:32" x14ac:dyDescent="0.2">
      <c r="AF64685" s="679"/>
    </row>
    <row r="64686" spans="32:32" x14ac:dyDescent="0.2">
      <c r="AF64686" s="679"/>
    </row>
    <row r="64687" spans="32:32" x14ac:dyDescent="0.2">
      <c r="AF64687" s="679"/>
    </row>
    <row r="64688" spans="32:32" x14ac:dyDescent="0.2">
      <c r="AF64688" s="679"/>
    </row>
    <row r="64689" spans="32:32" x14ac:dyDescent="0.2">
      <c r="AF64689" s="679"/>
    </row>
    <row r="64690" spans="32:32" x14ac:dyDescent="0.2">
      <c r="AF64690" s="679"/>
    </row>
    <row r="64691" spans="32:32" x14ac:dyDescent="0.2">
      <c r="AF64691" s="679"/>
    </row>
    <row r="64692" spans="32:32" x14ac:dyDescent="0.2">
      <c r="AF64692" s="679"/>
    </row>
    <row r="64693" spans="32:32" x14ac:dyDescent="0.2">
      <c r="AF64693" s="679"/>
    </row>
    <row r="64694" spans="32:32" x14ac:dyDescent="0.2">
      <c r="AF64694" s="679"/>
    </row>
    <row r="64695" spans="32:32" x14ac:dyDescent="0.2">
      <c r="AF64695" s="679"/>
    </row>
    <row r="64696" spans="32:32" x14ac:dyDescent="0.2">
      <c r="AF64696" s="679"/>
    </row>
    <row r="64697" spans="32:32" x14ac:dyDescent="0.2">
      <c r="AF64697" s="679"/>
    </row>
    <row r="64698" spans="32:32" x14ac:dyDescent="0.2">
      <c r="AF64698" s="679"/>
    </row>
    <row r="64699" spans="32:32" x14ac:dyDescent="0.2">
      <c r="AF64699" s="679"/>
    </row>
    <row r="64700" spans="32:32" x14ac:dyDescent="0.2">
      <c r="AF64700" s="679"/>
    </row>
    <row r="64701" spans="32:32" x14ac:dyDescent="0.2">
      <c r="AF64701" s="679"/>
    </row>
    <row r="64702" spans="32:32" x14ac:dyDescent="0.2">
      <c r="AF64702" s="679"/>
    </row>
    <row r="64703" spans="32:32" x14ac:dyDescent="0.2">
      <c r="AF64703" s="679"/>
    </row>
    <row r="64704" spans="32:32" x14ac:dyDescent="0.2">
      <c r="AF64704" s="679"/>
    </row>
    <row r="64705" spans="32:32" x14ac:dyDescent="0.2">
      <c r="AF64705" s="679"/>
    </row>
    <row r="64706" spans="32:32" x14ac:dyDescent="0.2">
      <c r="AF64706" s="679"/>
    </row>
    <row r="64707" spans="32:32" x14ac:dyDescent="0.2">
      <c r="AF64707" s="679"/>
    </row>
    <row r="64708" spans="32:32" x14ac:dyDescent="0.2">
      <c r="AF64708" s="679"/>
    </row>
    <row r="64709" spans="32:32" x14ac:dyDescent="0.2">
      <c r="AF64709" s="679"/>
    </row>
    <row r="64710" spans="32:32" x14ac:dyDescent="0.2">
      <c r="AF64710" s="679"/>
    </row>
    <row r="64711" spans="32:32" x14ac:dyDescent="0.2">
      <c r="AF64711" s="679"/>
    </row>
    <row r="64712" spans="32:32" x14ac:dyDescent="0.2">
      <c r="AF64712" s="679"/>
    </row>
    <row r="64713" spans="32:32" x14ac:dyDescent="0.2">
      <c r="AF64713" s="679"/>
    </row>
    <row r="64714" spans="32:32" x14ac:dyDescent="0.2">
      <c r="AF64714" s="679"/>
    </row>
    <row r="64715" spans="32:32" x14ac:dyDescent="0.2">
      <c r="AF64715" s="679"/>
    </row>
    <row r="64716" spans="32:32" x14ac:dyDescent="0.2">
      <c r="AF64716" s="679"/>
    </row>
    <row r="64717" spans="32:32" x14ac:dyDescent="0.2">
      <c r="AF64717" s="679"/>
    </row>
    <row r="64718" spans="32:32" x14ac:dyDescent="0.2">
      <c r="AF64718" s="679"/>
    </row>
    <row r="64719" spans="32:32" x14ac:dyDescent="0.2">
      <c r="AF64719" s="679"/>
    </row>
    <row r="64720" spans="32:32" x14ac:dyDescent="0.2">
      <c r="AF64720" s="679"/>
    </row>
    <row r="64721" spans="32:32" x14ac:dyDescent="0.2">
      <c r="AF64721" s="679"/>
    </row>
    <row r="64722" spans="32:32" x14ac:dyDescent="0.2">
      <c r="AF64722" s="679"/>
    </row>
    <row r="64723" spans="32:32" x14ac:dyDescent="0.2">
      <c r="AF64723" s="679"/>
    </row>
    <row r="64724" spans="32:32" x14ac:dyDescent="0.2">
      <c r="AF64724" s="679"/>
    </row>
    <row r="64725" spans="32:32" x14ac:dyDescent="0.2">
      <c r="AF64725" s="679"/>
    </row>
    <row r="64726" spans="32:32" x14ac:dyDescent="0.2">
      <c r="AF64726" s="679"/>
    </row>
    <row r="64727" spans="32:32" x14ac:dyDescent="0.2">
      <c r="AF64727" s="679"/>
    </row>
    <row r="64728" spans="32:32" x14ac:dyDescent="0.2">
      <c r="AF64728" s="679"/>
    </row>
    <row r="64729" spans="32:32" x14ac:dyDescent="0.2">
      <c r="AF64729" s="679"/>
    </row>
    <row r="64730" spans="32:32" x14ac:dyDescent="0.2">
      <c r="AF64730" s="679"/>
    </row>
    <row r="64731" spans="32:32" x14ac:dyDescent="0.2">
      <c r="AF64731" s="679"/>
    </row>
    <row r="64732" spans="32:32" x14ac:dyDescent="0.2">
      <c r="AF64732" s="679"/>
    </row>
    <row r="64733" spans="32:32" x14ac:dyDescent="0.2">
      <c r="AF64733" s="679"/>
    </row>
    <row r="64734" spans="32:32" x14ac:dyDescent="0.2">
      <c r="AF64734" s="679"/>
    </row>
    <row r="64735" spans="32:32" x14ac:dyDescent="0.2">
      <c r="AF64735" s="679"/>
    </row>
    <row r="64736" spans="32:32" x14ac:dyDescent="0.2">
      <c r="AF64736" s="679"/>
    </row>
    <row r="64737" spans="32:32" x14ac:dyDescent="0.2">
      <c r="AF64737" s="679"/>
    </row>
    <row r="64738" spans="32:32" x14ac:dyDescent="0.2">
      <c r="AF64738" s="679"/>
    </row>
    <row r="64739" spans="32:32" x14ac:dyDescent="0.2">
      <c r="AF64739" s="679"/>
    </row>
    <row r="64740" spans="32:32" x14ac:dyDescent="0.2">
      <c r="AF64740" s="679"/>
    </row>
    <row r="64741" spans="32:32" x14ac:dyDescent="0.2">
      <c r="AF64741" s="679"/>
    </row>
    <row r="64742" spans="32:32" x14ac:dyDescent="0.2">
      <c r="AF64742" s="679"/>
    </row>
    <row r="64743" spans="32:32" x14ac:dyDescent="0.2">
      <c r="AF64743" s="679"/>
    </row>
    <row r="64744" spans="32:32" x14ac:dyDescent="0.2">
      <c r="AF64744" s="679"/>
    </row>
    <row r="64745" spans="32:32" x14ac:dyDescent="0.2">
      <c r="AF64745" s="679"/>
    </row>
    <row r="64746" spans="32:32" x14ac:dyDescent="0.2">
      <c r="AF64746" s="679"/>
    </row>
    <row r="64747" spans="32:32" x14ac:dyDescent="0.2">
      <c r="AF64747" s="679"/>
    </row>
    <row r="64748" spans="32:32" x14ac:dyDescent="0.2">
      <c r="AF64748" s="679"/>
    </row>
    <row r="64749" spans="32:32" x14ac:dyDescent="0.2">
      <c r="AF64749" s="679"/>
    </row>
    <row r="64750" spans="32:32" x14ac:dyDescent="0.2">
      <c r="AF64750" s="679"/>
    </row>
    <row r="64751" spans="32:32" x14ac:dyDescent="0.2">
      <c r="AF64751" s="679"/>
    </row>
    <row r="64752" spans="32:32" x14ac:dyDescent="0.2">
      <c r="AF64752" s="679"/>
    </row>
    <row r="64753" spans="32:32" x14ac:dyDescent="0.2">
      <c r="AF64753" s="679"/>
    </row>
    <row r="64754" spans="32:32" x14ac:dyDescent="0.2">
      <c r="AF64754" s="679"/>
    </row>
    <row r="64755" spans="32:32" x14ac:dyDescent="0.2">
      <c r="AF64755" s="679"/>
    </row>
    <row r="64756" spans="32:32" x14ac:dyDescent="0.2">
      <c r="AF64756" s="679"/>
    </row>
    <row r="64757" spans="32:32" x14ac:dyDescent="0.2">
      <c r="AF64757" s="679"/>
    </row>
    <row r="64758" spans="32:32" x14ac:dyDescent="0.2">
      <c r="AF64758" s="679"/>
    </row>
    <row r="64759" spans="32:32" x14ac:dyDescent="0.2">
      <c r="AF64759" s="679"/>
    </row>
    <row r="64760" spans="32:32" x14ac:dyDescent="0.2">
      <c r="AF64760" s="679"/>
    </row>
    <row r="64761" spans="32:32" x14ac:dyDescent="0.2">
      <c r="AF64761" s="679"/>
    </row>
    <row r="64762" spans="32:32" x14ac:dyDescent="0.2">
      <c r="AF64762" s="679"/>
    </row>
    <row r="64763" spans="32:32" x14ac:dyDescent="0.2">
      <c r="AF64763" s="679"/>
    </row>
    <row r="64764" spans="32:32" x14ac:dyDescent="0.2">
      <c r="AF64764" s="679"/>
    </row>
    <row r="64765" spans="32:32" x14ac:dyDescent="0.2">
      <c r="AF64765" s="679"/>
    </row>
    <row r="64766" spans="32:32" x14ac:dyDescent="0.2">
      <c r="AF64766" s="679"/>
    </row>
    <row r="64767" spans="32:32" x14ac:dyDescent="0.2">
      <c r="AF64767" s="679"/>
    </row>
    <row r="64768" spans="32:32" x14ac:dyDescent="0.2">
      <c r="AF64768" s="679"/>
    </row>
    <row r="64769" spans="32:32" x14ac:dyDescent="0.2">
      <c r="AF64769" s="679"/>
    </row>
    <row r="64770" spans="32:32" x14ac:dyDescent="0.2">
      <c r="AF64770" s="679"/>
    </row>
    <row r="64771" spans="32:32" x14ac:dyDescent="0.2">
      <c r="AF64771" s="679"/>
    </row>
    <row r="64772" spans="32:32" x14ac:dyDescent="0.2">
      <c r="AF64772" s="679"/>
    </row>
    <row r="64773" spans="32:32" x14ac:dyDescent="0.2">
      <c r="AF64773" s="679"/>
    </row>
    <row r="64774" spans="32:32" x14ac:dyDescent="0.2">
      <c r="AF64774" s="679"/>
    </row>
    <row r="64775" spans="32:32" x14ac:dyDescent="0.2">
      <c r="AF64775" s="679"/>
    </row>
    <row r="64776" spans="32:32" x14ac:dyDescent="0.2">
      <c r="AF64776" s="679"/>
    </row>
    <row r="64777" spans="32:32" x14ac:dyDescent="0.2">
      <c r="AF64777" s="679"/>
    </row>
    <row r="64778" spans="32:32" x14ac:dyDescent="0.2">
      <c r="AF64778" s="679"/>
    </row>
    <row r="64779" spans="32:32" x14ac:dyDescent="0.2">
      <c r="AF64779" s="679"/>
    </row>
    <row r="64780" spans="32:32" x14ac:dyDescent="0.2">
      <c r="AF64780" s="679"/>
    </row>
    <row r="64781" spans="32:32" x14ac:dyDescent="0.2">
      <c r="AF64781" s="679"/>
    </row>
    <row r="64782" spans="32:32" x14ac:dyDescent="0.2">
      <c r="AF64782" s="679"/>
    </row>
    <row r="64783" spans="32:32" x14ac:dyDescent="0.2">
      <c r="AF64783" s="679"/>
    </row>
    <row r="64784" spans="32:32" x14ac:dyDescent="0.2">
      <c r="AF64784" s="679"/>
    </row>
    <row r="64785" spans="32:32" x14ac:dyDescent="0.2">
      <c r="AF64785" s="679"/>
    </row>
    <row r="64786" spans="32:32" x14ac:dyDescent="0.2">
      <c r="AF64786" s="679"/>
    </row>
    <row r="64787" spans="32:32" x14ac:dyDescent="0.2">
      <c r="AF64787" s="679"/>
    </row>
    <row r="64788" spans="32:32" x14ac:dyDescent="0.2">
      <c r="AF64788" s="679"/>
    </row>
    <row r="64789" spans="32:32" x14ac:dyDescent="0.2">
      <c r="AF64789" s="679"/>
    </row>
    <row r="64790" spans="32:32" x14ac:dyDescent="0.2">
      <c r="AF64790" s="679"/>
    </row>
    <row r="64791" spans="32:32" x14ac:dyDescent="0.2">
      <c r="AF64791" s="679"/>
    </row>
    <row r="64792" spans="32:32" x14ac:dyDescent="0.2">
      <c r="AF64792" s="679"/>
    </row>
    <row r="64793" spans="32:32" x14ac:dyDescent="0.2">
      <c r="AF64793" s="679"/>
    </row>
    <row r="64794" spans="32:32" x14ac:dyDescent="0.2">
      <c r="AF64794" s="679"/>
    </row>
    <row r="64795" spans="32:32" x14ac:dyDescent="0.2">
      <c r="AF64795" s="679"/>
    </row>
    <row r="64796" spans="32:32" x14ac:dyDescent="0.2">
      <c r="AF64796" s="679"/>
    </row>
    <row r="64797" spans="32:32" x14ac:dyDescent="0.2">
      <c r="AF64797" s="679"/>
    </row>
    <row r="64798" spans="32:32" x14ac:dyDescent="0.2">
      <c r="AF64798" s="679"/>
    </row>
    <row r="64799" spans="32:32" x14ac:dyDescent="0.2">
      <c r="AF64799" s="679"/>
    </row>
    <row r="64800" spans="32:32" x14ac:dyDescent="0.2">
      <c r="AF64800" s="679"/>
    </row>
    <row r="64801" spans="32:32" x14ac:dyDescent="0.2">
      <c r="AF64801" s="679"/>
    </row>
    <row r="64802" spans="32:32" x14ac:dyDescent="0.2">
      <c r="AF64802" s="679"/>
    </row>
    <row r="64803" spans="32:32" x14ac:dyDescent="0.2">
      <c r="AF64803" s="679"/>
    </row>
    <row r="64804" spans="32:32" x14ac:dyDescent="0.2">
      <c r="AF64804" s="679"/>
    </row>
    <row r="64805" spans="32:32" x14ac:dyDescent="0.2">
      <c r="AF64805" s="679"/>
    </row>
    <row r="64806" spans="32:32" x14ac:dyDescent="0.2">
      <c r="AF64806" s="679"/>
    </row>
    <row r="64807" spans="32:32" x14ac:dyDescent="0.2">
      <c r="AF64807" s="679"/>
    </row>
    <row r="64808" spans="32:32" x14ac:dyDescent="0.2">
      <c r="AF64808" s="679"/>
    </row>
    <row r="64809" spans="32:32" x14ac:dyDescent="0.2">
      <c r="AF64809" s="679"/>
    </row>
    <row r="64810" spans="32:32" x14ac:dyDescent="0.2">
      <c r="AF64810" s="679"/>
    </row>
    <row r="64811" spans="32:32" x14ac:dyDescent="0.2">
      <c r="AF64811" s="679"/>
    </row>
    <row r="64812" spans="32:32" x14ac:dyDescent="0.2">
      <c r="AF64812" s="679"/>
    </row>
    <row r="64813" spans="32:32" x14ac:dyDescent="0.2">
      <c r="AF64813" s="679"/>
    </row>
    <row r="64814" spans="32:32" x14ac:dyDescent="0.2">
      <c r="AF64814" s="679"/>
    </row>
    <row r="64815" spans="32:32" x14ac:dyDescent="0.2">
      <c r="AF64815" s="679"/>
    </row>
    <row r="64816" spans="32:32" x14ac:dyDescent="0.2">
      <c r="AF64816" s="679"/>
    </row>
    <row r="64817" spans="32:32" x14ac:dyDescent="0.2">
      <c r="AF64817" s="679"/>
    </row>
    <row r="64818" spans="32:32" x14ac:dyDescent="0.2">
      <c r="AF64818" s="679"/>
    </row>
    <row r="64819" spans="32:32" x14ac:dyDescent="0.2">
      <c r="AF64819" s="679"/>
    </row>
    <row r="64820" spans="32:32" x14ac:dyDescent="0.2">
      <c r="AF64820" s="679"/>
    </row>
    <row r="64821" spans="32:32" x14ac:dyDescent="0.2">
      <c r="AF64821" s="679"/>
    </row>
    <row r="64822" spans="32:32" x14ac:dyDescent="0.2">
      <c r="AF64822" s="679"/>
    </row>
    <row r="64823" spans="32:32" x14ac:dyDescent="0.2">
      <c r="AF64823" s="679"/>
    </row>
    <row r="64824" spans="32:32" x14ac:dyDescent="0.2">
      <c r="AF64824" s="679"/>
    </row>
    <row r="64825" spans="32:32" x14ac:dyDescent="0.2">
      <c r="AF64825" s="679"/>
    </row>
    <row r="64826" spans="32:32" x14ac:dyDescent="0.2">
      <c r="AF64826" s="679"/>
    </row>
    <row r="64827" spans="32:32" x14ac:dyDescent="0.2">
      <c r="AF64827" s="679"/>
    </row>
    <row r="64828" spans="32:32" x14ac:dyDescent="0.2">
      <c r="AF64828" s="679"/>
    </row>
    <row r="64829" spans="32:32" x14ac:dyDescent="0.2">
      <c r="AF64829" s="679"/>
    </row>
    <row r="64830" spans="32:32" x14ac:dyDescent="0.2">
      <c r="AF64830" s="679"/>
    </row>
    <row r="64831" spans="32:32" x14ac:dyDescent="0.2">
      <c r="AF64831" s="679"/>
    </row>
    <row r="64832" spans="32:32" x14ac:dyDescent="0.2">
      <c r="AF64832" s="679"/>
    </row>
    <row r="64833" spans="32:32" x14ac:dyDescent="0.2">
      <c r="AF64833" s="679"/>
    </row>
    <row r="64834" spans="32:32" x14ac:dyDescent="0.2">
      <c r="AF64834" s="679"/>
    </row>
    <row r="64835" spans="32:32" x14ac:dyDescent="0.2">
      <c r="AF64835" s="679"/>
    </row>
    <row r="64836" spans="32:32" x14ac:dyDescent="0.2">
      <c r="AF64836" s="679"/>
    </row>
    <row r="64837" spans="32:32" x14ac:dyDescent="0.2">
      <c r="AF64837" s="679"/>
    </row>
    <row r="64838" spans="32:32" x14ac:dyDescent="0.2">
      <c r="AF64838" s="679"/>
    </row>
    <row r="64839" spans="32:32" x14ac:dyDescent="0.2">
      <c r="AF64839" s="679"/>
    </row>
    <row r="64840" spans="32:32" x14ac:dyDescent="0.2">
      <c r="AF64840" s="679"/>
    </row>
    <row r="64841" spans="32:32" x14ac:dyDescent="0.2">
      <c r="AF64841" s="679"/>
    </row>
    <row r="64842" spans="32:32" x14ac:dyDescent="0.2">
      <c r="AF64842" s="679"/>
    </row>
    <row r="64843" spans="32:32" x14ac:dyDescent="0.2">
      <c r="AF64843" s="679"/>
    </row>
    <row r="64844" spans="32:32" x14ac:dyDescent="0.2">
      <c r="AF64844" s="679"/>
    </row>
    <row r="64845" spans="32:32" x14ac:dyDescent="0.2">
      <c r="AF64845" s="679"/>
    </row>
    <row r="64846" spans="32:32" x14ac:dyDescent="0.2">
      <c r="AF64846" s="679"/>
    </row>
    <row r="64847" spans="32:32" x14ac:dyDescent="0.2">
      <c r="AF64847" s="679"/>
    </row>
    <row r="64848" spans="32:32" x14ac:dyDescent="0.2">
      <c r="AF64848" s="679"/>
    </row>
    <row r="64849" spans="32:32" x14ac:dyDescent="0.2">
      <c r="AF64849" s="679"/>
    </row>
    <row r="64850" spans="32:32" x14ac:dyDescent="0.2">
      <c r="AF64850" s="679"/>
    </row>
    <row r="64851" spans="32:32" x14ac:dyDescent="0.2">
      <c r="AF64851" s="679"/>
    </row>
    <row r="64852" spans="32:32" x14ac:dyDescent="0.2">
      <c r="AF64852" s="679"/>
    </row>
    <row r="64853" spans="32:32" x14ac:dyDescent="0.2">
      <c r="AF64853" s="679"/>
    </row>
    <row r="64854" spans="32:32" x14ac:dyDescent="0.2">
      <c r="AF64854" s="679"/>
    </row>
    <row r="64855" spans="32:32" x14ac:dyDescent="0.2">
      <c r="AF64855" s="679"/>
    </row>
    <row r="64856" spans="32:32" x14ac:dyDescent="0.2">
      <c r="AF64856" s="679"/>
    </row>
    <row r="64857" spans="32:32" x14ac:dyDescent="0.2">
      <c r="AF64857" s="679"/>
    </row>
    <row r="64858" spans="32:32" x14ac:dyDescent="0.2">
      <c r="AF64858" s="679"/>
    </row>
    <row r="64859" spans="32:32" x14ac:dyDescent="0.2">
      <c r="AF64859" s="679"/>
    </row>
    <row r="64860" spans="32:32" x14ac:dyDescent="0.2">
      <c r="AF64860" s="679"/>
    </row>
    <row r="64861" spans="32:32" x14ac:dyDescent="0.2">
      <c r="AF64861" s="679"/>
    </row>
    <row r="64862" spans="32:32" x14ac:dyDescent="0.2">
      <c r="AF64862" s="679"/>
    </row>
    <row r="64863" spans="32:32" x14ac:dyDescent="0.2">
      <c r="AF64863" s="679"/>
    </row>
    <row r="64864" spans="32:32" x14ac:dyDescent="0.2">
      <c r="AF64864" s="679"/>
    </row>
    <row r="64865" spans="32:32" x14ac:dyDescent="0.2">
      <c r="AF64865" s="679"/>
    </row>
    <row r="64866" spans="32:32" x14ac:dyDescent="0.2">
      <c r="AF64866" s="679"/>
    </row>
    <row r="64867" spans="32:32" x14ac:dyDescent="0.2">
      <c r="AF64867" s="679"/>
    </row>
    <row r="64868" spans="32:32" x14ac:dyDescent="0.2">
      <c r="AF64868" s="679"/>
    </row>
    <row r="64869" spans="32:32" x14ac:dyDescent="0.2">
      <c r="AF64869" s="679"/>
    </row>
    <row r="64870" spans="32:32" x14ac:dyDescent="0.2">
      <c r="AF64870" s="679"/>
    </row>
    <row r="64871" spans="32:32" x14ac:dyDescent="0.2">
      <c r="AF64871" s="679"/>
    </row>
    <row r="64872" spans="32:32" x14ac:dyDescent="0.2">
      <c r="AF64872" s="679"/>
    </row>
    <row r="64873" spans="32:32" x14ac:dyDescent="0.2">
      <c r="AF64873" s="679"/>
    </row>
    <row r="64874" spans="32:32" x14ac:dyDescent="0.2">
      <c r="AF64874" s="679"/>
    </row>
    <row r="64875" spans="32:32" x14ac:dyDescent="0.2">
      <c r="AF64875" s="679"/>
    </row>
    <row r="64876" spans="32:32" x14ac:dyDescent="0.2">
      <c r="AF64876" s="679"/>
    </row>
    <row r="64877" spans="32:32" x14ac:dyDescent="0.2">
      <c r="AF64877" s="679"/>
    </row>
    <row r="64878" spans="32:32" x14ac:dyDescent="0.2">
      <c r="AF64878" s="679"/>
    </row>
    <row r="64879" spans="32:32" x14ac:dyDescent="0.2">
      <c r="AF64879" s="679"/>
    </row>
    <row r="64880" spans="32:32" x14ac:dyDescent="0.2">
      <c r="AF64880" s="679"/>
    </row>
    <row r="64881" spans="32:32" x14ac:dyDescent="0.2">
      <c r="AF64881" s="679"/>
    </row>
    <row r="64882" spans="32:32" x14ac:dyDescent="0.2">
      <c r="AF64882" s="679"/>
    </row>
    <row r="64883" spans="32:32" x14ac:dyDescent="0.2">
      <c r="AF64883" s="679"/>
    </row>
    <row r="64884" spans="32:32" x14ac:dyDescent="0.2">
      <c r="AF64884" s="679"/>
    </row>
    <row r="64885" spans="32:32" x14ac:dyDescent="0.2">
      <c r="AF64885" s="679"/>
    </row>
    <row r="64886" spans="32:32" x14ac:dyDescent="0.2">
      <c r="AF64886" s="679"/>
    </row>
    <row r="64887" spans="32:32" x14ac:dyDescent="0.2">
      <c r="AF64887" s="679"/>
    </row>
    <row r="64888" spans="32:32" x14ac:dyDescent="0.2">
      <c r="AF64888" s="679"/>
    </row>
    <row r="64889" spans="32:32" x14ac:dyDescent="0.2">
      <c r="AF64889" s="679"/>
    </row>
    <row r="64890" spans="32:32" x14ac:dyDescent="0.2">
      <c r="AF64890" s="679"/>
    </row>
    <row r="64891" spans="32:32" x14ac:dyDescent="0.2">
      <c r="AF64891" s="679"/>
    </row>
    <row r="64892" spans="32:32" x14ac:dyDescent="0.2">
      <c r="AF64892" s="679"/>
    </row>
    <row r="64893" spans="32:32" x14ac:dyDescent="0.2">
      <c r="AF64893" s="679"/>
    </row>
    <row r="64894" spans="32:32" x14ac:dyDescent="0.2">
      <c r="AF64894" s="679"/>
    </row>
    <row r="64895" spans="32:32" x14ac:dyDescent="0.2">
      <c r="AF64895" s="679"/>
    </row>
    <row r="64896" spans="32:32" x14ac:dyDescent="0.2">
      <c r="AF64896" s="679"/>
    </row>
    <row r="64897" spans="32:32" x14ac:dyDescent="0.2">
      <c r="AF64897" s="679"/>
    </row>
    <row r="64898" spans="32:32" x14ac:dyDescent="0.2">
      <c r="AF64898" s="679"/>
    </row>
    <row r="64899" spans="32:32" x14ac:dyDescent="0.2">
      <c r="AF64899" s="679"/>
    </row>
    <row r="64900" spans="32:32" x14ac:dyDescent="0.2">
      <c r="AF64900" s="679"/>
    </row>
    <row r="64901" spans="32:32" x14ac:dyDescent="0.2">
      <c r="AF64901" s="679"/>
    </row>
    <row r="64902" spans="32:32" x14ac:dyDescent="0.2">
      <c r="AF64902" s="679"/>
    </row>
    <row r="64903" spans="32:32" x14ac:dyDescent="0.2">
      <c r="AF64903" s="679"/>
    </row>
    <row r="64904" spans="32:32" x14ac:dyDescent="0.2">
      <c r="AF64904" s="679"/>
    </row>
    <row r="64905" spans="32:32" x14ac:dyDescent="0.2">
      <c r="AF64905" s="679"/>
    </row>
    <row r="64906" spans="32:32" x14ac:dyDescent="0.2">
      <c r="AF64906" s="679"/>
    </row>
    <row r="64907" spans="32:32" x14ac:dyDescent="0.2">
      <c r="AF64907" s="679"/>
    </row>
    <row r="64908" spans="32:32" x14ac:dyDescent="0.2">
      <c r="AF64908" s="679"/>
    </row>
    <row r="64909" spans="32:32" x14ac:dyDescent="0.2">
      <c r="AF64909" s="679"/>
    </row>
    <row r="64910" spans="32:32" x14ac:dyDescent="0.2">
      <c r="AF64910" s="679"/>
    </row>
    <row r="64911" spans="32:32" x14ac:dyDescent="0.2">
      <c r="AF64911" s="679"/>
    </row>
    <row r="64912" spans="32:32" x14ac:dyDescent="0.2">
      <c r="AF64912" s="679"/>
    </row>
    <row r="64913" spans="32:32" x14ac:dyDescent="0.2">
      <c r="AF64913" s="679"/>
    </row>
    <row r="64914" spans="32:32" x14ac:dyDescent="0.2">
      <c r="AF64914" s="679"/>
    </row>
    <row r="64915" spans="32:32" x14ac:dyDescent="0.2">
      <c r="AF64915" s="679"/>
    </row>
    <row r="64916" spans="32:32" x14ac:dyDescent="0.2">
      <c r="AF64916" s="679"/>
    </row>
    <row r="64917" spans="32:32" x14ac:dyDescent="0.2">
      <c r="AF64917" s="679"/>
    </row>
    <row r="64918" spans="32:32" x14ac:dyDescent="0.2">
      <c r="AF64918" s="679"/>
    </row>
    <row r="64919" spans="32:32" x14ac:dyDescent="0.2">
      <c r="AF64919" s="679"/>
    </row>
    <row r="64920" spans="32:32" x14ac:dyDescent="0.2">
      <c r="AF64920" s="679"/>
    </row>
    <row r="64921" spans="32:32" x14ac:dyDescent="0.2">
      <c r="AF64921" s="679"/>
    </row>
    <row r="64922" spans="32:32" x14ac:dyDescent="0.2">
      <c r="AF64922" s="679"/>
    </row>
    <row r="64923" spans="32:32" x14ac:dyDescent="0.2">
      <c r="AF64923" s="679"/>
    </row>
    <row r="64924" spans="32:32" x14ac:dyDescent="0.2">
      <c r="AF64924" s="679"/>
    </row>
    <row r="64925" spans="32:32" x14ac:dyDescent="0.2">
      <c r="AF64925" s="679"/>
    </row>
    <row r="64926" spans="32:32" x14ac:dyDescent="0.2">
      <c r="AF64926" s="679"/>
    </row>
    <row r="64927" spans="32:32" x14ac:dyDescent="0.2">
      <c r="AF64927" s="679"/>
    </row>
    <row r="64928" spans="32:32" x14ac:dyDescent="0.2">
      <c r="AF64928" s="679"/>
    </row>
    <row r="64929" spans="32:32" x14ac:dyDescent="0.2">
      <c r="AF64929" s="679"/>
    </row>
    <row r="64930" spans="32:32" x14ac:dyDescent="0.2">
      <c r="AF64930" s="679"/>
    </row>
    <row r="64931" spans="32:32" x14ac:dyDescent="0.2">
      <c r="AF64931" s="679"/>
    </row>
    <row r="64932" spans="32:32" x14ac:dyDescent="0.2">
      <c r="AF64932" s="679"/>
    </row>
    <row r="64933" spans="32:32" x14ac:dyDescent="0.2">
      <c r="AF64933" s="679"/>
    </row>
    <row r="64934" spans="32:32" x14ac:dyDescent="0.2">
      <c r="AF64934" s="679"/>
    </row>
    <row r="64935" spans="32:32" x14ac:dyDescent="0.2">
      <c r="AF64935" s="679"/>
    </row>
    <row r="64936" spans="32:32" x14ac:dyDescent="0.2">
      <c r="AF64936" s="679"/>
    </row>
    <row r="64937" spans="32:32" x14ac:dyDescent="0.2">
      <c r="AF64937" s="679"/>
    </row>
    <row r="64938" spans="32:32" x14ac:dyDescent="0.2">
      <c r="AF64938" s="679"/>
    </row>
    <row r="64939" spans="32:32" x14ac:dyDescent="0.2">
      <c r="AF64939" s="679"/>
    </row>
    <row r="64940" spans="32:32" x14ac:dyDescent="0.2">
      <c r="AF64940" s="679"/>
    </row>
    <row r="64941" spans="32:32" x14ac:dyDescent="0.2">
      <c r="AF64941" s="679"/>
    </row>
    <row r="64942" spans="32:32" x14ac:dyDescent="0.2">
      <c r="AF64942" s="679"/>
    </row>
    <row r="64943" spans="32:32" x14ac:dyDescent="0.2">
      <c r="AF64943" s="679"/>
    </row>
    <row r="64944" spans="32:32" x14ac:dyDescent="0.2">
      <c r="AF64944" s="679"/>
    </row>
    <row r="64945" spans="32:32" x14ac:dyDescent="0.2">
      <c r="AF64945" s="679"/>
    </row>
    <row r="64946" spans="32:32" x14ac:dyDescent="0.2">
      <c r="AF64946" s="679"/>
    </row>
    <row r="64947" spans="32:32" x14ac:dyDescent="0.2">
      <c r="AF64947" s="679"/>
    </row>
    <row r="64948" spans="32:32" x14ac:dyDescent="0.2">
      <c r="AF64948" s="679"/>
    </row>
    <row r="64949" spans="32:32" x14ac:dyDescent="0.2">
      <c r="AF64949" s="679"/>
    </row>
    <row r="64950" spans="32:32" x14ac:dyDescent="0.2">
      <c r="AF64950" s="679"/>
    </row>
    <row r="64951" spans="32:32" x14ac:dyDescent="0.2">
      <c r="AF64951" s="679"/>
    </row>
    <row r="64952" spans="32:32" x14ac:dyDescent="0.2">
      <c r="AF64952" s="679"/>
    </row>
    <row r="64953" spans="32:32" x14ac:dyDescent="0.2">
      <c r="AF64953" s="679"/>
    </row>
    <row r="64954" spans="32:32" x14ac:dyDescent="0.2">
      <c r="AF64954" s="679"/>
    </row>
    <row r="64955" spans="32:32" x14ac:dyDescent="0.2">
      <c r="AF64955" s="679"/>
    </row>
    <row r="64956" spans="32:32" x14ac:dyDescent="0.2">
      <c r="AF64956" s="679"/>
    </row>
    <row r="64957" spans="32:32" x14ac:dyDescent="0.2">
      <c r="AF64957" s="679"/>
    </row>
    <row r="64958" spans="32:32" x14ac:dyDescent="0.2">
      <c r="AF64958" s="679"/>
    </row>
    <row r="64959" spans="32:32" x14ac:dyDescent="0.2">
      <c r="AF64959" s="679"/>
    </row>
    <row r="64960" spans="32:32" x14ac:dyDescent="0.2">
      <c r="AF64960" s="679"/>
    </row>
    <row r="64961" spans="32:32" x14ac:dyDescent="0.2">
      <c r="AF64961" s="679"/>
    </row>
    <row r="64962" spans="32:32" x14ac:dyDescent="0.2">
      <c r="AF64962" s="679"/>
    </row>
    <row r="64963" spans="32:32" x14ac:dyDescent="0.2">
      <c r="AF64963" s="679"/>
    </row>
    <row r="64964" spans="32:32" x14ac:dyDescent="0.2">
      <c r="AF64964" s="679"/>
    </row>
    <row r="64965" spans="32:32" x14ac:dyDescent="0.2">
      <c r="AF64965" s="679"/>
    </row>
    <row r="64966" spans="32:32" x14ac:dyDescent="0.2">
      <c r="AF64966" s="679"/>
    </row>
    <row r="64967" spans="32:32" x14ac:dyDescent="0.2">
      <c r="AF64967" s="679"/>
    </row>
    <row r="64968" spans="32:32" x14ac:dyDescent="0.2">
      <c r="AF64968" s="679"/>
    </row>
    <row r="64969" spans="32:32" x14ac:dyDescent="0.2">
      <c r="AF64969" s="679"/>
    </row>
    <row r="64970" spans="32:32" x14ac:dyDescent="0.2">
      <c r="AF64970" s="679"/>
    </row>
    <row r="64971" spans="32:32" x14ac:dyDescent="0.2">
      <c r="AF64971" s="679"/>
    </row>
    <row r="64972" spans="32:32" x14ac:dyDescent="0.2">
      <c r="AF64972" s="679"/>
    </row>
    <row r="64973" spans="32:32" x14ac:dyDescent="0.2">
      <c r="AF64973" s="679"/>
    </row>
    <row r="64974" spans="32:32" x14ac:dyDescent="0.2">
      <c r="AF64974" s="679"/>
    </row>
    <row r="64975" spans="32:32" x14ac:dyDescent="0.2">
      <c r="AF64975" s="679"/>
    </row>
    <row r="64976" spans="32:32" x14ac:dyDescent="0.2">
      <c r="AF64976" s="679"/>
    </row>
    <row r="64977" spans="32:32" x14ac:dyDescent="0.2">
      <c r="AF64977" s="679"/>
    </row>
    <row r="64978" spans="32:32" x14ac:dyDescent="0.2">
      <c r="AF64978" s="679"/>
    </row>
    <row r="64979" spans="32:32" x14ac:dyDescent="0.2">
      <c r="AF64979" s="679"/>
    </row>
    <row r="64980" spans="32:32" x14ac:dyDescent="0.2">
      <c r="AF64980" s="679"/>
    </row>
    <row r="64981" spans="32:32" x14ac:dyDescent="0.2">
      <c r="AF64981" s="679"/>
    </row>
    <row r="64982" spans="32:32" x14ac:dyDescent="0.2">
      <c r="AF64982" s="679"/>
    </row>
    <row r="64983" spans="32:32" x14ac:dyDescent="0.2">
      <c r="AF64983" s="679"/>
    </row>
    <row r="64984" spans="32:32" x14ac:dyDescent="0.2">
      <c r="AF64984" s="679"/>
    </row>
    <row r="64985" spans="32:32" x14ac:dyDescent="0.2">
      <c r="AF64985" s="679"/>
    </row>
    <row r="64986" spans="32:32" x14ac:dyDescent="0.2">
      <c r="AF64986" s="679"/>
    </row>
    <row r="64987" spans="32:32" x14ac:dyDescent="0.2">
      <c r="AF64987" s="679"/>
    </row>
    <row r="64988" spans="32:32" x14ac:dyDescent="0.2">
      <c r="AF64988" s="679"/>
    </row>
    <row r="64989" spans="32:32" x14ac:dyDescent="0.2">
      <c r="AF64989" s="679"/>
    </row>
    <row r="64990" spans="32:32" x14ac:dyDescent="0.2">
      <c r="AF64990" s="679"/>
    </row>
    <row r="64991" spans="32:32" x14ac:dyDescent="0.2">
      <c r="AF64991" s="679"/>
    </row>
    <row r="64992" spans="32:32" x14ac:dyDescent="0.2">
      <c r="AF64992" s="679"/>
    </row>
    <row r="64993" spans="32:32" x14ac:dyDescent="0.2">
      <c r="AF64993" s="679"/>
    </row>
    <row r="64994" spans="32:32" x14ac:dyDescent="0.2">
      <c r="AF64994" s="679"/>
    </row>
    <row r="64995" spans="32:32" x14ac:dyDescent="0.2">
      <c r="AF64995" s="679"/>
    </row>
    <row r="64996" spans="32:32" x14ac:dyDescent="0.2">
      <c r="AF64996" s="679"/>
    </row>
    <row r="64997" spans="32:32" x14ac:dyDescent="0.2">
      <c r="AF64997" s="679"/>
    </row>
    <row r="64998" spans="32:32" x14ac:dyDescent="0.2">
      <c r="AF64998" s="679"/>
    </row>
    <row r="64999" spans="32:32" x14ac:dyDescent="0.2">
      <c r="AF64999" s="679"/>
    </row>
    <row r="65000" spans="32:32" x14ac:dyDescent="0.2">
      <c r="AF65000" s="679"/>
    </row>
    <row r="65001" spans="32:32" x14ac:dyDescent="0.2">
      <c r="AF65001" s="679"/>
    </row>
    <row r="65002" spans="32:32" x14ac:dyDescent="0.2">
      <c r="AF65002" s="679"/>
    </row>
    <row r="65003" spans="32:32" x14ac:dyDescent="0.2">
      <c r="AF65003" s="679"/>
    </row>
    <row r="65004" spans="32:32" x14ac:dyDescent="0.2">
      <c r="AF65004" s="679"/>
    </row>
    <row r="65005" spans="32:32" x14ac:dyDescent="0.2">
      <c r="AF65005" s="679"/>
    </row>
    <row r="65006" spans="32:32" x14ac:dyDescent="0.2">
      <c r="AF65006" s="679"/>
    </row>
    <row r="65007" spans="32:32" x14ac:dyDescent="0.2">
      <c r="AF65007" s="679"/>
    </row>
    <row r="65008" spans="32:32" x14ac:dyDescent="0.2">
      <c r="AF65008" s="679"/>
    </row>
    <row r="65009" spans="32:32" x14ac:dyDescent="0.2">
      <c r="AF65009" s="679"/>
    </row>
    <row r="65010" spans="32:32" x14ac:dyDescent="0.2">
      <c r="AF65010" s="679"/>
    </row>
    <row r="65011" spans="32:32" x14ac:dyDescent="0.2">
      <c r="AF65011" s="679"/>
    </row>
    <row r="65012" spans="32:32" x14ac:dyDescent="0.2">
      <c r="AF65012" s="679"/>
    </row>
    <row r="65013" spans="32:32" x14ac:dyDescent="0.2">
      <c r="AF65013" s="679"/>
    </row>
    <row r="65014" spans="32:32" x14ac:dyDescent="0.2">
      <c r="AF65014" s="679"/>
    </row>
    <row r="65015" spans="32:32" x14ac:dyDescent="0.2">
      <c r="AF65015" s="679"/>
    </row>
    <row r="65016" spans="32:32" x14ac:dyDescent="0.2">
      <c r="AF65016" s="679"/>
    </row>
    <row r="65017" spans="32:32" x14ac:dyDescent="0.2">
      <c r="AF65017" s="679"/>
    </row>
    <row r="65018" spans="32:32" x14ac:dyDescent="0.2">
      <c r="AF65018" s="679"/>
    </row>
    <row r="65019" spans="32:32" x14ac:dyDescent="0.2">
      <c r="AF65019" s="679"/>
    </row>
    <row r="65020" spans="32:32" x14ac:dyDescent="0.2">
      <c r="AF65020" s="679"/>
    </row>
    <row r="65021" spans="32:32" x14ac:dyDescent="0.2">
      <c r="AF65021" s="679"/>
    </row>
    <row r="65022" spans="32:32" x14ac:dyDescent="0.2">
      <c r="AF65022" s="679"/>
    </row>
    <row r="65023" spans="32:32" x14ac:dyDescent="0.2">
      <c r="AF65023" s="679"/>
    </row>
    <row r="65024" spans="32:32" x14ac:dyDescent="0.2">
      <c r="AF65024" s="679"/>
    </row>
    <row r="65025" spans="32:32" x14ac:dyDescent="0.2">
      <c r="AF65025" s="679"/>
    </row>
    <row r="65026" spans="32:32" x14ac:dyDescent="0.2">
      <c r="AF65026" s="679"/>
    </row>
    <row r="65027" spans="32:32" x14ac:dyDescent="0.2">
      <c r="AF65027" s="679"/>
    </row>
    <row r="65028" spans="32:32" x14ac:dyDescent="0.2">
      <c r="AF65028" s="679"/>
    </row>
    <row r="65029" spans="32:32" x14ac:dyDescent="0.2">
      <c r="AF65029" s="679"/>
    </row>
    <row r="65030" spans="32:32" x14ac:dyDescent="0.2">
      <c r="AF65030" s="679"/>
    </row>
    <row r="65031" spans="32:32" x14ac:dyDescent="0.2">
      <c r="AF65031" s="679"/>
    </row>
    <row r="65032" spans="32:32" x14ac:dyDescent="0.2">
      <c r="AF65032" s="679"/>
    </row>
    <row r="65033" spans="32:32" x14ac:dyDescent="0.2">
      <c r="AF65033" s="679"/>
    </row>
    <row r="65034" spans="32:32" x14ac:dyDescent="0.2">
      <c r="AF65034" s="679"/>
    </row>
    <row r="65035" spans="32:32" x14ac:dyDescent="0.2">
      <c r="AF65035" s="679"/>
    </row>
    <row r="65036" spans="32:32" x14ac:dyDescent="0.2">
      <c r="AF65036" s="679"/>
    </row>
    <row r="65037" spans="32:32" x14ac:dyDescent="0.2">
      <c r="AF65037" s="679"/>
    </row>
    <row r="65038" spans="32:32" x14ac:dyDescent="0.2">
      <c r="AF65038" s="679"/>
    </row>
    <row r="65039" spans="32:32" x14ac:dyDescent="0.2">
      <c r="AF65039" s="679"/>
    </row>
    <row r="65040" spans="32:32" x14ac:dyDescent="0.2">
      <c r="AF65040" s="679"/>
    </row>
    <row r="65041" spans="32:32" x14ac:dyDescent="0.2">
      <c r="AF65041" s="679"/>
    </row>
    <row r="65042" spans="32:32" x14ac:dyDescent="0.2">
      <c r="AF65042" s="679"/>
    </row>
    <row r="65043" spans="32:32" x14ac:dyDescent="0.2">
      <c r="AF65043" s="679"/>
    </row>
    <row r="65044" spans="32:32" x14ac:dyDescent="0.2">
      <c r="AF65044" s="679"/>
    </row>
    <row r="65045" spans="32:32" x14ac:dyDescent="0.2">
      <c r="AF65045" s="679"/>
    </row>
    <row r="65046" spans="32:32" x14ac:dyDescent="0.2">
      <c r="AF65046" s="679"/>
    </row>
    <row r="65047" spans="32:32" x14ac:dyDescent="0.2">
      <c r="AF65047" s="679"/>
    </row>
    <row r="65048" spans="32:32" x14ac:dyDescent="0.2">
      <c r="AF65048" s="679"/>
    </row>
    <row r="65049" spans="32:32" x14ac:dyDescent="0.2">
      <c r="AF65049" s="679"/>
    </row>
    <row r="65050" spans="32:32" x14ac:dyDescent="0.2">
      <c r="AF65050" s="679"/>
    </row>
    <row r="65051" spans="32:32" x14ac:dyDescent="0.2">
      <c r="AF65051" s="679"/>
    </row>
    <row r="65052" spans="32:32" x14ac:dyDescent="0.2">
      <c r="AF65052" s="679"/>
    </row>
    <row r="65053" spans="32:32" x14ac:dyDescent="0.2">
      <c r="AF65053" s="679"/>
    </row>
    <row r="65054" spans="32:32" x14ac:dyDescent="0.2">
      <c r="AF65054" s="679"/>
    </row>
    <row r="65055" spans="32:32" x14ac:dyDescent="0.2">
      <c r="AF65055" s="679"/>
    </row>
    <row r="65056" spans="32:32" x14ac:dyDescent="0.2">
      <c r="AF65056" s="679"/>
    </row>
    <row r="65057" spans="32:32" x14ac:dyDescent="0.2">
      <c r="AF65057" s="679"/>
    </row>
    <row r="65058" spans="32:32" x14ac:dyDescent="0.2">
      <c r="AF65058" s="679"/>
    </row>
    <row r="65059" spans="32:32" x14ac:dyDescent="0.2">
      <c r="AF65059" s="679"/>
    </row>
    <row r="65060" spans="32:32" x14ac:dyDescent="0.2">
      <c r="AF65060" s="679"/>
    </row>
    <row r="65061" spans="32:32" x14ac:dyDescent="0.2">
      <c r="AF65061" s="679"/>
    </row>
    <row r="65062" spans="32:32" x14ac:dyDescent="0.2">
      <c r="AF65062" s="679"/>
    </row>
    <row r="65063" spans="32:32" x14ac:dyDescent="0.2">
      <c r="AF65063" s="679"/>
    </row>
    <row r="65064" spans="32:32" x14ac:dyDescent="0.2">
      <c r="AF65064" s="679"/>
    </row>
    <row r="65065" spans="32:32" x14ac:dyDescent="0.2">
      <c r="AF65065" s="679"/>
    </row>
    <row r="65066" spans="32:32" x14ac:dyDescent="0.2">
      <c r="AF65066" s="679"/>
    </row>
    <row r="65067" spans="32:32" x14ac:dyDescent="0.2">
      <c r="AF65067" s="679"/>
    </row>
    <row r="65068" spans="32:32" x14ac:dyDescent="0.2">
      <c r="AF65068" s="679"/>
    </row>
    <row r="65069" spans="32:32" x14ac:dyDescent="0.2">
      <c r="AF65069" s="679"/>
    </row>
    <row r="65070" spans="32:32" x14ac:dyDescent="0.2">
      <c r="AF65070" s="679"/>
    </row>
    <row r="65071" spans="32:32" x14ac:dyDescent="0.2">
      <c r="AF65071" s="679"/>
    </row>
    <row r="65072" spans="32:32" x14ac:dyDescent="0.2">
      <c r="AF65072" s="679"/>
    </row>
    <row r="65073" spans="32:32" x14ac:dyDescent="0.2">
      <c r="AF65073" s="679"/>
    </row>
    <row r="65074" spans="32:32" x14ac:dyDescent="0.2">
      <c r="AF65074" s="679"/>
    </row>
    <row r="65075" spans="32:32" x14ac:dyDescent="0.2">
      <c r="AF65075" s="679"/>
    </row>
    <row r="65076" spans="32:32" x14ac:dyDescent="0.2">
      <c r="AF65076" s="679"/>
    </row>
    <row r="65077" spans="32:32" x14ac:dyDescent="0.2">
      <c r="AF65077" s="679"/>
    </row>
    <row r="65078" spans="32:32" x14ac:dyDescent="0.2">
      <c r="AF65078" s="679"/>
    </row>
    <row r="65079" spans="32:32" x14ac:dyDescent="0.2">
      <c r="AF65079" s="679"/>
    </row>
    <row r="65080" spans="32:32" x14ac:dyDescent="0.2">
      <c r="AF65080" s="679"/>
    </row>
    <row r="65081" spans="32:32" x14ac:dyDescent="0.2">
      <c r="AF65081" s="679"/>
    </row>
    <row r="65082" spans="32:32" x14ac:dyDescent="0.2">
      <c r="AF65082" s="679"/>
    </row>
    <row r="65083" spans="32:32" x14ac:dyDescent="0.2">
      <c r="AF65083" s="679"/>
    </row>
    <row r="65084" spans="32:32" x14ac:dyDescent="0.2">
      <c r="AF65084" s="679"/>
    </row>
    <row r="65085" spans="32:32" x14ac:dyDescent="0.2">
      <c r="AF65085" s="679"/>
    </row>
    <row r="65086" spans="32:32" x14ac:dyDescent="0.2">
      <c r="AF65086" s="679"/>
    </row>
    <row r="65087" spans="32:32" x14ac:dyDescent="0.2">
      <c r="AF65087" s="679"/>
    </row>
    <row r="65088" spans="32:32" x14ac:dyDescent="0.2">
      <c r="AF65088" s="679"/>
    </row>
    <row r="65089" spans="32:32" x14ac:dyDescent="0.2">
      <c r="AF65089" s="679"/>
    </row>
    <row r="65090" spans="32:32" x14ac:dyDescent="0.2">
      <c r="AF65090" s="679"/>
    </row>
    <row r="65091" spans="32:32" x14ac:dyDescent="0.2">
      <c r="AF65091" s="679"/>
    </row>
    <row r="65092" spans="32:32" x14ac:dyDescent="0.2">
      <c r="AF65092" s="679"/>
    </row>
    <row r="65093" spans="32:32" x14ac:dyDescent="0.2">
      <c r="AF65093" s="679"/>
    </row>
    <row r="65094" spans="32:32" x14ac:dyDescent="0.2">
      <c r="AF65094" s="679"/>
    </row>
    <row r="65095" spans="32:32" x14ac:dyDescent="0.2">
      <c r="AF65095" s="679"/>
    </row>
    <row r="65096" spans="32:32" x14ac:dyDescent="0.2">
      <c r="AF65096" s="679"/>
    </row>
    <row r="65097" spans="32:32" x14ac:dyDescent="0.2">
      <c r="AF65097" s="679"/>
    </row>
    <row r="65098" spans="32:32" x14ac:dyDescent="0.2">
      <c r="AF65098" s="679"/>
    </row>
    <row r="65099" spans="32:32" x14ac:dyDescent="0.2">
      <c r="AF65099" s="679"/>
    </row>
    <row r="65100" spans="32:32" x14ac:dyDescent="0.2">
      <c r="AF65100" s="679"/>
    </row>
    <row r="65101" spans="32:32" x14ac:dyDescent="0.2">
      <c r="AF65101" s="679"/>
    </row>
    <row r="65102" spans="32:32" x14ac:dyDescent="0.2">
      <c r="AF65102" s="679"/>
    </row>
    <row r="65103" spans="32:32" x14ac:dyDescent="0.2">
      <c r="AF65103" s="679"/>
    </row>
    <row r="65104" spans="32:32" x14ac:dyDescent="0.2">
      <c r="AF65104" s="679"/>
    </row>
    <row r="65105" spans="32:32" x14ac:dyDescent="0.2">
      <c r="AF65105" s="679"/>
    </row>
    <row r="65106" spans="32:32" x14ac:dyDescent="0.2">
      <c r="AF65106" s="679"/>
    </row>
    <row r="65107" spans="32:32" x14ac:dyDescent="0.2">
      <c r="AF65107" s="679"/>
    </row>
    <row r="65108" spans="32:32" x14ac:dyDescent="0.2">
      <c r="AF65108" s="679"/>
    </row>
    <row r="65109" spans="32:32" x14ac:dyDescent="0.2">
      <c r="AF65109" s="679"/>
    </row>
    <row r="65110" spans="32:32" x14ac:dyDescent="0.2">
      <c r="AF65110" s="679"/>
    </row>
    <row r="65111" spans="32:32" x14ac:dyDescent="0.2">
      <c r="AF65111" s="679"/>
    </row>
    <row r="65112" spans="32:32" x14ac:dyDescent="0.2">
      <c r="AF65112" s="679"/>
    </row>
    <row r="65113" spans="32:32" x14ac:dyDescent="0.2">
      <c r="AF65113" s="679"/>
    </row>
    <row r="65114" spans="32:32" x14ac:dyDescent="0.2">
      <c r="AF65114" s="679"/>
    </row>
    <row r="65115" spans="32:32" x14ac:dyDescent="0.2">
      <c r="AF65115" s="679"/>
    </row>
    <row r="65116" spans="32:32" x14ac:dyDescent="0.2">
      <c r="AF65116" s="679"/>
    </row>
    <row r="65117" spans="32:32" x14ac:dyDescent="0.2">
      <c r="AF65117" s="679"/>
    </row>
    <row r="65118" spans="32:32" x14ac:dyDescent="0.2">
      <c r="AF65118" s="679"/>
    </row>
    <row r="65119" spans="32:32" x14ac:dyDescent="0.2">
      <c r="AF65119" s="679"/>
    </row>
    <row r="65120" spans="32:32" x14ac:dyDescent="0.2">
      <c r="AF65120" s="679"/>
    </row>
    <row r="65121" spans="32:32" x14ac:dyDescent="0.2">
      <c r="AF65121" s="679"/>
    </row>
    <row r="65122" spans="32:32" x14ac:dyDescent="0.2">
      <c r="AF65122" s="679"/>
    </row>
    <row r="65123" spans="32:32" x14ac:dyDescent="0.2">
      <c r="AF65123" s="679"/>
    </row>
    <row r="65124" spans="32:32" x14ac:dyDescent="0.2">
      <c r="AF65124" s="679"/>
    </row>
    <row r="65125" spans="32:32" x14ac:dyDescent="0.2">
      <c r="AF65125" s="679"/>
    </row>
    <row r="65126" spans="32:32" x14ac:dyDescent="0.2">
      <c r="AF65126" s="679"/>
    </row>
    <row r="65127" spans="32:32" x14ac:dyDescent="0.2">
      <c r="AF65127" s="679"/>
    </row>
    <row r="65128" spans="32:32" x14ac:dyDescent="0.2">
      <c r="AF65128" s="679"/>
    </row>
    <row r="65129" spans="32:32" x14ac:dyDescent="0.2">
      <c r="AF65129" s="679"/>
    </row>
    <row r="65130" spans="32:32" x14ac:dyDescent="0.2">
      <c r="AF65130" s="679"/>
    </row>
    <row r="65131" spans="32:32" x14ac:dyDescent="0.2">
      <c r="AF65131" s="679"/>
    </row>
    <row r="65132" spans="32:32" x14ac:dyDescent="0.2">
      <c r="AF65132" s="679"/>
    </row>
    <row r="65133" spans="32:32" x14ac:dyDescent="0.2">
      <c r="AF65133" s="679"/>
    </row>
    <row r="65134" spans="32:32" x14ac:dyDescent="0.2">
      <c r="AF65134" s="679"/>
    </row>
    <row r="65135" spans="32:32" x14ac:dyDescent="0.2">
      <c r="AF65135" s="679"/>
    </row>
    <row r="65136" spans="32:32" x14ac:dyDescent="0.2">
      <c r="AF65136" s="679"/>
    </row>
    <row r="65137" spans="32:32" x14ac:dyDescent="0.2">
      <c r="AF65137" s="679"/>
    </row>
    <row r="65138" spans="32:32" x14ac:dyDescent="0.2">
      <c r="AF65138" s="679"/>
    </row>
    <row r="65139" spans="32:32" x14ac:dyDescent="0.2">
      <c r="AF65139" s="679"/>
    </row>
    <row r="65140" spans="32:32" x14ac:dyDescent="0.2">
      <c r="AF65140" s="679"/>
    </row>
    <row r="65141" spans="32:32" x14ac:dyDescent="0.2">
      <c r="AF65141" s="679"/>
    </row>
    <row r="65142" spans="32:32" x14ac:dyDescent="0.2">
      <c r="AF65142" s="679"/>
    </row>
    <row r="65143" spans="32:32" x14ac:dyDescent="0.2">
      <c r="AF65143" s="679"/>
    </row>
    <row r="65144" spans="32:32" x14ac:dyDescent="0.2">
      <c r="AF65144" s="679"/>
    </row>
    <row r="65145" spans="32:32" x14ac:dyDescent="0.2">
      <c r="AF65145" s="679"/>
    </row>
    <row r="65146" spans="32:32" x14ac:dyDescent="0.2">
      <c r="AF65146" s="679"/>
    </row>
    <row r="65147" spans="32:32" x14ac:dyDescent="0.2">
      <c r="AF65147" s="679"/>
    </row>
    <row r="65148" spans="32:32" x14ac:dyDescent="0.2">
      <c r="AF65148" s="679"/>
    </row>
    <row r="65149" spans="32:32" x14ac:dyDescent="0.2">
      <c r="AF65149" s="679"/>
    </row>
    <row r="65150" spans="32:32" x14ac:dyDescent="0.2">
      <c r="AF65150" s="679"/>
    </row>
    <row r="65151" spans="32:32" x14ac:dyDescent="0.2">
      <c r="AF65151" s="679"/>
    </row>
    <row r="65152" spans="32:32" x14ac:dyDescent="0.2">
      <c r="AF65152" s="679"/>
    </row>
    <row r="65153" spans="32:32" x14ac:dyDescent="0.2">
      <c r="AF65153" s="679"/>
    </row>
    <row r="65154" spans="32:32" x14ac:dyDescent="0.2">
      <c r="AF65154" s="679"/>
    </row>
    <row r="65155" spans="32:32" x14ac:dyDescent="0.2">
      <c r="AF65155" s="679"/>
    </row>
    <row r="65156" spans="32:32" x14ac:dyDescent="0.2">
      <c r="AF65156" s="679"/>
    </row>
    <row r="65157" spans="32:32" x14ac:dyDescent="0.2">
      <c r="AF65157" s="679"/>
    </row>
    <row r="65158" spans="32:32" x14ac:dyDescent="0.2">
      <c r="AF65158" s="679"/>
    </row>
    <row r="65159" spans="32:32" x14ac:dyDescent="0.2">
      <c r="AF65159" s="679"/>
    </row>
    <row r="65160" spans="32:32" x14ac:dyDescent="0.2">
      <c r="AF65160" s="679"/>
    </row>
    <row r="65161" spans="32:32" x14ac:dyDescent="0.2">
      <c r="AF65161" s="679"/>
    </row>
    <row r="65162" spans="32:32" x14ac:dyDescent="0.2">
      <c r="AF65162" s="679"/>
    </row>
    <row r="65163" spans="32:32" x14ac:dyDescent="0.2">
      <c r="AF65163" s="679"/>
    </row>
    <row r="65164" spans="32:32" x14ac:dyDescent="0.2">
      <c r="AF65164" s="679"/>
    </row>
    <row r="65165" spans="32:32" x14ac:dyDescent="0.2">
      <c r="AF65165" s="679"/>
    </row>
    <row r="65166" spans="32:32" x14ac:dyDescent="0.2">
      <c r="AF65166" s="679"/>
    </row>
    <row r="65167" spans="32:32" x14ac:dyDescent="0.2">
      <c r="AF65167" s="679"/>
    </row>
    <row r="65168" spans="32:32" x14ac:dyDescent="0.2">
      <c r="AF65168" s="679"/>
    </row>
    <row r="65169" spans="32:32" x14ac:dyDescent="0.2">
      <c r="AF65169" s="679"/>
    </row>
    <row r="65170" spans="32:32" x14ac:dyDescent="0.2">
      <c r="AF65170" s="679"/>
    </row>
    <row r="65171" spans="32:32" x14ac:dyDescent="0.2">
      <c r="AF65171" s="679"/>
    </row>
    <row r="65172" spans="32:32" x14ac:dyDescent="0.2">
      <c r="AF65172" s="679"/>
    </row>
    <row r="65173" spans="32:32" x14ac:dyDescent="0.2">
      <c r="AF65173" s="679"/>
    </row>
    <row r="65174" spans="32:32" x14ac:dyDescent="0.2">
      <c r="AF65174" s="679"/>
    </row>
    <row r="65175" spans="32:32" x14ac:dyDescent="0.2">
      <c r="AF65175" s="679"/>
    </row>
    <row r="65176" spans="32:32" x14ac:dyDescent="0.2">
      <c r="AF65176" s="679"/>
    </row>
    <row r="65177" spans="32:32" x14ac:dyDescent="0.2">
      <c r="AF65177" s="679"/>
    </row>
    <row r="65178" spans="32:32" x14ac:dyDescent="0.2">
      <c r="AF65178" s="679"/>
    </row>
    <row r="65179" spans="32:32" x14ac:dyDescent="0.2">
      <c r="AF65179" s="679"/>
    </row>
    <row r="65180" spans="32:32" x14ac:dyDescent="0.2">
      <c r="AF65180" s="679"/>
    </row>
    <row r="65181" spans="32:32" x14ac:dyDescent="0.2">
      <c r="AF65181" s="679"/>
    </row>
    <row r="65182" spans="32:32" x14ac:dyDescent="0.2">
      <c r="AF65182" s="679"/>
    </row>
    <row r="65183" spans="32:32" x14ac:dyDescent="0.2">
      <c r="AF65183" s="679"/>
    </row>
    <row r="65184" spans="32:32" x14ac:dyDescent="0.2">
      <c r="AF65184" s="679"/>
    </row>
    <row r="65185" spans="32:32" x14ac:dyDescent="0.2">
      <c r="AF65185" s="679"/>
    </row>
    <row r="65186" spans="32:32" x14ac:dyDescent="0.2">
      <c r="AF65186" s="679"/>
    </row>
    <row r="65187" spans="32:32" x14ac:dyDescent="0.2">
      <c r="AF65187" s="679"/>
    </row>
    <row r="65188" spans="32:32" x14ac:dyDescent="0.2">
      <c r="AF65188" s="679"/>
    </row>
    <row r="65189" spans="32:32" x14ac:dyDescent="0.2">
      <c r="AF65189" s="679"/>
    </row>
    <row r="65190" spans="32:32" x14ac:dyDescent="0.2">
      <c r="AF65190" s="679"/>
    </row>
    <row r="65191" spans="32:32" x14ac:dyDescent="0.2">
      <c r="AF65191" s="679"/>
    </row>
    <row r="65192" spans="32:32" x14ac:dyDescent="0.2">
      <c r="AF65192" s="679"/>
    </row>
    <row r="65193" spans="32:32" x14ac:dyDescent="0.2">
      <c r="AF65193" s="679"/>
    </row>
    <row r="65194" spans="32:32" x14ac:dyDescent="0.2">
      <c r="AF65194" s="679"/>
    </row>
    <row r="65195" spans="32:32" x14ac:dyDescent="0.2">
      <c r="AF65195" s="679"/>
    </row>
    <row r="65196" spans="32:32" x14ac:dyDescent="0.2">
      <c r="AF65196" s="679"/>
    </row>
    <row r="65197" spans="32:32" x14ac:dyDescent="0.2">
      <c r="AF65197" s="679"/>
    </row>
    <row r="65198" spans="32:32" x14ac:dyDescent="0.2">
      <c r="AF65198" s="679"/>
    </row>
    <row r="65199" spans="32:32" x14ac:dyDescent="0.2">
      <c r="AF65199" s="679"/>
    </row>
    <row r="65200" spans="32:32" x14ac:dyDescent="0.2">
      <c r="AF65200" s="679"/>
    </row>
    <row r="65201" spans="32:32" x14ac:dyDescent="0.2">
      <c r="AF65201" s="679"/>
    </row>
    <row r="65202" spans="32:32" x14ac:dyDescent="0.2">
      <c r="AF65202" s="679"/>
    </row>
    <row r="65203" spans="32:32" x14ac:dyDescent="0.2">
      <c r="AF65203" s="679"/>
    </row>
    <row r="65204" spans="32:32" x14ac:dyDescent="0.2">
      <c r="AF65204" s="679"/>
    </row>
    <row r="65205" spans="32:32" x14ac:dyDescent="0.2">
      <c r="AF65205" s="679"/>
    </row>
    <row r="65206" spans="32:32" x14ac:dyDescent="0.2">
      <c r="AF65206" s="679"/>
    </row>
    <row r="65207" spans="32:32" x14ac:dyDescent="0.2">
      <c r="AF65207" s="679"/>
    </row>
    <row r="65208" spans="32:32" x14ac:dyDescent="0.2">
      <c r="AF65208" s="679"/>
    </row>
    <row r="65209" spans="32:32" x14ac:dyDescent="0.2">
      <c r="AF65209" s="679"/>
    </row>
    <row r="65210" spans="32:32" x14ac:dyDescent="0.2">
      <c r="AF65210" s="679"/>
    </row>
    <row r="65211" spans="32:32" x14ac:dyDescent="0.2">
      <c r="AF65211" s="679"/>
    </row>
    <row r="65212" spans="32:32" x14ac:dyDescent="0.2">
      <c r="AF65212" s="679"/>
    </row>
    <row r="65213" spans="32:32" x14ac:dyDescent="0.2">
      <c r="AF65213" s="679"/>
    </row>
    <row r="65214" spans="32:32" x14ac:dyDescent="0.2">
      <c r="AF65214" s="679"/>
    </row>
    <row r="65215" spans="32:32" x14ac:dyDescent="0.2">
      <c r="AF65215" s="679"/>
    </row>
    <row r="65216" spans="32:32" x14ac:dyDescent="0.2">
      <c r="AF65216" s="679"/>
    </row>
    <row r="65217" spans="32:32" x14ac:dyDescent="0.2">
      <c r="AF65217" s="679"/>
    </row>
    <row r="65218" spans="32:32" x14ac:dyDescent="0.2">
      <c r="AF65218" s="679"/>
    </row>
    <row r="65219" spans="32:32" x14ac:dyDescent="0.2">
      <c r="AF65219" s="679"/>
    </row>
    <row r="65220" spans="32:32" x14ac:dyDescent="0.2">
      <c r="AF65220" s="679"/>
    </row>
    <row r="65221" spans="32:32" x14ac:dyDescent="0.2">
      <c r="AF65221" s="679"/>
    </row>
    <row r="65222" spans="32:32" x14ac:dyDescent="0.2">
      <c r="AF65222" s="679"/>
    </row>
    <row r="65223" spans="32:32" x14ac:dyDescent="0.2">
      <c r="AF65223" s="679"/>
    </row>
    <row r="65224" spans="32:32" x14ac:dyDescent="0.2">
      <c r="AF65224" s="679"/>
    </row>
    <row r="65225" spans="32:32" x14ac:dyDescent="0.2">
      <c r="AF65225" s="679"/>
    </row>
    <row r="65226" spans="32:32" x14ac:dyDescent="0.2">
      <c r="AF65226" s="679"/>
    </row>
    <row r="65227" spans="32:32" x14ac:dyDescent="0.2">
      <c r="AF65227" s="679"/>
    </row>
    <row r="65228" spans="32:32" x14ac:dyDescent="0.2">
      <c r="AF65228" s="679"/>
    </row>
    <row r="65229" spans="32:32" x14ac:dyDescent="0.2">
      <c r="AF65229" s="679"/>
    </row>
    <row r="65230" spans="32:32" x14ac:dyDescent="0.2">
      <c r="AF65230" s="679"/>
    </row>
    <row r="65231" spans="32:32" x14ac:dyDescent="0.2">
      <c r="AF65231" s="679"/>
    </row>
    <row r="65232" spans="32:32" x14ac:dyDescent="0.2">
      <c r="AF65232" s="679"/>
    </row>
    <row r="65233" spans="32:32" x14ac:dyDescent="0.2">
      <c r="AF65233" s="679"/>
    </row>
    <row r="65234" spans="32:32" x14ac:dyDescent="0.2">
      <c r="AF65234" s="679"/>
    </row>
    <row r="65235" spans="32:32" x14ac:dyDescent="0.2">
      <c r="AF65235" s="679"/>
    </row>
    <row r="65236" spans="32:32" x14ac:dyDescent="0.2">
      <c r="AF65236" s="679"/>
    </row>
    <row r="65237" spans="32:32" x14ac:dyDescent="0.2">
      <c r="AF65237" s="679"/>
    </row>
    <row r="65238" spans="32:32" x14ac:dyDescent="0.2">
      <c r="AF65238" s="679"/>
    </row>
    <row r="65239" spans="32:32" x14ac:dyDescent="0.2">
      <c r="AF65239" s="679"/>
    </row>
    <row r="65240" spans="32:32" x14ac:dyDescent="0.2">
      <c r="AF65240" s="679"/>
    </row>
    <row r="65241" spans="32:32" x14ac:dyDescent="0.2">
      <c r="AF65241" s="679"/>
    </row>
    <row r="65242" spans="32:32" x14ac:dyDescent="0.2">
      <c r="AF65242" s="679"/>
    </row>
    <row r="65243" spans="32:32" x14ac:dyDescent="0.2">
      <c r="AF65243" s="679"/>
    </row>
    <row r="65244" spans="32:32" x14ac:dyDescent="0.2">
      <c r="AF65244" s="679"/>
    </row>
    <row r="65245" spans="32:32" x14ac:dyDescent="0.2">
      <c r="AF65245" s="679"/>
    </row>
    <row r="65246" spans="32:32" x14ac:dyDescent="0.2">
      <c r="AF65246" s="679"/>
    </row>
    <row r="65247" spans="32:32" x14ac:dyDescent="0.2">
      <c r="AF65247" s="679"/>
    </row>
    <row r="65248" spans="32:32" x14ac:dyDescent="0.2">
      <c r="AF65248" s="679"/>
    </row>
    <row r="65249" spans="32:32" x14ac:dyDescent="0.2">
      <c r="AF65249" s="679"/>
    </row>
    <row r="65250" spans="32:32" x14ac:dyDescent="0.2">
      <c r="AF65250" s="679"/>
    </row>
    <row r="65251" spans="32:32" x14ac:dyDescent="0.2">
      <c r="AF65251" s="679"/>
    </row>
    <row r="65252" spans="32:32" x14ac:dyDescent="0.2">
      <c r="AF65252" s="679"/>
    </row>
    <row r="65253" spans="32:32" x14ac:dyDescent="0.2">
      <c r="AF65253" s="679"/>
    </row>
    <row r="65254" spans="32:32" x14ac:dyDescent="0.2">
      <c r="AF65254" s="679"/>
    </row>
    <row r="65255" spans="32:32" x14ac:dyDescent="0.2">
      <c r="AF65255" s="679"/>
    </row>
    <row r="65256" spans="32:32" x14ac:dyDescent="0.2">
      <c r="AF65256" s="679"/>
    </row>
    <row r="65257" spans="32:32" x14ac:dyDescent="0.2">
      <c r="AF65257" s="679"/>
    </row>
    <row r="65258" spans="32:32" x14ac:dyDescent="0.2">
      <c r="AF65258" s="679"/>
    </row>
    <row r="65259" spans="32:32" x14ac:dyDescent="0.2">
      <c r="AF65259" s="679"/>
    </row>
    <row r="65260" spans="32:32" x14ac:dyDescent="0.2">
      <c r="AF65260" s="679"/>
    </row>
    <row r="65261" spans="32:32" x14ac:dyDescent="0.2">
      <c r="AF65261" s="679"/>
    </row>
    <row r="65262" spans="32:32" x14ac:dyDescent="0.2">
      <c r="AF65262" s="679"/>
    </row>
    <row r="65263" spans="32:32" x14ac:dyDescent="0.2">
      <c r="AF65263" s="679"/>
    </row>
    <row r="65264" spans="32:32" x14ac:dyDescent="0.2">
      <c r="AF65264" s="679"/>
    </row>
    <row r="65265" spans="32:32" x14ac:dyDescent="0.2">
      <c r="AF65265" s="679"/>
    </row>
    <row r="65266" spans="32:32" x14ac:dyDescent="0.2">
      <c r="AF65266" s="679"/>
    </row>
    <row r="65267" spans="32:32" x14ac:dyDescent="0.2">
      <c r="AF65267" s="679"/>
    </row>
    <row r="65268" spans="32:32" x14ac:dyDescent="0.2">
      <c r="AF65268" s="679"/>
    </row>
    <row r="65269" spans="32:32" x14ac:dyDescent="0.2">
      <c r="AF65269" s="679"/>
    </row>
    <row r="65270" spans="32:32" x14ac:dyDescent="0.2">
      <c r="AF65270" s="679"/>
    </row>
    <row r="65271" spans="32:32" x14ac:dyDescent="0.2">
      <c r="AF65271" s="679"/>
    </row>
    <row r="65272" spans="32:32" x14ac:dyDescent="0.2">
      <c r="AF65272" s="679"/>
    </row>
    <row r="65273" spans="32:32" x14ac:dyDescent="0.2">
      <c r="AF65273" s="679"/>
    </row>
    <row r="65274" spans="32:32" x14ac:dyDescent="0.2">
      <c r="AF65274" s="679"/>
    </row>
    <row r="65275" spans="32:32" x14ac:dyDescent="0.2">
      <c r="AF65275" s="679"/>
    </row>
    <row r="65276" spans="32:32" x14ac:dyDescent="0.2">
      <c r="AF65276" s="679"/>
    </row>
    <row r="65277" spans="32:32" x14ac:dyDescent="0.2">
      <c r="AF65277" s="679"/>
    </row>
    <row r="65278" spans="32:32" x14ac:dyDescent="0.2">
      <c r="AF65278" s="679"/>
    </row>
    <row r="65279" spans="32:32" x14ac:dyDescent="0.2">
      <c r="AF65279" s="679"/>
    </row>
    <row r="65280" spans="32:32" x14ac:dyDescent="0.2">
      <c r="AF65280" s="679"/>
    </row>
    <row r="65281" spans="32:32" x14ac:dyDescent="0.2">
      <c r="AF65281" s="679"/>
    </row>
    <row r="65282" spans="32:32" x14ac:dyDescent="0.2">
      <c r="AF65282" s="679"/>
    </row>
    <row r="65283" spans="32:32" x14ac:dyDescent="0.2">
      <c r="AF65283" s="679"/>
    </row>
    <row r="65284" spans="32:32" x14ac:dyDescent="0.2">
      <c r="AF65284" s="679"/>
    </row>
    <row r="65285" spans="32:32" x14ac:dyDescent="0.2">
      <c r="AF65285" s="679"/>
    </row>
    <row r="65286" spans="32:32" x14ac:dyDescent="0.2">
      <c r="AF65286" s="679"/>
    </row>
    <row r="65287" spans="32:32" x14ac:dyDescent="0.2">
      <c r="AF65287" s="679"/>
    </row>
    <row r="65288" spans="32:32" x14ac:dyDescent="0.2">
      <c r="AF65288" s="679"/>
    </row>
    <row r="65289" spans="32:32" x14ac:dyDescent="0.2">
      <c r="AF65289" s="679"/>
    </row>
    <row r="65290" spans="32:32" x14ac:dyDescent="0.2">
      <c r="AF65290" s="679"/>
    </row>
    <row r="65291" spans="32:32" x14ac:dyDescent="0.2">
      <c r="AF65291" s="679"/>
    </row>
    <row r="65292" spans="32:32" x14ac:dyDescent="0.2">
      <c r="AF65292" s="679"/>
    </row>
    <row r="65293" spans="32:32" x14ac:dyDescent="0.2">
      <c r="AF65293" s="679"/>
    </row>
    <row r="65294" spans="32:32" x14ac:dyDescent="0.2">
      <c r="AF65294" s="679"/>
    </row>
    <row r="65295" spans="32:32" x14ac:dyDescent="0.2">
      <c r="AF65295" s="679"/>
    </row>
    <row r="65296" spans="32:32" x14ac:dyDescent="0.2">
      <c r="AF65296" s="679"/>
    </row>
    <row r="65297" spans="32:32" x14ac:dyDescent="0.2">
      <c r="AF65297" s="679"/>
    </row>
    <row r="65298" spans="32:32" x14ac:dyDescent="0.2">
      <c r="AF65298" s="679"/>
    </row>
    <row r="65299" spans="32:32" x14ac:dyDescent="0.2">
      <c r="AF65299" s="679"/>
    </row>
    <row r="65300" spans="32:32" x14ac:dyDescent="0.2">
      <c r="AF65300" s="679"/>
    </row>
    <row r="65301" spans="32:32" x14ac:dyDescent="0.2">
      <c r="AF65301" s="679"/>
    </row>
    <row r="65302" spans="32:32" x14ac:dyDescent="0.2">
      <c r="AF65302" s="679"/>
    </row>
    <row r="65303" spans="32:32" x14ac:dyDescent="0.2">
      <c r="AF65303" s="679"/>
    </row>
    <row r="65304" spans="32:32" x14ac:dyDescent="0.2">
      <c r="AF65304" s="679"/>
    </row>
    <row r="65305" spans="32:32" x14ac:dyDescent="0.2">
      <c r="AF65305" s="679"/>
    </row>
    <row r="65306" spans="32:32" x14ac:dyDescent="0.2">
      <c r="AF65306" s="679"/>
    </row>
    <row r="65307" spans="32:32" x14ac:dyDescent="0.2">
      <c r="AF65307" s="679"/>
    </row>
    <row r="65308" spans="32:32" x14ac:dyDescent="0.2">
      <c r="AF65308" s="679"/>
    </row>
    <row r="65309" spans="32:32" x14ac:dyDescent="0.2">
      <c r="AF65309" s="679"/>
    </row>
    <row r="65310" spans="32:32" x14ac:dyDescent="0.2">
      <c r="AF65310" s="679"/>
    </row>
    <row r="65311" spans="32:32" x14ac:dyDescent="0.2">
      <c r="AF65311" s="679"/>
    </row>
    <row r="65312" spans="32:32" x14ac:dyDescent="0.2">
      <c r="AF65312" s="679"/>
    </row>
    <row r="65313" spans="32:32" x14ac:dyDescent="0.2">
      <c r="AF65313" s="679"/>
    </row>
    <row r="65314" spans="32:32" x14ac:dyDescent="0.2">
      <c r="AF65314" s="679"/>
    </row>
    <row r="65315" spans="32:32" x14ac:dyDescent="0.2">
      <c r="AF65315" s="679"/>
    </row>
    <row r="65316" spans="32:32" x14ac:dyDescent="0.2">
      <c r="AF65316" s="679"/>
    </row>
    <row r="65317" spans="32:32" x14ac:dyDescent="0.2">
      <c r="AF65317" s="679"/>
    </row>
    <row r="65318" spans="32:32" x14ac:dyDescent="0.2">
      <c r="AF65318" s="679"/>
    </row>
    <row r="65319" spans="32:32" x14ac:dyDescent="0.2">
      <c r="AF65319" s="679"/>
    </row>
    <row r="65320" spans="32:32" x14ac:dyDescent="0.2">
      <c r="AF65320" s="679"/>
    </row>
    <row r="65321" spans="32:32" x14ac:dyDescent="0.2">
      <c r="AF65321" s="679"/>
    </row>
    <row r="65322" spans="32:32" x14ac:dyDescent="0.2">
      <c r="AF65322" s="679"/>
    </row>
    <row r="65323" spans="32:32" x14ac:dyDescent="0.2">
      <c r="AF65323" s="679"/>
    </row>
    <row r="65324" spans="32:32" x14ac:dyDescent="0.2">
      <c r="AF65324" s="679"/>
    </row>
    <row r="65325" spans="32:32" x14ac:dyDescent="0.2">
      <c r="AF65325" s="679"/>
    </row>
    <row r="65326" spans="32:32" x14ac:dyDescent="0.2">
      <c r="AF65326" s="679"/>
    </row>
    <row r="65327" spans="32:32" x14ac:dyDescent="0.2">
      <c r="AF65327" s="679"/>
    </row>
    <row r="65328" spans="32:32" x14ac:dyDescent="0.2">
      <c r="AF65328" s="679"/>
    </row>
    <row r="65329" spans="32:32" x14ac:dyDescent="0.2">
      <c r="AF65329" s="679"/>
    </row>
    <row r="65330" spans="32:32" x14ac:dyDescent="0.2">
      <c r="AF65330" s="679"/>
    </row>
    <row r="65331" spans="32:32" x14ac:dyDescent="0.2">
      <c r="AF65331" s="679"/>
    </row>
    <row r="65332" spans="32:32" x14ac:dyDescent="0.2">
      <c r="AF65332" s="679"/>
    </row>
    <row r="65333" spans="32:32" x14ac:dyDescent="0.2">
      <c r="AF65333" s="679"/>
    </row>
    <row r="65334" spans="32:32" x14ac:dyDescent="0.2">
      <c r="AF65334" s="679"/>
    </row>
    <row r="65335" spans="32:32" x14ac:dyDescent="0.2">
      <c r="AF65335" s="679"/>
    </row>
    <row r="65336" spans="32:32" x14ac:dyDescent="0.2">
      <c r="AF65336" s="679"/>
    </row>
    <row r="65337" spans="32:32" x14ac:dyDescent="0.2">
      <c r="AF65337" s="679"/>
    </row>
    <row r="65338" spans="32:32" x14ac:dyDescent="0.2">
      <c r="AF65338" s="679"/>
    </row>
    <row r="65339" spans="32:32" x14ac:dyDescent="0.2">
      <c r="AF65339" s="679"/>
    </row>
    <row r="65340" spans="32:32" x14ac:dyDescent="0.2">
      <c r="AF65340" s="679"/>
    </row>
    <row r="65341" spans="32:32" x14ac:dyDescent="0.2">
      <c r="AF65341" s="679"/>
    </row>
    <row r="65342" spans="32:32" x14ac:dyDescent="0.2">
      <c r="AF65342" s="679"/>
    </row>
    <row r="65343" spans="32:32" x14ac:dyDescent="0.2">
      <c r="AF65343" s="679"/>
    </row>
    <row r="65344" spans="32:32" x14ac:dyDescent="0.2">
      <c r="AF65344" s="679"/>
    </row>
    <row r="65345" spans="32:32" x14ac:dyDescent="0.2">
      <c r="AF65345" s="679"/>
    </row>
    <row r="65346" spans="32:32" x14ac:dyDescent="0.2">
      <c r="AF65346" s="679"/>
    </row>
    <row r="65347" spans="32:32" x14ac:dyDescent="0.2">
      <c r="AF65347" s="679"/>
    </row>
    <row r="65348" spans="32:32" x14ac:dyDescent="0.2">
      <c r="AF65348" s="679"/>
    </row>
    <row r="65349" spans="32:32" x14ac:dyDescent="0.2">
      <c r="AF65349" s="679"/>
    </row>
    <row r="65350" spans="32:32" x14ac:dyDescent="0.2">
      <c r="AF65350" s="679"/>
    </row>
    <row r="65351" spans="32:32" x14ac:dyDescent="0.2">
      <c r="AF65351" s="679"/>
    </row>
    <row r="65352" spans="32:32" x14ac:dyDescent="0.2">
      <c r="AF65352" s="679"/>
    </row>
    <row r="65353" spans="32:32" x14ac:dyDescent="0.2">
      <c r="AF65353" s="679"/>
    </row>
    <row r="65354" spans="32:32" x14ac:dyDescent="0.2">
      <c r="AF65354" s="679"/>
    </row>
    <row r="65355" spans="32:32" x14ac:dyDescent="0.2">
      <c r="AF65355" s="679"/>
    </row>
    <row r="65356" spans="32:32" x14ac:dyDescent="0.2">
      <c r="AF65356" s="679"/>
    </row>
    <row r="65357" spans="32:32" x14ac:dyDescent="0.2">
      <c r="AF65357" s="679"/>
    </row>
    <row r="65358" spans="32:32" x14ac:dyDescent="0.2">
      <c r="AF65358" s="679"/>
    </row>
    <row r="65359" spans="32:32" x14ac:dyDescent="0.2">
      <c r="AF65359" s="679"/>
    </row>
    <row r="65360" spans="32:32" x14ac:dyDescent="0.2">
      <c r="AF65360" s="679"/>
    </row>
    <row r="65361" spans="32:32" x14ac:dyDescent="0.2">
      <c r="AF65361" s="679"/>
    </row>
    <row r="65362" spans="32:32" x14ac:dyDescent="0.2">
      <c r="AF65362" s="679"/>
    </row>
    <row r="65363" spans="32:32" x14ac:dyDescent="0.2">
      <c r="AF65363" s="679"/>
    </row>
    <row r="65364" spans="32:32" x14ac:dyDescent="0.2">
      <c r="AF65364" s="679"/>
    </row>
    <row r="65365" spans="32:32" x14ac:dyDescent="0.2">
      <c r="AF65365" s="679"/>
    </row>
    <row r="65366" spans="32:32" x14ac:dyDescent="0.2">
      <c r="AF65366" s="679"/>
    </row>
    <row r="65367" spans="32:32" x14ac:dyDescent="0.2">
      <c r="AF65367" s="679"/>
    </row>
    <row r="65368" spans="32:32" x14ac:dyDescent="0.2">
      <c r="AF65368" s="679"/>
    </row>
    <row r="65369" spans="32:32" x14ac:dyDescent="0.2">
      <c r="AF65369" s="679"/>
    </row>
    <row r="65370" spans="32:32" x14ac:dyDescent="0.2">
      <c r="AF65370" s="679"/>
    </row>
    <row r="65371" spans="32:32" x14ac:dyDescent="0.2">
      <c r="AF65371" s="679"/>
    </row>
    <row r="65372" spans="32:32" x14ac:dyDescent="0.2">
      <c r="AF65372" s="679"/>
    </row>
    <row r="65373" spans="32:32" x14ac:dyDescent="0.2">
      <c r="AF65373" s="679"/>
    </row>
    <row r="65374" spans="32:32" x14ac:dyDescent="0.2">
      <c r="AF65374" s="679"/>
    </row>
    <row r="65375" spans="32:32" x14ac:dyDescent="0.2">
      <c r="AF65375" s="679"/>
    </row>
    <row r="65376" spans="32:32" x14ac:dyDescent="0.2">
      <c r="AF65376" s="679"/>
    </row>
    <row r="65377" spans="32:32" x14ac:dyDescent="0.2">
      <c r="AF65377" s="679"/>
    </row>
    <row r="65378" spans="32:32" x14ac:dyDescent="0.2">
      <c r="AF65378" s="679"/>
    </row>
    <row r="65379" spans="32:32" x14ac:dyDescent="0.2">
      <c r="AF65379" s="679"/>
    </row>
    <row r="65380" spans="32:32" x14ac:dyDescent="0.2">
      <c r="AF65380" s="679"/>
    </row>
    <row r="65381" spans="32:32" x14ac:dyDescent="0.2">
      <c r="AF65381" s="679"/>
    </row>
    <row r="65382" spans="32:32" x14ac:dyDescent="0.2">
      <c r="AF65382" s="679"/>
    </row>
    <row r="65383" spans="32:32" x14ac:dyDescent="0.2">
      <c r="AF65383" s="679"/>
    </row>
    <row r="65384" spans="32:32" x14ac:dyDescent="0.2">
      <c r="AF65384" s="679"/>
    </row>
    <row r="65385" spans="32:32" x14ac:dyDescent="0.2">
      <c r="AF65385" s="679"/>
    </row>
    <row r="65386" spans="32:32" x14ac:dyDescent="0.2">
      <c r="AF65386" s="679"/>
    </row>
    <row r="65387" spans="32:32" x14ac:dyDescent="0.2">
      <c r="AF65387" s="679"/>
    </row>
    <row r="65388" spans="32:32" x14ac:dyDescent="0.2">
      <c r="AF65388" s="679"/>
    </row>
    <row r="65389" spans="32:32" x14ac:dyDescent="0.2">
      <c r="AF65389" s="679"/>
    </row>
    <row r="65390" spans="32:32" x14ac:dyDescent="0.2">
      <c r="AF65390" s="679"/>
    </row>
    <row r="65391" spans="32:32" x14ac:dyDescent="0.2">
      <c r="AF65391" s="679"/>
    </row>
    <row r="65392" spans="32:32" x14ac:dyDescent="0.2">
      <c r="AF65392" s="679"/>
    </row>
    <row r="65393" spans="32:32" x14ac:dyDescent="0.2">
      <c r="AF65393" s="679"/>
    </row>
    <row r="65394" spans="32:32" x14ac:dyDescent="0.2">
      <c r="AF65394" s="679"/>
    </row>
    <row r="65395" spans="32:32" x14ac:dyDescent="0.2">
      <c r="AF65395" s="679"/>
    </row>
    <row r="65396" spans="32:32" x14ac:dyDescent="0.2">
      <c r="AF65396" s="679"/>
    </row>
    <row r="65397" spans="32:32" x14ac:dyDescent="0.2">
      <c r="AF65397" s="679"/>
    </row>
    <row r="65398" spans="32:32" x14ac:dyDescent="0.2">
      <c r="AF65398" s="679"/>
    </row>
    <row r="65399" spans="32:32" x14ac:dyDescent="0.2">
      <c r="AF65399" s="679"/>
    </row>
    <row r="65400" spans="32:32" x14ac:dyDescent="0.2">
      <c r="AF65400" s="679"/>
    </row>
    <row r="65401" spans="32:32" x14ac:dyDescent="0.2">
      <c r="AF65401" s="679"/>
    </row>
    <row r="65402" spans="32:32" x14ac:dyDescent="0.2">
      <c r="AF65402" s="679"/>
    </row>
    <row r="65403" spans="32:32" x14ac:dyDescent="0.2">
      <c r="AF65403" s="679"/>
    </row>
    <row r="65404" spans="32:32" x14ac:dyDescent="0.2">
      <c r="AF65404" s="679"/>
    </row>
    <row r="65405" spans="32:32" x14ac:dyDescent="0.2">
      <c r="AF65405" s="679"/>
    </row>
    <row r="65406" spans="32:32" x14ac:dyDescent="0.2">
      <c r="AF65406" s="679"/>
    </row>
    <row r="65407" spans="32:32" x14ac:dyDescent="0.2">
      <c r="AF65407" s="679"/>
    </row>
    <row r="65408" spans="32:32" x14ac:dyDescent="0.2">
      <c r="AF65408" s="679"/>
    </row>
    <row r="65409" spans="32:32" x14ac:dyDescent="0.2">
      <c r="AF65409" s="679"/>
    </row>
    <row r="65410" spans="32:32" x14ac:dyDescent="0.2">
      <c r="AF65410" s="679"/>
    </row>
    <row r="65411" spans="32:32" x14ac:dyDescent="0.2">
      <c r="AF65411" s="679"/>
    </row>
    <row r="65412" spans="32:32" x14ac:dyDescent="0.2">
      <c r="AF65412" s="679"/>
    </row>
    <row r="65413" spans="32:32" x14ac:dyDescent="0.2">
      <c r="AF65413" s="679"/>
    </row>
    <row r="65414" spans="32:32" x14ac:dyDescent="0.2">
      <c r="AF65414" s="679"/>
    </row>
    <row r="65415" spans="32:32" x14ac:dyDescent="0.2">
      <c r="AF65415" s="679"/>
    </row>
    <row r="65416" spans="32:32" x14ac:dyDescent="0.2">
      <c r="AF65416" s="679"/>
    </row>
    <row r="65417" spans="32:32" x14ac:dyDescent="0.2">
      <c r="AF65417" s="679"/>
    </row>
    <row r="65418" spans="32:32" x14ac:dyDescent="0.2">
      <c r="AF65418" s="679"/>
    </row>
    <row r="65419" spans="32:32" x14ac:dyDescent="0.2">
      <c r="AF65419" s="679"/>
    </row>
    <row r="65420" spans="32:32" x14ac:dyDescent="0.2">
      <c r="AF65420" s="679"/>
    </row>
    <row r="65421" spans="32:32" x14ac:dyDescent="0.2">
      <c r="AF65421" s="679"/>
    </row>
    <row r="65422" spans="32:32" x14ac:dyDescent="0.2">
      <c r="AF65422" s="679"/>
    </row>
    <row r="65423" spans="32:32" x14ac:dyDescent="0.2">
      <c r="AF65423" s="679"/>
    </row>
    <row r="65424" spans="32:32" x14ac:dyDescent="0.2">
      <c r="AF65424" s="679"/>
    </row>
    <row r="65425" spans="32:32" x14ac:dyDescent="0.2">
      <c r="AF65425" s="679"/>
    </row>
    <row r="65426" spans="32:32" x14ac:dyDescent="0.2">
      <c r="AF65426" s="679"/>
    </row>
    <row r="65427" spans="32:32" x14ac:dyDescent="0.2">
      <c r="AF65427" s="679"/>
    </row>
    <row r="65428" spans="32:32" x14ac:dyDescent="0.2">
      <c r="AF65428" s="679"/>
    </row>
    <row r="65429" spans="32:32" x14ac:dyDescent="0.2">
      <c r="AF65429" s="679"/>
    </row>
    <row r="65430" spans="32:32" x14ac:dyDescent="0.2">
      <c r="AF65430" s="679"/>
    </row>
    <row r="65431" spans="32:32" x14ac:dyDescent="0.2">
      <c r="AF65431" s="679"/>
    </row>
    <row r="65432" spans="32:32" x14ac:dyDescent="0.2">
      <c r="AF65432" s="679"/>
    </row>
    <row r="65433" spans="32:32" x14ac:dyDescent="0.2">
      <c r="AF65433" s="679"/>
    </row>
    <row r="65434" spans="32:32" x14ac:dyDescent="0.2">
      <c r="AF65434" s="679"/>
    </row>
    <row r="65435" spans="32:32" x14ac:dyDescent="0.2">
      <c r="AF65435" s="679"/>
    </row>
    <row r="65436" spans="32:32" x14ac:dyDescent="0.2">
      <c r="AF65436" s="679"/>
    </row>
    <row r="65437" spans="32:32" x14ac:dyDescent="0.2">
      <c r="AF65437" s="679"/>
    </row>
    <row r="65438" spans="32:32" x14ac:dyDescent="0.2">
      <c r="AF65438" s="679"/>
    </row>
    <row r="65439" spans="32:32" x14ac:dyDescent="0.2">
      <c r="AF65439" s="679"/>
    </row>
    <row r="65440" spans="32:32" x14ac:dyDescent="0.2">
      <c r="AF65440" s="679"/>
    </row>
    <row r="65441" spans="32:32" x14ac:dyDescent="0.2">
      <c r="AF65441" s="679"/>
    </row>
    <row r="65442" spans="32:32" x14ac:dyDescent="0.2">
      <c r="AF65442" s="679"/>
    </row>
    <row r="65443" spans="32:32" x14ac:dyDescent="0.2">
      <c r="AF65443" s="679"/>
    </row>
    <row r="65444" spans="32:32" x14ac:dyDescent="0.2">
      <c r="AF65444" s="679"/>
    </row>
    <row r="65445" spans="32:32" x14ac:dyDescent="0.2">
      <c r="AF65445" s="679"/>
    </row>
    <row r="65446" spans="32:32" x14ac:dyDescent="0.2">
      <c r="AF65446" s="679"/>
    </row>
    <row r="65447" spans="32:32" x14ac:dyDescent="0.2">
      <c r="AF65447" s="679"/>
    </row>
    <row r="65448" spans="32:32" x14ac:dyDescent="0.2">
      <c r="AF65448" s="679"/>
    </row>
    <row r="65449" spans="32:32" x14ac:dyDescent="0.2">
      <c r="AF65449" s="679"/>
    </row>
    <row r="65450" spans="32:32" x14ac:dyDescent="0.2">
      <c r="AF65450" s="679"/>
    </row>
    <row r="65451" spans="32:32" x14ac:dyDescent="0.2">
      <c r="AF65451" s="679"/>
    </row>
    <row r="65452" spans="32:32" x14ac:dyDescent="0.2">
      <c r="AF65452" s="679"/>
    </row>
    <row r="65453" spans="32:32" x14ac:dyDescent="0.2">
      <c r="AF65453" s="679"/>
    </row>
    <row r="65454" spans="32:32" x14ac:dyDescent="0.2">
      <c r="AF65454" s="679"/>
    </row>
    <row r="65455" spans="32:32" x14ac:dyDescent="0.2">
      <c r="AF65455" s="679"/>
    </row>
    <row r="65456" spans="32:32" x14ac:dyDescent="0.2">
      <c r="AF65456" s="679"/>
    </row>
    <row r="65457" spans="32:32" x14ac:dyDescent="0.2">
      <c r="AF65457" s="679"/>
    </row>
    <row r="65458" spans="32:32" x14ac:dyDescent="0.2">
      <c r="AF65458" s="679"/>
    </row>
    <row r="65459" spans="32:32" x14ac:dyDescent="0.2">
      <c r="AF65459" s="679"/>
    </row>
    <row r="65460" spans="32:32" x14ac:dyDescent="0.2">
      <c r="AF65460" s="679"/>
    </row>
    <row r="65461" spans="32:32" x14ac:dyDescent="0.2">
      <c r="AF65461" s="679"/>
    </row>
    <row r="65462" spans="32:32" x14ac:dyDescent="0.2">
      <c r="AF65462" s="679"/>
    </row>
    <row r="65463" spans="32:32" x14ac:dyDescent="0.2">
      <c r="AF65463" s="679"/>
    </row>
    <row r="65464" spans="32:32" x14ac:dyDescent="0.2">
      <c r="AF65464" s="679"/>
    </row>
    <row r="65465" spans="32:32" x14ac:dyDescent="0.2">
      <c r="AF65465" s="679"/>
    </row>
    <row r="65466" spans="32:32" x14ac:dyDescent="0.2">
      <c r="AF65466" s="679"/>
    </row>
    <row r="65467" spans="32:32" x14ac:dyDescent="0.2">
      <c r="AF65467" s="679"/>
    </row>
    <row r="65468" spans="32:32" x14ac:dyDescent="0.2">
      <c r="AF65468" s="679"/>
    </row>
    <row r="65469" spans="32:32" x14ac:dyDescent="0.2">
      <c r="AF65469" s="679"/>
    </row>
    <row r="65470" spans="32:32" x14ac:dyDescent="0.2">
      <c r="AF65470" s="679"/>
    </row>
    <row r="65471" spans="32:32" x14ac:dyDescent="0.2">
      <c r="AF65471" s="679"/>
    </row>
    <row r="65472" spans="32:32" x14ac:dyDescent="0.2">
      <c r="AF65472" s="679"/>
    </row>
    <row r="65473" spans="32:32" x14ac:dyDescent="0.2">
      <c r="AF65473" s="679"/>
    </row>
    <row r="65474" spans="32:32" x14ac:dyDescent="0.2">
      <c r="AF65474" s="679"/>
    </row>
    <row r="65475" spans="32:32" x14ac:dyDescent="0.2">
      <c r="AF65475" s="679"/>
    </row>
    <row r="65476" spans="32:32" x14ac:dyDescent="0.2">
      <c r="AF65476" s="679"/>
    </row>
    <row r="65477" spans="32:32" x14ac:dyDescent="0.2">
      <c r="AF65477" s="679"/>
    </row>
    <row r="65478" spans="32:32" x14ac:dyDescent="0.2">
      <c r="AF65478" s="679"/>
    </row>
    <row r="65479" spans="32:32" x14ac:dyDescent="0.2">
      <c r="AF65479" s="679"/>
    </row>
    <row r="65480" spans="32:32" x14ac:dyDescent="0.2">
      <c r="AF65480" s="679"/>
    </row>
    <row r="65481" spans="32:32" x14ac:dyDescent="0.2">
      <c r="AF65481" s="679"/>
    </row>
    <row r="65482" spans="32:32" x14ac:dyDescent="0.2">
      <c r="AF65482" s="679"/>
    </row>
    <row r="65483" spans="32:32" x14ac:dyDescent="0.2">
      <c r="AF65483" s="679"/>
    </row>
    <row r="65484" spans="32:32" x14ac:dyDescent="0.2">
      <c r="AF65484" s="679"/>
    </row>
    <row r="65485" spans="32:32" x14ac:dyDescent="0.2">
      <c r="AF65485" s="679"/>
    </row>
    <row r="65486" spans="32:32" x14ac:dyDescent="0.2">
      <c r="AF65486" s="679"/>
    </row>
    <row r="65487" spans="32:32" x14ac:dyDescent="0.2">
      <c r="AF65487" s="679"/>
    </row>
    <row r="65488" spans="32:32" x14ac:dyDescent="0.2">
      <c r="AF65488" s="679"/>
    </row>
    <row r="65489" spans="32:32" x14ac:dyDescent="0.2">
      <c r="AF65489" s="679"/>
    </row>
    <row r="65490" spans="32:32" x14ac:dyDescent="0.2">
      <c r="AF65490" s="679"/>
    </row>
    <row r="65491" spans="32:32" x14ac:dyDescent="0.2">
      <c r="AF65491" s="679"/>
    </row>
    <row r="65492" spans="32:32" x14ac:dyDescent="0.2">
      <c r="AF65492" s="679"/>
    </row>
    <row r="65493" spans="32:32" x14ac:dyDescent="0.2">
      <c r="AF65493" s="679"/>
    </row>
    <row r="65494" spans="32:32" x14ac:dyDescent="0.2">
      <c r="AF65494" s="679"/>
    </row>
    <row r="65495" spans="32:32" x14ac:dyDescent="0.2">
      <c r="AF65495" s="679"/>
    </row>
    <row r="65496" spans="32:32" x14ac:dyDescent="0.2">
      <c r="AF65496" s="679"/>
    </row>
    <row r="65497" spans="32:32" x14ac:dyDescent="0.2">
      <c r="AF65497" s="679"/>
    </row>
    <row r="65498" spans="32:32" x14ac:dyDescent="0.2">
      <c r="AF65498" s="679"/>
    </row>
    <row r="65499" spans="32:32" x14ac:dyDescent="0.2">
      <c r="AF65499" s="679"/>
    </row>
    <row r="65500" spans="32:32" x14ac:dyDescent="0.2">
      <c r="AF65500" s="679"/>
    </row>
    <row r="65501" spans="32:32" x14ac:dyDescent="0.2">
      <c r="AF65501" s="679"/>
    </row>
    <row r="65502" spans="32:32" x14ac:dyDescent="0.2">
      <c r="AF65502" s="679"/>
    </row>
    <row r="65503" spans="32:32" x14ac:dyDescent="0.2">
      <c r="AF65503" s="679"/>
    </row>
    <row r="65504" spans="32:32" x14ac:dyDescent="0.2">
      <c r="AF65504" s="679"/>
    </row>
    <row r="65505" spans="32:32" x14ac:dyDescent="0.2">
      <c r="AF65505" s="679"/>
    </row>
    <row r="65506" spans="32:32" x14ac:dyDescent="0.2">
      <c r="AF65506" s="679"/>
    </row>
    <row r="65507" spans="32:32" x14ac:dyDescent="0.2">
      <c r="AF65507" s="679"/>
    </row>
    <row r="65508" spans="32:32" x14ac:dyDescent="0.2">
      <c r="AF65508" s="679"/>
    </row>
    <row r="65509" spans="32:32" x14ac:dyDescent="0.2">
      <c r="AF65509" s="679"/>
    </row>
    <row r="65510" spans="32:32" x14ac:dyDescent="0.2">
      <c r="AF65510" s="679"/>
    </row>
    <row r="65511" spans="32:32" x14ac:dyDescent="0.2">
      <c r="AF65511" s="679"/>
    </row>
    <row r="65512" spans="32:32" x14ac:dyDescent="0.2">
      <c r="AF65512" s="679"/>
    </row>
    <row r="65513" spans="32:32" x14ac:dyDescent="0.2">
      <c r="AF65513" s="679"/>
    </row>
    <row r="65514" spans="32:32" x14ac:dyDescent="0.2">
      <c r="AF65514" s="679"/>
    </row>
    <row r="65515" spans="32:32" x14ac:dyDescent="0.2">
      <c r="AF65515" s="679"/>
    </row>
    <row r="65516" spans="32:32" x14ac:dyDescent="0.2">
      <c r="AF65516" s="679"/>
    </row>
    <row r="65517" spans="32:32" x14ac:dyDescent="0.2">
      <c r="AF65517" s="679"/>
    </row>
    <row r="65518" spans="32:32" x14ac:dyDescent="0.2">
      <c r="AF65518" s="679"/>
    </row>
    <row r="65519" spans="32:32" x14ac:dyDescent="0.2">
      <c r="AF65519" s="679"/>
    </row>
    <row r="65520" spans="32:32" x14ac:dyDescent="0.2">
      <c r="AF65520" s="679"/>
    </row>
    <row r="65521" spans="32:32" x14ac:dyDescent="0.2">
      <c r="AF65521" s="679"/>
    </row>
    <row r="65522" spans="32:32" x14ac:dyDescent="0.2">
      <c r="AF65522" s="679"/>
    </row>
    <row r="65523" spans="32:32" x14ac:dyDescent="0.2">
      <c r="AF65523" s="679"/>
    </row>
    <row r="65524" spans="32:32" x14ac:dyDescent="0.2">
      <c r="AF65524" s="679"/>
    </row>
    <row r="65525" spans="32:32" x14ac:dyDescent="0.2">
      <c r="AF65525" s="679"/>
    </row>
    <row r="65526" spans="32:32" x14ac:dyDescent="0.2">
      <c r="AF65526" s="679"/>
    </row>
    <row r="65527" spans="32:32" x14ac:dyDescent="0.2">
      <c r="AF65527" s="679"/>
    </row>
    <row r="65528" spans="32:32" x14ac:dyDescent="0.2">
      <c r="AF65528" s="679"/>
    </row>
    <row r="65529" spans="32:32" x14ac:dyDescent="0.2">
      <c r="AF65529" s="679"/>
    </row>
    <row r="65530" spans="32:32" x14ac:dyDescent="0.2">
      <c r="AF65530" s="679"/>
    </row>
    <row r="65531" spans="32:32" x14ac:dyDescent="0.2">
      <c r="AF65531" s="679"/>
    </row>
    <row r="65532" spans="32:32" x14ac:dyDescent="0.2">
      <c r="AF65532" s="679"/>
    </row>
    <row r="65533" spans="32:32" x14ac:dyDescent="0.2">
      <c r="AF65533" s="679"/>
    </row>
    <row r="65534" spans="32:32" x14ac:dyDescent="0.2">
      <c r="AF65534" s="679"/>
    </row>
    <row r="65535" spans="32:32" x14ac:dyDescent="0.2">
      <c r="AF65535" s="679"/>
    </row>
    <row r="65536" spans="32:32" x14ac:dyDescent="0.2">
      <c r="AF65536" s="679"/>
    </row>
    <row r="65537" spans="32:32" x14ac:dyDescent="0.2">
      <c r="AF65537" s="679"/>
    </row>
    <row r="65538" spans="32:32" x14ac:dyDescent="0.2">
      <c r="AF65538" s="679"/>
    </row>
    <row r="65539" spans="32:32" x14ac:dyDescent="0.2">
      <c r="AF65539" s="679"/>
    </row>
    <row r="65540" spans="32:32" x14ac:dyDescent="0.2">
      <c r="AF65540" s="679"/>
    </row>
    <row r="65541" spans="32:32" x14ac:dyDescent="0.2">
      <c r="AF65541" s="679"/>
    </row>
    <row r="65542" spans="32:32" x14ac:dyDescent="0.2">
      <c r="AF65542" s="679"/>
    </row>
    <row r="65543" spans="32:32" x14ac:dyDescent="0.2">
      <c r="AF65543" s="679"/>
    </row>
    <row r="65544" spans="32:32" x14ac:dyDescent="0.2">
      <c r="AF65544" s="679"/>
    </row>
    <row r="65545" spans="32:32" x14ac:dyDescent="0.2">
      <c r="AF65545" s="679"/>
    </row>
    <row r="65546" spans="32:32" x14ac:dyDescent="0.2">
      <c r="AF65546" s="679"/>
    </row>
    <row r="65547" spans="32:32" x14ac:dyDescent="0.2">
      <c r="AF65547" s="679"/>
    </row>
    <row r="65548" spans="32:32" x14ac:dyDescent="0.2">
      <c r="AF65548" s="679"/>
    </row>
    <row r="65549" spans="32:32" x14ac:dyDescent="0.2">
      <c r="AF65549" s="679"/>
    </row>
    <row r="65550" spans="32:32" x14ac:dyDescent="0.2">
      <c r="AF65550" s="679"/>
    </row>
    <row r="65551" spans="32:32" x14ac:dyDescent="0.2">
      <c r="AF65551" s="679"/>
    </row>
    <row r="65552" spans="32:32" x14ac:dyDescent="0.2">
      <c r="AF65552" s="679"/>
    </row>
    <row r="65553" spans="32:32" x14ac:dyDescent="0.2">
      <c r="AF65553" s="679"/>
    </row>
    <row r="65554" spans="32:32" x14ac:dyDescent="0.2">
      <c r="AF65554" s="679"/>
    </row>
    <row r="65555" spans="32:32" x14ac:dyDescent="0.2">
      <c r="AF65555" s="679"/>
    </row>
    <row r="65556" spans="32:32" x14ac:dyDescent="0.2">
      <c r="AF65556" s="679"/>
    </row>
    <row r="65557" spans="32:32" x14ac:dyDescent="0.2">
      <c r="AF65557" s="679"/>
    </row>
    <row r="65558" spans="32:32" x14ac:dyDescent="0.2">
      <c r="AF65558" s="679"/>
    </row>
    <row r="65559" spans="32:32" x14ac:dyDescent="0.2">
      <c r="AF65559" s="679"/>
    </row>
    <row r="65560" spans="32:32" x14ac:dyDescent="0.2">
      <c r="AF65560" s="679"/>
    </row>
    <row r="65561" spans="32:32" x14ac:dyDescent="0.2">
      <c r="AF65561" s="679"/>
    </row>
    <row r="65562" spans="32:32" x14ac:dyDescent="0.2">
      <c r="AF65562" s="679"/>
    </row>
    <row r="65563" spans="32:32" x14ac:dyDescent="0.2">
      <c r="AF65563" s="679"/>
    </row>
    <row r="65564" spans="32:32" x14ac:dyDescent="0.2">
      <c r="AF65564" s="679"/>
    </row>
    <row r="65565" spans="32:32" x14ac:dyDescent="0.2">
      <c r="AF65565" s="679"/>
    </row>
    <row r="65566" spans="32:32" x14ac:dyDescent="0.2">
      <c r="AF65566" s="679"/>
    </row>
    <row r="65567" spans="32:32" x14ac:dyDescent="0.2">
      <c r="AF65567" s="679"/>
    </row>
    <row r="65568" spans="32:32" x14ac:dyDescent="0.2">
      <c r="AF65568" s="679"/>
    </row>
    <row r="65569" spans="32:32" x14ac:dyDescent="0.2">
      <c r="AF65569" s="679"/>
    </row>
    <row r="65570" spans="32:32" x14ac:dyDescent="0.2">
      <c r="AF65570" s="679"/>
    </row>
    <row r="65571" spans="32:32" x14ac:dyDescent="0.2">
      <c r="AF65571" s="679"/>
    </row>
    <row r="65572" spans="32:32" x14ac:dyDescent="0.2">
      <c r="AF65572" s="679"/>
    </row>
    <row r="65573" spans="32:32" x14ac:dyDescent="0.2">
      <c r="AF65573" s="679"/>
    </row>
    <row r="65574" spans="32:32" x14ac:dyDescent="0.2">
      <c r="AF65574" s="679"/>
    </row>
    <row r="65575" spans="32:32" x14ac:dyDescent="0.2">
      <c r="AF65575" s="679"/>
    </row>
    <row r="65576" spans="32:32" x14ac:dyDescent="0.2">
      <c r="AF65576" s="679"/>
    </row>
    <row r="65577" spans="32:32" x14ac:dyDescent="0.2">
      <c r="AF65577" s="679"/>
    </row>
    <row r="65578" spans="32:32" x14ac:dyDescent="0.2">
      <c r="AF65578" s="679"/>
    </row>
    <row r="65579" spans="32:32" x14ac:dyDescent="0.2">
      <c r="AF65579" s="679"/>
    </row>
    <row r="65580" spans="32:32" x14ac:dyDescent="0.2">
      <c r="AF65580" s="679"/>
    </row>
    <row r="65581" spans="32:32" x14ac:dyDescent="0.2">
      <c r="AF65581" s="679"/>
    </row>
    <row r="65582" spans="32:32" x14ac:dyDescent="0.2">
      <c r="AF65582" s="679"/>
    </row>
    <row r="65583" spans="32:32" x14ac:dyDescent="0.2">
      <c r="AF65583" s="679"/>
    </row>
    <row r="65584" spans="32:32" x14ac:dyDescent="0.2">
      <c r="AF65584" s="679"/>
    </row>
    <row r="65585" spans="32:32" x14ac:dyDescent="0.2">
      <c r="AF65585" s="679"/>
    </row>
    <row r="65586" spans="32:32" x14ac:dyDescent="0.2">
      <c r="AF65586" s="679"/>
    </row>
    <row r="65587" spans="32:32" x14ac:dyDescent="0.2">
      <c r="AF65587" s="679"/>
    </row>
    <row r="65588" spans="32:32" x14ac:dyDescent="0.2">
      <c r="AF65588" s="679"/>
    </row>
    <row r="65589" spans="32:32" x14ac:dyDescent="0.2">
      <c r="AF65589" s="679"/>
    </row>
    <row r="65590" spans="32:32" x14ac:dyDescent="0.2">
      <c r="AF65590" s="679"/>
    </row>
    <row r="65591" spans="32:32" x14ac:dyDescent="0.2">
      <c r="AF65591" s="679"/>
    </row>
    <row r="65592" spans="32:32" x14ac:dyDescent="0.2">
      <c r="AF65592" s="679"/>
    </row>
    <row r="65593" spans="32:32" x14ac:dyDescent="0.2">
      <c r="AF65593" s="679"/>
    </row>
    <row r="65594" spans="32:32" x14ac:dyDescent="0.2">
      <c r="AF65594" s="679"/>
    </row>
    <row r="65595" spans="32:32" x14ac:dyDescent="0.2">
      <c r="AF65595" s="679"/>
    </row>
    <row r="65596" spans="32:32" x14ac:dyDescent="0.2">
      <c r="AF65596" s="679"/>
    </row>
    <row r="65597" spans="32:32" x14ac:dyDescent="0.2">
      <c r="AF65597" s="679"/>
    </row>
    <row r="65598" spans="32:32" x14ac:dyDescent="0.2">
      <c r="AF65598" s="679"/>
    </row>
    <row r="65599" spans="32:32" x14ac:dyDescent="0.2">
      <c r="AF65599" s="679"/>
    </row>
    <row r="65600" spans="32:32" x14ac:dyDescent="0.2">
      <c r="AF65600" s="679"/>
    </row>
    <row r="65601" spans="32:32" x14ac:dyDescent="0.2">
      <c r="AF65601" s="679"/>
    </row>
    <row r="65602" spans="32:32" x14ac:dyDescent="0.2">
      <c r="AF65602" s="679"/>
    </row>
    <row r="65603" spans="32:32" x14ac:dyDescent="0.2">
      <c r="AF65603" s="679"/>
    </row>
    <row r="65604" spans="32:32" x14ac:dyDescent="0.2">
      <c r="AF65604" s="679"/>
    </row>
    <row r="65605" spans="32:32" x14ac:dyDescent="0.2">
      <c r="AF65605" s="679"/>
    </row>
    <row r="65606" spans="32:32" x14ac:dyDescent="0.2">
      <c r="AF65606" s="679"/>
    </row>
    <row r="65607" spans="32:32" x14ac:dyDescent="0.2">
      <c r="AF65607" s="679"/>
    </row>
    <row r="65608" spans="32:32" x14ac:dyDescent="0.2">
      <c r="AF65608" s="679"/>
    </row>
    <row r="65609" spans="32:32" x14ac:dyDescent="0.2">
      <c r="AF65609" s="679"/>
    </row>
    <row r="65610" spans="32:32" x14ac:dyDescent="0.2">
      <c r="AF65610" s="679"/>
    </row>
    <row r="65611" spans="32:32" x14ac:dyDescent="0.2">
      <c r="AF65611" s="679"/>
    </row>
    <row r="65612" spans="32:32" x14ac:dyDescent="0.2">
      <c r="AF65612" s="679"/>
    </row>
    <row r="65613" spans="32:32" x14ac:dyDescent="0.2">
      <c r="AF65613" s="679"/>
    </row>
    <row r="65614" spans="32:32" x14ac:dyDescent="0.2">
      <c r="AF65614" s="679"/>
    </row>
    <row r="65615" spans="32:32" x14ac:dyDescent="0.2">
      <c r="AF65615" s="679"/>
    </row>
    <row r="65616" spans="32:32" x14ac:dyDescent="0.2">
      <c r="AF65616" s="679"/>
    </row>
    <row r="65617" spans="32:32" x14ac:dyDescent="0.2">
      <c r="AF65617" s="679"/>
    </row>
    <row r="65618" spans="32:32" x14ac:dyDescent="0.2">
      <c r="AF65618" s="679"/>
    </row>
    <row r="65619" spans="32:32" x14ac:dyDescent="0.2">
      <c r="AF65619" s="679"/>
    </row>
    <row r="65620" spans="32:32" x14ac:dyDescent="0.2">
      <c r="AF65620" s="679"/>
    </row>
    <row r="65621" spans="32:32" x14ac:dyDescent="0.2">
      <c r="AF65621" s="679"/>
    </row>
    <row r="65622" spans="32:32" x14ac:dyDescent="0.2">
      <c r="AF65622" s="679"/>
    </row>
    <row r="65623" spans="32:32" x14ac:dyDescent="0.2">
      <c r="AF65623" s="679"/>
    </row>
    <row r="65624" spans="32:32" x14ac:dyDescent="0.2">
      <c r="AF65624" s="679"/>
    </row>
    <row r="65625" spans="32:32" x14ac:dyDescent="0.2">
      <c r="AF65625" s="679"/>
    </row>
    <row r="65626" spans="32:32" x14ac:dyDescent="0.2">
      <c r="AF65626" s="679"/>
    </row>
    <row r="65627" spans="32:32" x14ac:dyDescent="0.2">
      <c r="AF65627" s="679"/>
    </row>
    <row r="65628" spans="32:32" x14ac:dyDescent="0.2">
      <c r="AF65628" s="679"/>
    </row>
    <row r="65629" spans="32:32" x14ac:dyDescent="0.2">
      <c r="AF65629" s="679"/>
    </row>
    <row r="65630" spans="32:32" x14ac:dyDescent="0.2">
      <c r="AF65630" s="679"/>
    </row>
    <row r="65631" spans="32:32" x14ac:dyDescent="0.2">
      <c r="AF65631" s="679"/>
    </row>
    <row r="65632" spans="32:32" x14ac:dyDescent="0.2">
      <c r="AF65632" s="679"/>
    </row>
    <row r="65633" spans="32:32" x14ac:dyDescent="0.2">
      <c r="AF65633" s="679"/>
    </row>
    <row r="65634" spans="32:32" x14ac:dyDescent="0.2">
      <c r="AF65634" s="679"/>
    </row>
    <row r="65635" spans="32:32" x14ac:dyDescent="0.2">
      <c r="AF65635" s="679"/>
    </row>
    <row r="65636" spans="32:32" x14ac:dyDescent="0.2">
      <c r="AF65636" s="679"/>
    </row>
    <row r="65637" spans="32:32" x14ac:dyDescent="0.2">
      <c r="AF65637" s="679"/>
    </row>
    <row r="65638" spans="32:32" x14ac:dyDescent="0.2">
      <c r="AF65638" s="679"/>
    </row>
    <row r="65639" spans="32:32" x14ac:dyDescent="0.2">
      <c r="AF65639" s="679"/>
    </row>
    <row r="65640" spans="32:32" x14ac:dyDescent="0.2">
      <c r="AF65640" s="679"/>
    </row>
    <row r="65641" spans="32:32" x14ac:dyDescent="0.2">
      <c r="AF65641" s="679"/>
    </row>
    <row r="65642" spans="32:32" x14ac:dyDescent="0.2">
      <c r="AF65642" s="679"/>
    </row>
    <row r="65643" spans="32:32" x14ac:dyDescent="0.2">
      <c r="AF65643" s="679"/>
    </row>
    <row r="65644" spans="32:32" x14ac:dyDescent="0.2">
      <c r="AF65644" s="679"/>
    </row>
    <row r="65645" spans="32:32" x14ac:dyDescent="0.2">
      <c r="AF65645" s="679"/>
    </row>
    <row r="65646" spans="32:32" x14ac:dyDescent="0.2">
      <c r="AF65646" s="679"/>
    </row>
    <row r="65647" spans="32:32" x14ac:dyDescent="0.2">
      <c r="AF65647" s="679"/>
    </row>
    <row r="65648" spans="32:32" x14ac:dyDescent="0.2">
      <c r="AF65648" s="679"/>
    </row>
    <row r="65649" spans="32:32" x14ac:dyDescent="0.2">
      <c r="AF65649" s="679"/>
    </row>
    <row r="65650" spans="32:32" x14ac:dyDescent="0.2">
      <c r="AF65650" s="679"/>
    </row>
    <row r="65651" spans="32:32" x14ac:dyDescent="0.2">
      <c r="AF65651" s="679"/>
    </row>
    <row r="65652" spans="32:32" x14ac:dyDescent="0.2">
      <c r="AF65652" s="679"/>
    </row>
    <row r="65653" spans="32:32" x14ac:dyDescent="0.2">
      <c r="AF65653" s="679"/>
    </row>
    <row r="65654" spans="32:32" x14ac:dyDescent="0.2">
      <c r="AF65654" s="679"/>
    </row>
    <row r="65655" spans="32:32" x14ac:dyDescent="0.2">
      <c r="AF65655" s="679"/>
    </row>
    <row r="65656" spans="32:32" x14ac:dyDescent="0.2">
      <c r="AF65656" s="679"/>
    </row>
    <row r="65657" spans="32:32" x14ac:dyDescent="0.2">
      <c r="AF65657" s="679"/>
    </row>
    <row r="65658" spans="32:32" x14ac:dyDescent="0.2">
      <c r="AF65658" s="679"/>
    </row>
    <row r="65659" spans="32:32" x14ac:dyDescent="0.2">
      <c r="AF65659" s="679"/>
    </row>
    <row r="65660" spans="32:32" x14ac:dyDescent="0.2">
      <c r="AF65660" s="679"/>
    </row>
    <row r="65661" spans="32:32" x14ac:dyDescent="0.2">
      <c r="AF65661" s="679"/>
    </row>
    <row r="65662" spans="32:32" x14ac:dyDescent="0.2">
      <c r="AF65662" s="679"/>
    </row>
    <row r="65663" spans="32:32" x14ac:dyDescent="0.2">
      <c r="AF65663" s="679"/>
    </row>
    <row r="65664" spans="32:32" x14ac:dyDescent="0.2">
      <c r="AF65664" s="679"/>
    </row>
    <row r="65665" spans="32:32" x14ac:dyDescent="0.2">
      <c r="AF65665" s="679"/>
    </row>
    <row r="65666" spans="32:32" x14ac:dyDescent="0.2">
      <c r="AF65666" s="679"/>
    </row>
    <row r="65667" spans="32:32" x14ac:dyDescent="0.2">
      <c r="AF65667" s="679"/>
    </row>
    <row r="65668" spans="32:32" x14ac:dyDescent="0.2">
      <c r="AF65668" s="679"/>
    </row>
    <row r="65669" spans="32:32" x14ac:dyDescent="0.2">
      <c r="AF65669" s="679"/>
    </row>
    <row r="65670" spans="32:32" x14ac:dyDescent="0.2">
      <c r="AF65670" s="679"/>
    </row>
    <row r="65671" spans="32:32" x14ac:dyDescent="0.2">
      <c r="AF65671" s="679"/>
    </row>
    <row r="65672" spans="32:32" x14ac:dyDescent="0.2">
      <c r="AF65672" s="679"/>
    </row>
    <row r="65673" spans="32:32" x14ac:dyDescent="0.2">
      <c r="AF65673" s="679"/>
    </row>
    <row r="65674" spans="32:32" x14ac:dyDescent="0.2">
      <c r="AF65674" s="679"/>
    </row>
    <row r="65675" spans="32:32" x14ac:dyDescent="0.2">
      <c r="AF65675" s="679"/>
    </row>
    <row r="65676" spans="32:32" x14ac:dyDescent="0.2">
      <c r="AF65676" s="679"/>
    </row>
    <row r="65677" spans="32:32" x14ac:dyDescent="0.2">
      <c r="AF65677" s="679"/>
    </row>
    <row r="65678" spans="32:32" x14ac:dyDescent="0.2">
      <c r="AF65678" s="679"/>
    </row>
    <row r="65679" spans="32:32" x14ac:dyDescent="0.2">
      <c r="AF65679" s="679"/>
    </row>
    <row r="65680" spans="32:32" x14ac:dyDescent="0.2">
      <c r="AF65680" s="679"/>
    </row>
    <row r="65681" spans="32:32" x14ac:dyDescent="0.2">
      <c r="AF65681" s="679"/>
    </row>
    <row r="65682" spans="32:32" x14ac:dyDescent="0.2">
      <c r="AF65682" s="679"/>
    </row>
    <row r="65683" spans="32:32" x14ac:dyDescent="0.2">
      <c r="AF65683" s="679"/>
    </row>
    <row r="65684" spans="32:32" x14ac:dyDescent="0.2">
      <c r="AF65684" s="679"/>
    </row>
    <row r="65685" spans="32:32" x14ac:dyDescent="0.2">
      <c r="AF65685" s="679"/>
    </row>
    <row r="65686" spans="32:32" x14ac:dyDescent="0.2">
      <c r="AF65686" s="679"/>
    </row>
    <row r="65687" spans="32:32" x14ac:dyDescent="0.2">
      <c r="AF65687" s="679"/>
    </row>
    <row r="65688" spans="32:32" x14ac:dyDescent="0.2">
      <c r="AF65688" s="679"/>
    </row>
    <row r="65689" spans="32:32" x14ac:dyDescent="0.2">
      <c r="AF65689" s="679"/>
    </row>
    <row r="65690" spans="32:32" x14ac:dyDescent="0.2">
      <c r="AF65690" s="679"/>
    </row>
    <row r="65691" spans="32:32" x14ac:dyDescent="0.2">
      <c r="AF65691" s="679"/>
    </row>
    <row r="65692" spans="32:32" x14ac:dyDescent="0.2">
      <c r="AF65692" s="679"/>
    </row>
    <row r="65693" spans="32:32" x14ac:dyDescent="0.2">
      <c r="AF65693" s="679"/>
    </row>
    <row r="65694" spans="32:32" x14ac:dyDescent="0.2">
      <c r="AF65694" s="679"/>
    </row>
    <row r="65695" spans="32:32" x14ac:dyDescent="0.2">
      <c r="AF65695" s="679"/>
    </row>
    <row r="65696" spans="32:32" x14ac:dyDescent="0.2">
      <c r="AF65696" s="679"/>
    </row>
    <row r="65697" spans="32:32" x14ac:dyDescent="0.2">
      <c r="AF65697" s="679"/>
    </row>
    <row r="65698" spans="32:32" x14ac:dyDescent="0.2">
      <c r="AF65698" s="679"/>
    </row>
    <row r="65699" spans="32:32" x14ac:dyDescent="0.2">
      <c r="AF65699" s="679"/>
    </row>
    <row r="65700" spans="32:32" x14ac:dyDescent="0.2">
      <c r="AF65700" s="679"/>
    </row>
    <row r="65701" spans="32:32" x14ac:dyDescent="0.2">
      <c r="AF65701" s="679"/>
    </row>
    <row r="65702" spans="32:32" x14ac:dyDescent="0.2">
      <c r="AF65702" s="679"/>
    </row>
    <row r="65703" spans="32:32" x14ac:dyDescent="0.2">
      <c r="AF65703" s="679"/>
    </row>
    <row r="65704" spans="32:32" x14ac:dyDescent="0.2">
      <c r="AF65704" s="679"/>
    </row>
    <row r="65705" spans="32:32" x14ac:dyDescent="0.2">
      <c r="AF65705" s="679"/>
    </row>
    <row r="65706" spans="32:32" x14ac:dyDescent="0.2">
      <c r="AF65706" s="679"/>
    </row>
    <row r="65707" spans="32:32" x14ac:dyDescent="0.2">
      <c r="AF65707" s="679"/>
    </row>
    <row r="65708" spans="32:32" x14ac:dyDescent="0.2">
      <c r="AF65708" s="679"/>
    </row>
    <row r="65709" spans="32:32" x14ac:dyDescent="0.2">
      <c r="AF65709" s="679"/>
    </row>
    <row r="65710" spans="32:32" x14ac:dyDescent="0.2">
      <c r="AF65710" s="679"/>
    </row>
    <row r="65711" spans="32:32" x14ac:dyDescent="0.2">
      <c r="AF65711" s="679"/>
    </row>
    <row r="65712" spans="32:32" x14ac:dyDescent="0.2">
      <c r="AF65712" s="679"/>
    </row>
    <row r="65713" spans="32:32" x14ac:dyDescent="0.2">
      <c r="AF65713" s="679"/>
    </row>
    <row r="65714" spans="32:32" x14ac:dyDescent="0.2">
      <c r="AF65714" s="679"/>
    </row>
    <row r="65715" spans="32:32" x14ac:dyDescent="0.2">
      <c r="AF65715" s="679"/>
    </row>
    <row r="65716" spans="32:32" x14ac:dyDescent="0.2">
      <c r="AF65716" s="679"/>
    </row>
    <row r="65717" spans="32:32" x14ac:dyDescent="0.2">
      <c r="AF65717" s="679"/>
    </row>
    <row r="65718" spans="32:32" x14ac:dyDescent="0.2">
      <c r="AF65718" s="679"/>
    </row>
    <row r="65719" spans="32:32" x14ac:dyDescent="0.2">
      <c r="AF65719" s="679"/>
    </row>
    <row r="65720" spans="32:32" x14ac:dyDescent="0.2">
      <c r="AF65720" s="679"/>
    </row>
    <row r="65721" spans="32:32" x14ac:dyDescent="0.2">
      <c r="AF65721" s="679"/>
    </row>
    <row r="65722" spans="32:32" x14ac:dyDescent="0.2">
      <c r="AF65722" s="679"/>
    </row>
    <row r="65723" spans="32:32" x14ac:dyDescent="0.2">
      <c r="AF65723" s="679"/>
    </row>
    <row r="65724" spans="32:32" x14ac:dyDescent="0.2">
      <c r="AF65724" s="679"/>
    </row>
    <row r="65725" spans="32:32" x14ac:dyDescent="0.2">
      <c r="AF65725" s="679"/>
    </row>
    <row r="65726" spans="32:32" x14ac:dyDescent="0.2">
      <c r="AF65726" s="679"/>
    </row>
    <row r="65727" spans="32:32" x14ac:dyDescent="0.2">
      <c r="AF65727" s="679"/>
    </row>
    <row r="65728" spans="32:32" x14ac:dyDescent="0.2">
      <c r="AF65728" s="679"/>
    </row>
    <row r="65729" spans="32:32" x14ac:dyDescent="0.2">
      <c r="AF65729" s="679"/>
    </row>
    <row r="65730" spans="32:32" x14ac:dyDescent="0.2">
      <c r="AF65730" s="679"/>
    </row>
    <row r="65731" spans="32:32" x14ac:dyDescent="0.2">
      <c r="AF65731" s="679"/>
    </row>
    <row r="65732" spans="32:32" x14ac:dyDescent="0.2">
      <c r="AF65732" s="679"/>
    </row>
    <row r="65733" spans="32:32" x14ac:dyDescent="0.2">
      <c r="AF65733" s="679"/>
    </row>
    <row r="65734" spans="32:32" x14ac:dyDescent="0.2">
      <c r="AF65734" s="679"/>
    </row>
    <row r="65735" spans="32:32" x14ac:dyDescent="0.2">
      <c r="AF65735" s="679"/>
    </row>
    <row r="65736" spans="32:32" x14ac:dyDescent="0.2">
      <c r="AF65736" s="679"/>
    </row>
    <row r="65737" spans="32:32" x14ac:dyDescent="0.2">
      <c r="AF65737" s="679"/>
    </row>
    <row r="65738" spans="32:32" x14ac:dyDescent="0.2">
      <c r="AF65738" s="679"/>
    </row>
    <row r="65739" spans="32:32" x14ac:dyDescent="0.2">
      <c r="AF65739" s="679"/>
    </row>
    <row r="65740" spans="32:32" x14ac:dyDescent="0.2">
      <c r="AF65740" s="679"/>
    </row>
    <row r="65741" spans="32:32" x14ac:dyDescent="0.2">
      <c r="AF65741" s="679"/>
    </row>
    <row r="65742" spans="32:32" x14ac:dyDescent="0.2">
      <c r="AF65742" s="679"/>
    </row>
    <row r="65743" spans="32:32" x14ac:dyDescent="0.2">
      <c r="AF65743" s="679"/>
    </row>
    <row r="65744" spans="32:32" x14ac:dyDescent="0.2">
      <c r="AF65744" s="679"/>
    </row>
    <row r="65745" spans="32:32" x14ac:dyDescent="0.2">
      <c r="AF65745" s="679"/>
    </row>
    <row r="65746" spans="32:32" x14ac:dyDescent="0.2">
      <c r="AF65746" s="679"/>
    </row>
    <row r="65747" spans="32:32" x14ac:dyDescent="0.2">
      <c r="AF65747" s="679"/>
    </row>
    <row r="65748" spans="32:32" x14ac:dyDescent="0.2">
      <c r="AF65748" s="679"/>
    </row>
    <row r="65749" spans="32:32" x14ac:dyDescent="0.2">
      <c r="AF65749" s="679"/>
    </row>
    <row r="65750" spans="32:32" x14ac:dyDescent="0.2">
      <c r="AF65750" s="679"/>
    </row>
    <row r="65751" spans="32:32" x14ac:dyDescent="0.2">
      <c r="AF65751" s="679"/>
    </row>
    <row r="65752" spans="32:32" x14ac:dyDescent="0.2">
      <c r="AF65752" s="679"/>
    </row>
    <row r="65753" spans="32:32" x14ac:dyDescent="0.2">
      <c r="AF65753" s="679"/>
    </row>
    <row r="65754" spans="32:32" x14ac:dyDescent="0.2">
      <c r="AF65754" s="679"/>
    </row>
    <row r="65755" spans="32:32" x14ac:dyDescent="0.2">
      <c r="AF65755" s="679"/>
    </row>
    <row r="65756" spans="32:32" x14ac:dyDescent="0.2">
      <c r="AF65756" s="679"/>
    </row>
    <row r="65757" spans="32:32" x14ac:dyDescent="0.2">
      <c r="AF65757" s="679"/>
    </row>
    <row r="65758" spans="32:32" x14ac:dyDescent="0.2">
      <c r="AF65758" s="679"/>
    </row>
    <row r="65759" spans="32:32" x14ac:dyDescent="0.2">
      <c r="AF65759" s="679"/>
    </row>
    <row r="65760" spans="32:32" x14ac:dyDescent="0.2">
      <c r="AF65760" s="679"/>
    </row>
    <row r="65761" spans="32:32" x14ac:dyDescent="0.2">
      <c r="AF65761" s="679"/>
    </row>
    <row r="65762" spans="32:32" x14ac:dyDescent="0.2">
      <c r="AF65762" s="679"/>
    </row>
    <row r="65763" spans="32:32" x14ac:dyDescent="0.2">
      <c r="AF65763" s="679"/>
    </row>
    <row r="65764" spans="32:32" x14ac:dyDescent="0.2">
      <c r="AF65764" s="679"/>
    </row>
    <row r="65765" spans="32:32" x14ac:dyDescent="0.2">
      <c r="AF65765" s="679"/>
    </row>
  </sheetData>
  <sheetProtection algorithmName="SHA-512" hashValue="y9STxhncmN6zlbC6A7n9R6lAIzTZkoUW+GeUEro/3lk6v1FPSxsKbWEKfOwcno9onquJ3wtpp/gr1ke13wDhOw==" saltValue="a3N1iwr0wKDfpdsK5pa7jg==" spinCount="100000" sheet="1" objects="1" scenarios="1" autoFilter="0"/>
  <autoFilter ref="L15:L235" xr:uid="{00000000-0009-0000-0000-000004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251:Q251"/>
    <mergeCell ref="O15:R15"/>
    <mergeCell ref="Q238:X238"/>
    <mergeCell ref="O241:X243"/>
    <mergeCell ref="O245:X245"/>
    <mergeCell ref="O248:Q248"/>
    <mergeCell ref="O246:X246"/>
  </mergeCells>
  <phoneticPr fontId="38" type="noConversion"/>
  <conditionalFormatting sqref="M14 M16:M21 M98:M113 M210:M221 M123:M129 M193:M200 M158:M165 M23:M27 M51:M88 M42:M44 M37:M40 M46:M49 M29:M35 M225:M234">
    <cfRule type="cellIs" dxfId="899" priority="43432" stopIfTrue="1" operator="notEqual">
      <formula>$N14</formula>
    </cfRule>
  </conditionalFormatting>
  <conditionalFormatting sqref="N14:O14 W14 N16:O21 W16:X21 N98:O113 W98:X113 N210:O221 W210:X221 N123:O129 W123:X129 N193:O200 W193:X200 N158:O165 W158:X165 W23:X27 N23:O27 W51:X88 N51:O88 W42:X44 N42:O44 W37:X40 N37:O40 N46:O49 W46:X49 W29:X35 N29:O35 N225:O234 W225:X234 R225:R234">
    <cfRule type="expression" dxfId="898" priority="43433" stopIfTrue="1">
      <formula>$C14=1</formula>
    </cfRule>
    <cfRule type="expression" dxfId="897" priority="43434" stopIfTrue="1">
      <formula>OR($C14=0,$C14=2,$C14=3,$C14=4)</formula>
    </cfRule>
  </conditionalFormatting>
  <conditionalFormatting sqref="U14:V14 U225:V234">
    <cfRule type="expression" dxfId="896" priority="43435" stopIfTrue="1">
      <formula>$C14=1</formula>
    </cfRule>
    <cfRule type="expression" dxfId="895" priority="43436" stopIfTrue="1">
      <formula>OR($C14=0,$C14=2,$C14=3,$C14=4)</formula>
    </cfRule>
    <cfRule type="expression" dxfId="894" priority="43437" stopIfTrue="1">
      <formula>AND(TIPOORCAMENTO="Licitado",$C14&lt;&gt;"L",$C14&lt;&gt;-1)</formula>
    </cfRule>
  </conditionalFormatting>
  <conditionalFormatting sqref="P14:Q14 S14:T14 Y14 AG14:AH14 Y16:Y21 AG16:AH21 T16:T21 T98:T113 Y98:Y113 AG98:AH113 T210:T221 Y210:Y221 AG210:AH221 T123:T129 Y123:Y129 AG123:AH129 T193:T200 Y193:Y200 AG193:AH200 T158:T165 Y158:Y165 AG158:AH165 T23:T27 AG23:AH27 Y23:Y27 AG51:AH88 Y51:Y88 T51:T88 AG42:AH44 Y42:Y44 T42:T44 T37:T40 AG37:AH40 Y37:Y40 T46:T49 Y46:Y49 AG46:AH49 T29:T35 AG29:AH35 Y29:Y35 S225:T234 Y225:Y234 AG225:AH234 P225:Q234">
    <cfRule type="expression" dxfId="893" priority="43438" stopIfTrue="1">
      <formula>$C14=1</formula>
    </cfRule>
    <cfRule type="expression" dxfId="892" priority="43439" stopIfTrue="1">
      <formula>OR($C14=0,$C14=2,$C14=3,$C14=4)</formula>
    </cfRule>
  </conditionalFormatting>
  <conditionalFormatting sqref="AJ7:AJ21 AJ158:AJ221 AJ23:AJ27 AJ51:AJ156 AJ42:AJ44 AJ37:AJ40 AJ46:AJ49 AJ29:AJ35 AJ225:AJ235">
    <cfRule type="expression" dxfId="891" priority="43440" stopIfTrue="1">
      <formula>OR(ACOMPANHAMENTO&lt;&gt;"BM",TIPOORCAMENTO="Licitado")</formula>
    </cfRule>
    <cfRule type="expression" dxfId="890" priority="43441" stopIfTrue="1">
      <formula>$C7=1</formula>
    </cfRule>
    <cfRule type="expression" dxfId="889" priority="43442" stopIfTrue="1">
      <formula>OR(AND(ISNUMBER($C7),$C7=0),$C7=2,$C7=3,$C7=4)</formula>
    </cfRule>
  </conditionalFormatting>
  <conditionalFormatting sqref="AL7:AL21 AL158:AL221 AL23:AL27 AL51:AL156 AL42:AL44 AL37:AL40 AL46:AL49 AL29:AL35 AL225:AL235">
    <cfRule type="expression" dxfId="888" priority="43443" stopIfTrue="1">
      <formula>TIPOORCAMENTO="PROPOSTO"</formula>
    </cfRule>
    <cfRule type="expression" dxfId="887" priority="43444" stopIfTrue="1">
      <formula>$C7=1</formula>
    </cfRule>
    <cfRule type="expression" dxfId="886" priority="43445" stopIfTrue="1">
      <formula>OR(AND(ISNUMBER($C7),$C7=0),$C7=2,$C7=3,$C7=4)</formula>
    </cfRule>
  </conditionalFormatting>
  <conditionalFormatting sqref="O8:P8">
    <cfRule type="expression" dxfId="885" priority="43449" stopIfTrue="1">
      <formula>ISERROR(INDIRECT($F$9))</formula>
    </cfRule>
  </conditionalFormatting>
  <conditionalFormatting sqref="S7:V8">
    <cfRule type="expression" dxfId="884" priority="43450" stopIfTrue="1">
      <formula>TIPOORCAMENTO="Proposto"</formula>
    </cfRule>
  </conditionalFormatting>
  <conditionalFormatting sqref="S9:X9">
    <cfRule type="expression" dxfId="883" priority="43397" stopIfTrue="1">
      <formula>TIPOORCAMENTO="Proposto"</formula>
    </cfRule>
  </conditionalFormatting>
  <conditionalFormatting sqref="AM7:AN21 AM158:AN221 AM23:AN27 AM51:AN156 AM42:AN44 AM37:AN40 AM46:AN49 AM29:AN35 AM225:AN235">
    <cfRule type="expression" dxfId="882" priority="43446" stopIfTrue="1">
      <formula>TIPOORCAMENTO="PROPOSTO"</formula>
    </cfRule>
    <cfRule type="expression" dxfId="881" priority="43447" stopIfTrue="1">
      <formula>$C7=1</formula>
    </cfRule>
    <cfRule type="expression" dxfId="880" priority="43448" stopIfTrue="1">
      <formula>OR(AND(ISNUMBER($C7),$C7=0),$C7=2,$C7=3,$C7=4)</formula>
    </cfRule>
  </conditionalFormatting>
  <conditionalFormatting sqref="X14">
    <cfRule type="expression" dxfId="879" priority="29022" stopIfTrue="1">
      <formula>$C14=1</formula>
    </cfRule>
    <cfRule type="expression" dxfId="878" priority="29023" stopIfTrue="1">
      <formula>OR($C14=0,$C14=2,$C14=3,$C14=4)</formula>
    </cfRule>
  </conditionalFormatting>
  <conditionalFormatting sqref="AC11">
    <cfRule type="cellIs" dxfId="877" priority="19857" operator="equal">
      <formula>"OK"</formula>
    </cfRule>
  </conditionalFormatting>
  <conditionalFormatting sqref="R14">
    <cfRule type="expression" dxfId="876" priority="4789" stopIfTrue="1">
      <formula>$C14=1</formula>
    </cfRule>
    <cfRule type="expression" dxfId="875" priority="4790" stopIfTrue="1">
      <formula>OR($C14=0,$C14=2,$C14=3,$C14=4)</formula>
    </cfRule>
  </conditionalFormatting>
  <conditionalFormatting sqref="R14">
    <cfRule type="beginsWith" dxfId="874" priority="4788" operator="beginsWith" text="(">
      <formula>LEFT(R14,LEN("("))="("</formula>
    </cfRule>
  </conditionalFormatting>
  <conditionalFormatting sqref="M89:M97">
    <cfRule type="cellIs" dxfId="873" priority="604" stopIfTrue="1" operator="notEqual">
      <formula>$N89</formula>
    </cfRule>
  </conditionalFormatting>
  <conditionalFormatting sqref="N89:O97 W89:W97">
    <cfRule type="expression" dxfId="872" priority="605" stopIfTrue="1">
      <formula>$C89=1</formula>
    </cfRule>
    <cfRule type="expression" dxfId="871" priority="606" stopIfTrue="1">
      <formula>OR($C89=0,$C89=2,$C89=3,$C89=4)</formula>
    </cfRule>
  </conditionalFormatting>
  <conditionalFormatting sqref="T89:T97 Y89:Y97 AG89:AH97">
    <cfRule type="expression" dxfId="870" priority="610" stopIfTrue="1">
      <formula>$C89=1</formula>
    </cfRule>
    <cfRule type="expression" dxfId="869" priority="611" stopIfTrue="1">
      <formula>OR($C89=0,$C89=2,$C89=3,$C89=4)</formula>
    </cfRule>
  </conditionalFormatting>
  <conditionalFormatting sqref="X89:X97">
    <cfRule type="expression" dxfId="868" priority="602" stopIfTrue="1">
      <formula>$C89=1</formula>
    </cfRule>
    <cfRule type="expression" dxfId="867" priority="603" stopIfTrue="1">
      <formula>OR($C89=0,$C89=2,$C89=3,$C89=4)</formula>
    </cfRule>
  </conditionalFormatting>
  <conditionalFormatting sqref="M114:M122">
    <cfRule type="cellIs" dxfId="866" priority="565" stopIfTrue="1" operator="notEqual">
      <formula>$N114</formula>
    </cfRule>
  </conditionalFormatting>
  <conditionalFormatting sqref="N114:O122 W114:W122">
    <cfRule type="expression" dxfId="865" priority="566" stopIfTrue="1">
      <formula>$C114=1</formula>
    </cfRule>
    <cfRule type="expression" dxfId="864" priority="567" stopIfTrue="1">
      <formula>OR($C114=0,$C114=2,$C114=3,$C114=4)</formula>
    </cfRule>
  </conditionalFormatting>
  <conditionalFormatting sqref="T114:T122 Y114:Y122 AG114:AH122">
    <cfRule type="expression" dxfId="863" priority="571" stopIfTrue="1">
      <formula>$C114=1</formula>
    </cfRule>
    <cfRule type="expression" dxfId="862" priority="572" stopIfTrue="1">
      <formula>OR($C114=0,$C114=2,$C114=3,$C114=4)</formula>
    </cfRule>
  </conditionalFormatting>
  <conditionalFormatting sqref="X114:X122">
    <cfRule type="expression" dxfId="861" priority="563" stopIfTrue="1">
      <formula>$C114=1</formula>
    </cfRule>
    <cfRule type="expression" dxfId="860" priority="564" stopIfTrue="1">
      <formula>OR($C114=0,$C114=2,$C114=3,$C114=4)</formula>
    </cfRule>
  </conditionalFormatting>
  <conditionalFormatting sqref="M130:M138">
    <cfRule type="cellIs" dxfId="859" priority="539" stopIfTrue="1" operator="notEqual">
      <formula>$N130</formula>
    </cfRule>
  </conditionalFormatting>
  <conditionalFormatting sqref="N130:O138 W130:W138">
    <cfRule type="expression" dxfId="858" priority="540" stopIfTrue="1">
      <formula>$C130=1</formula>
    </cfRule>
    <cfRule type="expression" dxfId="857" priority="541" stopIfTrue="1">
      <formula>OR($C130=0,$C130=2,$C130=3,$C130=4)</formula>
    </cfRule>
  </conditionalFormatting>
  <conditionalFormatting sqref="T130:T138 Y130:Y138 AG130:AH138">
    <cfRule type="expression" dxfId="856" priority="545" stopIfTrue="1">
      <formula>$C130=1</formula>
    </cfRule>
    <cfRule type="expression" dxfId="855" priority="546" stopIfTrue="1">
      <formula>OR($C130=0,$C130=2,$C130=3,$C130=4)</formula>
    </cfRule>
  </conditionalFormatting>
  <conditionalFormatting sqref="X130:X138">
    <cfRule type="expression" dxfId="854" priority="537" stopIfTrue="1">
      <formula>$C130=1</formula>
    </cfRule>
    <cfRule type="expression" dxfId="853" priority="538" stopIfTrue="1">
      <formula>OR($C130=0,$C130=2,$C130=3,$C130=4)</formula>
    </cfRule>
  </conditionalFormatting>
  <conditionalFormatting sqref="M139:M147">
    <cfRule type="cellIs" dxfId="852" priority="526" stopIfTrue="1" operator="notEqual">
      <formula>$N139</formula>
    </cfRule>
  </conditionalFormatting>
  <conditionalFormatting sqref="N139:O147 W139:W147">
    <cfRule type="expression" dxfId="851" priority="527" stopIfTrue="1">
      <formula>$C139=1</formula>
    </cfRule>
    <cfRule type="expression" dxfId="850" priority="528" stopIfTrue="1">
      <formula>OR($C139=0,$C139=2,$C139=3,$C139=4)</formula>
    </cfRule>
  </conditionalFormatting>
  <conditionalFormatting sqref="T139:T147 Y139:Y147 AG139:AH147">
    <cfRule type="expression" dxfId="849" priority="532" stopIfTrue="1">
      <formula>$C139=1</formula>
    </cfRule>
    <cfRule type="expression" dxfId="848" priority="533" stopIfTrue="1">
      <formula>OR($C139=0,$C139=2,$C139=3,$C139=4)</formula>
    </cfRule>
  </conditionalFormatting>
  <conditionalFormatting sqref="X139:X147">
    <cfRule type="expression" dxfId="847" priority="524" stopIfTrue="1">
      <formula>$C139=1</formula>
    </cfRule>
    <cfRule type="expression" dxfId="846" priority="525" stopIfTrue="1">
      <formula>OR($C139=0,$C139=2,$C139=3,$C139=4)</formula>
    </cfRule>
  </conditionalFormatting>
  <conditionalFormatting sqref="M148:M156">
    <cfRule type="cellIs" dxfId="845" priority="513" stopIfTrue="1" operator="notEqual">
      <formula>$N148</formula>
    </cfRule>
  </conditionalFormatting>
  <conditionalFormatting sqref="N148:O156 W148:W156">
    <cfRule type="expression" dxfId="844" priority="514" stopIfTrue="1">
      <formula>$C148=1</formula>
    </cfRule>
    <cfRule type="expression" dxfId="843" priority="515" stopIfTrue="1">
      <formula>OR($C148=0,$C148=2,$C148=3,$C148=4)</formula>
    </cfRule>
  </conditionalFormatting>
  <conditionalFormatting sqref="T148:T156 Y148:Y156 AG148:AH156">
    <cfRule type="expression" dxfId="842" priority="519" stopIfTrue="1">
      <formula>$C148=1</formula>
    </cfRule>
    <cfRule type="expression" dxfId="841" priority="520" stopIfTrue="1">
      <formula>OR($C148=0,$C148=2,$C148=3,$C148=4)</formula>
    </cfRule>
  </conditionalFormatting>
  <conditionalFormatting sqref="X148:X156">
    <cfRule type="expression" dxfId="840" priority="511" stopIfTrue="1">
      <formula>$C148=1</formula>
    </cfRule>
    <cfRule type="expression" dxfId="839" priority="512" stopIfTrue="1">
      <formula>OR($C148=0,$C148=2,$C148=3,$C148=4)</formula>
    </cfRule>
  </conditionalFormatting>
  <conditionalFormatting sqref="M166:M174">
    <cfRule type="cellIs" dxfId="838" priority="487" stopIfTrue="1" operator="notEqual">
      <formula>$N166</formula>
    </cfRule>
  </conditionalFormatting>
  <conditionalFormatting sqref="N166:O174 W166:W174">
    <cfRule type="expression" dxfId="837" priority="488" stopIfTrue="1">
      <formula>$C166=1</formula>
    </cfRule>
    <cfRule type="expression" dxfId="836" priority="489" stopIfTrue="1">
      <formula>OR($C166=0,$C166=2,$C166=3,$C166=4)</formula>
    </cfRule>
  </conditionalFormatting>
  <conditionalFormatting sqref="T166:T174 Y166:Y174 AG166:AH174">
    <cfRule type="expression" dxfId="835" priority="493" stopIfTrue="1">
      <formula>$C166=1</formula>
    </cfRule>
    <cfRule type="expression" dxfId="834" priority="494" stopIfTrue="1">
      <formula>OR($C166=0,$C166=2,$C166=3,$C166=4)</formula>
    </cfRule>
  </conditionalFormatting>
  <conditionalFormatting sqref="X166:X174">
    <cfRule type="expression" dxfId="833" priority="485" stopIfTrue="1">
      <formula>$C166=1</formula>
    </cfRule>
    <cfRule type="expression" dxfId="832" priority="486" stopIfTrue="1">
      <formula>OR($C166=0,$C166=2,$C166=3,$C166=4)</formula>
    </cfRule>
  </conditionalFormatting>
  <conditionalFormatting sqref="M175:M183">
    <cfRule type="cellIs" dxfId="831" priority="474" stopIfTrue="1" operator="notEqual">
      <formula>$N175</formula>
    </cfRule>
  </conditionalFormatting>
  <conditionalFormatting sqref="N175:O183 W175:W183">
    <cfRule type="expression" dxfId="830" priority="475" stopIfTrue="1">
      <formula>$C175=1</formula>
    </cfRule>
    <cfRule type="expression" dxfId="829" priority="476" stopIfTrue="1">
      <formula>OR($C175=0,$C175=2,$C175=3,$C175=4)</formula>
    </cfRule>
  </conditionalFormatting>
  <conditionalFormatting sqref="T175:T183 Y175:Y183 AG175:AH183">
    <cfRule type="expression" dxfId="828" priority="480" stopIfTrue="1">
      <formula>$C175=1</formula>
    </cfRule>
    <cfRule type="expression" dxfId="827" priority="481" stopIfTrue="1">
      <formula>OR($C175=0,$C175=2,$C175=3,$C175=4)</formula>
    </cfRule>
  </conditionalFormatting>
  <conditionalFormatting sqref="X175:X183">
    <cfRule type="expression" dxfId="826" priority="472" stopIfTrue="1">
      <formula>$C175=1</formula>
    </cfRule>
    <cfRule type="expression" dxfId="825" priority="473" stopIfTrue="1">
      <formula>OR($C175=0,$C175=2,$C175=3,$C175=4)</formula>
    </cfRule>
  </conditionalFormatting>
  <conditionalFormatting sqref="M184:M192">
    <cfRule type="cellIs" dxfId="824" priority="461" stopIfTrue="1" operator="notEqual">
      <formula>$N184</formula>
    </cfRule>
  </conditionalFormatting>
  <conditionalFormatting sqref="N184:O192 W184:W192">
    <cfRule type="expression" dxfId="823" priority="462" stopIfTrue="1">
      <formula>$C184=1</formula>
    </cfRule>
    <cfRule type="expression" dxfId="822" priority="463" stopIfTrue="1">
      <formula>OR($C184=0,$C184=2,$C184=3,$C184=4)</formula>
    </cfRule>
  </conditionalFormatting>
  <conditionalFormatting sqref="T184:T192 Y184:Y192 AG184:AH192">
    <cfRule type="expression" dxfId="821" priority="467" stopIfTrue="1">
      <formula>$C184=1</formula>
    </cfRule>
    <cfRule type="expression" dxfId="820" priority="468" stopIfTrue="1">
      <formula>OR($C184=0,$C184=2,$C184=3,$C184=4)</formula>
    </cfRule>
  </conditionalFormatting>
  <conditionalFormatting sqref="X184:X192">
    <cfRule type="expression" dxfId="819" priority="459" stopIfTrue="1">
      <formula>$C184=1</formula>
    </cfRule>
    <cfRule type="expression" dxfId="818" priority="460" stopIfTrue="1">
      <formula>OR($C184=0,$C184=2,$C184=3,$C184=4)</formula>
    </cfRule>
  </conditionalFormatting>
  <conditionalFormatting sqref="M201:M209">
    <cfRule type="cellIs" dxfId="817" priority="435" stopIfTrue="1" operator="notEqual">
      <formula>$N201</formula>
    </cfRule>
  </conditionalFormatting>
  <conditionalFormatting sqref="N201:O209 W201:W209">
    <cfRule type="expression" dxfId="816" priority="436" stopIfTrue="1">
      <formula>$C201=1</formula>
    </cfRule>
    <cfRule type="expression" dxfId="815" priority="437" stopIfTrue="1">
      <formula>OR($C201=0,$C201=2,$C201=3,$C201=4)</formula>
    </cfRule>
  </conditionalFormatting>
  <conditionalFormatting sqref="T201:T209 Y201:Y209 AG201:AH209">
    <cfRule type="expression" dxfId="814" priority="441" stopIfTrue="1">
      <formula>$C201=1</formula>
    </cfRule>
    <cfRule type="expression" dxfId="813" priority="442" stopIfTrue="1">
      <formula>OR($C201=0,$C201=2,$C201=3,$C201=4)</formula>
    </cfRule>
  </conditionalFormatting>
  <conditionalFormatting sqref="X201:X209">
    <cfRule type="expression" dxfId="812" priority="433" stopIfTrue="1">
      <formula>$C201=1</formula>
    </cfRule>
    <cfRule type="expression" dxfId="811" priority="434" stopIfTrue="1">
      <formula>OR($C201=0,$C201=2,$C201=3,$C201=4)</formula>
    </cfRule>
  </conditionalFormatting>
  <conditionalFormatting sqref="M28">
    <cfRule type="cellIs" dxfId="810" priority="335" stopIfTrue="1" operator="notEqual">
      <formula>$N28</formula>
    </cfRule>
  </conditionalFormatting>
  <conditionalFormatting sqref="N28:O28 W28">
    <cfRule type="expression" dxfId="809" priority="336" stopIfTrue="1">
      <formula>$C28=1</formula>
    </cfRule>
    <cfRule type="expression" dxfId="808" priority="337" stopIfTrue="1">
      <formula>OR($C28=0,$C28=2,$C28=3,$C28=4)</formula>
    </cfRule>
  </conditionalFormatting>
  <conditionalFormatting sqref="T28 Y28 AG28:AH28">
    <cfRule type="expression" dxfId="807" priority="341" stopIfTrue="1">
      <formula>$C28=1</formula>
    </cfRule>
    <cfRule type="expression" dxfId="806" priority="342" stopIfTrue="1">
      <formula>OR($C28=0,$C28=2,$C28=3,$C28=4)</formula>
    </cfRule>
  </conditionalFormatting>
  <conditionalFormatting sqref="AJ28">
    <cfRule type="expression" dxfId="805" priority="343" stopIfTrue="1">
      <formula>OR(ACOMPANHAMENTO&lt;&gt;"BM",TIPOORCAMENTO="Licitado")</formula>
    </cfRule>
    <cfRule type="expression" dxfId="804" priority="344" stopIfTrue="1">
      <formula>$C28=1</formula>
    </cfRule>
    <cfRule type="expression" dxfId="803" priority="345" stopIfTrue="1">
      <formula>OR(AND(ISNUMBER($C28),$C28=0),$C28=2,$C28=3,$C28=4)</formula>
    </cfRule>
  </conditionalFormatting>
  <conditionalFormatting sqref="AL28">
    <cfRule type="expression" dxfId="802" priority="346" stopIfTrue="1">
      <formula>TIPOORCAMENTO="PROPOSTO"</formula>
    </cfRule>
    <cfRule type="expression" dxfId="801" priority="347" stopIfTrue="1">
      <formula>$C28=1</formula>
    </cfRule>
    <cfRule type="expression" dxfId="800" priority="348" stopIfTrue="1">
      <formula>OR(AND(ISNUMBER($C28),$C28=0),$C28=2,$C28=3,$C28=4)</formula>
    </cfRule>
  </conditionalFormatting>
  <conditionalFormatting sqref="AM28:AN28">
    <cfRule type="expression" dxfId="799" priority="349" stopIfTrue="1">
      <formula>TIPOORCAMENTO="PROPOSTO"</formula>
    </cfRule>
    <cfRule type="expression" dxfId="798" priority="350" stopIfTrue="1">
      <formula>$C28=1</formula>
    </cfRule>
    <cfRule type="expression" dxfId="797" priority="351" stopIfTrue="1">
      <formula>OR(AND(ISNUMBER($C28),$C28=0),$C28=2,$C28=3,$C28=4)</formula>
    </cfRule>
  </conditionalFormatting>
  <conditionalFormatting sqref="X28">
    <cfRule type="expression" dxfId="796" priority="333" stopIfTrue="1">
      <formula>$C28=1</formula>
    </cfRule>
    <cfRule type="expression" dxfId="795" priority="334" stopIfTrue="1">
      <formula>OR($C28=0,$C28=2,$C28=3,$C28=4)</formula>
    </cfRule>
  </conditionalFormatting>
  <conditionalFormatting sqref="M157">
    <cfRule type="cellIs" dxfId="794" priority="300" stopIfTrue="1" operator="notEqual">
      <formula>$N157</formula>
    </cfRule>
  </conditionalFormatting>
  <conditionalFormatting sqref="N157:O157 W157">
    <cfRule type="expression" dxfId="793" priority="301" stopIfTrue="1">
      <formula>$C157=1</formula>
    </cfRule>
    <cfRule type="expression" dxfId="792" priority="302" stopIfTrue="1">
      <formula>OR($C157=0,$C157=2,$C157=3,$C157=4)</formula>
    </cfRule>
  </conditionalFormatting>
  <conditionalFormatting sqref="T157 Y157 AG157:AH157">
    <cfRule type="expression" dxfId="791" priority="306" stopIfTrue="1">
      <formula>$C157=1</formula>
    </cfRule>
    <cfRule type="expression" dxfId="790" priority="307" stopIfTrue="1">
      <formula>OR($C157=0,$C157=2,$C157=3,$C157=4)</formula>
    </cfRule>
  </conditionalFormatting>
  <conditionalFormatting sqref="AJ157">
    <cfRule type="expression" dxfId="789" priority="308" stopIfTrue="1">
      <formula>OR(ACOMPANHAMENTO&lt;&gt;"BM",TIPOORCAMENTO="Licitado")</formula>
    </cfRule>
    <cfRule type="expression" dxfId="788" priority="309" stopIfTrue="1">
      <formula>$C157=1</formula>
    </cfRule>
    <cfRule type="expression" dxfId="787" priority="310" stopIfTrue="1">
      <formula>OR(AND(ISNUMBER($C157),$C157=0),$C157=2,$C157=3,$C157=4)</formula>
    </cfRule>
  </conditionalFormatting>
  <conditionalFormatting sqref="AL157">
    <cfRule type="expression" dxfId="786" priority="311" stopIfTrue="1">
      <formula>TIPOORCAMENTO="PROPOSTO"</formula>
    </cfRule>
    <cfRule type="expression" dxfId="785" priority="312" stopIfTrue="1">
      <formula>$C157=1</formula>
    </cfRule>
    <cfRule type="expression" dxfId="784" priority="313" stopIfTrue="1">
      <formula>OR(AND(ISNUMBER($C157),$C157=0),$C157=2,$C157=3,$C157=4)</formula>
    </cfRule>
  </conditionalFormatting>
  <conditionalFormatting sqref="AM157:AN157">
    <cfRule type="expression" dxfId="783" priority="314" stopIfTrue="1">
      <formula>TIPOORCAMENTO="PROPOSTO"</formula>
    </cfRule>
    <cfRule type="expression" dxfId="782" priority="315" stopIfTrue="1">
      <formula>$C157=1</formula>
    </cfRule>
    <cfRule type="expression" dxfId="781" priority="316" stopIfTrue="1">
      <formula>OR(AND(ISNUMBER($C157),$C157=0),$C157=2,$C157=3,$C157=4)</formula>
    </cfRule>
  </conditionalFormatting>
  <conditionalFormatting sqref="X157">
    <cfRule type="expression" dxfId="780" priority="298" stopIfTrue="1">
      <formula>$C157=1</formula>
    </cfRule>
    <cfRule type="expression" dxfId="779" priority="299" stopIfTrue="1">
      <formula>OR($C157=0,$C157=2,$C157=3,$C157=4)</formula>
    </cfRule>
  </conditionalFormatting>
  <conditionalFormatting sqref="N22:O22 W22">
    <cfRule type="expression" dxfId="778" priority="236" stopIfTrue="1">
      <formula>$C22=1</formula>
    </cfRule>
    <cfRule type="expression" dxfId="777" priority="237" stopIfTrue="1">
      <formula>OR($C22=0,$C22=2,$C22=3,$C22=4)</formula>
    </cfRule>
  </conditionalFormatting>
  <conditionalFormatting sqref="M22">
    <cfRule type="cellIs" dxfId="776" priority="235" stopIfTrue="1" operator="notEqual">
      <formula>$N22</formula>
    </cfRule>
  </conditionalFormatting>
  <conditionalFormatting sqref="T22 Y22 AG22:AH22">
    <cfRule type="expression" dxfId="775" priority="241" stopIfTrue="1">
      <formula>$C22=1</formula>
    </cfRule>
    <cfRule type="expression" dxfId="774" priority="242" stopIfTrue="1">
      <formula>OR($C22=0,$C22=2,$C22=3,$C22=4)</formula>
    </cfRule>
  </conditionalFormatting>
  <conditionalFormatting sqref="AJ22">
    <cfRule type="expression" dxfId="773" priority="243" stopIfTrue="1">
      <formula>OR(ACOMPANHAMENTO&lt;&gt;"BM",TIPOORCAMENTO="Licitado")</formula>
    </cfRule>
    <cfRule type="expression" dxfId="772" priority="244" stopIfTrue="1">
      <formula>$C22=1</formula>
    </cfRule>
    <cfRule type="expression" dxfId="771" priority="245" stopIfTrue="1">
      <formula>OR(AND(ISNUMBER($C22),$C22=0),$C22=2,$C22=3,$C22=4)</formula>
    </cfRule>
  </conditionalFormatting>
  <conditionalFormatting sqref="AL22">
    <cfRule type="expression" dxfId="770" priority="246" stopIfTrue="1">
      <formula>TIPOORCAMENTO="PROPOSTO"</formula>
    </cfRule>
    <cfRule type="expression" dxfId="769" priority="247" stopIfTrue="1">
      <formula>$C22=1</formula>
    </cfRule>
    <cfRule type="expression" dxfId="768" priority="248" stopIfTrue="1">
      <formula>OR(AND(ISNUMBER($C22),$C22=0),$C22=2,$C22=3,$C22=4)</formula>
    </cfRule>
  </conditionalFormatting>
  <conditionalFormatting sqref="AM22:AN22">
    <cfRule type="expression" dxfId="767" priority="249" stopIfTrue="1">
      <formula>TIPOORCAMENTO="PROPOSTO"</formula>
    </cfRule>
    <cfRule type="expression" dxfId="766" priority="250" stopIfTrue="1">
      <formula>$C22=1</formula>
    </cfRule>
    <cfRule type="expression" dxfId="765" priority="251" stopIfTrue="1">
      <formula>OR(AND(ISNUMBER($C22),$C22=0),$C22=2,$C22=3,$C22=4)</formula>
    </cfRule>
  </conditionalFormatting>
  <conditionalFormatting sqref="X22">
    <cfRule type="expression" dxfId="764" priority="233" stopIfTrue="1">
      <formula>$C22=1</formula>
    </cfRule>
    <cfRule type="expression" dxfId="763" priority="234" stopIfTrue="1">
      <formula>OR($C22=0,$C22=2,$C22=3,$C22=4)</formula>
    </cfRule>
  </conditionalFormatting>
  <conditionalFormatting sqref="M50">
    <cfRule type="cellIs" dxfId="762" priority="166" stopIfTrue="1" operator="notEqual">
      <formula>$N50</formula>
    </cfRule>
  </conditionalFormatting>
  <conditionalFormatting sqref="N50:O50 W50">
    <cfRule type="expression" dxfId="761" priority="167" stopIfTrue="1">
      <formula>$C50=1</formula>
    </cfRule>
    <cfRule type="expression" dxfId="760" priority="168" stopIfTrue="1">
      <formula>OR($C50=0,$C50=2,$C50=3,$C50=4)</formula>
    </cfRule>
  </conditionalFormatting>
  <conditionalFormatting sqref="T50 Y50 AG50:AH50">
    <cfRule type="expression" dxfId="759" priority="172" stopIfTrue="1">
      <formula>$C50=1</formula>
    </cfRule>
    <cfRule type="expression" dxfId="758" priority="173" stopIfTrue="1">
      <formula>OR($C50=0,$C50=2,$C50=3,$C50=4)</formula>
    </cfRule>
  </conditionalFormatting>
  <conditionalFormatting sqref="AJ50">
    <cfRule type="expression" dxfId="757" priority="174" stopIfTrue="1">
      <formula>OR(ACOMPANHAMENTO&lt;&gt;"BM",TIPOORCAMENTO="Licitado")</formula>
    </cfRule>
    <cfRule type="expression" dxfId="756" priority="175" stopIfTrue="1">
      <formula>$C50=1</formula>
    </cfRule>
    <cfRule type="expression" dxfId="755" priority="176" stopIfTrue="1">
      <formula>OR(AND(ISNUMBER($C50),$C50=0),$C50=2,$C50=3,$C50=4)</formula>
    </cfRule>
  </conditionalFormatting>
  <conditionalFormatting sqref="AL50">
    <cfRule type="expression" dxfId="754" priority="177" stopIfTrue="1">
      <formula>TIPOORCAMENTO="PROPOSTO"</formula>
    </cfRule>
    <cfRule type="expression" dxfId="753" priority="178" stopIfTrue="1">
      <formula>$C50=1</formula>
    </cfRule>
    <cfRule type="expression" dxfId="752" priority="179" stopIfTrue="1">
      <formula>OR(AND(ISNUMBER($C50),$C50=0),$C50=2,$C50=3,$C50=4)</formula>
    </cfRule>
  </conditionalFormatting>
  <conditionalFormatting sqref="AM50:AN50">
    <cfRule type="expression" dxfId="751" priority="180" stopIfTrue="1">
      <formula>TIPOORCAMENTO="PROPOSTO"</formula>
    </cfRule>
    <cfRule type="expression" dxfId="750" priority="181" stopIfTrue="1">
      <formula>$C50=1</formula>
    </cfRule>
    <cfRule type="expression" dxfId="749" priority="182" stopIfTrue="1">
      <formula>OR(AND(ISNUMBER($C50),$C50=0),$C50=2,$C50=3,$C50=4)</formula>
    </cfRule>
  </conditionalFormatting>
  <conditionalFormatting sqref="X50">
    <cfRule type="expression" dxfId="748" priority="164" stopIfTrue="1">
      <formula>$C50=1</formula>
    </cfRule>
    <cfRule type="expression" dxfId="747" priority="165" stopIfTrue="1">
      <formula>OR($C50=0,$C50=2,$C50=3,$C50=4)</formula>
    </cfRule>
  </conditionalFormatting>
  <conditionalFormatting sqref="N36:O36 W36">
    <cfRule type="expression" dxfId="746" priority="86" stopIfTrue="1">
      <formula>$C36=1</formula>
    </cfRule>
    <cfRule type="expression" dxfId="745" priority="87" stopIfTrue="1">
      <formula>OR($C36=0,$C36=2,$C36=3,$C36=4)</formula>
    </cfRule>
  </conditionalFormatting>
  <conditionalFormatting sqref="M41">
    <cfRule type="cellIs" dxfId="744" priority="144" stopIfTrue="1" operator="notEqual">
      <formula>$N41</formula>
    </cfRule>
  </conditionalFormatting>
  <conditionalFormatting sqref="N41:O41 W41">
    <cfRule type="expression" dxfId="743" priority="145" stopIfTrue="1">
      <formula>$C41=1</formula>
    </cfRule>
    <cfRule type="expression" dxfId="742" priority="146" stopIfTrue="1">
      <formula>OR($C41=0,$C41=2,$C41=3,$C41=4)</formula>
    </cfRule>
  </conditionalFormatting>
  <conditionalFormatting sqref="T41 Y41 AG41:AH41">
    <cfRule type="expression" dxfId="741" priority="150" stopIfTrue="1">
      <formula>$C41=1</formula>
    </cfRule>
    <cfRule type="expression" dxfId="740" priority="151" stopIfTrue="1">
      <formula>OR($C41=0,$C41=2,$C41=3,$C41=4)</formula>
    </cfRule>
  </conditionalFormatting>
  <conditionalFormatting sqref="AJ41">
    <cfRule type="expression" dxfId="739" priority="152" stopIfTrue="1">
      <formula>OR(ACOMPANHAMENTO&lt;&gt;"BM",TIPOORCAMENTO="Licitado")</formula>
    </cfRule>
    <cfRule type="expression" dxfId="738" priority="153" stopIfTrue="1">
      <formula>$C41=1</formula>
    </cfRule>
    <cfRule type="expression" dxfId="737" priority="154" stopIfTrue="1">
      <formula>OR(AND(ISNUMBER($C41),$C41=0),$C41=2,$C41=3,$C41=4)</formula>
    </cfRule>
  </conditionalFormatting>
  <conditionalFormatting sqref="AL41">
    <cfRule type="expression" dxfId="736" priority="155" stopIfTrue="1">
      <formula>TIPOORCAMENTO="PROPOSTO"</formula>
    </cfRule>
    <cfRule type="expression" dxfId="735" priority="156" stopIfTrue="1">
      <formula>$C41=1</formula>
    </cfRule>
    <cfRule type="expression" dxfId="734" priority="157" stopIfTrue="1">
      <formula>OR(AND(ISNUMBER($C41),$C41=0),$C41=2,$C41=3,$C41=4)</formula>
    </cfRule>
  </conditionalFormatting>
  <conditionalFormatting sqref="AM41:AN41">
    <cfRule type="expression" dxfId="733" priority="158" stopIfTrue="1">
      <formula>TIPOORCAMENTO="PROPOSTO"</formula>
    </cfRule>
    <cfRule type="expression" dxfId="732" priority="159" stopIfTrue="1">
      <formula>$C41=1</formula>
    </cfRule>
    <cfRule type="expression" dxfId="731" priority="160" stopIfTrue="1">
      <formula>OR(AND(ISNUMBER($C41),$C41=0),$C41=2,$C41=3,$C41=4)</formula>
    </cfRule>
  </conditionalFormatting>
  <conditionalFormatting sqref="X41">
    <cfRule type="expression" dxfId="730" priority="142" stopIfTrue="1">
      <formula>$C41=1</formula>
    </cfRule>
    <cfRule type="expression" dxfId="729" priority="143" stopIfTrue="1">
      <formula>OR($C41=0,$C41=2,$C41=3,$C41=4)</formula>
    </cfRule>
  </conditionalFormatting>
  <conditionalFormatting sqref="N45:O45 W45">
    <cfRule type="expression" dxfId="728" priority="64" stopIfTrue="1">
      <formula>$C45=1</formula>
    </cfRule>
    <cfRule type="expression" dxfId="727" priority="65" stopIfTrue="1">
      <formula>OR($C45=0,$C45=2,$C45=3,$C45=4)</formula>
    </cfRule>
  </conditionalFormatting>
  <conditionalFormatting sqref="M36">
    <cfRule type="cellIs" dxfId="726" priority="85" stopIfTrue="1" operator="notEqual">
      <formula>$N36</formula>
    </cfRule>
  </conditionalFormatting>
  <conditionalFormatting sqref="T36 Y36 AG36:AH36">
    <cfRule type="expression" dxfId="725" priority="91" stopIfTrue="1">
      <formula>$C36=1</formula>
    </cfRule>
    <cfRule type="expression" dxfId="724" priority="92" stopIfTrue="1">
      <formula>OR($C36=0,$C36=2,$C36=3,$C36=4)</formula>
    </cfRule>
  </conditionalFormatting>
  <conditionalFormatting sqref="AJ36">
    <cfRule type="expression" dxfId="723" priority="93" stopIfTrue="1">
      <formula>OR(ACOMPANHAMENTO&lt;&gt;"BM",TIPOORCAMENTO="Licitado")</formula>
    </cfRule>
    <cfRule type="expression" dxfId="722" priority="94" stopIfTrue="1">
      <formula>$C36=1</formula>
    </cfRule>
    <cfRule type="expression" dxfId="721" priority="95" stopIfTrue="1">
      <formula>OR(AND(ISNUMBER($C36),$C36=0),$C36=2,$C36=3,$C36=4)</formula>
    </cfRule>
  </conditionalFormatting>
  <conditionalFormatting sqref="AL36">
    <cfRule type="expression" dxfId="720" priority="96" stopIfTrue="1">
      <formula>TIPOORCAMENTO="PROPOSTO"</formula>
    </cfRule>
    <cfRule type="expression" dxfId="719" priority="97" stopIfTrue="1">
      <formula>$C36=1</formula>
    </cfRule>
    <cfRule type="expression" dxfId="718" priority="98" stopIfTrue="1">
      <formula>OR(AND(ISNUMBER($C36),$C36=0),$C36=2,$C36=3,$C36=4)</formula>
    </cfRule>
  </conditionalFormatting>
  <conditionalFormatting sqref="AM36:AN36">
    <cfRule type="expression" dxfId="717" priority="99" stopIfTrue="1">
      <formula>TIPOORCAMENTO="PROPOSTO"</formula>
    </cfRule>
    <cfRule type="expression" dxfId="716" priority="100" stopIfTrue="1">
      <formula>$C36=1</formula>
    </cfRule>
    <cfRule type="expression" dxfId="715" priority="101" stopIfTrue="1">
      <formula>OR(AND(ISNUMBER($C36),$C36=0),$C36=2,$C36=3,$C36=4)</formula>
    </cfRule>
  </conditionalFormatting>
  <conditionalFormatting sqref="X36">
    <cfRule type="expression" dxfId="714" priority="83" stopIfTrue="1">
      <formula>$C36=1</formula>
    </cfRule>
    <cfRule type="expression" dxfId="713" priority="84" stopIfTrue="1">
      <formula>OR($C36=0,$C36=2,$C36=3,$C36=4)</formula>
    </cfRule>
  </conditionalFormatting>
  <conditionalFormatting sqref="M45">
    <cfRule type="cellIs" dxfId="712" priority="63" stopIfTrue="1" operator="notEqual">
      <formula>$N45</formula>
    </cfRule>
  </conditionalFormatting>
  <conditionalFormatting sqref="T45 Y45 AG45:AH45">
    <cfRule type="expression" dxfId="711" priority="69" stopIfTrue="1">
      <formula>$C45=1</formula>
    </cfRule>
    <cfRule type="expression" dxfId="710" priority="70" stopIfTrue="1">
      <formula>OR($C45=0,$C45=2,$C45=3,$C45=4)</formula>
    </cfRule>
  </conditionalFormatting>
  <conditionalFormatting sqref="AJ45">
    <cfRule type="expression" dxfId="709" priority="71" stopIfTrue="1">
      <formula>OR(ACOMPANHAMENTO&lt;&gt;"BM",TIPOORCAMENTO="Licitado")</formula>
    </cfRule>
    <cfRule type="expression" dxfId="708" priority="72" stopIfTrue="1">
      <formula>$C45=1</formula>
    </cfRule>
    <cfRule type="expression" dxfId="707" priority="73" stopIfTrue="1">
      <formula>OR(AND(ISNUMBER($C45),$C45=0),$C45=2,$C45=3,$C45=4)</formula>
    </cfRule>
  </conditionalFormatting>
  <conditionalFormatting sqref="AL45">
    <cfRule type="expression" dxfId="706" priority="74" stopIfTrue="1">
      <formula>TIPOORCAMENTO="PROPOSTO"</formula>
    </cfRule>
    <cfRule type="expression" dxfId="705" priority="75" stopIfTrue="1">
      <formula>$C45=1</formula>
    </cfRule>
    <cfRule type="expression" dxfId="704" priority="76" stopIfTrue="1">
      <formula>OR(AND(ISNUMBER($C45),$C45=0),$C45=2,$C45=3,$C45=4)</formula>
    </cfRule>
  </conditionalFormatting>
  <conditionalFormatting sqref="AM45:AN45">
    <cfRule type="expression" dxfId="703" priority="77" stopIfTrue="1">
      <formula>TIPOORCAMENTO="PROPOSTO"</formula>
    </cfRule>
    <cfRule type="expression" dxfId="702" priority="78" stopIfTrue="1">
      <formula>$C45=1</formula>
    </cfRule>
    <cfRule type="expression" dxfId="701" priority="79" stopIfTrue="1">
      <formula>OR(AND(ISNUMBER($C45),$C45=0),$C45=2,$C45=3,$C45=4)</formula>
    </cfRule>
  </conditionalFormatting>
  <conditionalFormatting sqref="X45">
    <cfRule type="expression" dxfId="700" priority="61" stopIfTrue="1">
      <formula>$C45=1</formula>
    </cfRule>
    <cfRule type="expression" dxfId="699" priority="62" stopIfTrue="1">
      <formula>OR($C45=0,$C45=2,$C45=3,$C45=4)</formula>
    </cfRule>
  </conditionalFormatting>
  <conditionalFormatting sqref="R222:R224">
    <cfRule type="expression" dxfId="698" priority="2" stopIfTrue="1">
      <formula>$C222=1</formula>
    </cfRule>
    <cfRule type="expression" dxfId="697" priority="3" stopIfTrue="1">
      <formula>OR($C222=0,$C222=2,$C222=3,$C222=4)</formula>
    </cfRule>
  </conditionalFormatting>
  <conditionalFormatting sqref="R222:R224">
    <cfRule type="beginsWith" dxfId="696" priority="1" operator="beginsWith" text="(">
      <formula>LEFT(R222,LEN("("))="("</formula>
    </cfRule>
  </conditionalFormatting>
  <conditionalFormatting sqref="P16:Q221 S16:S221">
    <cfRule type="expression" dxfId="695" priority="29" stopIfTrue="1">
      <formula>$C16=1</formula>
    </cfRule>
    <cfRule type="expression" dxfId="694" priority="30" stopIfTrue="1">
      <formula>OR($C16=0,$C16=2,$C16=3,$C16=4)</formula>
    </cfRule>
  </conditionalFormatting>
  <conditionalFormatting sqref="R16:R221">
    <cfRule type="expression" dxfId="693" priority="27" stopIfTrue="1">
      <formula>$C16=1</formula>
    </cfRule>
    <cfRule type="expression" dxfId="692" priority="28" stopIfTrue="1">
      <formula>OR($C16=0,$C16=2,$C16=3,$C16=4)</formula>
    </cfRule>
  </conditionalFormatting>
  <conditionalFormatting sqref="R16:R221 R225:R234">
    <cfRule type="beginsWith" dxfId="691" priority="26" operator="beginsWith" text="(">
      <formula>LEFT(R16,LEN("("))="("</formula>
    </cfRule>
  </conditionalFormatting>
  <conditionalFormatting sqref="U16:V221">
    <cfRule type="expression" dxfId="690" priority="23" stopIfTrue="1">
      <formula>$C16=1</formula>
    </cfRule>
    <cfRule type="expression" dxfId="689" priority="24" stopIfTrue="1">
      <formula>OR($C16=0,$C16=2,$C16=3,$C16=4)</formula>
    </cfRule>
    <cfRule type="expression" dxfId="688" priority="25" stopIfTrue="1">
      <formula>AND(TIPOORCAMENTO="Licitado",$C16&lt;&gt;"L",$C16&lt;&gt;-1)</formula>
    </cfRule>
  </conditionalFormatting>
  <conditionalFormatting sqref="M222:M224">
    <cfRule type="cellIs" dxfId="687" priority="6" stopIfTrue="1" operator="notEqual">
      <formula>$N222</formula>
    </cfRule>
  </conditionalFormatting>
  <conditionalFormatting sqref="N222:O224 W222:W224">
    <cfRule type="expression" dxfId="686" priority="7" stopIfTrue="1">
      <formula>$C222=1</formula>
    </cfRule>
    <cfRule type="expression" dxfId="685" priority="8" stopIfTrue="1">
      <formula>OR($C222=0,$C222=2,$C222=3,$C222=4)</formula>
    </cfRule>
  </conditionalFormatting>
  <conditionalFormatting sqref="U222:V224">
    <cfRule type="expression" dxfId="684" priority="9" stopIfTrue="1">
      <formula>$C222=1</formula>
    </cfRule>
    <cfRule type="expression" dxfId="683" priority="10" stopIfTrue="1">
      <formula>OR($C222=0,$C222=2,$C222=3,$C222=4)</formula>
    </cfRule>
    <cfRule type="expression" dxfId="682" priority="11" stopIfTrue="1">
      <formula>AND(TIPOORCAMENTO="Licitado",$C222&lt;&gt;"L",$C222&lt;&gt;-1)</formula>
    </cfRule>
  </conditionalFormatting>
  <conditionalFormatting sqref="P222:Q224 S222:T224 Y222:Y224 AG222:AH224">
    <cfRule type="expression" dxfId="681" priority="12" stopIfTrue="1">
      <formula>$C222=1</formula>
    </cfRule>
    <cfRule type="expression" dxfId="680" priority="13" stopIfTrue="1">
      <formula>OR($C222=0,$C222=2,$C222=3,$C222=4)</formula>
    </cfRule>
  </conditionalFormatting>
  <conditionalFormatting sqref="AJ222:AJ224">
    <cfRule type="expression" dxfId="679" priority="14" stopIfTrue="1">
      <formula>OR(ACOMPANHAMENTO&lt;&gt;"BM",TIPOORCAMENTO="Licitado")</formula>
    </cfRule>
    <cfRule type="expression" dxfId="678" priority="15" stopIfTrue="1">
      <formula>$C222=1</formula>
    </cfRule>
    <cfRule type="expression" dxfId="677" priority="16" stopIfTrue="1">
      <formula>OR(AND(ISNUMBER($C222),$C222=0),$C222=2,$C222=3,$C222=4)</formula>
    </cfRule>
  </conditionalFormatting>
  <conditionalFormatting sqref="AL222:AL224">
    <cfRule type="expression" dxfId="676" priority="17" stopIfTrue="1">
      <formula>TIPOORCAMENTO="PROPOSTO"</formula>
    </cfRule>
    <cfRule type="expression" dxfId="675" priority="18" stopIfTrue="1">
      <formula>$C222=1</formula>
    </cfRule>
    <cfRule type="expression" dxfId="674" priority="19" stopIfTrue="1">
      <formula>OR(AND(ISNUMBER($C222),$C222=0),$C222=2,$C222=3,$C222=4)</formula>
    </cfRule>
  </conditionalFormatting>
  <conditionalFormatting sqref="AM222:AN224">
    <cfRule type="expression" dxfId="673" priority="20" stopIfTrue="1">
      <formula>TIPOORCAMENTO="PROPOSTO"</formula>
    </cfRule>
    <cfRule type="expression" dxfId="672" priority="21" stopIfTrue="1">
      <formula>$C222=1</formula>
    </cfRule>
    <cfRule type="expression" dxfId="671" priority="22" stopIfTrue="1">
      <formula>OR(AND(ISNUMBER($C222),$C222=0),$C222=2,$C222=3,$C222=4)</formula>
    </cfRule>
  </conditionalFormatting>
  <conditionalFormatting sqref="X222:X224">
    <cfRule type="expression" dxfId="670" priority="4" stopIfTrue="1">
      <formula>$C222=1</formula>
    </cfRule>
    <cfRule type="expression" dxfId="669" priority="5" stopIfTrue="1">
      <formula>OR($C222=0,$C222=2,$C222=3,$C222=4)</formula>
    </cfRule>
  </conditionalFormatting>
  <dataValidations count="8">
    <dataValidation type="decimal" operator="greaterThan" allowBlank="1" showErrorMessage="1" error="Apenas números decimais maiores que zero." sqref="U14 AL14 AJ14 AJ16:AJ234 AL16:AL234 U16:U234"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234" xr:uid="{00000000-0002-0000-0400-000001000000}"/>
    <dataValidation allowBlank="1" showInputMessage="1" showErrorMessage="1" prompt="Para Orçamento Proposto, o Preço Unitário é resultado do produto do Custo Unitário pelo BDI._x000a_Para Orçamento Licitado, deve ser preenchido na Coluna AL." sqref="W14 W16:W234" xr:uid="{00000000-0002-0000-0400-000002000000}"/>
    <dataValidation type="list" errorStyle="information" allowBlank="1" showInputMessage="1" prompt="Selecione uma sigla de unidade na lista suspensa." sqref="S14 S16:S234" xr:uid="{00000000-0002-0000-0400-000003000000}">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234" xr:uid="{00000000-0002-0000-0400-000004000000}">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234" xr:uid="{00000000-0002-0000-0400-000005000000}">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234" xr:uid="{00000000-0002-0000-0400-000006000000}">
      <formula1>ORÇAMENTO.Lista.Fonte</formula1>
    </dataValidation>
    <dataValidation type="list" showInputMessage="1" showErrorMessage="1" errorTitle="Erro de Entrada" error="Selecione somente os itens da lista." promptTitle="Nível:" prompt="Selecione na lista o nível de itemização da Planilha." sqref="M14 M16:M234" xr:uid="{00000000-0002-0000-0400-000007000000}">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&amp;LPMv3.16&amp;R&amp;P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8">
    <pageSetUpPr fitToPage="1"/>
  </sheetPr>
  <dimension ref="A1:Z65"/>
  <sheetViews>
    <sheetView showGridLines="0" zoomScaleNormal="100" workbookViewId="0">
      <pane xSplit="4" ySplit="14" topLeftCell="F15" activePane="bottomRight" state="frozen"/>
      <selection pane="topRight" activeCell="E2" sqref="E2"/>
      <selection pane="bottomLeft" activeCell="A15" sqref="A15"/>
      <selection pane="bottomRight"/>
    </sheetView>
  </sheetViews>
  <sheetFormatPr defaultRowHeight="12.75" x14ac:dyDescent="0.2"/>
  <cols>
    <col min="1" max="1" width="3.5703125" style="505"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5" t="str">
        <f>IF(D1="","","F")</f>
        <v/>
      </c>
      <c r="B1" t="e">
        <f ca="1">IF(OR(C1=" ",D1=""),"",CONCATENATE(C1,". ",D1))</f>
        <v>#REF!</v>
      </c>
      <c r="C1" s="182" t="e">
        <f t="array" aca="1" ref="C1" ca="1">IF(OR(ROW(C1)=ROW(EVENTOS.firstrow)+1,AND(OFFSET(C1,-1,0)&lt;&gt;" ",OFFSET(C1,-1,1)&lt;&gt;"")),OFFSET(C1,-1,0)+1," ")</f>
        <v>#REF!</v>
      </c>
      <c r="D1" s="495"/>
      <c r="E1" s="618" t="e">
        <f t="array" aca="1" ref="E1" ca="1">IF(AUTOEVENTO="Manual",ROUND(SUMPRODUCT((CÁLCULO!$M$15:$M$235=EVENTOS!$C1)*(OFFSET(CÁLCULO!$AI$15:$AI$235,0,E$13))),2),0)</f>
        <v>#REF!</v>
      </c>
      <c r="F1" s="183" t="e">
        <f ca="1">IF(AUTOEVENTO="Manual",ROUND(SUMPRODUCT((CÁLCULO!$M$15:$M$235=EVENTOS!$C1)*(OFFSET(CÁLCULO!$AI$15,0,1):OFFSET(CÁLCULO!$BB$235,0,-1))),2),0)</f>
        <v>#REF!</v>
      </c>
      <c r="G1" s="619" t="e">
        <f ca="1">IF(AND(D1=0,F1&gt;0),"NOME",
 IF(AND(D1&lt;&gt;0,$F$14&gt;0,F1=0),"VALOR",
 IF(AND(Import.TipoArredondamento="TransfereGOV",$A1="F",LEN(D1)&gt;100),"Nome &gt;100","")))</f>
        <v>#REF!</v>
      </c>
      <c r="H1" s="618" t="e">
        <f t="array" aca="1" ref="H1" ca="1">IF(AUTOEVENTO="Manual",ROUND(SUMPRODUCT((CÁLCULO!$M$15:$M$235=EVENTOS!$C1)*(OFFSET(CÁLCULO!$AI$15:$AI$235,0,H$13))),2),0)</f>
        <v>#REF!</v>
      </c>
      <c r="I1" s="618" t="e">
        <f t="array" aca="1" ref="I1" ca="1">IF(AUTOEVENTO="Manual",ROUND(SUMPRODUCT((CÁLCULO!$M$15:$M$235=EVENTOS!$C1)*(OFFSET(CÁLCULO!$AI$15:$AI$235,0,I$13))),2),0)</f>
        <v>#REF!</v>
      </c>
      <c r="J1" s="618" t="e">
        <f t="array" aca="1" ref="J1" ca="1">IF(AUTOEVENTO="Manual",ROUND(SUMPRODUCT((CÁLCULO!$M$15:$M$235=EVENTOS!$C1)*(OFFSET(CÁLCULO!$AI$15:$AI$235,0,J$13))),2),0)</f>
        <v>#REF!</v>
      </c>
      <c r="K1" s="618" t="e">
        <f t="array" aca="1" ref="K1" ca="1">IF(AUTOEVENTO="Manual",ROUND(SUMPRODUCT((CÁLCULO!$M$15:$M$235=EVENTOS!$C1)*(OFFSET(CÁLCULO!$AI$15:$AI$235,0,K$13))),2),0)</f>
        <v>#REF!</v>
      </c>
      <c r="L1" s="618" t="e">
        <f t="array" aca="1" ref="L1" ca="1">IF(AUTOEVENTO="Manual",ROUND(SUMPRODUCT((CÁLCULO!$M$15:$M$235=EVENTOS!$C1)*(OFFSET(CÁLCULO!$AI$15:$AI$235,0,L$13))),2),0)</f>
        <v>#REF!</v>
      </c>
      <c r="M1" s="618" t="e">
        <f t="array" aca="1" ref="M1" ca="1">IF(AUTOEVENTO="Manual",ROUND(SUMPRODUCT((CÁLCULO!$M$15:$M$235=EVENTOS!$C1)*(OFFSET(CÁLCULO!$AI$15:$AI$235,0,M$13))),2),0)</f>
        <v>#REF!</v>
      </c>
      <c r="N1" s="618" t="e">
        <f t="array" aca="1" ref="N1" ca="1">IF(AUTOEVENTO="Manual",ROUND(SUMPRODUCT((CÁLCULO!$M$15:$M$235=EVENTOS!$C1)*(OFFSET(CÁLCULO!$AI$15:$AI$235,0,N$13))),2),0)</f>
        <v>#REF!</v>
      </c>
      <c r="O1" s="618" t="e">
        <f t="array" aca="1" ref="O1" ca="1">IF(AUTOEVENTO="Manual",ROUND(SUMPRODUCT((CÁLCULO!$M$15:$M$235=EVENTOS!$C1)*(OFFSET(CÁLCULO!$AI$15:$AI$235,0,O$13))),2),0)</f>
        <v>#REF!</v>
      </c>
      <c r="P1" s="618" t="e">
        <f t="array" aca="1" ref="P1" ca="1">IF(AUTOEVENTO="Manual",ROUND(SUMPRODUCT((CÁLCULO!$M$15:$M$235=EVENTOS!$C1)*(OFFSET(CÁLCULO!$AI$15:$AI$235,0,P$13))),2),0)</f>
        <v>#REF!</v>
      </c>
      <c r="Q1" s="618" t="e">
        <f t="array" aca="1" ref="Q1" ca="1">IF(AUTOEVENTO="Manual",ROUND(SUMPRODUCT((CÁLCULO!$M$15:$M$235=EVENTOS!$C1)*(OFFSET(CÁLCULO!$AI$15:$AI$235,0,Q$13))),2),0)</f>
        <v>#REF!</v>
      </c>
      <c r="R1" s="618" t="e">
        <f t="array" aca="1" ref="R1" ca="1">IF(AUTOEVENTO="Manual",ROUND(SUMPRODUCT((CÁLCULO!$M$15:$M$235=EVENTOS!$C1)*(OFFSET(CÁLCULO!$AI$15:$AI$235,0,R$13))),2),0)</f>
        <v>#REF!</v>
      </c>
      <c r="S1" s="618" t="e">
        <f t="array" aca="1" ref="S1" ca="1">IF(AUTOEVENTO="Manual",ROUND(SUMPRODUCT((CÁLCULO!$M$15:$M$235=EVENTOS!$C1)*(OFFSET(CÁLCULO!$AI$15:$AI$235,0,S$13))),2),0)</f>
        <v>#REF!</v>
      </c>
      <c r="T1" s="618" t="e">
        <f t="array" aca="1" ref="T1" ca="1">IF(AUTOEVENTO="Manual",ROUND(SUMPRODUCT((CÁLCULO!$M$15:$M$235=EVENTOS!$C1)*(OFFSET(CÁLCULO!$AI$15:$AI$235,0,T$13))),2),0)</f>
        <v>#REF!</v>
      </c>
      <c r="U1" s="618" t="e">
        <f t="array" aca="1" ref="U1" ca="1">IF(AUTOEVENTO="Manual",ROUND(SUMPRODUCT((CÁLCULO!$M$15:$M$235=EVENTOS!$C1)*(OFFSET(CÁLCULO!$AI$15:$AI$235,0,U$13))),2),0)</f>
        <v>#REF!</v>
      </c>
      <c r="V1" s="618" t="e">
        <f t="array" aca="1" ref="V1" ca="1">IF(AUTOEVENTO="Manual",ROUND(SUMPRODUCT((CÁLCULO!$M$15:$M$235=EVENTOS!$C1)*(OFFSET(CÁLCULO!$AI$15:$AI$235,0,V$13))),2),0)</f>
        <v>#REF!</v>
      </c>
      <c r="W1" s="618" t="e">
        <f t="array" aca="1" ref="W1" ca="1">IF(AUTOEVENTO="Manual",ROUND(SUMPRODUCT((CÁLCULO!$M$15:$M$235=EVENTOS!$C1)*(OFFSET(CÁLCULO!$AI$15:$AI$235,0,W$13))),2),0)</f>
        <v>#REF!</v>
      </c>
      <c r="X1" s="618" t="e">
        <f t="array" aca="1" ref="X1" ca="1">IF(AUTOEVENTO="Manual",ROUND(SUMPRODUCT((CÁLCULO!$M$15:$M$235=EVENTOS!$C1)*(OFFSET(CÁLCULO!$AI$15:$AI$235,0,X$13))),2),0)</f>
        <v>#REF!</v>
      </c>
      <c r="Y1" s="618" t="e">
        <f t="array" aca="1" ref="Y1" ca="1">IF(AUTOEVENTO="Manual",ROUND(SUMPRODUCT((CÁLCULO!$M$15:$M$235=EVENTOS!$C1)*(OFFSET(CÁLCULO!$AI$15:$AI$235,0,Y$13))),2),0)</f>
        <v>#REF!</v>
      </c>
    </row>
    <row r="2" spans="1:26" ht="30" customHeight="1" x14ac:dyDescent="0.2">
      <c r="F2" s="82" t="s">
        <v>756</v>
      </c>
      <c r="O2" s="620" t="s">
        <v>757</v>
      </c>
      <c r="Y2" s="620" t="s">
        <v>757</v>
      </c>
    </row>
    <row r="4" spans="1:26" ht="12.75" customHeight="1" x14ac:dyDescent="0.2">
      <c r="C4" s="55" t="s">
        <v>652</v>
      </c>
      <c r="D4" s="96"/>
      <c r="E4" s="77"/>
      <c r="F4" s="208" t="s">
        <v>758</v>
      </c>
      <c r="G4" s="77"/>
      <c r="H4" s="483"/>
      <c r="I4" s="483"/>
      <c r="J4" s="483"/>
      <c r="K4" s="483"/>
      <c r="L4" s="483"/>
      <c r="N4" s="55" t="s">
        <v>650</v>
      </c>
      <c r="O4" s="503" t="s">
        <v>707</v>
      </c>
      <c r="P4" s="208" t="s">
        <v>758</v>
      </c>
      <c r="Q4" s="77"/>
      <c r="R4" s="483"/>
      <c r="S4" s="483"/>
      <c r="T4" s="483"/>
      <c r="U4" s="483"/>
      <c r="V4" s="483"/>
      <c r="X4" s="55" t="s">
        <v>650</v>
      </c>
      <c r="Y4" s="503" t="s">
        <v>707</v>
      </c>
    </row>
    <row r="5" spans="1:26" ht="12.75" customHeight="1" x14ac:dyDescent="0.2">
      <c r="C5" s="504" t="str">
        <f>Import.Proponente</f>
        <v>PREFEITURA MUNICIPAL DE PIRANGUÇU-MG</v>
      </c>
      <c r="D5" s="502"/>
      <c r="E5" s="502"/>
      <c r="F5" s="774" t="str">
        <f>Import.Apelido</f>
        <v>CONSTRUÇÃO DE VINTE UNIDADES HABITACIONAIS</v>
      </c>
      <c r="G5" s="775"/>
      <c r="H5" s="775"/>
      <c r="I5" s="775"/>
      <c r="J5" s="775"/>
      <c r="K5" s="775"/>
      <c r="L5" s="775"/>
      <c r="M5" s="776"/>
      <c r="N5" s="56" t="str">
        <f>Import.CR</f>
        <v>1103833-63</v>
      </c>
      <c r="O5" s="56" t="str">
        <f>Import.SICONV</f>
        <v>39994/2025</v>
      </c>
      <c r="P5" s="774" t="str">
        <f>Import.Apelido</f>
        <v>CONSTRUÇÃO DE VINTE UNIDADES HABITACIONAIS</v>
      </c>
      <c r="Q5" s="775"/>
      <c r="R5" s="775"/>
      <c r="S5" s="775"/>
      <c r="T5" s="775"/>
      <c r="U5" s="775"/>
      <c r="V5" s="775"/>
      <c r="W5" s="776"/>
      <c r="X5" s="56" t="str">
        <f>Import.CR</f>
        <v>1103833-63</v>
      </c>
      <c r="Y5" s="56" t="str">
        <f>Import.SICONV</f>
        <v>39994/2025</v>
      </c>
      <c r="Z5" t="s">
        <v>752</v>
      </c>
    </row>
    <row r="6" spans="1:26" ht="24.95" customHeight="1" x14ac:dyDescent="0.25">
      <c r="B6" t="s">
        <v>937</v>
      </c>
      <c r="C6" t="s">
        <v>759</v>
      </c>
      <c r="F6" s="519" t="str">
        <f ca="1">IF(AUTOEVENTO="MANUAL",
  IF(COUNTIF($G$15:$G$58,"NOME")&gt;0,"Falta preencher o nome do Título do Evento nº "&amp;INDEX($C$15:$C$58,MATCH("NOME",$G$15:$G$58,0)),
  IF(COUNTIF($G$15:$G$58,"VALOR")&gt;0,"Falta atribuir serviços ao Evento nº "&amp;INDEX($C$15:$C$58,MATCH("VALOR",$G$15:$G$58,0))&amp;". Corrigir a atribuição dos eventos na aba CÁLCULO. Ou excluir linhas dos eventos não utilizados.",
  IF(ROUND($F$14,2)&lt;&gt;ROUND(ORÇAMENTO!$X$15,2),"O valor total dos Eventos é diferente do valor total do Orçamento. Corrigir a atribuição dos eventos na aba CÁLCULO",
  IF(COUNTIF($G$15:$G$58,"Nome &gt;100")&gt;0,"O tamanho do Título do Evento no TransfereGOV é limitado a 100 caracteres. Resuma o nome do Título do Evento nº "&amp;INDEX($C$15:$C$58,MATCH("Nome &gt;100",$G$15:$G$58,0)),"")))),"")</f>
        <v/>
      </c>
    </row>
    <row r="7" spans="1:26" ht="3.95" customHeight="1" thickBot="1" x14ac:dyDescent="0.25">
      <c r="B7" s="651" t="s">
        <v>940</v>
      </c>
    </row>
    <row r="8" spans="1:26" ht="16.5" thickBot="1" x14ac:dyDescent="0.3">
      <c r="B8" s="651" t="s">
        <v>941</v>
      </c>
      <c r="C8" s="770" t="s">
        <v>939</v>
      </c>
      <c r="D8" s="771"/>
      <c r="F8" s="519"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4">
        <f ca="1">COUNTIF($C$15:$C$58,"&gt;0")-1</f>
        <v>41</v>
      </c>
      <c r="D10" t="s">
        <v>752</v>
      </c>
      <c r="E10" s="772" t="str">
        <f ca="1">OFFSET(CÁLCULO!$P$12,0,EVENTOS!E$13)</f>
        <v>ETAPA 01 - EXECUÇÃO DAS UNIDADES DE 01 A 05</v>
      </c>
      <c r="F10" t="s">
        <v>752</v>
      </c>
      <c r="G10" s="767"/>
      <c r="H10" s="772" t="str">
        <f ca="1">OFFSET(CÁLCULO!$P$12,0,EVENTOS!H$13)</f>
        <v>ETAPA 01 - EXECUÇÃO DAS UNIDADES DE 01 A 05</v>
      </c>
      <c r="I10" s="772" t="str">
        <f ca="1">OFFSET(CÁLCULO!$P$12,0,EVENTOS!I$13)</f>
        <v>ETAPA 02 - EXECUÇÃO DAS UNIDADES  DE 06 A 10</v>
      </c>
      <c r="J10" s="772" t="str">
        <f ca="1">OFFSET(CÁLCULO!$P$12,0,EVENTOS!J$13)</f>
        <v>ETAPA 03 - EXECUÇÃO UNIDADES 11 A 15</v>
      </c>
      <c r="K10" s="767" t="str">
        <f ca="1">OFFSET(CÁLCULO!$P$12,0,EVENTOS!K$13)</f>
        <v>ETAPA 04 - EXECUÇÃO DAS UNIDADES  DE 16 A 20</v>
      </c>
      <c r="L10" s="767" t="str">
        <f ca="1">OFFSET(CÁLCULO!$P$12,0,EVENTOS!L$13)</f>
        <v>MÊS 01</v>
      </c>
      <c r="M10" s="767" t="str">
        <f ca="1">OFFSET(CÁLCULO!$P$12,0,EVENTOS!M$13)</f>
        <v>MÊS 02</v>
      </c>
      <c r="N10" s="767" t="str">
        <f ca="1">OFFSET(CÁLCULO!$P$12,0,EVENTOS!N$13)</f>
        <v>MÊS 03</v>
      </c>
      <c r="O10" s="767" t="str">
        <f ca="1">OFFSET(CÁLCULO!$P$12,0,EVENTOS!O$13)</f>
        <v>MÊS 04</v>
      </c>
      <c r="P10" s="767" t="str">
        <f ca="1">OFFSET(CÁLCULO!$P$12,0,EVENTOS!P$13)</f>
        <v>MÊS 05</v>
      </c>
      <c r="Q10" s="767" t="str">
        <f ca="1">OFFSET(CÁLCULO!$P$12,0,EVENTOS!Q$13)</f>
        <v>MÊS 06</v>
      </c>
      <c r="R10" s="767" t="str">
        <f ca="1">OFFSET(CÁLCULO!$P$12,0,EVENTOS!R$13)</f>
        <v>MÊS 07</v>
      </c>
      <c r="S10" s="767" t="str">
        <f ca="1">OFFSET(CÁLCULO!$P$12,0,EVENTOS!S$13)</f>
        <v>MÊS 08</v>
      </c>
      <c r="T10" s="767" t="str">
        <f ca="1">OFFSET(CÁLCULO!$P$12,0,EVENTOS!T$13)</f>
        <v>MÊS 09</v>
      </c>
      <c r="U10" s="767" t="str">
        <f ca="1">OFFSET(CÁLCULO!$P$12,0,EVENTOS!U$13)</f>
        <v>.</v>
      </c>
      <c r="V10" s="767" t="str">
        <f ca="1">OFFSET(CÁLCULO!$P$12,0,EVENTOS!V$13)</f>
        <v>.</v>
      </c>
      <c r="W10" s="767" t="str">
        <f ca="1">OFFSET(CÁLCULO!$P$12,0,EVENTOS!W$13)</f>
        <v>.</v>
      </c>
      <c r="X10" s="767" t="str">
        <f ca="1">OFFSET(CÁLCULO!$P$12,0,EVENTOS!X$13)</f>
        <v>.</v>
      </c>
      <c r="Y10" s="767" t="str">
        <f ca="1">OFFSET(CÁLCULO!$P$12,0,EVENTOS!Y$13)</f>
        <v>.</v>
      </c>
    </row>
    <row r="11" spans="1:26" ht="35.1" customHeight="1" x14ac:dyDescent="0.2">
      <c r="A11" s="506" t="s">
        <v>655</v>
      </c>
      <c r="C11" s="773" t="str">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73"/>
      <c r="E11" s="772"/>
      <c r="F11" s="496"/>
      <c r="G11" s="768"/>
      <c r="H11" s="772"/>
      <c r="I11" s="772"/>
      <c r="J11" s="772"/>
      <c r="K11" s="768"/>
      <c r="L11" s="768"/>
      <c r="M11" s="768"/>
      <c r="N11" s="768"/>
      <c r="O11" s="768"/>
      <c r="P11" s="768"/>
      <c r="Q11" s="768"/>
      <c r="R11" s="768"/>
      <c r="S11" s="768"/>
      <c r="T11" s="768"/>
      <c r="U11" s="768"/>
      <c r="V11" s="768"/>
      <c r="W11" s="768"/>
      <c r="X11" s="768"/>
      <c r="Y11" s="768"/>
    </row>
    <row r="12" spans="1:26" ht="12" customHeight="1" x14ac:dyDescent="0.2">
      <c r="A12" s="507" t="s">
        <v>660</v>
      </c>
      <c r="E12" s="772"/>
      <c r="G12" s="769"/>
      <c r="H12" s="772"/>
      <c r="I12" s="772"/>
      <c r="J12" s="772"/>
      <c r="K12" s="769"/>
      <c r="L12" s="769"/>
      <c r="M12" s="769"/>
      <c r="N12" s="769"/>
      <c r="O12" s="769"/>
      <c r="P12" s="769"/>
      <c r="Q12" s="769"/>
      <c r="R12" s="769"/>
      <c r="S12" s="769"/>
      <c r="T12" s="769"/>
      <c r="U12" s="769"/>
      <c r="V12" s="769"/>
      <c r="W12" s="769"/>
      <c r="X12" s="769"/>
      <c r="Y12" s="769"/>
    </row>
    <row r="13" spans="1:26" ht="15" x14ac:dyDescent="0.25">
      <c r="A13" s="507"/>
      <c r="C13" s="497" t="s">
        <v>760</v>
      </c>
      <c r="D13" s="621" t="s">
        <v>761</v>
      </c>
      <c r="E13" s="622">
        <f ca="1">IF(NOT(ISNUMBER(OFFSET(E13,0,-1))),1,IF(OR(OFFSET(E13,0,-1)=0,OFFSET(E13,0,-1)+1&gt;CÁLCULO.FrentesPreenchidas),0,OFFSET(E13,0,-1)+1))</f>
        <v>1</v>
      </c>
      <c r="F13" s="543" t="s">
        <v>762</v>
      </c>
      <c r="G13" s="494"/>
      <c r="H13" s="622">
        <f t="shared" ref="H13:Y13" ca="1" si="0">IF(NOT(ISNUMBER(OFFSET(H13,0,-1))),1,IF(OR(OFFSET(H13,0,-1)=0,OFFSET(H13,0,-1)+1&gt;CÁLCULO.FrentesPreenchidas),0,OFFSET(H13,0,-1)+1))</f>
        <v>1</v>
      </c>
      <c r="I13" s="622">
        <f t="shared" ca="1" si="0"/>
        <v>2</v>
      </c>
      <c r="J13" s="622">
        <f t="shared" ca="1" si="0"/>
        <v>3</v>
      </c>
      <c r="K13" s="622">
        <f t="shared" ca="1" si="0"/>
        <v>4</v>
      </c>
      <c r="L13" s="622">
        <f t="shared" ca="1" si="0"/>
        <v>5</v>
      </c>
      <c r="M13" s="622">
        <f t="shared" ca="1" si="0"/>
        <v>6</v>
      </c>
      <c r="N13" s="622">
        <f t="shared" ca="1" si="0"/>
        <v>7</v>
      </c>
      <c r="O13" s="622">
        <f t="shared" ca="1" si="0"/>
        <v>8</v>
      </c>
      <c r="P13" s="622">
        <f t="shared" ca="1" si="0"/>
        <v>9</v>
      </c>
      <c r="Q13" s="622">
        <f t="shared" ca="1" si="0"/>
        <v>10</v>
      </c>
      <c r="R13" s="622">
        <f t="shared" ca="1" si="0"/>
        <v>11</v>
      </c>
      <c r="S13" s="622">
        <f t="shared" ca="1" si="0"/>
        <v>12</v>
      </c>
      <c r="T13" s="622">
        <f t="shared" ca="1" si="0"/>
        <v>13</v>
      </c>
      <c r="U13" s="622">
        <f t="shared" ca="1" si="0"/>
        <v>0</v>
      </c>
      <c r="V13" s="622">
        <f t="shared" ca="1" si="0"/>
        <v>0</v>
      </c>
      <c r="W13" s="622">
        <f t="shared" ca="1" si="0"/>
        <v>0</v>
      </c>
      <c r="X13" s="622">
        <f t="shared" ca="1" si="0"/>
        <v>0</v>
      </c>
      <c r="Y13" s="622">
        <f t="shared" ca="1" si="0"/>
        <v>0</v>
      </c>
    </row>
    <row r="14" spans="1:26" ht="15" customHeight="1" x14ac:dyDescent="0.2">
      <c r="A14" s="505" t="s">
        <v>536</v>
      </c>
      <c r="C14" s="539"/>
      <c r="D14" s="540" t="s">
        <v>763</v>
      </c>
      <c r="E14" s="623">
        <f ca="1">SUM(E$15:E$58)</f>
        <v>631898.56000000006</v>
      </c>
      <c r="F14" s="541">
        <f ca="1">SUM(F$15:F$58)</f>
        <v>2675612.4199999995</v>
      </c>
      <c r="H14" s="623">
        <f t="shared" ref="H14:Y14" ca="1" si="1">SUM(H$15:H$58)</f>
        <v>631898.56000000006</v>
      </c>
      <c r="I14" s="623">
        <f t="shared" ca="1" si="1"/>
        <v>631898.56000000006</v>
      </c>
      <c r="J14" s="623">
        <f t="shared" ca="1" si="1"/>
        <v>631898.56000000006</v>
      </c>
      <c r="K14" s="623">
        <f t="shared" ca="1" si="1"/>
        <v>643337.39000000013</v>
      </c>
      <c r="L14" s="623">
        <f t="shared" ca="1" si="1"/>
        <v>18891.600000000002</v>
      </c>
      <c r="M14" s="623">
        <f t="shared" ca="1" si="1"/>
        <v>24416.739999999998</v>
      </c>
      <c r="N14" s="623">
        <f t="shared" ca="1" si="1"/>
        <v>11419.68</v>
      </c>
      <c r="O14" s="623">
        <f t="shared" ca="1" si="1"/>
        <v>17170.669999999998</v>
      </c>
      <c r="P14" s="623">
        <f t="shared" ca="1" si="1"/>
        <v>18425.810000000001</v>
      </c>
      <c r="Q14" s="623">
        <f t="shared" ca="1" si="1"/>
        <v>19722.099999999999</v>
      </c>
      <c r="R14" s="623">
        <f t="shared" ca="1" si="1"/>
        <v>12088.4</v>
      </c>
      <c r="S14" s="623">
        <f t="shared" ca="1" si="1"/>
        <v>6985.55</v>
      </c>
      <c r="T14" s="623">
        <f t="shared" ca="1" si="1"/>
        <v>7458.8</v>
      </c>
      <c r="U14" s="623">
        <f t="shared" ca="1" si="1"/>
        <v>0</v>
      </c>
      <c r="V14" s="623">
        <f t="shared" ca="1" si="1"/>
        <v>0</v>
      </c>
      <c r="W14" s="623">
        <f t="shared" ca="1" si="1"/>
        <v>0</v>
      </c>
      <c r="X14" s="623">
        <f t="shared" ca="1" si="1"/>
        <v>0</v>
      </c>
      <c r="Y14" s="623">
        <f t="shared" ca="1" si="1"/>
        <v>0</v>
      </c>
    </row>
    <row r="15" spans="1:26" x14ac:dyDescent="0.2">
      <c r="A15" s="505" t="str">
        <f t="shared" ref="A15:A57" si="2">IF(D15="","","F")</f>
        <v/>
      </c>
      <c r="B15" t="str">
        <f>IF(OR(C15=" ",D15=""),"",CONCATENATE(C15,". ",D15))</f>
        <v/>
      </c>
      <c r="C15" s="544">
        <f t="array" ref="C15">IF(AdmLocal="Automática",1,0)</f>
        <v>0</v>
      </c>
      <c r="D15" s="624" t="str">
        <f>IF(C15=1,"Administração Local","")</f>
        <v/>
      </c>
      <c r="E15" s="625">
        <f ca="1">IF($F$15=0,0,IF(E13=1,$F$15-SUM($I$15:$Z$15),ROUND(SUM(OFFSET(E15,1,0):OFFSET(E$58,-1,0))/SUM(OFFSET($F15,1,0):OFFSET($F$58,-1,0))*$F$15,2)))</f>
        <v>0</v>
      </c>
      <c r="F15" s="545">
        <f t="array" ref="F15">IF($C$15=0,0,ROUND(SUMPRODUCT((CÁLCULO!$M$15:$M$235=EVENTOS!$C15)*(ORÇAMENTO!$X$15:'ORÇAMENTO'!$X$235)),2))</f>
        <v>0</v>
      </c>
      <c r="G15" s="626"/>
      <c r="H15" s="625">
        <f ca="1">IF($F$15=0,0,IF(H13=1,$F$15-SUM($I$15:$Z$15),ROUND(SUM(OFFSET(H15,1,0):OFFSET(H$58,-1,0))/SUM(OFFSET($F15,1,0):OFFSET($F$58,-1,0))*$F$15,2)))</f>
        <v>0</v>
      </c>
      <c r="I15" s="625">
        <f ca="1">IF($F$15=0,0,IF(I13=1,$F$15-SUM($I$15:$Z$15),ROUND(SUM(OFFSET(I15,1,0):OFFSET(I$58,-1,0))/SUM(OFFSET($F15,1,0):OFFSET($F$58,-1,0))*$F$15,2)))</f>
        <v>0</v>
      </c>
      <c r="J15" s="625">
        <f ca="1">IF($F$15=0,0,IF(J13=1,$F$15-SUM($I$15:$Z$15),ROUND(SUM(OFFSET(J15,1,0):OFFSET(J$58,-1,0))/SUM(OFFSET($F15,1,0):OFFSET($F$58,-1,0))*$F$15,2)))</f>
        <v>0</v>
      </c>
      <c r="K15" s="625">
        <f ca="1">IF($F$15=0,0,IF(K13=1,$F$15-SUM($I$15:$Z$15),ROUND(SUM(OFFSET(K15,1,0):OFFSET(K$58,-1,0))/SUM(OFFSET($F15,1,0):OFFSET($F$58,-1,0))*$F$15,2)))</f>
        <v>0</v>
      </c>
      <c r="L15" s="625">
        <f ca="1">IF($F$15=0,0,IF(L13=1,$F$15-SUM($I$15:$Z$15),ROUND(SUM(OFFSET(L15,1,0):OFFSET(L$58,-1,0))/SUM(OFFSET($F15,1,0):OFFSET($F$58,-1,0))*$F$15,2)))</f>
        <v>0</v>
      </c>
      <c r="M15" s="625">
        <f ca="1">IF($F$15=0,0,IF(M13=1,$F$15-SUM($I$15:$Z$15),ROUND(SUM(OFFSET(M15,1,0):OFFSET(M$58,-1,0))/SUM(OFFSET($F15,1,0):OFFSET($F$58,-1,0))*$F$15,2)))</f>
        <v>0</v>
      </c>
      <c r="N15" s="625">
        <f ca="1">IF($F$15=0,0,IF(N13=1,$F$15-SUM($I$15:$Z$15),ROUND(SUM(OFFSET(N15,1,0):OFFSET(N$58,-1,0))/SUM(OFFSET($F15,1,0):OFFSET($F$58,-1,0))*$F$15,2)))</f>
        <v>0</v>
      </c>
      <c r="O15" s="625">
        <f ca="1">IF($F$15=0,0,IF(O13=1,$F$15-SUM($I$15:$Z$15),ROUND(SUM(OFFSET(O15,1,0):OFFSET(O$58,-1,0))/SUM(OFFSET($F15,1,0):OFFSET($F$58,-1,0))*$F$15,2)))</f>
        <v>0</v>
      </c>
      <c r="P15" s="625">
        <f ca="1">IF($F$15=0,0,IF(P13=1,$F$15-SUM($I$15:$Z$15),ROUND(SUM(OFFSET(P15,1,0):OFFSET(P$58,-1,0))/SUM(OFFSET($F15,1,0):OFFSET($F$58,-1,0))*$F$15,2)))</f>
        <v>0</v>
      </c>
      <c r="Q15" s="625">
        <f ca="1">IF($F$15=0,0,IF(Q13=1,$F$15-SUM($I$15:$Z$15),ROUND(SUM(OFFSET(Q15,1,0):OFFSET(Q$58,-1,0))/SUM(OFFSET($F15,1,0):OFFSET($F$58,-1,0))*$F$15,2)))</f>
        <v>0</v>
      </c>
      <c r="R15" s="625">
        <f ca="1">IF($F$15=0,0,IF(R13=1,$F$15-SUM($I$15:$Z$15),ROUND(SUM(OFFSET(R15,1,0):OFFSET(R$58,-1,0))/SUM(OFFSET($F15,1,0):OFFSET($F$58,-1,0))*$F$15,2)))</f>
        <v>0</v>
      </c>
      <c r="S15" s="625">
        <f ca="1">IF($F$15=0,0,IF(S13=1,$F$15-SUM($I$15:$Z$15),ROUND(SUM(OFFSET(S15,1,0):OFFSET(S$58,-1,0))/SUM(OFFSET($F15,1,0):OFFSET($F$58,-1,0))*$F$15,2)))</f>
        <v>0</v>
      </c>
      <c r="T15" s="625">
        <f ca="1">IF($F$15=0,0,IF(T13=1,$F$15-SUM($I$15:$Z$15),ROUND(SUM(OFFSET(T15,1,0):OFFSET(T$58,-1,0))/SUM(OFFSET($F15,1,0):OFFSET($F$58,-1,0))*$F$15,2)))</f>
        <v>0</v>
      </c>
      <c r="U15" s="625">
        <f ca="1">IF($F$15=0,0,IF(U13=1,$F$15-SUM($I$15:$Z$15),ROUND(SUM(OFFSET(U15,1,0):OFFSET(U$58,-1,0))/SUM(OFFSET($F15,1,0):OFFSET($F$58,-1,0))*$F$15,2)))</f>
        <v>0</v>
      </c>
      <c r="V15" s="625">
        <f ca="1">IF($F$15=0,0,IF(V13=1,$F$15-SUM($I$15:$Z$15),ROUND(SUM(OFFSET(V15,1,0):OFFSET(V$58,-1,0))/SUM(OFFSET($F15,1,0):OFFSET($F$58,-1,0))*$F$15,2)))</f>
        <v>0</v>
      </c>
      <c r="W15" s="625">
        <f ca="1">IF($F$15=0,0,IF(W13=1,$F$15-SUM($I$15:$Z$15),ROUND(SUM(OFFSET(W15,1,0):OFFSET(W$58,-1,0))/SUM(OFFSET($F15,1,0):OFFSET($F$58,-1,0))*$F$15,2)))</f>
        <v>0</v>
      </c>
      <c r="X15" s="625">
        <f ca="1">IF($F$15=0,0,IF(X13=1,$F$15-SUM($I$15:$Z$15),ROUND(SUM(OFFSET(X15,1,0):OFFSET(X$58,-1,0))/SUM(OFFSET($F15,1,0):OFFSET($F$58,-1,0))*$F$15,2)))</f>
        <v>0</v>
      </c>
      <c r="Y15" s="625">
        <f ca="1">IF($F$15=0,0,IF(Y13=1,$F$15-SUM($I$15:$Z$15),ROUND(SUM(OFFSET(Y15,1,0):OFFSET(Y$58,-1,0))/SUM(OFFSET($F15,1,0):OFFSET($F$58,-1,0))*$F$15,2)))</f>
        <v>0</v>
      </c>
    </row>
    <row r="16" spans="1:26" s="696" customFormat="1" x14ac:dyDescent="0.2">
      <c r="A16" s="505" t="str">
        <f t="shared" si="2"/>
        <v>F</v>
      </c>
      <c r="B16" s="696" t="str">
        <f t="shared" ref="B16:B57" ca="1" si="3">IF(OR(C16=" ",D16=""),"",CONCATENATE(C16,". ",D16))</f>
        <v>1. SERVIÇOS TÉCNICOS (PROJETOS, ORÇAMENTOS, SONDAGENS E OUTROS)</v>
      </c>
      <c r="C16" s="182">
        <f t="array" aca="1" ref="C16" ca="1">IF(OR(ROW(C16)=ROW(EVENTOS.firstrow)+1,AND(OFFSET(C16,-1,0)&lt;&gt;" ",OFFSET(C16,-1,1)&lt;&gt;"")),OFFSET(C16,-1,0)+1," ")</f>
        <v>1</v>
      </c>
      <c r="D16" s="495" t="s">
        <v>1371</v>
      </c>
      <c r="E16" s="618">
        <f t="array" aca="1" ref="E16" ca="1">IF(AUTOEVENTO="Manual",ROUND(SUMPRODUCT((CÁLCULO!$M$15:$M$235=EVENTOS!$C16)*(OFFSET(CÁLCULO!$AI$15:$AI$235,0,E$13))),2),0)</f>
        <v>0</v>
      </c>
      <c r="F16" s="183">
        <f ca="1">IF(AUTOEVENTO="Manual",ROUND(SUMPRODUCT((CÁLCULO!$M$15:$M$235=EVENTOS!$C16)*(OFFSET(CÁLCULO!$AI$15,0,1):OFFSET(CÁLCULO!$BB$235,0,-1))),2),0)</f>
        <v>18562.38</v>
      </c>
      <c r="G16" s="619" t="str">
        <f t="shared" ref="G16:G57" ca="1" si="4">IF(AND(D16=0,F16&gt;0),"NOME",
 IF(AND(D16&lt;&gt;0,$F$14&gt;0,F16=0),"VALOR",
 IF(AND(Import.TipoArredondamento="TransfereGOV",$A16="F",LEN(D16)&gt;100),"Nome &gt;100","")))</f>
        <v/>
      </c>
      <c r="H16" s="618">
        <f t="array" aca="1" ref="H16" ca="1">IF(AUTOEVENTO="Manual",ROUND(SUMPRODUCT((CÁLCULO!$M$15:$M$235=EVENTOS!$C16)*(OFFSET(CÁLCULO!$AI$15:$AI$235,0,H$13))),2),0)</f>
        <v>0</v>
      </c>
      <c r="I16" s="618">
        <f t="array" aca="1" ref="I16" ca="1">IF(AUTOEVENTO="Manual",ROUND(SUMPRODUCT((CÁLCULO!$M$15:$M$235=EVENTOS!$C16)*(OFFSET(CÁLCULO!$AI$15:$AI$235,0,I$13))),2),0)</f>
        <v>0</v>
      </c>
      <c r="J16" s="618">
        <f t="array" aca="1" ref="J16" ca="1">IF(AUTOEVENTO="Manual",ROUND(SUMPRODUCT((CÁLCULO!$M$15:$M$235=EVENTOS!$C16)*(OFFSET(CÁLCULO!$AI$15:$AI$235,0,J$13))),2),0)</f>
        <v>0</v>
      </c>
      <c r="K16" s="618">
        <f t="array" aca="1" ref="K16" ca="1">IF(AUTOEVENTO="Manual",ROUND(SUMPRODUCT((CÁLCULO!$M$15:$M$235=EVENTOS!$C16)*(OFFSET(CÁLCULO!$AI$15:$AI$235,0,K$13))),2),0)</f>
        <v>0</v>
      </c>
      <c r="L16" s="618">
        <f t="array" aca="1" ref="L16" ca="1">IF(AUTOEVENTO="Manual",ROUND(SUMPRODUCT((CÁLCULO!$M$15:$M$235=EVENTOS!$C16)*(OFFSET(CÁLCULO!$AI$15:$AI$235,0,L$13))),2),0)</f>
        <v>18562.38</v>
      </c>
      <c r="M16" s="618">
        <f t="array" aca="1" ref="M16" ca="1">IF(AUTOEVENTO="Manual",ROUND(SUMPRODUCT((CÁLCULO!$M$15:$M$235=EVENTOS!$C16)*(OFFSET(CÁLCULO!$AI$15:$AI$235,0,M$13))),2),0)</f>
        <v>0</v>
      </c>
      <c r="N16" s="618">
        <f t="array" aca="1" ref="N16" ca="1">IF(AUTOEVENTO="Manual",ROUND(SUMPRODUCT((CÁLCULO!$M$15:$M$235=EVENTOS!$C16)*(OFFSET(CÁLCULO!$AI$15:$AI$235,0,N$13))),2),0)</f>
        <v>0</v>
      </c>
      <c r="O16" s="618">
        <f t="array" aca="1" ref="O16" ca="1">IF(AUTOEVENTO="Manual",ROUND(SUMPRODUCT((CÁLCULO!$M$15:$M$235=EVENTOS!$C16)*(OFFSET(CÁLCULO!$AI$15:$AI$235,0,O$13))),2),0)</f>
        <v>0</v>
      </c>
      <c r="P16" s="618">
        <f t="array" aca="1" ref="P16" ca="1">IF(AUTOEVENTO="Manual",ROUND(SUMPRODUCT((CÁLCULO!$M$15:$M$235=EVENTOS!$C16)*(OFFSET(CÁLCULO!$AI$15:$AI$235,0,P$13))),2),0)</f>
        <v>0</v>
      </c>
      <c r="Q16" s="618">
        <f t="array" aca="1" ref="Q16" ca="1">IF(AUTOEVENTO="Manual",ROUND(SUMPRODUCT((CÁLCULO!$M$15:$M$235=EVENTOS!$C16)*(OFFSET(CÁLCULO!$AI$15:$AI$235,0,Q$13))),2),0)</f>
        <v>0</v>
      </c>
      <c r="R16" s="618">
        <f t="array" aca="1" ref="R16" ca="1">IF(AUTOEVENTO="Manual",ROUND(SUMPRODUCT((CÁLCULO!$M$15:$M$235=EVENTOS!$C16)*(OFFSET(CÁLCULO!$AI$15:$AI$235,0,R$13))),2),0)</f>
        <v>0</v>
      </c>
      <c r="S16" s="618">
        <f t="array" aca="1" ref="S16" ca="1">IF(AUTOEVENTO="Manual",ROUND(SUMPRODUCT((CÁLCULO!$M$15:$M$235=EVENTOS!$C16)*(OFFSET(CÁLCULO!$AI$15:$AI$235,0,S$13))),2),0)</f>
        <v>0</v>
      </c>
      <c r="T16" s="618">
        <f t="array" aca="1" ref="T16" ca="1">IF(AUTOEVENTO="Manual",ROUND(SUMPRODUCT((CÁLCULO!$M$15:$M$235=EVENTOS!$C16)*(OFFSET(CÁLCULO!$AI$15:$AI$235,0,T$13))),2),0)</f>
        <v>0</v>
      </c>
      <c r="U16" s="618">
        <f t="array" aca="1" ref="U16" ca="1">IF(AUTOEVENTO="Manual",ROUND(SUMPRODUCT((CÁLCULO!$M$15:$M$235=EVENTOS!$C16)*(OFFSET(CÁLCULO!$AI$15:$AI$235,0,U$13))),2),0)</f>
        <v>0</v>
      </c>
      <c r="V16" s="618">
        <f t="array" aca="1" ref="V16" ca="1">IF(AUTOEVENTO="Manual",ROUND(SUMPRODUCT((CÁLCULO!$M$15:$M$235=EVENTOS!$C16)*(OFFSET(CÁLCULO!$AI$15:$AI$235,0,V$13))),2),0)</f>
        <v>0</v>
      </c>
      <c r="W16" s="618">
        <f t="array" aca="1" ref="W16" ca="1">IF(AUTOEVENTO="Manual",ROUND(SUMPRODUCT((CÁLCULO!$M$15:$M$235=EVENTOS!$C16)*(OFFSET(CÁLCULO!$AI$15:$AI$235,0,W$13))),2),0)</f>
        <v>0</v>
      </c>
      <c r="X16" s="618">
        <f t="array" aca="1" ref="X16" ca="1">IF(AUTOEVENTO="Manual",ROUND(SUMPRODUCT((CÁLCULO!$M$15:$M$235=EVENTOS!$C16)*(OFFSET(CÁLCULO!$AI$15:$AI$235,0,X$13))),2),0)</f>
        <v>0</v>
      </c>
      <c r="Y16" s="618">
        <f t="array" aca="1" ref="Y16" ca="1">IF(AUTOEVENTO="Manual",ROUND(SUMPRODUCT((CÁLCULO!$M$15:$M$235=EVENTOS!$C16)*(OFFSET(CÁLCULO!$AI$15:$AI$235,0,Y$13))),2),0)</f>
        <v>0</v>
      </c>
    </row>
    <row r="17" spans="1:25" s="696" customFormat="1" x14ac:dyDescent="0.2">
      <c r="A17" s="505" t="str">
        <f t="shared" si="2"/>
        <v>F</v>
      </c>
      <c r="B17" s="696" t="str">
        <f t="shared" ca="1" si="3"/>
        <v>2. INTALAÇÃO DE CANTEIRO (BARRACÃO, PLACA DE OBRA)</v>
      </c>
      <c r="C17" s="182">
        <f t="array" aca="1" ref="C17" ca="1">IF(OR(ROW(C17)=ROW(EVENTOS.firstrow)+1,AND(OFFSET(C17,-1,0)&lt;&gt;" ",OFFSET(C17,-1,1)&lt;&gt;"")),OFFSET(C17,-1,0)+1," ")</f>
        <v>2</v>
      </c>
      <c r="D17" s="495" t="s">
        <v>1372</v>
      </c>
      <c r="E17" s="618">
        <f t="array" aca="1" ref="E17" ca="1">IF(AUTOEVENTO="Manual",ROUND(SUMPRODUCT((CÁLCULO!$M$15:$M$235=EVENTOS!$C17)*(OFFSET(CÁLCULO!$AI$15:$AI$235,0,E$13))),2),0)</f>
        <v>0</v>
      </c>
      <c r="F17" s="183">
        <f ca="1">IF(AUTOEVENTO="Manual",ROUND(SUMPRODUCT((CÁLCULO!$M$15:$M$235=EVENTOS!$C17)*(OFFSET(CÁLCULO!$AI$15,0,1):OFFSET(CÁLCULO!$BB$235,0,-1))),2),0)</f>
        <v>15136.96</v>
      </c>
      <c r="G17" s="619" t="str">
        <f t="shared" ca="1" si="4"/>
        <v/>
      </c>
      <c r="H17" s="618">
        <f t="array" aca="1" ref="H17" ca="1">IF(AUTOEVENTO="Manual",ROUND(SUMPRODUCT((CÁLCULO!$M$15:$M$235=EVENTOS!$C17)*(OFFSET(CÁLCULO!$AI$15:$AI$235,0,H$13))),2),0)</f>
        <v>0</v>
      </c>
      <c r="I17" s="618">
        <f t="array" aca="1" ref="I17" ca="1">IF(AUTOEVENTO="Manual",ROUND(SUMPRODUCT((CÁLCULO!$M$15:$M$235=EVENTOS!$C17)*(OFFSET(CÁLCULO!$AI$15:$AI$235,0,I$13))),2),0)</f>
        <v>0</v>
      </c>
      <c r="J17" s="618">
        <f t="array" aca="1" ref="J17" ca="1">IF(AUTOEVENTO="Manual",ROUND(SUMPRODUCT((CÁLCULO!$M$15:$M$235=EVENTOS!$C17)*(OFFSET(CÁLCULO!$AI$15:$AI$235,0,J$13))),2),0)</f>
        <v>0</v>
      </c>
      <c r="K17" s="618">
        <f t="array" aca="1" ref="K17" ca="1">IF(AUTOEVENTO="Manual",ROUND(SUMPRODUCT((CÁLCULO!$M$15:$M$235=EVENTOS!$C17)*(OFFSET(CÁLCULO!$AI$15:$AI$235,0,K$13))),2),0)</f>
        <v>0</v>
      </c>
      <c r="L17" s="618">
        <f t="array" aca="1" ref="L17" ca="1">IF(AUTOEVENTO="Manual",ROUND(SUMPRODUCT((CÁLCULO!$M$15:$M$235=EVENTOS!$C17)*(OFFSET(CÁLCULO!$AI$15:$AI$235,0,L$13))),2),0)</f>
        <v>0</v>
      </c>
      <c r="M17" s="618">
        <f t="array" aca="1" ref="M17" ca="1">IF(AUTOEVENTO="Manual",ROUND(SUMPRODUCT((CÁLCULO!$M$15:$M$235=EVENTOS!$C17)*(OFFSET(CÁLCULO!$AI$15:$AI$235,0,M$13))),2),0)</f>
        <v>15136.96</v>
      </c>
      <c r="N17" s="618">
        <f t="array" aca="1" ref="N17" ca="1">IF(AUTOEVENTO="Manual",ROUND(SUMPRODUCT((CÁLCULO!$M$15:$M$235=EVENTOS!$C17)*(OFFSET(CÁLCULO!$AI$15:$AI$235,0,N$13))),2),0)</f>
        <v>0</v>
      </c>
      <c r="O17" s="618">
        <f t="array" aca="1" ref="O17" ca="1">IF(AUTOEVENTO="Manual",ROUND(SUMPRODUCT((CÁLCULO!$M$15:$M$235=EVENTOS!$C17)*(OFFSET(CÁLCULO!$AI$15:$AI$235,0,O$13))),2),0)</f>
        <v>0</v>
      </c>
      <c r="P17" s="618">
        <f t="array" aca="1" ref="P17" ca="1">IF(AUTOEVENTO="Manual",ROUND(SUMPRODUCT((CÁLCULO!$M$15:$M$235=EVENTOS!$C17)*(OFFSET(CÁLCULO!$AI$15:$AI$235,0,P$13))),2),0)</f>
        <v>0</v>
      </c>
      <c r="Q17" s="618">
        <f t="array" aca="1" ref="Q17" ca="1">IF(AUTOEVENTO="Manual",ROUND(SUMPRODUCT((CÁLCULO!$M$15:$M$235=EVENTOS!$C17)*(OFFSET(CÁLCULO!$AI$15:$AI$235,0,Q$13))),2),0)</f>
        <v>0</v>
      </c>
      <c r="R17" s="618">
        <f t="array" aca="1" ref="R17" ca="1">IF(AUTOEVENTO="Manual",ROUND(SUMPRODUCT((CÁLCULO!$M$15:$M$235=EVENTOS!$C17)*(OFFSET(CÁLCULO!$AI$15:$AI$235,0,R$13))),2),0)</f>
        <v>0</v>
      </c>
      <c r="S17" s="618">
        <f t="array" aca="1" ref="S17" ca="1">IF(AUTOEVENTO="Manual",ROUND(SUMPRODUCT((CÁLCULO!$M$15:$M$235=EVENTOS!$C17)*(OFFSET(CÁLCULO!$AI$15:$AI$235,0,S$13))),2),0)</f>
        <v>0</v>
      </c>
      <c r="T17" s="618">
        <f t="array" aca="1" ref="T17" ca="1">IF(AUTOEVENTO="Manual",ROUND(SUMPRODUCT((CÁLCULO!$M$15:$M$235=EVENTOS!$C17)*(OFFSET(CÁLCULO!$AI$15:$AI$235,0,T$13))),2),0)</f>
        <v>0</v>
      </c>
      <c r="U17" s="618">
        <f t="array" aca="1" ref="U17" ca="1">IF(AUTOEVENTO="Manual",ROUND(SUMPRODUCT((CÁLCULO!$M$15:$M$235=EVENTOS!$C17)*(OFFSET(CÁLCULO!$AI$15:$AI$235,0,U$13))),2),0)</f>
        <v>0</v>
      </c>
      <c r="V17" s="618">
        <f t="array" aca="1" ref="V17" ca="1">IF(AUTOEVENTO="Manual",ROUND(SUMPRODUCT((CÁLCULO!$M$15:$M$235=EVENTOS!$C17)*(OFFSET(CÁLCULO!$AI$15:$AI$235,0,V$13))),2),0)</f>
        <v>0</v>
      </c>
      <c r="W17" s="618">
        <f t="array" aca="1" ref="W17" ca="1">IF(AUTOEVENTO="Manual",ROUND(SUMPRODUCT((CÁLCULO!$M$15:$M$235=EVENTOS!$C17)*(OFFSET(CÁLCULO!$AI$15:$AI$235,0,W$13))),2),0)</f>
        <v>0</v>
      </c>
      <c r="X17" s="618">
        <f t="array" aca="1" ref="X17" ca="1">IF(AUTOEVENTO="Manual",ROUND(SUMPRODUCT((CÁLCULO!$M$15:$M$235=EVENTOS!$C17)*(OFFSET(CÁLCULO!$AI$15:$AI$235,0,X$13))),2),0)</f>
        <v>0</v>
      </c>
      <c r="Y17" s="618">
        <f t="array" aca="1" ref="Y17" ca="1">IF(AUTOEVENTO="Manual",ROUND(SUMPRODUCT((CÁLCULO!$M$15:$M$235=EVENTOS!$C17)*(OFFSET(CÁLCULO!$AI$15:$AI$235,0,Y$13))),2),0)</f>
        <v>0</v>
      </c>
    </row>
    <row r="18" spans="1:25" s="696" customFormat="1" x14ac:dyDescent="0.2">
      <c r="A18" s="505" t="str">
        <f t="shared" si="2"/>
        <v>F</v>
      </c>
      <c r="B18" s="696" t="str">
        <f t="shared" ca="1" si="3"/>
        <v>3. ADMINISTRAÇÃO LOCAL</v>
      </c>
      <c r="C18" s="182">
        <f t="array" aca="1" ref="C18" ca="1">IF(OR(ROW(C18)=ROW(EVENTOS.firstrow)+1,AND(OFFSET(C18,-1,0)&lt;&gt;" ",OFFSET(C18,-1,1)&lt;&gt;"")),OFFSET(C18,-1,0)+1," ")</f>
        <v>3</v>
      </c>
      <c r="D18" s="495" t="s">
        <v>1020</v>
      </c>
      <c r="E18" s="618">
        <f t="array" aca="1" ref="E18" ca="1">IF(AUTOEVENTO="Manual",ROUND(SUMPRODUCT((CÁLCULO!$M$15:$M$235=EVENTOS!$C18)*(OFFSET(CÁLCULO!$AI$15:$AI$235,0,E$13))),2),0)</f>
        <v>0</v>
      </c>
      <c r="F18" s="183">
        <f ca="1">IF(AUTOEVENTO="Manual",ROUND(SUMPRODUCT((CÁLCULO!$M$15:$M$235=EVENTOS!$C18)*(OFFSET(CÁLCULO!$AI$15,0,1):OFFSET(CÁLCULO!$BB$235,0,-1))),2),0)</f>
        <v>102880.01</v>
      </c>
      <c r="G18" s="619" t="str">
        <f t="shared" ca="1" si="4"/>
        <v/>
      </c>
      <c r="H18" s="618">
        <f t="array" aca="1" ref="H18" ca="1">IF(AUTOEVENTO="Manual",ROUND(SUMPRODUCT((CÁLCULO!$M$15:$M$235=EVENTOS!$C18)*(OFFSET(CÁLCULO!$AI$15:$AI$235,0,H$13))),2),0)</f>
        <v>0</v>
      </c>
      <c r="I18" s="618">
        <f t="array" aca="1" ref="I18" ca="1">IF(AUTOEVENTO="Manual",ROUND(SUMPRODUCT((CÁLCULO!$M$15:$M$235=EVENTOS!$C18)*(OFFSET(CÁLCULO!$AI$15:$AI$235,0,I$13))),2),0)</f>
        <v>0</v>
      </c>
      <c r="J18" s="618">
        <f t="array" aca="1" ref="J18" ca="1">IF(AUTOEVENTO="Manual",ROUND(SUMPRODUCT((CÁLCULO!$M$15:$M$235=EVENTOS!$C18)*(OFFSET(CÁLCULO!$AI$15:$AI$235,0,J$13))),2),0)</f>
        <v>0</v>
      </c>
      <c r="K18" s="618">
        <f t="array" aca="1" ref="K18" ca="1">IF(AUTOEVENTO="Manual",ROUND(SUMPRODUCT((CÁLCULO!$M$15:$M$235=EVENTOS!$C18)*(OFFSET(CÁLCULO!$AI$15:$AI$235,0,K$13))),2),0)</f>
        <v>0</v>
      </c>
      <c r="L18" s="618">
        <f t="array" aca="1" ref="L18" ca="1">IF(AUTOEVENTO="Manual",ROUND(SUMPRODUCT((CÁLCULO!$M$15:$M$235=EVENTOS!$C18)*(OFFSET(CÁLCULO!$AI$15:$AI$235,0,L$13))),2),0)</f>
        <v>329.22</v>
      </c>
      <c r="M18" s="618">
        <f t="array" aca="1" ref="M18" ca="1">IF(AUTOEVENTO="Manual",ROUND(SUMPRODUCT((CÁLCULO!$M$15:$M$235=EVENTOS!$C18)*(OFFSET(CÁLCULO!$AI$15:$AI$235,0,M$13))),2),0)</f>
        <v>9279.7800000000007</v>
      </c>
      <c r="N18" s="618">
        <f t="array" aca="1" ref="N18" ca="1">IF(AUTOEVENTO="Manual",ROUND(SUMPRODUCT((CÁLCULO!$M$15:$M$235=EVENTOS!$C18)*(OFFSET(CÁLCULO!$AI$15:$AI$235,0,N$13))),2),0)</f>
        <v>11419.68</v>
      </c>
      <c r="O18" s="618">
        <f t="array" aca="1" ref="O18" ca="1">IF(AUTOEVENTO="Manual",ROUND(SUMPRODUCT((CÁLCULO!$M$15:$M$235=EVENTOS!$C18)*(OFFSET(CÁLCULO!$AI$15:$AI$235,0,O$13))),2),0)</f>
        <v>17170.669999999998</v>
      </c>
      <c r="P18" s="618">
        <f t="array" aca="1" ref="P18" ca="1">IF(AUTOEVENTO="Manual",ROUND(SUMPRODUCT((CÁLCULO!$M$15:$M$235=EVENTOS!$C18)*(OFFSET(CÁLCULO!$AI$15:$AI$235,0,P$13))),2),0)</f>
        <v>18425.810000000001</v>
      </c>
      <c r="Q18" s="618">
        <f t="array" aca="1" ref="Q18" ca="1">IF(AUTOEVENTO="Manual",ROUND(SUMPRODUCT((CÁLCULO!$M$15:$M$235=EVENTOS!$C18)*(OFFSET(CÁLCULO!$AI$15:$AI$235,0,Q$13))),2),0)</f>
        <v>19722.099999999999</v>
      </c>
      <c r="R18" s="618">
        <f t="array" aca="1" ref="R18" ca="1">IF(AUTOEVENTO="Manual",ROUND(SUMPRODUCT((CÁLCULO!$M$15:$M$235=EVENTOS!$C18)*(OFFSET(CÁLCULO!$AI$15:$AI$235,0,R$13))),2),0)</f>
        <v>12088.4</v>
      </c>
      <c r="S18" s="618">
        <f t="array" aca="1" ref="S18" ca="1">IF(AUTOEVENTO="Manual",ROUND(SUMPRODUCT((CÁLCULO!$M$15:$M$235=EVENTOS!$C18)*(OFFSET(CÁLCULO!$AI$15:$AI$235,0,S$13))),2),0)</f>
        <v>6985.55</v>
      </c>
      <c r="T18" s="618">
        <f t="array" aca="1" ref="T18" ca="1">IF(AUTOEVENTO="Manual",ROUND(SUMPRODUCT((CÁLCULO!$M$15:$M$235=EVENTOS!$C18)*(OFFSET(CÁLCULO!$AI$15:$AI$235,0,T$13))),2),0)</f>
        <v>7458.8</v>
      </c>
      <c r="U18" s="618">
        <f t="array" aca="1" ref="U18" ca="1">IF(AUTOEVENTO="Manual",ROUND(SUMPRODUCT((CÁLCULO!$M$15:$M$235=EVENTOS!$C18)*(OFFSET(CÁLCULO!$AI$15:$AI$235,0,U$13))),2),0)</f>
        <v>0</v>
      </c>
      <c r="V18" s="618">
        <f t="array" aca="1" ref="V18" ca="1">IF(AUTOEVENTO="Manual",ROUND(SUMPRODUCT((CÁLCULO!$M$15:$M$235=EVENTOS!$C18)*(OFFSET(CÁLCULO!$AI$15:$AI$235,0,V$13))),2),0)</f>
        <v>0</v>
      </c>
      <c r="W18" s="618">
        <f t="array" aca="1" ref="W18" ca="1">IF(AUTOEVENTO="Manual",ROUND(SUMPRODUCT((CÁLCULO!$M$15:$M$235=EVENTOS!$C18)*(OFFSET(CÁLCULO!$AI$15:$AI$235,0,W$13))),2),0)</f>
        <v>0</v>
      </c>
      <c r="X18" s="618">
        <f t="array" aca="1" ref="X18" ca="1">IF(AUTOEVENTO="Manual",ROUND(SUMPRODUCT((CÁLCULO!$M$15:$M$235=EVENTOS!$C18)*(OFFSET(CÁLCULO!$AI$15:$AI$235,0,X$13))),2),0)</f>
        <v>0</v>
      </c>
      <c r="Y18" s="618">
        <f t="array" aca="1" ref="Y18" ca="1">IF(AUTOEVENTO="Manual",ROUND(SUMPRODUCT((CÁLCULO!$M$15:$M$235=EVENTOS!$C18)*(OFFSET(CÁLCULO!$AI$15:$AI$235,0,Y$13))),2),0)</f>
        <v>0</v>
      </c>
    </row>
    <row r="19" spans="1:25" s="696" customFormat="1" x14ac:dyDescent="0.2">
      <c r="A19" s="505" t="str">
        <f t="shared" si="2"/>
        <v>F</v>
      </c>
      <c r="B19" s="696" t="str">
        <f t="shared" ca="1" si="3"/>
        <v>4. SAPATAS (LOCAÇÃO,ESCAVAÇÕES, FORMAS, AÇO, CONCRETAGEM)</v>
      </c>
      <c r="C19" s="182">
        <f t="array" aca="1" ref="C19" ca="1">IF(OR(ROW(C19)=ROW(EVENTOS.firstrow)+1,AND(OFFSET(C19,-1,0)&lt;&gt;" ",OFFSET(C19,-1,1)&lt;&gt;"")),OFFSET(C19,-1,0)+1," ")</f>
        <v>4</v>
      </c>
      <c r="D19" s="495" t="s">
        <v>1381</v>
      </c>
      <c r="E19" s="618">
        <f t="array" aca="1" ref="E19" ca="1">IF(AUTOEVENTO="Manual",ROUND(SUMPRODUCT((CÁLCULO!$M$15:$M$235=EVENTOS!$C19)*(OFFSET(CÁLCULO!$AI$15:$AI$235,0,E$13))),2),0)</f>
        <v>34080.269999999997</v>
      </c>
      <c r="F19" s="183">
        <f ca="1">IF(AUTOEVENTO="Manual",ROUND(SUMPRODUCT((CÁLCULO!$M$15:$M$235=EVENTOS!$C19)*(OFFSET(CÁLCULO!$AI$15,0,1):OFFSET(CÁLCULO!$BB$235,0,-1))),2),0)</f>
        <v>138162.01</v>
      </c>
      <c r="G19" s="619" t="str">
        <f t="shared" ca="1" si="4"/>
        <v/>
      </c>
      <c r="H19" s="618">
        <f t="array" aca="1" ref="H19" ca="1">IF(AUTOEVENTO="Manual",ROUND(SUMPRODUCT((CÁLCULO!$M$15:$M$235=EVENTOS!$C19)*(OFFSET(CÁLCULO!$AI$15:$AI$235,0,H$13))),2),0)</f>
        <v>34080.269999999997</v>
      </c>
      <c r="I19" s="618">
        <f t="array" aca="1" ref="I19" ca="1">IF(AUTOEVENTO="Manual",ROUND(SUMPRODUCT((CÁLCULO!$M$15:$M$235=EVENTOS!$C19)*(OFFSET(CÁLCULO!$AI$15:$AI$235,0,I$13))),2),0)</f>
        <v>34080.269999999997</v>
      </c>
      <c r="J19" s="618">
        <f t="array" aca="1" ref="J19" ca="1">IF(AUTOEVENTO="Manual",ROUND(SUMPRODUCT((CÁLCULO!$M$15:$M$235=EVENTOS!$C19)*(OFFSET(CÁLCULO!$AI$15:$AI$235,0,J$13))),2),0)</f>
        <v>34080.269999999997</v>
      </c>
      <c r="K19" s="618">
        <f t="array" aca="1" ref="K19" ca="1">IF(AUTOEVENTO="Manual",ROUND(SUMPRODUCT((CÁLCULO!$M$15:$M$235=EVENTOS!$C19)*(OFFSET(CÁLCULO!$AI$15:$AI$235,0,K$13))),2),0)</f>
        <v>35921.199999999997</v>
      </c>
      <c r="L19" s="618">
        <f t="array" aca="1" ref="L19" ca="1">IF(AUTOEVENTO="Manual",ROUND(SUMPRODUCT((CÁLCULO!$M$15:$M$235=EVENTOS!$C19)*(OFFSET(CÁLCULO!$AI$15:$AI$235,0,L$13))),2),0)</f>
        <v>0</v>
      </c>
      <c r="M19" s="618">
        <f t="array" aca="1" ref="M19" ca="1">IF(AUTOEVENTO="Manual",ROUND(SUMPRODUCT((CÁLCULO!$M$15:$M$235=EVENTOS!$C19)*(OFFSET(CÁLCULO!$AI$15:$AI$235,0,M$13))),2),0)</f>
        <v>0</v>
      </c>
      <c r="N19" s="618">
        <f t="array" aca="1" ref="N19" ca="1">IF(AUTOEVENTO="Manual",ROUND(SUMPRODUCT((CÁLCULO!$M$15:$M$235=EVENTOS!$C19)*(OFFSET(CÁLCULO!$AI$15:$AI$235,0,N$13))),2),0)</f>
        <v>0</v>
      </c>
      <c r="O19" s="618">
        <f t="array" aca="1" ref="O19" ca="1">IF(AUTOEVENTO="Manual",ROUND(SUMPRODUCT((CÁLCULO!$M$15:$M$235=EVENTOS!$C19)*(OFFSET(CÁLCULO!$AI$15:$AI$235,0,O$13))),2),0)</f>
        <v>0</v>
      </c>
      <c r="P19" s="618">
        <f t="array" aca="1" ref="P19" ca="1">IF(AUTOEVENTO="Manual",ROUND(SUMPRODUCT((CÁLCULO!$M$15:$M$235=EVENTOS!$C19)*(OFFSET(CÁLCULO!$AI$15:$AI$235,0,P$13))),2),0)</f>
        <v>0</v>
      </c>
      <c r="Q19" s="618">
        <f t="array" aca="1" ref="Q19" ca="1">IF(AUTOEVENTO="Manual",ROUND(SUMPRODUCT((CÁLCULO!$M$15:$M$235=EVENTOS!$C19)*(OFFSET(CÁLCULO!$AI$15:$AI$235,0,Q$13))),2),0)</f>
        <v>0</v>
      </c>
      <c r="R19" s="618">
        <f t="array" aca="1" ref="R19" ca="1">IF(AUTOEVENTO="Manual",ROUND(SUMPRODUCT((CÁLCULO!$M$15:$M$235=EVENTOS!$C19)*(OFFSET(CÁLCULO!$AI$15:$AI$235,0,R$13))),2),0)</f>
        <v>0</v>
      </c>
      <c r="S19" s="618">
        <f t="array" aca="1" ref="S19" ca="1">IF(AUTOEVENTO="Manual",ROUND(SUMPRODUCT((CÁLCULO!$M$15:$M$235=EVENTOS!$C19)*(OFFSET(CÁLCULO!$AI$15:$AI$235,0,S$13))),2),0)</f>
        <v>0</v>
      </c>
      <c r="T19" s="618">
        <f t="array" aca="1" ref="T19" ca="1">IF(AUTOEVENTO="Manual",ROUND(SUMPRODUCT((CÁLCULO!$M$15:$M$235=EVENTOS!$C19)*(OFFSET(CÁLCULO!$AI$15:$AI$235,0,T$13))),2),0)</f>
        <v>0</v>
      </c>
      <c r="U19" s="618">
        <f t="array" aca="1" ref="U19" ca="1">IF(AUTOEVENTO="Manual",ROUND(SUMPRODUCT((CÁLCULO!$M$15:$M$235=EVENTOS!$C19)*(OFFSET(CÁLCULO!$AI$15:$AI$235,0,U$13))),2),0)</f>
        <v>0</v>
      </c>
      <c r="V19" s="618">
        <f t="array" aca="1" ref="V19" ca="1">IF(AUTOEVENTO="Manual",ROUND(SUMPRODUCT((CÁLCULO!$M$15:$M$235=EVENTOS!$C19)*(OFFSET(CÁLCULO!$AI$15:$AI$235,0,V$13))),2),0)</f>
        <v>0</v>
      </c>
      <c r="W19" s="618">
        <f t="array" aca="1" ref="W19" ca="1">IF(AUTOEVENTO="Manual",ROUND(SUMPRODUCT((CÁLCULO!$M$15:$M$235=EVENTOS!$C19)*(OFFSET(CÁLCULO!$AI$15:$AI$235,0,W$13))),2),0)</f>
        <v>0</v>
      </c>
      <c r="X19" s="618">
        <f t="array" aca="1" ref="X19" ca="1">IF(AUTOEVENTO="Manual",ROUND(SUMPRODUCT((CÁLCULO!$M$15:$M$235=EVENTOS!$C19)*(OFFSET(CÁLCULO!$AI$15:$AI$235,0,X$13))),2),0)</f>
        <v>0</v>
      </c>
      <c r="Y19" s="618">
        <f t="array" aca="1" ref="Y19" ca="1">IF(AUTOEVENTO="Manual",ROUND(SUMPRODUCT((CÁLCULO!$M$15:$M$235=EVENTOS!$C19)*(OFFSET(CÁLCULO!$AI$15:$AI$235,0,Y$13))),2),0)</f>
        <v>0</v>
      </c>
    </row>
    <row r="20" spans="1:25" s="696" customFormat="1" x14ac:dyDescent="0.2">
      <c r="A20" s="505" t="str">
        <f t="shared" si="2"/>
        <v>F</v>
      </c>
      <c r="B20" s="696" t="str">
        <f t="shared" ca="1" si="3"/>
        <v>5. BALDRAMES (ESCAVAÇÕES, FORMAS, AÇO, CONCRETAGEM)</v>
      </c>
      <c r="C20" s="182">
        <f t="array" aca="1" ref="C20" ca="1">IF(OR(ROW(C20)=ROW(EVENTOS.firstrow)+1,AND(OFFSET(C20,-1,0)&lt;&gt;" ",OFFSET(C20,-1,1)&lt;&gt;"")),OFFSET(C20,-1,0)+1," ")</f>
        <v>5</v>
      </c>
      <c r="D20" s="495" t="s">
        <v>1382</v>
      </c>
      <c r="E20" s="618">
        <f t="array" aca="1" ref="E20" ca="1">IF(AUTOEVENTO="Manual",ROUND(SUMPRODUCT((CÁLCULO!$M$15:$M$235=EVENTOS!$C20)*(OFFSET(CÁLCULO!$AI$15:$AI$235,0,E$13))),2),0)</f>
        <v>34679.46</v>
      </c>
      <c r="F20" s="183">
        <f ca="1">IF(AUTOEVENTO="Manual",ROUND(SUMPRODUCT((CÁLCULO!$M$15:$M$235=EVENTOS!$C20)*(OFFSET(CÁLCULO!$AI$15,0,1):OFFSET(CÁLCULO!$BB$235,0,-1))),2),0)</f>
        <v>138717.84</v>
      </c>
      <c r="G20" s="619" t="str">
        <f t="shared" ca="1" si="4"/>
        <v/>
      </c>
      <c r="H20" s="618">
        <f t="array" aca="1" ref="H20" ca="1">IF(AUTOEVENTO="Manual",ROUND(SUMPRODUCT((CÁLCULO!$M$15:$M$235=EVENTOS!$C20)*(OFFSET(CÁLCULO!$AI$15:$AI$235,0,H$13))),2),0)</f>
        <v>34679.46</v>
      </c>
      <c r="I20" s="618">
        <f t="array" aca="1" ref="I20" ca="1">IF(AUTOEVENTO="Manual",ROUND(SUMPRODUCT((CÁLCULO!$M$15:$M$235=EVENTOS!$C20)*(OFFSET(CÁLCULO!$AI$15:$AI$235,0,I$13))),2),0)</f>
        <v>34679.46</v>
      </c>
      <c r="J20" s="618">
        <f t="array" aca="1" ref="J20" ca="1">IF(AUTOEVENTO="Manual",ROUND(SUMPRODUCT((CÁLCULO!$M$15:$M$235=EVENTOS!$C20)*(OFFSET(CÁLCULO!$AI$15:$AI$235,0,J$13))),2),0)</f>
        <v>34679.46</v>
      </c>
      <c r="K20" s="618">
        <f t="array" aca="1" ref="K20" ca="1">IF(AUTOEVENTO="Manual",ROUND(SUMPRODUCT((CÁLCULO!$M$15:$M$235=EVENTOS!$C20)*(OFFSET(CÁLCULO!$AI$15:$AI$235,0,K$13))),2),0)</f>
        <v>34679.46</v>
      </c>
      <c r="L20" s="618">
        <f t="array" aca="1" ref="L20" ca="1">IF(AUTOEVENTO="Manual",ROUND(SUMPRODUCT((CÁLCULO!$M$15:$M$235=EVENTOS!$C20)*(OFFSET(CÁLCULO!$AI$15:$AI$235,0,L$13))),2),0)</f>
        <v>0</v>
      </c>
      <c r="M20" s="618">
        <f t="array" aca="1" ref="M20" ca="1">IF(AUTOEVENTO="Manual",ROUND(SUMPRODUCT((CÁLCULO!$M$15:$M$235=EVENTOS!$C20)*(OFFSET(CÁLCULO!$AI$15:$AI$235,0,M$13))),2),0)</f>
        <v>0</v>
      </c>
      <c r="N20" s="618">
        <f t="array" aca="1" ref="N20" ca="1">IF(AUTOEVENTO="Manual",ROUND(SUMPRODUCT((CÁLCULO!$M$15:$M$235=EVENTOS!$C20)*(OFFSET(CÁLCULO!$AI$15:$AI$235,0,N$13))),2),0)</f>
        <v>0</v>
      </c>
      <c r="O20" s="618">
        <f t="array" aca="1" ref="O20" ca="1">IF(AUTOEVENTO="Manual",ROUND(SUMPRODUCT((CÁLCULO!$M$15:$M$235=EVENTOS!$C20)*(OFFSET(CÁLCULO!$AI$15:$AI$235,0,O$13))),2),0)</f>
        <v>0</v>
      </c>
      <c r="P20" s="618">
        <f t="array" aca="1" ref="P20" ca="1">IF(AUTOEVENTO="Manual",ROUND(SUMPRODUCT((CÁLCULO!$M$15:$M$235=EVENTOS!$C20)*(OFFSET(CÁLCULO!$AI$15:$AI$235,0,P$13))),2),0)</f>
        <v>0</v>
      </c>
      <c r="Q20" s="618">
        <f t="array" aca="1" ref="Q20" ca="1">IF(AUTOEVENTO="Manual",ROUND(SUMPRODUCT((CÁLCULO!$M$15:$M$235=EVENTOS!$C20)*(OFFSET(CÁLCULO!$AI$15:$AI$235,0,Q$13))),2),0)</f>
        <v>0</v>
      </c>
      <c r="R20" s="618">
        <f t="array" aca="1" ref="R20" ca="1">IF(AUTOEVENTO="Manual",ROUND(SUMPRODUCT((CÁLCULO!$M$15:$M$235=EVENTOS!$C20)*(OFFSET(CÁLCULO!$AI$15:$AI$235,0,R$13))),2),0)</f>
        <v>0</v>
      </c>
      <c r="S20" s="618">
        <f t="array" aca="1" ref="S20" ca="1">IF(AUTOEVENTO="Manual",ROUND(SUMPRODUCT((CÁLCULO!$M$15:$M$235=EVENTOS!$C20)*(OFFSET(CÁLCULO!$AI$15:$AI$235,0,S$13))),2),0)</f>
        <v>0</v>
      </c>
      <c r="T20" s="618">
        <f t="array" aca="1" ref="T20" ca="1">IF(AUTOEVENTO="Manual",ROUND(SUMPRODUCT((CÁLCULO!$M$15:$M$235=EVENTOS!$C20)*(OFFSET(CÁLCULO!$AI$15:$AI$235,0,T$13))),2),0)</f>
        <v>0</v>
      </c>
      <c r="U20" s="618">
        <f t="array" aca="1" ref="U20" ca="1">IF(AUTOEVENTO="Manual",ROUND(SUMPRODUCT((CÁLCULO!$M$15:$M$235=EVENTOS!$C20)*(OFFSET(CÁLCULO!$AI$15:$AI$235,0,U$13))),2),0)</f>
        <v>0</v>
      </c>
      <c r="V20" s="618">
        <f t="array" aca="1" ref="V20" ca="1">IF(AUTOEVENTO="Manual",ROUND(SUMPRODUCT((CÁLCULO!$M$15:$M$235=EVENTOS!$C20)*(OFFSET(CÁLCULO!$AI$15:$AI$235,0,V$13))),2),0)</f>
        <v>0</v>
      </c>
      <c r="W20" s="618">
        <f t="array" aca="1" ref="W20" ca="1">IF(AUTOEVENTO="Manual",ROUND(SUMPRODUCT((CÁLCULO!$M$15:$M$235=EVENTOS!$C20)*(OFFSET(CÁLCULO!$AI$15:$AI$235,0,W$13))),2),0)</f>
        <v>0</v>
      </c>
      <c r="X20" s="618">
        <f t="array" aca="1" ref="X20" ca="1">IF(AUTOEVENTO="Manual",ROUND(SUMPRODUCT((CÁLCULO!$M$15:$M$235=EVENTOS!$C20)*(OFFSET(CÁLCULO!$AI$15:$AI$235,0,X$13))),2),0)</f>
        <v>0</v>
      </c>
      <c r="Y20" s="618">
        <f t="array" aca="1" ref="Y20" ca="1">IF(AUTOEVENTO="Manual",ROUND(SUMPRODUCT((CÁLCULO!$M$15:$M$235=EVENTOS!$C20)*(OFFSET(CÁLCULO!$AI$15:$AI$235,0,Y$13))),2),0)</f>
        <v>0</v>
      </c>
    </row>
    <row r="21" spans="1:25" s="696" customFormat="1" x14ac:dyDescent="0.2">
      <c r="A21" s="505" t="str">
        <f t="shared" si="2"/>
        <v>F</v>
      </c>
      <c r="B21" s="696" t="str">
        <f t="shared" ca="1" si="3"/>
        <v>6. IMPERMEABILIZAÇÕES DE ESTRUTURAS DE FUNDAÇÃO</v>
      </c>
      <c r="C21" s="182">
        <f t="array" aca="1" ref="C21" ca="1">IF(OR(ROW(C21)=ROW(EVENTOS.firstrow)+1,AND(OFFSET(C21,-1,0)&lt;&gt;" ",OFFSET(C21,-1,1)&lt;&gt;"")),OFFSET(C21,-1,0)+1," ")</f>
        <v>6</v>
      </c>
      <c r="D21" s="495" t="s">
        <v>1405</v>
      </c>
      <c r="E21" s="618">
        <f t="array" aca="1" ref="E21" ca="1">IF(AUTOEVENTO="Manual",ROUND(SUMPRODUCT((CÁLCULO!$M$15:$M$235=EVENTOS!$C21)*(OFFSET(CÁLCULO!$AI$15:$AI$235,0,E$13))),2),0)</f>
        <v>19310.77</v>
      </c>
      <c r="F21" s="183">
        <f ca="1">IF(AUTOEVENTO="Manual",ROUND(SUMPRODUCT((CÁLCULO!$M$15:$M$235=EVENTOS!$C21)*(OFFSET(CÁLCULO!$AI$15,0,1):OFFSET(CÁLCULO!$BB$235,0,-1))),2),0)</f>
        <v>77243.08</v>
      </c>
      <c r="G21" s="619" t="str">
        <f t="shared" ca="1" si="4"/>
        <v/>
      </c>
      <c r="H21" s="618">
        <f t="array" aca="1" ref="H21" ca="1">IF(AUTOEVENTO="Manual",ROUND(SUMPRODUCT((CÁLCULO!$M$15:$M$235=EVENTOS!$C21)*(OFFSET(CÁLCULO!$AI$15:$AI$235,0,H$13))),2),0)</f>
        <v>19310.77</v>
      </c>
      <c r="I21" s="618">
        <f t="array" aca="1" ref="I21" ca="1">IF(AUTOEVENTO="Manual",ROUND(SUMPRODUCT((CÁLCULO!$M$15:$M$235=EVENTOS!$C21)*(OFFSET(CÁLCULO!$AI$15:$AI$235,0,I$13))),2),0)</f>
        <v>19310.77</v>
      </c>
      <c r="J21" s="618">
        <f t="array" aca="1" ref="J21" ca="1">IF(AUTOEVENTO="Manual",ROUND(SUMPRODUCT((CÁLCULO!$M$15:$M$235=EVENTOS!$C21)*(OFFSET(CÁLCULO!$AI$15:$AI$235,0,J$13))),2),0)</f>
        <v>19310.77</v>
      </c>
      <c r="K21" s="618">
        <f t="array" aca="1" ref="K21" ca="1">IF(AUTOEVENTO="Manual",ROUND(SUMPRODUCT((CÁLCULO!$M$15:$M$235=EVENTOS!$C21)*(OFFSET(CÁLCULO!$AI$15:$AI$235,0,K$13))),2),0)</f>
        <v>19310.77</v>
      </c>
      <c r="L21" s="618">
        <f t="array" aca="1" ref="L21" ca="1">IF(AUTOEVENTO="Manual",ROUND(SUMPRODUCT((CÁLCULO!$M$15:$M$235=EVENTOS!$C21)*(OFFSET(CÁLCULO!$AI$15:$AI$235,0,L$13))),2),0)</f>
        <v>0</v>
      </c>
      <c r="M21" s="618">
        <f t="array" aca="1" ref="M21" ca="1">IF(AUTOEVENTO="Manual",ROUND(SUMPRODUCT((CÁLCULO!$M$15:$M$235=EVENTOS!$C21)*(OFFSET(CÁLCULO!$AI$15:$AI$235,0,M$13))),2),0)</f>
        <v>0</v>
      </c>
      <c r="N21" s="618">
        <f t="array" aca="1" ref="N21" ca="1">IF(AUTOEVENTO="Manual",ROUND(SUMPRODUCT((CÁLCULO!$M$15:$M$235=EVENTOS!$C21)*(OFFSET(CÁLCULO!$AI$15:$AI$235,0,N$13))),2),0)</f>
        <v>0</v>
      </c>
      <c r="O21" s="618">
        <f t="array" aca="1" ref="O21" ca="1">IF(AUTOEVENTO="Manual",ROUND(SUMPRODUCT((CÁLCULO!$M$15:$M$235=EVENTOS!$C21)*(OFFSET(CÁLCULO!$AI$15:$AI$235,0,O$13))),2),0)</f>
        <v>0</v>
      </c>
      <c r="P21" s="618">
        <f t="array" aca="1" ref="P21" ca="1">IF(AUTOEVENTO="Manual",ROUND(SUMPRODUCT((CÁLCULO!$M$15:$M$235=EVENTOS!$C21)*(OFFSET(CÁLCULO!$AI$15:$AI$235,0,P$13))),2),0)</f>
        <v>0</v>
      </c>
      <c r="Q21" s="618">
        <f t="array" aca="1" ref="Q21" ca="1">IF(AUTOEVENTO="Manual",ROUND(SUMPRODUCT((CÁLCULO!$M$15:$M$235=EVENTOS!$C21)*(OFFSET(CÁLCULO!$AI$15:$AI$235,0,Q$13))),2),0)</f>
        <v>0</v>
      </c>
      <c r="R21" s="618">
        <f t="array" aca="1" ref="R21" ca="1">IF(AUTOEVENTO="Manual",ROUND(SUMPRODUCT((CÁLCULO!$M$15:$M$235=EVENTOS!$C21)*(OFFSET(CÁLCULO!$AI$15:$AI$235,0,R$13))),2),0)</f>
        <v>0</v>
      </c>
      <c r="S21" s="618">
        <f t="array" aca="1" ref="S21" ca="1">IF(AUTOEVENTO="Manual",ROUND(SUMPRODUCT((CÁLCULO!$M$15:$M$235=EVENTOS!$C21)*(OFFSET(CÁLCULO!$AI$15:$AI$235,0,S$13))),2),0)</f>
        <v>0</v>
      </c>
      <c r="T21" s="618">
        <f t="array" aca="1" ref="T21" ca="1">IF(AUTOEVENTO="Manual",ROUND(SUMPRODUCT((CÁLCULO!$M$15:$M$235=EVENTOS!$C21)*(OFFSET(CÁLCULO!$AI$15:$AI$235,0,T$13))),2),0)</f>
        <v>0</v>
      </c>
      <c r="U21" s="618">
        <f t="array" aca="1" ref="U21" ca="1">IF(AUTOEVENTO="Manual",ROUND(SUMPRODUCT((CÁLCULO!$M$15:$M$235=EVENTOS!$C21)*(OFFSET(CÁLCULO!$AI$15:$AI$235,0,U$13))),2),0)</f>
        <v>0</v>
      </c>
      <c r="V21" s="618">
        <f t="array" aca="1" ref="V21" ca="1">IF(AUTOEVENTO="Manual",ROUND(SUMPRODUCT((CÁLCULO!$M$15:$M$235=EVENTOS!$C21)*(OFFSET(CÁLCULO!$AI$15:$AI$235,0,V$13))),2),0)</f>
        <v>0</v>
      </c>
      <c r="W21" s="618">
        <f t="array" aca="1" ref="W21" ca="1">IF(AUTOEVENTO="Manual",ROUND(SUMPRODUCT((CÁLCULO!$M$15:$M$235=EVENTOS!$C21)*(OFFSET(CÁLCULO!$AI$15:$AI$235,0,W$13))),2),0)</f>
        <v>0</v>
      </c>
      <c r="X21" s="618">
        <f t="array" aca="1" ref="X21" ca="1">IF(AUTOEVENTO="Manual",ROUND(SUMPRODUCT((CÁLCULO!$M$15:$M$235=EVENTOS!$C21)*(OFFSET(CÁLCULO!$AI$15:$AI$235,0,X$13))),2),0)</f>
        <v>0</v>
      </c>
      <c r="Y21" s="618">
        <f t="array" aca="1" ref="Y21" ca="1">IF(AUTOEVENTO="Manual",ROUND(SUMPRODUCT((CÁLCULO!$M$15:$M$235=EVENTOS!$C21)*(OFFSET(CÁLCULO!$AI$15:$AI$235,0,Y$13))),2),0)</f>
        <v>0</v>
      </c>
    </row>
    <row r="22" spans="1:25" s="696" customFormat="1" x14ac:dyDescent="0.2">
      <c r="A22" s="505" t="str">
        <f t="shared" si="2"/>
        <v>F</v>
      </c>
      <c r="B22" s="696" t="str">
        <f t="shared" ca="1" si="3"/>
        <v>7. VIGAS DE RESPALDO</v>
      </c>
      <c r="C22" s="182">
        <f t="array" aca="1" ref="C22" ca="1">IF(OR(ROW(C22)=ROW(EVENTOS.firstrow)+1,AND(OFFSET(C22,-1,0)&lt;&gt;" ",OFFSET(C22,-1,1)&lt;&gt;"")),OFFSET(C22,-1,0)+1," ")</f>
        <v>7</v>
      </c>
      <c r="D22" s="495" t="s">
        <v>1374</v>
      </c>
      <c r="E22" s="618">
        <f t="array" aca="1" ref="E22" ca="1">IF(AUTOEVENTO="Manual",ROUND(SUMPRODUCT((CÁLCULO!$M$15:$M$235=EVENTOS!$C22)*(OFFSET(CÁLCULO!$AI$15:$AI$235,0,E$13))),2),0)</f>
        <v>29834.06</v>
      </c>
      <c r="F22" s="183">
        <f ca="1">IF(AUTOEVENTO="Manual",ROUND(SUMPRODUCT((CÁLCULO!$M$15:$M$235=EVENTOS!$C22)*(OFFSET(CÁLCULO!$AI$15,0,1):OFFSET(CÁLCULO!$BB$235,0,-1))),2),0)</f>
        <v>119336.24</v>
      </c>
      <c r="G22" s="619" t="str">
        <f t="shared" ca="1" si="4"/>
        <v/>
      </c>
      <c r="H22" s="618">
        <f t="array" aca="1" ref="H22" ca="1">IF(AUTOEVENTO="Manual",ROUND(SUMPRODUCT((CÁLCULO!$M$15:$M$235=EVENTOS!$C22)*(OFFSET(CÁLCULO!$AI$15:$AI$235,0,H$13))),2),0)</f>
        <v>29834.06</v>
      </c>
      <c r="I22" s="618">
        <f t="array" aca="1" ref="I22" ca="1">IF(AUTOEVENTO="Manual",ROUND(SUMPRODUCT((CÁLCULO!$M$15:$M$235=EVENTOS!$C22)*(OFFSET(CÁLCULO!$AI$15:$AI$235,0,I$13))),2),0)</f>
        <v>29834.06</v>
      </c>
      <c r="J22" s="618">
        <f t="array" aca="1" ref="J22" ca="1">IF(AUTOEVENTO="Manual",ROUND(SUMPRODUCT((CÁLCULO!$M$15:$M$235=EVENTOS!$C22)*(OFFSET(CÁLCULO!$AI$15:$AI$235,0,J$13))),2),0)</f>
        <v>29834.06</v>
      </c>
      <c r="K22" s="618">
        <f t="array" aca="1" ref="K22" ca="1">IF(AUTOEVENTO="Manual",ROUND(SUMPRODUCT((CÁLCULO!$M$15:$M$235=EVENTOS!$C22)*(OFFSET(CÁLCULO!$AI$15:$AI$235,0,K$13))),2),0)</f>
        <v>29834.06</v>
      </c>
      <c r="L22" s="618">
        <f t="array" aca="1" ref="L22" ca="1">IF(AUTOEVENTO="Manual",ROUND(SUMPRODUCT((CÁLCULO!$M$15:$M$235=EVENTOS!$C22)*(OFFSET(CÁLCULO!$AI$15:$AI$235,0,L$13))),2),0)</f>
        <v>0</v>
      </c>
      <c r="M22" s="618">
        <f t="array" aca="1" ref="M22" ca="1">IF(AUTOEVENTO="Manual",ROUND(SUMPRODUCT((CÁLCULO!$M$15:$M$235=EVENTOS!$C22)*(OFFSET(CÁLCULO!$AI$15:$AI$235,0,M$13))),2),0)</f>
        <v>0</v>
      </c>
      <c r="N22" s="618">
        <f t="array" aca="1" ref="N22" ca="1">IF(AUTOEVENTO="Manual",ROUND(SUMPRODUCT((CÁLCULO!$M$15:$M$235=EVENTOS!$C22)*(OFFSET(CÁLCULO!$AI$15:$AI$235,0,N$13))),2),0)</f>
        <v>0</v>
      </c>
      <c r="O22" s="618">
        <f t="array" aca="1" ref="O22" ca="1">IF(AUTOEVENTO="Manual",ROUND(SUMPRODUCT((CÁLCULO!$M$15:$M$235=EVENTOS!$C22)*(OFFSET(CÁLCULO!$AI$15:$AI$235,0,O$13))),2),0)</f>
        <v>0</v>
      </c>
      <c r="P22" s="618">
        <f t="array" aca="1" ref="P22" ca="1">IF(AUTOEVENTO="Manual",ROUND(SUMPRODUCT((CÁLCULO!$M$15:$M$235=EVENTOS!$C22)*(OFFSET(CÁLCULO!$AI$15:$AI$235,0,P$13))),2),0)</f>
        <v>0</v>
      </c>
      <c r="Q22" s="618">
        <f t="array" aca="1" ref="Q22" ca="1">IF(AUTOEVENTO="Manual",ROUND(SUMPRODUCT((CÁLCULO!$M$15:$M$235=EVENTOS!$C22)*(OFFSET(CÁLCULO!$AI$15:$AI$235,0,Q$13))),2),0)</f>
        <v>0</v>
      </c>
      <c r="R22" s="618">
        <f t="array" aca="1" ref="R22" ca="1">IF(AUTOEVENTO="Manual",ROUND(SUMPRODUCT((CÁLCULO!$M$15:$M$235=EVENTOS!$C22)*(OFFSET(CÁLCULO!$AI$15:$AI$235,0,R$13))),2),0)</f>
        <v>0</v>
      </c>
      <c r="S22" s="618">
        <f t="array" aca="1" ref="S22" ca="1">IF(AUTOEVENTO="Manual",ROUND(SUMPRODUCT((CÁLCULO!$M$15:$M$235=EVENTOS!$C22)*(OFFSET(CÁLCULO!$AI$15:$AI$235,0,S$13))),2),0)</f>
        <v>0</v>
      </c>
      <c r="T22" s="618">
        <f t="array" aca="1" ref="T22" ca="1">IF(AUTOEVENTO="Manual",ROUND(SUMPRODUCT((CÁLCULO!$M$15:$M$235=EVENTOS!$C22)*(OFFSET(CÁLCULO!$AI$15:$AI$235,0,T$13))),2),0)</f>
        <v>0</v>
      </c>
      <c r="U22" s="618">
        <f t="array" aca="1" ref="U22" ca="1">IF(AUTOEVENTO="Manual",ROUND(SUMPRODUCT((CÁLCULO!$M$15:$M$235=EVENTOS!$C22)*(OFFSET(CÁLCULO!$AI$15:$AI$235,0,U$13))),2),0)</f>
        <v>0</v>
      </c>
      <c r="V22" s="618">
        <f t="array" aca="1" ref="V22" ca="1">IF(AUTOEVENTO="Manual",ROUND(SUMPRODUCT((CÁLCULO!$M$15:$M$235=EVENTOS!$C22)*(OFFSET(CÁLCULO!$AI$15:$AI$235,0,V$13))),2),0)</f>
        <v>0</v>
      </c>
      <c r="W22" s="618">
        <f t="array" aca="1" ref="W22" ca="1">IF(AUTOEVENTO="Manual",ROUND(SUMPRODUCT((CÁLCULO!$M$15:$M$235=EVENTOS!$C22)*(OFFSET(CÁLCULO!$AI$15:$AI$235,0,W$13))),2),0)</f>
        <v>0</v>
      </c>
      <c r="X22" s="618">
        <f t="array" aca="1" ref="X22" ca="1">IF(AUTOEVENTO="Manual",ROUND(SUMPRODUCT((CÁLCULO!$M$15:$M$235=EVENTOS!$C22)*(OFFSET(CÁLCULO!$AI$15:$AI$235,0,X$13))),2),0)</f>
        <v>0</v>
      </c>
      <c r="Y22" s="618">
        <f t="array" aca="1" ref="Y22" ca="1">IF(AUTOEVENTO="Manual",ROUND(SUMPRODUCT((CÁLCULO!$M$15:$M$235=EVENTOS!$C22)*(OFFSET(CÁLCULO!$AI$15:$AI$235,0,Y$13))),2),0)</f>
        <v>0</v>
      </c>
    </row>
    <row r="23" spans="1:25" s="696" customFormat="1" x14ac:dyDescent="0.2">
      <c r="A23" s="505" t="str">
        <f t="shared" si="2"/>
        <v>F</v>
      </c>
      <c r="B23" s="696" t="str">
        <f t="shared" ca="1" si="3"/>
        <v>8. PILARES</v>
      </c>
      <c r="C23" s="182">
        <f t="array" aca="1" ref="C23" ca="1">IF(OR(ROW(C23)=ROW(EVENTOS.firstrow)+1,AND(OFFSET(C23,-1,0)&lt;&gt;" ",OFFSET(C23,-1,1)&lt;&gt;"")),OFFSET(C23,-1,0)+1," ")</f>
        <v>8</v>
      </c>
      <c r="D23" s="495" t="s">
        <v>1373</v>
      </c>
      <c r="E23" s="618">
        <f t="array" aca="1" ref="E23" ca="1">IF(AUTOEVENTO="Manual",ROUND(SUMPRODUCT((CÁLCULO!$M$15:$M$235=EVENTOS!$C23)*(OFFSET(CÁLCULO!$AI$15:$AI$235,0,E$13))),2),0)</f>
        <v>17951.45</v>
      </c>
      <c r="F23" s="183">
        <f ca="1">IF(AUTOEVENTO="Manual",ROUND(SUMPRODUCT((CÁLCULO!$M$15:$M$235=EVENTOS!$C23)*(OFFSET(CÁLCULO!$AI$15,0,1):OFFSET(CÁLCULO!$BB$235,0,-1))),2),0)</f>
        <v>71805.8</v>
      </c>
      <c r="G23" s="619" t="str">
        <f t="shared" ca="1" si="4"/>
        <v/>
      </c>
      <c r="H23" s="618">
        <f t="array" aca="1" ref="H23" ca="1">IF(AUTOEVENTO="Manual",ROUND(SUMPRODUCT((CÁLCULO!$M$15:$M$235=EVENTOS!$C23)*(OFFSET(CÁLCULO!$AI$15:$AI$235,0,H$13))),2),0)</f>
        <v>17951.45</v>
      </c>
      <c r="I23" s="618">
        <f t="array" aca="1" ref="I23" ca="1">IF(AUTOEVENTO="Manual",ROUND(SUMPRODUCT((CÁLCULO!$M$15:$M$235=EVENTOS!$C23)*(OFFSET(CÁLCULO!$AI$15:$AI$235,0,I$13))),2),0)</f>
        <v>17951.45</v>
      </c>
      <c r="J23" s="618">
        <f t="array" aca="1" ref="J23" ca="1">IF(AUTOEVENTO="Manual",ROUND(SUMPRODUCT((CÁLCULO!$M$15:$M$235=EVENTOS!$C23)*(OFFSET(CÁLCULO!$AI$15:$AI$235,0,J$13))),2),0)</f>
        <v>17951.45</v>
      </c>
      <c r="K23" s="618">
        <f t="array" aca="1" ref="K23" ca="1">IF(AUTOEVENTO="Manual",ROUND(SUMPRODUCT((CÁLCULO!$M$15:$M$235=EVENTOS!$C23)*(OFFSET(CÁLCULO!$AI$15:$AI$235,0,K$13))),2),0)</f>
        <v>17951.45</v>
      </c>
      <c r="L23" s="618">
        <f t="array" aca="1" ref="L23" ca="1">IF(AUTOEVENTO="Manual",ROUND(SUMPRODUCT((CÁLCULO!$M$15:$M$235=EVENTOS!$C23)*(OFFSET(CÁLCULO!$AI$15:$AI$235,0,L$13))),2),0)</f>
        <v>0</v>
      </c>
      <c r="M23" s="618">
        <f t="array" aca="1" ref="M23" ca="1">IF(AUTOEVENTO="Manual",ROUND(SUMPRODUCT((CÁLCULO!$M$15:$M$235=EVENTOS!$C23)*(OFFSET(CÁLCULO!$AI$15:$AI$235,0,M$13))),2),0)</f>
        <v>0</v>
      </c>
      <c r="N23" s="618">
        <f t="array" aca="1" ref="N23" ca="1">IF(AUTOEVENTO="Manual",ROUND(SUMPRODUCT((CÁLCULO!$M$15:$M$235=EVENTOS!$C23)*(OFFSET(CÁLCULO!$AI$15:$AI$235,0,N$13))),2),0)</f>
        <v>0</v>
      </c>
      <c r="O23" s="618">
        <f t="array" aca="1" ref="O23" ca="1">IF(AUTOEVENTO="Manual",ROUND(SUMPRODUCT((CÁLCULO!$M$15:$M$235=EVENTOS!$C23)*(OFFSET(CÁLCULO!$AI$15:$AI$235,0,O$13))),2),0)</f>
        <v>0</v>
      </c>
      <c r="P23" s="618">
        <f t="array" aca="1" ref="P23" ca="1">IF(AUTOEVENTO="Manual",ROUND(SUMPRODUCT((CÁLCULO!$M$15:$M$235=EVENTOS!$C23)*(OFFSET(CÁLCULO!$AI$15:$AI$235,0,P$13))),2),0)</f>
        <v>0</v>
      </c>
      <c r="Q23" s="618">
        <f t="array" aca="1" ref="Q23" ca="1">IF(AUTOEVENTO="Manual",ROUND(SUMPRODUCT((CÁLCULO!$M$15:$M$235=EVENTOS!$C23)*(OFFSET(CÁLCULO!$AI$15:$AI$235,0,Q$13))),2),0)</f>
        <v>0</v>
      </c>
      <c r="R23" s="618">
        <f t="array" aca="1" ref="R23" ca="1">IF(AUTOEVENTO="Manual",ROUND(SUMPRODUCT((CÁLCULO!$M$15:$M$235=EVENTOS!$C23)*(OFFSET(CÁLCULO!$AI$15:$AI$235,0,R$13))),2),0)</f>
        <v>0</v>
      </c>
      <c r="S23" s="618">
        <f t="array" aca="1" ref="S23" ca="1">IF(AUTOEVENTO="Manual",ROUND(SUMPRODUCT((CÁLCULO!$M$15:$M$235=EVENTOS!$C23)*(OFFSET(CÁLCULO!$AI$15:$AI$235,0,S$13))),2),0)</f>
        <v>0</v>
      </c>
      <c r="T23" s="618">
        <f t="array" aca="1" ref="T23" ca="1">IF(AUTOEVENTO="Manual",ROUND(SUMPRODUCT((CÁLCULO!$M$15:$M$235=EVENTOS!$C23)*(OFFSET(CÁLCULO!$AI$15:$AI$235,0,T$13))),2),0)</f>
        <v>0</v>
      </c>
      <c r="U23" s="618">
        <f t="array" aca="1" ref="U23" ca="1">IF(AUTOEVENTO="Manual",ROUND(SUMPRODUCT((CÁLCULO!$M$15:$M$235=EVENTOS!$C23)*(OFFSET(CÁLCULO!$AI$15:$AI$235,0,U$13))),2),0)</f>
        <v>0</v>
      </c>
      <c r="V23" s="618">
        <f t="array" aca="1" ref="V23" ca="1">IF(AUTOEVENTO="Manual",ROUND(SUMPRODUCT((CÁLCULO!$M$15:$M$235=EVENTOS!$C23)*(OFFSET(CÁLCULO!$AI$15:$AI$235,0,V$13))),2),0)</f>
        <v>0</v>
      </c>
      <c r="W23" s="618">
        <f t="array" aca="1" ref="W23" ca="1">IF(AUTOEVENTO="Manual",ROUND(SUMPRODUCT((CÁLCULO!$M$15:$M$235=EVENTOS!$C23)*(OFFSET(CÁLCULO!$AI$15:$AI$235,0,W$13))),2),0)</f>
        <v>0</v>
      </c>
      <c r="X23" s="618">
        <f t="array" aca="1" ref="X23" ca="1">IF(AUTOEVENTO="Manual",ROUND(SUMPRODUCT((CÁLCULO!$M$15:$M$235=EVENTOS!$C23)*(OFFSET(CÁLCULO!$AI$15:$AI$235,0,X$13))),2),0)</f>
        <v>0</v>
      </c>
      <c r="Y23" s="618">
        <f t="array" aca="1" ref="Y23" ca="1">IF(AUTOEVENTO="Manual",ROUND(SUMPRODUCT((CÁLCULO!$M$15:$M$235=EVENTOS!$C23)*(OFFSET(CÁLCULO!$AI$15:$AI$235,0,Y$13))),2),0)</f>
        <v>0</v>
      </c>
    </row>
    <row r="24" spans="1:25" s="696" customFormat="1" x14ac:dyDescent="0.2">
      <c r="A24" s="505" t="str">
        <f t="shared" si="2"/>
        <v>F</v>
      </c>
      <c r="B24" s="696" t="str">
        <f t="shared" ca="1" si="3"/>
        <v>9. LAJES</v>
      </c>
      <c r="C24" s="182">
        <f t="array" aca="1" ref="C24" ca="1">IF(OR(ROW(C24)=ROW(EVENTOS.firstrow)+1,AND(OFFSET(C24,-1,0)&lt;&gt;" ",OFFSET(C24,-1,1)&lt;&gt;"")),OFFSET(C24,-1,0)+1," ")</f>
        <v>9</v>
      </c>
      <c r="D24" s="495" t="s">
        <v>1375</v>
      </c>
      <c r="E24" s="618">
        <f t="array" aca="1" ref="E24" ca="1">IF(AUTOEVENTO="Manual",ROUND(SUMPRODUCT((CÁLCULO!$M$15:$M$235=EVENTOS!$C24)*(OFFSET(CÁLCULO!$AI$15:$AI$235,0,E$13))),2),0)</f>
        <v>7473.02</v>
      </c>
      <c r="F24" s="183">
        <f ca="1">IF(AUTOEVENTO="Manual",ROUND(SUMPRODUCT((CÁLCULO!$M$15:$M$235=EVENTOS!$C24)*(OFFSET(CÁLCULO!$AI$15,0,1):OFFSET(CÁLCULO!$BB$235,0,-1))),2),0)</f>
        <v>29892.080000000002</v>
      </c>
      <c r="G24" s="619" t="str">
        <f t="shared" ca="1" si="4"/>
        <v/>
      </c>
      <c r="H24" s="618">
        <f t="array" aca="1" ref="H24" ca="1">IF(AUTOEVENTO="Manual",ROUND(SUMPRODUCT((CÁLCULO!$M$15:$M$235=EVENTOS!$C24)*(OFFSET(CÁLCULO!$AI$15:$AI$235,0,H$13))),2),0)</f>
        <v>7473.02</v>
      </c>
      <c r="I24" s="618">
        <f t="array" aca="1" ref="I24" ca="1">IF(AUTOEVENTO="Manual",ROUND(SUMPRODUCT((CÁLCULO!$M$15:$M$235=EVENTOS!$C24)*(OFFSET(CÁLCULO!$AI$15:$AI$235,0,I$13))),2),0)</f>
        <v>7473.02</v>
      </c>
      <c r="J24" s="618">
        <f t="array" aca="1" ref="J24" ca="1">IF(AUTOEVENTO="Manual",ROUND(SUMPRODUCT((CÁLCULO!$M$15:$M$235=EVENTOS!$C24)*(OFFSET(CÁLCULO!$AI$15:$AI$235,0,J$13))),2),0)</f>
        <v>7473.02</v>
      </c>
      <c r="K24" s="618">
        <f t="array" aca="1" ref="K24" ca="1">IF(AUTOEVENTO="Manual",ROUND(SUMPRODUCT((CÁLCULO!$M$15:$M$235=EVENTOS!$C24)*(OFFSET(CÁLCULO!$AI$15:$AI$235,0,K$13))),2),0)</f>
        <v>7473.02</v>
      </c>
      <c r="L24" s="618">
        <f t="array" aca="1" ref="L24" ca="1">IF(AUTOEVENTO="Manual",ROUND(SUMPRODUCT((CÁLCULO!$M$15:$M$235=EVENTOS!$C24)*(OFFSET(CÁLCULO!$AI$15:$AI$235,0,L$13))),2),0)</f>
        <v>0</v>
      </c>
      <c r="M24" s="618">
        <f t="array" aca="1" ref="M24" ca="1">IF(AUTOEVENTO="Manual",ROUND(SUMPRODUCT((CÁLCULO!$M$15:$M$235=EVENTOS!$C24)*(OFFSET(CÁLCULO!$AI$15:$AI$235,0,M$13))),2),0)</f>
        <v>0</v>
      </c>
      <c r="N24" s="618">
        <f t="array" aca="1" ref="N24" ca="1">IF(AUTOEVENTO="Manual",ROUND(SUMPRODUCT((CÁLCULO!$M$15:$M$235=EVENTOS!$C24)*(OFFSET(CÁLCULO!$AI$15:$AI$235,0,N$13))),2),0)</f>
        <v>0</v>
      </c>
      <c r="O24" s="618">
        <f t="array" aca="1" ref="O24" ca="1">IF(AUTOEVENTO="Manual",ROUND(SUMPRODUCT((CÁLCULO!$M$15:$M$235=EVENTOS!$C24)*(OFFSET(CÁLCULO!$AI$15:$AI$235,0,O$13))),2),0)</f>
        <v>0</v>
      </c>
      <c r="P24" s="618">
        <f t="array" aca="1" ref="P24" ca="1">IF(AUTOEVENTO="Manual",ROUND(SUMPRODUCT((CÁLCULO!$M$15:$M$235=EVENTOS!$C24)*(OFFSET(CÁLCULO!$AI$15:$AI$235,0,P$13))),2),0)</f>
        <v>0</v>
      </c>
      <c r="Q24" s="618">
        <f t="array" aca="1" ref="Q24" ca="1">IF(AUTOEVENTO="Manual",ROUND(SUMPRODUCT((CÁLCULO!$M$15:$M$235=EVENTOS!$C24)*(OFFSET(CÁLCULO!$AI$15:$AI$235,0,Q$13))),2),0)</f>
        <v>0</v>
      </c>
      <c r="R24" s="618">
        <f t="array" aca="1" ref="R24" ca="1">IF(AUTOEVENTO="Manual",ROUND(SUMPRODUCT((CÁLCULO!$M$15:$M$235=EVENTOS!$C24)*(OFFSET(CÁLCULO!$AI$15:$AI$235,0,R$13))),2),0)</f>
        <v>0</v>
      </c>
      <c r="S24" s="618">
        <f t="array" aca="1" ref="S24" ca="1">IF(AUTOEVENTO="Manual",ROUND(SUMPRODUCT((CÁLCULO!$M$15:$M$235=EVENTOS!$C24)*(OFFSET(CÁLCULO!$AI$15:$AI$235,0,S$13))),2),0)</f>
        <v>0</v>
      </c>
      <c r="T24" s="618">
        <f t="array" aca="1" ref="T24" ca="1">IF(AUTOEVENTO="Manual",ROUND(SUMPRODUCT((CÁLCULO!$M$15:$M$235=EVENTOS!$C24)*(OFFSET(CÁLCULO!$AI$15:$AI$235,0,T$13))),2),0)</f>
        <v>0</v>
      </c>
      <c r="U24" s="618">
        <f t="array" aca="1" ref="U24" ca="1">IF(AUTOEVENTO="Manual",ROUND(SUMPRODUCT((CÁLCULO!$M$15:$M$235=EVENTOS!$C24)*(OFFSET(CÁLCULO!$AI$15:$AI$235,0,U$13))),2),0)</f>
        <v>0</v>
      </c>
      <c r="V24" s="618">
        <f t="array" aca="1" ref="V24" ca="1">IF(AUTOEVENTO="Manual",ROUND(SUMPRODUCT((CÁLCULO!$M$15:$M$235=EVENTOS!$C24)*(OFFSET(CÁLCULO!$AI$15:$AI$235,0,V$13))),2),0)</f>
        <v>0</v>
      </c>
      <c r="W24" s="618">
        <f t="array" aca="1" ref="W24" ca="1">IF(AUTOEVENTO="Manual",ROUND(SUMPRODUCT((CÁLCULO!$M$15:$M$235=EVENTOS!$C24)*(OFFSET(CÁLCULO!$AI$15:$AI$235,0,W$13))),2),0)</f>
        <v>0</v>
      </c>
      <c r="X24" s="618">
        <f t="array" aca="1" ref="X24" ca="1">IF(AUTOEVENTO="Manual",ROUND(SUMPRODUCT((CÁLCULO!$M$15:$M$235=EVENTOS!$C24)*(OFFSET(CÁLCULO!$AI$15:$AI$235,0,X$13))),2),0)</f>
        <v>0</v>
      </c>
      <c r="Y24" s="618">
        <f t="array" aca="1" ref="Y24" ca="1">IF(AUTOEVENTO="Manual",ROUND(SUMPRODUCT((CÁLCULO!$M$15:$M$235=EVENTOS!$C24)*(OFFSET(CÁLCULO!$AI$15:$AI$235,0,Y$13))),2),0)</f>
        <v>0</v>
      </c>
    </row>
    <row r="25" spans="1:25" s="696" customFormat="1" x14ac:dyDescent="0.2">
      <c r="A25" s="505" t="str">
        <f t="shared" si="2"/>
        <v>F</v>
      </c>
      <c r="B25" s="696" t="str">
        <f t="shared" ca="1" si="3"/>
        <v>10. ALVENARIAS</v>
      </c>
      <c r="C25" s="182">
        <f t="array" aca="1" ref="C25" ca="1">IF(OR(ROW(C25)=ROW(EVENTOS.firstrow)+1,AND(OFFSET(C25,-1,0)&lt;&gt;" ",OFFSET(C25,-1,1)&lt;&gt;"")),OFFSET(C25,-1,0)+1," ")</f>
        <v>10</v>
      </c>
      <c r="D25" s="495" t="s">
        <v>1376</v>
      </c>
      <c r="E25" s="618">
        <f t="array" aca="1" ref="E25" ca="1">IF(AUTOEVENTO="Manual",ROUND(SUMPRODUCT((CÁLCULO!$M$15:$M$235=EVENTOS!$C25)*(OFFSET(CÁLCULO!$AI$15:$AI$235,0,E$13))),2),0)</f>
        <v>53550.94</v>
      </c>
      <c r="F25" s="183">
        <f ca="1">IF(AUTOEVENTO="Manual",ROUND(SUMPRODUCT((CÁLCULO!$M$15:$M$235=EVENTOS!$C25)*(OFFSET(CÁLCULO!$AI$15,0,1):OFFSET(CÁLCULO!$BB$235,0,-1))),2),0)</f>
        <v>214203.76</v>
      </c>
      <c r="G25" s="619" t="str">
        <f t="shared" ca="1" si="4"/>
        <v/>
      </c>
      <c r="H25" s="618">
        <f t="array" aca="1" ref="H25" ca="1">IF(AUTOEVENTO="Manual",ROUND(SUMPRODUCT((CÁLCULO!$M$15:$M$235=EVENTOS!$C25)*(OFFSET(CÁLCULO!$AI$15:$AI$235,0,H$13))),2),0)</f>
        <v>53550.94</v>
      </c>
      <c r="I25" s="618">
        <f t="array" aca="1" ref="I25" ca="1">IF(AUTOEVENTO="Manual",ROUND(SUMPRODUCT((CÁLCULO!$M$15:$M$235=EVENTOS!$C25)*(OFFSET(CÁLCULO!$AI$15:$AI$235,0,I$13))),2),0)</f>
        <v>53550.94</v>
      </c>
      <c r="J25" s="618">
        <f t="array" aca="1" ref="J25" ca="1">IF(AUTOEVENTO="Manual",ROUND(SUMPRODUCT((CÁLCULO!$M$15:$M$235=EVENTOS!$C25)*(OFFSET(CÁLCULO!$AI$15:$AI$235,0,J$13))),2),0)</f>
        <v>53550.94</v>
      </c>
      <c r="K25" s="618">
        <f t="array" aca="1" ref="K25" ca="1">IF(AUTOEVENTO="Manual",ROUND(SUMPRODUCT((CÁLCULO!$M$15:$M$235=EVENTOS!$C25)*(OFFSET(CÁLCULO!$AI$15:$AI$235,0,K$13))),2),0)</f>
        <v>53550.94</v>
      </c>
      <c r="L25" s="618">
        <f t="array" aca="1" ref="L25" ca="1">IF(AUTOEVENTO="Manual",ROUND(SUMPRODUCT((CÁLCULO!$M$15:$M$235=EVENTOS!$C25)*(OFFSET(CÁLCULO!$AI$15:$AI$235,0,L$13))),2),0)</f>
        <v>0</v>
      </c>
      <c r="M25" s="618">
        <f t="array" aca="1" ref="M25" ca="1">IF(AUTOEVENTO="Manual",ROUND(SUMPRODUCT((CÁLCULO!$M$15:$M$235=EVENTOS!$C25)*(OFFSET(CÁLCULO!$AI$15:$AI$235,0,M$13))),2),0)</f>
        <v>0</v>
      </c>
      <c r="N25" s="618">
        <f t="array" aca="1" ref="N25" ca="1">IF(AUTOEVENTO="Manual",ROUND(SUMPRODUCT((CÁLCULO!$M$15:$M$235=EVENTOS!$C25)*(OFFSET(CÁLCULO!$AI$15:$AI$235,0,N$13))),2),0)</f>
        <v>0</v>
      </c>
      <c r="O25" s="618">
        <f t="array" aca="1" ref="O25" ca="1">IF(AUTOEVENTO="Manual",ROUND(SUMPRODUCT((CÁLCULO!$M$15:$M$235=EVENTOS!$C25)*(OFFSET(CÁLCULO!$AI$15:$AI$235,0,O$13))),2),0)</f>
        <v>0</v>
      </c>
      <c r="P25" s="618">
        <f t="array" aca="1" ref="P25" ca="1">IF(AUTOEVENTO="Manual",ROUND(SUMPRODUCT((CÁLCULO!$M$15:$M$235=EVENTOS!$C25)*(OFFSET(CÁLCULO!$AI$15:$AI$235,0,P$13))),2),0)</f>
        <v>0</v>
      </c>
      <c r="Q25" s="618">
        <f t="array" aca="1" ref="Q25" ca="1">IF(AUTOEVENTO="Manual",ROUND(SUMPRODUCT((CÁLCULO!$M$15:$M$235=EVENTOS!$C25)*(OFFSET(CÁLCULO!$AI$15:$AI$235,0,Q$13))),2),0)</f>
        <v>0</v>
      </c>
      <c r="R25" s="618">
        <f t="array" aca="1" ref="R25" ca="1">IF(AUTOEVENTO="Manual",ROUND(SUMPRODUCT((CÁLCULO!$M$15:$M$235=EVENTOS!$C25)*(OFFSET(CÁLCULO!$AI$15:$AI$235,0,R$13))),2),0)</f>
        <v>0</v>
      </c>
      <c r="S25" s="618">
        <f t="array" aca="1" ref="S25" ca="1">IF(AUTOEVENTO="Manual",ROUND(SUMPRODUCT((CÁLCULO!$M$15:$M$235=EVENTOS!$C25)*(OFFSET(CÁLCULO!$AI$15:$AI$235,0,S$13))),2),0)</f>
        <v>0</v>
      </c>
      <c r="T25" s="618">
        <f t="array" aca="1" ref="T25" ca="1">IF(AUTOEVENTO="Manual",ROUND(SUMPRODUCT((CÁLCULO!$M$15:$M$235=EVENTOS!$C25)*(OFFSET(CÁLCULO!$AI$15:$AI$235,0,T$13))),2),0)</f>
        <v>0</v>
      </c>
      <c r="U25" s="618">
        <f t="array" aca="1" ref="U25" ca="1">IF(AUTOEVENTO="Manual",ROUND(SUMPRODUCT((CÁLCULO!$M$15:$M$235=EVENTOS!$C25)*(OFFSET(CÁLCULO!$AI$15:$AI$235,0,U$13))),2),0)</f>
        <v>0</v>
      </c>
      <c r="V25" s="618">
        <f t="array" aca="1" ref="V25" ca="1">IF(AUTOEVENTO="Manual",ROUND(SUMPRODUCT((CÁLCULO!$M$15:$M$235=EVENTOS!$C25)*(OFFSET(CÁLCULO!$AI$15:$AI$235,0,V$13))),2),0)</f>
        <v>0</v>
      </c>
      <c r="W25" s="618">
        <f t="array" aca="1" ref="W25" ca="1">IF(AUTOEVENTO="Manual",ROUND(SUMPRODUCT((CÁLCULO!$M$15:$M$235=EVENTOS!$C25)*(OFFSET(CÁLCULO!$AI$15:$AI$235,0,W$13))),2),0)</f>
        <v>0</v>
      </c>
      <c r="X25" s="618">
        <f t="array" aca="1" ref="X25" ca="1">IF(AUTOEVENTO="Manual",ROUND(SUMPRODUCT((CÁLCULO!$M$15:$M$235=EVENTOS!$C25)*(OFFSET(CÁLCULO!$AI$15:$AI$235,0,X$13))),2),0)</f>
        <v>0</v>
      </c>
      <c r="Y25" s="618">
        <f t="array" aca="1" ref="Y25" ca="1">IF(AUTOEVENTO="Manual",ROUND(SUMPRODUCT((CÁLCULO!$M$15:$M$235=EVENTOS!$C25)*(OFFSET(CÁLCULO!$AI$15:$AI$235,0,Y$13))),2),0)</f>
        <v>0</v>
      </c>
    </row>
    <row r="26" spans="1:25" s="696" customFormat="1" x14ac:dyDescent="0.2">
      <c r="A26" s="505" t="str">
        <f t="shared" si="2"/>
        <v>F</v>
      </c>
      <c r="B26" s="696" t="str">
        <f t="shared" ca="1" si="3"/>
        <v>11. ESQUADRIAS DE ALUMÍNIO</v>
      </c>
      <c r="C26" s="182">
        <f t="array" aca="1" ref="C26" ca="1">IF(OR(ROW(C26)=ROW(EVENTOS.firstrow)+1,AND(OFFSET(C26,-1,0)&lt;&gt;" ",OFFSET(C26,-1,1)&lt;&gt;"")),OFFSET(C26,-1,0)+1," ")</f>
        <v>11</v>
      </c>
      <c r="D26" s="495" t="s">
        <v>1391</v>
      </c>
      <c r="E26" s="618">
        <f t="array" aca="1" ref="E26" ca="1">IF(AUTOEVENTO="Manual",ROUND(SUMPRODUCT((CÁLCULO!$M$15:$M$235=EVENTOS!$C26)*(OFFSET(CÁLCULO!$AI$15:$AI$235,0,E$13))),2),0)</f>
        <v>29273.79</v>
      </c>
      <c r="F26" s="183">
        <f ca="1">IF(AUTOEVENTO="Manual",ROUND(SUMPRODUCT((CÁLCULO!$M$15:$M$235=EVENTOS!$C26)*(OFFSET(CÁLCULO!$AI$15,0,1):OFFSET(CÁLCULO!$BB$235,0,-1))),2),0)</f>
        <v>117095.16</v>
      </c>
      <c r="G26" s="619" t="str">
        <f t="shared" ca="1" si="4"/>
        <v/>
      </c>
      <c r="H26" s="618">
        <f t="array" aca="1" ref="H26" ca="1">IF(AUTOEVENTO="Manual",ROUND(SUMPRODUCT((CÁLCULO!$M$15:$M$235=EVENTOS!$C26)*(OFFSET(CÁLCULO!$AI$15:$AI$235,0,H$13))),2),0)</f>
        <v>29273.79</v>
      </c>
      <c r="I26" s="618">
        <f t="array" aca="1" ref="I26" ca="1">IF(AUTOEVENTO="Manual",ROUND(SUMPRODUCT((CÁLCULO!$M$15:$M$235=EVENTOS!$C26)*(OFFSET(CÁLCULO!$AI$15:$AI$235,0,I$13))),2),0)</f>
        <v>29273.79</v>
      </c>
      <c r="J26" s="618">
        <f t="array" aca="1" ref="J26" ca="1">IF(AUTOEVENTO="Manual",ROUND(SUMPRODUCT((CÁLCULO!$M$15:$M$235=EVENTOS!$C26)*(OFFSET(CÁLCULO!$AI$15:$AI$235,0,J$13))),2),0)</f>
        <v>29273.79</v>
      </c>
      <c r="K26" s="618">
        <f t="array" aca="1" ref="K26" ca="1">IF(AUTOEVENTO="Manual",ROUND(SUMPRODUCT((CÁLCULO!$M$15:$M$235=EVENTOS!$C26)*(OFFSET(CÁLCULO!$AI$15:$AI$235,0,K$13))),2),0)</f>
        <v>29273.79</v>
      </c>
      <c r="L26" s="618">
        <f t="array" aca="1" ref="L26" ca="1">IF(AUTOEVENTO="Manual",ROUND(SUMPRODUCT((CÁLCULO!$M$15:$M$235=EVENTOS!$C26)*(OFFSET(CÁLCULO!$AI$15:$AI$235,0,L$13))),2),0)</f>
        <v>0</v>
      </c>
      <c r="M26" s="618">
        <f t="array" aca="1" ref="M26" ca="1">IF(AUTOEVENTO="Manual",ROUND(SUMPRODUCT((CÁLCULO!$M$15:$M$235=EVENTOS!$C26)*(OFFSET(CÁLCULO!$AI$15:$AI$235,0,M$13))),2),0)</f>
        <v>0</v>
      </c>
      <c r="N26" s="618">
        <f t="array" aca="1" ref="N26" ca="1">IF(AUTOEVENTO="Manual",ROUND(SUMPRODUCT((CÁLCULO!$M$15:$M$235=EVENTOS!$C26)*(OFFSET(CÁLCULO!$AI$15:$AI$235,0,N$13))),2),0)</f>
        <v>0</v>
      </c>
      <c r="O26" s="618">
        <f t="array" aca="1" ref="O26" ca="1">IF(AUTOEVENTO="Manual",ROUND(SUMPRODUCT((CÁLCULO!$M$15:$M$235=EVENTOS!$C26)*(OFFSET(CÁLCULO!$AI$15:$AI$235,0,O$13))),2),0)</f>
        <v>0</v>
      </c>
      <c r="P26" s="618">
        <f t="array" aca="1" ref="P26" ca="1">IF(AUTOEVENTO="Manual",ROUND(SUMPRODUCT((CÁLCULO!$M$15:$M$235=EVENTOS!$C26)*(OFFSET(CÁLCULO!$AI$15:$AI$235,0,P$13))),2),0)</f>
        <v>0</v>
      </c>
      <c r="Q26" s="618">
        <f t="array" aca="1" ref="Q26" ca="1">IF(AUTOEVENTO="Manual",ROUND(SUMPRODUCT((CÁLCULO!$M$15:$M$235=EVENTOS!$C26)*(OFFSET(CÁLCULO!$AI$15:$AI$235,0,Q$13))),2),0)</f>
        <v>0</v>
      </c>
      <c r="R26" s="618">
        <f t="array" aca="1" ref="R26" ca="1">IF(AUTOEVENTO="Manual",ROUND(SUMPRODUCT((CÁLCULO!$M$15:$M$235=EVENTOS!$C26)*(OFFSET(CÁLCULO!$AI$15:$AI$235,0,R$13))),2),0)</f>
        <v>0</v>
      </c>
      <c r="S26" s="618">
        <f t="array" aca="1" ref="S26" ca="1">IF(AUTOEVENTO="Manual",ROUND(SUMPRODUCT((CÁLCULO!$M$15:$M$235=EVENTOS!$C26)*(OFFSET(CÁLCULO!$AI$15:$AI$235,0,S$13))),2),0)</f>
        <v>0</v>
      </c>
      <c r="T26" s="618">
        <f t="array" aca="1" ref="T26" ca="1">IF(AUTOEVENTO="Manual",ROUND(SUMPRODUCT((CÁLCULO!$M$15:$M$235=EVENTOS!$C26)*(OFFSET(CÁLCULO!$AI$15:$AI$235,0,T$13))),2),0)</f>
        <v>0</v>
      </c>
      <c r="U26" s="618">
        <f t="array" aca="1" ref="U26" ca="1">IF(AUTOEVENTO="Manual",ROUND(SUMPRODUCT((CÁLCULO!$M$15:$M$235=EVENTOS!$C26)*(OFFSET(CÁLCULO!$AI$15:$AI$235,0,U$13))),2),0)</f>
        <v>0</v>
      </c>
      <c r="V26" s="618">
        <f t="array" aca="1" ref="V26" ca="1">IF(AUTOEVENTO="Manual",ROUND(SUMPRODUCT((CÁLCULO!$M$15:$M$235=EVENTOS!$C26)*(OFFSET(CÁLCULO!$AI$15:$AI$235,0,V$13))),2),0)</f>
        <v>0</v>
      </c>
      <c r="W26" s="618">
        <f t="array" aca="1" ref="W26" ca="1">IF(AUTOEVENTO="Manual",ROUND(SUMPRODUCT((CÁLCULO!$M$15:$M$235=EVENTOS!$C26)*(OFFSET(CÁLCULO!$AI$15:$AI$235,0,W$13))),2),0)</f>
        <v>0</v>
      </c>
      <c r="X26" s="618">
        <f t="array" aca="1" ref="X26" ca="1">IF(AUTOEVENTO="Manual",ROUND(SUMPRODUCT((CÁLCULO!$M$15:$M$235=EVENTOS!$C26)*(OFFSET(CÁLCULO!$AI$15:$AI$235,0,X$13))),2),0)</f>
        <v>0</v>
      </c>
      <c r="Y26" s="618">
        <f t="array" aca="1" ref="Y26" ca="1">IF(AUTOEVENTO="Manual",ROUND(SUMPRODUCT((CÁLCULO!$M$15:$M$235=EVENTOS!$C26)*(OFFSET(CÁLCULO!$AI$15:$AI$235,0,Y$13))),2),0)</f>
        <v>0</v>
      </c>
    </row>
    <row r="27" spans="1:25" s="696" customFormat="1" x14ac:dyDescent="0.2">
      <c r="A27" s="505" t="str">
        <f t="shared" si="2"/>
        <v>F</v>
      </c>
      <c r="B27" s="696" t="str">
        <f t="shared" ca="1" si="3"/>
        <v>12. ESQUADRIAS DE MADEIRA</v>
      </c>
      <c r="C27" s="182">
        <f t="array" aca="1" ref="C27" ca="1">IF(OR(ROW(C27)=ROW(EVENTOS.firstrow)+1,AND(OFFSET(C27,-1,0)&lt;&gt;" ",OFFSET(C27,-1,1)&lt;&gt;"")),OFFSET(C27,-1,0)+1," ")</f>
        <v>12</v>
      </c>
      <c r="D27" s="495" t="s">
        <v>1392</v>
      </c>
      <c r="E27" s="618">
        <f t="array" aca="1" ref="E27" ca="1">IF(AUTOEVENTO="Manual",ROUND(SUMPRODUCT((CÁLCULO!$M$15:$M$235=EVENTOS!$C27)*(OFFSET(CÁLCULO!$AI$15:$AI$235,0,E$13))),2),0)</f>
        <v>15793.35</v>
      </c>
      <c r="F27" s="183">
        <f ca="1">IF(AUTOEVENTO="Manual",ROUND(SUMPRODUCT((CÁLCULO!$M$15:$M$235=EVENTOS!$C27)*(OFFSET(CÁLCULO!$AI$15,0,1):OFFSET(CÁLCULO!$BB$235,0,-1))),2),0)</f>
        <v>63173.4</v>
      </c>
      <c r="G27" s="619" t="str">
        <f t="shared" ca="1" si="4"/>
        <v/>
      </c>
      <c r="H27" s="618">
        <f t="array" aca="1" ref="H27" ca="1">IF(AUTOEVENTO="Manual",ROUND(SUMPRODUCT((CÁLCULO!$M$15:$M$235=EVENTOS!$C27)*(OFFSET(CÁLCULO!$AI$15:$AI$235,0,H$13))),2),0)</f>
        <v>15793.35</v>
      </c>
      <c r="I27" s="618">
        <f t="array" aca="1" ref="I27" ca="1">IF(AUTOEVENTO="Manual",ROUND(SUMPRODUCT((CÁLCULO!$M$15:$M$235=EVENTOS!$C27)*(OFFSET(CÁLCULO!$AI$15:$AI$235,0,I$13))),2),0)</f>
        <v>15793.35</v>
      </c>
      <c r="J27" s="618">
        <f t="array" aca="1" ref="J27" ca="1">IF(AUTOEVENTO="Manual",ROUND(SUMPRODUCT((CÁLCULO!$M$15:$M$235=EVENTOS!$C27)*(OFFSET(CÁLCULO!$AI$15:$AI$235,0,J$13))),2),0)</f>
        <v>15793.35</v>
      </c>
      <c r="K27" s="618">
        <f t="array" aca="1" ref="K27" ca="1">IF(AUTOEVENTO="Manual",ROUND(SUMPRODUCT((CÁLCULO!$M$15:$M$235=EVENTOS!$C27)*(OFFSET(CÁLCULO!$AI$15:$AI$235,0,K$13))),2),0)</f>
        <v>15793.35</v>
      </c>
      <c r="L27" s="618">
        <f t="array" aca="1" ref="L27" ca="1">IF(AUTOEVENTO="Manual",ROUND(SUMPRODUCT((CÁLCULO!$M$15:$M$235=EVENTOS!$C27)*(OFFSET(CÁLCULO!$AI$15:$AI$235,0,L$13))),2),0)</f>
        <v>0</v>
      </c>
      <c r="M27" s="618">
        <f t="array" aca="1" ref="M27" ca="1">IF(AUTOEVENTO="Manual",ROUND(SUMPRODUCT((CÁLCULO!$M$15:$M$235=EVENTOS!$C27)*(OFFSET(CÁLCULO!$AI$15:$AI$235,0,M$13))),2),0)</f>
        <v>0</v>
      </c>
      <c r="N27" s="618">
        <f t="array" aca="1" ref="N27" ca="1">IF(AUTOEVENTO="Manual",ROUND(SUMPRODUCT((CÁLCULO!$M$15:$M$235=EVENTOS!$C27)*(OFFSET(CÁLCULO!$AI$15:$AI$235,0,N$13))),2),0)</f>
        <v>0</v>
      </c>
      <c r="O27" s="618">
        <f t="array" aca="1" ref="O27" ca="1">IF(AUTOEVENTO="Manual",ROUND(SUMPRODUCT((CÁLCULO!$M$15:$M$235=EVENTOS!$C27)*(OFFSET(CÁLCULO!$AI$15:$AI$235,0,O$13))),2),0)</f>
        <v>0</v>
      </c>
      <c r="P27" s="618">
        <f t="array" aca="1" ref="P27" ca="1">IF(AUTOEVENTO="Manual",ROUND(SUMPRODUCT((CÁLCULO!$M$15:$M$235=EVENTOS!$C27)*(OFFSET(CÁLCULO!$AI$15:$AI$235,0,P$13))),2),0)</f>
        <v>0</v>
      </c>
      <c r="Q27" s="618">
        <f t="array" aca="1" ref="Q27" ca="1">IF(AUTOEVENTO="Manual",ROUND(SUMPRODUCT((CÁLCULO!$M$15:$M$235=EVENTOS!$C27)*(OFFSET(CÁLCULO!$AI$15:$AI$235,0,Q$13))),2),0)</f>
        <v>0</v>
      </c>
      <c r="R27" s="618">
        <f t="array" aca="1" ref="R27" ca="1">IF(AUTOEVENTO="Manual",ROUND(SUMPRODUCT((CÁLCULO!$M$15:$M$235=EVENTOS!$C27)*(OFFSET(CÁLCULO!$AI$15:$AI$235,0,R$13))),2),0)</f>
        <v>0</v>
      </c>
      <c r="S27" s="618">
        <f t="array" aca="1" ref="S27" ca="1">IF(AUTOEVENTO="Manual",ROUND(SUMPRODUCT((CÁLCULO!$M$15:$M$235=EVENTOS!$C27)*(OFFSET(CÁLCULO!$AI$15:$AI$235,0,S$13))),2),0)</f>
        <v>0</v>
      </c>
      <c r="T27" s="618">
        <f t="array" aca="1" ref="T27" ca="1">IF(AUTOEVENTO="Manual",ROUND(SUMPRODUCT((CÁLCULO!$M$15:$M$235=EVENTOS!$C27)*(OFFSET(CÁLCULO!$AI$15:$AI$235,0,T$13))),2),0)</f>
        <v>0</v>
      </c>
      <c r="U27" s="618">
        <f t="array" aca="1" ref="U27" ca="1">IF(AUTOEVENTO="Manual",ROUND(SUMPRODUCT((CÁLCULO!$M$15:$M$235=EVENTOS!$C27)*(OFFSET(CÁLCULO!$AI$15:$AI$235,0,U$13))),2),0)</f>
        <v>0</v>
      </c>
      <c r="V27" s="618">
        <f t="array" aca="1" ref="V27" ca="1">IF(AUTOEVENTO="Manual",ROUND(SUMPRODUCT((CÁLCULO!$M$15:$M$235=EVENTOS!$C27)*(OFFSET(CÁLCULO!$AI$15:$AI$235,0,V$13))),2),0)</f>
        <v>0</v>
      </c>
      <c r="W27" s="618">
        <f t="array" aca="1" ref="W27" ca="1">IF(AUTOEVENTO="Manual",ROUND(SUMPRODUCT((CÁLCULO!$M$15:$M$235=EVENTOS!$C27)*(OFFSET(CÁLCULO!$AI$15:$AI$235,0,W$13))),2),0)</f>
        <v>0</v>
      </c>
      <c r="X27" s="618">
        <f t="array" aca="1" ref="X27" ca="1">IF(AUTOEVENTO="Manual",ROUND(SUMPRODUCT((CÁLCULO!$M$15:$M$235=EVENTOS!$C27)*(OFFSET(CÁLCULO!$AI$15:$AI$235,0,X$13))),2),0)</f>
        <v>0</v>
      </c>
      <c r="Y27" s="618">
        <f t="array" aca="1" ref="Y27" ca="1">IF(AUTOEVENTO="Manual",ROUND(SUMPRODUCT((CÁLCULO!$M$15:$M$235=EVENTOS!$C27)*(OFFSET(CÁLCULO!$AI$15:$AI$235,0,Y$13))),2),0)</f>
        <v>0</v>
      </c>
    </row>
    <row r="28" spans="1:25" s="696" customFormat="1" x14ac:dyDescent="0.2">
      <c r="A28" s="505" t="str">
        <f t="shared" si="2"/>
        <v>F</v>
      </c>
      <c r="B28" s="696" t="str">
        <f t="shared" ca="1" si="3"/>
        <v>13. ESTRUTURA DE COBERTURA</v>
      </c>
      <c r="C28" s="182">
        <f t="array" aca="1" ref="C28" ca="1">IF(OR(ROW(C28)=ROW(EVENTOS.firstrow)+1,AND(OFFSET(C28,-1,0)&lt;&gt;" ",OFFSET(C28,-1,1)&lt;&gt;"")),OFFSET(C28,-1,0)+1," ")</f>
        <v>13</v>
      </c>
      <c r="D28" s="495" t="s">
        <v>1377</v>
      </c>
      <c r="E28" s="618">
        <f t="array" aca="1" ref="E28" ca="1">IF(AUTOEVENTO="Manual",ROUND(SUMPRODUCT((CÁLCULO!$M$15:$M$235=EVENTOS!$C28)*(OFFSET(CÁLCULO!$AI$15:$AI$235,0,E$13))),2),0)</f>
        <v>87804.54</v>
      </c>
      <c r="F28" s="183">
        <f ca="1">IF(AUTOEVENTO="Manual",ROUND(SUMPRODUCT((CÁLCULO!$M$15:$M$235=EVENTOS!$C28)*(OFFSET(CÁLCULO!$AI$15,0,1):OFFSET(CÁLCULO!$BB$235,0,-1))),2),0)</f>
        <v>351218.16</v>
      </c>
      <c r="G28" s="619" t="str">
        <f t="shared" ca="1" si="4"/>
        <v/>
      </c>
      <c r="H28" s="618">
        <f t="array" aca="1" ref="H28" ca="1">IF(AUTOEVENTO="Manual",ROUND(SUMPRODUCT((CÁLCULO!$M$15:$M$235=EVENTOS!$C28)*(OFFSET(CÁLCULO!$AI$15:$AI$235,0,H$13))),2),0)</f>
        <v>87804.54</v>
      </c>
      <c r="I28" s="618">
        <f t="array" aca="1" ref="I28" ca="1">IF(AUTOEVENTO="Manual",ROUND(SUMPRODUCT((CÁLCULO!$M$15:$M$235=EVENTOS!$C28)*(OFFSET(CÁLCULO!$AI$15:$AI$235,0,I$13))),2),0)</f>
        <v>87804.54</v>
      </c>
      <c r="J28" s="618">
        <f t="array" aca="1" ref="J28" ca="1">IF(AUTOEVENTO="Manual",ROUND(SUMPRODUCT((CÁLCULO!$M$15:$M$235=EVENTOS!$C28)*(OFFSET(CÁLCULO!$AI$15:$AI$235,0,J$13))),2),0)</f>
        <v>87804.54</v>
      </c>
      <c r="K28" s="618">
        <f t="array" aca="1" ref="K28" ca="1">IF(AUTOEVENTO="Manual",ROUND(SUMPRODUCT((CÁLCULO!$M$15:$M$235=EVENTOS!$C28)*(OFFSET(CÁLCULO!$AI$15:$AI$235,0,K$13))),2),0)</f>
        <v>87804.54</v>
      </c>
      <c r="L28" s="618">
        <f t="array" aca="1" ref="L28" ca="1">IF(AUTOEVENTO="Manual",ROUND(SUMPRODUCT((CÁLCULO!$M$15:$M$235=EVENTOS!$C28)*(OFFSET(CÁLCULO!$AI$15:$AI$235,0,L$13))),2),0)</f>
        <v>0</v>
      </c>
      <c r="M28" s="618">
        <f t="array" aca="1" ref="M28" ca="1">IF(AUTOEVENTO="Manual",ROUND(SUMPRODUCT((CÁLCULO!$M$15:$M$235=EVENTOS!$C28)*(OFFSET(CÁLCULO!$AI$15:$AI$235,0,M$13))),2),0)</f>
        <v>0</v>
      </c>
      <c r="N28" s="618">
        <f t="array" aca="1" ref="N28" ca="1">IF(AUTOEVENTO="Manual",ROUND(SUMPRODUCT((CÁLCULO!$M$15:$M$235=EVENTOS!$C28)*(OFFSET(CÁLCULO!$AI$15:$AI$235,0,N$13))),2),0)</f>
        <v>0</v>
      </c>
      <c r="O28" s="618">
        <f t="array" aca="1" ref="O28" ca="1">IF(AUTOEVENTO="Manual",ROUND(SUMPRODUCT((CÁLCULO!$M$15:$M$235=EVENTOS!$C28)*(OFFSET(CÁLCULO!$AI$15:$AI$235,0,O$13))),2),0)</f>
        <v>0</v>
      </c>
      <c r="P28" s="618">
        <f t="array" aca="1" ref="P28" ca="1">IF(AUTOEVENTO="Manual",ROUND(SUMPRODUCT((CÁLCULO!$M$15:$M$235=EVENTOS!$C28)*(OFFSET(CÁLCULO!$AI$15:$AI$235,0,P$13))),2),0)</f>
        <v>0</v>
      </c>
      <c r="Q28" s="618">
        <f t="array" aca="1" ref="Q28" ca="1">IF(AUTOEVENTO="Manual",ROUND(SUMPRODUCT((CÁLCULO!$M$15:$M$235=EVENTOS!$C28)*(OFFSET(CÁLCULO!$AI$15:$AI$235,0,Q$13))),2),0)</f>
        <v>0</v>
      </c>
      <c r="R28" s="618">
        <f t="array" aca="1" ref="R28" ca="1">IF(AUTOEVENTO="Manual",ROUND(SUMPRODUCT((CÁLCULO!$M$15:$M$235=EVENTOS!$C28)*(OFFSET(CÁLCULO!$AI$15:$AI$235,0,R$13))),2),0)</f>
        <v>0</v>
      </c>
      <c r="S28" s="618">
        <f t="array" aca="1" ref="S28" ca="1">IF(AUTOEVENTO="Manual",ROUND(SUMPRODUCT((CÁLCULO!$M$15:$M$235=EVENTOS!$C28)*(OFFSET(CÁLCULO!$AI$15:$AI$235,0,S$13))),2),0)</f>
        <v>0</v>
      </c>
      <c r="T28" s="618">
        <f t="array" aca="1" ref="T28" ca="1">IF(AUTOEVENTO="Manual",ROUND(SUMPRODUCT((CÁLCULO!$M$15:$M$235=EVENTOS!$C28)*(OFFSET(CÁLCULO!$AI$15:$AI$235,0,T$13))),2),0)</f>
        <v>0</v>
      </c>
      <c r="U28" s="618">
        <f t="array" aca="1" ref="U28" ca="1">IF(AUTOEVENTO="Manual",ROUND(SUMPRODUCT((CÁLCULO!$M$15:$M$235=EVENTOS!$C28)*(OFFSET(CÁLCULO!$AI$15:$AI$235,0,U$13))),2),0)</f>
        <v>0</v>
      </c>
      <c r="V28" s="618">
        <f t="array" aca="1" ref="V28" ca="1">IF(AUTOEVENTO="Manual",ROUND(SUMPRODUCT((CÁLCULO!$M$15:$M$235=EVENTOS!$C28)*(OFFSET(CÁLCULO!$AI$15:$AI$235,0,V$13))),2),0)</f>
        <v>0</v>
      </c>
      <c r="W28" s="618">
        <f t="array" aca="1" ref="W28" ca="1">IF(AUTOEVENTO="Manual",ROUND(SUMPRODUCT((CÁLCULO!$M$15:$M$235=EVENTOS!$C28)*(OFFSET(CÁLCULO!$AI$15:$AI$235,0,W$13))),2),0)</f>
        <v>0</v>
      </c>
      <c r="X28" s="618">
        <f t="array" aca="1" ref="X28" ca="1">IF(AUTOEVENTO="Manual",ROUND(SUMPRODUCT((CÁLCULO!$M$15:$M$235=EVENTOS!$C28)*(OFFSET(CÁLCULO!$AI$15:$AI$235,0,X$13))),2),0)</f>
        <v>0</v>
      </c>
      <c r="Y28" s="618">
        <f t="array" aca="1" ref="Y28" ca="1">IF(AUTOEVENTO="Manual",ROUND(SUMPRODUCT((CÁLCULO!$M$15:$M$235=EVENTOS!$C28)*(OFFSET(CÁLCULO!$AI$15:$AI$235,0,Y$13))),2),0)</f>
        <v>0</v>
      </c>
    </row>
    <row r="29" spans="1:25" s="696" customFormat="1" x14ac:dyDescent="0.2">
      <c r="A29" s="505" t="str">
        <f t="shared" si="2"/>
        <v>F</v>
      </c>
      <c r="B29" s="696" t="str">
        <f t="shared" ca="1" si="3"/>
        <v>14. TELHAMENTO</v>
      </c>
      <c r="C29" s="182">
        <f t="array" aca="1" ref="C29" ca="1">IF(OR(ROW(C29)=ROW(EVENTOS.firstrow)+1,AND(OFFSET(C29,-1,0)&lt;&gt;" ",OFFSET(C29,-1,1)&lt;&gt;"")),OFFSET(C29,-1,0)+1," ")</f>
        <v>14</v>
      </c>
      <c r="D29" s="495" t="s">
        <v>1378</v>
      </c>
      <c r="E29" s="618">
        <f t="array" aca="1" ref="E29" ca="1">IF(AUTOEVENTO="Manual",ROUND(SUMPRODUCT((CÁLCULO!$M$15:$M$235=EVENTOS!$C29)*(OFFSET(CÁLCULO!$AI$15:$AI$235,0,E$13))),2),0)</f>
        <v>43739.12</v>
      </c>
      <c r="F29" s="183">
        <f ca="1">IF(AUTOEVENTO="Manual",ROUND(SUMPRODUCT((CÁLCULO!$M$15:$M$235=EVENTOS!$C29)*(OFFSET(CÁLCULO!$AI$15,0,1):OFFSET(CÁLCULO!$BB$235,0,-1))),2),0)</f>
        <v>174956.48</v>
      </c>
      <c r="G29" s="619" t="str">
        <f t="shared" ca="1" si="4"/>
        <v/>
      </c>
      <c r="H29" s="618">
        <f t="array" aca="1" ref="H29" ca="1">IF(AUTOEVENTO="Manual",ROUND(SUMPRODUCT((CÁLCULO!$M$15:$M$235=EVENTOS!$C29)*(OFFSET(CÁLCULO!$AI$15:$AI$235,0,H$13))),2),0)</f>
        <v>43739.12</v>
      </c>
      <c r="I29" s="618">
        <f t="array" aca="1" ref="I29" ca="1">IF(AUTOEVENTO="Manual",ROUND(SUMPRODUCT((CÁLCULO!$M$15:$M$235=EVENTOS!$C29)*(OFFSET(CÁLCULO!$AI$15:$AI$235,0,I$13))),2),0)</f>
        <v>43739.12</v>
      </c>
      <c r="J29" s="618">
        <f t="array" aca="1" ref="J29" ca="1">IF(AUTOEVENTO="Manual",ROUND(SUMPRODUCT((CÁLCULO!$M$15:$M$235=EVENTOS!$C29)*(OFFSET(CÁLCULO!$AI$15:$AI$235,0,J$13))),2),0)</f>
        <v>43739.12</v>
      </c>
      <c r="K29" s="618">
        <f t="array" aca="1" ref="K29" ca="1">IF(AUTOEVENTO="Manual",ROUND(SUMPRODUCT((CÁLCULO!$M$15:$M$235=EVENTOS!$C29)*(OFFSET(CÁLCULO!$AI$15:$AI$235,0,K$13))),2),0)</f>
        <v>43739.12</v>
      </c>
      <c r="L29" s="618">
        <f t="array" aca="1" ref="L29" ca="1">IF(AUTOEVENTO="Manual",ROUND(SUMPRODUCT((CÁLCULO!$M$15:$M$235=EVENTOS!$C29)*(OFFSET(CÁLCULO!$AI$15:$AI$235,0,L$13))),2),0)</f>
        <v>0</v>
      </c>
      <c r="M29" s="618">
        <f t="array" aca="1" ref="M29" ca="1">IF(AUTOEVENTO="Manual",ROUND(SUMPRODUCT((CÁLCULO!$M$15:$M$235=EVENTOS!$C29)*(OFFSET(CÁLCULO!$AI$15:$AI$235,0,M$13))),2),0)</f>
        <v>0</v>
      </c>
      <c r="N29" s="618">
        <f t="array" aca="1" ref="N29" ca="1">IF(AUTOEVENTO="Manual",ROUND(SUMPRODUCT((CÁLCULO!$M$15:$M$235=EVENTOS!$C29)*(OFFSET(CÁLCULO!$AI$15:$AI$235,0,N$13))),2),0)</f>
        <v>0</v>
      </c>
      <c r="O29" s="618">
        <f t="array" aca="1" ref="O29" ca="1">IF(AUTOEVENTO="Manual",ROUND(SUMPRODUCT((CÁLCULO!$M$15:$M$235=EVENTOS!$C29)*(OFFSET(CÁLCULO!$AI$15:$AI$235,0,O$13))),2),0)</f>
        <v>0</v>
      </c>
      <c r="P29" s="618">
        <f t="array" aca="1" ref="P29" ca="1">IF(AUTOEVENTO="Manual",ROUND(SUMPRODUCT((CÁLCULO!$M$15:$M$235=EVENTOS!$C29)*(OFFSET(CÁLCULO!$AI$15:$AI$235,0,P$13))),2),0)</f>
        <v>0</v>
      </c>
      <c r="Q29" s="618">
        <f t="array" aca="1" ref="Q29" ca="1">IF(AUTOEVENTO="Manual",ROUND(SUMPRODUCT((CÁLCULO!$M$15:$M$235=EVENTOS!$C29)*(OFFSET(CÁLCULO!$AI$15:$AI$235,0,Q$13))),2),0)</f>
        <v>0</v>
      </c>
      <c r="R29" s="618">
        <f t="array" aca="1" ref="R29" ca="1">IF(AUTOEVENTO="Manual",ROUND(SUMPRODUCT((CÁLCULO!$M$15:$M$235=EVENTOS!$C29)*(OFFSET(CÁLCULO!$AI$15:$AI$235,0,R$13))),2),0)</f>
        <v>0</v>
      </c>
      <c r="S29" s="618">
        <f t="array" aca="1" ref="S29" ca="1">IF(AUTOEVENTO="Manual",ROUND(SUMPRODUCT((CÁLCULO!$M$15:$M$235=EVENTOS!$C29)*(OFFSET(CÁLCULO!$AI$15:$AI$235,0,S$13))),2),0)</f>
        <v>0</v>
      </c>
      <c r="T29" s="618">
        <f t="array" aca="1" ref="T29" ca="1">IF(AUTOEVENTO="Manual",ROUND(SUMPRODUCT((CÁLCULO!$M$15:$M$235=EVENTOS!$C29)*(OFFSET(CÁLCULO!$AI$15:$AI$235,0,T$13))),2),0)</f>
        <v>0</v>
      </c>
      <c r="U29" s="618">
        <f t="array" aca="1" ref="U29" ca="1">IF(AUTOEVENTO="Manual",ROUND(SUMPRODUCT((CÁLCULO!$M$15:$M$235=EVENTOS!$C29)*(OFFSET(CÁLCULO!$AI$15:$AI$235,0,U$13))),2),0)</f>
        <v>0</v>
      </c>
      <c r="V29" s="618">
        <f t="array" aca="1" ref="V29" ca="1">IF(AUTOEVENTO="Manual",ROUND(SUMPRODUCT((CÁLCULO!$M$15:$M$235=EVENTOS!$C29)*(OFFSET(CÁLCULO!$AI$15:$AI$235,0,V$13))),2),0)</f>
        <v>0</v>
      </c>
      <c r="W29" s="618">
        <f t="array" aca="1" ref="W29" ca="1">IF(AUTOEVENTO="Manual",ROUND(SUMPRODUCT((CÁLCULO!$M$15:$M$235=EVENTOS!$C29)*(OFFSET(CÁLCULO!$AI$15:$AI$235,0,W$13))),2),0)</f>
        <v>0</v>
      </c>
      <c r="X29" s="618">
        <f t="array" aca="1" ref="X29" ca="1">IF(AUTOEVENTO="Manual",ROUND(SUMPRODUCT((CÁLCULO!$M$15:$M$235=EVENTOS!$C29)*(OFFSET(CÁLCULO!$AI$15:$AI$235,0,X$13))),2),0)</f>
        <v>0</v>
      </c>
      <c r="Y29" s="618">
        <f t="array" aca="1" ref="Y29" ca="1">IF(AUTOEVENTO="Manual",ROUND(SUMPRODUCT((CÁLCULO!$M$15:$M$235=EVENTOS!$C29)*(OFFSET(CÁLCULO!$AI$15:$AI$235,0,Y$13))),2),0)</f>
        <v>0</v>
      </c>
    </row>
    <row r="30" spans="1:25" s="696" customFormat="1" x14ac:dyDescent="0.2">
      <c r="A30" s="505" t="str">
        <f t="shared" si="2"/>
        <v>F</v>
      </c>
      <c r="B30" s="696" t="str">
        <f t="shared" ca="1" si="3"/>
        <v>15. FORROS</v>
      </c>
      <c r="C30" s="182">
        <f t="array" aca="1" ref="C30" ca="1">IF(OR(ROW(C30)=ROW(EVENTOS.firstrow)+1,AND(OFFSET(C30,-1,0)&lt;&gt;" ",OFFSET(C30,-1,1)&lt;&gt;"")),OFFSET(C30,-1,0)+1," ")</f>
        <v>15</v>
      </c>
      <c r="D30" s="495" t="s">
        <v>1397</v>
      </c>
      <c r="E30" s="618">
        <f t="array" aca="1" ref="E30" ca="1">IF(AUTOEVENTO="Manual",ROUND(SUMPRODUCT((CÁLCULO!$M$15:$M$235=EVENTOS!$C30)*(OFFSET(CÁLCULO!$AI$15:$AI$235,0,E$13))),2),0)</f>
        <v>12414.22</v>
      </c>
      <c r="F30" s="183">
        <f ca="1">IF(AUTOEVENTO="Manual",ROUND(SUMPRODUCT((CÁLCULO!$M$15:$M$235=EVENTOS!$C30)*(OFFSET(CÁLCULO!$AI$15,0,1):OFFSET(CÁLCULO!$BB$235,0,-1))),2),0)</f>
        <v>49656.88</v>
      </c>
      <c r="G30" s="619" t="str">
        <f t="shared" ca="1" si="4"/>
        <v/>
      </c>
      <c r="H30" s="618">
        <f t="array" aca="1" ref="H30" ca="1">IF(AUTOEVENTO="Manual",ROUND(SUMPRODUCT((CÁLCULO!$M$15:$M$235=EVENTOS!$C30)*(OFFSET(CÁLCULO!$AI$15:$AI$235,0,H$13))),2),0)</f>
        <v>12414.22</v>
      </c>
      <c r="I30" s="618">
        <f t="array" aca="1" ref="I30" ca="1">IF(AUTOEVENTO="Manual",ROUND(SUMPRODUCT((CÁLCULO!$M$15:$M$235=EVENTOS!$C30)*(OFFSET(CÁLCULO!$AI$15:$AI$235,0,I$13))),2),0)</f>
        <v>12414.22</v>
      </c>
      <c r="J30" s="618">
        <f t="array" aca="1" ref="J30" ca="1">IF(AUTOEVENTO="Manual",ROUND(SUMPRODUCT((CÁLCULO!$M$15:$M$235=EVENTOS!$C30)*(OFFSET(CÁLCULO!$AI$15:$AI$235,0,J$13))),2),0)</f>
        <v>12414.22</v>
      </c>
      <c r="K30" s="618">
        <f t="array" aca="1" ref="K30" ca="1">IF(AUTOEVENTO="Manual",ROUND(SUMPRODUCT((CÁLCULO!$M$15:$M$235=EVENTOS!$C30)*(OFFSET(CÁLCULO!$AI$15:$AI$235,0,K$13))),2),0)</f>
        <v>12414.22</v>
      </c>
      <c r="L30" s="618">
        <f t="array" aca="1" ref="L30" ca="1">IF(AUTOEVENTO="Manual",ROUND(SUMPRODUCT((CÁLCULO!$M$15:$M$235=EVENTOS!$C30)*(OFFSET(CÁLCULO!$AI$15:$AI$235,0,L$13))),2),0)</f>
        <v>0</v>
      </c>
      <c r="M30" s="618">
        <f t="array" aca="1" ref="M30" ca="1">IF(AUTOEVENTO="Manual",ROUND(SUMPRODUCT((CÁLCULO!$M$15:$M$235=EVENTOS!$C30)*(OFFSET(CÁLCULO!$AI$15:$AI$235,0,M$13))),2),0)</f>
        <v>0</v>
      </c>
      <c r="N30" s="618">
        <f t="array" aca="1" ref="N30" ca="1">IF(AUTOEVENTO="Manual",ROUND(SUMPRODUCT((CÁLCULO!$M$15:$M$235=EVENTOS!$C30)*(OFFSET(CÁLCULO!$AI$15:$AI$235,0,N$13))),2),0)</f>
        <v>0</v>
      </c>
      <c r="O30" s="618">
        <f t="array" aca="1" ref="O30" ca="1">IF(AUTOEVENTO="Manual",ROUND(SUMPRODUCT((CÁLCULO!$M$15:$M$235=EVENTOS!$C30)*(OFFSET(CÁLCULO!$AI$15:$AI$235,0,O$13))),2),0)</f>
        <v>0</v>
      </c>
      <c r="P30" s="618">
        <f t="array" aca="1" ref="P30" ca="1">IF(AUTOEVENTO="Manual",ROUND(SUMPRODUCT((CÁLCULO!$M$15:$M$235=EVENTOS!$C30)*(OFFSET(CÁLCULO!$AI$15:$AI$235,0,P$13))),2),0)</f>
        <v>0</v>
      </c>
      <c r="Q30" s="618">
        <f t="array" aca="1" ref="Q30" ca="1">IF(AUTOEVENTO="Manual",ROUND(SUMPRODUCT((CÁLCULO!$M$15:$M$235=EVENTOS!$C30)*(OFFSET(CÁLCULO!$AI$15:$AI$235,0,Q$13))),2),0)</f>
        <v>0</v>
      </c>
      <c r="R30" s="618">
        <f t="array" aca="1" ref="R30" ca="1">IF(AUTOEVENTO="Manual",ROUND(SUMPRODUCT((CÁLCULO!$M$15:$M$235=EVENTOS!$C30)*(OFFSET(CÁLCULO!$AI$15:$AI$235,0,R$13))),2),0)</f>
        <v>0</v>
      </c>
      <c r="S30" s="618">
        <f t="array" aca="1" ref="S30" ca="1">IF(AUTOEVENTO="Manual",ROUND(SUMPRODUCT((CÁLCULO!$M$15:$M$235=EVENTOS!$C30)*(OFFSET(CÁLCULO!$AI$15:$AI$235,0,S$13))),2),0)</f>
        <v>0</v>
      </c>
      <c r="T30" s="618">
        <f t="array" aca="1" ref="T30" ca="1">IF(AUTOEVENTO="Manual",ROUND(SUMPRODUCT((CÁLCULO!$M$15:$M$235=EVENTOS!$C30)*(OFFSET(CÁLCULO!$AI$15:$AI$235,0,T$13))),2),0)</f>
        <v>0</v>
      </c>
      <c r="U30" s="618">
        <f t="array" aca="1" ref="U30" ca="1">IF(AUTOEVENTO="Manual",ROUND(SUMPRODUCT((CÁLCULO!$M$15:$M$235=EVENTOS!$C30)*(OFFSET(CÁLCULO!$AI$15:$AI$235,0,U$13))),2),0)</f>
        <v>0</v>
      </c>
      <c r="V30" s="618">
        <f t="array" aca="1" ref="V30" ca="1">IF(AUTOEVENTO="Manual",ROUND(SUMPRODUCT((CÁLCULO!$M$15:$M$235=EVENTOS!$C30)*(OFFSET(CÁLCULO!$AI$15:$AI$235,0,V$13))),2),0)</f>
        <v>0</v>
      </c>
      <c r="W30" s="618">
        <f t="array" aca="1" ref="W30" ca="1">IF(AUTOEVENTO="Manual",ROUND(SUMPRODUCT((CÁLCULO!$M$15:$M$235=EVENTOS!$C30)*(OFFSET(CÁLCULO!$AI$15:$AI$235,0,W$13))),2),0)</f>
        <v>0</v>
      </c>
      <c r="X30" s="618">
        <f t="array" aca="1" ref="X30" ca="1">IF(AUTOEVENTO="Manual",ROUND(SUMPRODUCT((CÁLCULO!$M$15:$M$235=EVENTOS!$C30)*(OFFSET(CÁLCULO!$AI$15:$AI$235,0,X$13))),2),0)</f>
        <v>0</v>
      </c>
      <c r="Y30" s="618">
        <f t="array" aca="1" ref="Y30" ca="1">IF(AUTOEVENTO="Manual",ROUND(SUMPRODUCT((CÁLCULO!$M$15:$M$235=EVENTOS!$C30)*(OFFSET(CÁLCULO!$AI$15:$AI$235,0,Y$13))),2),0)</f>
        <v>0</v>
      </c>
    </row>
    <row r="31" spans="1:25" s="696" customFormat="1" x14ac:dyDescent="0.2">
      <c r="A31" s="505" t="str">
        <f t="shared" si="2"/>
        <v>F</v>
      </c>
      <c r="B31" s="696" t="str">
        <f t="shared" ca="1" si="3"/>
        <v>16. REVESTIMENTOS INTERNOS DE PAREDES</v>
      </c>
      <c r="C31" s="182">
        <f t="array" aca="1" ref="C31" ca="1">IF(OR(ROW(C31)=ROW(EVENTOS.firstrow)+1,AND(OFFSET(C31,-1,0)&lt;&gt;" ",OFFSET(C31,-1,1)&lt;&gt;"")),OFFSET(C31,-1,0)+1," ")</f>
        <v>16</v>
      </c>
      <c r="D31" s="495" t="s">
        <v>1399</v>
      </c>
      <c r="E31" s="618">
        <f t="array" aca="1" ref="E31" ca="1">IF(AUTOEVENTO="Manual",ROUND(SUMPRODUCT((CÁLCULO!$M$15:$M$235=EVENTOS!$C31)*(OFFSET(CÁLCULO!$AI$15:$AI$235,0,E$13))),2),0)</f>
        <v>31543.22</v>
      </c>
      <c r="F31" s="183">
        <f ca="1">IF(AUTOEVENTO="Manual",ROUND(SUMPRODUCT((CÁLCULO!$M$15:$M$235=EVENTOS!$C31)*(OFFSET(CÁLCULO!$AI$15,0,1):OFFSET(CÁLCULO!$BB$235,0,-1))),2),0)</f>
        <v>126172.88</v>
      </c>
      <c r="G31" s="619" t="str">
        <f t="shared" ca="1" si="4"/>
        <v/>
      </c>
      <c r="H31" s="618">
        <f t="array" aca="1" ref="H31" ca="1">IF(AUTOEVENTO="Manual",ROUND(SUMPRODUCT((CÁLCULO!$M$15:$M$235=EVENTOS!$C31)*(OFFSET(CÁLCULO!$AI$15:$AI$235,0,H$13))),2),0)</f>
        <v>31543.22</v>
      </c>
      <c r="I31" s="618">
        <f t="array" aca="1" ref="I31" ca="1">IF(AUTOEVENTO="Manual",ROUND(SUMPRODUCT((CÁLCULO!$M$15:$M$235=EVENTOS!$C31)*(OFFSET(CÁLCULO!$AI$15:$AI$235,0,I$13))),2),0)</f>
        <v>31543.22</v>
      </c>
      <c r="J31" s="618">
        <f t="array" aca="1" ref="J31" ca="1">IF(AUTOEVENTO="Manual",ROUND(SUMPRODUCT((CÁLCULO!$M$15:$M$235=EVENTOS!$C31)*(OFFSET(CÁLCULO!$AI$15:$AI$235,0,J$13))),2),0)</f>
        <v>31543.22</v>
      </c>
      <c r="K31" s="618">
        <f t="array" aca="1" ref="K31" ca="1">IF(AUTOEVENTO="Manual",ROUND(SUMPRODUCT((CÁLCULO!$M$15:$M$235=EVENTOS!$C31)*(OFFSET(CÁLCULO!$AI$15:$AI$235,0,K$13))),2),0)</f>
        <v>31543.22</v>
      </c>
      <c r="L31" s="618">
        <f t="array" aca="1" ref="L31" ca="1">IF(AUTOEVENTO="Manual",ROUND(SUMPRODUCT((CÁLCULO!$M$15:$M$235=EVENTOS!$C31)*(OFFSET(CÁLCULO!$AI$15:$AI$235,0,L$13))),2),0)</f>
        <v>0</v>
      </c>
      <c r="M31" s="618">
        <f t="array" aca="1" ref="M31" ca="1">IF(AUTOEVENTO="Manual",ROUND(SUMPRODUCT((CÁLCULO!$M$15:$M$235=EVENTOS!$C31)*(OFFSET(CÁLCULO!$AI$15:$AI$235,0,M$13))),2),0)</f>
        <v>0</v>
      </c>
      <c r="N31" s="618">
        <f t="array" aca="1" ref="N31" ca="1">IF(AUTOEVENTO="Manual",ROUND(SUMPRODUCT((CÁLCULO!$M$15:$M$235=EVENTOS!$C31)*(OFFSET(CÁLCULO!$AI$15:$AI$235,0,N$13))),2),0)</f>
        <v>0</v>
      </c>
      <c r="O31" s="618">
        <f t="array" aca="1" ref="O31" ca="1">IF(AUTOEVENTO="Manual",ROUND(SUMPRODUCT((CÁLCULO!$M$15:$M$235=EVENTOS!$C31)*(OFFSET(CÁLCULO!$AI$15:$AI$235,0,O$13))),2),0)</f>
        <v>0</v>
      </c>
      <c r="P31" s="618">
        <f t="array" aca="1" ref="P31" ca="1">IF(AUTOEVENTO="Manual",ROUND(SUMPRODUCT((CÁLCULO!$M$15:$M$235=EVENTOS!$C31)*(OFFSET(CÁLCULO!$AI$15:$AI$235,0,P$13))),2),0)</f>
        <v>0</v>
      </c>
      <c r="Q31" s="618">
        <f t="array" aca="1" ref="Q31" ca="1">IF(AUTOEVENTO="Manual",ROUND(SUMPRODUCT((CÁLCULO!$M$15:$M$235=EVENTOS!$C31)*(OFFSET(CÁLCULO!$AI$15:$AI$235,0,Q$13))),2),0)</f>
        <v>0</v>
      </c>
      <c r="R31" s="618">
        <f t="array" aca="1" ref="R31" ca="1">IF(AUTOEVENTO="Manual",ROUND(SUMPRODUCT((CÁLCULO!$M$15:$M$235=EVENTOS!$C31)*(OFFSET(CÁLCULO!$AI$15:$AI$235,0,R$13))),2),0)</f>
        <v>0</v>
      </c>
      <c r="S31" s="618">
        <f t="array" aca="1" ref="S31" ca="1">IF(AUTOEVENTO="Manual",ROUND(SUMPRODUCT((CÁLCULO!$M$15:$M$235=EVENTOS!$C31)*(OFFSET(CÁLCULO!$AI$15:$AI$235,0,S$13))),2),0)</f>
        <v>0</v>
      </c>
      <c r="T31" s="618">
        <f t="array" aca="1" ref="T31" ca="1">IF(AUTOEVENTO="Manual",ROUND(SUMPRODUCT((CÁLCULO!$M$15:$M$235=EVENTOS!$C31)*(OFFSET(CÁLCULO!$AI$15:$AI$235,0,T$13))),2),0)</f>
        <v>0</v>
      </c>
      <c r="U31" s="618">
        <f t="array" aca="1" ref="U31" ca="1">IF(AUTOEVENTO="Manual",ROUND(SUMPRODUCT((CÁLCULO!$M$15:$M$235=EVENTOS!$C31)*(OFFSET(CÁLCULO!$AI$15:$AI$235,0,U$13))),2),0)</f>
        <v>0</v>
      </c>
      <c r="V31" s="618">
        <f t="array" aca="1" ref="V31" ca="1">IF(AUTOEVENTO="Manual",ROUND(SUMPRODUCT((CÁLCULO!$M$15:$M$235=EVENTOS!$C31)*(OFFSET(CÁLCULO!$AI$15:$AI$235,0,V$13))),2),0)</f>
        <v>0</v>
      </c>
      <c r="W31" s="618">
        <f t="array" aca="1" ref="W31" ca="1">IF(AUTOEVENTO="Manual",ROUND(SUMPRODUCT((CÁLCULO!$M$15:$M$235=EVENTOS!$C31)*(OFFSET(CÁLCULO!$AI$15:$AI$235,0,W$13))),2),0)</f>
        <v>0</v>
      </c>
      <c r="X31" s="618">
        <f t="array" aca="1" ref="X31" ca="1">IF(AUTOEVENTO="Manual",ROUND(SUMPRODUCT((CÁLCULO!$M$15:$M$235=EVENTOS!$C31)*(OFFSET(CÁLCULO!$AI$15:$AI$235,0,X$13))),2),0)</f>
        <v>0</v>
      </c>
      <c r="Y31" s="618">
        <f t="array" aca="1" ref="Y31" ca="1">IF(AUTOEVENTO="Manual",ROUND(SUMPRODUCT((CÁLCULO!$M$15:$M$235=EVENTOS!$C31)*(OFFSET(CÁLCULO!$AI$15:$AI$235,0,Y$13))),2),0)</f>
        <v>0</v>
      </c>
    </row>
    <row r="32" spans="1:25" s="696" customFormat="1" x14ac:dyDescent="0.2">
      <c r="A32" s="505" t="str">
        <f t="shared" si="2"/>
        <v>F</v>
      </c>
      <c r="B32" s="696" t="str">
        <f t="shared" ca="1" si="3"/>
        <v>17. REVESTIMENTOS INTERNOS DE TETO</v>
      </c>
      <c r="C32" s="182">
        <f t="array" aca="1" ref="C32" ca="1">IF(OR(ROW(C32)=ROW(EVENTOS.firstrow)+1,AND(OFFSET(C32,-1,0)&lt;&gt;" ",OFFSET(C32,-1,1)&lt;&gt;"")),OFFSET(C32,-1,0)+1," ")</f>
        <v>17</v>
      </c>
      <c r="D32" s="495" t="s">
        <v>1400</v>
      </c>
      <c r="E32" s="618">
        <f t="array" aca="1" ref="E32" ca="1">IF(AUTOEVENTO="Manual",ROUND(SUMPRODUCT((CÁLCULO!$M$15:$M$235=EVENTOS!$C32)*(OFFSET(CÁLCULO!$AI$15:$AI$235,0,E$13))),2),0)</f>
        <v>1050.9100000000001</v>
      </c>
      <c r="F32" s="183">
        <f ca="1">IF(AUTOEVENTO="Manual",ROUND(SUMPRODUCT((CÁLCULO!$M$15:$M$235=EVENTOS!$C32)*(OFFSET(CÁLCULO!$AI$15,0,1):OFFSET(CÁLCULO!$BB$235,0,-1))),2),0)</f>
        <v>4203.6400000000003</v>
      </c>
      <c r="G32" s="619" t="str">
        <f t="shared" ca="1" si="4"/>
        <v/>
      </c>
      <c r="H32" s="618">
        <f t="array" aca="1" ref="H32" ca="1">IF(AUTOEVENTO="Manual",ROUND(SUMPRODUCT((CÁLCULO!$M$15:$M$235=EVENTOS!$C32)*(OFFSET(CÁLCULO!$AI$15:$AI$235,0,H$13))),2),0)</f>
        <v>1050.9100000000001</v>
      </c>
      <c r="I32" s="618">
        <f t="array" aca="1" ref="I32" ca="1">IF(AUTOEVENTO="Manual",ROUND(SUMPRODUCT((CÁLCULO!$M$15:$M$235=EVENTOS!$C32)*(OFFSET(CÁLCULO!$AI$15:$AI$235,0,I$13))),2),0)</f>
        <v>1050.9100000000001</v>
      </c>
      <c r="J32" s="618">
        <f t="array" aca="1" ref="J32" ca="1">IF(AUTOEVENTO="Manual",ROUND(SUMPRODUCT((CÁLCULO!$M$15:$M$235=EVENTOS!$C32)*(OFFSET(CÁLCULO!$AI$15:$AI$235,0,J$13))),2),0)</f>
        <v>1050.9100000000001</v>
      </c>
      <c r="K32" s="618">
        <f t="array" aca="1" ref="K32" ca="1">IF(AUTOEVENTO="Manual",ROUND(SUMPRODUCT((CÁLCULO!$M$15:$M$235=EVENTOS!$C32)*(OFFSET(CÁLCULO!$AI$15:$AI$235,0,K$13))),2),0)</f>
        <v>1050.9100000000001</v>
      </c>
      <c r="L32" s="618">
        <f t="array" aca="1" ref="L32" ca="1">IF(AUTOEVENTO="Manual",ROUND(SUMPRODUCT((CÁLCULO!$M$15:$M$235=EVENTOS!$C32)*(OFFSET(CÁLCULO!$AI$15:$AI$235,0,L$13))),2),0)</f>
        <v>0</v>
      </c>
      <c r="M32" s="618">
        <f t="array" aca="1" ref="M32" ca="1">IF(AUTOEVENTO="Manual",ROUND(SUMPRODUCT((CÁLCULO!$M$15:$M$235=EVENTOS!$C32)*(OFFSET(CÁLCULO!$AI$15:$AI$235,0,M$13))),2),0)</f>
        <v>0</v>
      </c>
      <c r="N32" s="618">
        <f t="array" aca="1" ref="N32" ca="1">IF(AUTOEVENTO="Manual",ROUND(SUMPRODUCT((CÁLCULO!$M$15:$M$235=EVENTOS!$C32)*(OFFSET(CÁLCULO!$AI$15:$AI$235,0,N$13))),2),0)</f>
        <v>0</v>
      </c>
      <c r="O32" s="618">
        <f t="array" aca="1" ref="O32" ca="1">IF(AUTOEVENTO="Manual",ROUND(SUMPRODUCT((CÁLCULO!$M$15:$M$235=EVENTOS!$C32)*(OFFSET(CÁLCULO!$AI$15:$AI$235,0,O$13))),2),0)</f>
        <v>0</v>
      </c>
      <c r="P32" s="618">
        <f t="array" aca="1" ref="P32" ca="1">IF(AUTOEVENTO="Manual",ROUND(SUMPRODUCT((CÁLCULO!$M$15:$M$235=EVENTOS!$C32)*(OFFSET(CÁLCULO!$AI$15:$AI$235,0,P$13))),2),0)</f>
        <v>0</v>
      </c>
      <c r="Q32" s="618">
        <f t="array" aca="1" ref="Q32" ca="1">IF(AUTOEVENTO="Manual",ROUND(SUMPRODUCT((CÁLCULO!$M$15:$M$235=EVENTOS!$C32)*(OFFSET(CÁLCULO!$AI$15:$AI$235,0,Q$13))),2),0)</f>
        <v>0</v>
      </c>
      <c r="R32" s="618">
        <f t="array" aca="1" ref="R32" ca="1">IF(AUTOEVENTO="Manual",ROUND(SUMPRODUCT((CÁLCULO!$M$15:$M$235=EVENTOS!$C32)*(OFFSET(CÁLCULO!$AI$15:$AI$235,0,R$13))),2),0)</f>
        <v>0</v>
      </c>
      <c r="S32" s="618">
        <f t="array" aca="1" ref="S32" ca="1">IF(AUTOEVENTO="Manual",ROUND(SUMPRODUCT((CÁLCULO!$M$15:$M$235=EVENTOS!$C32)*(OFFSET(CÁLCULO!$AI$15:$AI$235,0,S$13))),2),0)</f>
        <v>0</v>
      </c>
      <c r="T32" s="618">
        <f t="array" aca="1" ref="T32" ca="1">IF(AUTOEVENTO="Manual",ROUND(SUMPRODUCT((CÁLCULO!$M$15:$M$235=EVENTOS!$C32)*(OFFSET(CÁLCULO!$AI$15:$AI$235,0,T$13))),2),0)</f>
        <v>0</v>
      </c>
      <c r="U32" s="618">
        <f t="array" aca="1" ref="U32" ca="1">IF(AUTOEVENTO="Manual",ROUND(SUMPRODUCT((CÁLCULO!$M$15:$M$235=EVENTOS!$C32)*(OFFSET(CÁLCULO!$AI$15:$AI$235,0,U$13))),2),0)</f>
        <v>0</v>
      </c>
      <c r="V32" s="618">
        <f t="array" aca="1" ref="V32" ca="1">IF(AUTOEVENTO="Manual",ROUND(SUMPRODUCT((CÁLCULO!$M$15:$M$235=EVENTOS!$C32)*(OFFSET(CÁLCULO!$AI$15:$AI$235,0,V$13))),2),0)</f>
        <v>0</v>
      </c>
      <c r="W32" s="618">
        <f t="array" aca="1" ref="W32" ca="1">IF(AUTOEVENTO="Manual",ROUND(SUMPRODUCT((CÁLCULO!$M$15:$M$235=EVENTOS!$C32)*(OFFSET(CÁLCULO!$AI$15:$AI$235,0,W$13))),2),0)</f>
        <v>0</v>
      </c>
      <c r="X32" s="618">
        <f t="array" aca="1" ref="X32" ca="1">IF(AUTOEVENTO="Manual",ROUND(SUMPRODUCT((CÁLCULO!$M$15:$M$235=EVENTOS!$C32)*(OFFSET(CÁLCULO!$AI$15:$AI$235,0,X$13))),2),0)</f>
        <v>0</v>
      </c>
      <c r="Y32" s="618">
        <f t="array" aca="1" ref="Y32" ca="1">IF(AUTOEVENTO="Manual",ROUND(SUMPRODUCT((CÁLCULO!$M$15:$M$235=EVENTOS!$C32)*(OFFSET(CÁLCULO!$AI$15:$AI$235,0,Y$13))),2),0)</f>
        <v>0</v>
      </c>
    </row>
    <row r="33" spans="1:25" s="696" customFormat="1" x14ac:dyDescent="0.2">
      <c r="A33" s="505" t="str">
        <f t="shared" si="2"/>
        <v>F</v>
      </c>
      <c r="B33" s="696" t="str">
        <f t="shared" ca="1" si="3"/>
        <v>18. REVESTIMENTOS INTERNOS DE PISO</v>
      </c>
      <c r="C33" s="182">
        <f t="array" aca="1" ref="C33" ca="1">IF(OR(ROW(C33)=ROW(EVENTOS.firstrow)+1,AND(OFFSET(C33,-1,0)&lt;&gt;" ",OFFSET(C33,-1,1)&lt;&gt;"")),OFFSET(C33,-1,0)+1," ")</f>
        <v>18</v>
      </c>
      <c r="D33" s="495" t="s">
        <v>1401</v>
      </c>
      <c r="E33" s="618">
        <f t="array" aca="1" ref="E33" ca="1">IF(AUTOEVENTO="Manual",ROUND(SUMPRODUCT((CÁLCULO!$M$15:$M$235=EVENTOS!$C33)*(OFFSET(CÁLCULO!$AI$15:$AI$235,0,E$13))),2),0)</f>
        <v>31624.82</v>
      </c>
      <c r="F33" s="183">
        <f ca="1">IF(AUTOEVENTO="Manual",ROUND(SUMPRODUCT((CÁLCULO!$M$15:$M$235=EVENTOS!$C33)*(OFFSET(CÁLCULO!$AI$15,0,1):OFFSET(CÁLCULO!$BB$235,0,-1))),2),0)</f>
        <v>126499.28</v>
      </c>
      <c r="G33" s="619" t="str">
        <f t="shared" ca="1" si="4"/>
        <v/>
      </c>
      <c r="H33" s="618">
        <f t="array" aca="1" ref="H33" ca="1">IF(AUTOEVENTO="Manual",ROUND(SUMPRODUCT((CÁLCULO!$M$15:$M$235=EVENTOS!$C33)*(OFFSET(CÁLCULO!$AI$15:$AI$235,0,H$13))),2),0)</f>
        <v>31624.82</v>
      </c>
      <c r="I33" s="618">
        <f t="array" aca="1" ref="I33" ca="1">IF(AUTOEVENTO="Manual",ROUND(SUMPRODUCT((CÁLCULO!$M$15:$M$235=EVENTOS!$C33)*(OFFSET(CÁLCULO!$AI$15:$AI$235,0,I$13))),2),0)</f>
        <v>31624.82</v>
      </c>
      <c r="J33" s="618">
        <f t="array" aca="1" ref="J33" ca="1">IF(AUTOEVENTO="Manual",ROUND(SUMPRODUCT((CÁLCULO!$M$15:$M$235=EVENTOS!$C33)*(OFFSET(CÁLCULO!$AI$15:$AI$235,0,J$13))),2),0)</f>
        <v>31624.82</v>
      </c>
      <c r="K33" s="618">
        <f t="array" aca="1" ref="K33" ca="1">IF(AUTOEVENTO="Manual",ROUND(SUMPRODUCT((CÁLCULO!$M$15:$M$235=EVENTOS!$C33)*(OFFSET(CÁLCULO!$AI$15:$AI$235,0,K$13))),2),0)</f>
        <v>31624.82</v>
      </c>
      <c r="L33" s="618">
        <f t="array" aca="1" ref="L33" ca="1">IF(AUTOEVENTO="Manual",ROUND(SUMPRODUCT((CÁLCULO!$M$15:$M$235=EVENTOS!$C33)*(OFFSET(CÁLCULO!$AI$15:$AI$235,0,L$13))),2),0)</f>
        <v>0</v>
      </c>
      <c r="M33" s="618">
        <f t="array" aca="1" ref="M33" ca="1">IF(AUTOEVENTO="Manual",ROUND(SUMPRODUCT((CÁLCULO!$M$15:$M$235=EVENTOS!$C33)*(OFFSET(CÁLCULO!$AI$15:$AI$235,0,M$13))),2),0)</f>
        <v>0</v>
      </c>
      <c r="N33" s="618">
        <f t="array" aca="1" ref="N33" ca="1">IF(AUTOEVENTO="Manual",ROUND(SUMPRODUCT((CÁLCULO!$M$15:$M$235=EVENTOS!$C33)*(OFFSET(CÁLCULO!$AI$15:$AI$235,0,N$13))),2),0)</f>
        <v>0</v>
      </c>
      <c r="O33" s="618">
        <f t="array" aca="1" ref="O33" ca="1">IF(AUTOEVENTO="Manual",ROUND(SUMPRODUCT((CÁLCULO!$M$15:$M$235=EVENTOS!$C33)*(OFFSET(CÁLCULO!$AI$15:$AI$235,0,O$13))),2),0)</f>
        <v>0</v>
      </c>
      <c r="P33" s="618">
        <f t="array" aca="1" ref="P33" ca="1">IF(AUTOEVENTO="Manual",ROUND(SUMPRODUCT((CÁLCULO!$M$15:$M$235=EVENTOS!$C33)*(OFFSET(CÁLCULO!$AI$15:$AI$235,0,P$13))),2),0)</f>
        <v>0</v>
      </c>
      <c r="Q33" s="618">
        <f t="array" aca="1" ref="Q33" ca="1">IF(AUTOEVENTO="Manual",ROUND(SUMPRODUCT((CÁLCULO!$M$15:$M$235=EVENTOS!$C33)*(OFFSET(CÁLCULO!$AI$15:$AI$235,0,Q$13))),2),0)</f>
        <v>0</v>
      </c>
      <c r="R33" s="618">
        <f t="array" aca="1" ref="R33" ca="1">IF(AUTOEVENTO="Manual",ROUND(SUMPRODUCT((CÁLCULO!$M$15:$M$235=EVENTOS!$C33)*(OFFSET(CÁLCULO!$AI$15:$AI$235,0,R$13))),2),0)</f>
        <v>0</v>
      </c>
      <c r="S33" s="618">
        <f t="array" aca="1" ref="S33" ca="1">IF(AUTOEVENTO="Manual",ROUND(SUMPRODUCT((CÁLCULO!$M$15:$M$235=EVENTOS!$C33)*(OFFSET(CÁLCULO!$AI$15:$AI$235,0,S$13))),2),0)</f>
        <v>0</v>
      </c>
      <c r="T33" s="618">
        <f t="array" aca="1" ref="T33" ca="1">IF(AUTOEVENTO="Manual",ROUND(SUMPRODUCT((CÁLCULO!$M$15:$M$235=EVENTOS!$C33)*(OFFSET(CÁLCULO!$AI$15:$AI$235,0,T$13))),2),0)</f>
        <v>0</v>
      </c>
      <c r="U33" s="618">
        <f t="array" aca="1" ref="U33" ca="1">IF(AUTOEVENTO="Manual",ROUND(SUMPRODUCT((CÁLCULO!$M$15:$M$235=EVENTOS!$C33)*(OFFSET(CÁLCULO!$AI$15:$AI$235,0,U$13))),2),0)</f>
        <v>0</v>
      </c>
      <c r="V33" s="618">
        <f t="array" aca="1" ref="V33" ca="1">IF(AUTOEVENTO="Manual",ROUND(SUMPRODUCT((CÁLCULO!$M$15:$M$235=EVENTOS!$C33)*(OFFSET(CÁLCULO!$AI$15:$AI$235,0,V$13))),2),0)</f>
        <v>0</v>
      </c>
      <c r="W33" s="618">
        <f t="array" aca="1" ref="W33" ca="1">IF(AUTOEVENTO="Manual",ROUND(SUMPRODUCT((CÁLCULO!$M$15:$M$235=EVENTOS!$C33)*(OFFSET(CÁLCULO!$AI$15:$AI$235,0,W$13))),2),0)</f>
        <v>0</v>
      </c>
      <c r="X33" s="618">
        <f t="array" aca="1" ref="X33" ca="1">IF(AUTOEVENTO="Manual",ROUND(SUMPRODUCT((CÁLCULO!$M$15:$M$235=EVENTOS!$C33)*(OFFSET(CÁLCULO!$AI$15:$AI$235,0,X$13))),2),0)</f>
        <v>0</v>
      </c>
      <c r="Y33" s="618">
        <f t="array" aca="1" ref="Y33" ca="1">IF(AUTOEVENTO="Manual",ROUND(SUMPRODUCT((CÁLCULO!$M$15:$M$235=EVENTOS!$C33)*(OFFSET(CÁLCULO!$AI$15:$AI$235,0,Y$13))),2),0)</f>
        <v>0</v>
      </c>
    </row>
    <row r="34" spans="1:25" s="696" customFormat="1" x14ac:dyDescent="0.2">
      <c r="A34" s="505" t="str">
        <f t="shared" si="2"/>
        <v>F</v>
      </c>
      <c r="B34" s="696" t="str">
        <f t="shared" ca="1" si="3"/>
        <v>19. REVESTIMENTOS EXTERNOS DE PAREDES</v>
      </c>
      <c r="C34" s="182">
        <f t="array" aca="1" ref="C34" ca="1">IF(OR(ROW(C34)=ROW(EVENTOS.firstrow)+1,AND(OFFSET(C34,-1,0)&lt;&gt;" ",OFFSET(C34,-1,1)&lt;&gt;"")),OFFSET(C34,-1,0)+1," ")</f>
        <v>19</v>
      </c>
      <c r="D34" s="495" t="s">
        <v>1402</v>
      </c>
      <c r="E34" s="618">
        <f t="array" aca="1" ref="E34" ca="1">IF(AUTOEVENTO="Manual",ROUND(SUMPRODUCT((CÁLCULO!$M$15:$M$235=EVENTOS!$C34)*(OFFSET(CÁLCULO!$AI$15:$AI$235,0,E$13))),2),0)</f>
        <v>20834.41</v>
      </c>
      <c r="F34" s="183">
        <f ca="1">IF(AUTOEVENTO="Manual",ROUND(SUMPRODUCT((CÁLCULO!$M$15:$M$235=EVENTOS!$C34)*(OFFSET(CÁLCULO!$AI$15,0,1):OFFSET(CÁLCULO!$BB$235,0,-1))),2),0)</f>
        <v>83337.64</v>
      </c>
      <c r="G34" s="619" t="str">
        <f t="shared" ca="1" si="4"/>
        <v/>
      </c>
      <c r="H34" s="618">
        <f t="array" aca="1" ref="H34" ca="1">IF(AUTOEVENTO="Manual",ROUND(SUMPRODUCT((CÁLCULO!$M$15:$M$235=EVENTOS!$C34)*(OFFSET(CÁLCULO!$AI$15:$AI$235,0,H$13))),2),0)</f>
        <v>20834.41</v>
      </c>
      <c r="I34" s="618">
        <f t="array" aca="1" ref="I34" ca="1">IF(AUTOEVENTO="Manual",ROUND(SUMPRODUCT((CÁLCULO!$M$15:$M$235=EVENTOS!$C34)*(OFFSET(CÁLCULO!$AI$15:$AI$235,0,I$13))),2),0)</f>
        <v>20834.41</v>
      </c>
      <c r="J34" s="618">
        <f t="array" aca="1" ref="J34" ca="1">IF(AUTOEVENTO="Manual",ROUND(SUMPRODUCT((CÁLCULO!$M$15:$M$235=EVENTOS!$C34)*(OFFSET(CÁLCULO!$AI$15:$AI$235,0,J$13))),2),0)</f>
        <v>20834.41</v>
      </c>
      <c r="K34" s="618">
        <f t="array" aca="1" ref="K34" ca="1">IF(AUTOEVENTO="Manual",ROUND(SUMPRODUCT((CÁLCULO!$M$15:$M$235=EVENTOS!$C34)*(OFFSET(CÁLCULO!$AI$15:$AI$235,0,K$13))),2),0)</f>
        <v>20834.41</v>
      </c>
      <c r="L34" s="618">
        <f t="array" aca="1" ref="L34" ca="1">IF(AUTOEVENTO="Manual",ROUND(SUMPRODUCT((CÁLCULO!$M$15:$M$235=EVENTOS!$C34)*(OFFSET(CÁLCULO!$AI$15:$AI$235,0,L$13))),2),0)</f>
        <v>0</v>
      </c>
      <c r="M34" s="618">
        <f t="array" aca="1" ref="M34" ca="1">IF(AUTOEVENTO="Manual",ROUND(SUMPRODUCT((CÁLCULO!$M$15:$M$235=EVENTOS!$C34)*(OFFSET(CÁLCULO!$AI$15:$AI$235,0,M$13))),2),0)</f>
        <v>0</v>
      </c>
      <c r="N34" s="618">
        <f t="array" aca="1" ref="N34" ca="1">IF(AUTOEVENTO="Manual",ROUND(SUMPRODUCT((CÁLCULO!$M$15:$M$235=EVENTOS!$C34)*(OFFSET(CÁLCULO!$AI$15:$AI$235,0,N$13))),2),0)</f>
        <v>0</v>
      </c>
      <c r="O34" s="618">
        <f t="array" aca="1" ref="O34" ca="1">IF(AUTOEVENTO="Manual",ROUND(SUMPRODUCT((CÁLCULO!$M$15:$M$235=EVENTOS!$C34)*(OFFSET(CÁLCULO!$AI$15:$AI$235,0,O$13))),2),0)</f>
        <v>0</v>
      </c>
      <c r="P34" s="618">
        <f t="array" aca="1" ref="P34" ca="1">IF(AUTOEVENTO="Manual",ROUND(SUMPRODUCT((CÁLCULO!$M$15:$M$235=EVENTOS!$C34)*(OFFSET(CÁLCULO!$AI$15:$AI$235,0,P$13))),2),0)</f>
        <v>0</v>
      </c>
      <c r="Q34" s="618">
        <f t="array" aca="1" ref="Q34" ca="1">IF(AUTOEVENTO="Manual",ROUND(SUMPRODUCT((CÁLCULO!$M$15:$M$235=EVENTOS!$C34)*(OFFSET(CÁLCULO!$AI$15:$AI$235,0,Q$13))),2),0)</f>
        <v>0</v>
      </c>
      <c r="R34" s="618">
        <f t="array" aca="1" ref="R34" ca="1">IF(AUTOEVENTO="Manual",ROUND(SUMPRODUCT((CÁLCULO!$M$15:$M$235=EVENTOS!$C34)*(OFFSET(CÁLCULO!$AI$15:$AI$235,0,R$13))),2),0)</f>
        <v>0</v>
      </c>
      <c r="S34" s="618">
        <f t="array" aca="1" ref="S34" ca="1">IF(AUTOEVENTO="Manual",ROUND(SUMPRODUCT((CÁLCULO!$M$15:$M$235=EVENTOS!$C34)*(OFFSET(CÁLCULO!$AI$15:$AI$235,0,S$13))),2),0)</f>
        <v>0</v>
      </c>
      <c r="T34" s="618">
        <f t="array" aca="1" ref="T34" ca="1">IF(AUTOEVENTO="Manual",ROUND(SUMPRODUCT((CÁLCULO!$M$15:$M$235=EVENTOS!$C34)*(OFFSET(CÁLCULO!$AI$15:$AI$235,0,T$13))),2),0)</f>
        <v>0</v>
      </c>
      <c r="U34" s="618">
        <f t="array" aca="1" ref="U34" ca="1">IF(AUTOEVENTO="Manual",ROUND(SUMPRODUCT((CÁLCULO!$M$15:$M$235=EVENTOS!$C34)*(OFFSET(CÁLCULO!$AI$15:$AI$235,0,U$13))),2),0)</f>
        <v>0</v>
      </c>
      <c r="V34" s="618">
        <f t="array" aca="1" ref="V34" ca="1">IF(AUTOEVENTO="Manual",ROUND(SUMPRODUCT((CÁLCULO!$M$15:$M$235=EVENTOS!$C34)*(OFFSET(CÁLCULO!$AI$15:$AI$235,0,V$13))),2),0)</f>
        <v>0</v>
      </c>
      <c r="W34" s="618">
        <f t="array" aca="1" ref="W34" ca="1">IF(AUTOEVENTO="Manual",ROUND(SUMPRODUCT((CÁLCULO!$M$15:$M$235=EVENTOS!$C34)*(OFFSET(CÁLCULO!$AI$15:$AI$235,0,W$13))),2),0)</f>
        <v>0</v>
      </c>
      <c r="X34" s="618">
        <f t="array" aca="1" ref="X34" ca="1">IF(AUTOEVENTO="Manual",ROUND(SUMPRODUCT((CÁLCULO!$M$15:$M$235=EVENTOS!$C34)*(OFFSET(CÁLCULO!$AI$15:$AI$235,0,X$13))),2),0)</f>
        <v>0</v>
      </c>
      <c r="Y34" s="618">
        <f t="array" aca="1" ref="Y34" ca="1">IF(AUTOEVENTO="Manual",ROUND(SUMPRODUCT((CÁLCULO!$M$15:$M$235=EVENTOS!$C34)*(OFFSET(CÁLCULO!$AI$15:$AI$235,0,Y$13))),2),0)</f>
        <v>0</v>
      </c>
    </row>
    <row r="35" spans="1:25" s="696" customFormat="1" x14ac:dyDescent="0.2">
      <c r="A35" s="505" t="str">
        <f t="shared" si="2"/>
        <v>F</v>
      </c>
      <c r="B35" s="696" t="str">
        <f t="shared" ca="1" si="3"/>
        <v>20. REVESTIMENTOS EXTERNOS DE PISO</v>
      </c>
      <c r="C35" s="182">
        <f t="array" aca="1" ref="C35" ca="1">IF(OR(ROW(C35)=ROW(EVENTOS.firstrow)+1,AND(OFFSET(C35,-1,0)&lt;&gt;" ",OFFSET(C35,-1,1)&lt;&gt;"")),OFFSET(C35,-1,0)+1," ")</f>
        <v>20</v>
      </c>
      <c r="D35" s="495" t="s">
        <v>1403</v>
      </c>
      <c r="E35" s="618">
        <f t="array" aca="1" ref="E35" ca="1">IF(AUTOEVENTO="Manual",ROUND(SUMPRODUCT((CÁLCULO!$M$15:$M$235=EVENTOS!$C35)*(OFFSET(CÁLCULO!$AI$15:$AI$235,0,E$13))),2),0)</f>
        <v>5591.29</v>
      </c>
      <c r="F35" s="183">
        <f ca="1">IF(AUTOEVENTO="Manual",ROUND(SUMPRODUCT((CÁLCULO!$M$15:$M$235=EVENTOS!$C35)*(OFFSET(CÁLCULO!$AI$15,0,1):OFFSET(CÁLCULO!$BB$235,0,-1))),2),0)</f>
        <v>22365.16</v>
      </c>
      <c r="G35" s="619" t="str">
        <f t="shared" ca="1" si="4"/>
        <v/>
      </c>
      <c r="H35" s="618">
        <f t="array" aca="1" ref="H35" ca="1">IF(AUTOEVENTO="Manual",ROUND(SUMPRODUCT((CÁLCULO!$M$15:$M$235=EVENTOS!$C35)*(OFFSET(CÁLCULO!$AI$15:$AI$235,0,H$13))),2),0)</f>
        <v>5591.29</v>
      </c>
      <c r="I35" s="618">
        <f t="array" aca="1" ref="I35" ca="1">IF(AUTOEVENTO="Manual",ROUND(SUMPRODUCT((CÁLCULO!$M$15:$M$235=EVENTOS!$C35)*(OFFSET(CÁLCULO!$AI$15:$AI$235,0,I$13))),2),0)</f>
        <v>5591.29</v>
      </c>
      <c r="J35" s="618">
        <f t="array" aca="1" ref="J35" ca="1">IF(AUTOEVENTO="Manual",ROUND(SUMPRODUCT((CÁLCULO!$M$15:$M$235=EVENTOS!$C35)*(OFFSET(CÁLCULO!$AI$15:$AI$235,0,J$13))),2),0)</f>
        <v>5591.29</v>
      </c>
      <c r="K35" s="618">
        <f t="array" aca="1" ref="K35" ca="1">IF(AUTOEVENTO="Manual",ROUND(SUMPRODUCT((CÁLCULO!$M$15:$M$235=EVENTOS!$C35)*(OFFSET(CÁLCULO!$AI$15:$AI$235,0,K$13))),2),0)</f>
        <v>5591.29</v>
      </c>
      <c r="L35" s="618">
        <f t="array" aca="1" ref="L35" ca="1">IF(AUTOEVENTO="Manual",ROUND(SUMPRODUCT((CÁLCULO!$M$15:$M$235=EVENTOS!$C35)*(OFFSET(CÁLCULO!$AI$15:$AI$235,0,L$13))),2),0)</f>
        <v>0</v>
      </c>
      <c r="M35" s="618">
        <f t="array" aca="1" ref="M35" ca="1">IF(AUTOEVENTO="Manual",ROUND(SUMPRODUCT((CÁLCULO!$M$15:$M$235=EVENTOS!$C35)*(OFFSET(CÁLCULO!$AI$15:$AI$235,0,M$13))),2),0)</f>
        <v>0</v>
      </c>
      <c r="N35" s="618">
        <f t="array" aca="1" ref="N35" ca="1">IF(AUTOEVENTO="Manual",ROUND(SUMPRODUCT((CÁLCULO!$M$15:$M$235=EVENTOS!$C35)*(OFFSET(CÁLCULO!$AI$15:$AI$235,0,N$13))),2),0)</f>
        <v>0</v>
      </c>
      <c r="O35" s="618">
        <f t="array" aca="1" ref="O35" ca="1">IF(AUTOEVENTO="Manual",ROUND(SUMPRODUCT((CÁLCULO!$M$15:$M$235=EVENTOS!$C35)*(OFFSET(CÁLCULO!$AI$15:$AI$235,0,O$13))),2),0)</f>
        <v>0</v>
      </c>
      <c r="P35" s="618">
        <f t="array" aca="1" ref="P35" ca="1">IF(AUTOEVENTO="Manual",ROUND(SUMPRODUCT((CÁLCULO!$M$15:$M$235=EVENTOS!$C35)*(OFFSET(CÁLCULO!$AI$15:$AI$235,0,P$13))),2),0)</f>
        <v>0</v>
      </c>
      <c r="Q35" s="618">
        <f t="array" aca="1" ref="Q35" ca="1">IF(AUTOEVENTO="Manual",ROUND(SUMPRODUCT((CÁLCULO!$M$15:$M$235=EVENTOS!$C35)*(OFFSET(CÁLCULO!$AI$15:$AI$235,0,Q$13))),2),0)</f>
        <v>0</v>
      </c>
      <c r="R35" s="618">
        <f t="array" aca="1" ref="R35" ca="1">IF(AUTOEVENTO="Manual",ROUND(SUMPRODUCT((CÁLCULO!$M$15:$M$235=EVENTOS!$C35)*(OFFSET(CÁLCULO!$AI$15:$AI$235,0,R$13))),2),0)</f>
        <v>0</v>
      </c>
      <c r="S35" s="618">
        <f t="array" aca="1" ref="S35" ca="1">IF(AUTOEVENTO="Manual",ROUND(SUMPRODUCT((CÁLCULO!$M$15:$M$235=EVENTOS!$C35)*(OFFSET(CÁLCULO!$AI$15:$AI$235,0,S$13))),2),0)</f>
        <v>0</v>
      </c>
      <c r="T35" s="618">
        <f t="array" aca="1" ref="T35" ca="1">IF(AUTOEVENTO="Manual",ROUND(SUMPRODUCT((CÁLCULO!$M$15:$M$235=EVENTOS!$C35)*(OFFSET(CÁLCULO!$AI$15:$AI$235,0,T$13))),2),0)</f>
        <v>0</v>
      </c>
      <c r="U35" s="618">
        <f t="array" aca="1" ref="U35" ca="1">IF(AUTOEVENTO="Manual",ROUND(SUMPRODUCT((CÁLCULO!$M$15:$M$235=EVENTOS!$C35)*(OFFSET(CÁLCULO!$AI$15:$AI$235,0,U$13))),2),0)</f>
        <v>0</v>
      </c>
      <c r="V35" s="618">
        <f t="array" aca="1" ref="V35" ca="1">IF(AUTOEVENTO="Manual",ROUND(SUMPRODUCT((CÁLCULO!$M$15:$M$235=EVENTOS!$C35)*(OFFSET(CÁLCULO!$AI$15:$AI$235,0,V$13))),2),0)</f>
        <v>0</v>
      </c>
      <c r="W35" s="618">
        <f t="array" aca="1" ref="W35" ca="1">IF(AUTOEVENTO="Manual",ROUND(SUMPRODUCT((CÁLCULO!$M$15:$M$235=EVENTOS!$C35)*(OFFSET(CÁLCULO!$AI$15:$AI$235,0,W$13))),2),0)</f>
        <v>0</v>
      </c>
      <c r="X35" s="618">
        <f t="array" aca="1" ref="X35" ca="1">IF(AUTOEVENTO="Manual",ROUND(SUMPRODUCT((CÁLCULO!$M$15:$M$235=EVENTOS!$C35)*(OFFSET(CÁLCULO!$AI$15:$AI$235,0,X$13))),2),0)</f>
        <v>0</v>
      </c>
      <c r="Y35" s="618">
        <f t="array" aca="1" ref="Y35" ca="1">IF(AUTOEVENTO="Manual",ROUND(SUMPRODUCT((CÁLCULO!$M$15:$M$235=EVENTOS!$C35)*(OFFSET(CÁLCULO!$AI$15:$AI$235,0,Y$13))),2),0)</f>
        <v>0</v>
      </c>
    </row>
    <row r="36" spans="1:25" s="696" customFormat="1" x14ac:dyDescent="0.2">
      <c r="A36" s="505" t="str">
        <f t="shared" si="2"/>
        <v>F</v>
      </c>
      <c r="B36" s="696" t="str">
        <f t="shared" ca="1" si="3"/>
        <v>21. IMPERMEABILIZAÇÕES DE PISOS</v>
      </c>
      <c r="C36" s="182">
        <f t="array" aca="1" ref="C36" ca="1">IF(OR(ROW(C36)=ROW(EVENTOS.firstrow)+1,AND(OFFSET(C36,-1,0)&lt;&gt;" ",OFFSET(C36,-1,1)&lt;&gt;"")),OFFSET(C36,-1,0)+1," ")</f>
        <v>21</v>
      </c>
      <c r="D36" s="495" t="s">
        <v>1404</v>
      </c>
      <c r="E36" s="618">
        <f t="array" aca="1" ref="E36" ca="1">IF(AUTOEVENTO="Manual",ROUND(SUMPRODUCT((CÁLCULO!$M$15:$M$235=EVENTOS!$C36)*(OFFSET(CÁLCULO!$AI$15:$AI$235,0,E$13))),2),0)</f>
        <v>20272.36</v>
      </c>
      <c r="F36" s="183">
        <f ca="1">IF(AUTOEVENTO="Manual",ROUND(SUMPRODUCT((CÁLCULO!$M$15:$M$235=EVENTOS!$C36)*(OFFSET(CÁLCULO!$AI$15,0,1):OFFSET(CÁLCULO!$BB$235,0,-1))),2),0)</f>
        <v>81089.440000000002</v>
      </c>
      <c r="G36" s="619" t="str">
        <f t="shared" ca="1" si="4"/>
        <v/>
      </c>
      <c r="H36" s="618">
        <f t="array" aca="1" ref="H36" ca="1">IF(AUTOEVENTO="Manual",ROUND(SUMPRODUCT((CÁLCULO!$M$15:$M$235=EVENTOS!$C36)*(OFFSET(CÁLCULO!$AI$15:$AI$235,0,H$13))),2),0)</f>
        <v>20272.36</v>
      </c>
      <c r="I36" s="618">
        <f t="array" aca="1" ref="I36" ca="1">IF(AUTOEVENTO="Manual",ROUND(SUMPRODUCT((CÁLCULO!$M$15:$M$235=EVENTOS!$C36)*(OFFSET(CÁLCULO!$AI$15:$AI$235,0,I$13))),2),0)</f>
        <v>20272.36</v>
      </c>
      <c r="J36" s="618">
        <f t="array" aca="1" ref="J36" ca="1">IF(AUTOEVENTO="Manual",ROUND(SUMPRODUCT((CÁLCULO!$M$15:$M$235=EVENTOS!$C36)*(OFFSET(CÁLCULO!$AI$15:$AI$235,0,J$13))),2),0)</f>
        <v>20272.36</v>
      </c>
      <c r="K36" s="618">
        <f t="array" aca="1" ref="K36" ca="1">IF(AUTOEVENTO="Manual",ROUND(SUMPRODUCT((CÁLCULO!$M$15:$M$235=EVENTOS!$C36)*(OFFSET(CÁLCULO!$AI$15:$AI$235,0,K$13))),2),0)</f>
        <v>20272.36</v>
      </c>
      <c r="L36" s="618">
        <f t="array" aca="1" ref="L36" ca="1">IF(AUTOEVENTO="Manual",ROUND(SUMPRODUCT((CÁLCULO!$M$15:$M$235=EVENTOS!$C36)*(OFFSET(CÁLCULO!$AI$15:$AI$235,0,L$13))),2),0)</f>
        <v>0</v>
      </c>
      <c r="M36" s="618">
        <f t="array" aca="1" ref="M36" ca="1">IF(AUTOEVENTO="Manual",ROUND(SUMPRODUCT((CÁLCULO!$M$15:$M$235=EVENTOS!$C36)*(OFFSET(CÁLCULO!$AI$15:$AI$235,0,M$13))),2),0)</f>
        <v>0</v>
      </c>
      <c r="N36" s="618">
        <f t="array" aca="1" ref="N36" ca="1">IF(AUTOEVENTO="Manual",ROUND(SUMPRODUCT((CÁLCULO!$M$15:$M$235=EVENTOS!$C36)*(OFFSET(CÁLCULO!$AI$15:$AI$235,0,N$13))),2),0)</f>
        <v>0</v>
      </c>
      <c r="O36" s="618">
        <f t="array" aca="1" ref="O36" ca="1">IF(AUTOEVENTO="Manual",ROUND(SUMPRODUCT((CÁLCULO!$M$15:$M$235=EVENTOS!$C36)*(OFFSET(CÁLCULO!$AI$15:$AI$235,0,O$13))),2),0)</f>
        <v>0</v>
      </c>
      <c r="P36" s="618">
        <f t="array" aca="1" ref="P36" ca="1">IF(AUTOEVENTO="Manual",ROUND(SUMPRODUCT((CÁLCULO!$M$15:$M$235=EVENTOS!$C36)*(OFFSET(CÁLCULO!$AI$15:$AI$235,0,P$13))),2),0)</f>
        <v>0</v>
      </c>
      <c r="Q36" s="618">
        <f t="array" aca="1" ref="Q36" ca="1">IF(AUTOEVENTO="Manual",ROUND(SUMPRODUCT((CÁLCULO!$M$15:$M$235=EVENTOS!$C36)*(OFFSET(CÁLCULO!$AI$15:$AI$235,0,Q$13))),2),0)</f>
        <v>0</v>
      </c>
      <c r="R36" s="618">
        <f t="array" aca="1" ref="R36" ca="1">IF(AUTOEVENTO="Manual",ROUND(SUMPRODUCT((CÁLCULO!$M$15:$M$235=EVENTOS!$C36)*(OFFSET(CÁLCULO!$AI$15:$AI$235,0,R$13))),2),0)</f>
        <v>0</v>
      </c>
      <c r="S36" s="618">
        <f t="array" aca="1" ref="S36" ca="1">IF(AUTOEVENTO="Manual",ROUND(SUMPRODUCT((CÁLCULO!$M$15:$M$235=EVENTOS!$C36)*(OFFSET(CÁLCULO!$AI$15:$AI$235,0,S$13))),2),0)</f>
        <v>0</v>
      </c>
      <c r="T36" s="618">
        <f t="array" aca="1" ref="T36" ca="1">IF(AUTOEVENTO="Manual",ROUND(SUMPRODUCT((CÁLCULO!$M$15:$M$235=EVENTOS!$C36)*(OFFSET(CÁLCULO!$AI$15:$AI$235,0,T$13))),2),0)</f>
        <v>0</v>
      </c>
      <c r="U36" s="618">
        <f t="array" aca="1" ref="U36" ca="1">IF(AUTOEVENTO="Manual",ROUND(SUMPRODUCT((CÁLCULO!$M$15:$M$235=EVENTOS!$C36)*(OFFSET(CÁLCULO!$AI$15:$AI$235,0,U$13))),2),0)</f>
        <v>0</v>
      </c>
      <c r="V36" s="618">
        <f t="array" aca="1" ref="V36" ca="1">IF(AUTOEVENTO="Manual",ROUND(SUMPRODUCT((CÁLCULO!$M$15:$M$235=EVENTOS!$C36)*(OFFSET(CÁLCULO!$AI$15:$AI$235,0,V$13))),2),0)</f>
        <v>0</v>
      </c>
      <c r="W36" s="618">
        <f t="array" aca="1" ref="W36" ca="1">IF(AUTOEVENTO="Manual",ROUND(SUMPRODUCT((CÁLCULO!$M$15:$M$235=EVENTOS!$C36)*(OFFSET(CÁLCULO!$AI$15:$AI$235,0,W$13))),2),0)</f>
        <v>0</v>
      </c>
      <c r="X36" s="618">
        <f t="array" aca="1" ref="X36" ca="1">IF(AUTOEVENTO="Manual",ROUND(SUMPRODUCT((CÁLCULO!$M$15:$M$235=EVENTOS!$C36)*(OFFSET(CÁLCULO!$AI$15:$AI$235,0,X$13))),2),0)</f>
        <v>0</v>
      </c>
      <c r="Y36" s="618">
        <f t="array" aca="1" ref="Y36" ca="1">IF(AUTOEVENTO="Manual",ROUND(SUMPRODUCT((CÁLCULO!$M$15:$M$235=EVENTOS!$C36)*(OFFSET(CÁLCULO!$AI$15:$AI$235,0,Y$13))),2),0)</f>
        <v>0</v>
      </c>
    </row>
    <row r="37" spans="1:25" s="696" customFormat="1" x14ac:dyDescent="0.2">
      <c r="A37" s="505" t="str">
        <f t="shared" si="2"/>
        <v>F</v>
      </c>
      <c r="B37" s="696" t="str">
        <f t="shared" ca="1" si="3"/>
        <v>22. PINTURA DD PAREDES INTERNAS</v>
      </c>
      <c r="C37" s="182">
        <f t="array" aca="1" ref="C37" ca="1">IF(OR(ROW(C37)=ROW(EVENTOS.firstrow)+1,AND(OFFSET(C37,-1,0)&lt;&gt;" ",OFFSET(C37,-1,1)&lt;&gt;"")),OFFSET(C37,-1,0)+1," ")</f>
        <v>22</v>
      </c>
      <c r="D37" s="495" t="s">
        <v>1410</v>
      </c>
      <c r="E37" s="618">
        <f t="array" aca="1" ref="E37" ca="1">IF(AUTOEVENTO="Manual",ROUND(SUMPRODUCT((CÁLCULO!$M$15:$M$235=EVENTOS!$C37)*(OFFSET(CÁLCULO!$AI$15:$AI$235,0,E$13))),2),0)</f>
        <v>10140.530000000001</v>
      </c>
      <c r="F37" s="183">
        <f ca="1">IF(AUTOEVENTO="Manual",ROUND(SUMPRODUCT((CÁLCULO!$M$15:$M$235=EVENTOS!$C37)*(OFFSET(CÁLCULO!$AI$15,0,1):OFFSET(CÁLCULO!$BB$235,0,-1))),2),0)</f>
        <v>40562.120000000003</v>
      </c>
      <c r="G37" s="619" t="str">
        <f t="shared" ca="1" si="4"/>
        <v/>
      </c>
      <c r="H37" s="618">
        <f t="array" aca="1" ref="H37" ca="1">IF(AUTOEVENTO="Manual",ROUND(SUMPRODUCT((CÁLCULO!$M$15:$M$235=EVENTOS!$C37)*(OFFSET(CÁLCULO!$AI$15:$AI$235,0,H$13))),2),0)</f>
        <v>10140.530000000001</v>
      </c>
      <c r="I37" s="618">
        <f t="array" aca="1" ref="I37" ca="1">IF(AUTOEVENTO="Manual",ROUND(SUMPRODUCT((CÁLCULO!$M$15:$M$235=EVENTOS!$C37)*(OFFSET(CÁLCULO!$AI$15:$AI$235,0,I$13))),2),0)</f>
        <v>10140.530000000001</v>
      </c>
      <c r="J37" s="618">
        <f t="array" aca="1" ref="J37" ca="1">IF(AUTOEVENTO="Manual",ROUND(SUMPRODUCT((CÁLCULO!$M$15:$M$235=EVENTOS!$C37)*(OFFSET(CÁLCULO!$AI$15:$AI$235,0,J$13))),2),0)</f>
        <v>10140.530000000001</v>
      </c>
      <c r="K37" s="618">
        <f t="array" aca="1" ref="K37" ca="1">IF(AUTOEVENTO="Manual",ROUND(SUMPRODUCT((CÁLCULO!$M$15:$M$235=EVENTOS!$C37)*(OFFSET(CÁLCULO!$AI$15:$AI$235,0,K$13))),2),0)</f>
        <v>10140.530000000001</v>
      </c>
      <c r="L37" s="618">
        <f t="array" aca="1" ref="L37" ca="1">IF(AUTOEVENTO="Manual",ROUND(SUMPRODUCT((CÁLCULO!$M$15:$M$235=EVENTOS!$C37)*(OFFSET(CÁLCULO!$AI$15:$AI$235,0,L$13))),2),0)</f>
        <v>0</v>
      </c>
      <c r="M37" s="618">
        <f t="array" aca="1" ref="M37" ca="1">IF(AUTOEVENTO="Manual",ROUND(SUMPRODUCT((CÁLCULO!$M$15:$M$235=EVENTOS!$C37)*(OFFSET(CÁLCULO!$AI$15:$AI$235,0,M$13))),2),0)</f>
        <v>0</v>
      </c>
      <c r="N37" s="618">
        <f t="array" aca="1" ref="N37" ca="1">IF(AUTOEVENTO="Manual",ROUND(SUMPRODUCT((CÁLCULO!$M$15:$M$235=EVENTOS!$C37)*(OFFSET(CÁLCULO!$AI$15:$AI$235,0,N$13))),2),0)</f>
        <v>0</v>
      </c>
      <c r="O37" s="618">
        <f t="array" aca="1" ref="O37" ca="1">IF(AUTOEVENTO="Manual",ROUND(SUMPRODUCT((CÁLCULO!$M$15:$M$235=EVENTOS!$C37)*(OFFSET(CÁLCULO!$AI$15:$AI$235,0,O$13))),2),0)</f>
        <v>0</v>
      </c>
      <c r="P37" s="618">
        <f t="array" aca="1" ref="P37" ca="1">IF(AUTOEVENTO="Manual",ROUND(SUMPRODUCT((CÁLCULO!$M$15:$M$235=EVENTOS!$C37)*(OFFSET(CÁLCULO!$AI$15:$AI$235,0,P$13))),2),0)</f>
        <v>0</v>
      </c>
      <c r="Q37" s="618">
        <f t="array" aca="1" ref="Q37" ca="1">IF(AUTOEVENTO="Manual",ROUND(SUMPRODUCT((CÁLCULO!$M$15:$M$235=EVENTOS!$C37)*(OFFSET(CÁLCULO!$AI$15:$AI$235,0,Q$13))),2),0)</f>
        <v>0</v>
      </c>
      <c r="R37" s="618">
        <f t="array" aca="1" ref="R37" ca="1">IF(AUTOEVENTO="Manual",ROUND(SUMPRODUCT((CÁLCULO!$M$15:$M$235=EVENTOS!$C37)*(OFFSET(CÁLCULO!$AI$15:$AI$235,0,R$13))),2),0)</f>
        <v>0</v>
      </c>
      <c r="S37" s="618">
        <f t="array" aca="1" ref="S37" ca="1">IF(AUTOEVENTO="Manual",ROUND(SUMPRODUCT((CÁLCULO!$M$15:$M$235=EVENTOS!$C37)*(OFFSET(CÁLCULO!$AI$15:$AI$235,0,S$13))),2),0)</f>
        <v>0</v>
      </c>
      <c r="T37" s="618">
        <f t="array" aca="1" ref="T37" ca="1">IF(AUTOEVENTO="Manual",ROUND(SUMPRODUCT((CÁLCULO!$M$15:$M$235=EVENTOS!$C37)*(OFFSET(CÁLCULO!$AI$15:$AI$235,0,T$13))),2),0)</f>
        <v>0</v>
      </c>
      <c r="U37" s="618">
        <f t="array" aca="1" ref="U37" ca="1">IF(AUTOEVENTO="Manual",ROUND(SUMPRODUCT((CÁLCULO!$M$15:$M$235=EVENTOS!$C37)*(OFFSET(CÁLCULO!$AI$15:$AI$235,0,U$13))),2),0)</f>
        <v>0</v>
      </c>
      <c r="V37" s="618">
        <f t="array" aca="1" ref="V37" ca="1">IF(AUTOEVENTO="Manual",ROUND(SUMPRODUCT((CÁLCULO!$M$15:$M$235=EVENTOS!$C37)*(OFFSET(CÁLCULO!$AI$15:$AI$235,0,V$13))),2),0)</f>
        <v>0</v>
      </c>
      <c r="W37" s="618">
        <f t="array" aca="1" ref="W37" ca="1">IF(AUTOEVENTO="Manual",ROUND(SUMPRODUCT((CÁLCULO!$M$15:$M$235=EVENTOS!$C37)*(OFFSET(CÁLCULO!$AI$15:$AI$235,0,W$13))),2),0)</f>
        <v>0</v>
      </c>
      <c r="X37" s="618">
        <f t="array" aca="1" ref="X37" ca="1">IF(AUTOEVENTO="Manual",ROUND(SUMPRODUCT((CÁLCULO!$M$15:$M$235=EVENTOS!$C37)*(OFFSET(CÁLCULO!$AI$15:$AI$235,0,X$13))),2),0)</f>
        <v>0</v>
      </c>
      <c r="Y37" s="618">
        <f t="array" aca="1" ref="Y37" ca="1">IF(AUTOEVENTO="Manual",ROUND(SUMPRODUCT((CÁLCULO!$M$15:$M$235=EVENTOS!$C37)*(OFFSET(CÁLCULO!$AI$15:$AI$235,0,Y$13))),2),0)</f>
        <v>0</v>
      </c>
    </row>
    <row r="38" spans="1:25" s="696" customFormat="1" x14ac:dyDescent="0.2">
      <c r="A38" s="505" t="str">
        <f t="shared" si="2"/>
        <v>F</v>
      </c>
      <c r="B38" s="696" t="str">
        <f t="shared" ca="1" si="3"/>
        <v>23. PINTURA DD TETO INTERNAS</v>
      </c>
      <c r="C38" s="182">
        <f t="array" aca="1" ref="C38" ca="1">IF(OR(ROW(C38)=ROW(EVENTOS.firstrow)+1,AND(OFFSET(C38,-1,0)&lt;&gt;" ",OFFSET(C38,-1,1)&lt;&gt;"")),OFFSET(C38,-1,0)+1," ")</f>
        <v>23</v>
      </c>
      <c r="D38" s="495" t="s">
        <v>1411</v>
      </c>
      <c r="E38" s="618">
        <f t="array" aca="1" ref="E38" ca="1">IF(AUTOEVENTO="Manual",ROUND(SUMPRODUCT((CÁLCULO!$M$15:$M$235=EVENTOS!$C38)*(OFFSET(CÁLCULO!$AI$15:$AI$235,0,E$13))),2),0)</f>
        <v>490.84</v>
      </c>
      <c r="F38" s="183">
        <f ca="1">IF(AUTOEVENTO="Manual",ROUND(SUMPRODUCT((CÁLCULO!$M$15:$M$235=EVENTOS!$C38)*(OFFSET(CÁLCULO!$AI$15,0,1):OFFSET(CÁLCULO!$BB$235,0,-1))),2),0)</f>
        <v>1963.36</v>
      </c>
      <c r="G38" s="619" t="str">
        <f t="shared" ca="1" si="4"/>
        <v/>
      </c>
      <c r="H38" s="618">
        <f t="array" aca="1" ref="H38" ca="1">IF(AUTOEVENTO="Manual",ROUND(SUMPRODUCT((CÁLCULO!$M$15:$M$235=EVENTOS!$C38)*(OFFSET(CÁLCULO!$AI$15:$AI$235,0,H$13))),2),0)</f>
        <v>490.84</v>
      </c>
      <c r="I38" s="618">
        <f t="array" aca="1" ref="I38" ca="1">IF(AUTOEVENTO="Manual",ROUND(SUMPRODUCT((CÁLCULO!$M$15:$M$235=EVENTOS!$C38)*(OFFSET(CÁLCULO!$AI$15:$AI$235,0,I$13))),2),0)</f>
        <v>490.84</v>
      </c>
      <c r="J38" s="618">
        <f t="array" aca="1" ref="J38" ca="1">IF(AUTOEVENTO="Manual",ROUND(SUMPRODUCT((CÁLCULO!$M$15:$M$235=EVENTOS!$C38)*(OFFSET(CÁLCULO!$AI$15:$AI$235,0,J$13))),2),0)</f>
        <v>490.84</v>
      </c>
      <c r="K38" s="618">
        <f t="array" aca="1" ref="K38" ca="1">IF(AUTOEVENTO="Manual",ROUND(SUMPRODUCT((CÁLCULO!$M$15:$M$235=EVENTOS!$C38)*(OFFSET(CÁLCULO!$AI$15:$AI$235,0,K$13))),2),0)</f>
        <v>490.84</v>
      </c>
      <c r="L38" s="618">
        <f t="array" aca="1" ref="L38" ca="1">IF(AUTOEVENTO="Manual",ROUND(SUMPRODUCT((CÁLCULO!$M$15:$M$235=EVENTOS!$C38)*(OFFSET(CÁLCULO!$AI$15:$AI$235,0,L$13))),2),0)</f>
        <v>0</v>
      </c>
      <c r="M38" s="618">
        <f t="array" aca="1" ref="M38" ca="1">IF(AUTOEVENTO="Manual",ROUND(SUMPRODUCT((CÁLCULO!$M$15:$M$235=EVENTOS!$C38)*(OFFSET(CÁLCULO!$AI$15:$AI$235,0,M$13))),2),0)</f>
        <v>0</v>
      </c>
      <c r="N38" s="618">
        <f t="array" aca="1" ref="N38" ca="1">IF(AUTOEVENTO="Manual",ROUND(SUMPRODUCT((CÁLCULO!$M$15:$M$235=EVENTOS!$C38)*(OFFSET(CÁLCULO!$AI$15:$AI$235,0,N$13))),2),0)</f>
        <v>0</v>
      </c>
      <c r="O38" s="618">
        <f t="array" aca="1" ref="O38" ca="1">IF(AUTOEVENTO="Manual",ROUND(SUMPRODUCT((CÁLCULO!$M$15:$M$235=EVENTOS!$C38)*(OFFSET(CÁLCULO!$AI$15:$AI$235,0,O$13))),2),0)</f>
        <v>0</v>
      </c>
      <c r="P38" s="618">
        <f t="array" aca="1" ref="P38" ca="1">IF(AUTOEVENTO="Manual",ROUND(SUMPRODUCT((CÁLCULO!$M$15:$M$235=EVENTOS!$C38)*(OFFSET(CÁLCULO!$AI$15:$AI$235,0,P$13))),2),0)</f>
        <v>0</v>
      </c>
      <c r="Q38" s="618">
        <f t="array" aca="1" ref="Q38" ca="1">IF(AUTOEVENTO="Manual",ROUND(SUMPRODUCT((CÁLCULO!$M$15:$M$235=EVENTOS!$C38)*(OFFSET(CÁLCULO!$AI$15:$AI$235,0,Q$13))),2),0)</f>
        <v>0</v>
      </c>
      <c r="R38" s="618">
        <f t="array" aca="1" ref="R38" ca="1">IF(AUTOEVENTO="Manual",ROUND(SUMPRODUCT((CÁLCULO!$M$15:$M$235=EVENTOS!$C38)*(OFFSET(CÁLCULO!$AI$15:$AI$235,0,R$13))),2),0)</f>
        <v>0</v>
      </c>
      <c r="S38" s="618">
        <f t="array" aca="1" ref="S38" ca="1">IF(AUTOEVENTO="Manual",ROUND(SUMPRODUCT((CÁLCULO!$M$15:$M$235=EVENTOS!$C38)*(OFFSET(CÁLCULO!$AI$15:$AI$235,0,S$13))),2),0)</f>
        <v>0</v>
      </c>
      <c r="T38" s="618">
        <f t="array" aca="1" ref="T38" ca="1">IF(AUTOEVENTO="Manual",ROUND(SUMPRODUCT((CÁLCULO!$M$15:$M$235=EVENTOS!$C38)*(OFFSET(CÁLCULO!$AI$15:$AI$235,0,T$13))),2),0)</f>
        <v>0</v>
      </c>
      <c r="U38" s="618">
        <f t="array" aca="1" ref="U38" ca="1">IF(AUTOEVENTO="Manual",ROUND(SUMPRODUCT((CÁLCULO!$M$15:$M$235=EVENTOS!$C38)*(OFFSET(CÁLCULO!$AI$15:$AI$235,0,U$13))),2),0)</f>
        <v>0</v>
      </c>
      <c r="V38" s="618">
        <f t="array" aca="1" ref="V38" ca="1">IF(AUTOEVENTO="Manual",ROUND(SUMPRODUCT((CÁLCULO!$M$15:$M$235=EVENTOS!$C38)*(OFFSET(CÁLCULO!$AI$15:$AI$235,0,V$13))),2),0)</f>
        <v>0</v>
      </c>
      <c r="W38" s="618">
        <f t="array" aca="1" ref="W38" ca="1">IF(AUTOEVENTO="Manual",ROUND(SUMPRODUCT((CÁLCULO!$M$15:$M$235=EVENTOS!$C38)*(OFFSET(CÁLCULO!$AI$15:$AI$235,0,W$13))),2),0)</f>
        <v>0</v>
      </c>
      <c r="X38" s="618">
        <f t="array" aca="1" ref="X38" ca="1">IF(AUTOEVENTO="Manual",ROUND(SUMPRODUCT((CÁLCULO!$M$15:$M$235=EVENTOS!$C38)*(OFFSET(CÁLCULO!$AI$15:$AI$235,0,X$13))),2),0)</f>
        <v>0</v>
      </c>
      <c r="Y38" s="618">
        <f t="array" aca="1" ref="Y38" ca="1">IF(AUTOEVENTO="Manual",ROUND(SUMPRODUCT((CÁLCULO!$M$15:$M$235=EVENTOS!$C38)*(OFFSET(CÁLCULO!$AI$15:$AI$235,0,Y$13))),2),0)</f>
        <v>0</v>
      </c>
    </row>
    <row r="39" spans="1:25" s="696" customFormat="1" x14ac:dyDescent="0.2">
      <c r="A39" s="505" t="str">
        <f t="shared" si="2"/>
        <v>F</v>
      </c>
      <c r="B39" s="696" t="str">
        <f t="shared" ca="1" si="3"/>
        <v>24. PINTURA DE PAREDES EXTERNAS</v>
      </c>
      <c r="C39" s="182">
        <f t="array" aca="1" ref="C39" ca="1">IF(OR(ROW(C39)=ROW(EVENTOS.firstrow)+1,AND(OFFSET(C39,-1,0)&lt;&gt;" ",OFFSET(C39,-1,1)&lt;&gt;"")),OFFSET(C39,-1,0)+1," ")</f>
        <v>24</v>
      </c>
      <c r="D39" s="495" t="s">
        <v>1412</v>
      </c>
      <c r="E39" s="618">
        <f t="array" aca="1" ref="E39" ca="1">IF(AUTOEVENTO="Manual",ROUND(SUMPRODUCT((CÁLCULO!$M$15:$M$235=EVENTOS!$C39)*(OFFSET(CÁLCULO!$AI$15:$AI$235,0,E$13))),2),0)</f>
        <v>5806.4</v>
      </c>
      <c r="F39" s="183">
        <f ca="1">IF(AUTOEVENTO="Manual",ROUND(SUMPRODUCT((CÁLCULO!$M$15:$M$235=EVENTOS!$C39)*(OFFSET(CÁLCULO!$AI$15,0,1):OFFSET(CÁLCULO!$BB$235,0,-1))),2),0)</f>
        <v>23225.599999999999</v>
      </c>
      <c r="G39" s="619" t="str">
        <f t="shared" ca="1" si="4"/>
        <v/>
      </c>
      <c r="H39" s="618">
        <f t="array" aca="1" ref="H39" ca="1">IF(AUTOEVENTO="Manual",ROUND(SUMPRODUCT((CÁLCULO!$M$15:$M$235=EVENTOS!$C39)*(OFFSET(CÁLCULO!$AI$15:$AI$235,0,H$13))),2),0)</f>
        <v>5806.4</v>
      </c>
      <c r="I39" s="618">
        <f t="array" aca="1" ref="I39" ca="1">IF(AUTOEVENTO="Manual",ROUND(SUMPRODUCT((CÁLCULO!$M$15:$M$235=EVENTOS!$C39)*(OFFSET(CÁLCULO!$AI$15:$AI$235,0,I$13))),2),0)</f>
        <v>5806.4</v>
      </c>
      <c r="J39" s="618">
        <f t="array" aca="1" ref="J39" ca="1">IF(AUTOEVENTO="Manual",ROUND(SUMPRODUCT((CÁLCULO!$M$15:$M$235=EVENTOS!$C39)*(OFFSET(CÁLCULO!$AI$15:$AI$235,0,J$13))),2),0)</f>
        <v>5806.4</v>
      </c>
      <c r="K39" s="618">
        <f t="array" aca="1" ref="K39" ca="1">IF(AUTOEVENTO="Manual",ROUND(SUMPRODUCT((CÁLCULO!$M$15:$M$235=EVENTOS!$C39)*(OFFSET(CÁLCULO!$AI$15:$AI$235,0,K$13))),2),0)</f>
        <v>5806.4</v>
      </c>
      <c r="L39" s="618">
        <f t="array" aca="1" ref="L39" ca="1">IF(AUTOEVENTO="Manual",ROUND(SUMPRODUCT((CÁLCULO!$M$15:$M$235=EVENTOS!$C39)*(OFFSET(CÁLCULO!$AI$15:$AI$235,0,L$13))),2),0)</f>
        <v>0</v>
      </c>
      <c r="M39" s="618">
        <f t="array" aca="1" ref="M39" ca="1">IF(AUTOEVENTO="Manual",ROUND(SUMPRODUCT((CÁLCULO!$M$15:$M$235=EVENTOS!$C39)*(OFFSET(CÁLCULO!$AI$15:$AI$235,0,M$13))),2),0)</f>
        <v>0</v>
      </c>
      <c r="N39" s="618">
        <f t="array" aca="1" ref="N39" ca="1">IF(AUTOEVENTO="Manual",ROUND(SUMPRODUCT((CÁLCULO!$M$15:$M$235=EVENTOS!$C39)*(OFFSET(CÁLCULO!$AI$15:$AI$235,0,N$13))),2),0)</f>
        <v>0</v>
      </c>
      <c r="O39" s="618">
        <f t="array" aca="1" ref="O39" ca="1">IF(AUTOEVENTO="Manual",ROUND(SUMPRODUCT((CÁLCULO!$M$15:$M$235=EVENTOS!$C39)*(OFFSET(CÁLCULO!$AI$15:$AI$235,0,O$13))),2),0)</f>
        <v>0</v>
      </c>
      <c r="P39" s="618">
        <f t="array" aca="1" ref="P39" ca="1">IF(AUTOEVENTO="Manual",ROUND(SUMPRODUCT((CÁLCULO!$M$15:$M$235=EVENTOS!$C39)*(OFFSET(CÁLCULO!$AI$15:$AI$235,0,P$13))),2),0)</f>
        <v>0</v>
      </c>
      <c r="Q39" s="618">
        <f t="array" aca="1" ref="Q39" ca="1">IF(AUTOEVENTO="Manual",ROUND(SUMPRODUCT((CÁLCULO!$M$15:$M$235=EVENTOS!$C39)*(OFFSET(CÁLCULO!$AI$15:$AI$235,0,Q$13))),2),0)</f>
        <v>0</v>
      </c>
      <c r="R39" s="618">
        <f t="array" aca="1" ref="R39" ca="1">IF(AUTOEVENTO="Manual",ROUND(SUMPRODUCT((CÁLCULO!$M$15:$M$235=EVENTOS!$C39)*(OFFSET(CÁLCULO!$AI$15:$AI$235,0,R$13))),2),0)</f>
        <v>0</v>
      </c>
      <c r="S39" s="618">
        <f t="array" aca="1" ref="S39" ca="1">IF(AUTOEVENTO="Manual",ROUND(SUMPRODUCT((CÁLCULO!$M$15:$M$235=EVENTOS!$C39)*(OFFSET(CÁLCULO!$AI$15:$AI$235,0,S$13))),2),0)</f>
        <v>0</v>
      </c>
      <c r="T39" s="618">
        <f t="array" aca="1" ref="T39" ca="1">IF(AUTOEVENTO="Manual",ROUND(SUMPRODUCT((CÁLCULO!$M$15:$M$235=EVENTOS!$C39)*(OFFSET(CÁLCULO!$AI$15:$AI$235,0,T$13))),2),0)</f>
        <v>0</v>
      </c>
      <c r="U39" s="618">
        <f t="array" aca="1" ref="U39" ca="1">IF(AUTOEVENTO="Manual",ROUND(SUMPRODUCT((CÁLCULO!$M$15:$M$235=EVENTOS!$C39)*(OFFSET(CÁLCULO!$AI$15:$AI$235,0,U$13))),2),0)</f>
        <v>0</v>
      </c>
      <c r="V39" s="618">
        <f t="array" aca="1" ref="V39" ca="1">IF(AUTOEVENTO="Manual",ROUND(SUMPRODUCT((CÁLCULO!$M$15:$M$235=EVENTOS!$C39)*(OFFSET(CÁLCULO!$AI$15:$AI$235,0,V$13))),2),0)</f>
        <v>0</v>
      </c>
      <c r="W39" s="618">
        <f t="array" aca="1" ref="W39" ca="1">IF(AUTOEVENTO="Manual",ROUND(SUMPRODUCT((CÁLCULO!$M$15:$M$235=EVENTOS!$C39)*(OFFSET(CÁLCULO!$AI$15:$AI$235,0,W$13))),2),0)</f>
        <v>0</v>
      </c>
      <c r="X39" s="618">
        <f t="array" aca="1" ref="X39" ca="1">IF(AUTOEVENTO="Manual",ROUND(SUMPRODUCT((CÁLCULO!$M$15:$M$235=EVENTOS!$C39)*(OFFSET(CÁLCULO!$AI$15:$AI$235,0,X$13))),2),0)</f>
        <v>0</v>
      </c>
      <c r="Y39" s="618">
        <f t="array" aca="1" ref="Y39" ca="1">IF(AUTOEVENTO="Manual",ROUND(SUMPRODUCT((CÁLCULO!$M$15:$M$235=EVENTOS!$C39)*(OFFSET(CÁLCULO!$AI$15:$AI$235,0,Y$13))),2),0)</f>
        <v>0</v>
      </c>
    </row>
    <row r="40" spans="1:25" s="696" customFormat="1" x14ac:dyDescent="0.2">
      <c r="A40" s="505" t="str">
        <f t="shared" si="2"/>
        <v>F</v>
      </c>
      <c r="B40" s="696" t="str">
        <f t="shared" ca="1" si="3"/>
        <v>25. PINTURA DE ESQUADRIA DE MADEIRA</v>
      </c>
      <c r="C40" s="182">
        <f t="array" aca="1" ref="C40" ca="1">IF(OR(ROW(C40)=ROW(EVENTOS.firstrow)+1,AND(OFFSET(C40,-1,0)&lt;&gt;" ",OFFSET(C40,-1,1)&lt;&gt;"")),OFFSET(C40,-1,0)+1," ")</f>
        <v>25</v>
      </c>
      <c r="D40" s="495" t="s">
        <v>1413</v>
      </c>
      <c r="E40" s="618">
        <f t="array" aca="1" ref="E40" ca="1">IF(AUTOEVENTO="Manual",ROUND(SUMPRODUCT((CÁLCULO!$M$15:$M$235=EVENTOS!$C40)*(OFFSET(CÁLCULO!$AI$15:$AI$235,0,E$13))),2),0)</f>
        <v>4541.25</v>
      </c>
      <c r="F40" s="183">
        <f ca="1">IF(AUTOEVENTO="Manual",ROUND(SUMPRODUCT((CÁLCULO!$M$15:$M$235=EVENTOS!$C40)*(OFFSET(CÁLCULO!$AI$15,0,1):OFFSET(CÁLCULO!$BB$235,0,-1))),2),0)</f>
        <v>18165</v>
      </c>
      <c r="G40" s="619" t="str">
        <f t="shared" ca="1" si="4"/>
        <v/>
      </c>
      <c r="H40" s="618">
        <f t="array" aca="1" ref="H40" ca="1">IF(AUTOEVENTO="Manual",ROUND(SUMPRODUCT((CÁLCULO!$M$15:$M$235=EVENTOS!$C40)*(OFFSET(CÁLCULO!$AI$15:$AI$235,0,H$13))),2),0)</f>
        <v>4541.25</v>
      </c>
      <c r="I40" s="618">
        <f t="array" aca="1" ref="I40" ca="1">IF(AUTOEVENTO="Manual",ROUND(SUMPRODUCT((CÁLCULO!$M$15:$M$235=EVENTOS!$C40)*(OFFSET(CÁLCULO!$AI$15:$AI$235,0,I$13))),2),0)</f>
        <v>4541.25</v>
      </c>
      <c r="J40" s="618">
        <f t="array" aca="1" ref="J40" ca="1">IF(AUTOEVENTO="Manual",ROUND(SUMPRODUCT((CÁLCULO!$M$15:$M$235=EVENTOS!$C40)*(OFFSET(CÁLCULO!$AI$15:$AI$235,0,J$13))),2),0)</f>
        <v>4541.25</v>
      </c>
      <c r="K40" s="618">
        <f t="array" aca="1" ref="K40" ca="1">IF(AUTOEVENTO="Manual",ROUND(SUMPRODUCT((CÁLCULO!$M$15:$M$235=EVENTOS!$C40)*(OFFSET(CÁLCULO!$AI$15:$AI$235,0,K$13))),2),0)</f>
        <v>4541.25</v>
      </c>
      <c r="L40" s="618">
        <f t="array" aca="1" ref="L40" ca="1">IF(AUTOEVENTO="Manual",ROUND(SUMPRODUCT((CÁLCULO!$M$15:$M$235=EVENTOS!$C40)*(OFFSET(CÁLCULO!$AI$15:$AI$235,0,L$13))),2),0)</f>
        <v>0</v>
      </c>
      <c r="M40" s="618">
        <f t="array" aca="1" ref="M40" ca="1">IF(AUTOEVENTO="Manual",ROUND(SUMPRODUCT((CÁLCULO!$M$15:$M$235=EVENTOS!$C40)*(OFFSET(CÁLCULO!$AI$15:$AI$235,0,M$13))),2),0)</f>
        <v>0</v>
      </c>
      <c r="N40" s="618">
        <f t="array" aca="1" ref="N40" ca="1">IF(AUTOEVENTO="Manual",ROUND(SUMPRODUCT((CÁLCULO!$M$15:$M$235=EVENTOS!$C40)*(OFFSET(CÁLCULO!$AI$15:$AI$235,0,N$13))),2),0)</f>
        <v>0</v>
      </c>
      <c r="O40" s="618">
        <f t="array" aca="1" ref="O40" ca="1">IF(AUTOEVENTO="Manual",ROUND(SUMPRODUCT((CÁLCULO!$M$15:$M$235=EVENTOS!$C40)*(OFFSET(CÁLCULO!$AI$15:$AI$235,0,O$13))),2),0)</f>
        <v>0</v>
      </c>
      <c r="P40" s="618">
        <f t="array" aca="1" ref="P40" ca="1">IF(AUTOEVENTO="Manual",ROUND(SUMPRODUCT((CÁLCULO!$M$15:$M$235=EVENTOS!$C40)*(OFFSET(CÁLCULO!$AI$15:$AI$235,0,P$13))),2),0)</f>
        <v>0</v>
      </c>
      <c r="Q40" s="618">
        <f t="array" aca="1" ref="Q40" ca="1">IF(AUTOEVENTO="Manual",ROUND(SUMPRODUCT((CÁLCULO!$M$15:$M$235=EVENTOS!$C40)*(OFFSET(CÁLCULO!$AI$15:$AI$235,0,Q$13))),2),0)</f>
        <v>0</v>
      </c>
      <c r="R40" s="618">
        <f t="array" aca="1" ref="R40" ca="1">IF(AUTOEVENTO="Manual",ROUND(SUMPRODUCT((CÁLCULO!$M$15:$M$235=EVENTOS!$C40)*(OFFSET(CÁLCULO!$AI$15:$AI$235,0,R$13))),2),0)</f>
        <v>0</v>
      </c>
      <c r="S40" s="618">
        <f t="array" aca="1" ref="S40" ca="1">IF(AUTOEVENTO="Manual",ROUND(SUMPRODUCT((CÁLCULO!$M$15:$M$235=EVENTOS!$C40)*(OFFSET(CÁLCULO!$AI$15:$AI$235,0,S$13))),2),0)</f>
        <v>0</v>
      </c>
      <c r="T40" s="618">
        <f t="array" aca="1" ref="T40" ca="1">IF(AUTOEVENTO="Manual",ROUND(SUMPRODUCT((CÁLCULO!$M$15:$M$235=EVENTOS!$C40)*(OFFSET(CÁLCULO!$AI$15:$AI$235,0,T$13))),2),0)</f>
        <v>0</v>
      </c>
      <c r="U40" s="618">
        <f t="array" aca="1" ref="U40" ca="1">IF(AUTOEVENTO="Manual",ROUND(SUMPRODUCT((CÁLCULO!$M$15:$M$235=EVENTOS!$C40)*(OFFSET(CÁLCULO!$AI$15:$AI$235,0,U$13))),2),0)</f>
        <v>0</v>
      </c>
      <c r="V40" s="618">
        <f t="array" aca="1" ref="V40" ca="1">IF(AUTOEVENTO="Manual",ROUND(SUMPRODUCT((CÁLCULO!$M$15:$M$235=EVENTOS!$C40)*(OFFSET(CÁLCULO!$AI$15:$AI$235,0,V$13))),2),0)</f>
        <v>0</v>
      </c>
      <c r="W40" s="618">
        <f t="array" aca="1" ref="W40" ca="1">IF(AUTOEVENTO="Manual",ROUND(SUMPRODUCT((CÁLCULO!$M$15:$M$235=EVENTOS!$C40)*(OFFSET(CÁLCULO!$AI$15:$AI$235,0,W$13))),2),0)</f>
        <v>0</v>
      </c>
      <c r="X40" s="618">
        <f t="array" aca="1" ref="X40" ca="1">IF(AUTOEVENTO="Manual",ROUND(SUMPRODUCT((CÁLCULO!$M$15:$M$235=EVENTOS!$C40)*(OFFSET(CÁLCULO!$AI$15:$AI$235,0,X$13))),2),0)</f>
        <v>0</v>
      </c>
      <c r="Y40" s="618">
        <f t="array" aca="1" ref="Y40" ca="1">IF(AUTOEVENTO="Manual",ROUND(SUMPRODUCT((CÁLCULO!$M$15:$M$235=EVENTOS!$C40)*(OFFSET(CÁLCULO!$AI$15:$AI$235,0,Y$13))),2),0)</f>
        <v>0</v>
      </c>
    </row>
    <row r="41" spans="1:25" s="696" customFormat="1" x14ac:dyDescent="0.2">
      <c r="A41" s="505" t="str">
        <f t="shared" si="2"/>
        <v>F</v>
      </c>
      <c r="B41" s="696" t="str">
        <f t="shared" ca="1" si="3"/>
        <v>26. ACABAMENTO EM PEDRA NATURAL</v>
      </c>
      <c r="C41" s="182">
        <f t="array" aca="1" ref="C41" ca="1">IF(OR(ROW(C41)=ROW(EVENTOS.firstrow)+1,AND(OFFSET(C41,-1,0)&lt;&gt;" ",OFFSET(C41,-1,1)&lt;&gt;"")),OFFSET(C41,-1,0)+1," ")</f>
        <v>26</v>
      </c>
      <c r="D41" s="495" t="s">
        <v>1420</v>
      </c>
      <c r="E41" s="618">
        <f t="array" aca="1" ref="E41" ca="1">IF(AUTOEVENTO="Manual",ROUND(SUMPRODUCT((CÁLCULO!$M$15:$M$235=EVENTOS!$C41)*(OFFSET(CÁLCULO!$AI$15:$AI$235,0,E$13))),2),0)</f>
        <v>5513.47</v>
      </c>
      <c r="F41" s="183">
        <f ca="1">IF(AUTOEVENTO="Manual",ROUND(SUMPRODUCT((CÁLCULO!$M$15:$M$235=EVENTOS!$C41)*(OFFSET(CÁLCULO!$AI$15,0,1):OFFSET(CÁLCULO!$BB$235,0,-1))),2),0)</f>
        <v>22053.88</v>
      </c>
      <c r="G41" s="619" t="str">
        <f t="shared" ca="1" si="4"/>
        <v/>
      </c>
      <c r="H41" s="618">
        <f t="array" aca="1" ref="H41" ca="1">IF(AUTOEVENTO="Manual",ROUND(SUMPRODUCT((CÁLCULO!$M$15:$M$235=EVENTOS!$C41)*(OFFSET(CÁLCULO!$AI$15:$AI$235,0,H$13))),2),0)</f>
        <v>5513.47</v>
      </c>
      <c r="I41" s="618">
        <f t="array" aca="1" ref="I41" ca="1">IF(AUTOEVENTO="Manual",ROUND(SUMPRODUCT((CÁLCULO!$M$15:$M$235=EVENTOS!$C41)*(OFFSET(CÁLCULO!$AI$15:$AI$235,0,I$13))),2),0)</f>
        <v>5513.47</v>
      </c>
      <c r="J41" s="618">
        <f t="array" aca="1" ref="J41" ca="1">IF(AUTOEVENTO="Manual",ROUND(SUMPRODUCT((CÁLCULO!$M$15:$M$235=EVENTOS!$C41)*(OFFSET(CÁLCULO!$AI$15:$AI$235,0,J$13))),2),0)</f>
        <v>5513.47</v>
      </c>
      <c r="K41" s="618">
        <f t="array" aca="1" ref="K41" ca="1">IF(AUTOEVENTO="Manual",ROUND(SUMPRODUCT((CÁLCULO!$M$15:$M$235=EVENTOS!$C41)*(OFFSET(CÁLCULO!$AI$15:$AI$235,0,K$13))),2),0)</f>
        <v>5513.47</v>
      </c>
      <c r="L41" s="618">
        <f t="array" aca="1" ref="L41" ca="1">IF(AUTOEVENTO="Manual",ROUND(SUMPRODUCT((CÁLCULO!$M$15:$M$235=EVENTOS!$C41)*(OFFSET(CÁLCULO!$AI$15:$AI$235,0,L$13))),2),0)</f>
        <v>0</v>
      </c>
      <c r="M41" s="618">
        <f t="array" aca="1" ref="M41" ca="1">IF(AUTOEVENTO="Manual",ROUND(SUMPRODUCT((CÁLCULO!$M$15:$M$235=EVENTOS!$C41)*(OFFSET(CÁLCULO!$AI$15:$AI$235,0,M$13))),2),0)</f>
        <v>0</v>
      </c>
      <c r="N41" s="618">
        <f t="array" aca="1" ref="N41" ca="1">IF(AUTOEVENTO="Manual",ROUND(SUMPRODUCT((CÁLCULO!$M$15:$M$235=EVENTOS!$C41)*(OFFSET(CÁLCULO!$AI$15:$AI$235,0,N$13))),2),0)</f>
        <v>0</v>
      </c>
      <c r="O41" s="618">
        <f t="array" aca="1" ref="O41" ca="1">IF(AUTOEVENTO="Manual",ROUND(SUMPRODUCT((CÁLCULO!$M$15:$M$235=EVENTOS!$C41)*(OFFSET(CÁLCULO!$AI$15:$AI$235,0,O$13))),2),0)</f>
        <v>0</v>
      </c>
      <c r="P41" s="618">
        <f t="array" aca="1" ref="P41" ca="1">IF(AUTOEVENTO="Manual",ROUND(SUMPRODUCT((CÁLCULO!$M$15:$M$235=EVENTOS!$C41)*(OFFSET(CÁLCULO!$AI$15:$AI$235,0,P$13))),2),0)</f>
        <v>0</v>
      </c>
      <c r="Q41" s="618">
        <f t="array" aca="1" ref="Q41" ca="1">IF(AUTOEVENTO="Manual",ROUND(SUMPRODUCT((CÁLCULO!$M$15:$M$235=EVENTOS!$C41)*(OFFSET(CÁLCULO!$AI$15:$AI$235,0,Q$13))),2),0)</f>
        <v>0</v>
      </c>
      <c r="R41" s="618">
        <f t="array" aca="1" ref="R41" ca="1">IF(AUTOEVENTO="Manual",ROUND(SUMPRODUCT((CÁLCULO!$M$15:$M$235=EVENTOS!$C41)*(OFFSET(CÁLCULO!$AI$15:$AI$235,0,R$13))),2),0)</f>
        <v>0</v>
      </c>
      <c r="S41" s="618">
        <f t="array" aca="1" ref="S41" ca="1">IF(AUTOEVENTO="Manual",ROUND(SUMPRODUCT((CÁLCULO!$M$15:$M$235=EVENTOS!$C41)*(OFFSET(CÁLCULO!$AI$15:$AI$235,0,S$13))),2),0)</f>
        <v>0</v>
      </c>
      <c r="T41" s="618">
        <f t="array" aca="1" ref="T41" ca="1">IF(AUTOEVENTO="Manual",ROUND(SUMPRODUCT((CÁLCULO!$M$15:$M$235=EVENTOS!$C41)*(OFFSET(CÁLCULO!$AI$15:$AI$235,0,T$13))),2),0)</f>
        <v>0</v>
      </c>
      <c r="U41" s="618">
        <f t="array" aca="1" ref="U41" ca="1">IF(AUTOEVENTO="Manual",ROUND(SUMPRODUCT((CÁLCULO!$M$15:$M$235=EVENTOS!$C41)*(OFFSET(CÁLCULO!$AI$15:$AI$235,0,U$13))),2),0)</f>
        <v>0</v>
      </c>
      <c r="V41" s="618">
        <f t="array" aca="1" ref="V41" ca="1">IF(AUTOEVENTO="Manual",ROUND(SUMPRODUCT((CÁLCULO!$M$15:$M$235=EVENTOS!$C41)*(OFFSET(CÁLCULO!$AI$15:$AI$235,0,V$13))),2),0)</f>
        <v>0</v>
      </c>
      <c r="W41" s="618">
        <f t="array" aca="1" ref="W41" ca="1">IF(AUTOEVENTO="Manual",ROUND(SUMPRODUCT((CÁLCULO!$M$15:$M$235=EVENTOS!$C41)*(OFFSET(CÁLCULO!$AI$15:$AI$235,0,W$13))),2),0)</f>
        <v>0</v>
      </c>
      <c r="X41" s="618">
        <f t="array" aca="1" ref="X41" ca="1">IF(AUTOEVENTO="Manual",ROUND(SUMPRODUCT((CÁLCULO!$M$15:$M$235=EVENTOS!$C41)*(OFFSET(CÁLCULO!$AI$15:$AI$235,0,X$13))),2),0)</f>
        <v>0</v>
      </c>
      <c r="Y41" s="618">
        <f t="array" aca="1" ref="Y41" ca="1">IF(AUTOEVENTO="Manual",ROUND(SUMPRODUCT((CÁLCULO!$M$15:$M$235=EVENTOS!$C41)*(OFFSET(CÁLCULO!$AI$15:$AI$235,0,Y$13))),2),0)</f>
        <v>0</v>
      </c>
    </row>
    <row r="42" spans="1:25" s="696" customFormat="1" x14ac:dyDescent="0.2">
      <c r="A42" s="505" t="str">
        <f t="shared" si="2"/>
        <v>F</v>
      </c>
      <c r="B42" s="696" t="str">
        <f t="shared" ca="1" si="3"/>
        <v>27. CAIXAS E DISJUNTORES</v>
      </c>
      <c r="C42" s="182">
        <f t="array" aca="1" ref="C42" ca="1">IF(OR(ROW(C42)=ROW(EVENTOS.firstrow)+1,AND(OFFSET(C42,-1,0)&lt;&gt;" ",OFFSET(C42,-1,1)&lt;&gt;"")),OFFSET(C42,-1,0)+1," ")</f>
        <v>27</v>
      </c>
      <c r="D42" s="495" t="s">
        <v>1422</v>
      </c>
      <c r="E42" s="618">
        <f t="array" aca="1" ref="E42" ca="1">IF(AUTOEVENTO="Manual",ROUND(SUMPRODUCT((CÁLCULO!$M$15:$M$235=EVENTOS!$C42)*(OFFSET(CÁLCULO!$AI$15:$AI$235,0,E$13))),2),0)</f>
        <v>12574.19</v>
      </c>
      <c r="F42" s="183">
        <f ca="1">IF(AUTOEVENTO="Manual",ROUND(SUMPRODUCT((CÁLCULO!$M$15:$M$235=EVENTOS!$C42)*(OFFSET(CÁLCULO!$AI$15,0,1):OFFSET(CÁLCULO!$BB$235,0,-1))),2),0)</f>
        <v>50296.76</v>
      </c>
      <c r="G42" s="619" t="str">
        <f t="shared" ca="1" si="4"/>
        <v/>
      </c>
      <c r="H42" s="618">
        <f t="array" aca="1" ref="H42" ca="1">IF(AUTOEVENTO="Manual",ROUND(SUMPRODUCT((CÁLCULO!$M$15:$M$235=EVENTOS!$C42)*(OFFSET(CÁLCULO!$AI$15:$AI$235,0,H$13))),2),0)</f>
        <v>12574.19</v>
      </c>
      <c r="I42" s="618">
        <f t="array" aca="1" ref="I42" ca="1">IF(AUTOEVENTO="Manual",ROUND(SUMPRODUCT((CÁLCULO!$M$15:$M$235=EVENTOS!$C42)*(OFFSET(CÁLCULO!$AI$15:$AI$235,0,I$13))),2),0)</f>
        <v>12574.19</v>
      </c>
      <c r="J42" s="618">
        <f t="array" aca="1" ref="J42" ca="1">IF(AUTOEVENTO="Manual",ROUND(SUMPRODUCT((CÁLCULO!$M$15:$M$235=EVENTOS!$C42)*(OFFSET(CÁLCULO!$AI$15:$AI$235,0,J$13))),2),0)</f>
        <v>12574.19</v>
      </c>
      <c r="K42" s="618">
        <f t="array" aca="1" ref="K42" ca="1">IF(AUTOEVENTO="Manual",ROUND(SUMPRODUCT((CÁLCULO!$M$15:$M$235=EVENTOS!$C42)*(OFFSET(CÁLCULO!$AI$15:$AI$235,0,K$13))),2),0)</f>
        <v>12574.19</v>
      </c>
      <c r="L42" s="618">
        <f t="array" aca="1" ref="L42" ca="1">IF(AUTOEVENTO="Manual",ROUND(SUMPRODUCT((CÁLCULO!$M$15:$M$235=EVENTOS!$C42)*(OFFSET(CÁLCULO!$AI$15:$AI$235,0,L$13))),2),0)</f>
        <v>0</v>
      </c>
      <c r="M42" s="618">
        <f t="array" aca="1" ref="M42" ca="1">IF(AUTOEVENTO="Manual",ROUND(SUMPRODUCT((CÁLCULO!$M$15:$M$235=EVENTOS!$C42)*(OFFSET(CÁLCULO!$AI$15:$AI$235,0,M$13))),2),0)</f>
        <v>0</v>
      </c>
      <c r="N42" s="618">
        <f t="array" aca="1" ref="N42" ca="1">IF(AUTOEVENTO="Manual",ROUND(SUMPRODUCT((CÁLCULO!$M$15:$M$235=EVENTOS!$C42)*(OFFSET(CÁLCULO!$AI$15:$AI$235,0,N$13))),2),0)</f>
        <v>0</v>
      </c>
      <c r="O42" s="618">
        <f t="array" aca="1" ref="O42" ca="1">IF(AUTOEVENTO="Manual",ROUND(SUMPRODUCT((CÁLCULO!$M$15:$M$235=EVENTOS!$C42)*(OFFSET(CÁLCULO!$AI$15:$AI$235,0,O$13))),2),0)</f>
        <v>0</v>
      </c>
      <c r="P42" s="618">
        <f t="array" aca="1" ref="P42" ca="1">IF(AUTOEVENTO="Manual",ROUND(SUMPRODUCT((CÁLCULO!$M$15:$M$235=EVENTOS!$C42)*(OFFSET(CÁLCULO!$AI$15:$AI$235,0,P$13))),2),0)</f>
        <v>0</v>
      </c>
      <c r="Q42" s="618">
        <f t="array" aca="1" ref="Q42" ca="1">IF(AUTOEVENTO="Manual",ROUND(SUMPRODUCT((CÁLCULO!$M$15:$M$235=EVENTOS!$C42)*(OFFSET(CÁLCULO!$AI$15:$AI$235,0,Q$13))),2),0)</f>
        <v>0</v>
      </c>
      <c r="R42" s="618">
        <f t="array" aca="1" ref="R42" ca="1">IF(AUTOEVENTO="Manual",ROUND(SUMPRODUCT((CÁLCULO!$M$15:$M$235=EVENTOS!$C42)*(OFFSET(CÁLCULO!$AI$15:$AI$235,0,R$13))),2),0)</f>
        <v>0</v>
      </c>
      <c r="S42" s="618">
        <f t="array" aca="1" ref="S42" ca="1">IF(AUTOEVENTO="Manual",ROUND(SUMPRODUCT((CÁLCULO!$M$15:$M$235=EVENTOS!$C42)*(OFFSET(CÁLCULO!$AI$15:$AI$235,0,S$13))),2),0)</f>
        <v>0</v>
      </c>
      <c r="T42" s="618">
        <f t="array" aca="1" ref="T42" ca="1">IF(AUTOEVENTO="Manual",ROUND(SUMPRODUCT((CÁLCULO!$M$15:$M$235=EVENTOS!$C42)*(OFFSET(CÁLCULO!$AI$15:$AI$235,0,T$13))),2),0)</f>
        <v>0</v>
      </c>
      <c r="U42" s="618">
        <f t="array" aca="1" ref="U42" ca="1">IF(AUTOEVENTO="Manual",ROUND(SUMPRODUCT((CÁLCULO!$M$15:$M$235=EVENTOS!$C42)*(OFFSET(CÁLCULO!$AI$15:$AI$235,0,U$13))),2),0)</f>
        <v>0</v>
      </c>
      <c r="V42" s="618">
        <f t="array" aca="1" ref="V42" ca="1">IF(AUTOEVENTO="Manual",ROUND(SUMPRODUCT((CÁLCULO!$M$15:$M$235=EVENTOS!$C42)*(OFFSET(CÁLCULO!$AI$15:$AI$235,0,V$13))),2),0)</f>
        <v>0</v>
      </c>
      <c r="W42" s="618">
        <f t="array" aca="1" ref="W42" ca="1">IF(AUTOEVENTO="Manual",ROUND(SUMPRODUCT((CÁLCULO!$M$15:$M$235=EVENTOS!$C42)*(OFFSET(CÁLCULO!$AI$15:$AI$235,0,W$13))),2),0)</f>
        <v>0</v>
      </c>
      <c r="X42" s="618">
        <f t="array" aca="1" ref="X42" ca="1">IF(AUTOEVENTO="Manual",ROUND(SUMPRODUCT((CÁLCULO!$M$15:$M$235=EVENTOS!$C42)*(OFFSET(CÁLCULO!$AI$15:$AI$235,0,X$13))),2),0)</f>
        <v>0</v>
      </c>
      <c r="Y42" s="618">
        <f t="array" aca="1" ref="Y42" ca="1">IF(AUTOEVENTO="Manual",ROUND(SUMPRODUCT((CÁLCULO!$M$15:$M$235=EVENTOS!$C42)*(OFFSET(CÁLCULO!$AI$15:$AI$235,0,Y$13))),2),0)</f>
        <v>0</v>
      </c>
    </row>
    <row r="43" spans="1:25" s="696" customFormat="1" x14ac:dyDescent="0.2">
      <c r="A43" s="505" t="str">
        <f t="shared" si="2"/>
        <v>F</v>
      </c>
      <c r="B43" s="696" t="str">
        <f t="shared" ca="1" si="3"/>
        <v xml:space="preserve">28. FIOS E CABOS </v>
      </c>
      <c r="C43" s="182">
        <f t="array" aca="1" ref="C43" ca="1">IF(OR(ROW(C43)=ROW(EVENTOS.firstrow)+1,AND(OFFSET(C43,-1,0)&lt;&gt;" ",OFFSET(C43,-1,1)&lt;&gt;"")),OFFSET(C43,-1,0)+1," ")</f>
        <v>28</v>
      </c>
      <c r="D43" s="495" t="s">
        <v>1423</v>
      </c>
      <c r="E43" s="618">
        <f t="array" aca="1" ref="E43" ca="1">IF(AUTOEVENTO="Manual",ROUND(SUMPRODUCT((CÁLCULO!$M$15:$M$235=EVENTOS!$C43)*(OFFSET(CÁLCULO!$AI$15:$AI$235,0,E$13))),2),0)</f>
        <v>11203.1</v>
      </c>
      <c r="F43" s="183">
        <f ca="1">IF(AUTOEVENTO="Manual",ROUND(SUMPRODUCT((CÁLCULO!$M$15:$M$235=EVENTOS!$C43)*(OFFSET(CÁLCULO!$AI$15,0,1):OFFSET(CÁLCULO!$BB$235,0,-1))),2),0)</f>
        <v>44812.4</v>
      </c>
      <c r="G43" s="619" t="str">
        <f t="shared" ca="1" si="4"/>
        <v/>
      </c>
      <c r="H43" s="618">
        <f t="array" aca="1" ref="H43" ca="1">IF(AUTOEVENTO="Manual",ROUND(SUMPRODUCT((CÁLCULO!$M$15:$M$235=EVENTOS!$C43)*(OFFSET(CÁLCULO!$AI$15:$AI$235,0,H$13))),2),0)</f>
        <v>11203.1</v>
      </c>
      <c r="I43" s="618">
        <f t="array" aca="1" ref="I43" ca="1">IF(AUTOEVENTO="Manual",ROUND(SUMPRODUCT((CÁLCULO!$M$15:$M$235=EVENTOS!$C43)*(OFFSET(CÁLCULO!$AI$15:$AI$235,0,I$13))),2),0)</f>
        <v>11203.1</v>
      </c>
      <c r="J43" s="618">
        <f t="array" aca="1" ref="J43" ca="1">IF(AUTOEVENTO="Manual",ROUND(SUMPRODUCT((CÁLCULO!$M$15:$M$235=EVENTOS!$C43)*(OFFSET(CÁLCULO!$AI$15:$AI$235,0,J$13))),2),0)</f>
        <v>11203.1</v>
      </c>
      <c r="K43" s="618">
        <f t="array" aca="1" ref="K43" ca="1">IF(AUTOEVENTO="Manual",ROUND(SUMPRODUCT((CÁLCULO!$M$15:$M$235=EVENTOS!$C43)*(OFFSET(CÁLCULO!$AI$15:$AI$235,0,K$13))),2),0)</f>
        <v>11203.1</v>
      </c>
      <c r="L43" s="618">
        <f t="array" aca="1" ref="L43" ca="1">IF(AUTOEVENTO="Manual",ROUND(SUMPRODUCT((CÁLCULO!$M$15:$M$235=EVENTOS!$C43)*(OFFSET(CÁLCULO!$AI$15:$AI$235,0,L$13))),2),0)</f>
        <v>0</v>
      </c>
      <c r="M43" s="618">
        <f t="array" aca="1" ref="M43" ca="1">IF(AUTOEVENTO="Manual",ROUND(SUMPRODUCT((CÁLCULO!$M$15:$M$235=EVENTOS!$C43)*(OFFSET(CÁLCULO!$AI$15:$AI$235,0,M$13))),2),0)</f>
        <v>0</v>
      </c>
      <c r="N43" s="618">
        <f t="array" aca="1" ref="N43" ca="1">IF(AUTOEVENTO="Manual",ROUND(SUMPRODUCT((CÁLCULO!$M$15:$M$235=EVENTOS!$C43)*(OFFSET(CÁLCULO!$AI$15:$AI$235,0,N$13))),2),0)</f>
        <v>0</v>
      </c>
      <c r="O43" s="618">
        <f t="array" aca="1" ref="O43" ca="1">IF(AUTOEVENTO="Manual",ROUND(SUMPRODUCT((CÁLCULO!$M$15:$M$235=EVENTOS!$C43)*(OFFSET(CÁLCULO!$AI$15:$AI$235,0,O$13))),2),0)</f>
        <v>0</v>
      </c>
      <c r="P43" s="618">
        <f t="array" aca="1" ref="P43" ca="1">IF(AUTOEVENTO="Manual",ROUND(SUMPRODUCT((CÁLCULO!$M$15:$M$235=EVENTOS!$C43)*(OFFSET(CÁLCULO!$AI$15:$AI$235,0,P$13))),2),0)</f>
        <v>0</v>
      </c>
      <c r="Q43" s="618">
        <f t="array" aca="1" ref="Q43" ca="1">IF(AUTOEVENTO="Manual",ROUND(SUMPRODUCT((CÁLCULO!$M$15:$M$235=EVENTOS!$C43)*(OFFSET(CÁLCULO!$AI$15:$AI$235,0,Q$13))),2),0)</f>
        <v>0</v>
      </c>
      <c r="R43" s="618">
        <f t="array" aca="1" ref="R43" ca="1">IF(AUTOEVENTO="Manual",ROUND(SUMPRODUCT((CÁLCULO!$M$15:$M$235=EVENTOS!$C43)*(OFFSET(CÁLCULO!$AI$15:$AI$235,0,R$13))),2),0)</f>
        <v>0</v>
      </c>
      <c r="S43" s="618">
        <f t="array" aca="1" ref="S43" ca="1">IF(AUTOEVENTO="Manual",ROUND(SUMPRODUCT((CÁLCULO!$M$15:$M$235=EVENTOS!$C43)*(OFFSET(CÁLCULO!$AI$15:$AI$235,0,S$13))),2),0)</f>
        <v>0</v>
      </c>
      <c r="T43" s="618">
        <f t="array" aca="1" ref="T43" ca="1">IF(AUTOEVENTO="Manual",ROUND(SUMPRODUCT((CÁLCULO!$M$15:$M$235=EVENTOS!$C43)*(OFFSET(CÁLCULO!$AI$15:$AI$235,0,T$13))),2),0)</f>
        <v>0</v>
      </c>
      <c r="U43" s="618">
        <f t="array" aca="1" ref="U43" ca="1">IF(AUTOEVENTO="Manual",ROUND(SUMPRODUCT((CÁLCULO!$M$15:$M$235=EVENTOS!$C43)*(OFFSET(CÁLCULO!$AI$15:$AI$235,0,U$13))),2),0)</f>
        <v>0</v>
      </c>
      <c r="V43" s="618">
        <f t="array" aca="1" ref="V43" ca="1">IF(AUTOEVENTO="Manual",ROUND(SUMPRODUCT((CÁLCULO!$M$15:$M$235=EVENTOS!$C43)*(OFFSET(CÁLCULO!$AI$15:$AI$235,0,V$13))),2),0)</f>
        <v>0</v>
      </c>
      <c r="W43" s="618">
        <f t="array" aca="1" ref="W43" ca="1">IF(AUTOEVENTO="Manual",ROUND(SUMPRODUCT((CÁLCULO!$M$15:$M$235=EVENTOS!$C43)*(OFFSET(CÁLCULO!$AI$15:$AI$235,0,W$13))),2),0)</f>
        <v>0</v>
      </c>
      <c r="X43" s="618">
        <f t="array" aca="1" ref="X43" ca="1">IF(AUTOEVENTO="Manual",ROUND(SUMPRODUCT((CÁLCULO!$M$15:$M$235=EVENTOS!$C43)*(OFFSET(CÁLCULO!$AI$15:$AI$235,0,X$13))),2),0)</f>
        <v>0</v>
      </c>
      <c r="Y43" s="618">
        <f t="array" aca="1" ref="Y43" ca="1">IF(AUTOEVENTO="Manual",ROUND(SUMPRODUCT((CÁLCULO!$M$15:$M$235=EVENTOS!$C43)*(OFFSET(CÁLCULO!$AI$15:$AI$235,0,Y$13))),2),0)</f>
        <v>0</v>
      </c>
    </row>
    <row r="44" spans="1:25" s="706" customFormat="1" x14ac:dyDescent="0.2">
      <c r="A44" s="505" t="str">
        <f t="shared" si="2"/>
        <v>F</v>
      </c>
      <c r="B44" s="706" t="str">
        <f t="shared" ca="1" si="3"/>
        <v>29. ENTRADA DE ENERGIA</v>
      </c>
      <c r="C44" s="182">
        <f t="array" aca="1" ref="C44" ca="1">IF(OR(ROW(C44)=ROW(EVENTOS.firstrow)+1,AND(OFFSET(C44,-1,0)&lt;&gt;" ",OFFSET(C44,-1,1)&lt;&gt;"")),OFFSET(C44,-1,0)+1," ")</f>
        <v>29</v>
      </c>
      <c r="D44" s="495" t="s">
        <v>1424</v>
      </c>
      <c r="E44" s="618">
        <f t="array" aca="1" ref="E44" ca="1">IF(AUTOEVENTO="Manual",ROUND(SUMPRODUCT((CÁLCULO!$M$15:$M$235=EVENTOS!$C44)*(OFFSET(CÁLCULO!$AI$15:$AI$235,0,E$13))),2),0)</f>
        <v>510.04</v>
      </c>
      <c r="F44" s="183">
        <f ca="1">IF(AUTOEVENTO="Manual",ROUND(SUMPRODUCT((CÁLCULO!$M$15:$M$235=EVENTOS!$C44)*(OFFSET(CÁLCULO!$AI$15,0,1):OFFSET(CÁLCULO!$BB$235,0,-1))),2),0)</f>
        <v>2040.16</v>
      </c>
      <c r="G44" s="619" t="str">
        <f t="shared" ca="1" si="4"/>
        <v/>
      </c>
      <c r="H44" s="618">
        <f t="array" aca="1" ref="H44" ca="1">IF(AUTOEVENTO="Manual",ROUND(SUMPRODUCT((CÁLCULO!$M$15:$M$235=EVENTOS!$C44)*(OFFSET(CÁLCULO!$AI$15:$AI$235,0,H$13))),2),0)</f>
        <v>510.04</v>
      </c>
      <c r="I44" s="618">
        <f t="array" aca="1" ref="I44" ca="1">IF(AUTOEVENTO="Manual",ROUND(SUMPRODUCT((CÁLCULO!$M$15:$M$235=EVENTOS!$C44)*(OFFSET(CÁLCULO!$AI$15:$AI$235,0,I$13))),2),0)</f>
        <v>510.04</v>
      </c>
      <c r="J44" s="618">
        <f t="array" aca="1" ref="J44" ca="1">IF(AUTOEVENTO="Manual",ROUND(SUMPRODUCT((CÁLCULO!$M$15:$M$235=EVENTOS!$C44)*(OFFSET(CÁLCULO!$AI$15:$AI$235,0,J$13))),2),0)</f>
        <v>510.04</v>
      </c>
      <c r="K44" s="618">
        <f t="array" aca="1" ref="K44" ca="1">IF(AUTOEVENTO="Manual",ROUND(SUMPRODUCT((CÁLCULO!$M$15:$M$235=EVENTOS!$C44)*(OFFSET(CÁLCULO!$AI$15:$AI$235,0,K$13))),2),0)</f>
        <v>510.04</v>
      </c>
      <c r="L44" s="618">
        <f t="array" aca="1" ref="L44" ca="1">IF(AUTOEVENTO="Manual",ROUND(SUMPRODUCT((CÁLCULO!$M$15:$M$235=EVENTOS!$C44)*(OFFSET(CÁLCULO!$AI$15:$AI$235,0,L$13))),2),0)</f>
        <v>0</v>
      </c>
      <c r="M44" s="618">
        <f t="array" aca="1" ref="M44" ca="1">IF(AUTOEVENTO="Manual",ROUND(SUMPRODUCT((CÁLCULO!$M$15:$M$235=EVENTOS!$C44)*(OFFSET(CÁLCULO!$AI$15:$AI$235,0,M$13))),2),0)</f>
        <v>0</v>
      </c>
      <c r="N44" s="618">
        <f t="array" aca="1" ref="N44" ca="1">IF(AUTOEVENTO="Manual",ROUND(SUMPRODUCT((CÁLCULO!$M$15:$M$235=EVENTOS!$C44)*(OFFSET(CÁLCULO!$AI$15:$AI$235,0,N$13))),2),0)</f>
        <v>0</v>
      </c>
      <c r="O44" s="618">
        <f t="array" aca="1" ref="O44" ca="1">IF(AUTOEVENTO="Manual",ROUND(SUMPRODUCT((CÁLCULO!$M$15:$M$235=EVENTOS!$C44)*(OFFSET(CÁLCULO!$AI$15:$AI$235,0,O$13))),2),0)</f>
        <v>0</v>
      </c>
      <c r="P44" s="618">
        <f t="array" aca="1" ref="P44" ca="1">IF(AUTOEVENTO="Manual",ROUND(SUMPRODUCT((CÁLCULO!$M$15:$M$235=EVENTOS!$C44)*(OFFSET(CÁLCULO!$AI$15:$AI$235,0,P$13))),2),0)</f>
        <v>0</v>
      </c>
      <c r="Q44" s="618">
        <f t="array" aca="1" ref="Q44" ca="1">IF(AUTOEVENTO="Manual",ROUND(SUMPRODUCT((CÁLCULO!$M$15:$M$235=EVENTOS!$C44)*(OFFSET(CÁLCULO!$AI$15:$AI$235,0,Q$13))),2),0)</f>
        <v>0</v>
      </c>
      <c r="R44" s="618">
        <f t="array" aca="1" ref="R44" ca="1">IF(AUTOEVENTO="Manual",ROUND(SUMPRODUCT((CÁLCULO!$M$15:$M$235=EVENTOS!$C44)*(OFFSET(CÁLCULO!$AI$15:$AI$235,0,R$13))),2),0)</f>
        <v>0</v>
      </c>
      <c r="S44" s="618">
        <f t="array" aca="1" ref="S44" ca="1">IF(AUTOEVENTO="Manual",ROUND(SUMPRODUCT((CÁLCULO!$M$15:$M$235=EVENTOS!$C44)*(OFFSET(CÁLCULO!$AI$15:$AI$235,0,S$13))),2),0)</f>
        <v>0</v>
      </c>
      <c r="T44" s="618">
        <f t="array" aca="1" ref="T44" ca="1">IF(AUTOEVENTO="Manual",ROUND(SUMPRODUCT((CÁLCULO!$M$15:$M$235=EVENTOS!$C44)*(OFFSET(CÁLCULO!$AI$15:$AI$235,0,T$13))),2),0)</f>
        <v>0</v>
      </c>
      <c r="U44" s="618">
        <f t="array" aca="1" ref="U44" ca="1">IF(AUTOEVENTO="Manual",ROUND(SUMPRODUCT((CÁLCULO!$M$15:$M$235=EVENTOS!$C44)*(OFFSET(CÁLCULO!$AI$15:$AI$235,0,U$13))),2),0)</f>
        <v>0</v>
      </c>
      <c r="V44" s="618">
        <f t="array" aca="1" ref="V44" ca="1">IF(AUTOEVENTO="Manual",ROUND(SUMPRODUCT((CÁLCULO!$M$15:$M$235=EVENTOS!$C44)*(OFFSET(CÁLCULO!$AI$15:$AI$235,0,V$13))),2),0)</f>
        <v>0</v>
      </c>
      <c r="W44" s="618">
        <f t="array" aca="1" ref="W44" ca="1">IF(AUTOEVENTO="Manual",ROUND(SUMPRODUCT((CÁLCULO!$M$15:$M$235=EVENTOS!$C44)*(OFFSET(CÁLCULO!$AI$15:$AI$235,0,W$13))),2),0)</f>
        <v>0</v>
      </c>
      <c r="X44" s="618">
        <f t="array" aca="1" ref="X44" ca="1">IF(AUTOEVENTO="Manual",ROUND(SUMPRODUCT((CÁLCULO!$M$15:$M$235=EVENTOS!$C44)*(OFFSET(CÁLCULO!$AI$15:$AI$235,0,X$13))),2),0)</f>
        <v>0</v>
      </c>
      <c r="Y44" s="618">
        <f t="array" aca="1" ref="Y44" ca="1">IF(AUTOEVENTO="Manual",ROUND(SUMPRODUCT((CÁLCULO!$M$15:$M$235=EVENTOS!$C44)*(OFFSET(CÁLCULO!$AI$15:$AI$235,0,Y$13))),2),0)</f>
        <v>0</v>
      </c>
    </row>
    <row r="45" spans="1:25" s="706" customFormat="1" x14ac:dyDescent="0.2">
      <c r="A45" s="505" t="str">
        <f t="shared" si="2"/>
        <v>F</v>
      </c>
      <c r="B45" s="706" t="str">
        <f t="shared" ca="1" si="3"/>
        <v>30. ENTRADA DE ÁGUA</v>
      </c>
      <c r="C45" s="182">
        <f t="array" aca="1" ref="C45" ca="1">IF(OR(ROW(C45)=ROW(EVENTOS.firstrow)+1,AND(OFFSET(C45,-1,0)&lt;&gt;" ",OFFSET(C45,-1,1)&lt;&gt;"")),OFFSET(C45,-1,0)+1," ")</f>
        <v>30</v>
      </c>
      <c r="D45" s="495" t="s">
        <v>1425</v>
      </c>
      <c r="E45" s="618">
        <f t="array" aca="1" ref="E45" ca="1">IF(AUTOEVENTO="Manual",ROUND(SUMPRODUCT((CÁLCULO!$M$15:$M$235=EVENTOS!$C45)*(OFFSET(CÁLCULO!$AI$15:$AI$235,0,E$13))),2),0)</f>
        <v>1127.1500000000001</v>
      </c>
      <c r="F45" s="183">
        <f ca="1">IF(AUTOEVENTO="Manual",ROUND(SUMPRODUCT((CÁLCULO!$M$15:$M$235=EVENTOS!$C45)*(OFFSET(CÁLCULO!$AI$15,0,1):OFFSET(CÁLCULO!$BB$235,0,-1))),2),0)</f>
        <v>4508.6000000000004</v>
      </c>
      <c r="G45" s="619" t="str">
        <f t="shared" ca="1" si="4"/>
        <v/>
      </c>
      <c r="H45" s="618">
        <f t="array" aca="1" ref="H45" ca="1">IF(AUTOEVENTO="Manual",ROUND(SUMPRODUCT((CÁLCULO!$M$15:$M$235=EVENTOS!$C45)*(OFFSET(CÁLCULO!$AI$15:$AI$235,0,H$13))),2),0)</f>
        <v>1127.1500000000001</v>
      </c>
      <c r="I45" s="618">
        <f t="array" aca="1" ref="I45" ca="1">IF(AUTOEVENTO="Manual",ROUND(SUMPRODUCT((CÁLCULO!$M$15:$M$235=EVENTOS!$C45)*(OFFSET(CÁLCULO!$AI$15:$AI$235,0,I$13))),2),0)</f>
        <v>1127.1500000000001</v>
      </c>
      <c r="J45" s="618">
        <f t="array" aca="1" ref="J45" ca="1">IF(AUTOEVENTO="Manual",ROUND(SUMPRODUCT((CÁLCULO!$M$15:$M$235=EVENTOS!$C45)*(OFFSET(CÁLCULO!$AI$15:$AI$235,0,J$13))),2),0)</f>
        <v>1127.1500000000001</v>
      </c>
      <c r="K45" s="618">
        <f t="array" aca="1" ref="K45" ca="1">IF(AUTOEVENTO="Manual",ROUND(SUMPRODUCT((CÁLCULO!$M$15:$M$235=EVENTOS!$C45)*(OFFSET(CÁLCULO!$AI$15:$AI$235,0,K$13))),2),0)</f>
        <v>1127.1500000000001</v>
      </c>
      <c r="L45" s="618">
        <f t="array" aca="1" ref="L45" ca="1">IF(AUTOEVENTO="Manual",ROUND(SUMPRODUCT((CÁLCULO!$M$15:$M$235=EVENTOS!$C45)*(OFFSET(CÁLCULO!$AI$15:$AI$235,0,L$13))),2),0)</f>
        <v>0</v>
      </c>
      <c r="M45" s="618">
        <f t="array" aca="1" ref="M45" ca="1">IF(AUTOEVENTO="Manual",ROUND(SUMPRODUCT((CÁLCULO!$M$15:$M$235=EVENTOS!$C45)*(OFFSET(CÁLCULO!$AI$15:$AI$235,0,M$13))),2),0)</f>
        <v>0</v>
      </c>
      <c r="N45" s="618">
        <f t="array" aca="1" ref="N45" ca="1">IF(AUTOEVENTO="Manual",ROUND(SUMPRODUCT((CÁLCULO!$M$15:$M$235=EVENTOS!$C45)*(OFFSET(CÁLCULO!$AI$15:$AI$235,0,N$13))),2),0)</f>
        <v>0</v>
      </c>
      <c r="O45" s="618">
        <f t="array" aca="1" ref="O45" ca="1">IF(AUTOEVENTO="Manual",ROUND(SUMPRODUCT((CÁLCULO!$M$15:$M$235=EVENTOS!$C45)*(OFFSET(CÁLCULO!$AI$15:$AI$235,0,O$13))),2),0)</f>
        <v>0</v>
      </c>
      <c r="P45" s="618">
        <f t="array" aca="1" ref="P45" ca="1">IF(AUTOEVENTO="Manual",ROUND(SUMPRODUCT((CÁLCULO!$M$15:$M$235=EVENTOS!$C45)*(OFFSET(CÁLCULO!$AI$15:$AI$235,0,P$13))),2),0)</f>
        <v>0</v>
      </c>
      <c r="Q45" s="618">
        <f t="array" aca="1" ref="Q45" ca="1">IF(AUTOEVENTO="Manual",ROUND(SUMPRODUCT((CÁLCULO!$M$15:$M$235=EVENTOS!$C45)*(OFFSET(CÁLCULO!$AI$15:$AI$235,0,Q$13))),2),0)</f>
        <v>0</v>
      </c>
      <c r="R45" s="618">
        <f t="array" aca="1" ref="R45" ca="1">IF(AUTOEVENTO="Manual",ROUND(SUMPRODUCT((CÁLCULO!$M$15:$M$235=EVENTOS!$C45)*(OFFSET(CÁLCULO!$AI$15:$AI$235,0,R$13))),2),0)</f>
        <v>0</v>
      </c>
      <c r="S45" s="618">
        <f t="array" aca="1" ref="S45" ca="1">IF(AUTOEVENTO="Manual",ROUND(SUMPRODUCT((CÁLCULO!$M$15:$M$235=EVENTOS!$C45)*(OFFSET(CÁLCULO!$AI$15:$AI$235,0,S$13))),2),0)</f>
        <v>0</v>
      </c>
      <c r="T45" s="618">
        <f t="array" aca="1" ref="T45" ca="1">IF(AUTOEVENTO="Manual",ROUND(SUMPRODUCT((CÁLCULO!$M$15:$M$235=EVENTOS!$C45)*(OFFSET(CÁLCULO!$AI$15:$AI$235,0,T$13))),2),0)</f>
        <v>0</v>
      </c>
      <c r="U45" s="618">
        <f t="array" aca="1" ref="U45" ca="1">IF(AUTOEVENTO="Manual",ROUND(SUMPRODUCT((CÁLCULO!$M$15:$M$235=EVENTOS!$C45)*(OFFSET(CÁLCULO!$AI$15:$AI$235,0,U$13))),2),0)</f>
        <v>0</v>
      </c>
      <c r="V45" s="618">
        <f t="array" aca="1" ref="V45" ca="1">IF(AUTOEVENTO="Manual",ROUND(SUMPRODUCT((CÁLCULO!$M$15:$M$235=EVENTOS!$C45)*(OFFSET(CÁLCULO!$AI$15:$AI$235,0,V$13))),2),0)</f>
        <v>0</v>
      </c>
      <c r="W45" s="618">
        <f t="array" aca="1" ref="W45" ca="1">IF(AUTOEVENTO="Manual",ROUND(SUMPRODUCT((CÁLCULO!$M$15:$M$235=EVENTOS!$C45)*(OFFSET(CÁLCULO!$AI$15:$AI$235,0,W$13))),2),0)</f>
        <v>0</v>
      </c>
      <c r="X45" s="618">
        <f t="array" aca="1" ref="X45" ca="1">IF(AUTOEVENTO="Manual",ROUND(SUMPRODUCT((CÁLCULO!$M$15:$M$235=EVENTOS!$C45)*(OFFSET(CÁLCULO!$AI$15:$AI$235,0,X$13))),2),0)</f>
        <v>0</v>
      </c>
      <c r="Y45" s="618">
        <f t="array" aca="1" ref="Y45" ca="1">IF(AUTOEVENTO="Manual",ROUND(SUMPRODUCT((CÁLCULO!$M$15:$M$235=EVENTOS!$C45)*(OFFSET(CÁLCULO!$AI$15:$AI$235,0,Y$13))),2),0)</f>
        <v>0</v>
      </c>
    </row>
    <row r="46" spans="1:25" s="706" customFormat="1" x14ac:dyDescent="0.2">
      <c r="A46" s="505" t="str">
        <f t="shared" si="2"/>
        <v>F</v>
      </c>
      <c r="B46" s="706" t="str">
        <f t="shared" ca="1" si="3"/>
        <v>31. REDE PLUVIAL E ESGOTO</v>
      </c>
      <c r="C46" s="182">
        <f t="array" aca="1" ref="C46" ca="1">IF(OR(ROW(C46)=ROW(EVENTOS.firstrow)+1,AND(OFFSET(C46,-1,0)&lt;&gt;" ",OFFSET(C46,-1,1)&lt;&gt;"")),OFFSET(C46,-1,0)+1," ")</f>
        <v>31</v>
      </c>
      <c r="D46" s="495" t="s">
        <v>1426</v>
      </c>
      <c r="E46" s="618">
        <f t="array" aca="1" ref="E46" ca="1">IF(AUTOEVENTO="Manual",ROUND(SUMPRODUCT((CÁLCULO!$M$15:$M$235=EVENTOS!$C46)*(OFFSET(CÁLCULO!$AI$15:$AI$235,0,E$13))),2),0)</f>
        <v>31536.66</v>
      </c>
      <c r="F46" s="183">
        <f ca="1">IF(AUTOEVENTO="Manual",ROUND(SUMPRODUCT((CÁLCULO!$M$15:$M$235=EVENTOS!$C46)*(OFFSET(CÁLCULO!$AI$15,0,1):OFFSET(CÁLCULO!$BB$235,0,-1))),2),0)</f>
        <v>126146.64</v>
      </c>
      <c r="G46" s="619" t="str">
        <f t="shared" ca="1" si="4"/>
        <v/>
      </c>
      <c r="H46" s="618">
        <f t="array" aca="1" ref="H46" ca="1">IF(AUTOEVENTO="Manual",ROUND(SUMPRODUCT((CÁLCULO!$M$15:$M$235=EVENTOS!$C46)*(OFFSET(CÁLCULO!$AI$15:$AI$235,0,H$13))),2),0)</f>
        <v>31536.66</v>
      </c>
      <c r="I46" s="618">
        <f t="array" aca="1" ref="I46" ca="1">IF(AUTOEVENTO="Manual",ROUND(SUMPRODUCT((CÁLCULO!$M$15:$M$235=EVENTOS!$C46)*(OFFSET(CÁLCULO!$AI$15:$AI$235,0,I$13))),2),0)</f>
        <v>31536.66</v>
      </c>
      <c r="J46" s="618">
        <f t="array" aca="1" ref="J46" ca="1">IF(AUTOEVENTO="Manual",ROUND(SUMPRODUCT((CÁLCULO!$M$15:$M$235=EVENTOS!$C46)*(OFFSET(CÁLCULO!$AI$15:$AI$235,0,J$13))),2),0)</f>
        <v>31536.66</v>
      </c>
      <c r="K46" s="618">
        <f t="array" aca="1" ref="K46" ca="1">IF(AUTOEVENTO="Manual",ROUND(SUMPRODUCT((CÁLCULO!$M$15:$M$235=EVENTOS!$C46)*(OFFSET(CÁLCULO!$AI$15:$AI$235,0,K$13))),2),0)</f>
        <v>31536.66</v>
      </c>
      <c r="L46" s="618">
        <f t="array" aca="1" ref="L46" ca="1">IF(AUTOEVENTO="Manual",ROUND(SUMPRODUCT((CÁLCULO!$M$15:$M$235=EVENTOS!$C46)*(OFFSET(CÁLCULO!$AI$15:$AI$235,0,L$13))),2),0)</f>
        <v>0</v>
      </c>
      <c r="M46" s="618">
        <f t="array" aca="1" ref="M46" ca="1">IF(AUTOEVENTO="Manual",ROUND(SUMPRODUCT((CÁLCULO!$M$15:$M$235=EVENTOS!$C46)*(OFFSET(CÁLCULO!$AI$15:$AI$235,0,M$13))),2),0)</f>
        <v>0</v>
      </c>
      <c r="N46" s="618">
        <f t="array" aca="1" ref="N46" ca="1">IF(AUTOEVENTO="Manual",ROUND(SUMPRODUCT((CÁLCULO!$M$15:$M$235=EVENTOS!$C46)*(OFFSET(CÁLCULO!$AI$15:$AI$235,0,N$13))),2),0)</f>
        <v>0</v>
      </c>
      <c r="O46" s="618">
        <f t="array" aca="1" ref="O46" ca="1">IF(AUTOEVENTO="Manual",ROUND(SUMPRODUCT((CÁLCULO!$M$15:$M$235=EVENTOS!$C46)*(OFFSET(CÁLCULO!$AI$15:$AI$235,0,O$13))),2),0)</f>
        <v>0</v>
      </c>
      <c r="P46" s="618">
        <f t="array" aca="1" ref="P46" ca="1">IF(AUTOEVENTO="Manual",ROUND(SUMPRODUCT((CÁLCULO!$M$15:$M$235=EVENTOS!$C46)*(OFFSET(CÁLCULO!$AI$15:$AI$235,0,P$13))),2),0)</f>
        <v>0</v>
      </c>
      <c r="Q46" s="618">
        <f t="array" aca="1" ref="Q46" ca="1">IF(AUTOEVENTO="Manual",ROUND(SUMPRODUCT((CÁLCULO!$M$15:$M$235=EVENTOS!$C46)*(OFFSET(CÁLCULO!$AI$15:$AI$235,0,Q$13))),2),0)</f>
        <v>0</v>
      </c>
      <c r="R46" s="618">
        <f t="array" aca="1" ref="R46" ca="1">IF(AUTOEVENTO="Manual",ROUND(SUMPRODUCT((CÁLCULO!$M$15:$M$235=EVENTOS!$C46)*(OFFSET(CÁLCULO!$AI$15:$AI$235,0,R$13))),2),0)</f>
        <v>0</v>
      </c>
      <c r="S46" s="618">
        <f t="array" aca="1" ref="S46" ca="1">IF(AUTOEVENTO="Manual",ROUND(SUMPRODUCT((CÁLCULO!$M$15:$M$235=EVENTOS!$C46)*(OFFSET(CÁLCULO!$AI$15:$AI$235,0,S$13))),2),0)</f>
        <v>0</v>
      </c>
      <c r="T46" s="618">
        <f t="array" aca="1" ref="T46" ca="1">IF(AUTOEVENTO="Manual",ROUND(SUMPRODUCT((CÁLCULO!$M$15:$M$235=EVENTOS!$C46)*(OFFSET(CÁLCULO!$AI$15:$AI$235,0,T$13))),2),0)</f>
        <v>0</v>
      </c>
      <c r="U46" s="618">
        <f t="array" aca="1" ref="U46" ca="1">IF(AUTOEVENTO="Manual",ROUND(SUMPRODUCT((CÁLCULO!$M$15:$M$235=EVENTOS!$C46)*(OFFSET(CÁLCULO!$AI$15:$AI$235,0,U$13))),2),0)</f>
        <v>0</v>
      </c>
      <c r="V46" s="618">
        <f t="array" aca="1" ref="V46" ca="1">IF(AUTOEVENTO="Manual",ROUND(SUMPRODUCT((CÁLCULO!$M$15:$M$235=EVENTOS!$C46)*(OFFSET(CÁLCULO!$AI$15:$AI$235,0,V$13))),2),0)</f>
        <v>0</v>
      </c>
      <c r="W46" s="618">
        <f t="array" aca="1" ref="W46" ca="1">IF(AUTOEVENTO="Manual",ROUND(SUMPRODUCT((CÁLCULO!$M$15:$M$235=EVENTOS!$C46)*(OFFSET(CÁLCULO!$AI$15:$AI$235,0,W$13))),2),0)</f>
        <v>0</v>
      </c>
      <c r="X46" s="618">
        <f t="array" aca="1" ref="X46" ca="1">IF(AUTOEVENTO="Manual",ROUND(SUMPRODUCT((CÁLCULO!$M$15:$M$235=EVENTOS!$C46)*(OFFSET(CÁLCULO!$AI$15:$AI$235,0,X$13))),2),0)</f>
        <v>0</v>
      </c>
      <c r="Y46" s="618">
        <f t="array" aca="1" ref="Y46" ca="1">IF(AUTOEVENTO="Manual",ROUND(SUMPRODUCT((CÁLCULO!$M$15:$M$235=EVENTOS!$C46)*(OFFSET(CÁLCULO!$AI$15:$AI$235,0,Y$13))),2),0)</f>
        <v>0</v>
      </c>
    </row>
    <row r="47" spans="1:25" s="706" customFormat="1" x14ac:dyDescent="0.2">
      <c r="A47" s="505" t="str">
        <f t="shared" si="2"/>
        <v>F</v>
      </c>
      <c r="B47" s="706" t="str">
        <f t="shared" ca="1" si="3"/>
        <v>32. ACABAMENTOS ELÉTRICOS</v>
      </c>
      <c r="C47" s="182">
        <f t="array" aca="1" ref="C47" ca="1">IF(OR(ROW(C47)=ROW(EVENTOS.firstrow)+1,AND(OFFSET(C47,-1,0)&lt;&gt;" ",OFFSET(C47,-1,1)&lt;&gt;"")),OFFSET(C47,-1,0)+1," ")</f>
        <v>32</v>
      </c>
      <c r="D47" s="495" t="s">
        <v>1427</v>
      </c>
      <c r="E47" s="618">
        <f t="array" aca="1" ref="E47" ca="1">IF(AUTOEVENTO="Manual",ROUND(SUMPRODUCT((CÁLCULO!$M$15:$M$235=EVENTOS!$C47)*(OFFSET(CÁLCULO!$AI$15:$AI$235,0,E$13))),2),0)</f>
        <v>6345.65</v>
      </c>
      <c r="F47" s="183">
        <f ca="1">IF(AUTOEVENTO="Manual",ROUND(SUMPRODUCT((CÁLCULO!$M$15:$M$235=EVENTOS!$C47)*(OFFSET(CÁLCULO!$AI$15,0,1):OFFSET(CÁLCULO!$BB$235,0,-1))),2),0)</f>
        <v>25382.6</v>
      </c>
      <c r="G47" s="619" t="str">
        <f t="shared" ca="1" si="4"/>
        <v/>
      </c>
      <c r="H47" s="618">
        <f t="array" aca="1" ref="H47" ca="1">IF(AUTOEVENTO="Manual",ROUND(SUMPRODUCT((CÁLCULO!$M$15:$M$235=EVENTOS!$C47)*(OFFSET(CÁLCULO!$AI$15:$AI$235,0,H$13))),2),0)</f>
        <v>6345.65</v>
      </c>
      <c r="I47" s="618">
        <f t="array" aca="1" ref="I47" ca="1">IF(AUTOEVENTO="Manual",ROUND(SUMPRODUCT((CÁLCULO!$M$15:$M$235=EVENTOS!$C47)*(OFFSET(CÁLCULO!$AI$15:$AI$235,0,I$13))),2),0)</f>
        <v>6345.65</v>
      </c>
      <c r="J47" s="618">
        <f t="array" aca="1" ref="J47" ca="1">IF(AUTOEVENTO="Manual",ROUND(SUMPRODUCT((CÁLCULO!$M$15:$M$235=EVENTOS!$C47)*(OFFSET(CÁLCULO!$AI$15:$AI$235,0,J$13))),2),0)</f>
        <v>6345.65</v>
      </c>
      <c r="K47" s="618">
        <f t="array" aca="1" ref="K47" ca="1">IF(AUTOEVENTO="Manual",ROUND(SUMPRODUCT((CÁLCULO!$M$15:$M$235=EVENTOS!$C47)*(OFFSET(CÁLCULO!$AI$15:$AI$235,0,K$13))),2),0)</f>
        <v>6345.65</v>
      </c>
      <c r="L47" s="618">
        <f t="array" aca="1" ref="L47" ca="1">IF(AUTOEVENTO="Manual",ROUND(SUMPRODUCT((CÁLCULO!$M$15:$M$235=EVENTOS!$C47)*(OFFSET(CÁLCULO!$AI$15:$AI$235,0,L$13))),2),0)</f>
        <v>0</v>
      </c>
      <c r="M47" s="618">
        <f t="array" aca="1" ref="M47" ca="1">IF(AUTOEVENTO="Manual",ROUND(SUMPRODUCT((CÁLCULO!$M$15:$M$235=EVENTOS!$C47)*(OFFSET(CÁLCULO!$AI$15:$AI$235,0,M$13))),2),0)</f>
        <v>0</v>
      </c>
      <c r="N47" s="618">
        <f t="array" aca="1" ref="N47" ca="1">IF(AUTOEVENTO="Manual",ROUND(SUMPRODUCT((CÁLCULO!$M$15:$M$235=EVENTOS!$C47)*(OFFSET(CÁLCULO!$AI$15:$AI$235,0,N$13))),2),0)</f>
        <v>0</v>
      </c>
      <c r="O47" s="618">
        <f t="array" aca="1" ref="O47" ca="1">IF(AUTOEVENTO="Manual",ROUND(SUMPRODUCT((CÁLCULO!$M$15:$M$235=EVENTOS!$C47)*(OFFSET(CÁLCULO!$AI$15:$AI$235,0,O$13))),2),0)</f>
        <v>0</v>
      </c>
      <c r="P47" s="618">
        <f t="array" aca="1" ref="P47" ca="1">IF(AUTOEVENTO="Manual",ROUND(SUMPRODUCT((CÁLCULO!$M$15:$M$235=EVENTOS!$C47)*(OFFSET(CÁLCULO!$AI$15:$AI$235,0,P$13))),2),0)</f>
        <v>0</v>
      </c>
      <c r="Q47" s="618">
        <f t="array" aca="1" ref="Q47" ca="1">IF(AUTOEVENTO="Manual",ROUND(SUMPRODUCT((CÁLCULO!$M$15:$M$235=EVENTOS!$C47)*(OFFSET(CÁLCULO!$AI$15:$AI$235,0,Q$13))),2),0)</f>
        <v>0</v>
      </c>
      <c r="R47" s="618">
        <f t="array" aca="1" ref="R47" ca="1">IF(AUTOEVENTO="Manual",ROUND(SUMPRODUCT((CÁLCULO!$M$15:$M$235=EVENTOS!$C47)*(OFFSET(CÁLCULO!$AI$15:$AI$235,0,R$13))),2),0)</f>
        <v>0</v>
      </c>
      <c r="S47" s="618">
        <f t="array" aca="1" ref="S47" ca="1">IF(AUTOEVENTO="Manual",ROUND(SUMPRODUCT((CÁLCULO!$M$15:$M$235=EVENTOS!$C47)*(OFFSET(CÁLCULO!$AI$15:$AI$235,0,S$13))),2),0)</f>
        <v>0</v>
      </c>
      <c r="T47" s="618">
        <f t="array" aca="1" ref="T47" ca="1">IF(AUTOEVENTO="Manual",ROUND(SUMPRODUCT((CÁLCULO!$M$15:$M$235=EVENTOS!$C47)*(OFFSET(CÁLCULO!$AI$15:$AI$235,0,T$13))),2),0)</f>
        <v>0</v>
      </c>
      <c r="U47" s="618">
        <f t="array" aca="1" ref="U47" ca="1">IF(AUTOEVENTO="Manual",ROUND(SUMPRODUCT((CÁLCULO!$M$15:$M$235=EVENTOS!$C47)*(OFFSET(CÁLCULO!$AI$15:$AI$235,0,U$13))),2),0)</f>
        <v>0</v>
      </c>
      <c r="V47" s="618">
        <f t="array" aca="1" ref="V47" ca="1">IF(AUTOEVENTO="Manual",ROUND(SUMPRODUCT((CÁLCULO!$M$15:$M$235=EVENTOS!$C47)*(OFFSET(CÁLCULO!$AI$15:$AI$235,0,V$13))),2),0)</f>
        <v>0</v>
      </c>
      <c r="W47" s="618">
        <f t="array" aca="1" ref="W47" ca="1">IF(AUTOEVENTO="Manual",ROUND(SUMPRODUCT((CÁLCULO!$M$15:$M$235=EVENTOS!$C47)*(OFFSET(CÁLCULO!$AI$15:$AI$235,0,W$13))),2),0)</f>
        <v>0</v>
      </c>
      <c r="X47" s="618">
        <f t="array" aca="1" ref="X47" ca="1">IF(AUTOEVENTO="Manual",ROUND(SUMPRODUCT((CÁLCULO!$M$15:$M$235=EVENTOS!$C47)*(OFFSET(CÁLCULO!$AI$15:$AI$235,0,X$13))),2),0)</f>
        <v>0</v>
      </c>
      <c r="Y47" s="618">
        <f t="array" aca="1" ref="Y47" ca="1">IF(AUTOEVENTO="Manual",ROUND(SUMPRODUCT((CÁLCULO!$M$15:$M$235=EVENTOS!$C47)*(OFFSET(CÁLCULO!$AI$15:$AI$235,0,Y$13))),2),0)</f>
        <v>0</v>
      </c>
    </row>
    <row r="48" spans="1:25" s="706" customFormat="1" x14ac:dyDescent="0.2">
      <c r="A48" s="505" t="str">
        <f t="shared" si="2"/>
        <v>F</v>
      </c>
      <c r="B48" s="706" t="str">
        <f t="shared" ca="1" si="3"/>
        <v>33. LOUÇAS</v>
      </c>
      <c r="C48" s="182">
        <f t="array" aca="1" ref="C48" ca="1">IF(OR(ROW(C48)=ROW(EVENTOS.firstrow)+1,AND(OFFSET(C48,-1,0)&lt;&gt;" ",OFFSET(C48,-1,1)&lt;&gt;"")),OFFSET(C48,-1,0)+1," ")</f>
        <v>33</v>
      </c>
      <c r="D48" s="495" t="s">
        <v>1192</v>
      </c>
      <c r="E48" s="618">
        <f t="array" aca="1" ref="E48" ca="1">IF(AUTOEVENTO="Manual",ROUND(SUMPRODUCT((CÁLCULO!$M$15:$M$235=EVENTOS!$C48)*(OFFSET(CÁLCULO!$AI$15:$AI$235,0,E$13))),2),0)</f>
        <v>8554.9500000000007</v>
      </c>
      <c r="F48" s="183">
        <f ca="1">IF(AUTOEVENTO="Manual",ROUND(SUMPRODUCT((CÁLCULO!$M$15:$M$235=EVENTOS!$C48)*(OFFSET(CÁLCULO!$AI$15,0,1):OFFSET(CÁLCULO!$BB$235,0,-1))),2),0)</f>
        <v>34219.800000000003</v>
      </c>
      <c r="G48" s="619" t="str">
        <f t="shared" ca="1" si="4"/>
        <v/>
      </c>
      <c r="H48" s="618">
        <f t="array" aca="1" ref="H48" ca="1">IF(AUTOEVENTO="Manual",ROUND(SUMPRODUCT((CÁLCULO!$M$15:$M$235=EVENTOS!$C48)*(OFFSET(CÁLCULO!$AI$15:$AI$235,0,H$13))),2),0)</f>
        <v>8554.9500000000007</v>
      </c>
      <c r="I48" s="618">
        <f t="array" aca="1" ref="I48" ca="1">IF(AUTOEVENTO="Manual",ROUND(SUMPRODUCT((CÁLCULO!$M$15:$M$235=EVENTOS!$C48)*(OFFSET(CÁLCULO!$AI$15:$AI$235,0,I$13))),2),0)</f>
        <v>8554.9500000000007</v>
      </c>
      <c r="J48" s="618">
        <f t="array" aca="1" ref="J48" ca="1">IF(AUTOEVENTO="Manual",ROUND(SUMPRODUCT((CÁLCULO!$M$15:$M$235=EVENTOS!$C48)*(OFFSET(CÁLCULO!$AI$15:$AI$235,0,J$13))),2),0)</f>
        <v>8554.9500000000007</v>
      </c>
      <c r="K48" s="618">
        <f t="array" aca="1" ref="K48" ca="1">IF(AUTOEVENTO="Manual",ROUND(SUMPRODUCT((CÁLCULO!$M$15:$M$235=EVENTOS!$C48)*(OFFSET(CÁLCULO!$AI$15:$AI$235,0,K$13))),2),0)</f>
        <v>8554.9500000000007</v>
      </c>
      <c r="L48" s="618">
        <f t="array" aca="1" ref="L48" ca="1">IF(AUTOEVENTO="Manual",ROUND(SUMPRODUCT((CÁLCULO!$M$15:$M$235=EVENTOS!$C48)*(OFFSET(CÁLCULO!$AI$15:$AI$235,0,L$13))),2),0)</f>
        <v>0</v>
      </c>
      <c r="M48" s="618">
        <f t="array" aca="1" ref="M48" ca="1">IF(AUTOEVENTO="Manual",ROUND(SUMPRODUCT((CÁLCULO!$M$15:$M$235=EVENTOS!$C48)*(OFFSET(CÁLCULO!$AI$15:$AI$235,0,M$13))),2),0)</f>
        <v>0</v>
      </c>
      <c r="N48" s="618">
        <f t="array" aca="1" ref="N48" ca="1">IF(AUTOEVENTO="Manual",ROUND(SUMPRODUCT((CÁLCULO!$M$15:$M$235=EVENTOS!$C48)*(OFFSET(CÁLCULO!$AI$15:$AI$235,0,N$13))),2),0)</f>
        <v>0</v>
      </c>
      <c r="O48" s="618">
        <f t="array" aca="1" ref="O48" ca="1">IF(AUTOEVENTO="Manual",ROUND(SUMPRODUCT((CÁLCULO!$M$15:$M$235=EVENTOS!$C48)*(OFFSET(CÁLCULO!$AI$15:$AI$235,0,O$13))),2),0)</f>
        <v>0</v>
      </c>
      <c r="P48" s="618">
        <f t="array" aca="1" ref="P48" ca="1">IF(AUTOEVENTO="Manual",ROUND(SUMPRODUCT((CÁLCULO!$M$15:$M$235=EVENTOS!$C48)*(OFFSET(CÁLCULO!$AI$15:$AI$235,0,P$13))),2),0)</f>
        <v>0</v>
      </c>
      <c r="Q48" s="618">
        <f t="array" aca="1" ref="Q48" ca="1">IF(AUTOEVENTO="Manual",ROUND(SUMPRODUCT((CÁLCULO!$M$15:$M$235=EVENTOS!$C48)*(OFFSET(CÁLCULO!$AI$15:$AI$235,0,Q$13))),2),0)</f>
        <v>0</v>
      </c>
      <c r="R48" s="618">
        <f t="array" aca="1" ref="R48" ca="1">IF(AUTOEVENTO="Manual",ROUND(SUMPRODUCT((CÁLCULO!$M$15:$M$235=EVENTOS!$C48)*(OFFSET(CÁLCULO!$AI$15:$AI$235,0,R$13))),2),0)</f>
        <v>0</v>
      </c>
      <c r="S48" s="618">
        <f t="array" aca="1" ref="S48" ca="1">IF(AUTOEVENTO="Manual",ROUND(SUMPRODUCT((CÁLCULO!$M$15:$M$235=EVENTOS!$C48)*(OFFSET(CÁLCULO!$AI$15:$AI$235,0,S$13))),2),0)</f>
        <v>0</v>
      </c>
      <c r="T48" s="618">
        <f t="array" aca="1" ref="T48" ca="1">IF(AUTOEVENTO="Manual",ROUND(SUMPRODUCT((CÁLCULO!$M$15:$M$235=EVENTOS!$C48)*(OFFSET(CÁLCULO!$AI$15:$AI$235,0,T$13))),2),0)</f>
        <v>0</v>
      </c>
      <c r="U48" s="618">
        <f t="array" aca="1" ref="U48" ca="1">IF(AUTOEVENTO="Manual",ROUND(SUMPRODUCT((CÁLCULO!$M$15:$M$235=EVENTOS!$C48)*(OFFSET(CÁLCULO!$AI$15:$AI$235,0,U$13))),2),0)</f>
        <v>0</v>
      </c>
      <c r="V48" s="618">
        <f t="array" aca="1" ref="V48" ca="1">IF(AUTOEVENTO="Manual",ROUND(SUMPRODUCT((CÁLCULO!$M$15:$M$235=EVENTOS!$C48)*(OFFSET(CÁLCULO!$AI$15:$AI$235,0,V$13))),2),0)</f>
        <v>0</v>
      </c>
      <c r="W48" s="618">
        <f t="array" aca="1" ref="W48" ca="1">IF(AUTOEVENTO="Manual",ROUND(SUMPRODUCT((CÁLCULO!$M$15:$M$235=EVENTOS!$C48)*(OFFSET(CÁLCULO!$AI$15:$AI$235,0,W$13))),2),0)</f>
        <v>0</v>
      </c>
      <c r="X48" s="618">
        <f t="array" aca="1" ref="X48" ca="1">IF(AUTOEVENTO="Manual",ROUND(SUMPRODUCT((CÁLCULO!$M$15:$M$235=EVENTOS!$C48)*(OFFSET(CÁLCULO!$AI$15:$AI$235,0,X$13))),2),0)</f>
        <v>0</v>
      </c>
      <c r="Y48" s="618">
        <f t="array" aca="1" ref="Y48" ca="1">IF(AUTOEVENTO="Manual",ROUND(SUMPRODUCT((CÁLCULO!$M$15:$M$235=EVENTOS!$C48)*(OFFSET(CÁLCULO!$AI$15:$AI$235,0,Y$13))),2),0)</f>
        <v>0</v>
      </c>
    </row>
    <row r="49" spans="1:25" s="709" customFormat="1" x14ac:dyDescent="0.2">
      <c r="A49" s="505" t="str">
        <f t="shared" si="2"/>
        <v>F</v>
      </c>
      <c r="B49" s="709" t="str">
        <f t="shared" ca="1" si="3"/>
        <v xml:space="preserve">34. METAIS </v>
      </c>
      <c r="C49" s="182">
        <f t="array" aca="1" ref="C49" ca="1">IF(OR(ROW(C49)=ROW(EVENTOS.firstrow)+1,AND(OFFSET(C49,-1,0)&lt;&gt;" ",OFFSET(C49,-1,1)&lt;&gt;"")),OFFSET(C49,-1,0)+1," ")</f>
        <v>34</v>
      </c>
      <c r="D49" s="495" t="s">
        <v>1429</v>
      </c>
      <c r="E49" s="618">
        <f t="array" aca="1" ref="E49" ca="1">IF(AUTOEVENTO="Manual",ROUND(SUMPRODUCT((CÁLCULO!$M$15:$M$235=EVENTOS!$C49)*(OFFSET(CÁLCULO!$AI$15:$AI$235,0,E$13))),2),0)</f>
        <v>850.85</v>
      </c>
      <c r="F49" s="183">
        <f ca="1">IF(AUTOEVENTO="Manual",ROUND(SUMPRODUCT((CÁLCULO!$M$15:$M$235=EVENTOS!$C49)*(OFFSET(CÁLCULO!$AI$15,0,1):OFFSET(CÁLCULO!$BB$235,0,-1))),2),0)</f>
        <v>13001.3</v>
      </c>
      <c r="G49" s="619" t="str">
        <f t="shared" ca="1" si="4"/>
        <v/>
      </c>
      <c r="H49" s="618">
        <f t="array" aca="1" ref="H49" ca="1">IF(AUTOEVENTO="Manual",ROUND(SUMPRODUCT((CÁLCULO!$M$15:$M$235=EVENTOS!$C49)*(OFFSET(CÁLCULO!$AI$15:$AI$235,0,H$13))),2),0)</f>
        <v>850.85</v>
      </c>
      <c r="I49" s="618">
        <f t="array" aca="1" ref="I49" ca="1">IF(AUTOEVENTO="Manual",ROUND(SUMPRODUCT((CÁLCULO!$M$15:$M$235=EVENTOS!$C49)*(OFFSET(CÁLCULO!$AI$15:$AI$235,0,I$13))),2),0)</f>
        <v>850.85</v>
      </c>
      <c r="J49" s="618">
        <f t="array" aca="1" ref="J49" ca="1">IF(AUTOEVENTO="Manual",ROUND(SUMPRODUCT((CÁLCULO!$M$15:$M$235=EVENTOS!$C49)*(OFFSET(CÁLCULO!$AI$15:$AI$235,0,J$13))),2),0)</f>
        <v>850.85</v>
      </c>
      <c r="K49" s="618">
        <f t="array" aca="1" ref="K49" ca="1">IF(AUTOEVENTO="Manual",ROUND(SUMPRODUCT((CÁLCULO!$M$15:$M$235=EVENTOS!$C49)*(OFFSET(CÁLCULO!$AI$15:$AI$235,0,K$13))),2),0)</f>
        <v>10448.75</v>
      </c>
      <c r="L49" s="618">
        <f t="array" aca="1" ref="L49" ca="1">IF(AUTOEVENTO="Manual",ROUND(SUMPRODUCT((CÁLCULO!$M$15:$M$235=EVENTOS!$C49)*(OFFSET(CÁLCULO!$AI$15:$AI$235,0,L$13))),2),0)</f>
        <v>0</v>
      </c>
      <c r="M49" s="618">
        <f t="array" aca="1" ref="M49" ca="1">IF(AUTOEVENTO="Manual",ROUND(SUMPRODUCT((CÁLCULO!$M$15:$M$235=EVENTOS!$C49)*(OFFSET(CÁLCULO!$AI$15:$AI$235,0,M$13))),2),0)</f>
        <v>0</v>
      </c>
      <c r="N49" s="618">
        <f t="array" aca="1" ref="N49" ca="1">IF(AUTOEVENTO="Manual",ROUND(SUMPRODUCT((CÁLCULO!$M$15:$M$235=EVENTOS!$C49)*(OFFSET(CÁLCULO!$AI$15:$AI$235,0,N$13))),2),0)</f>
        <v>0</v>
      </c>
      <c r="O49" s="618">
        <f t="array" aca="1" ref="O49" ca="1">IF(AUTOEVENTO="Manual",ROUND(SUMPRODUCT((CÁLCULO!$M$15:$M$235=EVENTOS!$C49)*(OFFSET(CÁLCULO!$AI$15:$AI$235,0,O$13))),2),0)</f>
        <v>0</v>
      </c>
      <c r="P49" s="618">
        <f t="array" aca="1" ref="P49" ca="1">IF(AUTOEVENTO="Manual",ROUND(SUMPRODUCT((CÁLCULO!$M$15:$M$235=EVENTOS!$C49)*(OFFSET(CÁLCULO!$AI$15:$AI$235,0,P$13))),2),0)</f>
        <v>0</v>
      </c>
      <c r="Q49" s="618">
        <f t="array" aca="1" ref="Q49" ca="1">IF(AUTOEVENTO="Manual",ROUND(SUMPRODUCT((CÁLCULO!$M$15:$M$235=EVENTOS!$C49)*(OFFSET(CÁLCULO!$AI$15:$AI$235,0,Q$13))),2),0)</f>
        <v>0</v>
      </c>
      <c r="R49" s="618">
        <f t="array" aca="1" ref="R49" ca="1">IF(AUTOEVENTO="Manual",ROUND(SUMPRODUCT((CÁLCULO!$M$15:$M$235=EVENTOS!$C49)*(OFFSET(CÁLCULO!$AI$15:$AI$235,0,R$13))),2),0)</f>
        <v>0</v>
      </c>
      <c r="S49" s="618">
        <f t="array" aca="1" ref="S49" ca="1">IF(AUTOEVENTO="Manual",ROUND(SUMPRODUCT((CÁLCULO!$M$15:$M$235=EVENTOS!$C49)*(OFFSET(CÁLCULO!$AI$15:$AI$235,0,S$13))),2),0)</f>
        <v>0</v>
      </c>
      <c r="T49" s="618">
        <f t="array" aca="1" ref="T49" ca="1">IF(AUTOEVENTO="Manual",ROUND(SUMPRODUCT((CÁLCULO!$M$15:$M$235=EVENTOS!$C49)*(OFFSET(CÁLCULO!$AI$15:$AI$235,0,T$13))),2),0)</f>
        <v>0</v>
      </c>
      <c r="U49" s="618">
        <f t="array" aca="1" ref="U49" ca="1">IF(AUTOEVENTO="Manual",ROUND(SUMPRODUCT((CÁLCULO!$M$15:$M$235=EVENTOS!$C49)*(OFFSET(CÁLCULO!$AI$15:$AI$235,0,U$13))),2),0)</f>
        <v>0</v>
      </c>
      <c r="V49" s="618">
        <f t="array" aca="1" ref="V49" ca="1">IF(AUTOEVENTO="Manual",ROUND(SUMPRODUCT((CÁLCULO!$M$15:$M$235=EVENTOS!$C49)*(OFFSET(CÁLCULO!$AI$15:$AI$235,0,V$13))),2),0)</f>
        <v>0</v>
      </c>
      <c r="W49" s="618">
        <f t="array" aca="1" ref="W49" ca="1">IF(AUTOEVENTO="Manual",ROUND(SUMPRODUCT((CÁLCULO!$M$15:$M$235=EVENTOS!$C49)*(OFFSET(CÁLCULO!$AI$15:$AI$235,0,W$13))),2),0)</f>
        <v>0</v>
      </c>
      <c r="X49" s="618">
        <f t="array" aca="1" ref="X49" ca="1">IF(AUTOEVENTO="Manual",ROUND(SUMPRODUCT((CÁLCULO!$M$15:$M$235=EVENTOS!$C49)*(OFFSET(CÁLCULO!$AI$15:$AI$235,0,X$13))),2),0)</f>
        <v>0</v>
      </c>
      <c r="Y49" s="618">
        <f t="array" aca="1" ref="Y49" ca="1">IF(AUTOEVENTO="Manual",ROUND(SUMPRODUCT((CÁLCULO!$M$15:$M$235=EVENTOS!$C49)*(OFFSET(CÁLCULO!$AI$15:$AI$235,0,Y$13))),2),0)</f>
        <v>0</v>
      </c>
    </row>
    <row r="50" spans="1:25" s="709" customFormat="1" x14ac:dyDescent="0.2">
      <c r="A50" s="505" t="str">
        <f t="shared" si="2"/>
        <v>F</v>
      </c>
      <c r="B50" s="709" t="str">
        <f t="shared" ca="1" si="3"/>
        <v>35. EQUIPAMENTOS</v>
      </c>
      <c r="C50" s="182">
        <f t="array" aca="1" ref="C50" ca="1">IF(OR(ROW(C50)=ROW(EVENTOS.firstrow)+1,AND(OFFSET(C50,-1,0)&lt;&gt;" ",OFFSET(C50,-1,1)&lt;&gt;"")),OFFSET(C50,-1,0)+1," ")</f>
        <v>35</v>
      </c>
      <c r="D50" s="495" t="s">
        <v>1430</v>
      </c>
      <c r="E50" s="618">
        <f t="array" aca="1" ref="E50" ca="1">IF(AUTOEVENTO="Manual",ROUND(SUMPRODUCT((CÁLCULO!$M$15:$M$235=EVENTOS!$C50)*(OFFSET(CÁLCULO!$AI$15:$AI$235,0,E$13))),2),0)</f>
        <v>1079.5999999999999</v>
      </c>
      <c r="F50" s="183">
        <f ca="1">IF(AUTOEVENTO="Manual",ROUND(SUMPRODUCT((CÁLCULO!$M$15:$M$235=EVENTOS!$C50)*(OFFSET(CÁLCULO!$AI$15,0,1):OFFSET(CÁLCULO!$BB$235,0,-1))),2),0)</f>
        <v>4318.3999999999996</v>
      </c>
      <c r="G50" s="619" t="str">
        <f t="shared" ca="1" si="4"/>
        <v/>
      </c>
      <c r="H50" s="618">
        <f t="array" aca="1" ref="H50" ca="1">IF(AUTOEVENTO="Manual",ROUND(SUMPRODUCT((CÁLCULO!$M$15:$M$235=EVENTOS!$C50)*(OFFSET(CÁLCULO!$AI$15:$AI$235,0,H$13))),2),0)</f>
        <v>1079.5999999999999</v>
      </c>
      <c r="I50" s="618">
        <f t="array" aca="1" ref="I50" ca="1">IF(AUTOEVENTO="Manual",ROUND(SUMPRODUCT((CÁLCULO!$M$15:$M$235=EVENTOS!$C50)*(OFFSET(CÁLCULO!$AI$15:$AI$235,0,I$13))),2),0)</f>
        <v>1079.5999999999999</v>
      </c>
      <c r="J50" s="618">
        <f t="array" aca="1" ref="J50" ca="1">IF(AUTOEVENTO="Manual",ROUND(SUMPRODUCT((CÁLCULO!$M$15:$M$235=EVENTOS!$C50)*(OFFSET(CÁLCULO!$AI$15:$AI$235,0,J$13))),2),0)</f>
        <v>1079.5999999999999</v>
      </c>
      <c r="K50" s="618">
        <f t="array" aca="1" ref="K50" ca="1">IF(AUTOEVENTO="Manual",ROUND(SUMPRODUCT((CÁLCULO!$M$15:$M$235=EVENTOS!$C50)*(OFFSET(CÁLCULO!$AI$15:$AI$235,0,K$13))),2),0)</f>
        <v>1079.5999999999999</v>
      </c>
      <c r="L50" s="618">
        <f t="array" aca="1" ref="L50" ca="1">IF(AUTOEVENTO="Manual",ROUND(SUMPRODUCT((CÁLCULO!$M$15:$M$235=EVENTOS!$C50)*(OFFSET(CÁLCULO!$AI$15:$AI$235,0,L$13))),2),0)</f>
        <v>0</v>
      </c>
      <c r="M50" s="618">
        <f t="array" aca="1" ref="M50" ca="1">IF(AUTOEVENTO="Manual",ROUND(SUMPRODUCT((CÁLCULO!$M$15:$M$235=EVENTOS!$C50)*(OFFSET(CÁLCULO!$AI$15:$AI$235,0,M$13))),2),0)</f>
        <v>0</v>
      </c>
      <c r="N50" s="618">
        <f t="array" aca="1" ref="N50" ca="1">IF(AUTOEVENTO="Manual",ROUND(SUMPRODUCT((CÁLCULO!$M$15:$M$235=EVENTOS!$C50)*(OFFSET(CÁLCULO!$AI$15:$AI$235,0,N$13))),2),0)</f>
        <v>0</v>
      </c>
      <c r="O50" s="618">
        <f t="array" aca="1" ref="O50" ca="1">IF(AUTOEVENTO="Manual",ROUND(SUMPRODUCT((CÁLCULO!$M$15:$M$235=EVENTOS!$C50)*(OFFSET(CÁLCULO!$AI$15:$AI$235,0,O$13))),2),0)</f>
        <v>0</v>
      </c>
      <c r="P50" s="618">
        <f t="array" aca="1" ref="P50" ca="1">IF(AUTOEVENTO="Manual",ROUND(SUMPRODUCT((CÁLCULO!$M$15:$M$235=EVENTOS!$C50)*(OFFSET(CÁLCULO!$AI$15:$AI$235,0,P$13))),2),0)</f>
        <v>0</v>
      </c>
      <c r="Q50" s="618">
        <f t="array" aca="1" ref="Q50" ca="1">IF(AUTOEVENTO="Manual",ROUND(SUMPRODUCT((CÁLCULO!$M$15:$M$235=EVENTOS!$C50)*(OFFSET(CÁLCULO!$AI$15:$AI$235,0,Q$13))),2),0)</f>
        <v>0</v>
      </c>
      <c r="R50" s="618">
        <f t="array" aca="1" ref="R50" ca="1">IF(AUTOEVENTO="Manual",ROUND(SUMPRODUCT((CÁLCULO!$M$15:$M$235=EVENTOS!$C50)*(OFFSET(CÁLCULO!$AI$15:$AI$235,0,R$13))),2),0)</f>
        <v>0</v>
      </c>
      <c r="S50" s="618">
        <f t="array" aca="1" ref="S50" ca="1">IF(AUTOEVENTO="Manual",ROUND(SUMPRODUCT((CÁLCULO!$M$15:$M$235=EVENTOS!$C50)*(OFFSET(CÁLCULO!$AI$15:$AI$235,0,S$13))),2),0)</f>
        <v>0</v>
      </c>
      <c r="T50" s="618">
        <f t="array" aca="1" ref="T50" ca="1">IF(AUTOEVENTO="Manual",ROUND(SUMPRODUCT((CÁLCULO!$M$15:$M$235=EVENTOS!$C50)*(OFFSET(CÁLCULO!$AI$15:$AI$235,0,T$13))),2),0)</f>
        <v>0</v>
      </c>
      <c r="U50" s="618">
        <f t="array" aca="1" ref="U50" ca="1">IF(AUTOEVENTO="Manual",ROUND(SUMPRODUCT((CÁLCULO!$M$15:$M$235=EVENTOS!$C50)*(OFFSET(CÁLCULO!$AI$15:$AI$235,0,U$13))),2),0)</f>
        <v>0</v>
      </c>
      <c r="V50" s="618">
        <f t="array" aca="1" ref="V50" ca="1">IF(AUTOEVENTO="Manual",ROUND(SUMPRODUCT((CÁLCULO!$M$15:$M$235=EVENTOS!$C50)*(OFFSET(CÁLCULO!$AI$15:$AI$235,0,V$13))),2),0)</f>
        <v>0</v>
      </c>
      <c r="W50" s="618">
        <f t="array" aca="1" ref="W50" ca="1">IF(AUTOEVENTO="Manual",ROUND(SUMPRODUCT((CÁLCULO!$M$15:$M$235=EVENTOS!$C50)*(OFFSET(CÁLCULO!$AI$15:$AI$235,0,W$13))),2),0)</f>
        <v>0</v>
      </c>
      <c r="X50" s="618">
        <f t="array" aca="1" ref="X50" ca="1">IF(AUTOEVENTO="Manual",ROUND(SUMPRODUCT((CÁLCULO!$M$15:$M$235=EVENTOS!$C50)*(OFFSET(CÁLCULO!$AI$15:$AI$235,0,X$13))),2),0)</f>
        <v>0</v>
      </c>
      <c r="Y50" s="618">
        <f t="array" aca="1" ref="Y50" ca="1">IF(AUTOEVENTO="Manual",ROUND(SUMPRODUCT((CÁLCULO!$M$15:$M$235=EVENTOS!$C50)*(OFFSET(CÁLCULO!$AI$15:$AI$235,0,Y$13))),2),0)</f>
        <v>0</v>
      </c>
    </row>
    <row r="51" spans="1:25" s="709" customFormat="1" x14ac:dyDescent="0.2">
      <c r="A51" s="505" t="str">
        <f t="shared" si="2"/>
        <v>F</v>
      </c>
      <c r="B51" s="709" t="str">
        <f t="shared" ca="1" si="3"/>
        <v>36. ELÉTRICA EMBITIDA EM LAJE E FORROS</v>
      </c>
      <c r="C51" s="182">
        <f t="array" aca="1" ref="C51" ca="1">IF(OR(ROW(C51)=ROW(EVENTOS.firstrow)+1,AND(OFFSET(C51,-1,0)&lt;&gt;" ",OFFSET(C51,-1,1)&lt;&gt;"")),OFFSET(C51,-1,0)+1," ")</f>
        <v>36</v>
      </c>
      <c r="D51" s="495" t="s">
        <v>1435</v>
      </c>
      <c r="E51" s="618">
        <f t="array" aca="1" ref="E51" ca="1">IF(AUTOEVENTO="Manual",ROUND(SUMPRODUCT((CÁLCULO!$M$15:$M$235=EVENTOS!$C51)*(OFFSET(CÁLCULO!$AI$15:$AI$235,0,E$13))),2),0)</f>
        <v>6552.96</v>
      </c>
      <c r="F51" s="183">
        <f ca="1">IF(AUTOEVENTO="Manual",ROUND(SUMPRODUCT((CÁLCULO!$M$15:$M$235=EVENTOS!$C51)*(OFFSET(CÁLCULO!$AI$15,0,1):OFFSET(CÁLCULO!$BB$235,0,-1))),2),0)</f>
        <v>26211.84</v>
      </c>
      <c r="G51" s="619" t="str">
        <f t="shared" ca="1" si="4"/>
        <v/>
      </c>
      <c r="H51" s="618">
        <f t="array" aca="1" ref="H51" ca="1">IF(AUTOEVENTO="Manual",ROUND(SUMPRODUCT((CÁLCULO!$M$15:$M$235=EVENTOS!$C51)*(OFFSET(CÁLCULO!$AI$15:$AI$235,0,H$13))),2),0)</f>
        <v>6552.96</v>
      </c>
      <c r="I51" s="618">
        <f t="array" aca="1" ref="I51" ca="1">IF(AUTOEVENTO="Manual",ROUND(SUMPRODUCT((CÁLCULO!$M$15:$M$235=EVENTOS!$C51)*(OFFSET(CÁLCULO!$AI$15:$AI$235,0,I$13))),2),0)</f>
        <v>6552.96</v>
      </c>
      <c r="J51" s="618">
        <f t="array" aca="1" ref="J51" ca="1">IF(AUTOEVENTO="Manual",ROUND(SUMPRODUCT((CÁLCULO!$M$15:$M$235=EVENTOS!$C51)*(OFFSET(CÁLCULO!$AI$15:$AI$235,0,J$13))),2),0)</f>
        <v>6552.96</v>
      </c>
      <c r="K51" s="618">
        <f t="array" aca="1" ref="K51" ca="1">IF(AUTOEVENTO="Manual",ROUND(SUMPRODUCT((CÁLCULO!$M$15:$M$235=EVENTOS!$C51)*(OFFSET(CÁLCULO!$AI$15:$AI$235,0,K$13))),2),0)</f>
        <v>6552.96</v>
      </c>
      <c r="L51" s="618">
        <f t="array" aca="1" ref="L51" ca="1">IF(AUTOEVENTO="Manual",ROUND(SUMPRODUCT((CÁLCULO!$M$15:$M$235=EVENTOS!$C51)*(OFFSET(CÁLCULO!$AI$15:$AI$235,0,L$13))),2),0)</f>
        <v>0</v>
      </c>
      <c r="M51" s="618">
        <f t="array" aca="1" ref="M51" ca="1">IF(AUTOEVENTO="Manual",ROUND(SUMPRODUCT((CÁLCULO!$M$15:$M$235=EVENTOS!$C51)*(OFFSET(CÁLCULO!$AI$15:$AI$235,0,M$13))),2),0)</f>
        <v>0</v>
      </c>
      <c r="N51" s="618">
        <f t="array" aca="1" ref="N51" ca="1">IF(AUTOEVENTO="Manual",ROUND(SUMPRODUCT((CÁLCULO!$M$15:$M$235=EVENTOS!$C51)*(OFFSET(CÁLCULO!$AI$15:$AI$235,0,N$13))),2),0)</f>
        <v>0</v>
      </c>
      <c r="O51" s="618">
        <f t="array" aca="1" ref="O51" ca="1">IF(AUTOEVENTO="Manual",ROUND(SUMPRODUCT((CÁLCULO!$M$15:$M$235=EVENTOS!$C51)*(OFFSET(CÁLCULO!$AI$15:$AI$235,0,O$13))),2),0)</f>
        <v>0</v>
      </c>
      <c r="P51" s="618">
        <f t="array" aca="1" ref="P51" ca="1">IF(AUTOEVENTO="Manual",ROUND(SUMPRODUCT((CÁLCULO!$M$15:$M$235=EVENTOS!$C51)*(OFFSET(CÁLCULO!$AI$15:$AI$235,0,P$13))),2),0)</f>
        <v>0</v>
      </c>
      <c r="Q51" s="618">
        <f t="array" aca="1" ref="Q51" ca="1">IF(AUTOEVENTO="Manual",ROUND(SUMPRODUCT((CÁLCULO!$M$15:$M$235=EVENTOS!$C51)*(OFFSET(CÁLCULO!$AI$15:$AI$235,0,Q$13))),2),0)</f>
        <v>0</v>
      </c>
      <c r="R51" s="618">
        <f t="array" aca="1" ref="R51" ca="1">IF(AUTOEVENTO="Manual",ROUND(SUMPRODUCT((CÁLCULO!$M$15:$M$235=EVENTOS!$C51)*(OFFSET(CÁLCULO!$AI$15:$AI$235,0,R$13))),2),0)</f>
        <v>0</v>
      </c>
      <c r="S51" s="618">
        <f t="array" aca="1" ref="S51" ca="1">IF(AUTOEVENTO="Manual",ROUND(SUMPRODUCT((CÁLCULO!$M$15:$M$235=EVENTOS!$C51)*(OFFSET(CÁLCULO!$AI$15:$AI$235,0,S$13))),2),0)</f>
        <v>0</v>
      </c>
      <c r="T51" s="618">
        <f t="array" aca="1" ref="T51" ca="1">IF(AUTOEVENTO="Manual",ROUND(SUMPRODUCT((CÁLCULO!$M$15:$M$235=EVENTOS!$C51)*(OFFSET(CÁLCULO!$AI$15:$AI$235,0,T$13))),2),0)</f>
        <v>0</v>
      </c>
      <c r="U51" s="618">
        <f t="array" aca="1" ref="U51" ca="1">IF(AUTOEVENTO="Manual",ROUND(SUMPRODUCT((CÁLCULO!$M$15:$M$235=EVENTOS!$C51)*(OFFSET(CÁLCULO!$AI$15:$AI$235,0,U$13))),2),0)</f>
        <v>0</v>
      </c>
      <c r="V51" s="618">
        <f t="array" aca="1" ref="V51" ca="1">IF(AUTOEVENTO="Manual",ROUND(SUMPRODUCT((CÁLCULO!$M$15:$M$235=EVENTOS!$C51)*(OFFSET(CÁLCULO!$AI$15:$AI$235,0,V$13))),2),0)</f>
        <v>0</v>
      </c>
      <c r="W51" s="618">
        <f t="array" aca="1" ref="W51" ca="1">IF(AUTOEVENTO="Manual",ROUND(SUMPRODUCT((CÁLCULO!$M$15:$M$235=EVENTOS!$C51)*(OFFSET(CÁLCULO!$AI$15:$AI$235,0,W$13))),2),0)</f>
        <v>0</v>
      </c>
      <c r="X51" s="618">
        <f t="array" aca="1" ref="X51" ca="1">IF(AUTOEVENTO="Manual",ROUND(SUMPRODUCT((CÁLCULO!$M$15:$M$235=EVENTOS!$C51)*(OFFSET(CÁLCULO!$AI$15:$AI$235,0,X$13))),2),0)</f>
        <v>0</v>
      </c>
      <c r="Y51" s="618">
        <f t="array" aca="1" ref="Y51" ca="1">IF(AUTOEVENTO="Manual",ROUND(SUMPRODUCT((CÁLCULO!$M$15:$M$235=EVENTOS!$C51)*(OFFSET(CÁLCULO!$AI$15:$AI$235,0,Y$13))),2),0)</f>
        <v>0</v>
      </c>
    </row>
    <row r="52" spans="1:25" s="709" customFormat="1" x14ac:dyDescent="0.2">
      <c r="A52" s="505" t="str">
        <f t="shared" si="2"/>
        <v>F</v>
      </c>
      <c r="B52" s="709" t="str">
        <f t="shared" ca="1" si="3"/>
        <v>37. ELÉTRICA EMBUTIDA EM PAREDE</v>
      </c>
      <c r="C52" s="182">
        <f t="array" aca="1" ref="C52" ca="1">IF(OR(ROW(C52)=ROW(EVENTOS.firstrow)+1,AND(OFFSET(C52,-1,0)&lt;&gt;" ",OFFSET(C52,-1,1)&lt;&gt;"")),OFFSET(C52,-1,0)+1," ")</f>
        <v>37</v>
      </c>
      <c r="D52" s="495" t="s">
        <v>1431</v>
      </c>
      <c r="E52" s="618">
        <f t="array" aca="1" ref="E52" ca="1">IF(AUTOEVENTO="Manual",ROUND(SUMPRODUCT((CÁLCULO!$M$15:$M$235=EVENTOS!$C52)*(OFFSET(CÁLCULO!$AI$15:$AI$235,0,E$13))),2),0)</f>
        <v>9232.64</v>
      </c>
      <c r="F52" s="183">
        <f ca="1">IF(AUTOEVENTO="Manual",ROUND(SUMPRODUCT((CÁLCULO!$M$15:$M$235=EVENTOS!$C52)*(OFFSET(CÁLCULO!$AI$15,0,1):OFFSET(CÁLCULO!$BB$235,0,-1))),2),0)</f>
        <v>36930.559999999998</v>
      </c>
      <c r="G52" s="619" t="str">
        <f t="shared" ca="1" si="4"/>
        <v/>
      </c>
      <c r="H52" s="618">
        <f t="array" aca="1" ref="H52" ca="1">IF(AUTOEVENTO="Manual",ROUND(SUMPRODUCT((CÁLCULO!$M$15:$M$235=EVENTOS!$C52)*(OFFSET(CÁLCULO!$AI$15:$AI$235,0,H$13))),2),0)</f>
        <v>9232.64</v>
      </c>
      <c r="I52" s="618">
        <f t="array" aca="1" ref="I52" ca="1">IF(AUTOEVENTO="Manual",ROUND(SUMPRODUCT((CÁLCULO!$M$15:$M$235=EVENTOS!$C52)*(OFFSET(CÁLCULO!$AI$15:$AI$235,0,I$13))),2),0)</f>
        <v>9232.64</v>
      </c>
      <c r="J52" s="618">
        <f t="array" aca="1" ref="J52" ca="1">IF(AUTOEVENTO="Manual",ROUND(SUMPRODUCT((CÁLCULO!$M$15:$M$235=EVENTOS!$C52)*(OFFSET(CÁLCULO!$AI$15:$AI$235,0,J$13))),2),0)</f>
        <v>9232.64</v>
      </c>
      <c r="K52" s="618">
        <f t="array" aca="1" ref="K52" ca="1">IF(AUTOEVENTO="Manual",ROUND(SUMPRODUCT((CÁLCULO!$M$15:$M$235=EVENTOS!$C52)*(OFFSET(CÁLCULO!$AI$15:$AI$235,0,K$13))),2),0)</f>
        <v>9232.64</v>
      </c>
      <c r="L52" s="618">
        <f t="array" aca="1" ref="L52" ca="1">IF(AUTOEVENTO="Manual",ROUND(SUMPRODUCT((CÁLCULO!$M$15:$M$235=EVENTOS!$C52)*(OFFSET(CÁLCULO!$AI$15:$AI$235,0,L$13))),2),0)</f>
        <v>0</v>
      </c>
      <c r="M52" s="618">
        <f t="array" aca="1" ref="M52" ca="1">IF(AUTOEVENTO="Manual",ROUND(SUMPRODUCT((CÁLCULO!$M$15:$M$235=EVENTOS!$C52)*(OFFSET(CÁLCULO!$AI$15:$AI$235,0,M$13))),2),0)</f>
        <v>0</v>
      </c>
      <c r="N52" s="618">
        <f t="array" aca="1" ref="N52" ca="1">IF(AUTOEVENTO="Manual",ROUND(SUMPRODUCT((CÁLCULO!$M$15:$M$235=EVENTOS!$C52)*(OFFSET(CÁLCULO!$AI$15:$AI$235,0,N$13))),2),0)</f>
        <v>0</v>
      </c>
      <c r="O52" s="618">
        <f t="array" aca="1" ref="O52" ca="1">IF(AUTOEVENTO="Manual",ROUND(SUMPRODUCT((CÁLCULO!$M$15:$M$235=EVENTOS!$C52)*(OFFSET(CÁLCULO!$AI$15:$AI$235,0,O$13))),2),0)</f>
        <v>0</v>
      </c>
      <c r="P52" s="618">
        <f t="array" aca="1" ref="P52" ca="1">IF(AUTOEVENTO="Manual",ROUND(SUMPRODUCT((CÁLCULO!$M$15:$M$235=EVENTOS!$C52)*(OFFSET(CÁLCULO!$AI$15:$AI$235,0,P$13))),2),0)</f>
        <v>0</v>
      </c>
      <c r="Q52" s="618">
        <f t="array" aca="1" ref="Q52" ca="1">IF(AUTOEVENTO="Manual",ROUND(SUMPRODUCT((CÁLCULO!$M$15:$M$235=EVENTOS!$C52)*(OFFSET(CÁLCULO!$AI$15:$AI$235,0,Q$13))),2),0)</f>
        <v>0</v>
      </c>
      <c r="R52" s="618">
        <f t="array" aca="1" ref="R52" ca="1">IF(AUTOEVENTO="Manual",ROUND(SUMPRODUCT((CÁLCULO!$M$15:$M$235=EVENTOS!$C52)*(OFFSET(CÁLCULO!$AI$15:$AI$235,0,R$13))),2),0)</f>
        <v>0</v>
      </c>
      <c r="S52" s="618">
        <f t="array" aca="1" ref="S52" ca="1">IF(AUTOEVENTO="Manual",ROUND(SUMPRODUCT((CÁLCULO!$M$15:$M$235=EVENTOS!$C52)*(OFFSET(CÁLCULO!$AI$15:$AI$235,0,S$13))),2),0)</f>
        <v>0</v>
      </c>
      <c r="T52" s="618">
        <f t="array" aca="1" ref="T52" ca="1">IF(AUTOEVENTO="Manual",ROUND(SUMPRODUCT((CÁLCULO!$M$15:$M$235=EVENTOS!$C52)*(OFFSET(CÁLCULO!$AI$15:$AI$235,0,T$13))),2),0)</f>
        <v>0</v>
      </c>
      <c r="U52" s="618">
        <f t="array" aca="1" ref="U52" ca="1">IF(AUTOEVENTO="Manual",ROUND(SUMPRODUCT((CÁLCULO!$M$15:$M$235=EVENTOS!$C52)*(OFFSET(CÁLCULO!$AI$15:$AI$235,0,U$13))),2),0)</f>
        <v>0</v>
      </c>
      <c r="V52" s="618">
        <f t="array" aca="1" ref="V52" ca="1">IF(AUTOEVENTO="Manual",ROUND(SUMPRODUCT((CÁLCULO!$M$15:$M$235=EVENTOS!$C52)*(OFFSET(CÁLCULO!$AI$15:$AI$235,0,V$13))),2),0)</f>
        <v>0</v>
      </c>
      <c r="W52" s="618">
        <f t="array" aca="1" ref="W52" ca="1">IF(AUTOEVENTO="Manual",ROUND(SUMPRODUCT((CÁLCULO!$M$15:$M$235=EVENTOS!$C52)*(OFFSET(CÁLCULO!$AI$15:$AI$235,0,W$13))),2),0)</f>
        <v>0</v>
      </c>
      <c r="X52" s="618">
        <f t="array" aca="1" ref="X52" ca="1">IF(AUTOEVENTO="Manual",ROUND(SUMPRODUCT((CÁLCULO!$M$15:$M$235=EVENTOS!$C52)*(OFFSET(CÁLCULO!$AI$15:$AI$235,0,X$13))),2),0)</f>
        <v>0</v>
      </c>
      <c r="Y52" s="618">
        <f t="array" aca="1" ref="Y52" ca="1">IF(AUTOEVENTO="Manual",ROUND(SUMPRODUCT((CÁLCULO!$M$15:$M$235=EVENTOS!$C52)*(OFFSET(CÁLCULO!$AI$15:$AI$235,0,Y$13))),2),0)</f>
        <v>0</v>
      </c>
    </row>
    <row r="53" spans="1:25" s="709" customFormat="1" x14ac:dyDescent="0.2">
      <c r="A53" s="505" t="str">
        <f t="shared" si="2"/>
        <v>F</v>
      </c>
      <c r="B53" s="709" t="str">
        <f t="shared" ca="1" si="3"/>
        <v>38. HIDRÁULICA EMBUTIDA EM PAREDE</v>
      </c>
      <c r="C53" s="182">
        <f t="array" aca="1" ref="C53" ca="1">IF(OR(ROW(C53)=ROW(EVENTOS.firstrow)+1,AND(OFFSET(C53,-1,0)&lt;&gt;" ",OFFSET(C53,-1,1)&lt;&gt;"")),OFFSET(C53,-1,0)+1," ")</f>
        <v>38</v>
      </c>
      <c r="D53" s="495" t="s">
        <v>1432</v>
      </c>
      <c r="E53" s="618">
        <f t="array" aca="1" ref="E53" ca="1">IF(AUTOEVENTO="Manual",ROUND(SUMPRODUCT((CÁLCULO!$M$15:$M$235=EVENTOS!$C53)*(OFFSET(CÁLCULO!$AI$15:$AI$235,0,E$13))),2),0)</f>
        <v>8571.56</v>
      </c>
      <c r="F53" s="183">
        <f ca="1">IF(AUTOEVENTO="Manual",ROUND(SUMPRODUCT((CÁLCULO!$M$15:$M$235=EVENTOS!$C53)*(OFFSET(CÁLCULO!$AI$15,0,1):OFFSET(CÁLCULO!$BB$235,0,-1))),2),0)</f>
        <v>34286.239999999998</v>
      </c>
      <c r="G53" s="619" t="str">
        <f t="shared" ca="1" si="4"/>
        <v/>
      </c>
      <c r="H53" s="618">
        <f t="array" aca="1" ref="H53" ca="1">IF(AUTOEVENTO="Manual",ROUND(SUMPRODUCT((CÁLCULO!$M$15:$M$235=EVENTOS!$C53)*(OFFSET(CÁLCULO!$AI$15:$AI$235,0,H$13))),2),0)</f>
        <v>8571.56</v>
      </c>
      <c r="I53" s="618">
        <f t="array" aca="1" ref="I53" ca="1">IF(AUTOEVENTO="Manual",ROUND(SUMPRODUCT((CÁLCULO!$M$15:$M$235=EVENTOS!$C53)*(OFFSET(CÁLCULO!$AI$15:$AI$235,0,I$13))),2),0)</f>
        <v>8571.56</v>
      </c>
      <c r="J53" s="618">
        <f t="array" aca="1" ref="J53" ca="1">IF(AUTOEVENTO="Manual",ROUND(SUMPRODUCT((CÁLCULO!$M$15:$M$235=EVENTOS!$C53)*(OFFSET(CÁLCULO!$AI$15:$AI$235,0,J$13))),2),0)</f>
        <v>8571.56</v>
      </c>
      <c r="K53" s="618">
        <f t="array" aca="1" ref="K53" ca="1">IF(AUTOEVENTO="Manual",ROUND(SUMPRODUCT((CÁLCULO!$M$15:$M$235=EVENTOS!$C53)*(OFFSET(CÁLCULO!$AI$15:$AI$235,0,K$13))),2),0)</f>
        <v>8571.56</v>
      </c>
      <c r="L53" s="618">
        <f t="array" aca="1" ref="L53" ca="1">IF(AUTOEVENTO="Manual",ROUND(SUMPRODUCT((CÁLCULO!$M$15:$M$235=EVENTOS!$C53)*(OFFSET(CÁLCULO!$AI$15:$AI$235,0,L$13))),2),0)</f>
        <v>0</v>
      </c>
      <c r="M53" s="618">
        <f t="array" aca="1" ref="M53" ca="1">IF(AUTOEVENTO="Manual",ROUND(SUMPRODUCT((CÁLCULO!$M$15:$M$235=EVENTOS!$C53)*(OFFSET(CÁLCULO!$AI$15:$AI$235,0,M$13))),2),0)</f>
        <v>0</v>
      </c>
      <c r="N53" s="618">
        <f t="array" aca="1" ref="N53" ca="1">IF(AUTOEVENTO="Manual",ROUND(SUMPRODUCT((CÁLCULO!$M$15:$M$235=EVENTOS!$C53)*(OFFSET(CÁLCULO!$AI$15:$AI$235,0,N$13))),2),0)</f>
        <v>0</v>
      </c>
      <c r="O53" s="618">
        <f t="array" aca="1" ref="O53" ca="1">IF(AUTOEVENTO="Manual",ROUND(SUMPRODUCT((CÁLCULO!$M$15:$M$235=EVENTOS!$C53)*(OFFSET(CÁLCULO!$AI$15:$AI$235,0,O$13))),2),0)</f>
        <v>0</v>
      </c>
      <c r="P53" s="618">
        <f t="array" aca="1" ref="P53" ca="1">IF(AUTOEVENTO="Manual",ROUND(SUMPRODUCT((CÁLCULO!$M$15:$M$235=EVENTOS!$C53)*(OFFSET(CÁLCULO!$AI$15:$AI$235,0,P$13))),2),0)</f>
        <v>0</v>
      </c>
      <c r="Q53" s="618">
        <f t="array" aca="1" ref="Q53" ca="1">IF(AUTOEVENTO="Manual",ROUND(SUMPRODUCT((CÁLCULO!$M$15:$M$235=EVENTOS!$C53)*(OFFSET(CÁLCULO!$AI$15:$AI$235,0,Q$13))),2),0)</f>
        <v>0</v>
      </c>
      <c r="R53" s="618">
        <f t="array" aca="1" ref="R53" ca="1">IF(AUTOEVENTO="Manual",ROUND(SUMPRODUCT((CÁLCULO!$M$15:$M$235=EVENTOS!$C53)*(OFFSET(CÁLCULO!$AI$15:$AI$235,0,R$13))),2),0)</f>
        <v>0</v>
      </c>
      <c r="S53" s="618">
        <f t="array" aca="1" ref="S53" ca="1">IF(AUTOEVENTO="Manual",ROUND(SUMPRODUCT((CÁLCULO!$M$15:$M$235=EVENTOS!$C53)*(OFFSET(CÁLCULO!$AI$15:$AI$235,0,S$13))),2),0)</f>
        <v>0</v>
      </c>
      <c r="T53" s="618">
        <f t="array" aca="1" ref="T53" ca="1">IF(AUTOEVENTO="Manual",ROUND(SUMPRODUCT((CÁLCULO!$M$15:$M$235=EVENTOS!$C53)*(OFFSET(CÁLCULO!$AI$15:$AI$235,0,T$13))),2),0)</f>
        <v>0</v>
      </c>
      <c r="U53" s="618">
        <f t="array" aca="1" ref="U53" ca="1">IF(AUTOEVENTO="Manual",ROUND(SUMPRODUCT((CÁLCULO!$M$15:$M$235=EVENTOS!$C53)*(OFFSET(CÁLCULO!$AI$15:$AI$235,0,U$13))),2),0)</f>
        <v>0</v>
      </c>
      <c r="V53" s="618">
        <f t="array" aca="1" ref="V53" ca="1">IF(AUTOEVENTO="Manual",ROUND(SUMPRODUCT((CÁLCULO!$M$15:$M$235=EVENTOS!$C53)*(OFFSET(CÁLCULO!$AI$15:$AI$235,0,V$13))),2),0)</f>
        <v>0</v>
      </c>
      <c r="W53" s="618">
        <f t="array" aca="1" ref="W53" ca="1">IF(AUTOEVENTO="Manual",ROUND(SUMPRODUCT((CÁLCULO!$M$15:$M$235=EVENTOS!$C53)*(OFFSET(CÁLCULO!$AI$15:$AI$235,0,W$13))),2),0)</f>
        <v>0</v>
      </c>
      <c r="X53" s="618">
        <f t="array" aca="1" ref="X53" ca="1">IF(AUTOEVENTO="Manual",ROUND(SUMPRODUCT((CÁLCULO!$M$15:$M$235=EVENTOS!$C53)*(OFFSET(CÁLCULO!$AI$15:$AI$235,0,X$13))),2),0)</f>
        <v>0</v>
      </c>
      <c r="Y53" s="618">
        <f t="array" aca="1" ref="Y53" ca="1">IF(AUTOEVENTO="Manual",ROUND(SUMPRODUCT((CÁLCULO!$M$15:$M$235=EVENTOS!$C53)*(OFFSET(CÁLCULO!$AI$15:$AI$235,0,Y$13))),2),0)</f>
        <v>0</v>
      </c>
    </row>
    <row r="54" spans="1:25" s="709" customFormat="1" x14ac:dyDescent="0.2">
      <c r="A54" s="505" t="str">
        <f t="shared" si="2"/>
        <v>F</v>
      </c>
      <c r="B54" s="709" t="str">
        <f t="shared" ca="1" si="3"/>
        <v>39. RESERVATÓRIO DE ÁGUA</v>
      </c>
      <c r="C54" s="182">
        <f t="array" aca="1" ref="C54" ca="1">IF(OR(ROW(C54)=ROW(EVENTOS.firstrow)+1,AND(OFFSET(C54,-1,0)&lt;&gt;" ",OFFSET(C54,-1,1)&lt;&gt;"")),OFFSET(C54,-1,0)+1," ")</f>
        <v>39</v>
      </c>
      <c r="D54" s="495" t="s">
        <v>1437</v>
      </c>
      <c r="E54" s="618">
        <f t="array" aca="1" ref="E54" ca="1">IF(AUTOEVENTO="Manual",ROUND(SUMPRODUCT((CÁLCULO!$M$15:$M$235=EVENTOS!$C54)*(OFFSET(CÁLCULO!$AI$15:$AI$235,0,E$13))),2),0)</f>
        <v>5233.12</v>
      </c>
      <c r="F54" s="183">
        <f ca="1">IF(AUTOEVENTO="Manual",ROUND(SUMPRODUCT((CÁLCULO!$M$15:$M$235=EVENTOS!$C54)*(OFFSET(CÁLCULO!$AI$15,0,1):OFFSET(CÁLCULO!$BB$235,0,-1))),2),0)</f>
        <v>20932.48</v>
      </c>
      <c r="G54" s="619" t="str">
        <f t="shared" ca="1" si="4"/>
        <v/>
      </c>
      <c r="H54" s="618">
        <f t="array" aca="1" ref="H54" ca="1">IF(AUTOEVENTO="Manual",ROUND(SUMPRODUCT((CÁLCULO!$M$15:$M$235=EVENTOS!$C54)*(OFFSET(CÁLCULO!$AI$15:$AI$235,0,H$13))),2),0)</f>
        <v>5233.12</v>
      </c>
      <c r="I54" s="618">
        <f t="array" aca="1" ref="I54" ca="1">IF(AUTOEVENTO="Manual",ROUND(SUMPRODUCT((CÁLCULO!$M$15:$M$235=EVENTOS!$C54)*(OFFSET(CÁLCULO!$AI$15:$AI$235,0,I$13))),2),0)</f>
        <v>5233.12</v>
      </c>
      <c r="J54" s="618">
        <f t="array" aca="1" ref="J54" ca="1">IF(AUTOEVENTO="Manual",ROUND(SUMPRODUCT((CÁLCULO!$M$15:$M$235=EVENTOS!$C54)*(OFFSET(CÁLCULO!$AI$15:$AI$235,0,J$13))),2),0)</f>
        <v>5233.12</v>
      </c>
      <c r="K54" s="618">
        <f t="array" aca="1" ref="K54" ca="1">IF(AUTOEVENTO="Manual",ROUND(SUMPRODUCT((CÁLCULO!$M$15:$M$235=EVENTOS!$C54)*(OFFSET(CÁLCULO!$AI$15:$AI$235,0,K$13))),2),0)</f>
        <v>5233.12</v>
      </c>
      <c r="L54" s="618">
        <f t="array" aca="1" ref="L54" ca="1">IF(AUTOEVENTO="Manual",ROUND(SUMPRODUCT((CÁLCULO!$M$15:$M$235=EVENTOS!$C54)*(OFFSET(CÁLCULO!$AI$15:$AI$235,0,L$13))),2),0)</f>
        <v>0</v>
      </c>
      <c r="M54" s="618">
        <f t="array" aca="1" ref="M54" ca="1">IF(AUTOEVENTO="Manual",ROUND(SUMPRODUCT((CÁLCULO!$M$15:$M$235=EVENTOS!$C54)*(OFFSET(CÁLCULO!$AI$15:$AI$235,0,M$13))),2),0)</f>
        <v>0</v>
      </c>
      <c r="N54" s="618">
        <f t="array" aca="1" ref="N54" ca="1">IF(AUTOEVENTO="Manual",ROUND(SUMPRODUCT((CÁLCULO!$M$15:$M$235=EVENTOS!$C54)*(OFFSET(CÁLCULO!$AI$15:$AI$235,0,N$13))),2),0)</f>
        <v>0</v>
      </c>
      <c r="O54" s="618">
        <f t="array" aca="1" ref="O54" ca="1">IF(AUTOEVENTO="Manual",ROUND(SUMPRODUCT((CÁLCULO!$M$15:$M$235=EVENTOS!$C54)*(OFFSET(CÁLCULO!$AI$15:$AI$235,0,O$13))),2),0)</f>
        <v>0</v>
      </c>
      <c r="P54" s="618">
        <f t="array" aca="1" ref="P54" ca="1">IF(AUTOEVENTO="Manual",ROUND(SUMPRODUCT((CÁLCULO!$M$15:$M$235=EVENTOS!$C54)*(OFFSET(CÁLCULO!$AI$15:$AI$235,0,P$13))),2),0)</f>
        <v>0</v>
      </c>
      <c r="Q54" s="618">
        <f t="array" aca="1" ref="Q54" ca="1">IF(AUTOEVENTO="Manual",ROUND(SUMPRODUCT((CÁLCULO!$M$15:$M$235=EVENTOS!$C54)*(OFFSET(CÁLCULO!$AI$15:$AI$235,0,Q$13))),2),0)</f>
        <v>0</v>
      </c>
      <c r="R54" s="618">
        <f t="array" aca="1" ref="R54" ca="1">IF(AUTOEVENTO="Manual",ROUND(SUMPRODUCT((CÁLCULO!$M$15:$M$235=EVENTOS!$C54)*(OFFSET(CÁLCULO!$AI$15:$AI$235,0,R$13))),2),0)</f>
        <v>0</v>
      </c>
      <c r="S54" s="618">
        <f t="array" aca="1" ref="S54" ca="1">IF(AUTOEVENTO="Manual",ROUND(SUMPRODUCT((CÁLCULO!$M$15:$M$235=EVENTOS!$C54)*(OFFSET(CÁLCULO!$AI$15:$AI$235,0,S$13))),2),0)</f>
        <v>0</v>
      </c>
      <c r="T54" s="618">
        <f t="array" aca="1" ref="T54" ca="1">IF(AUTOEVENTO="Manual",ROUND(SUMPRODUCT((CÁLCULO!$M$15:$M$235=EVENTOS!$C54)*(OFFSET(CÁLCULO!$AI$15:$AI$235,0,T$13))),2),0)</f>
        <v>0</v>
      </c>
      <c r="U54" s="618">
        <f t="array" aca="1" ref="U54" ca="1">IF(AUTOEVENTO="Manual",ROUND(SUMPRODUCT((CÁLCULO!$M$15:$M$235=EVENTOS!$C54)*(OFFSET(CÁLCULO!$AI$15:$AI$235,0,U$13))),2),0)</f>
        <v>0</v>
      </c>
      <c r="V54" s="618">
        <f t="array" aca="1" ref="V54" ca="1">IF(AUTOEVENTO="Manual",ROUND(SUMPRODUCT((CÁLCULO!$M$15:$M$235=EVENTOS!$C54)*(OFFSET(CÁLCULO!$AI$15:$AI$235,0,V$13))),2),0)</f>
        <v>0</v>
      </c>
      <c r="W54" s="618">
        <f t="array" aca="1" ref="W54" ca="1">IF(AUTOEVENTO="Manual",ROUND(SUMPRODUCT((CÁLCULO!$M$15:$M$235=EVENTOS!$C54)*(OFFSET(CÁLCULO!$AI$15:$AI$235,0,W$13))),2),0)</f>
        <v>0</v>
      </c>
      <c r="X54" s="618">
        <f t="array" aca="1" ref="X54" ca="1">IF(AUTOEVENTO="Manual",ROUND(SUMPRODUCT((CÁLCULO!$M$15:$M$235=EVENTOS!$C54)*(OFFSET(CÁLCULO!$AI$15:$AI$235,0,X$13))),2),0)</f>
        <v>0</v>
      </c>
      <c r="Y54" s="618">
        <f t="array" aca="1" ref="Y54" ca="1">IF(AUTOEVENTO="Manual",ROUND(SUMPRODUCT((CÁLCULO!$M$15:$M$235=EVENTOS!$C54)*(OFFSET(CÁLCULO!$AI$15:$AI$235,0,Y$13))),2),0)</f>
        <v>0</v>
      </c>
    </row>
    <row r="55" spans="1:25" s="709" customFormat="1" x14ac:dyDescent="0.2">
      <c r="A55" s="505" t="str">
        <f t="shared" si="2"/>
        <v>F</v>
      </c>
      <c r="B55" s="709" t="str">
        <f t="shared" ca="1" si="3"/>
        <v>40. PLASTICOS E SINTÉTICOS</v>
      </c>
      <c r="C55" s="182">
        <f t="array" aca="1" ref="C55" ca="1">IF(OR(ROW(C55)=ROW(EVENTOS.firstrow)+1,AND(OFFSET(C55,-1,0)&lt;&gt;" ",OFFSET(C55,-1,1)&lt;&gt;"")),OFFSET(C55,-1,0)+1," ")</f>
        <v>40</v>
      </c>
      <c r="D55" s="495" t="s">
        <v>1438</v>
      </c>
      <c r="E55" s="618">
        <f t="array" aca="1" ref="E55" ca="1">IF(AUTOEVENTO="Manual",ROUND(SUMPRODUCT((CÁLCULO!$M$15:$M$235=EVENTOS!$C55)*(OFFSET(CÁLCULO!$AI$15:$AI$235,0,E$13))),2),0)</f>
        <v>2530.5500000000002</v>
      </c>
      <c r="F55" s="183">
        <f ca="1">IF(AUTOEVENTO="Manual",ROUND(SUMPRODUCT((CÁLCULO!$M$15:$M$235=EVENTOS!$C55)*(OFFSET(CÁLCULO!$AI$15,0,1):OFFSET(CÁLCULO!$BB$235,0,-1))),2),0)</f>
        <v>10122.200000000001</v>
      </c>
      <c r="G55" s="619" t="str">
        <f t="shared" ca="1" si="4"/>
        <v/>
      </c>
      <c r="H55" s="618">
        <f t="array" aca="1" ref="H55" ca="1">IF(AUTOEVENTO="Manual",ROUND(SUMPRODUCT((CÁLCULO!$M$15:$M$235=EVENTOS!$C55)*(OFFSET(CÁLCULO!$AI$15:$AI$235,0,H$13))),2),0)</f>
        <v>2530.5500000000002</v>
      </c>
      <c r="I55" s="618">
        <f t="array" aca="1" ref="I55" ca="1">IF(AUTOEVENTO="Manual",ROUND(SUMPRODUCT((CÁLCULO!$M$15:$M$235=EVENTOS!$C55)*(OFFSET(CÁLCULO!$AI$15:$AI$235,0,I$13))),2),0)</f>
        <v>2530.5500000000002</v>
      </c>
      <c r="J55" s="618">
        <f t="array" aca="1" ref="J55" ca="1">IF(AUTOEVENTO="Manual",ROUND(SUMPRODUCT((CÁLCULO!$M$15:$M$235=EVENTOS!$C55)*(OFFSET(CÁLCULO!$AI$15:$AI$235,0,J$13))),2),0)</f>
        <v>2530.5500000000002</v>
      </c>
      <c r="K55" s="618">
        <f t="array" aca="1" ref="K55" ca="1">IF(AUTOEVENTO="Manual",ROUND(SUMPRODUCT((CÁLCULO!$M$15:$M$235=EVENTOS!$C55)*(OFFSET(CÁLCULO!$AI$15:$AI$235,0,K$13))),2),0)</f>
        <v>2530.5500000000002</v>
      </c>
      <c r="L55" s="618">
        <f t="array" aca="1" ref="L55" ca="1">IF(AUTOEVENTO="Manual",ROUND(SUMPRODUCT((CÁLCULO!$M$15:$M$235=EVENTOS!$C55)*(OFFSET(CÁLCULO!$AI$15:$AI$235,0,L$13))),2),0)</f>
        <v>0</v>
      </c>
      <c r="M55" s="618">
        <f t="array" aca="1" ref="M55" ca="1">IF(AUTOEVENTO="Manual",ROUND(SUMPRODUCT((CÁLCULO!$M$15:$M$235=EVENTOS!$C55)*(OFFSET(CÁLCULO!$AI$15:$AI$235,0,M$13))),2),0)</f>
        <v>0</v>
      </c>
      <c r="N55" s="618">
        <f t="array" aca="1" ref="N55" ca="1">IF(AUTOEVENTO="Manual",ROUND(SUMPRODUCT((CÁLCULO!$M$15:$M$235=EVENTOS!$C55)*(OFFSET(CÁLCULO!$AI$15:$AI$235,0,N$13))),2),0)</f>
        <v>0</v>
      </c>
      <c r="O55" s="618">
        <f t="array" aca="1" ref="O55" ca="1">IF(AUTOEVENTO="Manual",ROUND(SUMPRODUCT((CÁLCULO!$M$15:$M$235=EVENTOS!$C55)*(OFFSET(CÁLCULO!$AI$15:$AI$235,0,O$13))),2),0)</f>
        <v>0</v>
      </c>
      <c r="P55" s="618">
        <f t="array" aca="1" ref="P55" ca="1">IF(AUTOEVENTO="Manual",ROUND(SUMPRODUCT((CÁLCULO!$M$15:$M$235=EVENTOS!$C55)*(OFFSET(CÁLCULO!$AI$15:$AI$235,0,P$13))),2),0)</f>
        <v>0</v>
      </c>
      <c r="Q55" s="618">
        <f t="array" aca="1" ref="Q55" ca="1">IF(AUTOEVENTO="Manual",ROUND(SUMPRODUCT((CÁLCULO!$M$15:$M$235=EVENTOS!$C55)*(OFFSET(CÁLCULO!$AI$15:$AI$235,0,Q$13))),2),0)</f>
        <v>0</v>
      </c>
      <c r="R55" s="618">
        <f t="array" aca="1" ref="R55" ca="1">IF(AUTOEVENTO="Manual",ROUND(SUMPRODUCT((CÁLCULO!$M$15:$M$235=EVENTOS!$C55)*(OFFSET(CÁLCULO!$AI$15:$AI$235,0,R$13))),2),0)</f>
        <v>0</v>
      </c>
      <c r="S55" s="618">
        <f t="array" aca="1" ref="S55" ca="1">IF(AUTOEVENTO="Manual",ROUND(SUMPRODUCT((CÁLCULO!$M$15:$M$235=EVENTOS!$C55)*(OFFSET(CÁLCULO!$AI$15:$AI$235,0,S$13))),2),0)</f>
        <v>0</v>
      </c>
      <c r="T55" s="618">
        <f t="array" aca="1" ref="T55" ca="1">IF(AUTOEVENTO="Manual",ROUND(SUMPRODUCT((CÁLCULO!$M$15:$M$235=EVENTOS!$C55)*(OFFSET(CÁLCULO!$AI$15:$AI$235,0,T$13))),2),0)</f>
        <v>0</v>
      </c>
      <c r="U55" s="618">
        <f t="array" aca="1" ref="U55" ca="1">IF(AUTOEVENTO="Manual",ROUND(SUMPRODUCT((CÁLCULO!$M$15:$M$235=EVENTOS!$C55)*(OFFSET(CÁLCULO!$AI$15:$AI$235,0,U$13))),2),0)</f>
        <v>0</v>
      </c>
      <c r="V55" s="618">
        <f t="array" aca="1" ref="V55" ca="1">IF(AUTOEVENTO="Manual",ROUND(SUMPRODUCT((CÁLCULO!$M$15:$M$235=EVENTOS!$C55)*(OFFSET(CÁLCULO!$AI$15:$AI$235,0,V$13))),2),0)</f>
        <v>0</v>
      </c>
      <c r="W55" s="618">
        <f t="array" aca="1" ref="W55" ca="1">IF(AUTOEVENTO="Manual",ROUND(SUMPRODUCT((CÁLCULO!$M$15:$M$235=EVENTOS!$C55)*(OFFSET(CÁLCULO!$AI$15:$AI$235,0,W$13))),2),0)</f>
        <v>0</v>
      </c>
      <c r="X55" s="618">
        <f t="array" aca="1" ref="X55" ca="1">IF(AUTOEVENTO="Manual",ROUND(SUMPRODUCT((CÁLCULO!$M$15:$M$235=EVENTOS!$C55)*(OFFSET(CÁLCULO!$AI$15:$AI$235,0,X$13))),2),0)</f>
        <v>0</v>
      </c>
      <c r="Y55" s="618">
        <f t="array" aca="1" ref="Y55" ca="1">IF(AUTOEVENTO="Manual",ROUND(SUMPRODUCT((CÁLCULO!$M$15:$M$235=EVENTOS!$C55)*(OFFSET(CÁLCULO!$AI$15:$AI$235,0,Y$13))),2),0)</f>
        <v>0</v>
      </c>
    </row>
    <row r="56" spans="1:25" s="709" customFormat="1" x14ac:dyDescent="0.2">
      <c r="A56" s="505" t="str">
        <f t="shared" si="2"/>
        <v>F</v>
      </c>
      <c r="B56" s="709" t="str">
        <f t="shared" ca="1" si="3"/>
        <v>41. LIMPEZA FINAL DA OBRA</v>
      </c>
      <c r="C56" s="182">
        <f t="array" aca="1" ref="C56" ca="1">IF(OR(ROW(C56)=ROW(EVENTOS.firstrow)+1,AND(OFFSET(C56,-1,0)&lt;&gt;" ",OFFSET(C56,-1,1)&lt;&gt;"")),OFFSET(C56,-1,0)+1," ")</f>
        <v>41</v>
      </c>
      <c r="D56" s="495" t="s">
        <v>1439</v>
      </c>
      <c r="E56" s="618">
        <f t="array" aca="1" ref="E56" ca="1">IF(AUTOEVENTO="Manual",ROUND(SUMPRODUCT((CÁLCULO!$M$15:$M$235=EVENTOS!$C56)*(OFFSET(CÁLCULO!$AI$15:$AI$235,0,E$13))),2),0)</f>
        <v>2681.05</v>
      </c>
      <c r="F56" s="183">
        <f ca="1">IF(AUTOEVENTO="Manual",ROUND(SUMPRODUCT((CÁLCULO!$M$15:$M$235=EVENTOS!$C56)*(OFFSET(CÁLCULO!$AI$15,0,1):OFFSET(CÁLCULO!$BB$235,0,-1))),2),0)</f>
        <v>10724.2</v>
      </c>
      <c r="G56" s="619" t="str">
        <f t="shared" ca="1" si="4"/>
        <v/>
      </c>
      <c r="H56" s="618">
        <f t="array" aca="1" ref="H56" ca="1">IF(AUTOEVENTO="Manual",ROUND(SUMPRODUCT((CÁLCULO!$M$15:$M$235=EVENTOS!$C56)*(OFFSET(CÁLCULO!$AI$15:$AI$235,0,H$13))),2),0)</f>
        <v>2681.05</v>
      </c>
      <c r="I56" s="618">
        <f t="array" aca="1" ref="I56" ca="1">IF(AUTOEVENTO="Manual",ROUND(SUMPRODUCT((CÁLCULO!$M$15:$M$235=EVENTOS!$C56)*(OFFSET(CÁLCULO!$AI$15:$AI$235,0,I$13))),2),0)</f>
        <v>2681.05</v>
      </c>
      <c r="J56" s="618">
        <f t="array" aca="1" ref="J56" ca="1">IF(AUTOEVENTO="Manual",ROUND(SUMPRODUCT((CÁLCULO!$M$15:$M$235=EVENTOS!$C56)*(OFFSET(CÁLCULO!$AI$15:$AI$235,0,J$13))),2),0)</f>
        <v>2681.05</v>
      </c>
      <c r="K56" s="618">
        <f t="array" aca="1" ref="K56" ca="1">IF(AUTOEVENTO="Manual",ROUND(SUMPRODUCT((CÁLCULO!$M$15:$M$235=EVENTOS!$C56)*(OFFSET(CÁLCULO!$AI$15:$AI$235,0,K$13))),2),0)</f>
        <v>2681.05</v>
      </c>
      <c r="L56" s="618">
        <f t="array" aca="1" ref="L56" ca="1">IF(AUTOEVENTO="Manual",ROUND(SUMPRODUCT((CÁLCULO!$M$15:$M$235=EVENTOS!$C56)*(OFFSET(CÁLCULO!$AI$15:$AI$235,0,L$13))),2),0)</f>
        <v>0</v>
      </c>
      <c r="M56" s="618">
        <f t="array" aca="1" ref="M56" ca="1">IF(AUTOEVENTO="Manual",ROUND(SUMPRODUCT((CÁLCULO!$M$15:$M$235=EVENTOS!$C56)*(OFFSET(CÁLCULO!$AI$15:$AI$235,0,M$13))),2),0)</f>
        <v>0</v>
      </c>
      <c r="N56" s="618">
        <f t="array" aca="1" ref="N56" ca="1">IF(AUTOEVENTO="Manual",ROUND(SUMPRODUCT((CÁLCULO!$M$15:$M$235=EVENTOS!$C56)*(OFFSET(CÁLCULO!$AI$15:$AI$235,0,N$13))),2),0)</f>
        <v>0</v>
      </c>
      <c r="O56" s="618">
        <f t="array" aca="1" ref="O56" ca="1">IF(AUTOEVENTO="Manual",ROUND(SUMPRODUCT((CÁLCULO!$M$15:$M$235=EVENTOS!$C56)*(OFFSET(CÁLCULO!$AI$15:$AI$235,0,O$13))),2),0)</f>
        <v>0</v>
      </c>
      <c r="P56" s="618">
        <f t="array" aca="1" ref="P56" ca="1">IF(AUTOEVENTO="Manual",ROUND(SUMPRODUCT((CÁLCULO!$M$15:$M$235=EVENTOS!$C56)*(OFFSET(CÁLCULO!$AI$15:$AI$235,0,P$13))),2),0)</f>
        <v>0</v>
      </c>
      <c r="Q56" s="618">
        <f t="array" aca="1" ref="Q56" ca="1">IF(AUTOEVENTO="Manual",ROUND(SUMPRODUCT((CÁLCULO!$M$15:$M$235=EVENTOS!$C56)*(OFFSET(CÁLCULO!$AI$15:$AI$235,0,Q$13))),2),0)</f>
        <v>0</v>
      </c>
      <c r="R56" s="618">
        <f t="array" aca="1" ref="R56" ca="1">IF(AUTOEVENTO="Manual",ROUND(SUMPRODUCT((CÁLCULO!$M$15:$M$235=EVENTOS!$C56)*(OFFSET(CÁLCULO!$AI$15:$AI$235,0,R$13))),2),0)</f>
        <v>0</v>
      </c>
      <c r="S56" s="618">
        <f t="array" aca="1" ref="S56" ca="1">IF(AUTOEVENTO="Manual",ROUND(SUMPRODUCT((CÁLCULO!$M$15:$M$235=EVENTOS!$C56)*(OFFSET(CÁLCULO!$AI$15:$AI$235,0,S$13))),2),0)</f>
        <v>0</v>
      </c>
      <c r="T56" s="618">
        <f t="array" aca="1" ref="T56" ca="1">IF(AUTOEVENTO="Manual",ROUND(SUMPRODUCT((CÁLCULO!$M$15:$M$235=EVENTOS!$C56)*(OFFSET(CÁLCULO!$AI$15:$AI$235,0,T$13))),2),0)</f>
        <v>0</v>
      </c>
      <c r="U56" s="618">
        <f t="array" aca="1" ref="U56" ca="1">IF(AUTOEVENTO="Manual",ROUND(SUMPRODUCT((CÁLCULO!$M$15:$M$235=EVENTOS!$C56)*(OFFSET(CÁLCULO!$AI$15:$AI$235,0,U$13))),2),0)</f>
        <v>0</v>
      </c>
      <c r="V56" s="618">
        <f t="array" aca="1" ref="V56" ca="1">IF(AUTOEVENTO="Manual",ROUND(SUMPRODUCT((CÁLCULO!$M$15:$M$235=EVENTOS!$C56)*(OFFSET(CÁLCULO!$AI$15:$AI$235,0,V$13))),2),0)</f>
        <v>0</v>
      </c>
      <c r="W56" s="618">
        <f t="array" aca="1" ref="W56" ca="1">IF(AUTOEVENTO="Manual",ROUND(SUMPRODUCT((CÁLCULO!$M$15:$M$235=EVENTOS!$C56)*(OFFSET(CÁLCULO!$AI$15:$AI$235,0,W$13))),2),0)</f>
        <v>0</v>
      </c>
      <c r="X56" s="618">
        <f t="array" aca="1" ref="X56" ca="1">IF(AUTOEVENTO="Manual",ROUND(SUMPRODUCT((CÁLCULO!$M$15:$M$235=EVENTOS!$C56)*(OFFSET(CÁLCULO!$AI$15:$AI$235,0,X$13))),2),0)</f>
        <v>0</v>
      </c>
      <c r="Y56" s="618">
        <f t="array" aca="1" ref="Y56" ca="1">IF(AUTOEVENTO="Manual",ROUND(SUMPRODUCT((CÁLCULO!$M$15:$M$235=EVENTOS!$C56)*(OFFSET(CÁLCULO!$AI$15:$AI$235,0,Y$13))),2),0)</f>
        <v>0</v>
      </c>
    </row>
    <row r="57" spans="1:25" s="709" customFormat="1" x14ac:dyDescent="0.2">
      <c r="A57" s="505" t="str">
        <f t="shared" si="2"/>
        <v/>
      </c>
      <c r="B57" s="709" t="str">
        <f t="shared" ca="1" si="3"/>
        <v/>
      </c>
      <c r="C57" s="182">
        <f t="array" aca="1" ref="C57" ca="1">IF(OR(ROW(C57)=ROW(EVENTOS.firstrow)+1,AND(OFFSET(C57,-1,0)&lt;&gt;" ",OFFSET(C57,-1,1)&lt;&gt;"")),OFFSET(C57,-1,0)+1," ")</f>
        <v>42</v>
      </c>
      <c r="D57" s="495"/>
      <c r="E57" s="618">
        <f t="array" aca="1" ref="E57" ca="1">IF(AUTOEVENTO="Manual",ROUND(SUMPRODUCT((CÁLCULO!$M$15:$M$235=EVENTOS!$C57)*(OFFSET(CÁLCULO!$AI$15:$AI$235,0,E$13))),2),0)</f>
        <v>0</v>
      </c>
      <c r="F57" s="183">
        <f ca="1">IF(AUTOEVENTO="Manual",ROUND(SUMPRODUCT((CÁLCULO!$M$15:$M$235=EVENTOS!$C57)*(OFFSET(CÁLCULO!$AI$15,0,1):OFFSET(CÁLCULO!$BB$235,0,-1))),2),0)</f>
        <v>0</v>
      </c>
      <c r="G57" s="619" t="str">
        <f t="shared" ca="1" si="4"/>
        <v/>
      </c>
      <c r="H57" s="618">
        <f t="array" aca="1" ref="H57" ca="1">IF(AUTOEVENTO="Manual",ROUND(SUMPRODUCT((CÁLCULO!$M$15:$M$235=EVENTOS!$C57)*(OFFSET(CÁLCULO!$AI$15:$AI$235,0,H$13))),2),0)</f>
        <v>0</v>
      </c>
      <c r="I57" s="618">
        <f t="array" aca="1" ref="I57" ca="1">IF(AUTOEVENTO="Manual",ROUND(SUMPRODUCT((CÁLCULO!$M$15:$M$235=EVENTOS!$C57)*(OFFSET(CÁLCULO!$AI$15:$AI$235,0,I$13))),2),0)</f>
        <v>0</v>
      </c>
      <c r="J57" s="618">
        <f t="array" aca="1" ref="J57" ca="1">IF(AUTOEVENTO="Manual",ROUND(SUMPRODUCT((CÁLCULO!$M$15:$M$235=EVENTOS!$C57)*(OFFSET(CÁLCULO!$AI$15:$AI$235,0,J$13))),2),0)</f>
        <v>0</v>
      </c>
      <c r="K57" s="618">
        <f t="array" aca="1" ref="K57" ca="1">IF(AUTOEVENTO="Manual",ROUND(SUMPRODUCT((CÁLCULO!$M$15:$M$235=EVENTOS!$C57)*(OFFSET(CÁLCULO!$AI$15:$AI$235,0,K$13))),2),0)</f>
        <v>0</v>
      </c>
      <c r="L57" s="618">
        <f t="array" aca="1" ref="L57" ca="1">IF(AUTOEVENTO="Manual",ROUND(SUMPRODUCT((CÁLCULO!$M$15:$M$235=EVENTOS!$C57)*(OFFSET(CÁLCULO!$AI$15:$AI$235,0,L$13))),2),0)</f>
        <v>0</v>
      </c>
      <c r="M57" s="618">
        <f t="array" aca="1" ref="M57" ca="1">IF(AUTOEVENTO="Manual",ROUND(SUMPRODUCT((CÁLCULO!$M$15:$M$235=EVENTOS!$C57)*(OFFSET(CÁLCULO!$AI$15:$AI$235,0,M$13))),2),0)</f>
        <v>0</v>
      </c>
      <c r="N57" s="618">
        <f t="array" aca="1" ref="N57" ca="1">IF(AUTOEVENTO="Manual",ROUND(SUMPRODUCT((CÁLCULO!$M$15:$M$235=EVENTOS!$C57)*(OFFSET(CÁLCULO!$AI$15:$AI$235,0,N$13))),2),0)</f>
        <v>0</v>
      </c>
      <c r="O57" s="618">
        <f t="array" aca="1" ref="O57" ca="1">IF(AUTOEVENTO="Manual",ROUND(SUMPRODUCT((CÁLCULO!$M$15:$M$235=EVENTOS!$C57)*(OFFSET(CÁLCULO!$AI$15:$AI$235,0,O$13))),2),0)</f>
        <v>0</v>
      </c>
      <c r="P57" s="618">
        <f t="array" aca="1" ref="P57" ca="1">IF(AUTOEVENTO="Manual",ROUND(SUMPRODUCT((CÁLCULO!$M$15:$M$235=EVENTOS!$C57)*(OFFSET(CÁLCULO!$AI$15:$AI$235,0,P$13))),2),0)</f>
        <v>0</v>
      </c>
      <c r="Q57" s="618">
        <f t="array" aca="1" ref="Q57" ca="1">IF(AUTOEVENTO="Manual",ROUND(SUMPRODUCT((CÁLCULO!$M$15:$M$235=EVENTOS!$C57)*(OFFSET(CÁLCULO!$AI$15:$AI$235,0,Q$13))),2),0)</f>
        <v>0</v>
      </c>
      <c r="R57" s="618">
        <f t="array" aca="1" ref="R57" ca="1">IF(AUTOEVENTO="Manual",ROUND(SUMPRODUCT((CÁLCULO!$M$15:$M$235=EVENTOS!$C57)*(OFFSET(CÁLCULO!$AI$15:$AI$235,0,R$13))),2),0)</f>
        <v>0</v>
      </c>
      <c r="S57" s="618">
        <f t="array" aca="1" ref="S57" ca="1">IF(AUTOEVENTO="Manual",ROUND(SUMPRODUCT((CÁLCULO!$M$15:$M$235=EVENTOS!$C57)*(OFFSET(CÁLCULO!$AI$15:$AI$235,0,S$13))),2),0)</f>
        <v>0</v>
      </c>
      <c r="T57" s="618">
        <f t="array" aca="1" ref="T57" ca="1">IF(AUTOEVENTO="Manual",ROUND(SUMPRODUCT((CÁLCULO!$M$15:$M$235=EVENTOS!$C57)*(OFFSET(CÁLCULO!$AI$15:$AI$235,0,T$13))),2),0)</f>
        <v>0</v>
      </c>
      <c r="U57" s="618">
        <f t="array" aca="1" ref="U57" ca="1">IF(AUTOEVENTO="Manual",ROUND(SUMPRODUCT((CÁLCULO!$M$15:$M$235=EVENTOS!$C57)*(OFFSET(CÁLCULO!$AI$15:$AI$235,0,U$13))),2),0)</f>
        <v>0</v>
      </c>
      <c r="V57" s="618">
        <f t="array" aca="1" ref="V57" ca="1">IF(AUTOEVENTO="Manual",ROUND(SUMPRODUCT((CÁLCULO!$M$15:$M$235=EVENTOS!$C57)*(OFFSET(CÁLCULO!$AI$15:$AI$235,0,V$13))),2),0)</f>
        <v>0</v>
      </c>
      <c r="W57" s="618">
        <f t="array" aca="1" ref="W57" ca="1">IF(AUTOEVENTO="Manual",ROUND(SUMPRODUCT((CÁLCULO!$M$15:$M$235=EVENTOS!$C57)*(OFFSET(CÁLCULO!$AI$15:$AI$235,0,W$13))),2),0)</f>
        <v>0</v>
      </c>
      <c r="X57" s="618">
        <f t="array" aca="1" ref="X57" ca="1">IF(AUTOEVENTO="Manual",ROUND(SUMPRODUCT((CÁLCULO!$M$15:$M$235=EVENTOS!$C57)*(OFFSET(CÁLCULO!$AI$15:$AI$235,0,X$13))),2),0)</f>
        <v>0</v>
      </c>
      <c r="Y57" s="618">
        <f t="array" aca="1" ref="Y57" ca="1">IF(AUTOEVENTO="Manual",ROUND(SUMPRODUCT((CÁLCULO!$M$15:$M$235=EVENTOS!$C57)*(OFFSET(CÁLCULO!$AI$15:$AI$235,0,Y$13))),2),0)</f>
        <v>0</v>
      </c>
    </row>
    <row r="58" spans="1:25" ht="5.0999999999999996" customHeight="1" x14ac:dyDescent="0.2">
      <c r="A58" s="505" t="s">
        <v>536</v>
      </c>
      <c r="C58" s="627"/>
      <c r="D58" s="628"/>
      <c r="E58" s="629"/>
      <c r="F58" s="184"/>
      <c r="G58" s="629"/>
      <c r="H58" s="629"/>
      <c r="I58" s="629"/>
      <c r="J58" s="629"/>
      <c r="K58" s="629"/>
      <c r="L58" s="629"/>
      <c r="M58" s="629"/>
      <c r="N58" s="629"/>
      <c r="O58" s="629"/>
      <c r="P58" s="629"/>
      <c r="Q58" s="629"/>
      <c r="R58" s="629"/>
      <c r="S58" s="629"/>
      <c r="T58" s="629"/>
      <c r="U58" s="629"/>
      <c r="V58" s="629"/>
      <c r="W58" s="629"/>
      <c r="X58" s="629"/>
      <c r="Y58" s="629"/>
    </row>
    <row r="59" spans="1:25" x14ac:dyDescent="0.2">
      <c r="A59" s="505" t="s">
        <v>536</v>
      </c>
    </row>
    <row r="60" spans="1:25" x14ac:dyDescent="0.2">
      <c r="A60" s="505" t="s">
        <v>536</v>
      </c>
    </row>
    <row r="61" spans="1:25" ht="15" x14ac:dyDescent="0.2">
      <c r="A61" s="505" t="s">
        <v>536</v>
      </c>
      <c r="D61" s="492" t="str">
        <f>Import.Município</f>
        <v>PIRANGUÇU-MG</v>
      </c>
      <c r="L61" s="459"/>
      <c r="M61" s="417"/>
      <c r="N61" s="417"/>
      <c r="O61" s="417"/>
      <c r="V61" s="459"/>
      <c r="W61" s="417"/>
      <c r="X61" s="417"/>
      <c r="Y61" s="417"/>
    </row>
    <row r="62" spans="1:25" x14ac:dyDescent="0.2">
      <c r="A62" s="505" t="s">
        <v>536</v>
      </c>
      <c r="D62" s="9" t="s">
        <v>693</v>
      </c>
      <c r="H62" s="542"/>
      <c r="I62" s="542"/>
      <c r="J62" s="542"/>
      <c r="L62" s="181" t="s">
        <v>696</v>
      </c>
      <c r="V62" s="181" t="s">
        <v>696</v>
      </c>
    </row>
    <row r="63" spans="1:25" x14ac:dyDescent="0.2">
      <c r="A63" s="505" t="s">
        <v>536</v>
      </c>
      <c r="H63" s="542"/>
      <c r="I63" s="542"/>
      <c r="J63" s="542"/>
      <c r="L63" s="398" t="str">
        <f t="array" aca="1" ref="L63:L65" ca="1">OFFSET(Import.RespOrçamento,0,-1) &amp; " " &amp; Import.RespOrçamento</f>
        <v>Nome: NILCEZAR AUGUSTO PERES</v>
      </c>
      <c r="V63" s="398" t="str">
        <f t="array" aca="1" ref="V63:V65" ca="1">OFFSET(Import.RespOrçamento,0,-1) &amp; " " &amp; Import.RespOrçamento</f>
        <v>Nome: NILCEZAR AUGUSTO PERES</v>
      </c>
    </row>
    <row r="64" spans="1:25" x14ac:dyDescent="0.2">
      <c r="A64" s="505" t="s">
        <v>536</v>
      </c>
      <c r="D64" s="493">
        <f>DADOS!$C$25</f>
        <v>45939</v>
      </c>
      <c r="L64" s="398" t="str">
        <f ca="1"/>
        <v>CREA/CAU: 161.233/D-MG</v>
      </c>
      <c r="V64" s="398" t="str">
        <f ca="1"/>
        <v>CREA/CAU: 161.233/D-MG</v>
      </c>
    </row>
    <row r="65" spans="1:22" x14ac:dyDescent="0.2">
      <c r="A65" s="505" t="s">
        <v>536</v>
      </c>
      <c r="D65" s="9" t="s">
        <v>694</v>
      </c>
      <c r="L65" s="398" t="str">
        <f ca="1"/>
        <v>ART/RRT: MG2025435540</v>
      </c>
      <c r="V65" s="398" t="str">
        <f ca="1"/>
        <v>ART/RRT: MG2025435540</v>
      </c>
    </row>
  </sheetData>
  <sheetProtection algorithmName="SHA-512" hashValue="MUVIEA/kAaQBZ/BPWB8ERaEcAB8RnPeVB7x+sM82nBHUJnv7HDWtk85BIClkZ24BhAVAJ/SOdG6/LrbnvnJugQ==" saltValue="wnlZbeb+BVVPAAWZxn8V6Q==" spinCount="100000" sheet="1" objects="1" scenarios="1"/>
  <autoFilter ref="A13:A65" xr:uid="{00000000-0009-0000-0000-000005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58">
    <cfRule type="expression" dxfId="668" priority="4" stopIfTrue="1">
      <formula>OR(AUTOEVENTO&lt;&gt;"Manual",ACOMPANHAMENTO="BM",C$10=0,C$13=0,$C1=" ")</formula>
    </cfRule>
  </conditionalFormatting>
  <conditionalFormatting sqref="A15 C15:XFD15">
    <cfRule type="expression" dxfId="667" priority="154">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00000000-0002-0000-0500-000000000000}">
      <formula1>EVENTOS.Lista.Agrupar</formula1>
    </dataValidation>
  </dataValidations>
  <pageMargins left="0.7" right="0.7" top="0.75" bottom="0.75" header="0.3" footer="0.3"/>
  <pageSetup paperSize="9" scale="37" firstPageNumber="0" fitToHeight="0" orientation="landscape" horizontalDpi="300" verticalDpi="300" r:id="rId1"/>
  <headerFooter alignWithMargins="0">
    <oddHeader>&amp;L_</oddHeader>
    <oddFooter>&amp;LPMv3.16&amp;R&amp;P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pageSetUpPr fitToPage="1"/>
  </sheetPr>
  <dimension ref="A1:CN65503"/>
  <sheetViews>
    <sheetView showGridLines="0" tabSelected="1" zoomScale="96" zoomScaleNormal="96" zoomScaleSheetLayoutView="90" workbookViewId="0">
      <pane xSplit="8" ySplit="15" topLeftCell="Q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34" width="11.5703125" style="712" customWidth="1"/>
    <col min="35" max="45" width="9.140625" hidden="1" customWidth="1"/>
    <col min="46" max="53" width="9.140625" style="712" hidden="1" customWidth="1"/>
    <col min="54" max="64" width="9.140625" hidden="1" customWidth="1"/>
    <col min="65" max="72" width="9.140625" style="712" hidden="1" customWidth="1"/>
    <col min="73" max="83" width="9.140625" hidden="1" customWidth="1"/>
    <col min="84" max="91" width="9.140625" style="712" hidden="1" customWidth="1"/>
    <col min="92" max="92" width="1.5703125" hidden="1" customWidth="1"/>
  </cols>
  <sheetData>
    <row r="1" spans="1:91" ht="12.75" hidden="1" customHeight="1" x14ac:dyDescent="0.2">
      <c r="M1" s="7">
        <f ca="1">SUM(OFFSET(CÁLCULO!$P$1,0,1):OFFSET(CÁLCULO!$AI$1,0,-1))</f>
        <v>13</v>
      </c>
      <c r="O1" s="630">
        <f t="array" ref="O1">IF(OR(ACOMPANHAMENTO="BM",N1=0,O12=""),0,1)</f>
        <v>0</v>
      </c>
      <c r="P1" t="s">
        <v>764</v>
      </c>
      <c r="Q1" s="630">
        <f t="array" ref="Q1">IF(OR(ACOMPANHAMENTO="BM",P1=0,Q12=""),0,1)</f>
        <v>1</v>
      </c>
      <c r="R1" s="630">
        <f t="array" ref="R1">IF(OR(ACOMPANHAMENTO="BM",Q1=0,R12=""),0,1)</f>
        <v>1</v>
      </c>
      <c r="S1" s="630">
        <f t="array" ref="S1">IF(OR(ACOMPANHAMENTO="BM",R1=0,S12=""),0,1)</f>
        <v>1</v>
      </c>
      <c r="T1" s="630">
        <f t="array" ref="T1">IF(OR(ACOMPANHAMENTO="BM",S1=0,T12=""),0,1)</f>
        <v>1</v>
      </c>
      <c r="U1" s="630">
        <f t="array" ref="U1">IF(OR(ACOMPANHAMENTO="BM",T1=0,U12=""),0,1)</f>
        <v>1</v>
      </c>
      <c r="V1" s="630">
        <f t="array" ref="V1">IF(OR(ACOMPANHAMENTO="BM",U1=0,V12=""),0,1)</f>
        <v>1</v>
      </c>
      <c r="W1" s="630">
        <f t="array" ref="W1">IF(OR(ACOMPANHAMENTO="BM",V1=0,W12=""),0,1)</f>
        <v>1</v>
      </c>
      <c r="X1" s="630">
        <f t="array" ref="X1">IF(OR(ACOMPANHAMENTO="BM",W1=0,X12=""),0,1)</f>
        <v>1</v>
      </c>
      <c r="Y1" s="630">
        <f t="array" ref="Y1">IF(OR(ACOMPANHAMENTO="BM",X1=0,Y12=""),0,1)</f>
        <v>1</v>
      </c>
      <c r="Z1" s="630">
        <f t="array" ref="Z1">IF(OR(ACOMPANHAMENTO="BM",Y1=0,Z12=""),0,1)</f>
        <v>1</v>
      </c>
      <c r="AA1" s="630">
        <f t="array" ref="AA1">IF(OR(ACOMPANHAMENTO="BM",Z1=0,AA12=""),0,1)</f>
        <v>1</v>
      </c>
      <c r="AB1" s="630">
        <f t="array" ref="AB1">IF(OR(ACOMPANHAMENTO="BM",AA1=0,AB12=""),0,1)</f>
        <v>1</v>
      </c>
      <c r="AC1" s="630">
        <f t="array" ref="AC1">IF(OR(ACOMPANHAMENTO="BM",AB1=0,AC12=""),0,1)</f>
        <v>1</v>
      </c>
      <c r="AD1" s="630">
        <f t="array" ref="AD1">IF(OR(ACOMPANHAMENTO="BM",AC1=0,AD12=""),0,1)</f>
        <v>0</v>
      </c>
      <c r="AE1" s="630">
        <f t="array" ref="AE1">IF(OR(ACOMPANHAMENTO="BM",AD1=0,AE12=""),0,1)</f>
        <v>0</v>
      </c>
      <c r="AF1" s="630">
        <f t="array" ref="AF1">IF(OR(ACOMPANHAMENTO="BM",AE1=0,AF12=""),0,1)</f>
        <v>0</v>
      </c>
      <c r="AG1" s="630">
        <f t="array" ref="AG1">IF(OR(ACOMPANHAMENTO="BM",AF1=0,AG12=""),0,1)</f>
        <v>0</v>
      </c>
      <c r="AH1" s="630">
        <f t="array" ref="AH1">IF(OR(ACOMPANHAMENTO="BM",AG1=0,AH12=""),0,1)</f>
        <v>0</v>
      </c>
      <c r="AJ1" t="s">
        <v>765</v>
      </c>
      <c r="BC1" t="s">
        <v>766</v>
      </c>
      <c r="BV1" t="s">
        <v>767</v>
      </c>
    </row>
    <row r="2" spans="1:91" ht="12.75" hidden="1" customHeight="1" x14ac:dyDescent="0.2"/>
    <row r="3" spans="1:91" ht="12.75" hidden="1" customHeight="1" x14ac:dyDescent="0.2"/>
    <row r="4" spans="1:91" ht="12.75" hidden="1" customHeight="1" x14ac:dyDescent="0.2"/>
    <row r="5" spans="1:91" ht="12.75" hidden="1" customHeight="1" x14ac:dyDescent="0.2"/>
    <row r="6" spans="1:91" ht="15.75" customHeight="1" x14ac:dyDescent="0.2">
      <c r="F6" s="777" t="str">
        <f t="array" ref="F6">IF(ACOMPANHAMENTO="BM","MEMÓRIA DE CÁLCULO","PLQ - PLANILHA DE LEVANTAMENTO DE QUANTIDADES")</f>
        <v>PLQ - PLANILHA DE LEVANTAMENTO DE QUANTIDADES</v>
      </c>
      <c r="G6" s="777"/>
      <c r="H6" s="777"/>
      <c r="I6" s="141"/>
      <c r="K6" s="141"/>
      <c r="L6" s="141"/>
      <c r="M6" s="142"/>
      <c r="N6" s="141"/>
      <c r="P6" s="141"/>
      <c r="Q6" s="778" t="s">
        <v>644</v>
      </c>
      <c r="R6" s="779"/>
      <c r="Y6" s="723" t="s">
        <v>644</v>
      </c>
      <c r="Z6" s="723"/>
      <c r="AG6" s="723" t="s">
        <v>644</v>
      </c>
      <c r="AH6" s="723"/>
    </row>
    <row r="7" spans="1:91" ht="15" customHeight="1" x14ac:dyDescent="0.2">
      <c r="F7" s="780" t="str">
        <f t="array" ref="F7">IF(ACOMPANHAMENTO="BM","","Memória de Cálculo")&amp;" - "&amp;import.recurso</f>
        <v>Memória de Cálculo - OGU</v>
      </c>
      <c r="G7" s="780"/>
      <c r="H7" s="780"/>
      <c r="I7" s="143"/>
      <c r="K7" s="143"/>
      <c r="L7" s="143"/>
      <c r="M7" s="144"/>
      <c r="N7" s="143"/>
      <c r="P7" s="143"/>
      <c r="Q7" s="781" t="s">
        <v>647</v>
      </c>
      <c r="R7" s="782"/>
      <c r="Y7" s="724" t="s">
        <v>647</v>
      </c>
      <c r="Z7" s="724"/>
      <c r="AG7" s="724" t="s">
        <v>647</v>
      </c>
      <c r="AH7" s="724"/>
    </row>
    <row r="8" spans="1:91" ht="12.75" customHeight="1" x14ac:dyDescent="0.2">
      <c r="AM8" s="475"/>
      <c r="AU8" s="475"/>
    </row>
    <row r="9" spans="1:91" ht="12.75" customHeight="1" x14ac:dyDescent="0.2">
      <c r="E9" s="725" t="s">
        <v>708</v>
      </c>
      <c r="F9" s="725"/>
      <c r="G9" s="725" t="s">
        <v>707</v>
      </c>
      <c r="H9" s="725"/>
      <c r="I9" s="87" t="s">
        <v>650</v>
      </c>
      <c r="K9" s="145" t="s">
        <v>652</v>
      </c>
      <c r="L9" s="146"/>
      <c r="M9" s="146"/>
      <c r="N9" s="146"/>
      <c r="O9" s="146"/>
      <c r="P9" s="146"/>
      <c r="Q9" s="146"/>
      <c r="R9" s="147"/>
      <c r="S9" s="725" t="s">
        <v>650</v>
      </c>
      <c r="T9" s="725"/>
      <c r="U9" s="725" t="s">
        <v>652</v>
      </c>
      <c r="V9" s="725"/>
      <c r="W9" s="725"/>
      <c r="X9" s="725"/>
      <c r="Y9" s="725"/>
      <c r="Z9" s="725"/>
      <c r="AA9" s="725" t="s">
        <v>650</v>
      </c>
      <c r="AB9" s="725"/>
      <c r="AC9" s="725" t="s">
        <v>652</v>
      </c>
      <c r="AD9" s="725"/>
      <c r="AE9" s="725"/>
      <c r="AF9" s="725"/>
      <c r="AG9" s="725"/>
      <c r="AH9" s="725"/>
    </row>
    <row r="10" spans="1:91" ht="12.75" customHeight="1" x14ac:dyDescent="0.2">
      <c r="A10" s="599" t="s">
        <v>768</v>
      </c>
      <c r="E10" s="722" t="str">
        <f>Import.Apelido</f>
        <v>CONSTRUÇÃO DE VINTE UNIDADES HABITACIONAIS</v>
      </c>
      <c r="F10" s="722"/>
      <c r="G10" s="722" t="str">
        <f t="array" ref="G10">Import.TransfereGOV</f>
        <v>39994/2025</v>
      </c>
      <c r="H10" s="722"/>
      <c r="I10" s="90" t="str">
        <f>Import.CR</f>
        <v>1103833-63</v>
      </c>
      <c r="K10" s="148" t="str">
        <f>Import.Proponente</f>
        <v>PREFEITURA MUNICIPAL DE PIRANGUÇU-MG</v>
      </c>
      <c r="L10" s="149"/>
      <c r="M10" s="100"/>
      <c r="N10" s="149"/>
      <c r="O10" s="149"/>
      <c r="P10" s="149"/>
      <c r="Q10" s="149"/>
      <c r="R10" s="91"/>
      <c r="S10" s="722" t="str">
        <f>Import.CR</f>
        <v>1103833-63</v>
      </c>
      <c r="T10" s="722"/>
      <c r="U10" s="722" t="str">
        <f>Import.Proponente</f>
        <v>PREFEITURA MUNICIPAL DE PIRANGUÇU-MG</v>
      </c>
      <c r="V10" s="722"/>
      <c r="W10" s="722"/>
      <c r="X10" s="722"/>
      <c r="Y10" s="722"/>
      <c r="Z10" s="722"/>
      <c r="AA10" s="722" t="str">
        <f>Import.CR</f>
        <v>1103833-63</v>
      </c>
      <c r="AB10" s="722"/>
      <c r="AC10" s="722" t="str">
        <f>Import.Proponente</f>
        <v>PREFEITURA MUNICIPAL DE PIRANGUÇU-MG</v>
      </c>
      <c r="AD10" s="722"/>
      <c r="AE10" s="722"/>
      <c r="AF10" s="722"/>
      <c r="AG10" s="722"/>
      <c r="AH10" s="722"/>
    </row>
    <row r="11" spans="1:91" ht="15" customHeight="1" x14ac:dyDescent="0.2">
      <c r="A11" s="450" t="str">
        <f>IF(AND(Import.TipoArredondamento="Tradicional",AUTOEVENTO="Manual"),"Automática",IF(CRONOPLE!$B$8="","Sem Adm","Manual"))</f>
        <v>Manual</v>
      </c>
      <c r="F11" s="565" t="str">
        <f ca="1">IF(AND(ACOMPANHAMENTO="PLE",ISERROR(AUTOEVENTO)),"Selecione a forma de definição dos agrupadores de eventos na aba EVENTOS",
  IF(AND(ACOMPANHAMENTO="PLE",CÁLCULO.FrentesPreenchidas=0),"Preencher os nomes das Frentes de Obra",
  IF(COUNTIF($J$15:$J$235,"►E")&gt;0,"Não pode haver serviços sem agrupador de eventos",
  IF(COUNTIF($P$11:$AI$11,"▼")&gt;0,"Não pode haver frentes de obra sem quantidades",
  IF(COUNTIF($P$11:$AI$11,"Nome &gt;100")&gt;0,"Nome da frente de obra com mais de 100 caracteres","")))))</f>
        <v/>
      </c>
      <c r="N11" s="571" t="str">
        <f ca="1">IF(OR(COUNTIF($J$15:$J$235,"►E")&gt;0,COUNTIF($J$15:$J$235,"►Q")&gt;0),"",
IF(COUNTIF($J$15:$J$235,"►S")&gt;0,"Preencha as quantidades com no máximo duas casas decimais",
IF(COUNTIF($P$11:$AI$11,"▼")&gt;0,"Falta preencher a frente de obra nº " &amp; HLOOKUP("▼",$P$11:$AI$13,3,FALSE),
IF(COUNTIF($P$11:$AI$11,"Nome &gt;100")&gt;0,"Resuma o nome da frente de obra nº " &amp; HLOOKUP("Nome &gt;100",$P$11:$AI$13,3,FALSE),""))))</f>
        <v/>
      </c>
      <c r="O11" s="564" t="e">
        <f ca="1">IF(AND(O1=1,O15=0),"▼",IF(AND(O1=1,LEN(O12)&gt;100),"Nome &gt;100",""))</f>
        <v>#VALUE!</v>
      </c>
      <c r="P11" s="7"/>
      <c r="Q11" s="564" t="str">
        <f t="shared" ref="Q11:Z11" ca="1" si="0">IF(AND(Q1=1,Q15=0),"▼",IF(AND(Q1=1,LEN(Q12)&gt;100),"Nome &gt;100",""))</f>
        <v/>
      </c>
      <c r="R11" s="564" t="str">
        <f t="shared" ca="1" si="0"/>
        <v/>
      </c>
      <c r="S11" s="564" t="str">
        <f t="shared" ca="1" si="0"/>
        <v/>
      </c>
      <c r="T11" s="564" t="str">
        <f t="shared" ca="1" si="0"/>
        <v/>
      </c>
      <c r="U11" s="564" t="str">
        <f t="shared" ca="1" si="0"/>
        <v/>
      </c>
      <c r="V11" s="564" t="str">
        <f t="shared" ca="1" si="0"/>
        <v/>
      </c>
      <c r="W11" s="564" t="str">
        <f t="shared" ca="1" si="0"/>
        <v/>
      </c>
      <c r="X11" s="564" t="str">
        <f t="shared" ca="1" si="0"/>
        <v/>
      </c>
      <c r="Y11" s="564" t="str">
        <f t="shared" ca="1" si="0"/>
        <v/>
      </c>
      <c r="Z11" s="564" t="str">
        <f t="shared" ca="1" si="0"/>
        <v/>
      </c>
      <c r="AA11" s="564" t="str">
        <f t="shared" ref="AA11:AH11" ca="1" si="1">IF(AND(AA1=1,AA15=0),"▼",IF(AND(AA1=1,LEN(AA12)&gt;100),"Nome &gt;100",""))</f>
        <v/>
      </c>
      <c r="AB11" s="564" t="str">
        <f t="shared" ca="1" si="1"/>
        <v/>
      </c>
      <c r="AC11" s="564" t="str">
        <f t="shared" ca="1" si="1"/>
        <v/>
      </c>
      <c r="AD11" s="564" t="str">
        <f t="shared" ca="1" si="1"/>
        <v/>
      </c>
      <c r="AE11" s="564" t="str">
        <f t="shared" ca="1" si="1"/>
        <v/>
      </c>
      <c r="AF11" s="564" t="str">
        <f t="shared" ca="1" si="1"/>
        <v/>
      </c>
      <c r="AG11" s="564" t="str">
        <f t="shared" ca="1" si="1"/>
        <v/>
      </c>
      <c r="AH11" s="564" t="str">
        <f t="shared" ca="1" si="1"/>
        <v/>
      </c>
    </row>
    <row r="12" spans="1:91" ht="69.95" customHeight="1" x14ac:dyDescent="0.2">
      <c r="A12" s="597" t="str">
        <f>IF(Import.Eventos.Nível="Definir Manualmente","Manual",MATCH(Import.Eventos.Nível,EVENTOS!$B$6:$B$9,0)+1)</f>
        <v>Manual</v>
      </c>
      <c r="B12" s="7" t="s">
        <v>769</v>
      </c>
      <c r="C12" s="488" t="s">
        <v>655</v>
      </c>
      <c r="H12" s="150"/>
      <c r="I12" s="573" t="str">
        <f ca="1">IF(AND(ACOMPANHAMENTO="PLE",CÁLCULO.FrentesPreenchidas=0),"",
  IF(COUNTIF($J$15:$J$235,"►E")&gt;0,"Falta Definir o Agrupador de Evento na linha "&amp;MATCH("►E",$J$15:$J$235,0)+ROW($J$14),
  IF(COUNTIF($J$15:$J$235,"►Q")&gt;0,"Falta preencher a quantidade do serviço na linha "&amp;MATCH("►Q",$J$15:$J$235,0)+ROW($J$14),
  IF(COUNTIF($J$15:$J$235,"►S")&gt;0,"Verifique as quantidades preenchidas na linha "&amp;MATCH("►S",$J$15:$J$235,0)+ROW($J$14),
  IF(AND(COUNTIF($P$11:$AI$11,"▼")=0,COUNTIF($J$15:$J$235,"◄")&gt;0),"Falta Preencher o Memorial de Cálculo na linha "&amp;MATCH("◄",$J$15:$J$235,0)+ROW($J$14),"")))))</f>
        <v/>
      </c>
      <c r="J12" s="151" t="s">
        <v>764</v>
      </c>
      <c r="K12" s="152" t="s">
        <v>770</v>
      </c>
      <c r="L12" s="151" t="s">
        <v>764</v>
      </c>
      <c r="M12" s="568">
        <f t="array" aca="1" ref="M12" ca="1">IF(ACOMPANHAMENTO="BM",0,MAX($M$15:$M$235))</f>
        <v>41</v>
      </c>
      <c r="N12" s="572" t="str">
        <f ca="1">IF(AND(ACOMPANHAMENTO="PLE",CÁLCULO.FrentesPreenchidas=0),"Preencher os nomes das Frentes de Obra ►","FRENTES DE OBRA:")</f>
        <v>FRENTES DE OBRA:</v>
      </c>
      <c r="O12" s="153"/>
      <c r="P12" s="151" t="s">
        <v>764</v>
      </c>
      <c r="Q12" s="714" t="s">
        <v>1369</v>
      </c>
      <c r="R12" s="714" t="s">
        <v>1368</v>
      </c>
      <c r="S12" s="714" t="s">
        <v>1367</v>
      </c>
      <c r="T12" s="714" t="s">
        <v>1370</v>
      </c>
      <c r="U12" s="153" t="s">
        <v>1452</v>
      </c>
      <c r="V12" s="153" t="s">
        <v>1453</v>
      </c>
      <c r="W12" s="153" t="s">
        <v>1454</v>
      </c>
      <c r="X12" s="153" t="s">
        <v>1455</v>
      </c>
      <c r="Y12" s="153" t="s">
        <v>1456</v>
      </c>
      <c r="Z12" s="153" t="s">
        <v>1457</v>
      </c>
      <c r="AA12" s="153" t="s">
        <v>1458</v>
      </c>
      <c r="AB12" s="153" t="s">
        <v>1459</v>
      </c>
      <c r="AC12" s="153" t="s">
        <v>1460</v>
      </c>
      <c r="AD12" s="153"/>
      <c r="AE12" s="153"/>
      <c r="AF12" s="153"/>
      <c r="AG12" s="153"/>
      <c r="AH12" s="154"/>
      <c r="AI12" s="151" t="s">
        <v>764</v>
      </c>
      <c r="AJ12" s="155" t="str">
        <f ca="1">IF(OFFSET($P$1,0,AJ$13)=0,0,OFFSET($P$12,0,AJ$13))</f>
        <v>ETAPA 01 - EXECUÇÃO DAS UNIDADES DE 01 A 05</v>
      </c>
      <c r="AK12" s="155" t="str">
        <f t="shared" ref="AK12:BA12" ca="1" si="2">IF(OFFSET($P$1,0,AK$13)=0,0,OFFSET($P$12,0,AK$13))</f>
        <v>ETAPA 02 - EXECUÇÃO DAS UNIDADES  DE 06 A 10</v>
      </c>
      <c r="AL12" s="155" t="str">
        <f t="shared" ca="1" si="2"/>
        <v>ETAPA 03 - EXECUÇÃO UNIDADES 11 A 15</v>
      </c>
      <c r="AM12" s="155" t="str">
        <f t="shared" ca="1" si="2"/>
        <v>ETAPA 04 - EXECUÇÃO DAS UNIDADES  DE 16 A 20</v>
      </c>
      <c r="AN12" s="155" t="str">
        <f t="shared" ca="1" si="2"/>
        <v>MÊS 01</v>
      </c>
      <c r="AO12" s="155" t="str">
        <f t="shared" ca="1" si="2"/>
        <v>MÊS 02</v>
      </c>
      <c r="AP12" s="155" t="str">
        <f t="shared" ca="1" si="2"/>
        <v>MÊS 03</v>
      </c>
      <c r="AQ12" s="155" t="str">
        <f t="shared" ca="1" si="2"/>
        <v>MÊS 04</v>
      </c>
      <c r="AR12" s="155" t="str">
        <f t="shared" ca="1" si="2"/>
        <v>MÊS 05</v>
      </c>
      <c r="AS12" s="155" t="str">
        <f t="shared" ca="1" si="2"/>
        <v>MÊS 06</v>
      </c>
      <c r="AT12" s="155" t="str">
        <f t="shared" ca="1" si="2"/>
        <v>MÊS 07</v>
      </c>
      <c r="AU12" s="155" t="str">
        <f t="shared" ca="1" si="2"/>
        <v>MÊS 08</v>
      </c>
      <c r="AV12" s="155" t="str">
        <f t="shared" ca="1" si="2"/>
        <v>MÊS 09</v>
      </c>
      <c r="AW12" s="155">
        <f t="shared" ca="1" si="2"/>
        <v>0</v>
      </c>
      <c r="AX12" s="155">
        <f t="shared" ca="1" si="2"/>
        <v>0</v>
      </c>
      <c r="AY12" s="155">
        <f t="shared" ca="1" si="2"/>
        <v>0</v>
      </c>
      <c r="AZ12" s="155">
        <f t="shared" ca="1" si="2"/>
        <v>0</v>
      </c>
      <c r="BA12" s="155">
        <f t="shared" ca="1" si="2"/>
        <v>0</v>
      </c>
      <c r="BC12" s="155" t="str">
        <f t="shared" ref="BC12:CM12" ca="1" si="3">IF(OFFSET($P$1,0,BC$13)=0,0,OFFSET($P$12,0,BC$13))</f>
        <v>ETAPA 01 - EXECUÇÃO DAS UNIDADES DE 01 A 05</v>
      </c>
      <c r="BD12" s="156" t="str">
        <f t="shared" ca="1" si="3"/>
        <v>ETAPA 02 - EXECUÇÃO DAS UNIDADES  DE 06 A 10</v>
      </c>
      <c r="BE12" s="156" t="str">
        <f t="shared" ca="1" si="3"/>
        <v>ETAPA 03 - EXECUÇÃO UNIDADES 11 A 15</v>
      </c>
      <c r="BF12" s="156" t="str">
        <f t="shared" ca="1" si="3"/>
        <v>ETAPA 04 - EXECUÇÃO DAS UNIDADES  DE 16 A 20</v>
      </c>
      <c r="BG12" s="156" t="str">
        <f t="shared" ca="1" si="3"/>
        <v>MÊS 01</v>
      </c>
      <c r="BH12" s="156" t="str">
        <f t="shared" ca="1" si="3"/>
        <v>MÊS 02</v>
      </c>
      <c r="BI12" s="156" t="str">
        <f t="shared" ca="1" si="3"/>
        <v>MÊS 03</v>
      </c>
      <c r="BJ12" s="156" t="str">
        <f t="shared" ca="1" si="3"/>
        <v>MÊS 04</v>
      </c>
      <c r="BK12" s="156" t="str">
        <f t="shared" ca="1" si="3"/>
        <v>MÊS 05</v>
      </c>
      <c r="BL12" s="157" t="str">
        <f t="shared" ca="1" si="3"/>
        <v>MÊS 06</v>
      </c>
      <c r="BM12" s="156" t="str">
        <f t="shared" ca="1" si="3"/>
        <v>MÊS 07</v>
      </c>
      <c r="BN12" s="156" t="str">
        <f t="shared" ca="1" si="3"/>
        <v>MÊS 08</v>
      </c>
      <c r="BO12" s="156" t="str">
        <f t="shared" ca="1" si="3"/>
        <v>MÊS 09</v>
      </c>
      <c r="BP12" s="156">
        <f t="shared" ca="1" si="3"/>
        <v>0</v>
      </c>
      <c r="BQ12" s="156">
        <f t="shared" ca="1" si="3"/>
        <v>0</v>
      </c>
      <c r="BR12" s="156">
        <f t="shared" ca="1" si="3"/>
        <v>0</v>
      </c>
      <c r="BS12" s="156">
        <f t="shared" ca="1" si="3"/>
        <v>0</v>
      </c>
      <c r="BT12" s="157">
        <f t="shared" ca="1" si="3"/>
        <v>0</v>
      </c>
      <c r="BV12" s="155" t="str">
        <f t="shared" ca="1" si="3"/>
        <v>ETAPA 01 - EXECUÇÃO DAS UNIDADES DE 01 A 05</v>
      </c>
      <c r="BW12" s="156" t="str">
        <f t="shared" ca="1" si="3"/>
        <v>ETAPA 02 - EXECUÇÃO DAS UNIDADES  DE 06 A 10</v>
      </c>
      <c r="BX12" s="156" t="str">
        <f t="shared" ca="1" si="3"/>
        <v>ETAPA 03 - EXECUÇÃO UNIDADES 11 A 15</v>
      </c>
      <c r="BY12" s="156" t="str">
        <f t="shared" ca="1" si="3"/>
        <v>ETAPA 04 - EXECUÇÃO DAS UNIDADES  DE 16 A 20</v>
      </c>
      <c r="BZ12" s="156" t="str">
        <f t="shared" ca="1" si="3"/>
        <v>MÊS 01</v>
      </c>
      <c r="CA12" s="156" t="str">
        <f t="shared" ca="1" si="3"/>
        <v>MÊS 02</v>
      </c>
      <c r="CB12" s="156" t="str">
        <f t="shared" ca="1" si="3"/>
        <v>MÊS 03</v>
      </c>
      <c r="CC12" s="156" t="str">
        <f t="shared" ca="1" si="3"/>
        <v>MÊS 04</v>
      </c>
      <c r="CD12" s="156" t="str">
        <f t="shared" ca="1" si="3"/>
        <v>MÊS 05</v>
      </c>
      <c r="CE12" s="157" t="str">
        <f t="shared" ca="1" si="3"/>
        <v>MÊS 06</v>
      </c>
      <c r="CF12" s="156" t="str">
        <f t="shared" ca="1" si="3"/>
        <v>MÊS 07</v>
      </c>
      <c r="CG12" s="156" t="str">
        <f t="shared" ca="1" si="3"/>
        <v>MÊS 08</v>
      </c>
      <c r="CH12" s="156" t="str">
        <f t="shared" ca="1" si="3"/>
        <v>MÊS 09</v>
      </c>
      <c r="CI12" s="156">
        <f t="shared" ca="1" si="3"/>
        <v>0</v>
      </c>
      <c r="CJ12" s="156">
        <f t="shared" ca="1" si="3"/>
        <v>0</v>
      </c>
      <c r="CK12" s="156">
        <f t="shared" ca="1" si="3"/>
        <v>0</v>
      </c>
      <c r="CL12" s="156">
        <f t="shared" ca="1" si="3"/>
        <v>0</v>
      </c>
      <c r="CM12" s="157">
        <f t="shared" ca="1" si="3"/>
        <v>0</v>
      </c>
    </row>
    <row r="13" spans="1:91" ht="12.75" customHeight="1" x14ac:dyDescent="0.2">
      <c r="A13" s="598" t="s">
        <v>771</v>
      </c>
      <c r="B13" s="7" t="s">
        <v>769</v>
      </c>
      <c r="C13" s="489" t="s">
        <v>660</v>
      </c>
      <c r="D13" s="107" t="s">
        <v>733</v>
      </c>
      <c r="E13" s="107" t="s">
        <v>735</v>
      </c>
      <c r="F13" s="107" t="s">
        <v>118</v>
      </c>
      <c r="G13" s="109" t="s">
        <v>738</v>
      </c>
      <c r="H13" s="107" t="s">
        <v>712</v>
      </c>
      <c r="I13" s="107" t="s">
        <v>772</v>
      </c>
      <c r="J13" s="520"/>
      <c r="K13" s="292" t="s">
        <v>773</v>
      </c>
      <c r="L13" s="151"/>
      <c r="M13" s="107" t="s">
        <v>774</v>
      </c>
      <c r="N13" s="107" t="s">
        <v>775</v>
      </c>
      <c r="O13" s="158" t="e">
        <f ca="1">OFFSET(O13,0,-1)+1</f>
        <v>#VALUE!</v>
      </c>
      <c r="Q13" s="159">
        <f t="shared" ref="Q13:AH13" ca="1" si="4">OFFSET(Q13,0,-1)+1</f>
        <v>1</v>
      </c>
      <c r="R13" s="158">
        <f t="shared" ca="1" si="4"/>
        <v>2</v>
      </c>
      <c r="S13" s="158">
        <f t="shared" ca="1" si="4"/>
        <v>3</v>
      </c>
      <c r="T13" s="158">
        <f t="shared" ca="1" si="4"/>
        <v>4</v>
      </c>
      <c r="U13" s="158">
        <f t="shared" ca="1" si="4"/>
        <v>5</v>
      </c>
      <c r="V13" s="158">
        <f t="shared" ca="1" si="4"/>
        <v>6</v>
      </c>
      <c r="W13" s="158">
        <f t="shared" ca="1" si="4"/>
        <v>7</v>
      </c>
      <c r="X13" s="158">
        <f t="shared" ca="1" si="4"/>
        <v>8</v>
      </c>
      <c r="Y13" s="158">
        <f t="shared" ca="1" si="4"/>
        <v>9</v>
      </c>
      <c r="Z13" s="160">
        <f t="shared" ca="1" si="4"/>
        <v>10</v>
      </c>
      <c r="AA13" s="158">
        <f t="shared" ca="1" si="4"/>
        <v>11</v>
      </c>
      <c r="AB13" s="158">
        <f t="shared" ca="1" si="4"/>
        <v>12</v>
      </c>
      <c r="AC13" s="158">
        <f t="shared" ca="1" si="4"/>
        <v>13</v>
      </c>
      <c r="AD13" s="158">
        <f t="shared" ca="1" si="4"/>
        <v>14</v>
      </c>
      <c r="AE13" s="158">
        <f t="shared" ca="1" si="4"/>
        <v>15</v>
      </c>
      <c r="AF13" s="158">
        <f t="shared" ca="1" si="4"/>
        <v>16</v>
      </c>
      <c r="AG13" s="158">
        <f t="shared" ca="1" si="4"/>
        <v>17</v>
      </c>
      <c r="AH13" s="160">
        <f t="shared" ca="1" si="4"/>
        <v>18</v>
      </c>
      <c r="AJ13" s="113">
        <f t="shared" ref="AJ13:CM13" ca="1" si="5">OFFSET(AJ13,0,-1)+1</f>
        <v>1</v>
      </c>
      <c r="AK13" s="161">
        <f t="shared" ca="1" si="5"/>
        <v>2</v>
      </c>
      <c r="AL13" s="161">
        <f t="shared" ca="1" si="5"/>
        <v>3</v>
      </c>
      <c r="AM13" s="161">
        <f t="shared" ca="1" si="5"/>
        <v>4</v>
      </c>
      <c r="AN13" s="161">
        <f t="shared" ca="1" si="5"/>
        <v>5</v>
      </c>
      <c r="AO13" s="161">
        <f t="shared" ca="1" si="5"/>
        <v>6</v>
      </c>
      <c r="AP13" s="161">
        <f t="shared" ca="1" si="5"/>
        <v>7</v>
      </c>
      <c r="AQ13" s="161">
        <f t="shared" ca="1" si="5"/>
        <v>8</v>
      </c>
      <c r="AR13" s="161">
        <f t="shared" ca="1" si="5"/>
        <v>9</v>
      </c>
      <c r="AS13" s="162">
        <f t="shared" ca="1" si="5"/>
        <v>10</v>
      </c>
      <c r="AT13" s="161">
        <f t="shared" ca="1" si="5"/>
        <v>11</v>
      </c>
      <c r="AU13" s="161">
        <f t="shared" ca="1" si="5"/>
        <v>12</v>
      </c>
      <c r="AV13" s="161">
        <f t="shared" ca="1" si="5"/>
        <v>13</v>
      </c>
      <c r="AW13" s="161">
        <f t="shared" ca="1" si="5"/>
        <v>14</v>
      </c>
      <c r="AX13" s="161">
        <f t="shared" ca="1" si="5"/>
        <v>15</v>
      </c>
      <c r="AY13" s="161">
        <f t="shared" ca="1" si="5"/>
        <v>16</v>
      </c>
      <c r="AZ13" s="161">
        <f t="shared" ca="1" si="5"/>
        <v>17</v>
      </c>
      <c r="BA13" s="162">
        <f t="shared" ca="1" si="5"/>
        <v>18</v>
      </c>
      <c r="BC13" s="113">
        <f t="shared" ca="1" si="5"/>
        <v>1</v>
      </c>
      <c r="BD13" s="161">
        <f t="shared" ca="1" si="5"/>
        <v>2</v>
      </c>
      <c r="BE13" s="161">
        <f t="shared" ca="1" si="5"/>
        <v>3</v>
      </c>
      <c r="BF13" s="161">
        <f t="shared" ca="1" si="5"/>
        <v>4</v>
      </c>
      <c r="BG13" s="161">
        <f t="shared" ca="1" si="5"/>
        <v>5</v>
      </c>
      <c r="BH13" s="161">
        <f t="shared" ca="1" si="5"/>
        <v>6</v>
      </c>
      <c r="BI13" s="161">
        <f t="shared" ca="1" si="5"/>
        <v>7</v>
      </c>
      <c r="BJ13" s="161">
        <f t="shared" ca="1" si="5"/>
        <v>8</v>
      </c>
      <c r="BK13" s="161">
        <f t="shared" ca="1" si="5"/>
        <v>9</v>
      </c>
      <c r="BL13" s="162">
        <f t="shared" ca="1" si="5"/>
        <v>10</v>
      </c>
      <c r="BM13" s="161">
        <f t="shared" ca="1" si="5"/>
        <v>11</v>
      </c>
      <c r="BN13" s="161">
        <f t="shared" ca="1" si="5"/>
        <v>12</v>
      </c>
      <c r="BO13" s="161">
        <f t="shared" ca="1" si="5"/>
        <v>13</v>
      </c>
      <c r="BP13" s="161">
        <f t="shared" ca="1" si="5"/>
        <v>14</v>
      </c>
      <c r="BQ13" s="161">
        <f t="shared" ca="1" si="5"/>
        <v>15</v>
      </c>
      <c r="BR13" s="161">
        <f t="shared" ca="1" si="5"/>
        <v>16</v>
      </c>
      <c r="BS13" s="161">
        <f t="shared" ca="1" si="5"/>
        <v>17</v>
      </c>
      <c r="BT13" s="162">
        <f t="shared" ca="1" si="5"/>
        <v>18</v>
      </c>
      <c r="BV13" s="113">
        <f t="shared" ca="1" si="5"/>
        <v>1</v>
      </c>
      <c r="BW13" s="161">
        <f t="shared" ca="1" si="5"/>
        <v>2</v>
      </c>
      <c r="BX13" s="161">
        <f t="shared" ca="1" si="5"/>
        <v>3</v>
      </c>
      <c r="BY13" s="161">
        <f t="shared" ca="1" si="5"/>
        <v>4</v>
      </c>
      <c r="BZ13" s="161">
        <f t="shared" ca="1" si="5"/>
        <v>5</v>
      </c>
      <c r="CA13" s="161">
        <f t="shared" ca="1" si="5"/>
        <v>6</v>
      </c>
      <c r="CB13" s="161">
        <f t="shared" ca="1" si="5"/>
        <v>7</v>
      </c>
      <c r="CC13" s="161">
        <f t="shared" ca="1" si="5"/>
        <v>8</v>
      </c>
      <c r="CD13" s="161">
        <f t="shared" ca="1" si="5"/>
        <v>9</v>
      </c>
      <c r="CE13" s="162">
        <f t="shared" ca="1" si="5"/>
        <v>10</v>
      </c>
      <c r="CF13" s="161">
        <f t="shared" ca="1" si="5"/>
        <v>11</v>
      </c>
      <c r="CG13" s="161">
        <f t="shared" ca="1" si="5"/>
        <v>12</v>
      </c>
      <c r="CH13" s="161">
        <f t="shared" ca="1" si="5"/>
        <v>13</v>
      </c>
      <c r="CI13" s="161">
        <f t="shared" ca="1" si="5"/>
        <v>14</v>
      </c>
      <c r="CJ13" s="161">
        <f t="shared" ca="1" si="5"/>
        <v>15</v>
      </c>
      <c r="CK13" s="161">
        <f t="shared" ca="1" si="5"/>
        <v>16</v>
      </c>
      <c r="CL13" s="161">
        <f t="shared" ca="1" si="5"/>
        <v>17</v>
      </c>
      <c r="CM13" s="162">
        <f t="shared" ca="1" si="5"/>
        <v>18</v>
      </c>
    </row>
    <row r="14" spans="1:91" ht="12.75" hidden="1" x14ac:dyDescent="0.2">
      <c r="A14" s="652">
        <f ca="1">IFERROR(IF(AUTOEVENTO="Manual",IF(K14&lt;&gt;"",MIN(VALUE(LEFT(K14,FIND(".",K14)-1)),COUNTA(EVENTOS.Lista)),0),IF(OR($B14&gt;AUTOEVENTO,$B14="S",$B14=0),SUBSTITUTE(OFFSET($A14,-1,0),IF($D14="Serviço",".",""),""),$L14&amp;".")),0)</f>
        <v>0</v>
      </c>
      <c r="B14" s="7">
        <f ca="1">OFFSET(ORÇAMENTO!C$15,$L14,0)</f>
        <v>1</v>
      </c>
      <c r="C14" s="7" t="str">
        <f ca="1">OFFSET(ORÇAMENTO!L$15,$L14,0)</f>
        <v>F</v>
      </c>
      <c r="D14" s="116" t="str">
        <f ca="1">OFFSET(ORÇAMENTO!N$15,$L14,0)</f>
        <v>Meta</v>
      </c>
      <c r="E14" s="117" t="str">
        <f ca="1">OFFSET(ORÇAMENTO!O$15,$L14,0)</f>
        <v>1.</v>
      </c>
      <c r="F14" s="163" t="str">
        <f ca="1">OFFSET(ORÇAMENTO!R$15,$L14,0)</f>
        <v>CONTRUÇÃO DE VINTE UNIDADES HABITACIONAIS</v>
      </c>
      <c r="G14" s="164" t="str">
        <f ca="1">IF($D14&lt;&gt;"Serviço","",OFFSET(ORÇAMENTO!S$15,$L14,0))</f>
        <v/>
      </c>
      <c r="H14" s="122">
        <f t="array" aca="1" ref="H14" ca="1">IF($D14&lt;&gt;"Serviço",0,IF(ACOMPANHAMENTO="BM",ROUND(OFFSET(ORÇAMENTO!AJ$15,$L14,0),15-13*ORÇAMENTO!$AF$7),IF(IFERROR(CÁLCULO.FrentesPreenchidas,0)=0,0,SUM(ROUND(OFFSET($P14,0,1,1,CÁLCULO.FrentesPreenchidas),15-13*ORÇAMENTO!$AF$7)))))</f>
        <v>0</v>
      </c>
      <c r="I14" s="467"/>
      <c r="J14" s="653" t="str">
        <f t="array" aca="1" ref="J14" ca="1">IF(OR(B14&lt;&gt;"S",CÁLCULO.FrentesPreenchidas=0),"",IF(AND(ACOMPANHAMENTO="PLE",AUTOEVENTO="Manual",OR(H14&gt;0,ORÇAMENTO!AC14="QUANT."),OR(K14="",M14=0,N14="")),"►E",IF(AND(ACOMPANHAMENTO="PLE",ORÇAMENTO!AC14="QUANT."),"►Q",IF(AND(ACOMPANHAMENTO="PLE",H14&lt;&gt;SUMPRODUCT(($Q$1:$AI$1=1)*ROUND(Q14:AI14,15))),"►S",IF(AND(COUNTIF($P$11:$AI$11,"▼")=0,H14&gt;0,I14=""),"◄M","")))))</f>
        <v/>
      </c>
      <c r="K14" s="654"/>
      <c r="L14" s="165">
        <f ca="1">OFFSET(L14,-1,0)+1</f>
        <v>1</v>
      </c>
      <c r="M14" s="166" t="str">
        <f ca="1">IF($D14&lt;&gt;"Serviço","",
          IF(AUTOEVENTO="manual",$A14,
                IF(ISERROR(MATCH($A14,$A$15:OFFSET($A14,-1,0),0)),MAX($M$15:OFFSET(M14,-1,0))+1,
                      INDEX($M$15:OFFSET(M14,-1,0),MATCH($A14,$A$15:OFFSET($A14,-1,0),0)))))</f>
        <v/>
      </c>
      <c r="N14" s="167" t="str">
        <f ca="1">IF($D14&lt;&gt;"Serviço","",
         IF(AUTOEVENTO="Manual",
                IF($A14=0,"&lt;-- defina o número do agrupador",
                       OFFSET(EVENTOS!$D$15,$A14-$A$15,0)),
                OFFSET($F$15,$A14,0)))</f>
        <v/>
      </c>
      <c r="O14" s="168"/>
      <c r="Q14" s="168"/>
      <c r="R14" s="169"/>
      <c r="S14" s="169"/>
      <c r="T14" s="169"/>
      <c r="U14" s="169"/>
      <c r="V14" s="169"/>
      <c r="W14" s="169"/>
      <c r="X14" s="169"/>
      <c r="Y14" s="169"/>
      <c r="Z14" s="170"/>
      <c r="AA14" s="169"/>
      <c r="AB14" s="169"/>
      <c r="AC14" s="169"/>
      <c r="AD14" s="169"/>
      <c r="AE14" s="169"/>
      <c r="AF14" s="169"/>
      <c r="AG14" s="169"/>
      <c r="AH14" s="170"/>
      <c r="AJ14" s="452">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2">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L14" s="452">
        <f ca="1">IF(AND($D14="Serviço",AL$12&lt;&gt;0,$H14&gt;0,OR(AUTOEVENTO&lt;&gt;"manual",$M14&lt;&gt;$A$15)),
        IF(Import.TipoArredondamento&lt;&gt;"TransfereGOV",
              ROUND(OFFSET($P14,0,AL$13),15-13*ORÇAMENTO!$AF$7)/$H14*OFFSET(ORÇAMENTO!$X$15,ROW(AL14)-ROW(AL$15),0),
              ROUND(ROUND(OFFSET($P14,0,AL$13),15-13*ORÇAMENTO!$AF$7)*OFFSET(ORÇAMENTO!$W$15,ROW(AL14)-ROW(AL$15),0),15-13*ORÇAMENTO!$AF$11)),
         0)</f>
        <v>0</v>
      </c>
      <c r="AM14" s="452">
        <f ca="1">IF(AND($D14="Serviço",AM$12&lt;&gt;0,$H14&gt;0,OR(AUTOEVENTO&lt;&gt;"manual",$M14&lt;&gt;$A$15)),
        IF(Import.TipoArredondamento&lt;&gt;"TransfereGOV",
              ROUND(OFFSET($P14,0,AM$13),15-13*ORÇAMENTO!$AF$7)/$H14*OFFSET(ORÇAMENTO!$X$15,ROW(AM14)-ROW(AM$15),0),
              ROUND(ROUND(OFFSET($P14,0,AM$13),15-13*ORÇAMENTO!$AF$7)*OFFSET(ORÇAMENTO!$W$15,ROW(AM14)-ROW(AM$15),0),15-13*ORÇAMENTO!$AF$11)),
         0)</f>
        <v>0</v>
      </c>
      <c r="AN14" s="452">
        <f ca="1">IF(AND($D14="Serviço",AN$12&lt;&gt;0,$H14&gt;0,OR(AUTOEVENTO&lt;&gt;"manual",$M14&lt;&gt;$A$15)),
        IF(Import.TipoArredondamento&lt;&gt;"TransfereGOV",
              ROUND(OFFSET($P14,0,AN$13),15-13*ORÇAMENTO!$AF$7)/$H14*OFFSET(ORÇAMENTO!$X$15,ROW(AN14)-ROW(AN$15),0),
              ROUND(ROUND(OFFSET($P14,0,AN$13),15-13*ORÇAMENTO!$AF$7)*OFFSET(ORÇAMENTO!$W$15,ROW(AN14)-ROW(AN$15),0),15-13*ORÇAMENTO!$AF$11)),
         0)</f>
        <v>0</v>
      </c>
      <c r="AO14" s="452">
        <f ca="1">IF(AND($D14="Serviço",AO$12&lt;&gt;0,$H14&gt;0,OR(AUTOEVENTO&lt;&gt;"manual",$M14&lt;&gt;$A$15)),
        IF(Import.TipoArredondamento&lt;&gt;"TransfereGOV",
              ROUND(OFFSET($P14,0,AO$13),15-13*ORÇAMENTO!$AF$7)/$H14*OFFSET(ORÇAMENTO!$X$15,ROW(AO14)-ROW(AO$15),0),
              ROUND(ROUND(OFFSET($P14,0,AO$13),15-13*ORÇAMENTO!$AF$7)*OFFSET(ORÇAMENTO!$W$15,ROW(AO14)-ROW(AO$15),0),15-13*ORÇAMENTO!$AF$11)),
         0)</f>
        <v>0</v>
      </c>
      <c r="AP14" s="452">
        <f ca="1">IF(AND($D14="Serviço",AP$12&lt;&gt;0,$H14&gt;0,OR(AUTOEVENTO&lt;&gt;"manual",$M14&lt;&gt;$A$15)),
        IF(Import.TipoArredondamento&lt;&gt;"TransfereGOV",
              ROUND(OFFSET($P14,0,AP$13),15-13*ORÇAMENTO!$AF$7)/$H14*OFFSET(ORÇAMENTO!$X$15,ROW(AP14)-ROW(AP$15),0),
              ROUND(ROUND(OFFSET($P14,0,AP$13),15-13*ORÇAMENTO!$AF$7)*OFFSET(ORÇAMENTO!$W$15,ROW(AP14)-ROW(AP$15),0),15-13*ORÇAMENTO!$AF$11)),
         0)</f>
        <v>0</v>
      </c>
      <c r="AQ14" s="452">
        <f ca="1">IF(AND($D14="Serviço",AQ$12&lt;&gt;0,$H14&gt;0,OR(AUTOEVENTO&lt;&gt;"manual",$M14&lt;&gt;$A$15)),
        IF(Import.TipoArredondamento&lt;&gt;"TransfereGOV",
              ROUND(OFFSET($P14,0,AQ$13),15-13*ORÇAMENTO!$AF$7)/$H14*OFFSET(ORÇAMENTO!$X$15,ROW(AQ14)-ROW(AQ$15),0),
              ROUND(ROUND(OFFSET($P14,0,AQ$13),15-13*ORÇAMENTO!$AF$7)*OFFSET(ORÇAMENTO!$W$15,ROW(AQ14)-ROW(AQ$15),0),15-13*ORÇAMENTO!$AF$11)),
         0)</f>
        <v>0</v>
      </c>
      <c r="AR14" s="452">
        <f ca="1">IF(AND($D14="Serviço",AR$12&lt;&gt;0,$H14&gt;0,OR(AUTOEVENTO&lt;&gt;"manual",$M14&lt;&gt;$A$15)),
        IF(Import.TipoArredondamento&lt;&gt;"TransfereGOV",
              ROUND(OFFSET($P14,0,AR$13),15-13*ORÇAMENTO!$AF$7)/$H14*OFFSET(ORÇAMENTO!$X$15,ROW(AR14)-ROW(AR$15),0),
              ROUND(ROUND(OFFSET($P14,0,AR$13),15-13*ORÇAMENTO!$AF$7)*OFFSET(ORÇAMENTO!$W$15,ROW(AR14)-ROW(AR$15),0),15-13*ORÇAMENTO!$AF$11)),
         0)</f>
        <v>0</v>
      </c>
      <c r="AS14" s="452">
        <f ca="1">IF(AND($D14="Serviço",AS$12&lt;&gt;0,$H14&gt;0,OR(AUTOEVENTO&lt;&gt;"manual",$M14&lt;&gt;$A$15)),
        IF(Import.TipoArredondamento&lt;&gt;"TransfereGOV",
              ROUND(OFFSET($P14,0,AS$13),15-13*ORÇAMENTO!$AF$7)/$H14*OFFSET(ORÇAMENTO!$X$15,ROW(AS14)-ROW(AS$15),0),
              ROUND(ROUND(OFFSET($P14,0,AS$13),15-13*ORÇAMENTO!$AF$7)*OFFSET(ORÇAMENTO!$W$15,ROW(AS14)-ROW(AS$15),0),15-13*ORÇAMENTO!$AF$11)),
         0)</f>
        <v>0</v>
      </c>
      <c r="AT14" s="452">
        <f ca="1">IF(AND($D14="Serviço",AT$12&lt;&gt;0,$H14&gt;0,OR(AUTOEVENTO&lt;&gt;"manual",$M14&lt;&gt;$A$15)),
        IF(Import.TipoArredondamento&lt;&gt;"TransfereGOV",
              ROUND(OFFSET($P14,0,AT$13),15-13*ORÇAMENTO!$AF$7)/$H14*OFFSET(ORÇAMENTO!$X$15,ROW(AT14)-ROW(AT$15),0),
              ROUND(ROUND(OFFSET($P14,0,AT$13),15-13*ORÇAMENTO!$AF$7)*OFFSET(ORÇAMENTO!$W$15,ROW(AT14)-ROW(AT$15),0),15-13*ORÇAMENTO!$AF$11)),
         0)</f>
        <v>0</v>
      </c>
      <c r="AU14" s="452">
        <f ca="1">IF(AND($D14="Serviço",AU$12&lt;&gt;0,$H14&gt;0,OR(AUTOEVENTO&lt;&gt;"manual",$M14&lt;&gt;$A$15)),
        IF(Import.TipoArredondamento&lt;&gt;"TransfereGOV",
              ROUND(OFFSET($P14,0,AU$13),15-13*ORÇAMENTO!$AF$7)/$H14*OFFSET(ORÇAMENTO!$X$15,ROW(AU14)-ROW(AU$15),0),
              ROUND(ROUND(OFFSET($P14,0,AU$13),15-13*ORÇAMENTO!$AF$7)*OFFSET(ORÇAMENTO!$W$15,ROW(AU14)-ROW(AU$15),0),15-13*ORÇAMENTO!$AF$11)),
         0)</f>
        <v>0</v>
      </c>
      <c r="AV14" s="452">
        <f ca="1">IF(AND($D14="Serviço",AV$12&lt;&gt;0,$H14&gt;0,OR(AUTOEVENTO&lt;&gt;"manual",$M14&lt;&gt;$A$15)),
        IF(Import.TipoArredondamento&lt;&gt;"TransfereGOV",
              ROUND(OFFSET($P14,0,AV$13),15-13*ORÇAMENTO!$AF$7)/$H14*OFFSET(ORÇAMENTO!$X$15,ROW(AV14)-ROW(AV$15),0),
              ROUND(ROUND(OFFSET($P14,0,AV$13),15-13*ORÇAMENTO!$AF$7)*OFFSET(ORÇAMENTO!$W$15,ROW(AV14)-ROW(AV$15),0),15-13*ORÇAMENTO!$AF$11)),
         0)</f>
        <v>0</v>
      </c>
      <c r="AW14" s="452">
        <f ca="1">IF(AND($D14="Serviço",AW$12&lt;&gt;0,$H14&gt;0,OR(AUTOEVENTO&lt;&gt;"manual",$M14&lt;&gt;$A$15)),
        IF(Import.TipoArredondamento&lt;&gt;"TransfereGOV",
              ROUND(OFFSET($P14,0,AW$13),15-13*ORÇAMENTO!$AF$7)/$H14*OFFSET(ORÇAMENTO!$X$15,ROW(AW14)-ROW(AW$15),0),
              ROUND(ROUND(OFFSET($P14,0,AW$13),15-13*ORÇAMENTO!$AF$7)*OFFSET(ORÇAMENTO!$W$15,ROW(AW14)-ROW(AW$15),0),15-13*ORÇAMENTO!$AF$11)),
         0)</f>
        <v>0</v>
      </c>
      <c r="AX14" s="452">
        <f ca="1">IF(AND($D14="Serviço",AX$12&lt;&gt;0,$H14&gt;0,OR(AUTOEVENTO&lt;&gt;"manual",$M14&lt;&gt;$A$15)),
        IF(Import.TipoArredondamento&lt;&gt;"TransfereGOV",
              ROUND(OFFSET($P14,0,AX$13),15-13*ORÇAMENTO!$AF$7)/$H14*OFFSET(ORÇAMENTO!$X$15,ROW(AX14)-ROW(AX$15),0),
              ROUND(ROUND(OFFSET($P14,0,AX$13),15-13*ORÇAMENTO!$AF$7)*OFFSET(ORÇAMENTO!$W$15,ROW(AX14)-ROW(AX$15),0),15-13*ORÇAMENTO!$AF$11)),
         0)</f>
        <v>0</v>
      </c>
      <c r="AY14" s="452">
        <f ca="1">IF(AND($D14="Serviço",AY$12&lt;&gt;0,$H14&gt;0,OR(AUTOEVENTO&lt;&gt;"manual",$M14&lt;&gt;$A$15)),
        IF(Import.TipoArredondamento&lt;&gt;"TransfereGOV",
              ROUND(OFFSET($P14,0,AY$13),15-13*ORÇAMENTO!$AF$7)/$H14*OFFSET(ORÇAMENTO!$X$15,ROW(AY14)-ROW(AY$15),0),
              ROUND(ROUND(OFFSET($P14,0,AY$13),15-13*ORÇAMENTO!$AF$7)*OFFSET(ORÇAMENTO!$W$15,ROW(AY14)-ROW(AY$15),0),15-13*ORÇAMENTO!$AF$11)),
         0)</f>
        <v>0</v>
      </c>
      <c r="AZ14" s="452">
        <f ca="1">IF(AND($D14="Serviço",AZ$12&lt;&gt;0,$H14&gt;0,OR(AUTOEVENTO&lt;&gt;"manual",$M14&lt;&gt;$A$15)),
        IF(Import.TipoArredondamento&lt;&gt;"TransfereGOV",
              ROUND(OFFSET($P14,0,AZ$13),15-13*ORÇAMENTO!$AF$7)/$H14*OFFSET(ORÇAMENTO!$X$15,ROW(AZ14)-ROW(AZ$15),0),
              ROUND(ROUND(OFFSET($P14,0,AZ$13),15-13*ORÇAMENTO!$AF$7)*OFFSET(ORÇAMENTO!$W$15,ROW(AZ14)-ROW(AZ$15),0),15-13*ORÇAMENTO!$AF$11)),
         0)</f>
        <v>0</v>
      </c>
      <c r="BA14" s="452">
        <f ca="1">IF(AND($D14="Serviço",BA$12&lt;&gt;0,$H14&gt;0,OR(AUTOEVENTO&lt;&gt;"manual",$M14&lt;&gt;$A$15)),
        IF(Import.TipoArredondamento&lt;&gt;"TransfereGOV",
              ROUND(OFFSET($P14,0,BA$13),15-13*ORÇAMENTO!$AF$7)/$H14*OFFSET(ORÇAMENTO!$X$15,ROW(BA14)-ROW(BA$15),0),
              ROUND(ROUND(OFFSET($P14,0,BA$13),15-13*ORÇAMENTO!$AF$7)*OFFSET(ORÇAMENTO!$W$15,ROW(BA14)-ROW(BA$15),0),15-13*ORÇAMENTO!$AF$11)),
         0)</f>
        <v>0</v>
      </c>
      <c r="BC14" s="171">
        <f ca="1">IF(OR($D14&lt;&gt;"Serviço",AND(AUTOEVENTO="Manual",$M14=$A$15)),0,
         IF(OFFSET(CRONOPLE!$F$15,$M14-$A$15,BC$13)=0,10^12,OFFSET(CRONOPLE!$F$15,$M14-$A$15,BC$13)))</f>
        <v>0</v>
      </c>
      <c r="BD14" s="171">
        <f ca="1">IF(OR($D14&lt;&gt;"Serviço",AND(AUTOEVENTO="Manual",$M14=$A$15)),0,
         IF(OFFSET(CRONOPLE!$F$15,$M14-$A$15,BD$13)=0,10^12,OFFSET(CRONOPLE!$F$15,$M14-$A$15,BD$13)))</f>
        <v>0</v>
      </c>
      <c r="BE14" s="171">
        <f ca="1">IF(OR($D14&lt;&gt;"Serviço",AND(AUTOEVENTO="Manual",$M14=$A$15)),0,
         IF(OFFSET(CRONOPLE!$F$15,$M14-$A$15,BE$13)=0,10^12,OFFSET(CRONOPLE!$F$15,$M14-$A$15,BE$13)))</f>
        <v>0</v>
      </c>
      <c r="BF14" s="171">
        <f ca="1">IF(OR($D14&lt;&gt;"Serviço",AND(AUTOEVENTO="Manual",$M14=$A$15)),0,
         IF(OFFSET(CRONOPLE!$F$15,$M14-$A$15,BF$13)=0,10^12,OFFSET(CRONOPLE!$F$15,$M14-$A$15,BF$13)))</f>
        <v>0</v>
      </c>
      <c r="BG14" s="171">
        <f ca="1">IF(OR($D14&lt;&gt;"Serviço",AND(AUTOEVENTO="Manual",$M14=$A$15)),0,
         IF(OFFSET(CRONOPLE!$F$15,$M14-$A$15,BG$13)=0,10^12,OFFSET(CRONOPLE!$F$15,$M14-$A$15,BG$13)))</f>
        <v>0</v>
      </c>
      <c r="BH14" s="171">
        <f ca="1">IF(OR($D14&lt;&gt;"Serviço",AND(AUTOEVENTO="Manual",$M14=$A$15)),0,
         IF(OFFSET(CRONOPLE!$F$15,$M14-$A$15,BH$13)=0,10^12,OFFSET(CRONOPLE!$F$15,$M14-$A$15,BH$13)))</f>
        <v>0</v>
      </c>
      <c r="BI14" s="171">
        <f ca="1">IF(OR($D14&lt;&gt;"Serviço",AND(AUTOEVENTO="Manual",$M14=$A$15)),0,
         IF(OFFSET(CRONOPLE!$F$15,$M14-$A$15,BI$13)=0,10^12,OFFSET(CRONOPLE!$F$15,$M14-$A$15,BI$13)))</f>
        <v>0</v>
      </c>
      <c r="BJ14" s="171">
        <f ca="1">IF(OR($D14&lt;&gt;"Serviço",AND(AUTOEVENTO="Manual",$M14=$A$15)),0,
         IF(OFFSET(CRONOPLE!$F$15,$M14-$A$15,BJ$13)=0,10^12,OFFSET(CRONOPLE!$F$15,$M14-$A$15,BJ$13)))</f>
        <v>0</v>
      </c>
      <c r="BK14" s="171">
        <f ca="1">IF(OR($D14&lt;&gt;"Serviço",AND(AUTOEVENTO="Manual",$M14=$A$15)),0,
         IF(OFFSET(CRONOPLE!$F$15,$M14-$A$15,BK$13)=0,10^12,OFFSET(CRONOPLE!$F$15,$M14-$A$15,BK$13)))</f>
        <v>0</v>
      </c>
      <c r="BL14" s="171">
        <f ca="1">IF(OR($D14&lt;&gt;"Serviço",AND(AUTOEVENTO="Manual",$M14=$A$15)),0,
         IF(OFFSET(CRONOPLE!$F$15,$M14-$A$15,BL$13)=0,10^12,OFFSET(CRONOPLE!$F$15,$M14-$A$15,BL$13)))</f>
        <v>0</v>
      </c>
      <c r="BM14" s="171">
        <f ca="1">IF(OR($D14&lt;&gt;"Serviço",AND(AUTOEVENTO="Manual",$M14=$A$15)),0,
         IF(OFFSET(CRONOPLE!$F$15,$M14-$A$15,BM$13)=0,10^12,OFFSET(CRONOPLE!$F$15,$M14-$A$15,BM$13)))</f>
        <v>0</v>
      </c>
      <c r="BN14" s="171">
        <f ca="1">IF(OR($D14&lt;&gt;"Serviço",AND(AUTOEVENTO="Manual",$M14=$A$15)),0,
         IF(OFFSET(CRONOPLE!$F$15,$M14-$A$15,BN$13)=0,10^12,OFFSET(CRONOPLE!$F$15,$M14-$A$15,BN$13)))</f>
        <v>0</v>
      </c>
      <c r="BO14" s="171">
        <f ca="1">IF(OR($D14&lt;&gt;"Serviço",AND(AUTOEVENTO="Manual",$M14=$A$15)),0,
         IF(OFFSET(CRONOPLE!$F$15,$M14-$A$15,BO$13)=0,10^12,OFFSET(CRONOPLE!$F$15,$M14-$A$15,BO$13)))</f>
        <v>0</v>
      </c>
      <c r="BP14" s="171">
        <f ca="1">IF(OR($D14&lt;&gt;"Serviço",AND(AUTOEVENTO="Manual",$M14=$A$15)),0,
         IF(OFFSET(CRONOPLE!$F$15,$M14-$A$15,BP$13)=0,10^12,OFFSET(CRONOPLE!$F$15,$M14-$A$15,BP$13)))</f>
        <v>0</v>
      </c>
      <c r="BQ14" s="171">
        <f ca="1">IF(OR($D14&lt;&gt;"Serviço",AND(AUTOEVENTO="Manual",$M14=$A$15)),0,
         IF(OFFSET(CRONOPLE!$F$15,$M14-$A$15,BQ$13)=0,10^12,OFFSET(CRONOPLE!$F$15,$M14-$A$15,BQ$13)))</f>
        <v>0</v>
      </c>
      <c r="BR14" s="171">
        <f ca="1">IF(OR($D14&lt;&gt;"Serviço",AND(AUTOEVENTO="Manual",$M14=$A$15)),0,
         IF(OFFSET(CRONOPLE!$F$15,$M14-$A$15,BR$13)=0,10^12,OFFSET(CRONOPLE!$F$15,$M14-$A$15,BR$13)))</f>
        <v>0</v>
      </c>
      <c r="BS14" s="171">
        <f ca="1">IF(OR($D14&lt;&gt;"Serviço",AND(AUTOEVENTO="Manual",$M14=$A$15)),0,
         IF(OFFSET(CRONOPLE!$F$15,$M14-$A$15,BS$13)=0,10^12,OFFSET(CRONOPLE!$F$15,$M14-$A$15,BS$13)))</f>
        <v>0</v>
      </c>
      <c r="BT14" s="171">
        <f ca="1">IF(OR($D14&lt;&gt;"Serviço",AND(AUTOEVENTO="Manual",$M14=$A$15)),0,
         IF(OFFSET(CRONOPLE!$F$15,$M14-$A$15,BT$13)=0,10^12,OFFSET(CRONOPLE!$F$15,$M14-$A$15,BT$13)))</f>
        <v>0</v>
      </c>
      <c r="BV14" s="172">
        <f t="array" aca="1" ref="BV14" ca="1">IF(OR($D14&lt;&gt;"Serviço",AND(AUTOEVENTO="Manual",$M14=$A$15),$M14&gt;(ROW(PLE.lastrow)-ROW(PLE.firstrow))),0,
           IF(OFFSET(PLE!$G$15,$M14-$A$15,BV$13)="",10^12,OFFSET(PLE!$G$15,$M14-$A$15,BV$13)))</f>
        <v>0</v>
      </c>
      <c r="BW14" s="172">
        <f t="array" aca="1" ref="BW14" ca="1">IF(OR($D14&lt;&gt;"Serviço",AND(AUTOEVENTO="Manual",$M14=$A$15),$M14&gt;(ROW(PLE.lastrow)-ROW(PLE.firstrow))),0,
           IF(OFFSET(PLE!$G$15,$M14-$A$15,BW$13)="",10^12,OFFSET(PLE!$G$15,$M14-$A$15,BW$13)))</f>
        <v>0</v>
      </c>
      <c r="BX14" s="172">
        <f t="array" aca="1" ref="BX14" ca="1">IF(OR($D14&lt;&gt;"Serviço",AND(AUTOEVENTO="Manual",$M14=$A$15),$M14&gt;(ROW(PLE.lastrow)-ROW(PLE.firstrow))),0,
           IF(OFFSET(PLE!$G$15,$M14-$A$15,BX$13)="",10^12,OFFSET(PLE!$G$15,$M14-$A$15,BX$13)))</f>
        <v>0</v>
      </c>
      <c r="BY14" s="172">
        <f t="array" aca="1" ref="BY14" ca="1">IF(OR($D14&lt;&gt;"Serviço",AND(AUTOEVENTO="Manual",$M14=$A$15),$M14&gt;(ROW(PLE.lastrow)-ROW(PLE.firstrow))),0,
           IF(OFFSET(PLE!$G$15,$M14-$A$15,BY$13)="",10^12,OFFSET(PLE!$G$15,$M14-$A$15,BY$13)))</f>
        <v>0</v>
      </c>
      <c r="BZ14" s="172">
        <f t="array" aca="1" ref="BZ14" ca="1">IF(OR($D14&lt;&gt;"Serviço",AND(AUTOEVENTO="Manual",$M14=$A$15),$M14&gt;(ROW(PLE.lastrow)-ROW(PLE.firstrow))),0,
           IF(OFFSET(PLE!$G$15,$M14-$A$15,BZ$13)="",10^12,OFFSET(PLE!$G$15,$M14-$A$15,BZ$13)))</f>
        <v>0</v>
      </c>
      <c r="CA14" s="172">
        <f t="array" aca="1" ref="CA14" ca="1">IF(OR($D14&lt;&gt;"Serviço",AND(AUTOEVENTO="Manual",$M14=$A$15),$M14&gt;(ROW(PLE.lastrow)-ROW(PLE.firstrow))),0,
           IF(OFFSET(PLE!$G$15,$M14-$A$15,CA$13)="",10^12,OFFSET(PLE!$G$15,$M14-$A$15,CA$13)))</f>
        <v>0</v>
      </c>
      <c r="CB14" s="172">
        <f t="array" aca="1" ref="CB14" ca="1">IF(OR($D14&lt;&gt;"Serviço",AND(AUTOEVENTO="Manual",$M14=$A$15),$M14&gt;(ROW(PLE.lastrow)-ROW(PLE.firstrow))),0,
           IF(OFFSET(PLE!$G$15,$M14-$A$15,CB$13)="",10^12,OFFSET(PLE!$G$15,$M14-$A$15,CB$13)))</f>
        <v>0</v>
      </c>
      <c r="CC14" s="172">
        <f t="array" aca="1" ref="CC14" ca="1">IF(OR($D14&lt;&gt;"Serviço",AND(AUTOEVENTO="Manual",$M14=$A$15),$M14&gt;(ROW(PLE.lastrow)-ROW(PLE.firstrow))),0,
           IF(OFFSET(PLE!$G$15,$M14-$A$15,CC$13)="",10^12,OFFSET(PLE!$G$15,$M14-$A$15,CC$13)))</f>
        <v>0</v>
      </c>
      <c r="CD14" s="172">
        <f t="array" aca="1" ref="CD14" ca="1">IF(OR($D14&lt;&gt;"Serviço",AND(AUTOEVENTO="Manual",$M14=$A$15),$M14&gt;(ROW(PLE.lastrow)-ROW(PLE.firstrow))),0,
           IF(OFFSET(PLE!$G$15,$M14-$A$15,CD$13)="",10^12,OFFSET(PLE!$G$15,$M14-$A$15,CD$13)))</f>
        <v>0</v>
      </c>
      <c r="CE14" s="172">
        <f t="array" aca="1" ref="CE14" ca="1">IF(OR($D14&lt;&gt;"Serviço",AND(AUTOEVENTO="Manual",$M14=$A$15),$M14&gt;(ROW(PLE.lastrow)-ROW(PLE.firstrow))),0,
           IF(OFFSET(PLE!$G$15,$M14-$A$15,CE$13)="",10^12,OFFSET(PLE!$G$15,$M14-$A$15,CE$13)))</f>
        <v>0</v>
      </c>
      <c r="CF14" s="172">
        <f t="array" aca="1" ref="CF14" ca="1">IF(OR($D14&lt;&gt;"Serviço",AND(AUTOEVENTO="Manual",$M14=$A$15),$M14&gt;(ROW(PLE.lastrow)-ROW(PLE.firstrow))),0,
           IF(OFFSET(PLE!$G$15,$M14-$A$15,CF$13)="",10^12,OFFSET(PLE!$G$15,$M14-$A$15,CF$13)))</f>
        <v>0</v>
      </c>
      <c r="CG14" s="172">
        <f t="array" aca="1" ref="CG14" ca="1">IF(OR($D14&lt;&gt;"Serviço",AND(AUTOEVENTO="Manual",$M14=$A$15),$M14&gt;(ROW(PLE.lastrow)-ROW(PLE.firstrow))),0,
           IF(OFFSET(PLE!$G$15,$M14-$A$15,CG$13)="",10^12,OFFSET(PLE!$G$15,$M14-$A$15,CG$13)))</f>
        <v>0</v>
      </c>
      <c r="CH14" s="172">
        <f t="array" aca="1" ref="CH14" ca="1">IF(OR($D14&lt;&gt;"Serviço",AND(AUTOEVENTO="Manual",$M14=$A$15),$M14&gt;(ROW(PLE.lastrow)-ROW(PLE.firstrow))),0,
           IF(OFFSET(PLE!$G$15,$M14-$A$15,CH$13)="",10^12,OFFSET(PLE!$G$15,$M14-$A$15,CH$13)))</f>
        <v>0</v>
      </c>
      <c r="CI14" s="172">
        <f t="array" aca="1" ref="CI14" ca="1">IF(OR($D14&lt;&gt;"Serviço",AND(AUTOEVENTO="Manual",$M14=$A$15),$M14&gt;(ROW(PLE.lastrow)-ROW(PLE.firstrow))),0,
           IF(OFFSET(PLE!$G$15,$M14-$A$15,CI$13)="",10^12,OFFSET(PLE!$G$15,$M14-$A$15,CI$13)))</f>
        <v>0</v>
      </c>
      <c r="CJ14" s="172">
        <f t="array" aca="1" ref="CJ14" ca="1">IF(OR($D14&lt;&gt;"Serviço",AND(AUTOEVENTO="Manual",$M14=$A$15),$M14&gt;(ROW(PLE.lastrow)-ROW(PLE.firstrow))),0,
           IF(OFFSET(PLE!$G$15,$M14-$A$15,CJ$13)="",10^12,OFFSET(PLE!$G$15,$M14-$A$15,CJ$13)))</f>
        <v>0</v>
      </c>
      <c r="CK14" s="172">
        <f t="array" aca="1" ref="CK14" ca="1">IF(OR($D14&lt;&gt;"Serviço",AND(AUTOEVENTO="Manual",$M14=$A$15),$M14&gt;(ROW(PLE.lastrow)-ROW(PLE.firstrow))),0,
           IF(OFFSET(PLE!$G$15,$M14-$A$15,CK$13)="",10^12,OFFSET(PLE!$G$15,$M14-$A$15,CK$13)))</f>
        <v>0</v>
      </c>
      <c r="CL14" s="172">
        <f t="array" aca="1" ref="CL14" ca="1">IF(OR($D14&lt;&gt;"Serviço",AND(AUTOEVENTO="Manual",$M14=$A$15),$M14&gt;(ROW(PLE.lastrow)-ROW(PLE.firstrow))),0,
           IF(OFFSET(PLE!$G$15,$M14-$A$15,CL$13)="",10^12,OFFSET(PLE!$G$15,$M14-$A$15,CL$13)))</f>
        <v>0</v>
      </c>
      <c r="CM14" s="172">
        <f t="array" aca="1" ref="CM14" ca="1">IF(OR($D14&lt;&gt;"Serviço",AND(AUTOEVENTO="Manual",$M14=$A$15),$M14&gt;(ROW(PLE.lastrow)-ROW(PLE.firstrow))),0,
           IF(OFFSET(PLE!$G$15,$M14-$A$15,CM$13)="",10^12,OFFSET(PLE!$G$15,$M14-$A$15,CM$13)))</f>
        <v>0</v>
      </c>
    </row>
    <row r="15" spans="1:91" ht="12.75" customHeight="1" x14ac:dyDescent="0.2">
      <c r="A15" s="656">
        <f t="array" ref="A15">IF(AdmLocal="Automática",1,0)</f>
        <v>0</v>
      </c>
      <c r="B15" s="7" t="str">
        <f ca="1">OFFSET(ORÇAMENTO!C$15,ROW(B15)-ROW(B$15),0)</f>
        <v>L</v>
      </c>
      <c r="C15" s="7" t="str">
        <f ca="1">OFFSET(ORÇAMENTO!L$15,ROW(C15)-ROW(C$15),0)</f>
        <v>F</v>
      </c>
      <c r="D15" s="130" t="str">
        <f t="array" ref="D15">IF(TIPOORCAMENTO="LICITADO","CTEF","LOTE")</f>
        <v>LOTE</v>
      </c>
      <c r="E15" s="783" t="str">
        <f>Import.DescLote</f>
        <v>CONSTRUÇÃO DE VINTE UNIDADES HABITACIONAIS</v>
      </c>
      <c r="F15" s="783"/>
      <c r="G15" s="783"/>
      <c r="H15" s="783"/>
      <c r="I15" s="468"/>
      <c r="J15" s="520"/>
      <c r="K15" s="631"/>
      <c r="L15" s="165">
        <v>0</v>
      </c>
      <c r="M15" s="566">
        <v>0</v>
      </c>
      <c r="N15" s="173" t="s">
        <v>776</v>
      </c>
      <c r="O15" s="174" t="e">
        <f ca="1">OFFSET($AI$15,0,O$13)</f>
        <v>#VALUE!</v>
      </c>
      <c r="Q15" s="175">
        <f t="shared" ref="Q15:Z15" ca="1" si="6">OFFSET($AI$15,0,Q$13)</f>
        <v>631898.56000000006</v>
      </c>
      <c r="R15" s="174">
        <f t="shared" ca="1" si="6"/>
        <v>631898.56000000017</v>
      </c>
      <c r="S15" s="174">
        <f t="shared" ca="1" si="6"/>
        <v>631898.56000000017</v>
      </c>
      <c r="T15" s="174">
        <f t="shared" ca="1" si="6"/>
        <v>643337.39000000036</v>
      </c>
      <c r="U15" s="174">
        <f t="shared" ca="1" si="6"/>
        <v>18891.599999999999</v>
      </c>
      <c r="V15" s="174">
        <f t="shared" ca="1" si="6"/>
        <v>24416.739999999998</v>
      </c>
      <c r="W15" s="174">
        <f t="shared" ca="1" si="6"/>
        <v>11419.68</v>
      </c>
      <c r="X15" s="174">
        <f t="shared" ca="1" si="6"/>
        <v>17170.669999999998</v>
      </c>
      <c r="Y15" s="174">
        <f t="shared" ca="1" si="6"/>
        <v>18425.810000000001</v>
      </c>
      <c r="Z15" s="176">
        <f t="shared" ca="1" si="6"/>
        <v>19722.099999999999</v>
      </c>
      <c r="AA15" s="174">
        <f t="shared" ref="AA15:AH15" ca="1" si="7">OFFSET($AI$15,0,AA$13)</f>
        <v>12088.4</v>
      </c>
      <c r="AB15" s="174">
        <f t="shared" ca="1" si="7"/>
        <v>6985.55</v>
      </c>
      <c r="AC15" s="174">
        <f t="shared" ca="1" si="7"/>
        <v>7458.8</v>
      </c>
      <c r="AD15" s="174">
        <f t="shared" ca="1" si="7"/>
        <v>0</v>
      </c>
      <c r="AE15" s="174">
        <f t="shared" ca="1" si="7"/>
        <v>0</v>
      </c>
      <c r="AF15" s="174">
        <f t="shared" ca="1" si="7"/>
        <v>0</v>
      </c>
      <c r="AG15" s="174">
        <f t="shared" ca="1" si="7"/>
        <v>0</v>
      </c>
      <c r="AH15" s="176">
        <f t="shared" ca="1" si="7"/>
        <v>0</v>
      </c>
      <c r="AJ15" s="177">
        <f ca="1">ROUND(SUM(OFFSET(AJ$15,1,0):AJ$235),2)</f>
        <v>631898.56000000006</v>
      </c>
      <c r="AK15" s="177">
        <f ca="1">SUM(OFFSET(AK$15,1,0):AK$235)</f>
        <v>631898.56000000017</v>
      </c>
      <c r="AL15" s="177">
        <f ca="1">SUM(OFFSET(AL$15,1,0):AL$235)</f>
        <v>631898.56000000017</v>
      </c>
      <c r="AM15" s="177">
        <f ca="1">SUM(OFFSET(AM$15,1,0):AM$235)</f>
        <v>643337.39000000036</v>
      </c>
      <c r="AN15" s="177">
        <f ca="1">SUM(OFFSET(AN$15,1,0):AN$235)</f>
        <v>18891.599999999999</v>
      </c>
      <c r="AO15" s="177">
        <f ca="1">SUM(OFFSET(AO$15,1,0):AO$235)</f>
        <v>24416.739999999998</v>
      </c>
      <c r="AP15" s="177">
        <f ca="1">SUM(OFFSET(AP$15,1,0):AP$235)</f>
        <v>11419.68</v>
      </c>
      <c r="AQ15" s="177">
        <f ca="1">SUM(OFFSET(AQ$15,1,0):AQ$235)</f>
        <v>17170.669999999998</v>
      </c>
      <c r="AR15" s="177">
        <f ca="1">SUM(OFFSET(AR$15,1,0):AR$235)</f>
        <v>18425.810000000001</v>
      </c>
      <c r="AS15" s="177">
        <f ca="1">SUM(OFFSET(AS$15,1,0):AS$235)</f>
        <v>19722.099999999999</v>
      </c>
      <c r="AT15" s="177">
        <f ca="1">SUM(OFFSET(AT$15,1,0):AT$235)</f>
        <v>12088.4</v>
      </c>
      <c r="AU15" s="177">
        <f ca="1">SUM(OFFSET(AU$15,1,0):AU$235)</f>
        <v>6985.55</v>
      </c>
      <c r="AV15" s="177">
        <f ca="1">SUM(OFFSET(AV$15,1,0):AV$235)</f>
        <v>7458.8</v>
      </c>
      <c r="AW15" s="177">
        <f ca="1">SUM(OFFSET(AW$15,1,0):AW$235)</f>
        <v>0</v>
      </c>
      <c r="AX15" s="177">
        <f ca="1">SUM(OFFSET(AX$15,1,0):AX$235)</f>
        <v>0</v>
      </c>
      <c r="AY15" s="177">
        <f ca="1">SUM(OFFSET(AY$15,1,0):AY$235)</f>
        <v>0</v>
      </c>
      <c r="AZ15" s="177">
        <f ca="1">SUM(OFFSET(AZ$15,1,0):AZ$235)</f>
        <v>0</v>
      </c>
      <c r="BA15" s="177">
        <f ca="1">SUM(OFFSET(BA$15,1,0):BA$235)</f>
        <v>0</v>
      </c>
      <c r="BC15" s="178">
        <f>10^12</f>
        <v>1000000000000</v>
      </c>
      <c r="BD15" s="178">
        <f t="shared" ref="BD15:BT15" si="8">10^12</f>
        <v>1000000000000</v>
      </c>
      <c r="BE15" s="178">
        <f t="shared" si="8"/>
        <v>1000000000000</v>
      </c>
      <c r="BF15" s="178">
        <f t="shared" si="8"/>
        <v>1000000000000</v>
      </c>
      <c r="BG15" s="178">
        <f t="shared" si="8"/>
        <v>1000000000000</v>
      </c>
      <c r="BH15" s="178">
        <f t="shared" si="8"/>
        <v>1000000000000</v>
      </c>
      <c r="BI15" s="178">
        <f t="shared" si="8"/>
        <v>1000000000000</v>
      </c>
      <c r="BJ15" s="178">
        <f t="shared" si="8"/>
        <v>1000000000000</v>
      </c>
      <c r="BK15" s="178">
        <f t="shared" si="8"/>
        <v>1000000000000</v>
      </c>
      <c r="BL15" s="178">
        <f t="shared" si="8"/>
        <v>1000000000000</v>
      </c>
      <c r="BM15" s="178">
        <f t="shared" si="8"/>
        <v>1000000000000</v>
      </c>
      <c r="BN15" s="178">
        <f t="shared" si="8"/>
        <v>1000000000000</v>
      </c>
      <c r="BO15" s="178">
        <f t="shared" si="8"/>
        <v>1000000000000</v>
      </c>
      <c r="BP15" s="178">
        <f t="shared" si="8"/>
        <v>1000000000000</v>
      </c>
      <c r="BQ15" s="178">
        <f t="shared" si="8"/>
        <v>1000000000000</v>
      </c>
      <c r="BR15" s="178">
        <f t="shared" si="8"/>
        <v>1000000000000</v>
      </c>
      <c r="BS15" s="178">
        <f t="shared" si="8"/>
        <v>1000000000000</v>
      </c>
      <c r="BT15" s="178">
        <f t="shared" si="8"/>
        <v>1000000000000</v>
      </c>
      <c r="BV15" s="178">
        <f t="shared" ref="BV15:CM15" si="9">10^12</f>
        <v>1000000000000</v>
      </c>
      <c r="BW15" s="178">
        <f t="shared" si="9"/>
        <v>1000000000000</v>
      </c>
      <c r="BX15" s="178">
        <f t="shared" si="9"/>
        <v>1000000000000</v>
      </c>
      <c r="BY15" s="178">
        <f t="shared" si="9"/>
        <v>1000000000000</v>
      </c>
      <c r="BZ15" s="178">
        <f t="shared" si="9"/>
        <v>1000000000000</v>
      </c>
      <c r="CA15" s="178">
        <f t="shared" si="9"/>
        <v>1000000000000</v>
      </c>
      <c r="CB15" s="178">
        <f t="shared" si="9"/>
        <v>1000000000000</v>
      </c>
      <c r="CC15" s="178">
        <f t="shared" si="9"/>
        <v>1000000000000</v>
      </c>
      <c r="CD15" s="178">
        <f t="shared" si="9"/>
        <v>1000000000000</v>
      </c>
      <c r="CE15" s="178">
        <f t="shared" si="9"/>
        <v>1000000000000</v>
      </c>
      <c r="CF15" s="178">
        <f t="shared" si="9"/>
        <v>1000000000000</v>
      </c>
      <c r="CG15" s="178">
        <f t="shared" si="9"/>
        <v>1000000000000</v>
      </c>
      <c r="CH15" s="178">
        <f t="shared" si="9"/>
        <v>1000000000000</v>
      </c>
      <c r="CI15" s="178">
        <f t="shared" si="9"/>
        <v>1000000000000</v>
      </c>
      <c r="CJ15" s="178">
        <f t="shared" si="9"/>
        <v>1000000000000</v>
      </c>
      <c r="CK15" s="178">
        <f t="shared" si="9"/>
        <v>1000000000000</v>
      </c>
      <c r="CL15" s="178">
        <f t="shared" si="9"/>
        <v>1000000000000</v>
      </c>
      <c r="CM15" s="178">
        <f t="shared" si="9"/>
        <v>1000000000000</v>
      </c>
    </row>
    <row r="16" spans="1:91" s="696" customFormat="1" ht="12.75" x14ac:dyDescent="0.2">
      <c r="A16" s="694">
        <f t="shared" ref="A16:A74" ca="1" si="10">IFERROR(IF(AUTOEVENTO="Manual",IF(K16&lt;&gt;"",MIN(VALUE(LEFT(K16,FIND(".",K16)-1)),COUNTA(EVENTOS.Lista)),0),IF(OR($B16&gt;AUTOEVENTO,$B16="S",$B16=0),SUBSTITUTE(OFFSET($A16,-1,0),IF($D16="Serviço",".",""),""),$L16&amp;".")),0)</f>
        <v>0</v>
      </c>
      <c r="B16" s="694">
        <f ca="1">OFFSET(ORÇAMENTO!C$15,$L16,0)</f>
        <v>1</v>
      </c>
      <c r="C16" s="694" t="str">
        <f ca="1">OFFSET(ORÇAMENTO!L$15,$L16,0)</f>
        <v>F</v>
      </c>
      <c r="D16" s="116" t="str">
        <f ca="1">OFFSET(ORÇAMENTO!N$15,$L16,0)</f>
        <v>Meta</v>
      </c>
      <c r="E16" s="117" t="str">
        <f ca="1">OFFSET(ORÇAMENTO!O$15,$L16,0)</f>
        <v>1.</v>
      </c>
      <c r="F16" s="163" t="str">
        <f ca="1">OFFSET(ORÇAMENTO!R$15,$L16,0)</f>
        <v>CONTRUÇÃO DE VINTE UNIDADES HABITACIONAIS</v>
      </c>
      <c r="G16" s="164" t="str">
        <f ca="1">IF($D16&lt;&gt;"Serviço","",OFFSET(ORÇAMENTO!S$15,$L16,0))</f>
        <v/>
      </c>
      <c r="H16" s="122">
        <f t="array" aca="1" ref="H16" ca="1">IF($D16&lt;&gt;"Serviço",0,IF(ACOMPANHAMENTO="BM",ROUND(OFFSET(ORÇAMENTO!AJ$15,$L16,0),15-13*ORÇAMENTO!$AF$7),IF(IFERROR(CÁLCULO.FrentesPreenchidas,0)=0,0,SUM(ROUND(OFFSET($P16,0,1,1,CÁLCULO.FrentesPreenchidas),15-13*ORÇAMENTO!$AF$7)))))</f>
        <v>0</v>
      </c>
      <c r="I16" s="467"/>
      <c r="J16" s="653" t="str">
        <f t="array" aca="1" ref="J16" ca="1">IF(OR(B16&lt;&gt;"S",CÁLCULO.FrentesPreenchidas=0),"",IF(AND(ACOMPANHAMENTO="PLE",AUTOEVENTO="Manual",OR(H16&gt;0,ORÇAMENTO!AC16="QUANT."),OR(K16="",M16=0,N16="")),"►E",IF(AND(ACOMPANHAMENTO="PLE",ORÇAMENTO!AC16="QUANT."),"►Q",IF(AND(ACOMPANHAMENTO="PLE",H16&lt;&gt;SUMPRODUCT(($Q$1:$AI$1=1)*ROUND(Q16:AI16,15))),"►S",IF(AND(COUNTIF($P$11:$AI$11,"▼")=0,H16&gt;0,I16=""),"◄M","")))))</f>
        <v/>
      </c>
      <c r="K16" s="654"/>
      <c r="L16" s="165">
        <f t="shared" ref="L16:L74" ca="1" si="11">OFFSET(L16,-1,0)+1</f>
        <v>1</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A16" s="169"/>
      <c r="AB16" s="169"/>
      <c r="AC16" s="169"/>
      <c r="AD16" s="169"/>
      <c r="AE16" s="169"/>
      <c r="AF16" s="169"/>
      <c r="AG16" s="169"/>
      <c r="AH16" s="170"/>
      <c r="AJ16" s="452">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2">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L16" s="452">
        <f ca="1">IF(AND($D16="Serviço",AL$12&lt;&gt;0,$H16&gt;0,OR(AUTOEVENTO&lt;&gt;"manual",$M16&lt;&gt;$A$15)),
        IF(Import.TipoArredondamento&lt;&gt;"TransfereGOV",
              ROUND(OFFSET($P16,0,AL$13),15-13*ORÇAMENTO!$AF$7)/$H16*OFFSET(ORÇAMENTO!$X$15,ROW(AL16)-ROW(AL$15),0),
              ROUND(ROUND(OFFSET($P16,0,AL$13),15-13*ORÇAMENTO!$AF$7)*OFFSET(ORÇAMENTO!$W$15,ROW(AL16)-ROW(AL$15),0),15-13*ORÇAMENTO!$AF$11)),
         0)</f>
        <v>0</v>
      </c>
      <c r="AM16" s="452">
        <f ca="1">IF(AND($D16="Serviço",AM$12&lt;&gt;0,$H16&gt;0,OR(AUTOEVENTO&lt;&gt;"manual",$M16&lt;&gt;$A$15)),
        IF(Import.TipoArredondamento&lt;&gt;"TransfereGOV",
              ROUND(OFFSET($P16,0,AM$13),15-13*ORÇAMENTO!$AF$7)/$H16*OFFSET(ORÇAMENTO!$X$15,ROW(AM16)-ROW(AM$15),0),
              ROUND(ROUND(OFFSET($P16,0,AM$13),15-13*ORÇAMENTO!$AF$7)*OFFSET(ORÇAMENTO!$W$15,ROW(AM16)-ROW(AM$15),0),15-13*ORÇAMENTO!$AF$11)),
         0)</f>
        <v>0</v>
      </c>
      <c r="AN16" s="452">
        <f ca="1">IF(AND($D16="Serviço",AN$12&lt;&gt;0,$H16&gt;0,OR(AUTOEVENTO&lt;&gt;"manual",$M16&lt;&gt;$A$15)),
        IF(Import.TipoArredondamento&lt;&gt;"TransfereGOV",
              ROUND(OFFSET($P16,0,AN$13),15-13*ORÇAMENTO!$AF$7)/$H16*OFFSET(ORÇAMENTO!$X$15,ROW(AN16)-ROW(AN$15),0),
              ROUND(ROUND(OFFSET($P16,0,AN$13),15-13*ORÇAMENTO!$AF$7)*OFFSET(ORÇAMENTO!$W$15,ROW(AN16)-ROW(AN$15),0),15-13*ORÇAMENTO!$AF$11)),
         0)</f>
        <v>0</v>
      </c>
      <c r="AO16" s="452">
        <f ca="1">IF(AND($D16="Serviço",AO$12&lt;&gt;0,$H16&gt;0,OR(AUTOEVENTO&lt;&gt;"manual",$M16&lt;&gt;$A$15)),
        IF(Import.TipoArredondamento&lt;&gt;"TransfereGOV",
              ROUND(OFFSET($P16,0,AO$13),15-13*ORÇAMENTO!$AF$7)/$H16*OFFSET(ORÇAMENTO!$X$15,ROW(AO16)-ROW(AO$15),0),
              ROUND(ROUND(OFFSET($P16,0,AO$13),15-13*ORÇAMENTO!$AF$7)*OFFSET(ORÇAMENTO!$W$15,ROW(AO16)-ROW(AO$15),0),15-13*ORÇAMENTO!$AF$11)),
         0)</f>
        <v>0</v>
      </c>
      <c r="AP16" s="452">
        <f ca="1">IF(AND($D16="Serviço",AP$12&lt;&gt;0,$H16&gt;0,OR(AUTOEVENTO&lt;&gt;"manual",$M16&lt;&gt;$A$15)),
        IF(Import.TipoArredondamento&lt;&gt;"TransfereGOV",
              ROUND(OFFSET($P16,0,AP$13),15-13*ORÇAMENTO!$AF$7)/$H16*OFFSET(ORÇAMENTO!$X$15,ROW(AP16)-ROW(AP$15),0),
              ROUND(ROUND(OFFSET($P16,0,AP$13),15-13*ORÇAMENTO!$AF$7)*OFFSET(ORÇAMENTO!$W$15,ROW(AP16)-ROW(AP$15),0),15-13*ORÇAMENTO!$AF$11)),
         0)</f>
        <v>0</v>
      </c>
      <c r="AQ16" s="452">
        <f ca="1">IF(AND($D16="Serviço",AQ$12&lt;&gt;0,$H16&gt;0,OR(AUTOEVENTO&lt;&gt;"manual",$M16&lt;&gt;$A$15)),
        IF(Import.TipoArredondamento&lt;&gt;"TransfereGOV",
              ROUND(OFFSET($P16,0,AQ$13),15-13*ORÇAMENTO!$AF$7)/$H16*OFFSET(ORÇAMENTO!$X$15,ROW(AQ16)-ROW(AQ$15),0),
              ROUND(ROUND(OFFSET($P16,0,AQ$13),15-13*ORÇAMENTO!$AF$7)*OFFSET(ORÇAMENTO!$W$15,ROW(AQ16)-ROW(AQ$15),0),15-13*ORÇAMENTO!$AF$11)),
         0)</f>
        <v>0</v>
      </c>
      <c r="AR16" s="452">
        <f ca="1">IF(AND($D16="Serviço",AR$12&lt;&gt;0,$H16&gt;0,OR(AUTOEVENTO&lt;&gt;"manual",$M16&lt;&gt;$A$15)),
        IF(Import.TipoArredondamento&lt;&gt;"TransfereGOV",
              ROUND(OFFSET($P16,0,AR$13),15-13*ORÇAMENTO!$AF$7)/$H16*OFFSET(ORÇAMENTO!$X$15,ROW(AR16)-ROW(AR$15),0),
              ROUND(ROUND(OFFSET($P16,0,AR$13),15-13*ORÇAMENTO!$AF$7)*OFFSET(ORÇAMENTO!$W$15,ROW(AR16)-ROW(AR$15),0),15-13*ORÇAMENTO!$AF$11)),
         0)</f>
        <v>0</v>
      </c>
      <c r="AS16" s="452">
        <f ca="1">IF(AND($D16="Serviço",AS$12&lt;&gt;0,$H16&gt;0,OR(AUTOEVENTO&lt;&gt;"manual",$M16&lt;&gt;$A$15)),
        IF(Import.TipoArredondamento&lt;&gt;"TransfereGOV",
              ROUND(OFFSET($P16,0,AS$13),15-13*ORÇAMENTO!$AF$7)/$H16*OFFSET(ORÇAMENTO!$X$15,ROW(AS16)-ROW(AS$15),0),
              ROUND(ROUND(OFFSET($P16,0,AS$13),15-13*ORÇAMENTO!$AF$7)*OFFSET(ORÇAMENTO!$W$15,ROW(AS16)-ROW(AS$15),0),15-13*ORÇAMENTO!$AF$11)),
         0)</f>
        <v>0</v>
      </c>
      <c r="AT16" s="452">
        <f ca="1">IF(AND($D16="Serviço",AT$12&lt;&gt;0,$H16&gt;0,OR(AUTOEVENTO&lt;&gt;"manual",$M16&lt;&gt;$A$15)),
        IF(Import.TipoArredondamento&lt;&gt;"TransfereGOV",
              ROUND(OFFSET($P16,0,AT$13),15-13*ORÇAMENTO!$AF$7)/$H16*OFFSET(ORÇAMENTO!$X$15,ROW(AT16)-ROW(AT$15),0),
              ROUND(ROUND(OFFSET($P16,0,AT$13),15-13*ORÇAMENTO!$AF$7)*OFFSET(ORÇAMENTO!$W$15,ROW(AT16)-ROW(AT$15),0),15-13*ORÇAMENTO!$AF$11)),
         0)</f>
        <v>0</v>
      </c>
      <c r="AU16" s="452">
        <f ca="1">IF(AND($D16="Serviço",AU$12&lt;&gt;0,$H16&gt;0,OR(AUTOEVENTO&lt;&gt;"manual",$M16&lt;&gt;$A$15)),
        IF(Import.TipoArredondamento&lt;&gt;"TransfereGOV",
              ROUND(OFFSET($P16,0,AU$13),15-13*ORÇAMENTO!$AF$7)/$H16*OFFSET(ORÇAMENTO!$X$15,ROW(AU16)-ROW(AU$15),0),
              ROUND(ROUND(OFFSET($P16,0,AU$13),15-13*ORÇAMENTO!$AF$7)*OFFSET(ORÇAMENTO!$W$15,ROW(AU16)-ROW(AU$15),0),15-13*ORÇAMENTO!$AF$11)),
         0)</f>
        <v>0</v>
      </c>
      <c r="AV16" s="452">
        <f ca="1">IF(AND($D16="Serviço",AV$12&lt;&gt;0,$H16&gt;0,OR(AUTOEVENTO&lt;&gt;"manual",$M16&lt;&gt;$A$15)),
        IF(Import.TipoArredondamento&lt;&gt;"TransfereGOV",
              ROUND(OFFSET($P16,0,AV$13),15-13*ORÇAMENTO!$AF$7)/$H16*OFFSET(ORÇAMENTO!$X$15,ROW(AV16)-ROW(AV$15),0),
              ROUND(ROUND(OFFSET($P16,0,AV$13),15-13*ORÇAMENTO!$AF$7)*OFFSET(ORÇAMENTO!$W$15,ROW(AV16)-ROW(AV$15),0),15-13*ORÇAMENTO!$AF$11)),
         0)</f>
        <v>0</v>
      </c>
      <c r="AW16" s="452">
        <f ca="1">IF(AND($D16="Serviço",AW$12&lt;&gt;0,$H16&gt;0,OR(AUTOEVENTO&lt;&gt;"manual",$M16&lt;&gt;$A$15)),
        IF(Import.TipoArredondamento&lt;&gt;"TransfereGOV",
              ROUND(OFFSET($P16,0,AW$13),15-13*ORÇAMENTO!$AF$7)/$H16*OFFSET(ORÇAMENTO!$X$15,ROW(AW16)-ROW(AW$15),0),
              ROUND(ROUND(OFFSET($P16,0,AW$13),15-13*ORÇAMENTO!$AF$7)*OFFSET(ORÇAMENTO!$W$15,ROW(AW16)-ROW(AW$15),0),15-13*ORÇAMENTO!$AF$11)),
         0)</f>
        <v>0</v>
      </c>
      <c r="AX16" s="452">
        <f ca="1">IF(AND($D16="Serviço",AX$12&lt;&gt;0,$H16&gt;0,OR(AUTOEVENTO&lt;&gt;"manual",$M16&lt;&gt;$A$15)),
        IF(Import.TipoArredondamento&lt;&gt;"TransfereGOV",
              ROUND(OFFSET($P16,0,AX$13),15-13*ORÇAMENTO!$AF$7)/$H16*OFFSET(ORÇAMENTO!$X$15,ROW(AX16)-ROW(AX$15),0),
              ROUND(ROUND(OFFSET($P16,0,AX$13),15-13*ORÇAMENTO!$AF$7)*OFFSET(ORÇAMENTO!$W$15,ROW(AX16)-ROW(AX$15),0),15-13*ORÇAMENTO!$AF$11)),
         0)</f>
        <v>0</v>
      </c>
      <c r="AY16" s="452">
        <f ca="1">IF(AND($D16="Serviço",AY$12&lt;&gt;0,$H16&gt;0,OR(AUTOEVENTO&lt;&gt;"manual",$M16&lt;&gt;$A$15)),
        IF(Import.TipoArredondamento&lt;&gt;"TransfereGOV",
              ROUND(OFFSET($P16,0,AY$13),15-13*ORÇAMENTO!$AF$7)/$H16*OFFSET(ORÇAMENTO!$X$15,ROW(AY16)-ROW(AY$15),0),
              ROUND(ROUND(OFFSET($P16,0,AY$13),15-13*ORÇAMENTO!$AF$7)*OFFSET(ORÇAMENTO!$W$15,ROW(AY16)-ROW(AY$15),0),15-13*ORÇAMENTO!$AF$11)),
         0)</f>
        <v>0</v>
      </c>
      <c r="AZ16" s="452">
        <f ca="1">IF(AND($D16="Serviço",AZ$12&lt;&gt;0,$H16&gt;0,OR(AUTOEVENTO&lt;&gt;"manual",$M16&lt;&gt;$A$15)),
        IF(Import.TipoArredondamento&lt;&gt;"TransfereGOV",
              ROUND(OFFSET($P16,0,AZ$13),15-13*ORÇAMENTO!$AF$7)/$H16*OFFSET(ORÇAMENTO!$X$15,ROW(AZ16)-ROW(AZ$15),0),
              ROUND(ROUND(OFFSET($P16,0,AZ$13),15-13*ORÇAMENTO!$AF$7)*OFFSET(ORÇAMENTO!$W$15,ROW(AZ16)-ROW(AZ$15),0),15-13*ORÇAMENTO!$AF$11)),
         0)</f>
        <v>0</v>
      </c>
      <c r="BA16" s="452">
        <f ca="1">IF(AND($D16="Serviço",BA$12&lt;&gt;0,$H16&gt;0,OR(AUTOEVENTO&lt;&gt;"manual",$M16&lt;&gt;$A$15)),
        IF(Import.TipoArredondamento&lt;&gt;"TransfereGOV",
              ROUND(OFFSET($P16,0,BA$13),15-13*ORÇAMENTO!$AF$7)/$H16*OFFSET(ORÇAMENTO!$X$15,ROW(BA16)-ROW(BA$15),0),
              ROUND(ROUND(OFFSET($P16,0,BA$13),15-13*ORÇAMENTO!$AF$7)*OFFSET(ORÇAMENTO!$W$15,ROW(BA16)-ROW(BA$15),0),15-13*ORÇAMENTO!$AF$11)),
         0)</f>
        <v>0</v>
      </c>
      <c r="BC16" s="171">
        <f ca="1">IF(OR($D16&lt;&gt;"Serviço",AND(AUTOEVENTO="Manual",$M16=$A$15)),0,
         IF(OFFSET(CRONOPLE!$F$15,$M16-$A$15,BC$13)=0,10^12,OFFSET(CRONOPLE!$F$15,$M16-$A$15,BC$13)))</f>
        <v>0</v>
      </c>
      <c r="BD16" s="171">
        <f ca="1">IF(OR($D16&lt;&gt;"Serviço",AND(AUTOEVENTO="Manual",$M16=$A$15)),0,
         IF(OFFSET(CRONOPLE!$F$15,$M16-$A$15,BD$13)=0,10^12,OFFSET(CRONOPLE!$F$15,$M16-$A$15,BD$13)))</f>
        <v>0</v>
      </c>
      <c r="BE16" s="171">
        <f ca="1">IF(OR($D16&lt;&gt;"Serviço",AND(AUTOEVENTO="Manual",$M16=$A$15)),0,
         IF(OFFSET(CRONOPLE!$F$15,$M16-$A$15,BE$13)=0,10^12,OFFSET(CRONOPLE!$F$15,$M16-$A$15,BE$13)))</f>
        <v>0</v>
      </c>
      <c r="BF16" s="171">
        <f ca="1">IF(OR($D16&lt;&gt;"Serviço",AND(AUTOEVENTO="Manual",$M16=$A$15)),0,
         IF(OFFSET(CRONOPLE!$F$15,$M16-$A$15,BF$13)=0,10^12,OFFSET(CRONOPLE!$F$15,$M16-$A$15,BF$13)))</f>
        <v>0</v>
      </c>
      <c r="BG16" s="171">
        <f ca="1">IF(OR($D16&lt;&gt;"Serviço",AND(AUTOEVENTO="Manual",$M16=$A$15)),0,
         IF(OFFSET(CRONOPLE!$F$15,$M16-$A$15,BG$13)=0,10^12,OFFSET(CRONOPLE!$F$15,$M16-$A$15,BG$13)))</f>
        <v>0</v>
      </c>
      <c r="BH16" s="171">
        <f ca="1">IF(OR($D16&lt;&gt;"Serviço",AND(AUTOEVENTO="Manual",$M16=$A$15)),0,
         IF(OFFSET(CRONOPLE!$F$15,$M16-$A$15,BH$13)=0,10^12,OFFSET(CRONOPLE!$F$15,$M16-$A$15,BH$13)))</f>
        <v>0</v>
      </c>
      <c r="BI16" s="171">
        <f ca="1">IF(OR($D16&lt;&gt;"Serviço",AND(AUTOEVENTO="Manual",$M16=$A$15)),0,
         IF(OFFSET(CRONOPLE!$F$15,$M16-$A$15,BI$13)=0,10^12,OFFSET(CRONOPLE!$F$15,$M16-$A$15,BI$13)))</f>
        <v>0</v>
      </c>
      <c r="BJ16" s="171">
        <f ca="1">IF(OR($D16&lt;&gt;"Serviço",AND(AUTOEVENTO="Manual",$M16=$A$15)),0,
         IF(OFFSET(CRONOPLE!$F$15,$M16-$A$15,BJ$13)=0,10^12,OFFSET(CRONOPLE!$F$15,$M16-$A$15,BJ$13)))</f>
        <v>0</v>
      </c>
      <c r="BK16" s="171">
        <f ca="1">IF(OR($D16&lt;&gt;"Serviço",AND(AUTOEVENTO="Manual",$M16=$A$15)),0,
         IF(OFFSET(CRONOPLE!$F$15,$M16-$A$15,BK$13)=0,10^12,OFFSET(CRONOPLE!$F$15,$M16-$A$15,BK$13)))</f>
        <v>0</v>
      </c>
      <c r="BL16" s="171">
        <f ca="1">IF(OR($D16&lt;&gt;"Serviço",AND(AUTOEVENTO="Manual",$M16=$A$15)),0,
         IF(OFFSET(CRONOPLE!$F$15,$M16-$A$15,BL$13)=0,10^12,OFFSET(CRONOPLE!$F$15,$M16-$A$15,BL$13)))</f>
        <v>0</v>
      </c>
      <c r="BM16" s="171">
        <f ca="1">IF(OR($D16&lt;&gt;"Serviço",AND(AUTOEVENTO="Manual",$M16=$A$15)),0,
         IF(OFFSET(CRONOPLE!$F$15,$M16-$A$15,BM$13)=0,10^12,OFFSET(CRONOPLE!$F$15,$M16-$A$15,BM$13)))</f>
        <v>0</v>
      </c>
      <c r="BN16" s="171">
        <f ca="1">IF(OR($D16&lt;&gt;"Serviço",AND(AUTOEVENTO="Manual",$M16=$A$15)),0,
         IF(OFFSET(CRONOPLE!$F$15,$M16-$A$15,BN$13)=0,10^12,OFFSET(CRONOPLE!$F$15,$M16-$A$15,BN$13)))</f>
        <v>0</v>
      </c>
      <c r="BO16" s="171">
        <f ca="1">IF(OR($D16&lt;&gt;"Serviço",AND(AUTOEVENTO="Manual",$M16=$A$15)),0,
         IF(OFFSET(CRONOPLE!$F$15,$M16-$A$15,BO$13)=0,10^12,OFFSET(CRONOPLE!$F$15,$M16-$A$15,BO$13)))</f>
        <v>0</v>
      </c>
      <c r="BP16" s="171">
        <f ca="1">IF(OR($D16&lt;&gt;"Serviço",AND(AUTOEVENTO="Manual",$M16=$A$15)),0,
         IF(OFFSET(CRONOPLE!$F$15,$M16-$A$15,BP$13)=0,10^12,OFFSET(CRONOPLE!$F$15,$M16-$A$15,BP$13)))</f>
        <v>0</v>
      </c>
      <c r="BQ16" s="171">
        <f ca="1">IF(OR($D16&lt;&gt;"Serviço",AND(AUTOEVENTO="Manual",$M16=$A$15)),0,
         IF(OFFSET(CRONOPLE!$F$15,$M16-$A$15,BQ$13)=0,10^12,OFFSET(CRONOPLE!$F$15,$M16-$A$15,BQ$13)))</f>
        <v>0</v>
      </c>
      <c r="BR16" s="171">
        <f ca="1">IF(OR($D16&lt;&gt;"Serviço",AND(AUTOEVENTO="Manual",$M16=$A$15)),0,
         IF(OFFSET(CRONOPLE!$F$15,$M16-$A$15,BR$13)=0,10^12,OFFSET(CRONOPLE!$F$15,$M16-$A$15,BR$13)))</f>
        <v>0</v>
      </c>
      <c r="BS16" s="171">
        <f ca="1">IF(OR($D16&lt;&gt;"Serviço",AND(AUTOEVENTO="Manual",$M16=$A$15)),0,
         IF(OFFSET(CRONOPLE!$F$15,$M16-$A$15,BS$13)=0,10^12,OFFSET(CRONOPLE!$F$15,$M16-$A$15,BS$13)))</f>
        <v>0</v>
      </c>
      <c r="BT16" s="171">
        <f ca="1">IF(OR($D16&lt;&gt;"Serviço",AND(AUTOEVENTO="Manual",$M16=$A$15)),0,
         IF(OFFSET(CRONOPLE!$F$15,$M16-$A$15,BT$13)=0,10^12,OFFSET(CRONOPLE!$F$15,$M16-$A$15,BT$13)))</f>
        <v>0</v>
      </c>
      <c r="BV16" s="172">
        <f t="array" aca="1" ref="BV16" ca="1">IF(OR($D16&lt;&gt;"Serviço",AND(AUTOEVENTO="Manual",$M16=$A$15),$M16&gt;(ROW(PLE.lastrow)-ROW(PLE.firstrow))),0,
           IF(OFFSET(PLE!$G$15,$M16-$A$15,BV$13)="",10^12,OFFSET(PLE!$G$15,$M16-$A$15,BV$13)))</f>
        <v>0</v>
      </c>
      <c r="BW16" s="172">
        <f t="array" aca="1" ref="BW16" ca="1">IF(OR($D16&lt;&gt;"Serviço",AND(AUTOEVENTO="Manual",$M16=$A$15),$M16&gt;(ROW(PLE.lastrow)-ROW(PLE.firstrow))),0,
           IF(OFFSET(PLE!$G$15,$M16-$A$15,BW$13)="",10^12,OFFSET(PLE!$G$15,$M16-$A$15,BW$13)))</f>
        <v>0</v>
      </c>
      <c r="BX16" s="172">
        <f t="array" aca="1" ref="BX16" ca="1">IF(OR($D16&lt;&gt;"Serviço",AND(AUTOEVENTO="Manual",$M16=$A$15),$M16&gt;(ROW(PLE.lastrow)-ROW(PLE.firstrow))),0,
           IF(OFFSET(PLE!$G$15,$M16-$A$15,BX$13)="",10^12,OFFSET(PLE!$G$15,$M16-$A$15,BX$13)))</f>
        <v>0</v>
      </c>
      <c r="BY16" s="172">
        <f t="array" aca="1" ref="BY16" ca="1">IF(OR($D16&lt;&gt;"Serviço",AND(AUTOEVENTO="Manual",$M16=$A$15),$M16&gt;(ROW(PLE.lastrow)-ROW(PLE.firstrow))),0,
           IF(OFFSET(PLE!$G$15,$M16-$A$15,BY$13)="",10^12,OFFSET(PLE!$G$15,$M16-$A$15,BY$13)))</f>
        <v>0</v>
      </c>
      <c r="BZ16" s="172">
        <f t="array" aca="1" ref="BZ16" ca="1">IF(OR($D16&lt;&gt;"Serviço",AND(AUTOEVENTO="Manual",$M16=$A$15),$M16&gt;(ROW(PLE.lastrow)-ROW(PLE.firstrow))),0,
           IF(OFFSET(PLE!$G$15,$M16-$A$15,BZ$13)="",10^12,OFFSET(PLE!$G$15,$M16-$A$15,BZ$13)))</f>
        <v>0</v>
      </c>
      <c r="CA16" s="172">
        <f t="array" aca="1" ref="CA16" ca="1">IF(OR($D16&lt;&gt;"Serviço",AND(AUTOEVENTO="Manual",$M16=$A$15),$M16&gt;(ROW(PLE.lastrow)-ROW(PLE.firstrow))),0,
           IF(OFFSET(PLE!$G$15,$M16-$A$15,CA$13)="",10^12,OFFSET(PLE!$G$15,$M16-$A$15,CA$13)))</f>
        <v>0</v>
      </c>
      <c r="CB16" s="172">
        <f t="array" aca="1" ref="CB16" ca="1">IF(OR($D16&lt;&gt;"Serviço",AND(AUTOEVENTO="Manual",$M16=$A$15),$M16&gt;(ROW(PLE.lastrow)-ROW(PLE.firstrow))),0,
           IF(OFFSET(PLE!$G$15,$M16-$A$15,CB$13)="",10^12,OFFSET(PLE!$G$15,$M16-$A$15,CB$13)))</f>
        <v>0</v>
      </c>
      <c r="CC16" s="172">
        <f t="array" aca="1" ref="CC16" ca="1">IF(OR($D16&lt;&gt;"Serviço",AND(AUTOEVENTO="Manual",$M16=$A$15),$M16&gt;(ROW(PLE.lastrow)-ROW(PLE.firstrow))),0,
           IF(OFFSET(PLE!$G$15,$M16-$A$15,CC$13)="",10^12,OFFSET(PLE!$G$15,$M16-$A$15,CC$13)))</f>
        <v>0</v>
      </c>
      <c r="CD16" s="172">
        <f t="array" aca="1" ref="CD16" ca="1">IF(OR($D16&lt;&gt;"Serviço",AND(AUTOEVENTO="Manual",$M16=$A$15),$M16&gt;(ROW(PLE.lastrow)-ROW(PLE.firstrow))),0,
           IF(OFFSET(PLE!$G$15,$M16-$A$15,CD$13)="",10^12,OFFSET(PLE!$G$15,$M16-$A$15,CD$13)))</f>
        <v>0</v>
      </c>
      <c r="CE16" s="172">
        <f t="array" aca="1" ref="CE16" ca="1">IF(OR($D16&lt;&gt;"Serviço",AND(AUTOEVENTO="Manual",$M16=$A$15),$M16&gt;(ROW(PLE.lastrow)-ROW(PLE.firstrow))),0,
           IF(OFFSET(PLE!$G$15,$M16-$A$15,CE$13)="",10^12,OFFSET(PLE!$G$15,$M16-$A$15,CE$13)))</f>
        <v>0</v>
      </c>
      <c r="CF16" s="172">
        <f t="array" aca="1" ref="CF16" ca="1">IF(OR($D16&lt;&gt;"Serviço",AND(AUTOEVENTO="Manual",$M16=$A$15),$M16&gt;(ROW(PLE.lastrow)-ROW(PLE.firstrow))),0,
           IF(OFFSET(PLE!$G$15,$M16-$A$15,CF$13)="",10^12,OFFSET(PLE!$G$15,$M16-$A$15,CF$13)))</f>
        <v>0</v>
      </c>
      <c r="CG16" s="172">
        <f t="array" aca="1" ref="CG16" ca="1">IF(OR($D16&lt;&gt;"Serviço",AND(AUTOEVENTO="Manual",$M16=$A$15),$M16&gt;(ROW(PLE.lastrow)-ROW(PLE.firstrow))),0,
           IF(OFFSET(PLE!$G$15,$M16-$A$15,CG$13)="",10^12,OFFSET(PLE!$G$15,$M16-$A$15,CG$13)))</f>
        <v>0</v>
      </c>
      <c r="CH16" s="172">
        <f t="array" aca="1" ref="CH16" ca="1">IF(OR($D16&lt;&gt;"Serviço",AND(AUTOEVENTO="Manual",$M16=$A$15),$M16&gt;(ROW(PLE.lastrow)-ROW(PLE.firstrow))),0,
           IF(OFFSET(PLE!$G$15,$M16-$A$15,CH$13)="",10^12,OFFSET(PLE!$G$15,$M16-$A$15,CH$13)))</f>
        <v>0</v>
      </c>
      <c r="CI16" s="172">
        <f t="array" aca="1" ref="CI16" ca="1">IF(OR($D16&lt;&gt;"Serviço",AND(AUTOEVENTO="Manual",$M16=$A$15),$M16&gt;(ROW(PLE.lastrow)-ROW(PLE.firstrow))),0,
           IF(OFFSET(PLE!$G$15,$M16-$A$15,CI$13)="",10^12,OFFSET(PLE!$G$15,$M16-$A$15,CI$13)))</f>
        <v>0</v>
      </c>
      <c r="CJ16" s="172">
        <f t="array" aca="1" ref="CJ16" ca="1">IF(OR($D16&lt;&gt;"Serviço",AND(AUTOEVENTO="Manual",$M16=$A$15),$M16&gt;(ROW(PLE.lastrow)-ROW(PLE.firstrow))),0,
           IF(OFFSET(PLE!$G$15,$M16-$A$15,CJ$13)="",10^12,OFFSET(PLE!$G$15,$M16-$A$15,CJ$13)))</f>
        <v>0</v>
      </c>
      <c r="CK16" s="172">
        <f t="array" aca="1" ref="CK16" ca="1">IF(OR($D16&lt;&gt;"Serviço",AND(AUTOEVENTO="Manual",$M16=$A$15),$M16&gt;(ROW(PLE.lastrow)-ROW(PLE.firstrow))),0,
           IF(OFFSET(PLE!$G$15,$M16-$A$15,CK$13)="",10^12,OFFSET(PLE!$G$15,$M16-$A$15,CK$13)))</f>
        <v>0</v>
      </c>
      <c r="CL16" s="172">
        <f t="array" aca="1" ref="CL16" ca="1">IF(OR($D16&lt;&gt;"Serviço",AND(AUTOEVENTO="Manual",$M16=$A$15),$M16&gt;(ROW(PLE.lastrow)-ROW(PLE.firstrow))),0,
           IF(OFFSET(PLE!$G$15,$M16-$A$15,CL$13)="",10^12,OFFSET(PLE!$G$15,$M16-$A$15,CL$13)))</f>
        <v>0</v>
      </c>
      <c r="CM16" s="172">
        <f t="array" aca="1" ref="CM16" ca="1">IF(OR($D16&lt;&gt;"Serviço",AND(AUTOEVENTO="Manual",$M16=$A$15),$M16&gt;(ROW(PLE.lastrow)-ROW(PLE.firstrow))),0,
           IF(OFFSET(PLE!$G$15,$M16-$A$15,CM$13)="",10^12,OFFSET(PLE!$G$15,$M16-$A$15,CM$13)))</f>
        <v>0</v>
      </c>
    </row>
    <row r="17" spans="1:91" s="696" customFormat="1" ht="25.5" x14ac:dyDescent="0.2">
      <c r="A17" s="694">
        <f t="shared" ca="1" si="10"/>
        <v>0</v>
      </c>
      <c r="B17" s="694">
        <f ca="1">OFFSET(ORÇAMENTO!C$15,$L17,0)</f>
        <v>2</v>
      </c>
      <c r="C17" s="694" t="str">
        <f ca="1">OFFSET(ORÇAMENTO!L$15,$L17,0)</f>
        <v>F</v>
      </c>
      <c r="D17" s="116" t="str">
        <f ca="1">OFFSET(ORÇAMENTO!N$15,$L17,0)</f>
        <v>Nível 2</v>
      </c>
      <c r="E17" s="117" t="str">
        <f ca="1">OFFSET(ORÇAMENTO!O$15,$L17,0)</f>
        <v>1.1.</v>
      </c>
      <c r="F17" s="163" t="str">
        <f ca="1">OFFSET(ORÇAMENTO!R$15,$L17,0)</f>
        <v xml:space="preserve">PROJETOS (OS PROJETOS INDICADOS SE REFEREM A PROJETOS BÁSICOS E EXECUTIVOS </v>
      </c>
      <c r="G17" s="164" t="str">
        <f ca="1">IF($D17&lt;&gt;"Serviço","",OFFSET(ORÇAMENTO!S$15,$L17,0))</f>
        <v/>
      </c>
      <c r="H17" s="122">
        <f t="array" aca="1" ref="H17" ca="1">IF($D17&lt;&gt;"Serviço",0,IF(ACOMPANHAMENTO="BM",ROUND(OFFSET(ORÇAMENTO!AJ$15,$L17,0),15-13*ORÇAMENTO!$AF$7),IF(IFERROR(CÁLCULO.FrentesPreenchidas,0)=0,0,SUM(ROUND(OFFSET($P17,0,1,1,CÁLCULO.FrentesPreenchidas),15-13*ORÇAMENTO!$AF$7)))))</f>
        <v>0</v>
      </c>
      <c r="I17" s="467"/>
      <c r="J17" s="653" t="str">
        <f t="array" aca="1" ref="J17" ca="1">IF(OR(B17&lt;&gt;"S",CÁLCULO.FrentesPreenchidas=0),"",IF(AND(ACOMPANHAMENTO="PLE",AUTOEVENTO="Manual",OR(H17&gt;0,ORÇAMENTO!AC17="QUANT."),OR(K17="",M17=0,N17="")),"►E",IF(AND(ACOMPANHAMENTO="PLE",ORÇAMENTO!AC17="QUANT."),"►Q",IF(AND(ACOMPANHAMENTO="PLE",H17&lt;&gt;SUMPRODUCT(($Q$1:$AI$1=1)*ROUND(Q17:AI17,15))),"►S",IF(AND(COUNTIF($P$11:$AI$11,"▼")=0,H17&gt;0,I17=""),"◄M","")))))</f>
        <v/>
      </c>
      <c r="K17" s="654"/>
      <c r="L17" s="165">
        <f t="shared" ca="1" si="11"/>
        <v>2</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A17" s="169"/>
      <c r="AB17" s="169"/>
      <c r="AC17" s="169"/>
      <c r="AD17" s="169"/>
      <c r="AE17" s="169"/>
      <c r="AF17" s="169"/>
      <c r="AG17" s="169"/>
      <c r="AH17" s="170"/>
      <c r="AJ17" s="452">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2">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L17" s="452">
        <f ca="1">IF(AND($D17="Serviço",AL$12&lt;&gt;0,$H17&gt;0,OR(AUTOEVENTO&lt;&gt;"manual",$M17&lt;&gt;$A$15)),
        IF(Import.TipoArredondamento&lt;&gt;"TransfereGOV",
              ROUND(OFFSET($P17,0,AL$13),15-13*ORÇAMENTO!$AF$7)/$H17*OFFSET(ORÇAMENTO!$X$15,ROW(AL17)-ROW(AL$15),0),
              ROUND(ROUND(OFFSET($P17,0,AL$13),15-13*ORÇAMENTO!$AF$7)*OFFSET(ORÇAMENTO!$W$15,ROW(AL17)-ROW(AL$15),0),15-13*ORÇAMENTO!$AF$11)),
         0)</f>
        <v>0</v>
      </c>
      <c r="AM17" s="452">
        <f ca="1">IF(AND($D17="Serviço",AM$12&lt;&gt;0,$H17&gt;0,OR(AUTOEVENTO&lt;&gt;"manual",$M17&lt;&gt;$A$15)),
        IF(Import.TipoArredondamento&lt;&gt;"TransfereGOV",
              ROUND(OFFSET($P17,0,AM$13),15-13*ORÇAMENTO!$AF$7)/$H17*OFFSET(ORÇAMENTO!$X$15,ROW(AM17)-ROW(AM$15),0),
              ROUND(ROUND(OFFSET($P17,0,AM$13),15-13*ORÇAMENTO!$AF$7)*OFFSET(ORÇAMENTO!$W$15,ROW(AM17)-ROW(AM$15),0),15-13*ORÇAMENTO!$AF$11)),
         0)</f>
        <v>0</v>
      </c>
      <c r="AN17" s="452">
        <f ca="1">IF(AND($D17="Serviço",AN$12&lt;&gt;0,$H17&gt;0,OR(AUTOEVENTO&lt;&gt;"manual",$M17&lt;&gt;$A$15)),
        IF(Import.TipoArredondamento&lt;&gt;"TransfereGOV",
              ROUND(OFFSET($P17,0,AN$13),15-13*ORÇAMENTO!$AF$7)/$H17*OFFSET(ORÇAMENTO!$X$15,ROW(AN17)-ROW(AN$15),0),
              ROUND(ROUND(OFFSET($P17,0,AN$13),15-13*ORÇAMENTO!$AF$7)*OFFSET(ORÇAMENTO!$W$15,ROW(AN17)-ROW(AN$15),0),15-13*ORÇAMENTO!$AF$11)),
         0)</f>
        <v>0</v>
      </c>
      <c r="AO17" s="452">
        <f ca="1">IF(AND($D17="Serviço",AO$12&lt;&gt;0,$H17&gt;0,OR(AUTOEVENTO&lt;&gt;"manual",$M17&lt;&gt;$A$15)),
        IF(Import.TipoArredondamento&lt;&gt;"TransfereGOV",
              ROUND(OFFSET($P17,0,AO$13),15-13*ORÇAMENTO!$AF$7)/$H17*OFFSET(ORÇAMENTO!$X$15,ROW(AO17)-ROW(AO$15),0),
              ROUND(ROUND(OFFSET($P17,0,AO$13),15-13*ORÇAMENTO!$AF$7)*OFFSET(ORÇAMENTO!$W$15,ROW(AO17)-ROW(AO$15),0),15-13*ORÇAMENTO!$AF$11)),
         0)</f>
        <v>0</v>
      </c>
      <c r="AP17" s="452">
        <f ca="1">IF(AND($D17="Serviço",AP$12&lt;&gt;0,$H17&gt;0,OR(AUTOEVENTO&lt;&gt;"manual",$M17&lt;&gt;$A$15)),
        IF(Import.TipoArredondamento&lt;&gt;"TransfereGOV",
              ROUND(OFFSET($P17,0,AP$13),15-13*ORÇAMENTO!$AF$7)/$H17*OFFSET(ORÇAMENTO!$X$15,ROW(AP17)-ROW(AP$15),0),
              ROUND(ROUND(OFFSET($P17,0,AP$13),15-13*ORÇAMENTO!$AF$7)*OFFSET(ORÇAMENTO!$W$15,ROW(AP17)-ROW(AP$15),0),15-13*ORÇAMENTO!$AF$11)),
         0)</f>
        <v>0</v>
      </c>
      <c r="AQ17" s="452">
        <f ca="1">IF(AND($D17="Serviço",AQ$12&lt;&gt;0,$H17&gt;0,OR(AUTOEVENTO&lt;&gt;"manual",$M17&lt;&gt;$A$15)),
        IF(Import.TipoArredondamento&lt;&gt;"TransfereGOV",
              ROUND(OFFSET($P17,0,AQ$13),15-13*ORÇAMENTO!$AF$7)/$H17*OFFSET(ORÇAMENTO!$X$15,ROW(AQ17)-ROW(AQ$15),0),
              ROUND(ROUND(OFFSET($P17,0,AQ$13),15-13*ORÇAMENTO!$AF$7)*OFFSET(ORÇAMENTO!$W$15,ROW(AQ17)-ROW(AQ$15),0),15-13*ORÇAMENTO!$AF$11)),
         0)</f>
        <v>0</v>
      </c>
      <c r="AR17" s="452">
        <f ca="1">IF(AND($D17="Serviço",AR$12&lt;&gt;0,$H17&gt;0,OR(AUTOEVENTO&lt;&gt;"manual",$M17&lt;&gt;$A$15)),
        IF(Import.TipoArredondamento&lt;&gt;"TransfereGOV",
              ROUND(OFFSET($P17,0,AR$13),15-13*ORÇAMENTO!$AF$7)/$H17*OFFSET(ORÇAMENTO!$X$15,ROW(AR17)-ROW(AR$15),0),
              ROUND(ROUND(OFFSET($P17,0,AR$13),15-13*ORÇAMENTO!$AF$7)*OFFSET(ORÇAMENTO!$W$15,ROW(AR17)-ROW(AR$15),0),15-13*ORÇAMENTO!$AF$11)),
         0)</f>
        <v>0</v>
      </c>
      <c r="AS17" s="452">
        <f ca="1">IF(AND($D17="Serviço",AS$12&lt;&gt;0,$H17&gt;0,OR(AUTOEVENTO&lt;&gt;"manual",$M17&lt;&gt;$A$15)),
        IF(Import.TipoArredondamento&lt;&gt;"TransfereGOV",
              ROUND(OFFSET($P17,0,AS$13),15-13*ORÇAMENTO!$AF$7)/$H17*OFFSET(ORÇAMENTO!$X$15,ROW(AS17)-ROW(AS$15),0),
              ROUND(ROUND(OFFSET($P17,0,AS$13),15-13*ORÇAMENTO!$AF$7)*OFFSET(ORÇAMENTO!$W$15,ROW(AS17)-ROW(AS$15),0),15-13*ORÇAMENTO!$AF$11)),
         0)</f>
        <v>0</v>
      </c>
      <c r="AT17" s="452">
        <f ca="1">IF(AND($D17="Serviço",AT$12&lt;&gt;0,$H17&gt;0,OR(AUTOEVENTO&lt;&gt;"manual",$M17&lt;&gt;$A$15)),
        IF(Import.TipoArredondamento&lt;&gt;"TransfereGOV",
              ROUND(OFFSET($P17,0,AT$13),15-13*ORÇAMENTO!$AF$7)/$H17*OFFSET(ORÇAMENTO!$X$15,ROW(AT17)-ROW(AT$15),0),
              ROUND(ROUND(OFFSET($P17,0,AT$13),15-13*ORÇAMENTO!$AF$7)*OFFSET(ORÇAMENTO!$W$15,ROW(AT17)-ROW(AT$15),0),15-13*ORÇAMENTO!$AF$11)),
         0)</f>
        <v>0</v>
      </c>
      <c r="AU17" s="452">
        <f ca="1">IF(AND($D17="Serviço",AU$12&lt;&gt;0,$H17&gt;0,OR(AUTOEVENTO&lt;&gt;"manual",$M17&lt;&gt;$A$15)),
        IF(Import.TipoArredondamento&lt;&gt;"TransfereGOV",
              ROUND(OFFSET($P17,0,AU$13),15-13*ORÇAMENTO!$AF$7)/$H17*OFFSET(ORÇAMENTO!$X$15,ROW(AU17)-ROW(AU$15),0),
              ROUND(ROUND(OFFSET($P17,0,AU$13),15-13*ORÇAMENTO!$AF$7)*OFFSET(ORÇAMENTO!$W$15,ROW(AU17)-ROW(AU$15),0),15-13*ORÇAMENTO!$AF$11)),
         0)</f>
        <v>0</v>
      </c>
      <c r="AV17" s="452">
        <f ca="1">IF(AND($D17="Serviço",AV$12&lt;&gt;0,$H17&gt;0,OR(AUTOEVENTO&lt;&gt;"manual",$M17&lt;&gt;$A$15)),
        IF(Import.TipoArredondamento&lt;&gt;"TransfereGOV",
              ROUND(OFFSET($P17,0,AV$13),15-13*ORÇAMENTO!$AF$7)/$H17*OFFSET(ORÇAMENTO!$X$15,ROW(AV17)-ROW(AV$15),0),
              ROUND(ROUND(OFFSET($P17,0,AV$13),15-13*ORÇAMENTO!$AF$7)*OFFSET(ORÇAMENTO!$W$15,ROW(AV17)-ROW(AV$15),0),15-13*ORÇAMENTO!$AF$11)),
         0)</f>
        <v>0</v>
      </c>
      <c r="AW17" s="452">
        <f ca="1">IF(AND($D17="Serviço",AW$12&lt;&gt;0,$H17&gt;0,OR(AUTOEVENTO&lt;&gt;"manual",$M17&lt;&gt;$A$15)),
        IF(Import.TipoArredondamento&lt;&gt;"TransfereGOV",
              ROUND(OFFSET($P17,0,AW$13),15-13*ORÇAMENTO!$AF$7)/$H17*OFFSET(ORÇAMENTO!$X$15,ROW(AW17)-ROW(AW$15),0),
              ROUND(ROUND(OFFSET($P17,0,AW$13),15-13*ORÇAMENTO!$AF$7)*OFFSET(ORÇAMENTO!$W$15,ROW(AW17)-ROW(AW$15),0),15-13*ORÇAMENTO!$AF$11)),
         0)</f>
        <v>0</v>
      </c>
      <c r="AX17" s="452">
        <f ca="1">IF(AND($D17="Serviço",AX$12&lt;&gt;0,$H17&gt;0,OR(AUTOEVENTO&lt;&gt;"manual",$M17&lt;&gt;$A$15)),
        IF(Import.TipoArredondamento&lt;&gt;"TransfereGOV",
              ROUND(OFFSET($P17,0,AX$13),15-13*ORÇAMENTO!$AF$7)/$H17*OFFSET(ORÇAMENTO!$X$15,ROW(AX17)-ROW(AX$15),0),
              ROUND(ROUND(OFFSET($P17,0,AX$13),15-13*ORÇAMENTO!$AF$7)*OFFSET(ORÇAMENTO!$W$15,ROW(AX17)-ROW(AX$15),0),15-13*ORÇAMENTO!$AF$11)),
         0)</f>
        <v>0</v>
      </c>
      <c r="AY17" s="452">
        <f ca="1">IF(AND($D17="Serviço",AY$12&lt;&gt;0,$H17&gt;0,OR(AUTOEVENTO&lt;&gt;"manual",$M17&lt;&gt;$A$15)),
        IF(Import.TipoArredondamento&lt;&gt;"TransfereGOV",
              ROUND(OFFSET($P17,0,AY$13),15-13*ORÇAMENTO!$AF$7)/$H17*OFFSET(ORÇAMENTO!$X$15,ROW(AY17)-ROW(AY$15),0),
              ROUND(ROUND(OFFSET($P17,0,AY$13),15-13*ORÇAMENTO!$AF$7)*OFFSET(ORÇAMENTO!$W$15,ROW(AY17)-ROW(AY$15),0),15-13*ORÇAMENTO!$AF$11)),
         0)</f>
        <v>0</v>
      </c>
      <c r="AZ17" s="452">
        <f ca="1">IF(AND($D17="Serviço",AZ$12&lt;&gt;0,$H17&gt;0,OR(AUTOEVENTO&lt;&gt;"manual",$M17&lt;&gt;$A$15)),
        IF(Import.TipoArredondamento&lt;&gt;"TransfereGOV",
              ROUND(OFFSET($P17,0,AZ$13),15-13*ORÇAMENTO!$AF$7)/$H17*OFFSET(ORÇAMENTO!$X$15,ROW(AZ17)-ROW(AZ$15),0),
              ROUND(ROUND(OFFSET($P17,0,AZ$13),15-13*ORÇAMENTO!$AF$7)*OFFSET(ORÇAMENTO!$W$15,ROW(AZ17)-ROW(AZ$15),0),15-13*ORÇAMENTO!$AF$11)),
         0)</f>
        <v>0</v>
      </c>
      <c r="BA17" s="452">
        <f ca="1">IF(AND($D17="Serviço",BA$12&lt;&gt;0,$H17&gt;0,OR(AUTOEVENTO&lt;&gt;"manual",$M17&lt;&gt;$A$15)),
        IF(Import.TipoArredondamento&lt;&gt;"TransfereGOV",
              ROUND(OFFSET($P17,0,BA$13),15-13*ORÇAMENTO!$AF$7)/$H17*OFFSET(ORÇAMENTO!$X$15,ROW(BA17)-ROW(BA$15),0),
              ROUND(ROUND(OFFSET($P17,0,BA$13),15-13*ORÇAMENTO!$AF$7)*OFFSET(ORÇAMENTO!$W$15,ROW(BA17)-ROW(BA$15),0),15-13*ORÇAMENTO!$AF$11)),
         0)</f>
        <v>0</v>
      </c>
      <c r="BC17" s="171">
        <f ca="1">IF(OR($D17&lt;&gt;"Serviço",AND(AUTOEVENTO="Manual",$M17=$A$15)),0,
         IF(OFFSET(CRONOPLE!$F$15,$M17-$A$15,BC$13)=0,10^12,OFFSET(CRONOPLE!$F$15,$M17-$A$15,BC$13)))</f>
        <v>0</v>
      </c>
      <c r="BD17" s="171">
        <f ca="1">IF(OR($D17&lt;&gt;"Serviço",AND(AUTOEVENTO="Manual",$M17=$A$15)),0,
         IF(OFFSET(CRONOPLE!$F$15,$M17-$A$15,BD$13)=0,10^12,OFFSET(CRONOPLE!$F$15,$M17-$A$15,BD$13)))</f>
        <v>0</v>
      </c>
      <c r="BE17" s="171">
        <f ca="1">IF(OR($D17&lt;&gt;"Serviço",AND(AUTOEVENTO="Manual",$M17=$A$15)),0,
         IF(OFFSET(CRONOPLE!$F$15,$M17-$A$15,BE$13)=0,10^12,OFFSET(CRONOPLE!$F$15,$M17-$A$15,BE$13)))</f>
        <v>0</v>
      </c>
      <c r="BF17" s="171">
        <f ca="1">IF(OR($D17&lt;&gt;"Serviço",AND(AUTOEVENTO="Manual",$M17=$A$15)),0,
         IF(OFFSET(CRONOPLE!$F$15,$M17-$A$15,BF$13)=0,10^12,OFFSET(CRONOPLE!$F$15,$M17-$A$15,BF$13)))</f>
        <v>0</v>
      </c>
      <c r="BG17" s="171">
        <f ca="1">IF(OR($D17&lt;&gt;"Serviço",AND(AUTOEVENTO="Manual",$M17=$A$15)),0,
         IF(OFFSET(CRONOPLE!$F$15,$M17-$A$15,BG$13)=0,10^12,OFFSET(CRONOPLE!$F$15,$M17-$A$15,BG$13)))</f>
        <v>0</v>
      </c>
      <c r="BH17" s="171">
        <f ca="1">IF(OR($D17&lt;&gt;"Serviço",AND(AUTOEVENTO="Manual",$M17=$A$15)),0,
         IF(OFFSET(CRONOPLE!$F$15,$M17-$A$15,BH$13)=0,10^12,OFFSET(CRONOPLE!$F$15,$M17-$A$15,BH$13)))</f>
        <v>0</v>
      </c>
      <c r="BI17" s="171">
        <f ca="1">IF(OR($D17&lt;&gt;"Serviço",AND(AUTOEVENTO="Manual",$M17=$A$15)),0,
         IF(OFFSET(CRONOPLE!$F$15,$M17-$A$15,BI$13)=0,10^12,OFFSET(CRONOPLE!$F$15,$M17-$A$15,BI$13)))</f>
        <v>0</v>
      </c>
      <c r="BJ17" s="171">
        <f ca="1">IF(OR($D17&lt;&gt;"Serviço",AND(AUTOEVENTO="Manual",$M17=$A$15)),0,
         IF(OFFSET(CRONOPLE!$F$15,$M17-$A$15,BJ$13)=0,10^12,OFFSET(CRONOPLE!$F$15,$M17-$A$15,BJ$13)))</f>
        <v>0</v>
      </c>
      <c r="BK17" s="171">
        <f ca="1">IF(OR($D17&lt;&gt;"Serviço",AND(AUTOEVENTO="Manual",$M17=$A$15)),0,
         IF(OFFSET(CRONOPLE!$F$15,$M17-$A$15,BK$13)=0,10^12,OFFSET(CRONOPLE!$F$15,$M17-$A$15,BK$13)))</f>
        <v>0</v>
      </c>
      <c r="BL17" s="171">
        <f ca="1">IF(OR($D17&lt;&gt;"Serviço",AND(AUTOEVENTO="Manual",$M17=$A$15)),0,
         IF(OFFSET(CRONOPLE!$F$15,$M17-$A$15,BL$13)=0,10^12,OFFSET(CRONOPLE!$F$15,$M17-$A$15,BL$13)))</f>
        <v>0</v>
      </c>
      <c r="BM17" s="171">
        <f ca="1">IF(OR($D17&lt;&gt;"Serviço",AND(AUTOEVENTO="Manual",$M17=$A$15)),0,
         IF(OFFSET(CRONOPLE!$F$15,$M17-$A$15,BM$13)=0,10^12,OFFSET(CRONOPLE!$F$15,$M17-$A$15,BM$13)))</f>
        <v>0</v>
      </c>
      <c r="BN17" s="171">
        <f ca="1">IF(OR($D17&lt;&gt;"Serviço",AND(AUTOEVENTO="Manual",$M17=$A$15)),0,
         IF(OFFSET(CRONOPLE!$F$15,$M17-$A$15,BN$13)=0,10^12,OFFSET(CRONOPLE!$F$15,$M17-$A$15,BN$13)))</f>
        <v>0</v>
      </c>
      <c r="BO17" s="171">
        <f ca="1">IF(OR($D17&lt;&gt;"Serviço",AND(AUTOEVENTO="Manual",$M17=$A$15)),0,
         IF(OFFSET(CRONOPLE!$F$15,$M17-$A$15,BO$13)=0,10^12,OFFSET(CRONOPLE!$F$15,$M17-$A$15,BO$13)))</f>
        <v>0</v>
      </c>
      <c r="BP17" s="171">
        <f ca="1">IF(OR($D17&lt;&gt;"Serviço",AND(AUTOEVENTO="Manual",$M17=$A$15)),0,
         IF(OFFSET(CRONOPLE!$F$15,$M17-$A$15,BP$13)=0,10^12,OFFSET(CRONOPLE!$F$15,$M17-$A$15,BP$13)))</f>
        <v>0</v>
      </c>
      <c r="BQ17" s="171">
        <f ca="1">IF(OR($D17&lt;&gt;"Serviço",AND(AUTOEVENTO="Manual",$M17=$A$15)),0,
         IF(OFFSET(CRONOPLE!$F$15,$M17-$A$15,BQ$13)=0,10^12,OFFSET(CRONOPLE!$F$15,$M17-$A$15,BQ$13)))</f>
        <v>0</v>
      </c>
      <c r="BR17" s="171">
        <f ca="1">IF(OR($D17&lt;&gt;"Serviço",AND(AUTOEVENTO="Manual",$M17=$A$15)),0,
         IF(OFFSET(CRONOPLE!$F$15,$M17-$A$15,BR$13)=0,10^12,OFFSET(CRONOPLE!$F$15,$M17-$A$15,BR$13)))</f>
        <v>0</v>
      </c>
      <c r="BS17" s="171">
        <f ca="1">IF(OR($D17&lt;&gt;"Serviço",AND(AUTOEVENTO="Manual",$M17=$A$15)),0,
         IF(OFFSET(CRONOPLE!$F$15,$M17-$A$15,BS$13)=0,10^12,OFFSET(CRONOPLE!$F$15,$M17-$A$15,BS$13)))</f>
        <v>0</v>
      </c>
      <c r="BT17" s="171">
        <f ca="1">IF(OR($D17&lt;&gt;"Serviço",AND(AUTOEVENTO="Manual",$M17=$A$15)),0,
         IF(OFFSET(CRONOPLE!$F$15,$M17-$A$15,BT$13)=0,10^12,OFFSET(CRONOPLE!$F$15,$M17-$A$15,BT$13)))</f>
        <v>0</v>
      </c>
      <c r="BV17" s="172">
        <f t="array" aca="1" ref="BV17" ca="1">IF(OR($D17&lt;&gt;"Serviço",AND(AUTOEVENTO="Manual",$M17=$A$15),$M17&gt;(ROW(PLE.lastrow)-ROW(PLE.firstrow))),0,
           IF(OFFSET(PLE!$G$15,$M17-$A$15,BV$13)="",10^12,OFFSET(PLE!$G$15,$M17-$A$15,BV$13)))</f>
        <v>0</v>
      </c>
      <c r="BW17" s="172">
        <f t="array" aca="1" ref="BW17" ca="1">IF(OR($D17&lt;&gt;"Serviço",AND(AUTOEVENTO="Manual",$M17=$A$15),$M17&gt;(ROW(PLE.lastrow)-ROW(PLE.firstrow))),0,
           IF(OFFSET(PLE!$G$15,$M17-$A$15,BW$13)="",10^12,OFFSET(PLE!$G$15,$M17-$A$15,BW$13)))</f>
        <v>0</v>
      </c>
      <c r="BX17" s="172">
        <f t="array" aca="1" ref="BX17" ca="1">IF(OR($D17&lt;&gt;"Serviço",AND(AUTOEVENTO="Manual",$M17=$A$15),$M17&gt;(ROW(PLE.lastrow)-ROW(PLE.firstrow))),0,
           IF(OFFSET(PLE!$G$15,$M17-$A$15,BX$13)="",10^12,OFFSET(PLE!$G$15,$M17-$A$15,BX$13)))</f>
        <v>0</v>
      </c>
      <c r="BY17" s="172">
        <f t="array" aca="1" ref="BY17" ca="1">IF(OR($D17&lt;&gt;"Serviço",AND(AUTOEVENTO="Manual",$M17=$A$15),$M17&gt;(ROW(PLE.lastrow)-ROW(PLE.firstrow))),0,
           IF(OFFSET(PLE!$G$15,$M17-$A$15,BY$13)="",10^12,OFFSET(PLE!$G$15,$M17-$A$15,BY$13)))</f>
        <v>0</v>
      </c>
      <c r="BZ17" s="172">
        <f t="array" aca="1" ref="BZ17" ca="1">IF(OR($D17&lt;&gt;"Serviço",AND(AUTOEVENTO="Manual",$M17=$A$15),$M17&gt;(ROW(PLE.lastrow)-ROW(PLE.firstrow))),0,
           IF(OFFSET(PLE!$G$15,$M17-$A$15,BZ$13)="",10^12,OFFSET(PLE!$G$15,$M17-$A$15,BZ$13)))</f>
        <v>0</v>
      </c>
      <c r="CA17" s="172">
        <f t="array" aca="1" ref="CA17" ca="1">IF(OR($D17&lt;&gt;"Serviço",AND(AUTOEVENTO="Manual",$M17=$A$15),$M17&gt;(ROW(PLE.lastrow)-ROW(PLE.firstrow))),0,
           IF(OFFSET(PLE!$G$15,$M17-$A$15,CA$13)="",10^12,OFFSET(PLE!$G$15,$M17-$A$15,CA$13)))</f>
        <v>0</v>
      </c>
      <c r="CB17" s="172">
        <f t="array" aca="1" ref="CB17" ca="1">IF(OR($D17&lt;&gt;"Serviço",AND(AUTOEVENTO="Manual",$M17=$A$15),$M17&gt;(ROW(PLE.lastrow)-ROW(PLE.firstrow))),0,
           IF(OFFSET(PLE!$G$15,$M17-$A$15,CB$13)="",10^12,OFFSET(PLE!$G$15,$M17-$A$15,CB$13)))</f>
        <v>0</v>
      </c>
      <c r="CC17" s="172">
        <f t="array" aca="1" ref="CC17" ca="1">IF(OR($D17&lt;&gt;"Serviço",AND(AUTOEVENTO="Manual",$M17=$A$15),$M17&gt;(ROW(PLE.lastrow)-ROW(PLE.firstrow))),0,
           IF(OFFSET(PLE!$G$15,$M17-$A$15,CC$13)="",10^12,OFFSET(PLE!$G$15,$M17-$A$15,CC$13)))</f>
        <v>0</v>
      </c>
      <c r="CD17" s="172">
        <f t="array" aca="1" ref="CD17" ca="1">IF(OR($D17&lt;&gt;"Serviço",AND(AUTOEVENTO="Manual",$M17=$A$15),$M17&gt;(ROW(PLE.lastrow)-ROW(PLE.firstrow))),0,
           IF(OFFSET(PLE!$G$15,$M17-$A$15,CD$13)="",10^12,OFFSET(PLE!$G$15,$M17-$A$15,CD$13)))</f>
        <v>0</v>
      </c>
      <c r="CE17" s="172">
        <f t="array" aca="1" ref="CE17" ca="1">IF(OR($D17&lt;&gt;"Serviço",AND(AUTOEVENTO="Manual",$M17=$A$15),$M17&gt;(ROW(PLE.lastrow)-ROW(PLE.firstrow))),0,
           IF(OFFSET(PLE!$G$15,$M17-$A$15,CE$13)="",10^12,OFFSET(PLE!$G$15,$M17-$A$15,CE$13)))</f>
        <v>0</v>
      </c>
      <c r="CF17" s="172">
        <f t="array" aca="1" ref="CF17" ca="1">IF(OR($D17&lt;&gt;"Serviço",AND(AUTOEVENTO="Manual",$M17=$A$15),$M17&gt;(ROW(PLE.lastrow)-ROW(PLE.firstrow))),0,
           IF(OFFSET(PLE!$G$15,$M17-$A$15,CF$13)="",10^12,OFFSET(PLE!$G$15,$M17-$A$15,CF$13)))</f>
        <v>0</v>
      </c>
      <c r="CG17" s="172">
        <f t="array" aca="1" ref="CG17" ca="1">IF(OR($D17&lt;&gt;"Serviço",AND(AUTOEVENTO="Manual",$M17=$A$15),$M17&gt;(ROW(PLE.lastrow)-ROW(PLE.firstrow))),0,
           IF(OFFSET(PLE!$G$15,$M17-$A$15,CG$13)="",10^12,OFFSET(PLE!$G$15,$M17-$A$15,CG$13)))</f>
        <v>0</v>
      </c>
      <c r="CH17" s="172">
        <f t="array" aca="1" ref="CH17" ca="1">IF(OR($D17&lt;&gt;"Serviço",AND(AUTOEVENTO="Manual",$M17=$A$15),$M17&gt;(ROW(PLE.lastrow)-ROW(PLE.firstrow))),0,
           IF(OFFSET(PLE!$G$15,$M17-$A$15,CH$13)="",10^12,OFFSET(PLE!$G$15,$M17-$A$15,CH$13)))</f>
        <v>0</v>
      </c>
      <c r="CI17" s="172">
        <f t="array" aca="1" ref="CI17" ca="1">IF(OR($D17&lt;&gt;"Serviço",AND(AUTOEVENTO="Manual",$M17=$A$15),$M17&gt;(ROW(PLE.lastrow)-ROW(PLE.firstrow))),0,
           IF(OFFSET(PLE!$G$15,$M17-$A$15,CI$13)="",10^12,OFFSET(PLE!$G$15,$M17-$A$15,CI$13)))</f>
        <v>0</v>
      </c>
      <c r="CJ17" s="172">
        <f t="array" aca="1" ref="CJ17" ca="1">IF(OR($D17&lt;&gt;"Serviço",AND(AUTOEVENTO="Manual",$M17=$A$15),$M17&gt;(ROW(PLE.lastrow)-ROW(PLE.firstrow))),0,
           IF(OFFSET(PLE!$G$15,$M17-$A$15,CJ$13)="",10^12,OFFSET(PLE!$G$15,$M17-$A$15,CJ$13)))</f>
        <v>0</v>
      </c>
      <c r="CK17" s="172">
        <f t="array" aca="1" ref="CK17" ca="1">IF(OR($D17&lt;&gt;"Serviço",AND(AUTOEVENTO="Manual",$M17=$A$15),$M17&gt;(ROW(PLE.lastrow)-ROW(PLE.firstrow))),0,
           IF(OFFSET(PLE!$G$15,$M17-$A$15,CK$13)="",10^12,OFFSET(PLE!$G$15,$M17-$A$15,CK$13)))</f>
        <v>0</v>
      </c>
      <c r="CL17" s="172">
        <f t="array" aca="1" ref="CL17" ca="1">IF(OR($D17&lt;&gt;"Serviço",AND(AUTOEVENTO="Manual",$M17=$A$15),$M17&gt;(ROW(PLE.lastrow)-ROW(PLE.firstrow))),0,
           IF(OFFSET(PLE!$G$15,$M17-$A$15,CL$13)="",10^12,OFFSET(PLE!$G$15,$M17-$A$15,CL$13)))</f>
        <v>0</v>
      </c>
      <c r="CM17" s="172">
        <f t="array" aca="1" ref="CM17" ca="1">IF(OR($D17&lt;&gt;"Serviço",AND(AUTOEVENTO="Manual",$M17=$A$15),$M17&gt;(ROW(PLE.lastrow)-ROW(PLE.firstrow))),0,
           IF(OFFSET(PLE!$G$15,$M17-$A$15,CM$13)="",10^12,OFFSET(PLE!$G$15,$M17-$A$15,CM$13)))</f>
        <v>0</v>
      </c>
    </row>
    <row r="18" spans="1:91" s="696" customFormat="1" ht="76.5" x14ac:dyDescent="0.2">
      <c r="A18" s="694">
        <f t="shared" ca="1" si="10"/>
        <v>1</v>
      </c>
      <c r="B18" s="694" t="str">
        <f ca="1">OFFSET(ORÇAMENTO!C$15,$L18,0)</f>
        <v>S</v>
      </c>
      <c r="C18" s="694" t="str">
        <f ca="1">OFFSET(ORÇAMENTO!L$15,$L18,0)</f>
        <v>F</v>
      </c>
      <c r="D18" s="116" t="str">
        <f ca="1">OFFSET(ORÇAMENTO!N$15,$L18,0)</f>
        <v>Serviço</v>
      </c>
      <c r="E18" s="117" t="str">
        <f ca="1">OFFSET(ORÇAMENTO!O$15,$L18,0)</f>
        <v>1.1.1.</v>
      </c>
      <c r="F18" s="163" t="str">
        <f ca="1">OFFSET(ORÇAMENTO!R$15,$L18,0)</f>
        <v>DESENVOLVIMENTO E DETALHAMENTO DE PROJETO ARQUITETÔNICO</v>
      </c>
      <c r="G18" s="164" t="str">
        <f ca="1">IF($D18&lt;&gt;"Serviço","",OFFSET(ORÇAMENTO!S$15,$L18,0))</f>
        <v>UN</v>
      </c>
      <c r="H18" s="122">
        <f t="array" aca="1" ref="H18" ca="1">IF($D18&lt;&gt;"Serviço",0,IF(ACOMPANHAMENTO="BM",ROUND(OFFSET(ORÇAMENTO!AJ$15,$L18,0),15-13*ORÇAMENTO!$AF$7),IF(IFERROR(CÁLCULO.FrentesPreenchidas,0)=0,0,SUM(ROUND(OFFSET($P18,0,1,1,CÁLCULO.FrentesPreenchidas),15-13*ORÇAMENTO!$AF$7)))))</f>
        <v>1</v>
      </c>
      <c r="I18" s="467" t="s">
        <v>1210</v>
      </c>
      <c r="J18" s="653" t="str">
        <f t="array" aca="1" ref="J18" ca="1">IF(OR(B18&lt;&gt;"S",CÁLCULO.FrentesPreenchidas=0),"",IF(AND(ACOMPANHAMENTO="PLE",AUTOEVENTO="Manual",OR(H18&gt;0,ORÇAMENTO!AC18="QUANT."),OR(K18="",M18=0,N18="")),"►E",IF(AND(ACOMPANHAMENTO="PLE",ORÇAMENTO!AC18="QUANT."),"►Q",IF(AND(ACOMPANHAMENTO="PLE",H18&lt;&gt;SUMPRODUCT(($Q$1:$AI$1=1)*ROUND(Q18:AI18,15))),"►S",IF(AND(COUNTIF($P$11:$AI$11,"▼")=0,H18&gt;0,I18=""),"◄M","")))))</f>
        <v/>
      </c>
      <c r="K18" s="654" t="s">
        <v>1358</v>
      </c>
      <c r="L18" s="165">
        <f t="shared" ca="1" si="11"/>
        <v>3</v>
      </c>
      <c r="M18" s="166">
        <f ca="1">IF($D18&lt;&gt;"Serviço","",
          IF(AUTOEVENTO="manual",$A18,
                IF(ISERROR(MATCH($A18,$A$15:OFFSET($A18,-1,0),0)),MAX($M$15:OFFSET(M18,-1,0))+1,
                      INDEX($M$15:OFFSET(M18,-1,0),MATCH($A18,$A$15:OFFSET($A18,-1,0),0)))))</f>
        <v>1</v>
      </c>
      <c r="N18" s="167" t="str">
        <f ca="1">IF($D18&lt;&gt;"Serviço","",
         IF(AUTOEVENTO="Manual",
                IF($A18=0,"&lt;-- defina o número do agrupador",
                       OFFSET(EVENTOS!$D$15,$A18-$A$15,0)),
                OFFSET($F$15,$A18,0)))</f>
        <v>SERVIÇOS TÉCNICOS (PROJETOS, ORÇAMENTOS, SONDAGENS E OUTROS)</v>
      </c>
      <c r="O18" s="168"/>
      <c r="Q18" s="168"/>
      <c r="R18" s="168"/>
      <c r="S18" s="168"/>
      <c r="T18" s="168"/>
      <c r="U18" s="168">
        <v>1</v>
      </c>
      <c r="V18" s="169"/>
      <c r="W18" s="169"/>
      <c r="X18" s="169"/>
      <c r="Y18" s="169"/>
      <c r="Z18" s="170"/>
      <c r="AA18" s="169"/>
      <c r="AB18" s="169"/>
      <c r="AC18" s="169"/>
      <c r="AD18" s="169"/>
      <c r="AE18" s="169"/>
      <c r="AF18" s="169"/>
      <c r="AG18" s="169"/>
      <c r="AH18" s="170"/>
      <c r="AJ18" s="452">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2">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L18" s="452">
        <f ca="1">IF(AND($D18="Serviço",AL$12&lt;&gt;0,$H18&gt;0,OR(AUTOEVENTO&lt;&gt;"manual",$M18&lt;&gt;$A$15)),
        IF(Import.TipoArredondamento&lt;&gt;"TransfereGOV",
              ROUND(OFFSET($P18,0,AL$13),15-13*ORÇAMENTO!$AF$7)/$H18*OFFSET(ORÇAMENTO!$X$15,ROW(AL18)-ROW(AL$15),0),
              ROUND(ROUND(OFFSET($P18,0,AL$13),15-13*ORÇAMENTO!$AF$7)*OFFSET(ORÇAMENTO!$W$15,ROW(AL18)-ROW(AL$15),0),15-13*ORÇAMENTO!$AF$11)),
         0)</f>
        <v>0</v>
      </c>
      <c r="AM18" s="452">
        <f ca="1">IF(AND($D18="Serviço",AM$12&lt;&gt;0,$H18&gt;0,OR(AUTOEVENTO&lt;&gt;"manual",$M18&lt;&gt;$A$15)),
        IF(Import.TipoArredondamento&lt;&gt;"TransfereGOV",
              ROUND(OFFSET($P18,0,AM$13),15-13*ORÇAMENTO!$AF$7)/$H18*OFFSET(ORÇAMENTO!$X$15,ROW(AM18)-ROW(AM$15),0),
              ROUND(ROUND(OFFSET($P18,0,AM$13),15-13*ORÇAMENTO!$AF$7)*OFFSET(ORÇAMENTO!$W$15,ROW(AM18)-ROW(AM$15),0),15-13*ORÇAMENTO!$AF$11)),
         0)</f>
        <v>0</v>
      </c>
      <c r="AN18" s="452">
        <f ca="1">IF(AND($D18="Serviço",AN$12&lt;&gt;0,$H18&gt;0,OR(AUTOEVENTO&lt;&gt;"manual",$M18&lt;&gt;$A$15)),
        IF(Import.TipoArredondamento&lt;&gt;"TransfereGOV",
              ROUND(OFFSET($P18,0,AN$13),15-13*ORÇAMENTO!$AF$7)/$H18*OFFSET(ORÇAMENTO!$X$15,ROW(AN18)-ROW(AN$15),0),
              ROUND(ROUND(OFFSET($P18,0,AN$13),15-13*ORÇAMENTO!$AF$7)*OFFSET(ORÇAMENTO!$W$15,ROW(AN18)-ROW(AN$15),0),15-13*ORÇAMENTO!$AF$11)),
         0)</f>
        <v>647.38</v>
      </c>
      <c r="AO18" s="452">
        <f ca="1">IF(AND($D18="Serviço",AO$12&lt;&gt;0,$H18&gt;0,OR(AUTOEVENTO&lt;&gt;"manual",$M18&lt;&gt;$A$15)),
        IF(Import.TipoArredondamento&lt;&gt;"TransfereGOV",
              ROUND(OFFSET($P18,0,AO$13),15-13*ORÇAMENTO!$AF$7)/$H18*OFFSET(ORÇAMENTO!$X$15,ROW(AO18)-ROW(AO$15),0),
              ROUND(ROUND(OFFSET($P18,0,AO$13),15-13*ORÇAMENTO!$AF$7)*OFFSET(ORÇAMENTO!$W$15,ROW(AO18)-ROW(AO$15),0),15-13*ORÇAMENTO!$AF$11)),
         0)</f>
        <v>0</v>
      </c>
      <c r="AP18" s="452">
        <f ca="1">IF(AND($D18="Serviço",AP$12&lt;&gt;0,$H18&gt;0,OR(AUTOEVENTO&lt;&gt;"manual",$M18&lt;&gt;$A$15)),
        IF(Import.TipoArredondamento&lt;&gt;"TransfereGOV",
              ROUND(OFFSET($P18,0,AP$13),15-13*ORÇAMENTO!$AF$7)/$H18*OFFSET(ORÇAMENTO!$X$15,ROW(AP18)-ROW(AP$15),0),
              ROUND(ROUND(OFFSET($P18,0,AP$13),15-13*ORÇAMENTO!$AF$7)*OFFSET(ORÇAMENTO!$W$15,ROW(AP18)-ROW(AP$15),0),15-13*ORÇAMENTO!$AF$11)),
         0)</f>
        <v>0</v>
      </c>
      <c r="AQ18" s="452">
        <f ca="1">IF(AND($D18="Serviço",AQ$12&lt;&gt;0,$H18&gt;0,OR(AUTOEVENTO&lt;&gt;"manual",$M18&lt;&gt;$A$15)),
        IF(Import.TipoArredondamento&lt;&gt;"TransfereGOV",
              ROUND(OFFSET($P18,0,AQ$13),15-13*ORÇAMENTO!$AF$7)/$H18*OFFSET(ORÇAMENTO!$X$15,ROW(AQ18)-ROW(AQ$15),0),
              ROUND(ROUND(OFFSET($P18,0,AQ$13),15-13*ORÇAMENTO!$AF$7)*OFFSET(ORÇAMENTO!$W$15,ROW(AQ18)-ROW(AQ$15),0),15-13*ORÇAMENTO!$AF$11)),
         0)</f>
        <v>0</v>
      </c>
      <c r="AR18" s="452">
        <f ca="1">IF(AND($D18="Serviço",AR$12&lt;&gt;0,$H18&gt;0,OR(AUTOEVENTO&lt;&gt;"manual",$M18&lt;&gt;$A$15)),
        IF(Import.TipoArredondamento&lt;&gt;"TransfereGOV",
              ROUND(OFFSET($P18,0,AR$13),15-13*ORÇAMENTO!$AF$7)/$H18*OFFSET(ORÇAMENTO!$X$15,ROW(AR18)-ROW(AR$15),0),
              ROUND(ROUND(OFFSET($P18,0,AR$13),15-13*ORÇAMENTO!$AF$7)*OFFSET(ORÇAMENTO!$W$15,ROW(AR18)-ROW(AR$15),0),15-13*ORÇAMENTO!$AF$11)),
         0)</f>
        <v>0</v>
      </c>
      <c r="AS18" s="452">
        <f ca="1">IF(AND($D18="Serviço",AS$12&lt;&gt;0,$H18&gt;0,OR(AUTOEVENTO&lt;&gt;"manual",$M18&lt;&gt;$A$15)),
        IF(Import.TipoArredondamento&lt;&gt;"TransfereGOV",
              ROUND(OFFSET($P18,0,AS$13),15-13*ORÇAMENTO!$AF$7)/$H18*OFFSET(ORÇAMENTO!$X$15,ROW(AS18)-ROW(AS$15),0),
              ROUND(ROUND(OFFSET($P18,0,AS$13),15-13*ORÇAMENTO!$AF$7)*OFFSET(ORÇAMENTO!$W$15,ROW(AS18)-ROW(AS$15),0),15-13*ORÇAMENTO!$AF$11)),
         0)</f>
        <v>0</v>
      </c>
      <c r="AT18" s="452">
        <f ca="1">IF(AND($D18="Serviço",AT$12&lt;&gt;0,$H18&gt;0,OR(AUTOEVENTO&lt;&gt;"manual",$M18&lt;&gt;$A$15)),
        IF(Import.TipoArredondamento&lt;&gt;"TransfereGOV",
              ROUND(OFFSET($P18,0,AT$13),15-13*ORÇAMENTO!$AF$7)/$H18*OFFSET(ORÇAMENTO!$X$15,ROW(AT18)-ROW(AT$15),0),
              ROUND(ROUND(OFFSET($P18,0,AT$13),15-13*ORÇAMENTO!$AF$7)*OFFSET(ORÇAMENTO!$W$15,ROW(AT18)-ROW(AT$15),0),15-13*ORÇAMENTO!$AF$11)),
         0)</f>
        <v>0</v>
      </c>
      <c r="AU18" s="452">
        <f ca="1">IF(AND($D18="Serviço",AU$12&lt;&gt;0,$H18&gt;0,OR(AUTOEVENTO&lt;&gt;"manual",$M18&lt;&gt;$A$15)),
        IF(Import.TipoArredondamento&lt;&gt;"TransfereGOV",
              ROUND(OFFSET($P18,0,AU$13),15-13*ORÇAMENTO!$AF$7)/$H18*OFFSET(ORÇAMENTO!$X$15,ROW(AU18)-ROW(AU$15),0),
              ROUND(ROUND(OFFSET($P18,0,AU$13),15-13*ORÇAMENTO!$AF$7)*OFFSET(ORÇAMENTO!$W$15,ROW(AU18)-ROW(AU$15),0),15-13*ORÇAMENTO!$AF$11)),
         0)</f>
        <v>0</v>
      </c>
      <c r="AV18" s="452">
        <f ca="1">IF(AND($D18="Serviço",AV$12&lt;&gt;0,$H18&gt;0,OR(AUTOEVENTO&lt;&gt;"manual",$M18&lt;&gt;$A$15)),
        IF(Import.TipoArredondamento&lt;&gt;"TransfereGOV",
              ROUND(OFFSET($P18,0,AV$13),15-13*ORÇAMENTO!$AF$7)/$H18*OFFSET(ORÇAMENTO!$X$15,ROW(AV18)-ROW(AV$15),0),
              ROUND(ROUND(OFFSET($P18,0,AV$13),15-13*ORÇAMENTO!$AF$7)*OFFSET(ORÇAMENTO!$W$15,ROW(AV18)-ROW(AV$15),0),15-13*ORÇAMENTO!$AF$11)),
         0)</f>
        <v>0</v>
      </c>
      <c r="AW18" s="452">
        <f ca="1">IF(AND($D18="Serviço",AW$12&lt;&gt;0,$H18&gt;0,OR(AUTOEVENTO&lt;&gt;"manual",$M18&lt;&gt;$A$15)),
        IF(Import.TipoArredondamento&lt;&gt;"TransfereGOV",
              ROUND(OFFSET($P18,0,AW$13),15-13*ORÇAMENTO!$AF$7)/$H18*OFFSET(ORÇAMENTO!$X$15,ROW(AW18)-ROW(AW$15),0),
              ROUND(ROUND(OFFSET($P18,0,AW$13),15-13*ORÇAMENTO!$AF$7)*OFFSET(ORÇAMENTO!$W$15,ROW(AW18)-ROW(AW$15),0),15-13*ORÇAMENTO!$AF$11)),
         0)</f>
        <v>0</v>
      </c>
      <c r="AX18" s="452">
        <f ca="1">IF(AND($D18="Serviço",AX$12&lt;&gt;0,$H18&gt;0,OR(AUTOEVENTO&lt;&gt;"manual",$M18&lt;&gt;$A$15)),
        IF(Import.TipoArredondamento&lt;&gt;"TransfereGOV",
              ROUND(OFFSET($P18,0,AX$13),15-13*ORÇAMENTO!$AF$7)/$H18*OFFSET(ORÇAMENTO!$X$15,ROW(AX18)-ROW(AX$15),0),
              ROUND(ROUND(OFFSET($P18,0,AX$13),15-13*ORÇAMENTO!$AF$7)*OFFSET(ORÇAMENTO!$W$15,ROW(AX18)-ROW(AX$15),0),15-13*ORÇAMENTO!$AF$11)),
         0)</f>
        <v>0</v>
      </c>
      <c r="AY18" s="452">
        <f ca="1">IF(AND($D18="Serviço",AY$12&lt;&gt;0,$H18&gt;0,OR(AUTOEVENTO&lt;&gt;"manual",$M18&lt;&gt;$A$15)),
        IF(Import.TipoArredondamento&lt;&gt;"TransfereGOV",
              ROUND(OFFSET($P18,0,AY$13),15-13*ORÇAMENTO!$AF$7)/$H18*OFFSET(ORÇAMENTO!$X$15,ROW(AY18)-ROW(AY$15),0),
              ROUND(ROUND(OFFSET($P18,0,AY$13),15-13*ORÇAMENTO!$AF$7)*OFFSET(ORÇAMENTO!$W$15,ROW(AY18)-ROW(AY$15),0),15-13*ORÇAMENTO!$AF$11)),
         0)</f>
        <v>0</v>
      </c>
      <c r="AZ18" s="452">
        <f ca="1">IF(AND($D18="Serviço",AZ$12&lt;&gt;0,$H18&gt;0,OR(AUTOEVENTO&lt;&gt;"manual",$M18&lt;&gt;$A$15)),
        IF(Import.TipoArredondamento&lt;&gt;"TransfereGOV",
              ROUND(OFFSET($P18,0,AZ$13),15-13*ORÇAMENTO!$AF$7)/$H18*OFFSET(ORÇAMENTO!$X$15,ROW(AZ18)-ROW(AZ$15),0),
              ROUND(ROUND(OFFSET($P18,0,AZ$13),15-13*ORÇAMENTO!$AF$7)*OFFSET(ORÇAMENTO!$W$15,ROW(AZ18)-ROW(AZ$15),0),15-13*ORÇAMENTO!$AF$11)),
         0)</f>
        <v>0</v>
      </c>
      <c r="BA18" s="452">
        <f ca="1">IF(AND($D18="Serviço",BA$12&lt;&gt;0,$H18&gt;0,OR(AUTOEVENTO&lt;&gt;"manual",$M18&lt;&gt;$A$15)),
        IF(Import.TipoArredondamento&lt;&gt;"TransfereGOV",
              ROUND(OFFSET($P18,0,BA$13),15-13*ORÇAMENTO!$AF$7)/$H18*OFFSET(ORÇAMENTO!$X$15,ROW(BA18)-ROW(BA$15),0),
              ROUND(ROUND(OFFSET($P18,0,BA$13),15-13*ORÇAMENTO!$AF$7)*OFFSET(ORÇAMENTO!$W$15,ROW(BA18)-ROW(BA$15),0),15-13*ORÇAMENTO!$AF$11)),
         0)</f>
        <v>0</v>
      </c>
      <c r="BC18" s="171">
        <f ca="1">IF(OR($D18&lt;&gt;"Serviço",AND(AUTOEVENTO="Manual",$M18=$A$15)),0,
         IF(OFFSET(CRONOPLE!$F$15,$M18-$A$15,BC$13)=0,10^12,OFFSET(CRONOPLE!$F$15,$M18-$A$15,BC$13)))</f>
        <v>1</v>
      </c>
      <c r="BD18" s="171">
        <f ca="1">IF(OR($D18&lt;&gt;"Serviço",AND(AUTOEVENTO="Manual",$M18=$A$15)),0,
         IF(OFFSET(CRONOPLE!$F$15,$M18-$A$15,BD$13)=0,10^12,OFFSET(CRONOPLE!$F$15,$M18-$A$15,BD$13)))</f>
        <v>1000000000000</v>
      </c>
      <c r="BE18" s="171">
        <f ca="1">IF(OR($D18&lt;&gt;"Serviço",AND(AUTOEVENTO="Manual",$M18=$A$15)),0,
         IF(OFFSET(CRONOPLE!$F$15,$M18-$A$15,BE$13)=0,10^12,OFFSET(CRONOPLE!$F$15,$M18-$A$15,BE$13)))</f>
        <v>1000000000000</v>
      </c>
      <c r="BF18" s="171">
        <f ca="1">IF(OR($D18&lt;&gt;"Serviço",AND(AUTOEVENTO="Manual",$M18=$A$15)),0,
         IF(OFFSET(CRONOPLE!$F$15,$M18-$A$15,BF$13)=0,10^12,OFFSET(CRONOPLE!$F$15,$M18-$A$15,BF$13)))</f>
        <v>1000000000000</v>
      </c>
      <c r="BG18" s="171">
        <f ca="1">IF(OR($D18&lt;&gt;"Serviço",AND(AUTOEVENTO="Manual",$M18=$A$15)),0,
         IF(OFFSET(CRONOPLE!$F$15,$M18-$A$15,BG$13)=0,10^12,OFFSET(CRONOPLE!$F$15,$M18-$A$15,BG$13)))</f>
        <v>1</v>
      </c>
      <c r="BH18" s="171">
        <f ca="1">IF(OR($D18&lt;&gt;"Serviço",AND(AUTOEVENTO="Manual",$M18=$A$15)),0,
         IF(OFFSET(CRONOPLE!$F$15,$M18-$A$15,BH$13)=0,10^12,OFFSET(CRONOPLE!$F$15,$M18-$A$15,BH$13)))</f>
        <v>1000000000000</v>
      </c>
      <c r="BI18" s="171">
        <f ca="1">IF(OR($D18&lt;&gt;"Serviço",AND(AUTOEVENTO="Manual",$M18=$A$15)),0,
         IF(OFFSET(CRONOPLE!$F$15,$M18-$A$15,BI$13)=0,10^12,OFFSET(CRONOPLE!$F$15,$M18-$A$15,BI$13)))</f>
        <v>1000000000000</v>
      </c>
      <c r="BJ18" s="171">
        <f ca="1">IF(OR($D18&lt;&gt;"Serviço",AND(AUTOEVENTO="Manual",$M18=$A$15)),0,
         IF(OFFSET(CRONOPLE!$F$15,$M18-$A$15,BJ$13)=0,10^12,OFFSET(CRONOPLE!$F$15,$M18-$A$15,BJ$13)))</f>
        <v>1000000000000</v>
      </c>
      <c r="BK18" s="171">
        <f ca="1">IF(OR($D18&lt;&gt;"Serviço",AND(AUTOEVENTO="Manual",$M18=$A$15)),0,
         IF(OFFSET(CRONOPLE!$F$15,$M18-$A$15,BK$13)=0,10^12,OFFSET(CRONOPLE!$F$15,$M18-$A$15,BK$13)))</f>
        <v>1000000000000</v>
      </c>
      <c r="BL18" s="171">
        <f ca="1">IF(OR($D18&lt;&gt;"Serviço",AND(AUTOEVENTO="Manual",$M18=$A$15)),0,
         IF(OFFSET(CRONOPLE!$F$15,$M18-$A$15,BL$13)=0,10^12,OFFSET(CRONOPLE!$F$15,$M18-$A$15,BL$13)))</f>
        <v>1000000000000</v>
      </c>
      <c r="BM18" s="171">
        <f ca="1">IF(OR($D18&lt;&gt;"Serviço",AND(AUTOEVENTO="Manual",$M18=$A$15)),0,
         IF(OFFSET(CRONOPLE!$F$15,$M18-$A$15,BM$13)=0,10^12,OFFSET(CRONOPLE!$F$15,$M18-$A$15,BM$13)))</f>
        <v>1000000000000</v>
      </c>
      <c r="BN18" s="171">
        <f ca="1">IF(OR($D18&lt;&gt;"Serviço",AND(AUTOEVENTO="Manual",$M18=$A$15)),0,
         IF(OFFSET(CRONOPLE!$F$15,$M18-$A$15,BN$13)=0,10^12,OFFSET(CRONOPLE!$F$15,$M18-$A$15,BN$13)))</f>
        <v>1000000000000</v>
      </c>
      <c r="BO18" s="171">
        <f ca="1">IF(OR($D18&lt;&gt;"Serviço",AND(AUTOEVENTO="Manual",$M18=$A$15)),0,
         IF(OFFSET(CRONOPLE!$F$15,$M18-$A$15,BO$13)=0,10^12,OFFSET(CRONOPLE!$F$15,$M18-$A$15,BO$13)))</f>
        <v>1000000000000</v>
      </c>
      <c r="BP18" s="171">
        <f ca="1">IF(OR($D18&lt;&gt;"Serviço",AND(AUTOEVENTO="Manual",$M18=$A$15)),0,
         IF(OFFSET(CRONOPLE!$F$15,$M18-$A$15,BP$13)=0,10^12,OFFSET(CRONOPLE!$F$15,$M18-$A$15,BP$13)))</f>
        <v>1000000000000</v>
      </c>
      <c r="BQ18" s="171">
        <f ca="1">IF(OR($D18&lt;&gt;"Serviço",AND(AUTOEVENTO="Manual",$M18=$A$15)),0,
         IF(OFFSET(CRONOPLE!$F$15,$M18-$A$15,BQ$13)=0,10^12,OFFSET(CRONOPLE!$F$15,$M18-$A$15,BQ$13)))</f>
        <v>1000000000000</v>
      </c>
      <c r="BR18" s="171">
        <f ca="1">IF(OR($D18&lt;&gt;"Serviço",AND(AUTOEVENTO="Manual",$M18=$A$15)),0,
         IF(OFFSET(CRONOPLE!$F$15,$M18-$A$15,BR$13)=0,10^12,OFFSET(CRONOPLE!$F$15,$M18-$A$15,BR$13)))</f>
        <v>1000000000000</v>
      </c>
      <c r="BS18" s="171">
        <f ca="1">IF(OR($D18&lt;&gt;"Serviço",AND(AUTOEVENTO="Manual",$M18=$A$15)),0,
         IF(OFFSET(CRONOPLE!$F$15,$M18-$A$15,BS$13)=0,10^12,OFFSET(CRONOPLE!$F$15,$M18-$A$15,BS$13)))</f>
        <v>1000000000000</v>
      </c>
      <c r="BT18" s="171">
        <f ca="1">IF(OR($D18&lt;&gt;"Serviço",AND(AUTOEVENTO="Manual",$M18=$A$15)),0,
         IF(OFFSET(CRONOPLE!$F$15,$M18-$A$15,BT$13)=0,10^12,OFFSET(CRONOPLE!$F$15,$M18-$A$15,BT$13)))</f>
        <v>1000000000000</v>
      </c>
      <c r="BV18" s="172">
        <f t="array" aca="1" ref="BV18" ca="1">IF(OR($D18&lt;&gt;"Serviço",AND(AUTOEVENTO="Manual",$M18=$A$15),$M18&gt;(ROW(PLE.lastrow)-ROW(PLE.firstrow))),0,
           IF(OFFSET(PLE!$G$15,$M18-$A$15,BV$13)="",10^12,OFFSET(PLE!$G$15,$M18-$A$15,BV$13)))</f>
        <v>1000000000000</v>
      </c>
      <c r="BW18" s="172">
        <f t="array" aca="1" ref="BW18" ca="1">IF(OR($D18&lt;&gt;"Serviço",AND(AUTOEVENTO="Manual",$M18=$A$15),$M18&gt;(ROW(PLE.lastrow)-ROW(PLE.firstrow))),0,
           IF(OFFSET(PLE!$G$15,$M18-$A$15,BW$13)="",10^12,OFFSET(PLE!$G$15,$M18-$A$15,BW$13)))</f>
        <v>1000000000000</v>
      </c>
      <c r="BX18" s="172">
        <f t="array" aca="1" ref="BX18" ca="1">IF(OR($D18&lt;&gt;"Serviço",AND(AUTOEVENTO="Manual",$M18=$A$15),$M18&gt;(ROW(PLE.lastrow)-ROW(PLE.firstrow))),0,
           IF(OFFSET(PLE!$G$15,$M18-$A$15,BX$13)="",10^12,OFFSET(PLE!$G$15,$M18-$A$15,BX$13)))</f>
        <v>1000000000000</v>
      </c>
      <c r="BY18" s="172">
        <f t="array" aca="1" ref="BY18" ca="1">IF(OR($D18&lt;&gt;"Serviço",AND(AUTOEVENTO="Manual",$M18=$A$15),$M18&gt;(ROW(PLE.lastrow)-ROW(PLE.firstrow))),0,
           IF(OFFSET(PLE!$G$15,$M18-$A$15,BY$13)="",10^12,OFFSET(PLE!$G$15,$M18-$A$15,BY$13)))</f>
        <v>1000000000000</v>
      </c>
      <c r="BZ18" s="172">
        <f t="array" aca="1" ref="BZ18" ca="1">IF(OR($D18&lt;&gt;"Serviço",AND(AUTOEVENTO="Manual",$M18=$A$15),$M18&gt;(ROW(PLE.lastrow)-ROW(PLE.firstrow))),0,
           IF(OFFSET(PLE!$G$15,$M18-$A$15,BZ$13)="",10^12,OFFSET(PLE!$G$15,$M18-$A$15,BZ$13)))</f>
        <v>1000000000000</v>
      </c>
      <c r="CA18" s="172">
        <f t="array" aca="1" ref="CA18" ca="1">IF(OR($D18&lt;&gt;"Serviço",AND(AUTOEVENTO="Manual",$M18=$A$15),$M18&gt;(ROW(PLE.lastrow)-ROW(PLE.firstrow))),0,
           IF(OFFSET(PLE!$G$15,$M18-$A$15,CA$13)="",10^12,OFFSET(PLE!$G$15,$M18-$A$15,CA$13)))</f>
        <v>1000000000000</v>
      </c>
      <c r="CB18" s="172">
        <f t="array" aca="1" ref="CB18" ca="1">IF(OR($D18&lt;&gt;"Serviço",AND(AUTOEVENTO="Manual",$M18=$A$15),$M18&gt;(ROW(PLE.lastrow)-ROW(PLE.firstrow))),0,
           IF(OFFSET(PLE!$G$15,$M18-$A$15,CB$13)="",10^12,OFFSET(PLE!$G$15,$M18-$A$15,CB$13)))</f>
        <v>1000000000000</v>
      </c>
      <c r="CC18" s="172">
        <f t="array" aca="1" ref="CC18" ca="1">IF(OR($D18&lt;&gt;"Serviço",AND(AUTOEVENTO="Manual",$M18=$A$15),$M18&gt;(ROW(PLE.lastrow)-ROW(PLE.firstrow))),0,
           IF(OFFSET(PLE!$G$15,$M18-$A$15,CC$13)="",10^12,OFFSET(PLE!$G$15,$M18-$A$15,CC$13)))</f>
        <v>1000000000000</v>
      </c>
      <c r="CD18" s="172">
        <f t="array" aca="1" ref="CD18" ca="1">IF(OR($D18&lt;&gt;"Serviço",AND(AUTOEVENTO="Manual",$M18=$A$15),$M18&gt;(ROW(PLE.lastrow)-ROW(PLE.firstrow))),0,
           IF(OFFSET(PLE!$G$15,$M18-$A$15,CD$13)="",10^12,OFFSET(PLE!$G$15,$M18-$A$15,CD$13)))</f>
        <v>1000000000000</v>
      </c>
      <c r="CE18" s="172">
        <f t="array" aca="1" ref="CE18" ca="1">IF(OR($D18&lt;&gt;"Serviço",AND(AUTOEVENTO="Manual",$M18=$A$15),$M18&gt;(ROW(PLE.lastrow)-ROW(PLE.firstrow))),0,
           IF(OFFSET(PLE!$G$15,$M18-$A$15,CE$13)="",10^12,OFFSET(PLE!$G$15,$M18-$A$15,CE$13)))</f>
        <v>1000000000000</v>
      </c>
      <c r="CF18" s="172">
        <f t="array" aca="1" ref="CF18" ca="1">IF(OR($D18&lt;&gt;"Serviço",AND(AUTOEVENTO="Manual",$M18=$A$15),$M18&gt;(ROW(PLE.lastrow)-ROW(PLE.firstrow))),0,
           IF(OFFSET(PLE!$G$15,$M18-$A$15,CF$13)="",10^12,OFFSET(PLE!$G$15,$M18-$A$15,CF$13)))</f>
        <v>1000000000000</v>
      </c>
      <c r="CG18" s="172">
        <f t="array" aca="1" ref="CG18" ca="1">IF(OR($D18&lt;&gt;"Serviço",AND(AUTOEVENTO="Manual",$M18=$A$15),$M18&gt;(ROW(PLE.lastrow)-ROW(PLE.firstrow))),0,
           IF(OFFSET(PLE!$G$15,$M18-$A$15,CG$13)="",10^12,OFFSET(PLE!$G$15,$M18-$A$15,CG$13)))</f>
        <v>1000000000000</v>
      </c>
      <c r="CH18" s="172">
        <f t="array" aca="1" ref="CH18" ca="1">IF(OR($D18&lt;&gt;"Serviço",AND(AUTOEVENTO="Manual",$M18=$A$15),$M18&gt;(ROW(PLE.lastrow)-ROW(PLE.firstrow))),0,
           IF(OFFSET(PLE!$G$15,$M18-$A$15,CH$13)="",10^12,OFFSET(PLE!$G$15,$M18-$A$15,CH$13)))</f>
        <v>1000000000000</v>
      </c>
      <c r="CI18" s="172">
        <f t="array" aca="1" ref="CI18" ca="1">IF(OR($D18&lt;&gt;"Serviço",AND(AUTOEVENTO="Manual",$M18=$A$15),$M18&gt;(ROW(PLE.lastrow)-ROW(PLE.firstrow))),0,
           IF(OFFSET(PLE!$G$15,$M18-$A$15,CI$13)="",10^12,OFFSET(PLE!$G$15,$M18-$A$15,CI$13)))</f>
        <v>1000000000000</v>
      </c>
      <c r="CJ18" s="172">
        <f t="array" aca="1" ref="CJ18" ca="1">IF(OR($D18&lt;&gt;"Serviço",AND(AUTOEVENTO="Manual",$M18=$A$15),$M18&gt;(ROW(PLE.lastrow)-ROW(PLE.firstrow))),0,
           IF(OFFSET(PLE!$G$15,$M18-$A$15,CJ$13)="",10^12,OFFSET(PLE!$G$15,$M18-$A$15,CJ$13)))</f>
        <v>1000000000000</v>
      </c>
      <c r="CK18" s="172">
        <f t="array" aca="1" ref="CK18" ca="1">IF(OR($D18&lt;&gt;"Serviço",AND(AUTOEVENTO="Manual",$M18=$A$15),$M18&gt;(ROW(PLE.lastrow)-ROW(PLE.firstrow))),0,
           IF(OFFSET(PLE!$G$15,$M18-$A$15,CK$13)="",10^12,OFFSET(PLE!$G$15,$M18-$A$15,CK$13)))</f>
        <v>1000000000000</v>
      </c>
      <c r="CL18" s="172">
        <f t="array" aca="1" ref="CL18" ca="1">IF(OR($D18&lt;&gt;"Serviço",AND(AUTOEVENTO="Manual",$M18=$A$15),$M18&gt;(ROW(PLE.lastrow)-ROW(PLE.firstrow))),0,
           IF(OFFSET(PLE!$G$15,$M18-$A$15,CL$13)="",10^12,OFFSET(PLE!$G$15,$M18-$A$15,CL$13)))</f>
        <v>1000000000000</v>
      </c>
      <c r="CM18" s="172">
        <f t="array" aca="1" ref="CM18" ca="1">IF(OR($D18&lt;&gt;"Serviço",AND(AUTOEVENTO="Manual",$M18=$A$15),$M18&gt;(ROW(PLE.lastrow)-ROW(PLE.firstrow))),0,
           IF(OFFSET(PLE!$G$15,$M18-$A$15,CM$13)="",10^12,OFFSET(PLE!$G$15,$M18-$A$15,CM$13)))</f>
        <v>1000000000000</v>
      </c>
    </row>
    <row r="19" spans="1:91" s="696" customFormat="1" ht="127.5" x14ac:dyDescent="0.2">
      <c r="A19" s="694">
        <f t="shared" ca="1" si="10"/>
        <v>1</v>
      </c>
      <c r="B19" s="694" t="str">
        <f ca="1">OFFSET(ORÇAMENTO!C$15,$L19,0)</f>
        <v>S</v>
      </c>
      <c r="C19" s="694" t="str">
        <f ca="1">OFFSET(ORÇAMENTO!L$15,$L19,0)</f>
        <v>F</v>
      </c>
      <c r="D19" s="116" t="str">
        <f ca="1">OFFSET(ORÇAMENTO!N$15,$L19,0)</f>
        <v>Serviço</v>
      </c>
      <c r="E19" s="117" t="str">
        <f ca="1">OFFSET(ORÇAMENTO!O$15,$L19,0)</f>
        <v>1.1.2.</v>
      </c>
      <c r="F19" s="163" t="str">
        <f ca="1">OFFSET(ORÇAMENTO!R$15,$L19,0)</f>
        <v>DESENVOLVIMENTO E DETALHAMENTO DE PROJETOS COMPLEMENTARES</v>
      </c>
      <c r="G19" s="164" t="str">
        <f ca="1">IF($D19&lt;&gt;"Serviço","",OFFSET(ORÇAMENTO!S$15,$L19,0))</f>
        <v>UN</v>
      </c>
      <c r="H19" s="122">
        <f t="array" aca="1" ref="H19" ca="1">IF($D19&lt;&gt;"Serviço",0,IF(ACOMPANHAMENTO="BM",ROUND(OFFSET(ORÇAMENTO!AJ$15,$L19,0),15-13*ORÇAMENTO!$AF$7),IF(IFERROR(CÁLCULO.FrentesPreenchidas,0)=0,0,SUM(ROUND(OFFSET($P19,0,1,1,CÁLCULO.FrentesPreenchidas),15-13*ORÇAMENTO!$AF$7)))))</f>
        <v>4</v>
      </c>
      <c r="I19" s="467" t="s">
        <v>1211</v>
      </c>
      <c r="J19" s="653" t="str">
        <f t="array" aca="1" ref="J19" ca="1">IF(OR(B19&lt;&gt;"S",CÁLCULO.FrentesPreenchidas=0),"",IF(AND(ACOMPANHAMENTO="PLE",AUTOEVENTO="Manual",OR(H19&gt;0,ORÇAMENTO!AC19="QUANT."),OR(K19="",M19=0,N19="")),"►E",IF(AND(ACOMPANHAMENTO="PLE",ORÇAMENTO!AC19="QUANT."),"►Q",IF(AND(ACOMPANHAMENTO="PLE",H19&lt;&gt;SUMPRODUCT(($Q$1:$AI$1=1)*ROUND(Q19:AI19,15))),"►S",IF(AND(COUNTIF($P$11:$AI$11,"▼")=0,H19&gt;0,I19=""),"◄M","")))))</f>
        <v/>
      </c>
      <c r="K19" s="654" t="s">
        <v>1358</v>
      </c>
      <c r="L19" s="165">
        <f t="shared" ca="1" si="11"/>
        <v>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SERVIÇOS TÉCNICOS (PROJETOS, ORÇAMENTOS, SONDAGENS E OUTROS)</v>
      </c>
      <c r="O19" s="168"/>
      <c r="Q19" s="168"/>
      <c r="R19" s="168"/>
      <c r="S19" s="168"/>
      <c r="T19" s="168"/>
      <c r="U19" s="168">
        <v>4</v>
      </c>
      <c r="V19" s="169"/>
      <c r="W19" s="169"/>
      <c r="X19" s="169"/>
      <c r="Y19" s="169"/>
      <c r="Z19" s="170"/>
      <c r="AA19" s="169"/>
      <c r="AB19" s="169"/>
      <c r="AC19" s="169"/>
      <c r="AD19" s="169"/>
      <c r="AE19" s="169"/>
      <c r="AF19" s="169"/>
      <c r="AG19" s="169"/>
      <c r="AH19" s="170"/>
      <c r="AJ19" s="452">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2">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L19" s="452">
        <f ca="1">IF(AND($D19="Serviço",AL$12&lt;&gt;0,$H19&gt;0,OR(AUTOEVENTO&lt;&gt;"manual",$M19&lt;&gt;$A$15)),
        IF(Import.TipoArredondamento&lt;&gt;"TransfereGOV",
              ROUND(OFFSET($P19,0,AL$13),15-13*ORÇAMENTO!$AF$7)/$H19*OFFSET(ORÇAMENTO!$X$15,ROW(AL19)-ROW(AL$15),0),
              ROUND(ROUND(OFFSET($P19,0,AL$13),15-13*ORÇAMENTO!$AF$7)*OFFSET(ORÇAMENTO!$W$15,ROW(AL19)-ROW(AL$15),0),15-13*ORÇAMENTO!$AF$11)),
         0)</f>
        <v>0</v>
      </c>
      <c r="AM19" s="452">
        <f ca="1">IF(AND($D19="Serviço",AM$12&lt;&gt;0,$H19&gt;0,OR(AUTOEVENTO&lt;&gt;"manual",$M19&lt;&gt;$A$15)),
        IF(Import.TipoArredondamento&lt;&gt;"TransfereGOV",
              ROUND(OFFSET($P19,0,AM$13),15-13*ORÇAMENTO!$AF$7)/$H19*OFFSET(ORÇAMENTO!$X$15,ROW(AM19)-ROW(AM$15),0),
              ROUND(ROUND(OFFSET($P19,0,AM$13),15-13*ORÇAMENTO!$AF$7)*OFFSET(ORÇAMENTO!$W$15,ROW(AM19)-ROW(AM$15),0),15-13*ORÇAMENTO!$AF$11)),
         0)</f>
        <v>0</v>
      </c>
      <c r="AN19" s="452">
        <f ca="1">IF(AND($D19="Serviço",AN$12&lt;&gt;0,$H19&gt;0,OR(AUTOEVENTO&lt;&gt;"manual",$M19&lt;&gt;$A$15)),
        IF(Import.TipoArredondamento&lt;&gt;"TransfereGOV",
              ROUND(OFFSET($P19,0,AN$13),15-13*ORÇAMENTO!$AF$7)/$H19*OFFSET(ORÇAMENTO!$X$15,ROW(AN19)-ROW(AN$15),0),
              ROUND(ROUND(OFFSET($P19,0,AN$13),15-13*ORÇAMENTO!$AF$7)*OFFSET(ORÇAMENTO!$W$15,ROW(AN19)-ROW(AN$15),0),15-13*ORÇAMENTO!$AF$11)),
         0)</f>
        <v>2629.6</v>
      </c>
      <c r="AO19" s="452">
        <f ca="1">IF(AND($D19="Serviço",AO$12&lt;&gt;0,$H19&gt;0,OR(AUTOEVENTO&lt;&gt;"manual",$M19&lt;&gt;$A$15)),
        IF(Import.TipoArredondamento&lt;&gt;"TransfereGOV",
              ROUND(OFFSET($P19,0,AO$13),15-13*ORÇAMENTO!$AF$7)/$H19*OFFSET(ORÇAMENTO!$X$15,ROW(AO19)-ROW(AO$15),0),
              ROUND(ROUND(OFFSET($P19,0,AO$13),15-13*ORÇAMENTO!$AF$7)*OFFSET(ORÇAMENTO!$W$15,ROW(AO19)-ROW(AO$15),0),15-13*ORÇAMENTO!$AF$11)),
         0)</f>
        <v>0</v>
      </c>
      <c r="AP19" s="452">
        <f ca="1">IF(AND($D19="Serviço",AP$12&lt;&gt;0,$H19&gt;0,OR(AUTOEVENTO&lt;&gt;"manual",$M19&lt;&gt;$A$15)),
        IF(Import.TipoArredondamento&lt;&gt;"TransfereGOV",
              ROUND(OFFSET($P19,0,AP$13),15-13*ORÇAMENTO!$AF$7)/$H19*OFFSET(ORÇAMENTO!$X$15,ROW(AP19)-ROW(AP$15),0),
              ROUND(ROUND(OFFSET($P19,0,AP$13),15-13*ORÇAMENTO!$AF$7)*OFFSET(ORÇAMENTO!$W$15,ROW(AP19)-ROW(AP$15),0),15-13*ORÇAMENTO!$AF$11)),
         0)</f>
        <v>0</v>
      </c>
      <c r="AQ19" s="452">
        <f ca="1">IF(AND($D19="Serviço",AQ$12&lt;&gt;0,$H19&gt;0,OR(AUTOEVENTO&lt;&gt;"manual",$M19&lt;&gt;$A$15)),
        IF(Import.TipoArredondamento&lt;&gt;"TransfereGOV",
              ROUND(OFFSET($P19,0,AQ$13),15-13*ORÇAMENTO!$AF$7)/$H19*OFFSET(ORÇAMENTO!$X$15,ROW(AQ19)-ROW(AQ$15),0),
              ROUND(ROUND(OFFSET($P19,0,AQ$13),15-13*ORÇAMENTO!$AF$7)*OFFSET(ORÇAMENTO!$W$15,ROW(AQ19)-ROW(AQ$15),0),15-13*ORÇAMENTO!$AF$11)),
         0)</f>
        <v>0</v>
      </c>
      <c r="AR19" s="452">
        <f ca="1">IF(AND($D19="Serviço",AR$12&lt;&gt;0,$H19&gt;0,OR(AUTOEVENTO&lt;&gt;"manual",$M19&lt;&gt;$A$15)),
        IF(Import.TipoArredondamento&lt;&gt;"TransfereGOV",
              ROUND(OFFSET($P19,0,AR$13),15-13*ORÇAMENTO!$AF$7)/$H19*OFFSET(ORÇAMENTO!$X$15,ROW(AR19)-ROW(AR$15),0),
              ROUND(ROUND(OFFSET($P19,0,AR$13),15-13*ORÇAMENTO!$AF$7)*OFFSET(ORÇAMENTO!$W$15,ROW(AR19)-ROW(AR$15),0),15-13*ORÇAMENTO!$AF$11)),
         0)</f>
        <v>0</v>
      </c>
      <c r="AS19" s="452">
        <f ca="1">IF(AND($D19="Serviço",AS$12&lt;&gt;0,$H19&gt;0,OR(AUTOEVENTO&lt;&gt;"manual",$M19&lt;&gt;$A$15)),
        IF(Import.TipoArredondamento&lt;&gt;"TransfereGOV",
              ROUND(OFFSET($P19,0,AS$13),15-13*ORÇAMENTO!$AF$7)/$H19*OFFSET(ORÇAMENTO!$X$15,ROW(AS19)-ROW(AS$15),0),
              ROUND(ROUND(OFFSET($P19,0,AS$13),15-13*ORÇAMENTO!$AF$7)*OFFSET(ORÇAMENTO!$W$15,ROW(AS19)-ROW(AS$15),0),15-13*ORÇAMENTO!$AF$11)),
         0)</f>
        <v>0</v>
      </c>
      <c r="AT19" s="452">
        <f ca="1">IF(AND($D19="Serviço",AT$12&lt;&gt;0,$H19&gt;0,OR(AUTOEVENTO&lt;&gt;"manual",$M19&lt;&gt;$A$15)),
        IF(Import.TipoArredondamento&lt;&gt;"TransfereGOV",
              ROUND(OFFSET($P19,0,AT$13),15-13*ORÇAMENTO!$AF$7)/$H19*OFFSET(ORÇAMENTO!$X$15,ROW(AT19)-ROW(AT$15),0),
              ROUND(ROUND(OFFSET($P19,0,AT$13),15-13*ORÇAMENTO!$AF$7)*OFFSET(ORÇAMENTO!$W$15,ROW(AT19)-ROW(AT$15),0),15-13*ORÇAMENTO!$AF$11)),
         0)</f>
        <v>0</v>
      </c>
      <c r="AU19" s="452">
        <f ca="1">IF(AND($D19="Serviço",AU$12&lt;&gt;0,$H19&gt;0,OR(AUTOEVENTO&lt;&gt;"manual",$M19&lt;&gt;$A$15)),
        IF(Import.TipoArredondamento&lt;&gt;"TransfereGOV",
              ROUND(OFFSET($P19,0,AU$13),15-13*ORÇAMENTO!$AF$7)/$H19*OFFSET(ORÇAMENTO!$X$15,ROW(AU19)-ROW(AU$15),0),
              ROUND(ROUND(OFFSET($P19,0,AU$13),15-13*ORÇAMENTO!$AF$7)*OFFSET(ORÇAMENTO!$W$15,ROW(AU19)-ROW(AU$15),0),15-13*ORÇAMENTO!$AF$11)),
         0)</f>
        <v>0</v>
      </c>
      <c r="AV19" s="452">
        <f ca="1">IF(AND($D19="Serviço",AV$12&lt;&gt;0,$H19&gt;0,OR(AUTOEVENTO&lt;&gt;"manual",$M19&lt;&gt;$A$15)),
        IF(Import.TipoArredondamento&lt;&gt;"TransfereGOV",
              ROUND(OFFSET($P19,0,AV$13),15-13*ORÇAMENTO!$AF$7)/$H19*OFFSET(ORÇAMENTO!$X$15,ROW(AV19)-ROW(AV$15),0),
              ROUND(ROUND(OFFSET($P19,0,AV$13),15-13*ORÇAMENTO!$AF$7)*OFFSET(ORÇAMENTO!$W$15,ROW(AV19)-ROW(AV$15),0),15-13*ORÇAMENTO!$AF$11)),
         0)</f>
        <v>0</v>
      </c>
      <c r="AW19" s="452">
        <f ca="1">IF(AND($D19="Serviço",AW$12&lt;&gt;0,$H19&gt;0,OR(AUTOEVENTO&lt;&gt;"manual",$M19&lt;&gt;$A$15)),
        IF(Import.TipoArredondamento&lt;&gt;"TransfereGOV",
              ROUND(OFFSET($P19,0,AW$13),15-13*ORÇAMENTO!$AF$7)/$H19*OFFSET(ORÇAMENTO!$X$15,ROW(AW19)-ROW(AW$15),0),
              ROUND(ROUND(OFFSET($P19,0,AW$13),15-13*ORÇAMENTO!$AF$7)*OFFSET(ORÇAMENTO!$W$15,ROW(AW19)-ROW(AW$15),0),15-13*ORÇAMENTO!$AF$11)),
         0)</f>
        <v>0</v>
      </c>
      <c r="AX19" s="452">
        <f ca="1">IF(AND($D19="Serviço",AX$12&lt;&gt;0,$H19&gt;0,OR(AUTOEVENTO&lt;&gt;"manual",$M19&lt;&gt;$A$15)),
        IF(Import.TipoArredondamento&lt;&gt;"TransfereGOV",
              ROUND(OFFSET($P19,0,AX$13),15-13*ORÇAMENTO!$AF$7)/$H19*OFFSET(ORÇAMENTO!$X$15,ROW(AX19)-ROW(AX$15),0),
              ROUND(ROUND(OFFSET($P19,0,AX$13),15-13*ORÇAMENTO!$AF$7)*OFFSET(ORÇAMENTO!$W$15,ROW(AX19)-ROW(AX$15),0),15-13*ORÇAMENTO!$AF$11)),
         0)</f>
        <v>0</v>
      </c>
      <c r="AY19" s="452">
        <f ca="1">IF(AND($D19="Serviço",AY$12&lt;&gt;0,$H19&gt;0,OR(AUTOEVENTO&lt;&gt;"manual",$M19&lt;&gt;$A$15)),
        IF(Import.TipoArredondamento&lt;&gt;"TransfereGOV",
              ROUND(OFFSET($P19,0,AY$13),15-13*ORÇAMENTO!$AF$7)/$H19*OFFSET(ORÇAMENTO!$X$15,ROW(AY19)-ROW(AY$15),0),
              ROUND(ROUND(OFFSET($P19,0,AY$13),15-13*ORÇAMENTO!$AF$7)*OFFSET(ORÇAMENTO!$W$15,ROW(AY19)-ROW(AY$15),0),15-13*ORÇAMENTO!$AF$11)),
         0)</f>
        <v>0</v>
      </c>
      <c r="AZ19" s="452">
        <f ca="1">IF(AND($D19="Serviço",AZ$12&lt;&gt;0,$H19&gt;0,OR(AUTOEVENTO&lt;&gt;"manual",$M19&lt;&gt;$A$15)),
        IF(Import.TipoArredondamento&lt;&gt;"TransfereGOV",
              ROUND(OFFSET($P19,0,AZ$13),15-13*ORÇAMENTO!$AF$7)/$H19*OFFSET(ORÇAMENTO!$X$15,ROW(AZ19)-ROW(AZ$15),0),
              ROUND(ROUND(OFFSET($P19,0,AZ$13),15-13*ORÇAMENTO!$AF$7)*OFFSET(ORÇAMENTO!$W$15,ROW(AZ19)-ROW(AZ$15),0),15-13*ORÇAMENTO!$AF$11)),
         0)</f>
        <v>0</v>
      </c>
      <c r="BA19" s="452">
        <f ca="1">IF(AND($D19="Serviço",BA$12&lt;&gt;0,$H19&gt;0,OR(AUTOEVENTO&lt;&gt;"manual",$M19&lt;&gt;$A$15)),
        IF(Import.TipoArredondamento&lt;&gt;"TransfereGOV",
              ROUND(OFFSET($P19,0,BA$13),15-13*ORÇAMENTO!$AF$7)/$H19*OFFSET(ORÇAMENTO!$X$15,ROW(BA19)-ROW(BA$15),0),
              ROUND(ROUND(OFFSET($P19,0,BA$13),15-13*ORÇAMENTO!$AF$7)*OFFSET(ORÇAMENTO!$W$15,ROW(BA19)-ROW(BA$15),0),15-13*ORÇAMENTO!$AF$11)),
         0)</f>
        <v>0</v>
      </c>
      <c r="BC19" s="171">
        <f ca="1">IF(OR($D19&lt;&gt;"Serviço",AND(AUTOEVENTO="Manual",$M19=$A$15)),0,
         IF(OFFSET(CRONOPLE!$F$15,$M19-$A$15,BC$13)=0,10^12,OFFSET(CRONOPLE!$F$15,$M19-$A$15,BC$13)))</f>
        <v>1</v>
      </c>
      <c r="BD19" s="171">
        <f ca="1">IF(OR($D19&lt;&gt;"Serviço",AND(AUTOEVENTO="Manual",$M19=$A$15)),0,
         IF(OFFSET(CRONOPLE!$F$15,$M19-$A$15,BD$13)=0,10^12,OFFSET(CRONOPLE!$F$15,$M19-$A$15,BD$13)))</f>
        <v>1000000000000</v>
      </c>
      <c r="BE19" s="171">
        <f ca="1">IF(OR($D19&lt;&gt;"Serviço",AND(AUTOEVENTO="Manual",$M19=$A$15)),0,
         IF(OFFSET(CRONOPLE!$F$15,$M19-$A$15,BE$13)=0,10^12,OFFSET(CRONOPLE!$F$15,$M19-$A$15,BE$13)))</f>
        <v>1000000000000</v>
      </c>
      <c r="BF19" s="171">
        <f ca="1">IF(OR($D19&lt;&gt;"Serviço",AND(AUTOEVENTO="Manual",$M19=$A$15)),0,
         IF(OFFSET(CRONOPLE!$F$15,$M19-$A$15,BF$13)=0,10^12,OFFSET(CRONOPLE!$F$15,$M19-$A$15,BF$13)))</f>
        <v>1000000000000</v>
      </c>
      <c r="BG19" s="171">
        <f ca="1">IF(OR($D19&lt;&gt;"Serviço",AND(AUTOEVENTO="Manual",$M19=$A$15)),0,
         IF(OFFSET(CRONOPLE!$F$15,$M19-$A$15,BG$13)=0,10^12,OFFSET(CRONOPLE!$F$15,$M19-$A$15,BG$13)))</f>
        <v>1</v>
      </c>
      <c r="BH19" s="171">
        <f ca="1">IF(OR($D19&lt;&gt;"Serviço",AND(AUTOEVENTO="Manual",$M19=$A$15)),0,
         IF(OFFSET(CRONOPLE!$F$15,$M19-$A$15,BH$13)=0,10^12,OFFSET(CRONOPLE!$F$15,$M19-$A$15,BH$13)))</f>
        <v>1000000000000</v>
      </c>
      <c r="BI19" s="171">
        <f ca="1">IF(OR($D19&lt;&gt;"Serviço",AND(AUTOEVENTO="Manual",$M19=$A$15)),0,
         IF(OFFSET(CRONOPLE!$F$15,$M19-$A$15,BI$13)=0,10^12,OFFSET(CRONOPLE!$F$15,$M19-$A$15,BI$13)))</f>
        <v>1000000000000</v>
      </c>
      <c r="BJ19" s="171">
        <f ca="1">IF(OR($D19&lt;&gt;"Serviço",AND(AUTOEVENTO="Manual",$M19=$A$15)),0,
         IF(OFFSET(CRONOPLE!$F$15,$M19-$A$15,BJ$13)=0,10^12,OFFSET(CRONOPLE!$F$15,$M19-$A$15,BJ$13)))</f>
        <v>1000000000000</v>
      </c>
      <c r="BK19" s="171">
        <f ca="1">IF(OR($D19&lt;&gt;"Serviço",AND(AUTOEVENTO="Manual",$M19=$A$15)),0,
         IF(OFFSET(CRONOPLE!$F$15,$M19-$A$15,BK$13)=0,10^12,OFFSET(CRONOPLE!$F$15,$M19-$A$15,BK$13)))</f>
        <v>1000000000000</v>
      </c>
      <c r="BL19" s="171">
        <f ca="1">IF(OR($D19&lt;&gt;"Serviço",AND(AUTOEVENTO="Manual",$M19=$A$15)),0,
         IF(OFFSET(CRONOPLE!$F$15,$M19-$A$15,BL$13)=0,10^12,OFFSET(CRONOPLE!$F$15,$M19-$A$15,BL$13)))</f>
        <v>1000000000000</v>
      </c>
      <c r="BM19" s="171">
        <f ca="1">IF(OR($D19&lt;&gt;"Serviço",AND(AUTOEVENTO="Manual",$M19=$A$15)),0,
         IF(OFFSET(CRONOPLE!$F$15,$M19-$A$15,BM$13)=0,10^12,OFFSET(CRONOPLE!$F$15,$M19-$A$15,BM$13)))</f>
        <v>1000000000000</v>
      </c>
      <c r="BN19" s="171">
        <f ca="1">IF(OR($D19&lt;&gt;"Serviço",AND(AUTOEVENTO="Manual",$M19=$A$15)),0,
         IF(OFFSET(CRONOPLE!$F$15,$M19-$A$15,BN$13)=0,10^12,OFFSET(CRONOPLE!$F$15,$M19-$A$15,BN$13)))</f>
        <v>1000000000000</v>
      </c>
      <c r="BO19" s="171">
        <f ca="1">IF(OR($D19&lt;&gt;"Serviço",AND(AUTOEVENTO="Manual",$M19=$A$15)),0,
         IF(OFFSET(CRONOPLE!$F$15,$M19-$A$15,BO$13)=0,10^12,OFFSET(CRONOPLE!$F$15,$M19-$A$15,BO$13)))</f>
        <v>1000000000000</v>
      </c>
      <c r="BP19" s="171">
        <f ca="1">IF(OR($D19&lt;&gt;"Serviço",AND(AUTOEVENTO="Manual",$M19=$A$15)),0,
         IF(OFFSET(CRONOPLE!$F$15,$M19-$A$15,BP$13)=0,10^12,OFFSET(CRONOPLE!$F$15,$M19-$A$15,BP$13)))</f>
        <v>1000000000000</v>
      </c>
      <c r="BQ19" s="171">
        <f ca="1">IF(OR($D19&lt;&gt;"Serviço",AND(AUTOEVENTO="Manual",$M19=$A$15)),0,
         IF(OFFSET(CRONOPLE!$F$15,$M19-$A$15,BQ$13)=0,10^12,OFFSET(CRONOPLE!$F$15,$M19-$A$15,BQ$13)))</f>
        <v>1000000000000</v>
      </c>
      <c r="BR19" s="171">
        <f ca="1">IF(OR($D19&lt;&gt;"Serviço",AND(AUTOEVENTO="Manual",$M19=$A$15)),0,
         IF(OFFSET(CRONOPLE!$F$15,$M19-$A$15,BR$13)=0,10^12,OFFSET(CRONOPLE!$F$15,$M19-$A$15,BR$13)))</f>
        <v>1000000000000</v>
      </c>
      <c r="BS19" s="171">
        <f ca="1">IF(OR($D19&lt;&gt;"Serviço",AND(AUTOEVENTO="Manual",$M19=$A$15)),0,
         IF(OFFSET(CRONOPLE!$F$15,$M19-$A$15,BS$13)=0,10^12,OFFSET(CRONOPLE!$F$15,$M19-$A$15,BS$13)))</f>
        <v>1000000000000</v>
      </c>
      <c r="BT19" s="171">
        <f ca="1">IF(OR($D19&lt;&gt;"Serviço",AND(AUTOEVENTO="Manual",$M19=$A$15)),0,
         IF(OFFSET(CRONOPLE!$F$15,$M19-$A$15,BT$13)=0,10^12,OFFSET(CRONOPLE!$F$15,$M19-$A$15,BT$13)))</f>
        <v>1000000000000</v>
      </c>
      <c r="BV19" s="172">
        <f t="array" aca="1" ref="BV19" ca="1">IF(OR($D19&lt;&gt;"Serviço",AND(AUTOEVENTO="Manual",$M19=$A$15),$M19&gt;(ROW(PLE.lastrow)-ROW(PLE.firstrow))),0,
           IF(OFFSET(PLE!$G$15,$M19-$A$15,BV$13)="",10^12,OFFSET(PLE!$G$15,$M19-$A$15,BV$13)))</f>
        <v>1000000000000</v>
      </c>
      <c r="BW19" s="172">
        <f t="array" aca="1" ref="BW19" ca="1">IF(OR($D19&lt;&gt;"Serviço",AND(AUTOEVENTO="Manual",$M19=$A$15),$M19&gt;(ROW(PLE.lastrow)-ROW(PLE.firstrow))),0,
           IF(OFFSET(PLE!$G$15,$M19-$A$15,BW$13)="",10^12,OFFSET(PLE!$G$15,$M19-$A$15,BW$13)))</f>
        <v>1000000000000</v>
      </c>
      <c r="BX19" s="172">
        <f t="array" aca="1" ref="BX19" ca="1">IF(OR($D19&lt;&gt;"Serviço",AND(AUTOEVENTO="Manual",$M19=$A$15),$M19&gt;(ROW(PLE.lastrow)-ROW(PLE.firstrow))),0,
           IF(OFFSET(PLE!$G$15,$M19-$A$15,BX$13)="",10^12,OFFSET(PLE!$G$15,$M19-$A$15,BX$13)))</f>
        <v>1000000000000</v>
      </c>
      <c r="BY19" s="172">
        <f t="array" aca="1" ref="BY19" ca="1">IF(OR($D19&lt;&gt;"Serviço",AND(AUTOEVENTO="Manual",$M19=$A$15),$M19&gt;(ROW(PLE.lastrow)-ROW(PLE.firstrow))),0,
           IF(OFFSET(PLE!$G$15,$M19-$A$15,BY$13)="",10^12,OFFSET(PLE!$G$15,$M19-$A$15,BY$13)))</f>
        <v>1000000000000</v>
      </c>
      <c r="BZ19" s="172">
        <f t="array" aca="1" ref="BZ19" ca="1">IF(OR($D19&lt;&gt;"Serviço",AND(AUTOEVENTO="Manual",$M19=$A$15),$M19&gt;(ROW(PLE.lastrow)-ROW(PLE.firstrow))),0,
           IF(OFFSET(PLE!$G$15,$M19-$A$15,BZ$13)="",10^12,OFFSET(PLE!$G$15,$M19-$A$15,BZ$13)))</f>
        <v>1000000000000</v>
      </c>
      <c r="CA19" s="172">
        <f t="array" aca="1" ref="CA19" ca="1">IF(OR($D19&lt;&gt;"Serviço",AND(AUTOEVENTO="Manual",$M19=$A$15),$M19&gt;(ROW(PLE.lastrow)-ROW(PLE.firstrow))),0,
           IF(OFFSET(PLE!$G$15,$M19-$A$15,CA$13)="",10^12,OFFSET(PLE!$G$15,$M19-$A$15,CA$13)))</f>
        <v>1000000000000</v>
      </c>
      <c r="CB19" s="172">
        <f t="array" aca="1" ref="CB19" ca="1">IF(OR($D19&lt;&gt;"Serviço",AND(AUTOEVENTO="Manual",$M19=$A$15),$M19&gt;(ROW(PLE.lastrow)-ROW(PLE.firstrow))),0,
           IF(OFFSET(PLE!$G$15,$M19-$A$15,CB$13)="",10^12,OFFSET(PLE!$G$15,$M19-$A$15,CB$13)))</f>
        <v>1000000000000</v>
      </c>
      <c r="CC19" s="172">
        <f t="array" aca="1" ref="CC19" ca="1">IF(OR($D19&lt;&gt;"Serviço",AND(AUTOEVENTO="Manual",$M19=$A$15),$M19&gt;(ROW(PLE.lastrow)-ROW(PLE.firstrow))),0,
           IF(OFFSET(PLE!$G$15,$M19-$A$15,CC$13)="",10^12,OFFSET(PLE!$G$15,$M19-$A$15,CC$13)))</f>
        <v>1000000000000</v>
      </c>
      <c r="CD19" s="172">
        <f t="array" aca="1" ref="CD19" ca="1">IF(OR($D19&lt;&gt;"Serviço",AND(AUTOEVENTO="Manual",$M19=$A$15),$M19&gt;(ROW(PLE.lastrow)-ROW(PLE.firstrow))),0,
           IF(OFFSET(PLE!$G$15,$M19-$A$15,CD$13)="",10^12,OFFSET(PLE!$G$15,$M19-$A$15,CD$13)))</f>
        <v>1000000000000</v>
      </c>
      <c r="CE19" s="172">
        <f t="array" aca="1" ref="CE19" ca="1">IF(OR($D19&lt;&gt;"Serviço",AND(AUTOEVENTO="Manual",$M19=$A$15),$M19&gt;(ROW(PLE.lastrow)-ROW(PLE.firstrow))),0,
           IF(OFFSET(PLE!$G$15,$M19-$A$15,CE$13)="",10^12,OFFSET(PLE!$G$15,$M19-$A$15,CE$13)))</f>
        <v>1000000000000</v>
      </c>
      <c r="CF19" s="172">
        <f t="array" aca="1" ref="CF19" ca="1">IF(OR($D19&lt;&gt;"Serviço",AND(AUTOEVENTO="Manual",$M19=$A$15),$M19&gt;(ROW(PLE.lastrow)-ROW(PLE.firstrow))),0,
           IF(OFFSET(PLE!$G$15,$M19-$A$15,CF$13)="",10^12,OFFSET(PLE!$G$15,$M19-$A$15,CF$13)))</f>
        <v>1000000000000</v>
      </c>
      <c r="CG19" s="172">
        <f t="array" aca="1" ref="CG19" ca="1">IF(OR($D19&lt;&gt;"Serviço",AND(AUTOEVENTO="Manual",$M19=$A$15),$M19&gt;(ROW(PLE.lastrow)-ROW(PLE.firstrow))),0,
           IF(OFFSET(PLE!$G$15,$M19-$A$15,CG$13)="",10^12,OFFSET(PLE!$G$15,$M19-$A$15,CG$13)))</f>
        <v>1000000000000</v>
      </c>
      <c r="CH19" s="172">
        <f t="array" aca="1" ref="CH19" ca="1">IF(OR($D19&lt;&gt;"Serviço",AND(AUTOEVENTO="Manual",$M19=$A$15),$M19&gt;(ROW(PLE.lastrow)-ROW(PLE.firstrow))),0,
           IF(OFFSET(PLE!$G$15,$M19-$A$15,CH$13)="",10^12,OFFSET(PLE!$G$15,$M19-$A$15,CH$13)))</f>
        <v>1000000000000</v>
      </c>
      <c r="CI19" s="172">
        <f t="array" aca="1" ref="CI19" ca="1">IF(OR($D19&lt;&gt;"Serviço",AND(AUTOEVENTO="Manual",$M19=$A$15),$M19&gt;(ROW(PLE.lastrow)-ROW(PLE.firstrow))),0,
           IF(OFFSET(PLE!$G$15,$M19-$A$15,CI$13)="",10^12,OFFSET(PLE!$G$15,$M19-$A$15,CI$13)))</f>
        <v>1000000000000</v>
      </c>
      <c r="CJ19" s="172">
        <f t="array" aca="1" ref="CJ19" ca="1">IF(OR($D19&lt;&gt;"Serviço",AND(AUTOEVENTO="Manual",$M19=$A$15),$M19&gt;(ROW(PLE.lastrow)-ROW(PLE.firstrow))),0,
           IF(OFFSET(PLE!$G$15,$M19-$A$15,CJ$13)="",10^12,OFFSET(PLE!$G$15,$M19-$A$15,CJ$13)))</f>
        <v>1000000000000</v>
      </c>
      <c r="CK19" s="172">
        <f t="array" aca="1" ref="CK19" ca="1">IF(OR($D19&lt;&gt;"Serviço",AND(AUTOEVENTO="Manual",$M19=$A$15),$M19&gt;(ROW(PLE.lastrow)-ROW(PLE.firstrow))),0,
           IF(OFFSET(PLE!$G$15,$M19-$A$15,CK$13)="",10^12,OFFSET(PLE!$G$15,$M19-$A$15,CK$13)))</f>
        <v>1000000000000</v>
      </c>
      <c r="CL19" s="172">
        <f t="array" aca="1" ref="CL19" ca="1">IF(OR($D19&lt;&gt;"Serviço",AND(AUTOEVENTO="Manual",$M19=$A$15),$M19&gt;(ROW(PLE.lastrow)-ROW(PLE.firstrow))),0,
           IF(OFFSET(PLE!$G$15,$M19-$A$15,CL$13)="",10^12,OFFSET(PLE!$G$15,$M19-$A$15,CL$13)))</f>
        <v>1000000000000</v>
      </c>
      <c r="CM19" s="172">
        <f t="array" aca="1" ref="CM19" ca="1">IF(OR($D19&lt;&gt;"Serviço",AND(AUTOEVENTO="Manual",$M19=$A$15),$M19&gt;(ROW(PLE.lastrow)-ROW(PLE.firstrow))),0,
           IF(OFFSET(PLE!$G$15,$M19-$A$15,CM$13)="",10^12,OFFSET(PLE!$G$15,$M19-$A$15,CM$13)))</f>
        <v>1000000000000</v>
      </c>
    </row>
    <row r="20" spans="1:91" s="696" customFormat="1" ht="38.25" x14ac:dyDescent="0.2">
      <c r="A20" s="694">
        <f t="shared" ca="1" si="10"/>
        <v>1</v>
      </c>
      <c r="B20" s="694" t="str">
        <f ca="1">OFFSET(ORÇAMENTO!C$15,$L20,0)</f>
        <v>S</v>
      </c>
      <c r="C20" s="694" t="str">
        <f ca="1">OFFSET(ORÇAMENTO!L$15,$L20,0)</f>
        <v>F</v>
      </c>
      <c r="D20" s="116" t="str">
        <f ca="1">OFFSET(ORÇAMENTO!N$15,$L20,0)</f>
        <v>Serviço</v>
      </c>
      <c r="E20" s="117" t="str">
        <f ca="1">OFFSET(ORÇAMENTO!O$15,$L20,0)</f>
        <v>1.1.3.</v>
      </c>
      <c r="F20" s="163" t="str">
        <f ca="1">OFFSET(ORÇAMENTO!R$15,$L20,0)</f>
        <v>ESPECIFICAÇÃO DOS MATERIAIS COM MEMORIAL DESCRITIVO DE CADA AMBIENTE E EQUIPAMENTOS PARA CONSTRUÇÕES NOVAS - ÁREA ATÉ 1.000 M2</v>
      </c>
      <c r="G20" s="164" t="str">
        <f ca="1">IF($D20&lt;&gt;"Serviço","",OFFSET(ORÇAMENTO!S$15,$L20,0))</f>
        <v>m2</v>
      </c>
      <c r="H20" s="122">
        <f t="array" aca="1" ref="H20" ca="1">IF($D20&lt;&gt;"Serviço",0,IF(ACOMPANHAMENTO="BM",ROUND(OFFSET(ORÇAMENTO!AJ$15,$L20,0),15-13*ORÇAMENTO!$AF$7),IF(IFERROR(CÁLCULO.FrentesPreenchidas,0)=0,0,SUM(ROUND(OFFSET($P20,0,1,1,CÁLCULO.FrentesPreenchidas),15-13*ORÇAMENTO!$AF$7)))))</f>
        <v>47.46</v>
      </c>
      <c r="I20" s="467" t="s">
        <v>1209</v>
      </c>
      <c r="J20" s="653" t="str">
        <f t="array" aca="1" ref="J20" ca="1">IF(OR(B20&lt;&gt;"S",CÁLCULO.FrentesPreenchidas=0),"",IF(AND(ACOMPANHAMENTO="PLE",AUTOEVENTO="Manual",OR(H20&gt;0,ORÇAMENTO!AC20="QUANT."),OR(K20="",M20=0,N20="")),"►E",IF(AND(ACOMPANHAMENTO="PLE",ORÇAMENTO!AC20="QUANT."),"►Q",IF(AND(ACOMPANHAMENTO="PLE",H20&lt;&gt;SUMPRODUCT(($Q$1:$AI$1=1)*ROUND(Q20:AI20,15))),"►S",IF(AND(COUNTIF($P$11:$AI$11,"▼")=0,H20&gt;0,I20=""),"◄M","")))))</f>
        <v/>
      </c>
      <c r="K20" s="654" t="s">
        <v>1358</v>
      </c>
      <c r="L20" s="165">
        <f t="shared" ca="1" si="11"/>
        <v>5</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SERVIÇOS TÉCNICOS (PROJETOS, ORÇAMENTOS, SONDAGENS E OUTROS)</v>
      </c>
      <c r="O20" s="168"/>
      <c r="Q20" s="168"/>
      <c r="R20" s="168"/>
      <c r="S20" s="168"/>
      <c r="T20" s="168"/>
      <c r="U20" s="168">
        <v>47.46</v>
      </c>
      <c r="V20" s="169"/>
      <c r="W20" s="169"/>
      <c r="X20" s="169"/>
      <c r="Y20" s="169"/>
      <c r="Z20" s="170"/>
      <c r="AA20" s="169"/>
      <c r="AB20" s="169"/>
      <c r="AC20" s="169"/>
      <c r="AD20" s="169"/>
      <c r="AE20" s="169"/>
      <c r="AF20" s="169"/>
      <c r="AG20" s="169"/>
      <c r="AH20" s="170"/>
      <c r="AJ20" s="452">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2">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L20" s="452">
        <f ca="1">IF(AND($D20="Serviço",AL$12&lt;&gt;0,$H20&gt;0,OR(AUTOEVENTO&lt;&gt;"manual",$M20&lt;&gt;$A$15)),
        IF(Import.TipoArredondamento&lt;&gt;"TransfereGOV",
              ROUND(OFFSET($P20,0,AL$13),15-13*ORÇAMENTO!$AF$7)/$H20*OFFSET(ORÇAMENTO!$X$15,ROW(AL20)-ROW(AL$15),0),
              ROUND(ROUND(OFFSET($P20,0,AL$13),15-13*ORÇAMENTO!$AF$7)*OFFSET(ORÇAMENTO!$W$15,ROW(AL20)-ROW(AL$15),0),15-13*ORÇAMENTO!$AF$11)),
         0)</f>
        <v>0</v>
      </c>
      <c r="AM20" s="452">
        <f ca="1">IF(AND($D20="Serviço",AM$12&lt;&gt;0,$H20&gt;0,OR(AUTOEVENTO&lt;&gt;"manual",$M20&lt;&gt;$A$15)),
        IF(Import.TipoArredondamento&lt;&gt;"TransfereGOV",
              ROUND(OFFSET($P20,0,AM$13),15-13*ORÇAMENTO!$AF$7)/$H20*OFFSET(ORÇAMENTO!$X$15,ROW(AM20)-ROW(AM$15),0),
              ROUND(ROUND(OFFSET($P20,0,AM$13),15-13*ORÇAMENTO!$AF$7)*OFFSET(ORÇAMENTO!$W$15,ROW(AM20)-ROW(AM$15),0),15-13*ORÇAMENTO!$AF$11)),
         0)</f>
        <v>0</v>
      </c>
      <c r="AN20" s="452">
        <f ca="1">IF(AND($D20="Serviço",AN$12&lt;&gt;0,$H20&gt;0,OR(AUTOEVENTO&lt;&gt;"manual",$M20&lt;&gt;$A$15)),
        IF(Import.TipoArredondamento&lt;&gt;"TransfereGOV",
              ROUND(OFFSET($P20,0,AN$13),15-13*ORÇAMENTO!$AF$7)/$H20*OFFSET(ORÇAMENTO!$X$15,ROW(AN20)-ROW(AN$15),0),
              ROUND(ROUND(OFFSET($P20,0,AN$13),15-13*ORÇAMENTO!$AF$7)*OFFSET(ORÇAMENTO!$W$15,ROW(AN20)-ROW(AN$15),0),15-13*ORÇAMENTO!$AF$11)),
         0)</f>
        <v>140.47999999999999</v>
      </c>
      <c r="AO20" s="452">
        <f ca="1">IF(AND($D20="Serviço",AO$12&lt;&gt;0,$H20&gt;0,OR(AUTOEVENTO&lt;&gt;"manual",$M20&lt;&gt;$A$15)),
        IF(Import.TipoArredondamento&lt;&gt;"TransfereGOV",
              ROUND(OFFSET($P20,0,AO$13),15-13*ORÇAMENTO!$AF$7)/$H20*OFFSET(ORÇAMENTO!$X$15,ROW(AO20)-ROW(AO$15),0),
              ROUND(ROUND(OFFSET($P20,0,AO$13),15-13*ORÇAMENTO!$AF$7)*OFFSET(ORÇAMENTO!$W$15,ROW(AO20)-ROW(AO$15),0),15-13*ORÇAMENTO!$AF$11)),
         0)</f>
        <v>0</v>
      </c>
      <c r="AP20" s="452">
        <f ca="1">IF(AND($D20="Serviço",AP$12&lt;&gt;0,$H20&gt;0,OR(AUTOEVENTO&lt;&gt;"manual",$M20&lt;&gt;$A$15)),
        IF(Import.TipoArredondamento&lt;&gt;"TransfereGOV",
              ROUND(OFFSET($P20,0,AP$13),15-13*ORÇAMENTO!$AF$7)/$H20*OFFSET(ORÇAMENTO!$X$15,ROW(AP20)-ROW(AP$15),0),
              ROUND(ROUND(OFFSET($P20,0,AP$13),15-13*ORÇAMENTO!$AF$7)*OFFSET(ORÇAMENTO!$W$15,ROW(AP20)-ROW(AP$15),0),15-13*ORÇAMENTO!$AF$11)),
         0)</f>
        <v>0</v>
      </c>
      <c r="AQ20" s="452">
        <f ca="1">IF(AND($D20="Serviço",AQ$12&lt;&gt;0,$H20&gt;0,OR(AUTOEVENTO&lt;&gt;"manual",$M20&lt;&gt;$A$15)),
        IF(Import.TipoArredondamento&lt;&gt;"TransfereGOV",
              ROUND(OFFSET($P20,0,AQ$13),15-13*ORÇAMENTO!$AF$7)/$H20*OFFSET(ORÇAMENTO!$X$15,ROW(AQ20)-ROW(AQ$15),0),
              ROUND(ROUND(OFFSET($P20,0,AQ$13),15-13*ORÇAMENTO!$AF$7)*OFFSET(ORÇAMENTO!$W$15,ROW(AQ20)-ROW(AQ$15),0),15-13*ORÇAMENTO!$AF$11)),
         0)</f>
        <v>0</v>
      </c>
      <c r="AR20" s="452">
        <f ca="1">IF(AND($D20="Serviço",AR$12&lt;&gt;0,$H20&gt;0,OR(AUTOEVENTO&lt;&gt;"manual",$M20&lt;&gt;$A$15)),
        IF(Import.TipoArredondamento&lt;&gt;"TransfereGOV",
              ROUND(OFFSET($P20,0,AR$13),15-13*ORÇAMENTO!$AF$7)/$H20*OFFSET(ORÇAMENTO!$X$15,ROW(AR20)-ROW(AR$15),0),
              ROUND(ROUND(OFFSET($P20,0,AR$13),15-13*ORÇAMENTO!$AF$7)*OFFSET(ORÇAMENTO!$W$15,ROW(AR20)-ROW(AR$15),0),15-13*ORÇAMENTO!$AF$11)),
         0)</f>
        <v>0</v>
      </c>
      <c r="AS20" s="452">
        <f ca="1">IF(AND($D20="Serviço",AS$12&lt;&gt;0,$H20&gt;0,OR(AUTOEVENTO&lt;&gt;"manual",$M20&lt;&gt;$A$15)),
        IF(Import.TipoArredondamento&lt;&gt;"TransfereGOV",
              ROUND(OFFSET($P20,0,AS$13),15-13*ORÇAMENTO!$AF$7)/$H20*OFFSET(ORÇAMENTO!$X$15,ROW(AS20)-ROW(AS$15),0),
              ROUND(ROUND(OFFSET($P20,0,AS$13),15-13*ORÇAMENTO!$AF$7)*OFFSET(ORÇAMENTO!$W$15,ROW(AS20)-ROW(AS$15),0),15-13*ORÇAMENTO!$AF$11)),
         0)</f>
        <v>0</v>
      </c>
      <c r="AT20" s="452">
        <f ca="1">IF(AND($D20="Serviço",AT$12&lt;&gt;0,$H20&gt;0,OR(AUTOEVENTO&lt;&gt;"manual",$M20&lt;&gt;$A$15)),
        IF(Import.TipoArredondamento&lt;&gt;"TransfereGOV",
              ROUND(OFFSET($P20,0,AT$13),15-13*ORÇAMENTO!$AF$7)/$H20*OFFSET(ORÇAMENTO!$X$15,ROW(AT20)-ROW(AT$15),0),
              ROUND(ROUND(OFFSET($P20,0,AT$13),15-13*ORÇAMENTO!$AF$7)*OFFSET(ORÇAMENTO!$W$15,ROW(AT20)-ROW(AT$15),0),15-13*ORÇAMENTO!$AF$11)),
         0)</f>
        <v>0</v>
      </c>
      <c r="AU20" s="452">
        <f ca="1">IF(AND($D20="Serviço",AU$12&lt;&gt;0,$H20&gt;0,OR(AUTOEVENTO&lt;&gt;"manual",$M20&lt;&gt;$A$15)),
        IF(Import.TipoArredondamento&lt;&gt;"TransfereGOV",
              ROUND(OFFSET($P20,0,AU$13),15-13*ORÇAMENTO!$AF$7)/$H20*OFFSET(ORÇAMENTO!$X$15,ROW(AU20)-ROW(AU$15),0),
              ROUND(ROUND(OFFSET($P20,0,AU$13),15-13*ORÇAMENTO!$AF$7)*OFFSET(ORÇAMENTO!$W$15,ROW(AU20)-ROW(AU$15),0),15-13*ORÇAMENTO!$AF$11)),
         0)</f>
        <v>0</v>
      </c>
      <c r="AV20" s="452">
        <f ca="1">IF(AND($D20="Serviço",AV$12&lt;&gt;0,$H20&gt;0,OR(AUTOEVENTO&lt;&gt;"manual",$M20&lt;&gt;$A$15)),
        IF(Import.TipoArredondamento&lt;&gt;"TransfereGOV",
              ROUND(OFFSET($P20,0,AV$13),15-13*ORÇAMENTO!$AF$7)/$H20*OFFSET(ORÇAMENTO!$X$15,ROW(AV20)-ROW(AV$15),0),
              ROUND(ROUND(OFFSET($P20,0,AV$13),15-13*ORÇAMENTO!$AF$7)*OFFSET(ORÇAMENTO!$W$15,ROW(AV20)-ROW(AV$15),0),15-13*ORÇAMENTO!$AF$11)),
         0)</f>
        <v>0</v>
      </c>
      <c r="AW20" s="452">
        <f ca="1">IF(AND($D20="Serviço",AW$12&lt;&gt;0,$H20&gt;0,OR(AUTOEVENTO&lt;&gt;"manual",$M20&lt;&gt;$A$15)),
        IF(Import.TipoArredondamento&lt;&gt;"TransfereGOV",
              ROUND(OFFSET($P20,0,AW$13),15-13*ORÇAMENTO!$AF$7)/$H20*OFFSET(ORÇAMENTO!$X$15,ROW(AW20)-ROW(AW$15),0),
              ROUND(ROUND(OFFSET($P20,0,AW$13),15-13*ORÇAMENTO!$AF$7)*OFFSET(ORÇAMENTO!$W$15,ROW(AW20)-ROW(AW$15),0),15-13*ORÇAMENTO!$AF$11)),
         0)</f>
        <v>0</v>
      </c>
      <c r="AX20" s="452">
        <f ca="1">IF(AND($D20="Serviço",AX$12&lt;&gt;0,$H20&gt;0,OR(AUTOEVENTO&lt;&gt;"manual",$M20&lt;&gt;$A$15)),
        IF(Import.TipoArredondamento&lt;&gt;"TransfereGOV",
              ROUND(OFFSET($P20,0,AX$13),15-13*ORÇAMENTO!$AF$7)/$H20*OFFSET(ORÇAMENTO!$X$15,ROW(AX20)-ROW(AX$15),0),
              ROUND(ROUND(OFFSET($P20,0,AX$13),15-13*ORÇAMENTO!$AF$7)*OFFSET(ORÇAMENTO!$W$15,ROW(AX20)-ROW(AX$15),0),15-13*ORÇAMENTO!$AF$11)),
         0)</f>
        <v>0</v>
      </c>
      <c r="AY20" s="452">
        <f ca="1">IF(AND($D20="Serviço",AY$12&lt;&gt;0,$H20&gt;0,OR(AUTOEVENTO&lt;&gt;"manual",$M20&lt;&gt;$A$15)),
        IF(Import.TipoArredondamento&lt;&gt;"TransfereGOV",
              ROUND(OFFSET($P20,0,AY$13),15-13*ORÇAMENTO!$AF$7)/$H20*OFFSET(ORÇAMENTO!$X$15,ROW(AY20)-ROW(AY$15),0),
              ROUND(ROUND(OFFSET($P20,0,AY$13),15-13*ORÇAMENTO!$AF$7)*OFFSET(ORÇAMENTO!$W$15,ROW(AY20)-ROW(AY$15),0),15-13*ORÇAMENTO!$AF$11)),
         0)</f>
        <v>0</v>
      </c>
      <c r="AZ20" s="452">
        <f ca="1">IF(AND($D20="Serviço",AZ$12&lt;&gt;0,$H20&gt;0,OR(AUTOEVENTO&lt;&gt;"manual",$M20&lt;&gt;$A$15)),
        IF(Import.TipoArredondamento&lt;&gt;"TransfereGOV",
              ROUND(OFFSET($P20,0,AZ$13),15-13*ORÇAMENTO!$AF$7)/$H20*OFFSET(ORÇAMENTO!$X$15,ROW(AZ20)-ROW(AZ$15),0),
              ROUND(ROUND(OFFSET($P20,0,AZ$13),15-13*ORÇAMENTO!$AF$7)*OFFSET(ORÇAMENTO!$W$15,ROW(AZ20)-ROW(AZ$15),0),15-13*ORÇAMENTO!$AF$11)),
         0)</f>
        <v>0</v>
      </c>
      <c r="BA20" s="452">
        <f ca="1">IF(AND($D20="Serviço",BA$12&lt;&gt;0,$H20&gt;0,OR(AUTOEVENTO&lt;&gt;"manual",$M20&lt;&gt;$A$15)),
        IF(Import.TipoArredondamento&lt;&gt;"TransfereGOV",
              ROUND(OFFSET($P20,0,BA$13),15-13*ORÇAMENTO!$AF$7)/$H20*OFFSET(ORÇAMENTO!$X$15,ROW(BA20)-ROW(BA$15),0),
              ROUND(ROUND(OFFSET($P20,0,BA$13),15-13*ORÇAMENTO!$AF$7)*OFFSET(ORÇAMENTO!$W$15,ROW(BA20)-ROW(BA$15),0),15-13*ORÇAMENTO!$AF$11)),
         0)</f>
        <v>0</v>
      </c>
      <c r="BC20" s="171">
        <f ca="1">IF(OR($D20&lt;&gt;"Serviço",AND(AUTOEVENTO="Manual",$M20=$A$15)),0,
         IF(OFFSET(CRONOPLE!$F$15,$M20-$A$15,BC$13)=0,10^12,OFFSET(CRONOPLE!$F$15,$M20-$A$15,BC$13)))</f>
        <v>1</v>
      </c>
      <c r="BD20" s="171">
        <f ca="1">IF(OR($D20&lt;&gt;"Serviço",AND(AUTOEVENTO="Manual",$M20=$A$15)),0,
         IF(OFFSET(CRONOPLE!$F$15,$M20-$A$15,BD$13)=0,10^12,OFFSET(CRONOPLE!$F$15,$M20-$A$15,BD$13)))</f>
        <v>1000000000000</v>
      </c>
      <c r="BE20" s="171">
        <f ca="1">IF(OR($D20&lt;&gt;"Serviço",AND(AUTOEVENTO="Manual",$M20=$A$15)),0,
         IF(OFFSET(CRONOPLE!$F$15,$M20-$A$15,BE$13)=0,10^12,OFFSET(CRONOPLE!$F$15,$M20-$A$15,BE$13)))</f>
        <v>1000000000000</v>
      </c>
      <c r="BF20" s="171">
        <f ca="1">IF(OR($D20&lt;&gt;"Serviço",AND(AUTOEVENTO="Manual",$M20=$A$15)),0,
         IF(OFFSET(CRONOPLE!$F$15,$M20-$A$15,BF$13)=0,10^12,OFFSET(CRONOPLE!$F$15,$M20-$A$15,BF$13)))</f>
        <v>1000000000000</v>
      </c>
      <c r="BG20" s="171">
        <f ca="1">IF(OR($D20&lt;&gt;"Serviço",AND(AUTOEVENTO="Manual",$M20=$A$15)),0,
         IF(OFFSET(CRONOPLE!$F$15,$M20-$A$15,BG$13)=0,10^12,OFFSET(CRONOPLE!$F$15,$M20-$A$15,BG$13)))</f>
        <v>1</v>
      </c>
      <c r="BH20" s="171">
        <f ca="1">IF(OR($D20&lt;&gt;"Serviço",AND(AUTOEVENTO="Manual",$M20=$A$15)),0,
         IF(OFFSET(CRONOPLE!$F$15,$M20-$A$15,BH$13)=0,10^12,OFFSET(CRONOPLE!$F$15,$M20-$A$15,BH$13)))</f>
        <v>1000000000000</v>
      </c>
      <c r="BI20" s="171">
        <f ca="1">IF(OR($D20&lt;&gt;"Serviço",AND(AUTOEVENTO="Manual",$M20=$A$15)),0,
         IF(OFFSET(CRONOPLE!$F$15,$M20-$A$15,BI$13)=0,10^12,OFFSET(CRONOPLE!$F$15,$M20-$A$15,BI$13)))</f>
        <v>1000000000000</v>
      </c>
      <c r="BJ20" s="171">
        <f ca="1">IF(OR($D20&lt;&gt;"Serviço",AND(AUTOEVENTO="Manual",$M20=$A$15)),0,
         IF(OFFSET(CRONOPLE!$F$15,$M20-$A$15,BJ$13)=0,10^12,OFFSET(CRONOPLE!$F$15,$M20-$A$15,BJ$13)))</f>
        <v>1000000000000</v>
      </c>
      <c r="BK20" s="171">
        <f ca="1">IF(OR($D20&lt;&gt;"Serviço",AND(AUTOEVENTO="Manual",$M20=$A$15)),0,
         IF(OFFSET(CRONOPLE!$F$15,$M20-$A$15,BK$13)=0,10^12,OFFSET(CRONOPLE!$F$15,$M20-$A$15,BK$13)))</f>
        <v>1000000000000</v>
      </c>
      <c r="BL20" s="171">
        <f ca="1">IF(OR($D20&lt;&gt;"Serviço",AND(AUTOEVENTO="Manual",$M20=$A$15)),0,
         IF(OFFSET(CRONOPLE!$F$15,$M20-$A$15,BL$13)=0,10^12,OFFSET(CRONOPLE!$F$15,$M20-$A$15,BL$13)))</f>
        <v>1000000000000</v>
      </c>
      <c r="BM20" s="171">
        <f ca="1">IF(OR($D20&lt;&gt;"Serviço",AND(AUTOEVENTO="Manual",$M20=$A$15)),0,
         IF(OFFSET(CRONOPLE!$F$15,$M20-$A$15,BM$13)=0,10^12,OFFSET(CRONOPLE!$F$15,$M20-$A$15,BM$13)))</f>
        <v>1000000000000</v>
      </c>
      <c r="BN20" s="171">
        <f ca="1">IF(OR($D20&lt;&gt;"Serviço",AND(AUTOEVENTO="Manual",$M20=$A$15)),0,
         IF(OFFSET(CRONOPLE!$F$15,$M20-$A$15,BN$13)=0,10^12,OFFSET(CRONOPLE!$F$15,$M20-$A$15,BN$13)))</f>
        <v>1000000000000</v>
      </c>
      <c r="BO20" s="171">
        <f ca="1">IF(OR($D20&lt;&gt;"Serviço",AND(AUTOEVENTO="Manual",$M20=$A$15)),0,
         IF(OFFSET(CRONOPLE!$F$15,$M20-$A$15,BO$13)=0,10^12,OFFSET(CRONOPLE!$F$15,$M20-$A$15,BO$13)))</f>
        <v>1000000000000</v>
      </c>
      <c r="BP20" s="171">
        <f ca="1">IF(OR($D20&lt;&gt;"Serviço",AND(AUTOEVENTO="Manual",$M20=$A$15)),0,
         IF(OFFSET(CRONOPLE!$F$15,$M20-$A$15,BP$13)=0,10^12,OFFSET(CRONOPLE!$F$15,$M20-$A$15,BP$13)))</f>
        <v>1000000000000</v>
      </c>
      <c r="BQ20" s="171">
        <f ca="1">IF(OR($D20&lt;&gt;"Serviço",AND(AUTOEVENTO="Manual",$M20=$A$15)),0,
         IF(OFFSET(CRONOPLE!$F$15,$M20-$A$15,BQ$13)=0,10^12,OFFSET(CRONOPLE!$F$15,$M20-$A$15,BQ$13)))</f>
        <v>1000000000000</v>
      </c>
      <c r="BR20" s="171">
        <f ca="1">IF(OR($D20&lt;&gt;"Serviço",AND(AUTOEVENTO="Manual",$M20=$A$15)),0,
         IF(OFFSET(CRONOPLE!$F$15,$M20-$A$15,BR$13)=0,10^12,OFFSET(CRONOPLE!$F$15,$M20-$A$15,BR$13)))</f>
        <v>1000000000000</v>
      </c>
      <c r="BS20" s="171">
        <f ca="1">IF(OR($D20&lt;&gt;"Serviço",AND(AUTOEVENTO="Manual",$M20=$A$15)),0,
         IF(OFFSET(CRONOPLE!$F$15,$M20-$A$15,BS$13)=0,10^12,OFFSET(CRONOPLE!$F$15,$M20-$A$15,BS$13)))</f>
        <v>1000000000000</v>
      </c>
      <c r="BT20" s="171">
        <f ca="1">IF(OR($D20&lt;&gt;"Serviço",AND(AUTOEVENTO="Manual",$M20=$A$15)),0,
         IF(OFFSET(CRONOPLE!$F$15,$M20-$A$15,BT$13)=0,10^12,OFFSET(CRONOPLE!$F$15,$M20-$A$15,BT$13)))</f>
        <v>1000000000000</v>
      </c>
      <c r="BV20" s="172">
        <f t="array" aca="1" ref="BV20" ca="1">IF(OR($D20&lt;&gt;"Serviço",AND(AUTOEVENTO="Manual",$M20=$A$15),$M20&gt;(ROW(PLE.lastrow)-ROW(PLE.firstrow))),0,
           IF(OFFSET(PLE!$G$15,$M20-$A$15,BV$13)="",10^12,OFFSET(PLE!$G$15,$M20-$A$15,BV$13)))</f>
        <v>1000000000000</v>
      </c>
      <c r="BW20" s="172">
        <f t="array" aca="1" ref="BW20" ca="1">IF(OR($D20&lt;&gt;"Serviço",AND(AUTOEVENTO="Manual",$M20=$A$15),$M20&gt;(ROW(PLE.lastrow)-ROW(PLE.firstrow))),0,
           IF(OFFSET(PLE!$G$15,$M20-$A$15,BW$13)="",10^12,OFFSET(PLE!$G$15,$M20-$A$15,BW$13)))</f>
        <v>1000000000000</v>
      </c>
      <c r="BX20" s="172">
        <f t="array" aca="1" ref="BX20" ca="1">IF(OR($D20&lt;&gt;"Serviço",AND(AUTOEVENTO="Manual",$M20=$A$15),$M20&gt;(ROW(PLE.lastrow)-ROW(PLE.firstrow))),0,
           IF(OFFSET(PLE!$G$15,$M20-$A$15,BX$13)="",10^12,OFFSET(PLE!$G$15,$M20-$A$15,BX$13)))</f>
        <v>1000000000000</v>
      </c>
      <c r="BY20" s="172">
        <f t="array" aca="1" ref="BY20" ca="1">IF(OR($D20&lt;&gt;"Serviço",AND(AUTOEVENTO="Manual",$M20=$A$15),$M20&gt;(ROW(PLE.lastrow)-ROW(PLE.firstrow))),0,
           IF(OFFSET(PLE!$G$15,$M20-$A$15,BY$13)="",10^12,OFFSET(PLE!$G$15,$M20-$A$15,BY$13)))</f>
        <v>1000000000000</v>
      </c>
      <c r="BZ20" s="172">
        <f t="array" aca="1" ref="BZ20" ca="1">IF(OR($D20&lt;&gt;"Serviço",AND(AUTOEVENTO="Manual",$M20=$A$15),$M20&gt;(ROW(PLE.lastrow)-ROW(PLE.firstrow))),0,
           IF(OFFSET(PLE!$G$15,$M20-$A$15,BZ$13)="",10^12,OFFSET(PLE!$G$15,$M20-$A$15,BZ$13)))</f>
        <v>1000000000000</v>
      </c>
      <c r="CA20" s="172">
        <f t="array" aca="1" ref="CA20" ca="1">IF(OR($D20&lt;&gt;"Serviço",AND(AUTOEVENTO="Manual",$M20=$A$15),$M20&gt;(ROW(PLE.lastrow)-ROW(PLE.firstrow))),0,
           IF(OFFSET(PLE!$G$15,$M20-$A$15,CA$13)="",10^12,OFFSET(PLE!$G$15,$M20-$A$15,CA$13)))</f>
        <v>1000000000000</v>
      </c>
      <c r="CB20" s="172">
        <f t="array" aca="1" ref="CB20" ca="1">IF(OR($D20&lt;&gt;"Serviço",AND(AUTOEVENTO="Manual",$M20=$A$15),$M20&gt;(ROW(PLE.lastrow)-ROW(PLE.firstrow))),0,
           IF(OFFSET(PLE!$G$15,$M20-$A$15,CB$13)="",10^12,OFFSET(PLE!$G$15,$M20-$A$15,CB$13)))</f>
        <v>1000000000000</v>
      </c>
      <c r="CC20" s="172">
        <f t="array" aca="1" ref="CC20" ca="1">IF(OR($D20&lt;&gt;"Serviço",AND(AUTOEVENTO="Manual",$M20=$A$15),$M20&gt;(ROW(PLE.lastrow)-ROW(PLE.firstrow))),0,
           IF(OFFSET(PLE!$G$15,$M20-$A$15,CC$13)="",10^12,OFFSET(PLE!$G$15,$M20-$A$15,CC$13)))</f>
        <v>1000000000000</v>
      </c>
      <c r="CD20" s="172">
        <f t="array" aca="1" ref="CD20" ca="1">IF(OR($D20&lt;&gt;"Serviço",AND(AUTOEVENTO="Manual",$M20=$A$15),$M20&gt;(ROW(PLE.lastrow)-ROW(PLE.firstrow))),0,
           IF(OFFSET(PLE!$G$15,$M20-$A$15,CD$13)="",10^12,OFFSET(PLE!$G$15,$M20-$A$15,CD$13)))</f>
        <v>1000000000000</v>
      </c>
      <c r="CE20" s="172">
        <f t="array" aca="1" ref="CE20" ca="1">IF(OR($D20&lt;&gt;"Serviço",AND(AUTOEVENTO="Manual",$M20=$A$15),$M20&gt;(ROW(PLE.lastrow)-ROW(PLE.firstrow))),0,
           IF(OFFSET(PLE!$G$15,$M20-$A$15,CE$13)="",10^12,OFFSET(PLE!$G$15,$M20-$A$15,CE$13)))</f>
        <v>1000000000000</v>
      </c>
      <c r="CF20" s="172">
        <f t="array" aca="1" ref="CF20" ca="1">IF(OR($D20&lt;&gt;"Serviço",AND(AUTOEVENTO="Manual",$M20=$A$15),$M20&gt;(ROW(PLE.lastrow)-ROW(PLE.firstrow))),0,
           IF(OFFSET(PLE!$G$15,$M20-$A$15,CF$13)="",10^12,OFFSET(PLE!$G$15,$M20-$A$15,CF$13)))</f>
        <v>1000000000000</v>
      </c>
      <c r="CG20" s="172">
        <f t="array" aca="1" ref="CG20" ca="1">IF(OR($D20&lt;&gt;"Serviço",AND(AUTOEVENTO="Manual",$M20=$A$15),$M20&gt;(ROW(PLE.lastrow)-ROW(PLE.firstrow))),0,
           IF(OFFSET(PLE!$G$15,$M20-$A$15,CG$13)="",10^12,OFFSET(PLE!$G$15,$M20-$A$15,CG$13)))</f>
        <v>1000000000000</v>
      </c>
      <c r="CH20" s="172">
        <f t="array" aca="1" ref="CH20" ca="1">IF(OR($D20&lt;&gt;"Serviço",AND(AUTOEVENTO="Manual",$M20=$A$15),$M20&gt;(ROW(PLE.lastrow)-ROW(PLE.firstrow))),0,
           IF(OFFSET(PLE!$G$15,$M20-$A$15,CH$13)="",10^12,OFFSET(PLE!$G$15,$M20-$A$15,CH$13)))</f>
        <v>1000000000000</v>
      </c>
      <c r="CI20" s="172">
        <f t="array" aca="1" ref="CI20" ca="1">IF(OR($D20&lt;&gt;"Serviço",AND(AUTOEVENTO="Manual",$M20=$A$15),$M20&gt;(ROW(PLE.lastrow)-ROW(PLE.firstrow))),0,
           IF(OFFSET(PLE!$G$15,$M20-$A$15,CI$13)="",10^12,OFFSET(PLE!$G$15,$M20-$A$15,CI$13)))</f>
        <v>1000000000000</v>
      </c>
      <c r="CJ20" s="172">
        <f t="array" aca="1" ref="CJ20" ca="1">IF(OR($D20&lt;&gt;"Serviço",AND(AUTOEVENTO="Manual",$M20=$A$15),$M20&gt;(ROW(PLE.lastrow)-ROW(PLE.firstrow))),0,
           IF(OFFSET(PLE!$G$15,$M20-$A$15,CJ$13)="",10^12,OFFSET(PLE!$G$15,$M20-$A$15,CJ$13)))</f>
        <v>1000000000000</v>
      </c>
      <c r="CK20" s="172">
        <f t="array" aca="1" ref="CK20" ca="1">IF(OR($D20&lt;&gt;"Serviço",AND(AUTOEVENTO="Manual",$M20=$A$15),$M20&gt;(ROW(PLE.lastrow)-ROW(PLE.firstrow))),0,
           IF(OFFSET(PLE!$G$15,$M20-$A$15,CK$13)="",10^12,OFFSET(PLE!$G$15,$M20-$A$15,CK$13)))</f>
        <v>1000000000000</v>
      </c>
      <c r="CL20" s="172">
        <f t="array" aca="1" ref="CL20" ca="1">IF(OR($D20&lt;&gt;"Serviço",AND(AUTOEVENTO="Manual",$M20=$A$15),$M20&gt;(ROW(PLE.lastrow)-ROW(PLE.firstrow))),0,
           IF(OFFSET(PLE!$G$15,$M20-$A$15,CL$13)="",10^12,OFFSET(PLE!$G$15,$M20-$A$15,CL$13)))</f>
        <v>1000000000000</v>
      </c>
      <c r="CM20" s="172">
        <f t="array" aca="1" ref="CM20" ca="1">IF(OR($D20&lt;&gt;"Serviço",AND(AUTOEVENTO="Manual",$M20=$A$15),$M20&gt;(ROW(PLE.lastrow)-ROW(PLE.firstrow))),0,
           IF(OFFSET(PLE!$G$15,$M20-$A$15,CM$13)="",10^12,OFFSET(PLE!$G$15,$M20-$A$15,CM$13)))</f>
        <v>1000000000000</v>
      </c>
    </row>
    <row r="21" spans="1:91" s="696" customFormat="1" ht="38.25" x14ac:dyDescent="0.2">
      <c r="A21" s="694">
        <f t="shared" ca="1" si="10"/>
        <v>1</v>
      </c>
      <c r="B21" s="694" t="str">
        <f ca="1">OFFSET(ORÇAMENTO!C$15,$L21,0)</f>
        <v>S</v>
      </c>
      <c r="C21" s="694" t="str">
        <f ca="1">OFFSET(ORÇAMENTO!L$15,$L21,0)</f>
        <v>F</v>
      </c>
      <c r="D21" s="116" t="str">
        <f ca="1">OFFSET(ORÇAMENTO!N$15,$L21,0)</f>
        <v>Serviço</v>
      </c>
      <c r="E21" s="117" t="str">
        <f ca="1">OFFSET(ORÇAMENTO!O$15,$L21,0)</f>
        <v>1.1.4.</v>
      </c>
      <c r="F21" s="163" t="str">
        <f ca="1">OFFSET(ORÇAMENTO!R$15,$L21,0)</f>
        <v>PLANILHA ORÇAMENTÁRIA PARA CONSTRUÇÕES NOVAS - ÁREA ATÉ 1.000 M2</v>
      </c>
      <c r="G21" s="164" t="str">
        <f ca="1">IF($D21&lt;&gt;"Serviço","",OFFSET(ORÇAMENTO!S$15,$L21,0))</f>
        <v>m2</v>
      </c>
      <c r="H21" s="122">
        <f t="array" aca="1" ref="H21" ca="1">IF($D21&lt;&gt;"Serviço",0,IF(ACOMPANHAMENTO="BM",ROUND(OFFSET(ORÇAMENTO!AJ$15,$L21,0),15-13*ORÇAMENTO!$AF$7),IF(IFERROR(CÁLCULO.FrentesPreenchidas,0)=0,0,SUM(ROUND(OFFSET($P21,0,1,1,CÁLCULO.FrentesPreenchidas),15-13*ORÇAMENTO!$AF$7)))))</f>
        <v>47.46</v>
      </c>
      <c r="I21" s="467" t="s">
        <v>1209</v>
      </c>
      <c r="J21" s="653" t="str">
        <f t="array" aca="1" ref="J21" ca="1">IF(OR(B21&lt;&gt;"S",CÁLCULO.FrentesPreenchidas=0),"",IF(AND(ACOMPANHAMENTO="PLE",AUTOEVENTO="Manual",OR(H21&gt;0,ORÇAMENTO!AC21="QUANT."),OR(K21="",M21=0,N21="")),"►E",IF(AND(ACOMPANHAMENTO="PLE",ORÇAMENTO!AC21="QUANT."),"►Q",IF(AND(ACOMPANHAMENTO="PLE",H21&lt;&gt;SUMPRODUCT(($Q$1:$AI$1=1)*ROUND(Q21:AI21,15))),"►S",IF(AND(COUNTIF($P$11:$AI$11,"▼")=0,H21&gt;0,I21=""),"◄M","")))))</f>
        <v/>
      </c>
      <c r="K21" s="654" t="s">
        <v>1358</v>
      </c>
      <c r="L21" s="165">
        <f t="shared" ca="1" si="11"/>
        <v>6</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SERVIÇOS TÉCNICOS (PROJETOS, ORÇAMENTOS, SONDAGENS E OUTROS)</v>
      </c>
      <c r="O21" s="168"/>
      <c r="Q21" s="168"/>
      <c r="R21" s="168"/>
      <c r="S21" s="168"/>
      <c r="T21" s="168"/>
      <c r="U21" s="168">
        <v>47.46</v>
      </c>
      <c r="V21" s="169"/>
      <c r="W21" s="169"/>
      <c r="X21" s="169"/>
      <c r="Y21" s="169"/>
      <c r="Z21" s="170"/>
      <c r="AA21" s="169"/>
      <c r="AB21" s="169"/>
      <c r="AC21" s="169"/>
      <c r="AD21" s="169"/>
      <c r="AE21" s="169"/>
      <c r="AF21" s="169"/>
      <c r="AG21" s="169"/>
      <c r="AH21" s="170"/>
      <c r="AJ21" s="452">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2">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L21" s="452">
        <f ca="1">IF(AND($D21="Serviço",AL$12&lt;&gt;0,$H21&gt;0,OR(AUTOEVENTO&lt;&gt;"manual",$M21&lt;&gt;$A$15)),
        IF(Import.TipoArredondamento&lt;&gt;"TransfereGOV",
              ROUND(OFFSET($P21,0,AL$13),15-13*ORÇAMENTO!$AF$7)/$H21*OFFSET(ORÇAMENTO!$X$15,ROW(AL21)-ROW(AL$15),0),
              ROUND(ROUND(OFFSET($P21,0,AL$13),15-13*ORÇAMENTO!$AF$7)*OFFSET(ORÇAMENTO!$W$15,ROW(AL21)-ROW(AL$15),0),15-13*ORÇAMENTO!$AF$11)),
         0)</f>
        <v>0</v>
      </c>
      <c r="AM21" s="452">
        <f ca="1">IF(AND($D21="Serviço",AM$12&lt;&gt;0,$H21&gt;0,OR(AUTOEVENTO&lt;&gt;"manual",$M21&lt;&gt;$A$15)),
        IF(Import.TipoArredondamento&lt;&gt;"TransfereGOV",
              ROUND(OFFSET($P21,0,AM$13),15-13*ORÇAMENTO!$AF$7)/$H21*OFFSET(ORÇAMENTO!$X$15,ROW(AM21)-ROW(AM$15),0),
              ROUND(ROUND(OFFSET($P21,0,AM$13),15-13*ORÇAMENTO!$AF$7)*OFFSET(ORÇAMENTO!$W$15,ROW(AM21)-ROW(AM$15),0),15-13*ORÇAMENTO!$AF$11)),
         0)</f>
        <v>0</v>
      </c>
      <c r="AN21" s="452">
        <f ca="1">IF(AND($D21="Serviço",AN$12&lt;&gt;0,$H21&gt;0,OR(AUTOEVENTO&lt;&gt;"manual",$M21&lt;&gt;$A$15)),
        IF(Import.TipoArredondamento&lt;&gt;"TransfereGOV",
              ROUND(OFFSET($P21,0,AN$13),15-13*ORÇAMENTO!$AF$7)/$H21*OFFSET(ORÇAMENTO!$X$15,ROW(AN21)-ROW(AN$15),0),
              ROUND(ROUND(OFFSET($P21,0,AN$13),15-13*ORÇAMENTO!$AF$7)*OFFSET(ORÇAMENTO!$W$15,ROW(AN21)-ROW(AN$15),0),15-13*ORÇAMENTO!$AF$11)),
         0)</f>
        <v>286.66000000000003</v>
      </c>
      <c r="AO21" s="452">
        <f ca="1">IF(AND($D21="Serviço",AO$12&lt;&gt;0,$H21&gt;0,OR(AUTOEVENTO&lt;&gt;"manual",$M21&lt;&gt;$A$15)),
        IF(Import.TipoArredondamento&lt;&gt;"TransfereGOV",
              ROUND(OFFSET($P21,0,AO$13),15-13*ORÇAMENTO!$AF$7)/$H21*OFFSET(ORÇAMENTO!$X$15,ROW(AO21)-ROW(AO$15),0),
              ROUND(ROUND(OFFSET($P21,0,AO$13),15-13*ORÇAMENTO!$AF$7)*OFFSET(ORÇAMENTO!$W$15,ROW(AO21)-ROW(AO$15),0),15-13*ORÇAMENTO!$AF$11)),
         0)</f>
        <v>0</v>
      </c>
      <c r="AP21" s="452">
        <f ca="1">IF(AND($D21="Serviço",AP$12&lt;&gt;0,$H21&gt;0,OR(AUTOEVENTO&lt;&gt;"manual",$M21&lt;&gt;$A$15)),
        IF(Import.TipoArredondamento&lt;&gt;"TransfereGOV",
              ROUND(OFFSET($P21,0,AP$13),15-13*ORÇAMENTO!$AF$7)/$H21*OFFSET(ORÇAMENTO!$X$15,ROW(AP21)-ROW(AP$15),0),
              ROUND(ROUND(OFFSET($P21,0,AP$13),15-13*ORÇAMENTO!$AF$7)*OFFSET(ORÇAMENTO!$W$15,ROW(AP21)-ROW(AP$15),0),15-13*ORÇAMENTO!$AF$11)),
         0)</f>
        <v>0</v>
      </c>
      <c r="AQ21" s="452">
        <f ca="1">IF(AND($D21="Serviço",AQ$12&lt;&gt;0,$H21&gt;0,OR(AUTOEVENTO&lt;&gt;"manual",$M21&lt;&gt;$A$15)),
        IF(Import.TipoArredondamento&lt;&gt;"TransfereGOV",
              ROUND(OFFSET($P21,0,AQ$13),15-13*ORÇAMENTO!$AF$7)/$H21*OFFSET(ORÇAMENTO!$X$15,ROW(AQ21)-ROW(AQ$15),0),
              ROUND(ROUND(OFFSET($P21,0,AQ$13),15-13*ORÇAMENTO!$AF$7)*OFFSET(ORÇAMENTO!$W$15,ROW(AQ21)-ROW(AQ$15),0),15-13*ORÇAMENTO!$AF$11)),
         0)</f>
        <v>0</v>
      </c>
      <c r="AR21" s="452">
        <f ca="1">IF(AND($D21="Serviço",AR$12&lt;&gt;0,$H21&gt;0,OR(AUTOEVENTO&lt;&gt;"manual",$M21&lt;&gt;$A$15)),
        IF(Import.TipoArredondamento&lt;&gt;"TransfereGOV",
              ROUND(OFFSET($P21,0,AR$13),15-13*ORÇAMENTO!$AF$7)/$H21*OFFSET(ORÇAMENTO!$X$15,ROW(AR21)-ROW(AR$15),0),
              ROUND(ROUND(OFFSET($P21,0,AR$13),15-13*ORÇAMENTO!$AF$7)*OFFSET(ORÇAMENTO!$W$15,ROW(AR21)-ROW(AR$15),0),15-13*ORÇAMENTO!$AF$11)),
         0)</f>
        <v>0</v>
      </c>
      <c r="AS21" s="452">
        <f ca="1">IF(AND($D21="Serviço",AS$12&lt;&gt;0,$H21&gt;0,OR(AUTOEVENTO&lt;&gt;"manual",$M21&lt;&gt;$A$15)),
        IF(Import.TipoArredondamento&lt;&gt;"TransfereGOV",
              ROUND(OFFSET($P21,0,AS$13),15-13*ORÇAMENTO!$AF$7)/$H21*OFFSET(ORÇAMENTO!$X$15,ROW(AS21)-ROW(AS$15),0),
              ROUND(ROUND(OFFSET($P21,0,AS$13),15-13*ORÇAMENTO!$AF$7)*OFFSET(ORÇAMENTO!$W$15,ROW(AS21)-ROW(AS$15),0),15-13*ORÇAMENTO!$AF$11)),
         0)</f>
        <v>0</v>
      </c>
      <c r="AT21" s="452">
        <f ca="1">IF(AND($D21="Serviço",AT$12&lt;&gt;0,$H21&gt;0,OR(AUTOEVENTO&lt;&gt;"manual",$M21&lt;&gt;$A$15)),
        IF(Import.TipoArredondamento&lt;&gt;"TransfereGOV",
              ROUND(OFFSET($P21,0,AT$13),15-13*ORÇAMENTO!$AF$7)/$H21*OFFSET(ORÇAMENTO!$X$15,ROW(AT21)-ROW(AT$15),0),
              ROUND(ROUND(OFFSET($P21,0,AT$13),15-13*ORÇAMENTO!$AF$7)*OFFSET(ORÇAMENTO!$W$15,ROW(AT21)-ROW(AT$15),0),15-13*ORÇAMENTO!$AF$11)),
         0)</f>
        <v>0</v>
      </c>
      <c r="AU21" s="452">
        <f ca="1">IF(AND($D21="Serviço",AU$12&lt;&gt;0,$H21&gt;0,OR(AUTOEVENTO&lt;&gt;"manual",$M21&lt;&gt;$A$15)),
        IF(Import.TipoArredondamento&lt;&gt;"TransfereGOV",
              ROUND(OFFSET($P21,0,AU$13),15-13*ORÇAMENTO!$AF$7)/$H21*OFFSET(ORÇAMENTO!$X$15,ROW(AU21)-ROW(AU$15),0),
              ROUND(ROUND(OFFSET($P21,0,AU$13),15-13*ORÇAMENTO!$AF$7)*OFFSET(ORÇAMENTO!$W$15,ROW(AU21)-ROW(AU$15),0),15-13*ORÇAMENTO!$AF$11)),
         0)</f>
        <v>0</v>
      </c>
      <c r="AV21" s="452">
        <f ca="1">IF(AND($D21="Serviço",AV$12&lt;&gt;0,$H21&gt;0,OR(AUTOEVENTO&lt;&gt;"manual",$M21&lt;&gt;$A$15)),
        IF(Import.TipoArredondamento&lt;&gt;"TransfereGOV",
              ROUND(OFFSET($P21,0,AV$13),15-13*ORÇAMENTO!$AF$7)/$H21*OFFSET(ORÇAMENTO!$X$15,ROW(AV21)-ROW(AV$15),0),
              ROUND(ROUND(OFFSET($P21,0,AV$13),15-13*ORÇAMENTO!$AF$7)*OFFSET(ORÇAMENTO!$W$15,ROW(AV21)-ROW(AV$15),0),15-13*ORÇAMENTO!$AF$11)),
         0)</f>
        <v>0</v>
      </c>
      <c r="AW21" s="452">
        <f ca="1">IF(AND($D21="Serviço",AW$12&lt;&gt;0,$H21&gt;0,OR(AUTOEVENTO&lt;&gt;"manual",$M21&lt;&gt;$A$15)),
        IF(Import.TipoArredondamento&lt;&gt;"TransfereGOV",
              ROUND(OFFSET($P21,0,AW$13),15-13*ORÇAMENTO!$AF$7)/$H21*OFFSET(ORÇAMENTO!$X$15,ROW(AW21)-ROW(AW$15),0),
              ROUND(ROUND(OFFSET($P21,0,AW$13),15-13*ORÇAMENTO!$AF$7)*OFFSET(ORÇAMENTO!$W$15,ROW(AW21)-ROW(AW$15),0),15-13*ORÇAMENTO!$AF$11)),
         0)</f>
        <v>0</v>
      </c>
      <c r="AX21" s="452">
        <f ca="1">IF(AND($D21="Serviço",AX$12&lt;&gt;0,$H21&gt;0,OR(AUTOEVENTO&lt;&gt;"manual",$M21&lt;&gt;$A$15)),
        IF(Import.TipoArredondamento&lt;&gt;"TransfereGOV",
              ROUND(OFFSET($P21,0,AX$13),15-13*ORÇAMENTO!$AF$7)/$H21*OFFSET(ORÇAMENTO!$X$15,ROW(AX21)-ROW(AX$15),0),
              ROUND(ROUND(OFFSET($P21,0,AX$13),15-13*ORÇAMENTO!$AF$7)*OFFSET(ORÇAMENTO!$W$15,ROW(AX21)-ROW(AX$15),0),15-13*ORÇAMENTO!$AF$11)),
         0)</f>
        <v>0</v>
      </c>
      <c r="AY21" s="452">
        <f ca="1">IF(AND($D21="Serviço",AY$12&lt;&gt;0,$H21&gt;0,OR(AUTOEVENTO&lt;&gt;"manual",$M21&lt;&gt;$A$15)),
        IF(Import.TipoArredondamento&lt;&gt;"TransfereGOV",
              ROUND(OFFSET($P21,0,AY$13),15-13*ORÇAMENTO!$AF$7)/$H21*OFFSET(ORÇAMENTO!$X$15,ROW(AY21)-ROW(AY$15),0),
              ROUND(ROUND(OFFSET($P21,0,AY$13),15-13*ORÇAMENTO!$AF$7)*OFFSET(ORÇAMENTO!$W$15,ROW(AY21)-ROW(AY$15),0),15-13*ORÇAMENTO!$AF$11)),
         0)</f>
        <v>0</v>
      </c>
      <c r="AZ21" s="452">
        <f ca="1">IF(AND($D21="Serviço",AZ$12&lt;&gt;0,$H21&gt;0,OR(AUTOEVENTO&lt;&gt;"manual",$M21&lt;&gt;$A$15)),
        IF(Import.TipoArredondamento&lt;&gt;"TransfereGOV",
              ROUND(OFFSET($P21,0,AZ$13),15-13*ORÇAMENTO!$AF$7)/$H21*OFFSET(ORÇAMENTO!$X$15,ROW(AZ21)-ROW(AZ$15),0),
              ROUND(ROUND(OFFSET($P21,0,AZ$13),15-13*ORÇAMENTO!$AF$7)*OFFSET(ORÇAMENTO!$W$15,ROW(AZ21)-ROW(AZ$15),0),15-13*ORÇAMENTO!$AF$11)),
         0)</f>
        <v>0</v>
      </c>
      <c r="BA21" s="452">
        <f ca="1">IF(AND($D21="Serviço",BA$12&lt;&gt;0,$H21&gt;0,OR(AUTOEVENTO&lt;&gt;"manual",$M21&lt;&gt;$A$15)),
        IF(Import.TipoArredondamento&lt;&gt;"TransfereGOV",
              ROUND(OFFSET($P21,0,BA$13),15-13*ORÇAMENTO!$AF$7)/$H21*OFFSET(ORÇAMENTO!$X$15,ROW(BA21)-ROW(BA$15),0),
              ROUND(ROUND(OFFSET($P21,0,BA$13),15-13*ORÇAMENTO!$AF$7)*OFFSET(ORÇAMENTO!$W$15,ROW(BA21)-ROW(BA$15),0),15-13*ORÇAMENTO!$AF$11)),
         0)</f>
        <v>0</v>
      </c>
      <c r="BC21" s="171">
        <f ca="1">IF(OR($D21&lt;&gt;"Serviço",AND(AUTOEVENTO="Manual",$M21=$A$15)),0,
         IF(OFFSET(CRONOPLE!$F$15,$M21-$A$15,BC$13)=0,10^12,OFFSET(CRONOPLE!$F$15,$M21-$A$15,BC$13)))</f>
        <v>1</v>
      </c>
      <c r="BD21" s="171">
        <f ca="1">IF(OR($D21&lt;&gt;"Serviço",AND(AUTOEVENTO="Manual",$M21=$A$15)),0,
         IF(OFFSET(CRONOPLE!$F$15,$M21-$A$15,BD$13)=0,10^12,OFFSET(CRONOPLE!$F$15,$M21-$A$15,BD$13)))</f>
        <v>1000000000000</v>
      </c>
      <c r="BE21" s="171">
        <f ca="1">IF(OR($D21&lt;&gt;"Serviço",AND(AUTOEVENTO="Manual",$M21=$A$15)),0,
         IF(OFFSET(CRONOPLE!$F$15,$M21-$A$15,BE$13)=0,10^12,OFFSET(CRONOPLE!$F$15,$M21-$A$15,BE$13)))</f>
        <v>1000000000000</v>
      </c>
      <c r="BF21" s="171">
        <f ca="1">IF(OR($D21&lt;&gt;"Serviço",AND(AUTOEVENTO="Manual",$M21=$A$15)),0,
         IF(OFFSET(CRONOPLE!$F$15,$M21-$A$15,BF$13)=0,10^12,OFFSET(CRONOPLE!$F$15,$M21-$A$15,BF$13)))</f>
        <v>1000000000000</v>
      </c>
      <c r="BG21" s="171">
        <f ca="1">IF(OR($D21&lt;&gt;"Serviço",AND(AUTOEVENTO="Manual",$M21=$A$15)),0,
         IF(OFFSET(CRONOPLE!$F$15,$M21-$A$15,BG$13)=0,10^12,OFFSET(CRONOPLE!$F$15,$M21-$A$15,BG$13)))</f>
        <v>1</v>
      </c>
      <c r="BH21" s="171">
        <f ca="1">IF(OR($D21&lt;&gt;"Serviço",AND(AUTOEVENTO="Manual",$M21=$A$15)),0,
         IF(OFFSET(CRONOPLE!$F$15,$M21-$A$15,BH$13)=0,10^12,OFFSET(CRONOPLE!$F$15,$M21-$A$15,BH$13)))</f>
        <v>1000000000000</v>
      </c>
      <c r="BI21" s="171">
        <f ca="1">IF(OR($D21&lt;&gt;"Serviço",AND(AUTOEVENTO="Manual",$M21=$A$15)),0,
         IF(OFFSET(CRONOPLE!$F$15,$M21-$A$15,BI$13)=0,10^12,OFFSET(CRONOPLE!$F$15,$M21-$A$15,BI$13)))</f>
        <v>1000000000000</v>
      </c>
      <c r="BJ21" s="171">
        <f ca="1">IF(OR($D21&lt;&gt;"Serviço",AND(AUTOEVENTO="Manual",$M21=$A$15)),0,
         IF(OFFSET(CRONOPLE!$F$15,$M21-$A$15,BJ$13)=0,10^12,OFFSET(CRONOPLE!$F$15,$M21-$A$15,BJ$13)))</f>
        <v>1000000000000</v>
      </c>
      <c r="BK21" s="171">
        <f ca="1">IF(OR($D21&lt;&gt;"Serviço",AND(AUTOEVENTO="Manual",$M21=$A$15)),0,
         IF(OFFSET(CRONOPLE!$F$15,$M21-$A$15,BK$13)=0,10^12,OFFSET(CRONOPLE!$F$15,$M21-$A$15,BK$13)))</f>
        <v>1000000000000</v>
      </c>
      <c r="BL21" s="171">
        <f ca="1">IF(OR($D21&lt;&gt;"Serviço",AND(AUTOEVENTO="Manual",$M21=$A$15)),0,
         IF(OFFSET(CRONOPLE!$F$15,$M21-$A$15,BL$13)=0,10^12,OFFSET(CRONOPLE!$F$15,$M21-$A$15,BL$13)))</f>
        <v>1000000000000</v>
      </c>
      <c r="BM21" s="171">
        <f ca="1">IF(OR($D21&lt;&gt;"Serviço",AND(AUTOEVENTO="Manual",$M21=$A$15)),0,
         IF(OFFSET(CRONOPLE!$F$15,$M21-$A$15,BM$13)=0,10^12,OFFSET(CRONOPLE!$F$15,$M21-$A$15,BM$13)))</f>
        <v>1000000000000</v>
      </c>
      <c r="BN21" s="171">
        <f ca="1">IF(OR($D21&lt;&gt;"Serviço",AND(AUTOEVENTO="Manual",$M21=$A$15)),0,
         IF(OFFSET(CRONOPLE!$F$15,$M21-$A$15,BN$13)=0,10^12,OFFSET(CRONOPLE!$F$15,$M21-$A$15,BN$13)))</f>
        <v>1000000000000</v>
      </c>
      <c r="BO21" s="171">
        <f ca="1">IF(OR($D21&lt;&gt;"Serviço",AND(AUTOEVENTO="Manual",$M21=$A$15)),0,
         IF(OFFSET(CRONOPLE!$F$15,$M21-$A$15,BO$13)=0,10^12,OFFSET(CRONOPLE!$F$15,$M21-$A$15,BO$13)))</f>
        <v>1000000000000</v>
      </c>
      <c r="BP21" s="171">
        <f ca="1">IF(OR($D21&lt;&gt;"Serviço",AND(AUTOEVENTO="Manual",$M21=$A$15)),0,
         IF(OFFSET(CRONOPLE!$F$15,$M21-$A$15,BP$13)=0,10^12,OFFSET(CRONOPLE!$F$15,$M21-$A$15,BP$13)))</f>
        <v>1000000000000</v>
      </c>
      <c r="BQ21" s="171">
        <f ca="1">IF(OR($D21&lt;&gt;"Serviço",AND(AUTOEVENTO="Manual",$M21=$A$15)),0,
         IF(OFFSET(CRONOPLE!$F$15,$M21-$A$15,BQ$13)=0,10^12,OFFSET(CRONOPLE!$F$15,$M21-$A$15,BQ$13)))</f>
        <v>1000000000000</v>
      </c>
      <c r="BR21" s="171">
        <f ca="1">IF(OR($D21&lt;&gt;"Serviço",AND(AUTOEVENTO="Manual",$M21=$A$15)),0,
         IF(OFFSET(CRONOPLE!$F$15,$M21-$A$15,BR$13)=0,10^12,OFFSET(CRONOPLE!$F$15,$M21-$A$15,BR$13)))</f>
        <v>1000000000000</v>
      </c>
      <c r="BS21" s="171">
        <f ca="1">IF(OR($D21&lt;&gt;"Serviço",AND(AUTOEVENTO="Manual",$M21=$A$15)),0,
         IF(OFFSET(CRONOPLE!$F$15,$M21-$A$15,BS$13)=0,10^12,OFFSET(CRONOPLE!$F$15,$M21-$A$15,BS$13)))</f>
        <v>1000000000000</v>
      </c>
      <c r="BT21" s="171">
        <f ca="1">IF(OR($D21&lt;&gt;"Serviço",AND(AUTOEVENTO="Manual",$M21=$A$15)),0,
         IF(OFFSET(CRONOPLE!$F$15,$M21-$A$15,BT$13)=0,10^12,OFFSET(CRONOPLE!$F$15,$M21-$A$15,BT$13)))</f>
        <v>1000000000000</v>
      </c>
      <c r="BV21" s="172">
        <f t="array" aca="1" ref="BV21" ca="1">IF(OR($D21&lt;&gt;"Serviço",AND(AUTOEVENTO="Manual",$M21=$A$15),$M21&gt;(ROW(PLE.lastrow)-ROW(PLE.firstrow))),0,
           IF(OFFSET(PLE!$G$15,$M21-$A$15,BV$13)="",10^12,OFFSET(PLE!$G$15,$M21-$A$15,BV$13)))</f>
        <v>1000000000000</v>
      </c>
      <c r="BW21" s="172">
        <f t="array" aca="1" ref="BW21" ca="1">IF(OR($D21&lt;&gt;"Serviço",AND(AUTOEVENTO="Manual",$M21=$A$15),$M21&gt;(ROW(PLE.lastrow)-ROW(PLE.firstrow))),0,
           IF(OFFSET(PLE!$G$15,$M21-$A$15,BW$13)="",10^12,OFFSET(PLE!$G$15,$M21-$A$15,BW$13)))</f>
        <v>1000000000000</v>
      </c>
      <c r="BX21" s="172">
        <f t="array" aca="1" ref="BX21" ca="1">IF(OR($D21&lt;&gt;"Serviço",AND(AUTOEVENTO="Manual",$M21=$A$15),$M21&gt;(ROW(PLE.lastrow)-ROW(PLE.firstrow))),0,
           IF(OFFSET(PLE!$G$15,$M21-$A$15,BX$13)="",10^12,OFFSET(PLE!$G$15,$M21-$A$15,BX$13)))</f>
        <v>1000000000000</v>
      </c>
      <c r="BY21" s="172">
        <f t="array" aca="1" ref="BY21" ca="1">IF(OR($D21&lt;&gt;"Serviço",AND(AUTOEVENTO="Manual",$M21=$A$15),$M21&gt;(ROW(PLE.lastrow)-ROW(PLE.firstrow))),0,
           IF(OFFSET(PLE!$G$15,$M21-$A$15,BY$13)="",10^12,OFFSET(PLE!$G$15,$M21-$A$15,BY$13)))</f>
        <v>1000000000000</v>
      </c>
      <c r="BZ21" s="172">
        <f t="array" aca="1" ref="BZ21" ca="1">IF(OR($D21&lt;&gt;"Serviço",AND(AUTOEVENTO="Manual",$M21=$A$15),$M21&gt;(ROW(PLE.lastrow)-ROW(PLE.firstrow))),0,
           IF(OFFSET(PLE!$G$15,$M21-$A$15,BZ$13)="",10^12,OFFSET(PLE!$G$15,$M21-$A$15,BZ$13)))</f>
        <v>1000000000000</v>
      </c>
      <c r="CA21" s="172">
        <f t="array" aca="1" ref="CA21" ca="1">IF(OR($D21&lt;&gt;"Serviço",AND(AUTOEVENTO="Manual",$M21=$A$15),$M21&gt;(ROW(PLE.lastrow)-ROW(PLE.firstrow))),0,
           IF(OFFSET(PLE!$G$15,$M21-$A$15,CA$13)="",10^12,OFFSET(PLE!$G$15,$M21-$A$15,CA$13)))</f>
        <v>1000000000000</v>
      </c>
      <c r="CB21" s="172">
        <f t="array" aca="1" ref="CB21" ca="1">IF(OR($D21&lt;&gt;"Serviço",AND(AUTOEVENTO="Manual",$M21=$A$15),$M21&gt;(ROW(PLE.lastrow)-ROW(PLE.firstrow))),0,
           IF(OFFSET(PLE!$G$15,$M21-$A$15,CB$13)="",10^12,OFFSET(PLE!$G$15,$M21-$A$15,CB$13)))</f>
        <v>1000000000000</v>
      </c>
      <c r="CC21" s="172">
        <f t="array" aca="1" ref="CC21" ca="1">IF(OR($D21&lt;&gt;"Serviço",AND(AUTOEVENTO="Manual",$M21=$A$15),$M21&gt;(ROW(PLE.lastrow)-ROW(PLE.firstrow))),0,
           IF(OFFSET(PLE!$G$15,$M21-$A$15,CC$13)="",10^12,OFFSET(PLE!$G$15,$M21-$A$15,CC$13)))</f>
        <v>1000000000000</v>
      </c>
      <c r="CD21" s="172">
        <f t="array" aca="1" ref="CD21" ca="1">IF(OR($D21&lt;&gt;"Serviço",AND(AUTOEVENTO="Manual",$M21=$A$15),$M21&gt;(ROW(PLE.lastrow)-ROW(PLE.firstrow))),0,
           IF(OFFSET(PLE!$G$15,$M21-$A$15,CD$13)="",10^12,OFFSET(PLE!$G$15,$M21-$A$15,CD$13)))</f>
        <v>1000000000000</v>
      </c>
      <c r="CE21" s="172">
        <f t="array" aca="1" ref="CE21" ca="1">IF(OR($D21&lt;&gt;"Serviço",AND(AUTOEVENTO="Manual",$M21=$A$15),$M21&gt;(ROW(PLE.lastrow)-ROW(PLE.firstrow))),0,
           IF(OFFSET(PLE!$G$15,$M21-$A$15,CE$13)="",10^12,OFFSET(PLE!$G$15,$M21-$A$15,CE$13)))</f>
        <v>1000000000000</v>
      </c>
      <c r="CF21" s="172">
        <f t="array" aca="1" ref="CF21" ca="1">IF(OR($D21&lt;&gt;"Serviço",AND(AUTOEVENTO="Manual",$M21=$A$15),$M21&gt;(ROW(PLE.lastrow)-ROW(PLE.firstrow))),0,
           IF(OFFSET(PLE!$G$15,$M21-$A$15,CF$13)="",10^12,OFFSET(PLE!$G$15,$M21-$A$15,CF$13)))</f>
        <v>1000000000000</v>
      </c>
      <c r="CG21" s="172">
        <f t="array" aca="1" ref="CG21" ca="1">IF(OR($D21&lt;&gt;"Serviço",AND(AUTOEVENTO="Manual",$M21=$A$15),$M21&gt;(ROW(PLE.lastrow)-ROW(PLE.firstrow))),0,
           IF(OFFSET(PLE!$G$15,$M21-$A$15,CG$13)="",10^12,OFFSET(PLE!$G$15,$M21-$A$15,CG$13)))</f>
        <v>1000000000000</v>
      </c>
      <c r="CH21" s="172">
        <f t="array" aca="1" ref="CH21" ca="1">IF(OR($D21&lt;&gt;"Serviço",AND(AUTOEVENTO="Manual",$M21=$A$15),$M21&gt;(ROW(PLE.lastrow)-ROW(PLE.firstrow))),0,
           IF(OFFSET(PLE!$G$15,$M21-$A$15,CH$13)="",10^12,OFFSET(PLE!$G$15,$M21-$A$15,CH$13)))</f>
        <v>1000000000000</v>
      </c>
      <c r="CI21" s="172">
        <f t="array" aca="1" ref="CI21" ca="1">IF(OR($D21&lt;&gt;"Serviço",AND(AUTOEVENTO="Manual",$M21=$A$15),$M21&gt;(ROW(PLE.lastrow)-ROW(PLE.firstrow))),0,
           IF(OFFSET(PLE!$G$15,$M21-$A$15,CI$13)="",10^12,OFFSET(PLE!$G$15,$M21-$A$15,CI$13)))</f>
        <v>1000000000000</v>
      </c>
      <c r="CJ21" s="172">
        <f t="array" aca="1" ref="CJ21" ca="1">IF(OR($D21&lt;&gt;"Serviço",AND(AUTOEVENTO="Manual",$M21=$A$15),$M21&gt;(ROW(PLE.lastrow)-ROW(PLE.firstrow))),0,
           IF(OFFSET(PLE!$G$15,$M21-$A$15,CJ$13)="",10^12,OFFSET(PLE!$G$15,$M21-$A$15,CJ$13)))</f>
        <v>1000000000000</v>
      </c>
      <c r="CK21" s="172">
        <f t="array" aca="1" ref="CK21" ca="1">IF(OR($D21&lt;&gt;"Serviço",AND(AUTOEVENTO="Manual",$M21=$A$15),$M21&gt;(ROW(PLE.lastrow)-ROW(PLE.firstrow))),0,
           IF(OFFSET(PLE!$G$15,$M21-$A$15,CK$13)="",10^12,OFFSET(PLE!$G$15,$M21-$A$15,CK$13)))</f>
        <v>1000000000000</v>
      </c>
      <c r="CL21" s="172">
        <f t="array" aca="1" ref="CL21" ca="1">IF(OR($D21&lt;&gt;"Serviço",AND(AUTOEVENTO="Manual",$M21=$A$15),$M21&gt;(ROW(PLE.lastrow)-ROW(PLE.firstrow))),0,
           IF(OFFSET(PLE!$G$15,$M21-$A$15,CL$13)="",10^12,OFFSET(PLE!$G$15,$M21-$A$15,CL$13)))</f>
        <v>1000000000000</v>
      </c>
      <c r="CM21" s="172">
        <f t="array" aca="1" ref="CM21" ca="1">IF(OR($D21&lt;&gt;"Serviço",AND(AUTOEVENTO="Manual",$M21=$A$15),$M21&gt;(ROW(PLE.lastrow)-ROW(PLE.firstrow))),0,
           IF(OFFSET(PLE!$G$15,$M21-$A$15,CM$13)="",10^12,OFFSET(PLE!$G$15,$M21-$A$15,CM$13)))</f>
        <v>1000000000000</v>
      </c>
    </row>
    <row r="22" spans="1:91" s="706" customFormat="1" ht="114.75" x14ac:dyDescent="0.2">
      <c r="A22" s="703">
        <f ca="1">IFERROR(IF(AUTOEVENTO="Manual",IF(K22&lt;&gt;"",MIN(VALUE(LEFT(K22,FIND(".",K22)-1)),COUNTA(EVENTOS.Lista)),0),IF(OR($B22&gt;AUTOEVENTO,$B22="S",$B22=0),SUBSTITUTE(OFFSET($A22,-1,0),IF($D22="Serviço",".",""),""),$L22&amp;".")),0)</f>
        <v>1</v>
      </c>
      <c r="B22" s="703" t="str">
        <f ca="1">OFFSET(ORÇAMENTO!C$15,$L22,0)</f>
        <v>S</v>
      </c>
      <c r="C22" s="703" t="str">
        <f ca="1">OFFSET(ORÇAMENTO!L$15,$L22,0)</f>
        <v>F</v>
      </c>
      <c r="D22" s="116" t="str">
        <f ca="1">OFFSET(ORÇAMENTO!N$15,$L22,0)</f>
        <v>Serviço</v>
      </c>
      <c r="E22" s="117" t="str">
        <f ca="1">OFFSET(ORÇAMENTO!O$15,$L22,0)</f>
        <v>1.1.5.</v>
      </c>
      <c r="F22" s="163" t="str">
        <f ca="1">OFFSET(ORÇAMENTO!R$15,$L22,0)</f>
        <v>PROJETO EXECUTIVO DE INSTALAÇÕES ELÉTRICAS</v>
      </c>
      <c r="G22" s="164" t="str">
        <f ca="1">IF($D22&lt;&gt;"Serviço","",OFFSET(ORÇAMENTO!S$15,$L22,0))</f>
        <v>UN</v>
      </c>
      <c r="H22" s="122">
        <f t="array" aca="1" ref="H22" ca="1">IF($D22&lt;&gt;"Serviço",0,IF(ACOMPANHAMENTO="BM",ROUND(OFFSET(ORÇAMENTO!AJ$15,$L22,0),15-13*ORÇAMENTO!$AF$7),IF(IFERROR(CÁLCULO.FrentesPreenchidas,0)=0,0,SUM(ROUND(OFFSET($P22,0,1,1,CÁLCULO.FrentesPreenchidas),15-13*ORÇAMENTO!$AF$7)))))</f>
        <v>3</v>
      </c>
      <c r="I22" s="467" t="s">
        <v>1365</v>
      </c>
      <c r="J22" s="653" t="str">
        <f t="array" aca="1" ref="J22" ca="1">IF(OR(B22&lt;&gt;"S",CÁLCULO.FrentesPreenchidas=0),"",IF(AND(ACOMPANHAMENTO="PLE",AUTOEVENTO="Manual",OR(H22&gt;0,ORÇAMENTO!AC22="QUANT."),OR(K22="",M22=0,N22="")),"►E",IF(AND(ACOMPANHAMENTO="PLE",ORÇAMENTO!AC22="QUANT."),"►Q",IF(AND(ACOMPANHAMENTO="PLE",H22&lt;&gt;SUMPRODUCT(($Q$1:$AI$1=1)*ROUND(Q22:AI22,15))),"►S",IF(AND(COUNTIF($P$11:$AI$11,"▼")=0,H22&gt;0,I22=""),"◄M","")))))</f>
        <v/>
      </c>
      <c r="K22" s="654" t="s">
        <v>1379</v>
      </c>
      <c r="L22" s="165">
        <f ca="1">OFFSET(L22,-1,0)+1</f>
        <v>7</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SERVIÇOS TÉCNICOS (PROJETOS, ORÇAMENTOS, SONDAGENS E OUTROS)</v>
      </c>
      <c r="O22" s="168"/>
      <c r="Q22" s="168"/>
      <c r="R22" s="168"/>
      <c r="S22" s="168"/>
      <c r="T22" s="168"/>
      <c r="U22" s="168">
        <v>3</v>
      </c>
      <c r="V22" s="169"/>
      <c r="W22" s="169"/>
      <c r="X22" s="169"/>
      <c r="Y22" s="169"/>
      <c r="Z22" s="170"/>
      <c r="AA22" s="169"/>
      <c r="AB22" s="169"/>
      <c r="AC22" s="169"/>
      <c r="AD22" s="169"/>
      <c r="AE22" s="169"/>
      <c r="AF22" s="169"/>
      <c r="AG22" s="169"/>
      <c r="AH22" s="170"/>
      <c r="AJ22" s="452">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2">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L22" s="452">
        <f ca="1">IF(AND($D22="Serviço",AL$12&lt;&gt;0,$H22&gt;0,OR(AUTOEVENTO&lt;&gt;"manual",$M22&lt;&gt;$A$15)),
        IF(Import.TipoArredondamento&lt;&gt;"TransfereGOV",
              ROUND(OFFSET($P22,0,AL$13),15-13*ORÇAMENTO!$AF$7)/$H22*OFFSET(ORÇAMENTO!$X$15,ROW(AL22)-ROW(AL$15),0),
              ROUND(ROUND(OFFSET($P22,0,AL$13),15-13*ORÇAMENTO!$AF$7)*OFFSET(ORÇAMENTO!$W$15,ROW(AL22)-ROW(AL$15),0),15-13*ORÇAMENTO!$AF$11)),
         0)</f>
        <v>0</v>
      </c>
      <c r="AM22" s="452">
        <f ca="1">IF(AND($D22="Serviço",AM$12&lt;&gt;0,$H22&gt;0,OR(AUTOEVENTO&lt;&gt;"manual",$M22&lt;&gt;$A$15)),
        IF(Import.TipoArredondamento&lt;&gt;"TransfereGOV",
              ROUND(OFFSET($P22,0,AM$13),15-13*ORÇAMENTO!$AF$7)/$H22*OFFSET(ORÇAMENTO!$X$15,ROW(AM22)-ROW(AM$15),0),
              ROUND(ROUND(OFFSET($P22,0,AM$13),15-13*ORÇAMENTO!$AF$7)*OFFSET(ORÇAMENTO!$W$15,ROW(AM22)-ROW(AM$15),0),15-13*ORÇAMENTO!$AF$11)),
         0)</f>
        <v>0</v>
      </c>
      <c r="AN22" s="452">
        <f ca="1">IF(AND($D22="Serviço",AN$12&lt;&gt;0,$H22&gt;0,OR(AUTOEVENTO&lt;&gt;"manual",$M22&lt;&gt;$A$15)),
        IF(Import.TipoArredondamento&lt;&gt;"TransfereGOV",
              ROUND(OFFSET($P22,0,AN$13),15-13*ORÇAMENTO!$AF$7)/$H22*OFFSET(ORÇAMENTO!$X$15,ROW(AN22)-ROW(AN$15),0),
              ROUND(ROUND(OFFSET($P22,0,AN$13),15-13*ORÇAMENTO!$AF$7)*OFFSET(ORÇAMENTO!$W$15,ROW(AN22)-ROW(AN$15),0),15-13*ORÇAMENTO!$AF$11)),
         0)</f>
        <v>6597.75</v>
      </c>
      <c r="AO22" s="452">
        <f ca="1">IF(AND($D22="Serviço",AO$12&lt;&gt;0,$H22&gt;0,OR(AUTOEVENTO&lt;&gt;"manual",$M22&lt;&gt;$A$15)),
        IF(Import.TipoArredondamento&lt;&gt;"TransfereGOV",
              ROUND(OFFSET($P22,0,AO$13),15-13*ORÇAMENTO!$AF$7)/$H22*OFFSET(ORÇAMENTO!$X$15,ROW(AO22)-ROW(AO$15),0),
              ROUND(ROUND(OFFSET($P22,0,AO$13),15-13*ORÇAMENTO!$AF$7)*OFFSET(ORÇAMENTO!$W$15,ROW(AO22)-ROW(AO$15),0),15-13*ORÇAMENTO!$AF$11)),
         0)</f>
        <v>0</v>
      </c>
      <c r="AP22" s="452">
        <f ca="1">IF(AND($D22="Serviço",AP$12&lt;&gt;0,$H22&gt;0,OR(AUTOEVENTO&lt;&gt;"manual",$M22&lt;&gt;$A$15)),
        IF(Import.TipoArredondamento&lt;&gt;"TransfereGOV",
              ROUND(OFFSET($P22,0,AP$13),15-13*ORÇAMENTO!$AF$7)/$H22*OFFSET(ORÇAMENTO!$X$15,ROW(AP22)-ROW(AP$15),0),
              ROUND(ROUND(OFFSET($P22,0,AP$13),15-13*ORÇAMENTO!$AF$7)*OFFSET(ORÇAMENTO!$W$15,ROW(AP22)-ROW(AP$15),0),15-13*ORÇAMENTO!$AF$11)),
         0)</f>
        <v>0</v>
      </c>
      <c r="AQ22" s="452">
        <f ca="1">IF(AND($D22="Serviço",AQ$12&lt;&gt;0,$H22&gt;0,OR(AUTOEVENTO&lt;&gt;"manual",$M22&lt;&gt;$A$15)),
        IF(Import.TipoArredondamento&lt;&gt;"TransfereGOV",
              ROUND(OFFSET($P22,0,AQ$13),15-13*ORÇAMENTO!$AF$7)/$H22*OFFSET(ORÇAMENTO!$X$15,ROW(AQ22)-ROW(AQ$15),0),
              ROUND(ROUND(OFFSET($P22,0,AQ$13),15-13*ORÇAMENTO!$AF$7)*OFFSET(ORÇAMENTO!$W$15,ROW(AQ22)-ROW(AQ$15),0),15-13*ORÇAMENTO!$AF$11)),
         0)</f>
        <v>0</v>
      </c>
      <c r="AR22" s="452">
        <f ca="1">IF(AND($D22="Serviço",AR$12&lt;&gt;0,$H22&gt;0,OR(AUTOEVENTO&lt;&gt;"manual",$M22&lt;&gt;$A$15)),
        IF(Import.TipoArredondamento&lt;&gt;"TransfereGOV",
              ROUND(OFFSET($P22,0,AR$13),15-13*ORÇAMENTO!$AF$7)/$H22*OFFSET(ORÇAMENTO!$X$15,ROW(AR22)-ROW(AR$15),0),
              ROUND(ROUND(OFFSET($P22,0,AR$13),15-13*ORÇAMENTO!$AF$7)*OFFSET(ORÇAMENTO!$W$15,ROW(AR22)-ROW(AR$15),0),15-13*ORÇAMENTO!$AF$11)),
         0)</f>
        <v>0</v>
      </c>
      <c r="AS22" s="452">
        <f ca="1">IF(AND($D22="Serviço",AS$12&lt;&gt;0,$H22&gt;0,OR(AUTOEVENTO&lt;&gt;"manual",$M22&lt;&gt;$A$15)),
        IF(Import.TipoArredondamento&lt;&gt;"TransfereGOV",
              ROUND(OFFSET($P22,0,AS$13),15-13*ORÇAMENTO!$AF$7)/$H22*OFFSET(ORÇAMENTO!$X$15,ROW(AS22)-ROW(AS$15),0),
              ROUND(ROUND(OFFSET($P22,0,AS$13),15-13*ORÇAMENTO!$AF$7)*OFFSET(ORÇAMENTO!$W$15,ROW(AS22)-ROW(AS$15),0),15-13*ORÇAMENTO!$AF$11)),
         0)</f>
        <v>0</v>
      </c>
      <c r="AT22" s="452">
        <f ca="1">IF(AND($D22="Serviço",AT$12&lt;&gt;0,$H22&gt;0,OR(AUTOEVENTO&lt;&gt;"manual",$M22&lt;&gt;$A$15)),
        IF(Import.TipoArredondamento&lt;&gt;"TransfereGOV",
              ROUND(OFFSET($P22,0,AT$13),15-13*ORÇAMENTO!$AF$7)/$H22*OFFSET(ORÇAMENTO!$X$15,ROW(AT22)-ROW(AT$15),0),
              ROUND(ROUND(OFFSET($P22,0,AT$13),15-13*ORÇAMENTO!$AF$7)*OFFSET(ORÇAMENTO!$W$15,ROW(AT22)-ROW(AT$15),0),15-13*ORÇAMENTO!$AF$11)),
         0)</f>
        <v>0</v>
      </c>
      <c r="AU22" s="452">
        <f ca="1">IF(AND($D22="Serviço",AU$12&lt;&gt;0,$H22&gt;0,OR(AUTOEVENTO&lt;&gt;"manual",$M22&lt;&gt;$A$15)),
        IF(Import.TipoArredondamento&lt;&gt;"TransfereGOV",
              ROUND(OFFSET($P22,0,AU$13),15-13*ORÇAMENTO!$AF$7)/$H22*OFFSET(ORÇAMENTO!$X$15,ROW(AU22)-ROW(AU$15),0),
              ROUND(ROUND(OFFSET($P22,0,AU$13),15-13*ORÇAMENTO!$AF$7)*OFFSET(ORÇAMENTO!$W$15,ROW(AU22)-ROW(AU$15),0),15-13*ORÇAMENTO!$AF$11)),
         0)</f>
        <v>0</v>
      </c>
      <c r="AV22" s="452">
        <f ca="1">IF(AND($D22="Serviço",AV$12&lt;&gt;0,$H22&gt;0,OR(AUTOEVENTO&lt;&gt;"manual",$M22&lt;&gt;$A$15)),
        IF(Import.TipoArredondamento&lt;&gt;"TransfereGOV",
              ROUND(OFFSET($P22,0,AV$13),15-13*ORÇAMENTO!$AF$7)/$H22*OFFSET(ORÇAMENTO!$X$15,ROW(AV22)-ROW(AV$15),0),
              ROUND(ROUND(OFFSET($P22,0,AV$13),15-13*ORÇAMENTO!$AF$7)*OFFSET(ORÇAMENTO!$W$15,ROW(AV22)-ROW(AV$15),0),15-13*ORÇAMENTO!$AF$11)),
         0)</f>
        <v>0</v>
      </c>
      <c r="AW22" s="452">
        <f ca="1">IF(AND($D22="Serviço",AW$12&lt;&gt;0,$H22&gt;0,OR(AUTOEVENTO&lt;&gt;"manual",$M22&lt;&gt;$A$15)),
        IF(Import.TipoArredondamento&lt;&gt;"TransfereGOV",
              ROUND(OFFSET($P22,0,AW$13),15-13*ORÇAMENTO!$AF$7)/$H22*OFFSET(ORÇAMENTO!$X$15,ROW(AW22)-ROW(AW$15),0),
              ROUND(ROUND(OFFSET($P22,0,AW$13),15-13*ORÇAMENTO!$AF$7)*OFFSET(ORÇAMENTO!$W$15,ROW(AW22)-ROW(AW$15),0),15-13*ORÇAMENTO!$AF$11)),
         0)</f>
        <v>0</v>
      </c>
      <c r="AX22" s="452">
        <f ca="1">IF(AND($D22="Serviço",AX$12&lt;&gt;0,$H22&gt;0,OR(AUTOEVENTO&lt;&gt;"manual",$M22&lt;&gt;$A$15)),
        IF(Import.TipoArredondamento&lt;&gt;"TransfereGOV",
              ROUND(OFFSET($P22,0,AX$13),15-13*ORÇAMENTO!$AF$7)/$H22*OFFSET(ORÇAMENTO!$X$15,ROW(AX22)-ROW(AX$15),0),
              ROUND(ROUND(OFFSET($P22,0,AX$13),15-13*ORÇAMENTO!$AF$7)*OFFSET(ORÇAMENTO!$W$15,ROW(AX22)-ROW(AX$15),0),15-13*ORÇAMENTO!$AF$11)),
         0)</f>
        <v>0</v>
      </c>
      <c r="AY22" s="452">
        <f ca="1">IF(AND($D22="Serviço",AY$12&lt;&gt;0,$H22&gt;0,OR(AUTOEVENTO&lt;&gt;"manual",$M22&lt;&gt;$A$15)),
        IF(Import.TipoArredondamento&lt;&gt;"TransfereGOV",
              ROUND(OFFSET($P22,0,AY$13),15-13*ORÇAMENTO!$AF$7)/$H22*OFFSET(ORÇAMENTO!$X$15,ROW(AY22)-ROW(AY$15),0),
              ROUND(ROUND(OFFSET($P22,0,AY$13),15-13*ORÇAMENTO!$AF$7)*OFFSET(ORÇAMENTO!$W$15,ROW(AY22)-ROW(AY$15),0),15-13*ORÇAMENTO!$AF$11)),
         0)</f>
        <v>0</v>
      </c>
      <c r="AZ22" s="452">
        <f ca="1">IF(AND($D22="Serviço",AZ$12&lt;&gt;0,$H22&gt;0,OR(AUTOEVENTO&lt;&gt;"manual",$M22&lt;&gt;$A$15)),
        IF(Import.TipoArredondamento&lt;&gt;"TransfereGOV",
              ROUND(OFFSET($P22,0,AZ$13),15-13*ORÇAMENTO!$AF$7)/$H22*OFFSET(ORÇAMENTO!$X$15,ROW(AZ22)-ROW(AZ$15),0),
              ROUND(ROUND(OFFSET($P22,0,AZ$13),15-13*ORÇAMENTO!$AF$7)*OFFSET(ORÇAMENTO!$W$15,ROW(AZ22)-ROW(AZ$15),0),15-13*ORÇAMENTO!$AF$11)),
         0)</f>
        <v>0</v>
      </c>
      <c r="BA22" s="452">
        <f ca="1">IF(AND($D22="Serviço",BA$12&lt;&gt;0,$H22&gt;0,OR(AUTOEVENTO&lt;&gt;"manual",$M22&lt;&gt;$A$15)),
        IF(Import.TipoArredondamento&lt;&gt;"TransfereGOV",
              ROUND(OFFSET($P22,0,BA$13),15-13*ORÇAMENTO!$AF$7)/$H22*OFFSET(ORÇAMENTO!$X$15,ROW(BA22)-ROW(BA$15),0),
              ROUND(ROUND(OFFSET($P22,0,BA$13),15-13*ORÇAMENTO!$AF$7)*OFFSET(ORÇAMENTO!$W$15,ROW(BA22)-ROW(BA$15),0),15-13*ORÇAMENTO!$AF$11)),
         0)</f>
        <v>0</v>
      </c>
      <c r="BC22" s="171">
        <f ca="1">IF(OR($D22&lt;&gt;"Serviço",AND(AUTOEVENTO="Manual",$M22=$A$15)),0,
         IF(OFFSET(CRONOPLE!$F$15,$M22-$A$15,BC$13)=0,10^12,OFFSET(CRONOPLE!$F$15,$M22-$A$15,BC$13)))</f>
        <v>1</v>
      </c>
      <c r="BD22" s="171">
        <f ca="1">IF(OR($D22&lt;&gt;"Serviço",AND(AUTOEVENTO="Manual",$M22=$A$15)),0,
         IF(OFFSET(CRONOPLE!$F$15,$M22-$A$15,BD$13)=0,10^12,OFFSET(CRONOPLE!$F$15,$M22-$A$15,BD$13)))</f>
        <v>1000000000000</v>
      </c>
      <c r="BE22" s="171">
        <f ca="1">IF(OR($D22&lt;&gt;"Serviço",AND(AUTOEVENTO="Manual",$M22=$A$15)),0,
         IF(OFFSET(CRONOPLE!$F$15,$M22-$A$15,BE$13)=0,10^12,OFFSET(CRONOPLE!$F$15,$M22-$A$15,BE$13)))</f>
        <v>1000000000000</v>
      </c>
      <c r="BF22" s="171">
        <f ca="1">IF(OR($D22&lt;&gt;"Serviço",AND(AUTOEVENTO="Manual",$M22=$A$15)),0,
         IF(OFFSET(CRONOPLE!$F$15,$M22-$A$15,BF$13)=0,10^12,OFFSET(CRONOPLE!$F$15,$M22-$A$15,BF$13)))</f>
        <v>1000000000000</v>
      </c>
      <c r="BG22" s="171">
        <f ca="1">IF(OR($D22&lt;&gt;"Serviço",AND(AUTOEVENTO="Manual",$M22=$A$15)),0,
         IF(OFFSET(CRONOPLE!$F$15,$M22-$A$15,BG$13)=0,10^12,OFFSET(CRONOPLE!$F$15,$M22-$A$15,BG$13)))</f>
        <v>1</v>
      </c>
      <c r="BH22" s="171">
        <f ca="1">IF(OR($D22&lt;&gt;"Serviço",AND(AUTOEVENTO="Manual",$M22=$A$15)),0,
         IF(OFFSET(CRONOPLE!$F$15,$M22-$A$15,BH$13)=0,10^12,OFFSET(CRONOPLE!$F$15,$M22-$A$15,BH$13)))</f>
        <v>1000000000000</v>
      </c>
      <c r="BI22" s="171">
        <f ca="1">IF(OR($D22&lt;&gt;"Serviço",AND(AUTOEVENTO="Manual",$M22=$A$15)),0,
         IF(OFFSET(CRONOPLE!$F$15,$M22-$A$15,BI$13)=0,10^12,OFFSET(CRONOPLE!$F$15,$M22-$A$15,BI$13)))</f>
        <v>1000000000000</v>
      </c>
      <c r="BJ22" s="171">
        <f ca="1">IF(OR($D22&lt;&gt;"Serviço",AND(AUTOEVENTO="Manual",$M22=$A$15)),0,
         IF(OFFSET(CRONOPLE!$F$15,$M22-$A$15,BJ$13)=0,10^12,OFFSET(CRONOPLE!$F$15,$M22-$A$15,BJ$13)))</f>
        <v>1000000000000</v>
      </c>
      <c r="BK22" s="171">
        <f ca="1">IF(OR($D22&lt;&gt;"Serviço",AND(AUTOEVENTO="Manual",$M22=$A$15)),0,
         IF(OFFSET(CRONOPLE!$F$15,$M22-$A$15,BK$13)=0,10^12,OFFSET(CRONOPLE!$F$15,$M22-$A$15,BK$13)))</f>
        <v>1000000000000</v>
      </c>
      <c r="BL22" s="171">
        <f ca="1">IF(OR($D22&lt;&gt;"Serviço",AND(AUTOEVENTO="Manual",$M22=$A$15)),0,
         IF(OFFSET(CRONOPLE!$F$15,$M22-$A$15,BL$13)=0,10^12,OFFSET(CRONOPLE!$F$15,$M22-$A$15,BL$13)))</f>
        <v>1000000000000</v>
      </c>
      <c r="BM22" s="171">
        <f ca="1">IF(OR($D22&lt;&gt;"Serviço",AND(AUTOEVENTO="Manual",$M22=$A$15)),0,
         IF(OFFSET(CRONOPLE!$F$15,$M22-$A$15,BM$13)=0,10^12,OFFSET(CRONOPLE!$F$15,$M22-$A$15,BM$13)))</f>
        <v>1000000000000</v>
      </c>
      <c r="BN22" s="171">
        <f ca="1">IF(OR($D22&lt;&gt;"Serviço",AND(AUTOEVENTO="Manual",$M22=$A$15)),0,
         IF(OFFSET(CRONOPLE!$F$15,$M22-$A$15,BN$13)=0,10^12,OFFSET(CRONOPLE!$F$15,$M22-$A$15,BN$13)))</f>
        <v>1000000000000</v>
      </c>
      <c r="BO22" s="171">
        <f ca="1">IF(OR($D22&lt;&gt;"Serviço",AND(AUTOEVENTO="Manual",$M22=$A$15)),0,
         IF(OFFSET(CRONOPLE!$F$15,$M22-$A$15,BO$13)=0,10^12,OFFSET(CRONOPLE!$F$15,$M22-$A$15,BO$13)))</f>
        <v>1000000000000</v>
      </c>
      <c r="BP22" s="171">
        <f ca="1">IF(OR($D22&lt;&gt;"Serviço",AND(AUTOEVENTO="Manual",$M22=$A$15)),0,
         IF(OFFSET(CRONOPLE!$F$15,$M22-$A$15,BP$13)=0,10^12,OFFSET(CRONOPLE!$F$15,$M22-$A$15,BP$13)))</f>
        <v>1000000000000</v>
      </c>
      <c r="BQ22" s="171">
        <f ca="1">IF(OR($D22&lt;&gt;"Serviço",AND(AUTOEVENTO="Manual",$M22=$A$15)),0,
         IF(OFFSET(CRONOPLE!$F$15,$M22-$A$15,BQ$13)=0,10^12,OFFSET(CRONOPLE!$F$15,$M22-$A$15,BQ$13)))</f>
        <v>1000000000000</v>
      </c>
      <c r="BR22" s="171">
        <f ca="1">IF(OR($D22&lt;&gt;"Serviço",AND(AUTOEVENTO="Manual",$M22=$A$15)),0,
         IF(OFFSET(CRONOPLE!$F$15,$M22-$A$15,BR$13)=0,10^12,OFFSET(CRONOPLE!$F$15,$M22-$A$15,BR$13)))</f>
        <v>1000000000000</v>
      </c>
      <c r="BS22" s="171">
        <f ca="1">IF(OR($D22&lt;&gt;"Serviço",AND(AUTOEVENTO="Manual",$M22=$A$15)),0,
         IF(OFFSET(CRONOPLE!$F$15,$M22-$A$15,BS$13)=0,10^12,OFFSET(CRONOPLE!$F$15,$M22-$A$15,BS$13)))</f>
        <v>1000000000000</v>
      </c>
      <c r="BT22" s="171">
        <f ca="1">IF(OR($D22&lt;&gt;"Serviço",AND(AUTOEVENTO="Manual",$M22=$A$15)),0,
         IF(OFFSET(CRONOPLE!$F$15,$M22-$A$15,BT$13)=0,10^12,OFFSET(CRONOPLE!$F$15,$M22-$A$15,BT$13)))</f>
        <v>1000000000000</v>
      </c>
      <c r="BV22" s="172">
        <f t="array" aca="1" ref="BV22" ca="1">IF(OR($D22&lt;&gt;"Serviço",AND(AUTOEVENTO="Manual",$M22=$A$15),$M22&gt;(ROW(PLE.lastrow)-ROW(PLE.firstrow))),0,
           IF(OFFSET(PLE!$G$15,$M22-$A$15,BV$13)="",10^12,OFFSET(PLE!$G$15,$M22-$A$15,BV$13)))</f>
        <v>1000000000000</v>
      </c>
      <c r="BW22" s="172">
        <f t="array" aca="1" ref="BW22" ca="1">IF(OR($D22&lt;&gt;"Serviço",AND(AUTOEVENTO="Manual",$M22=$A$15),$M22&gt;(ROW(PLE.lastrow)-ROW(PLE.firstrow))),0,
           IF(OFFSET(PLE!$G$15,$M22-$A$15,BW$13)="",10^12,OFFSET(PLE!$G$15,$M22-$A$15,BW$13)))</f>
        <v>1000000000000</v>
      </c>
      <c r="BX22" s="172">
        <f t="array" aca="1" ref="BX22" ca="1">IF(OR($D22&lt;&gt;"Serviço",AND(AUTOEVENTO="Manual",$M22=$A$15),$M22&gt;(ROW(PLE.lastrow)-ROW(PLE.firstrow))),0,
           IF(OFFSET(PLE!$G$15,$M22-$A$15,BX$13)="",10^12,OFFSET(PLE!$G$15,$M22-$A$15,BX$13)))</f>
        <v>1000000000000</v>
      </c>
      <c r="BY22" s="172">
        <f t="array" aca="1" ref="BY22" ca="1">IF(OR($D22&lt;&gt;"Serviço",AND(AUTOEVENTO="Manual",$M22=$A$15),$M22&gt;(ROW(PLE.lastrow)-ROW(PLE.firstrow))),0,
           IF(OFFSET(PLE!$G$15,$M22-$A$15,BY$13)="",10^12,OFFSET(PLE!$G$15,$M22-$A$15,BY$13)))</f>
        <v>1000000000000</v>
      </c>
      <c r="BZ22" s="172">
        <f t="array" aca="1" ref="BZ22" ca="1">IF(OR($D22&lt;&gt;"Serviço",AND(AUTOEVENTO="Manual",$M22=$A$15),$M22&gt;(ROW(PLE.lastrow)-ROW(PLE.firstrow))),0,
           IF(OFFSET(PLE!$G$15,$M22-$A$15,BZ$13)="",10^12,OFFSET(PLE!$G$15,$M22-$A$15,BZ$13)))</f>
        <v>1000000000000</v>
      </c>
      <c r="CA22" s="172">
        <f t="array" aca="1" ref="CA22" ca="1">IF(OR($D22&lt;&gt;"Serviço",AND(AUTOEVENTO="Manual",$M22=$A$15),$M22&gt;(ROW(PLE.lastrow)-ROW(PLE.firstrow))),0,
           IF(OFFSET(PLE!$G$15,$M22-$A$15,CA$13)="",10^12,OFFSET(PLE!$G$15,$M22-$A$15,CA$13)))</f>
        <v>1000000000000</v>
      </c>
      <c r="CB22" s="172">
        <f t="array" aca="1" ref="CB22" ca="1">IF(OR($D22&lt;&gt;"Serviço",AND(AUTOEVENTO="Manual",$M22=$A$15),$M22&gt;(ROW(PLE.lastrow)-ROW(PLE.firstrow))),0,
           IF(OFFSET(PLE!$G$15,$M22-$A$15,CB$13)="",10^12,OFFSET(PLE!$G$15,$M22-$A$15,CB$13)))</f>
        <v>1000000000000</v>
      </c>
      <c r="CC22" s="172">
        <f t="array" aca="1" ref="CC22" ca="1">IF(OR($D22&lt;&gt;"Serviço",AND(AUTOEVENTO="Manual",$M22=$A$15),$M22&gt;(ROW(PLE.lastrow)-ROW(PLE.firstrow))),0,
           IF(OFFSET(PLE!$G$15,$M22-$A$15,CC$13)="",10^12,OFFSET(PLE!$G$15,$M22-$A$15,CC$13)))</f>
        <v>1000000000000</v>
      </c>
      <c r="CD22" s="172">
        <f t="array" aca="1" ref="CD22" ca="1">IF(OR($D22&lt;&gt;"Serviço",AND(AUTOEVENTO="Manual",$M22=$A$15),$M22&gt;(ROW(PLE.lastrow)-ROW(PLE.firstrow))),0,
           IF(OFFSET(PLE!$G$15,$M22-$A$15,CD$13)="",10^12,OFFSET(PLE!$G$15,$M22-$A$15,CD$13)))</f>
        <v>1000000000000</v>
      </c>
      <c r="CE22" s="172">
        <f t="array" aca="1" ref="CE22" ca="1">IF(OR($D22&lt;&gt;"Serviço",AND(AUTOEVENTO="Manual",$M22=$A$15),$M22&gt;(ROW(PLE.lastrow)-ROW(PLE.firstrow))),0,
           IF(OFFSET(PLE!$G$15,$M22-$A$15,CE$13)="",10^12,OFFSET(PLE!$G$15,$M22-$A$15,CE$13)))</f>
        <v>1000000000000</v>
      </c>
      <c r="CF22" s="172">
        <f t="array" aca="1" ref="CF22" ca="1">IF(OR($D22&lt;&gt;"Serviço",AND(AUTOEVENTO="Manual",$M22=$A$15),$M22&gt;(ROW(PLE.lastrow)-ROW(PLE.firstrow))),0,
           IF(OFFSET(PLE!$G$15,$M22-$A$15,CF$13)="",10^12,OFFSET(PLE!$G$15,$M22-$A$15,CF$13)))</f>
        <v>1000000000000</v>
      </c>
      <c r="CG22" s="172">
        <f t="array" aca="1" ref="CG22" ca="1">IF(OR($D22&lt;&gt;"Serviço",AND(AUTOEVENTO="Manual",$M22=$A$15),$M22&gt;(ROW(PLE.lastrow)-ROW(PLE.firstrow))),0,
           IF(OFFSET(PLE!$G$15,$M22-$A$15,CG$13)="",10^12,OFFSET(PLE!$G$15,$M22-$A$15,CG$13)))</f>
        <v>1000000000000</v>
      </c>
      <c r="CH22" s="172">
        <f t="array" aca="1" ref="CH22" ca="1">IF(OR($D22&lt;&gt;"Serviço",AND(AUTOEVENTO="Manual",$M22=$A$15),$M22&gt;(ROW(PLE.lastrow)-ROW(PLE.firstrow))),0,
           IF(OFFSET(PLE!$G$15,$M22-$A$15,CH$13)="",10^12,OFFSET(PLE!$G$15,$M22-$A$15,CH$13)))</f>
        <v>1000000000000</v>
      </c>
      <c r="CI22" s="172">
        <f t="array" aca="1" ref="CI22" ca="1">IF(OR($D22&lt;&gt;"Serviço",AND(AUTOEVENTO="Manual",$M22=$A$15),$M22&gt;(ROW(PLE.lastrow)-ROW(PLE.firstrow))),0,
           IF(OFFSET(PLE!$G$15,$M22-$A$15,CI$13)="",10^12,OFFSET(PLE!$G$15,$M22-$A$15,CI$13)))</f>
        <v>1000000000000</v>
      </c>
      <c r="CJ22" s="172">
        <f t="array" aca="1" ref="CJ22" ca="1">IF(OR($D22&lt;&gt;"Serviço",AND(AUTOEVENTO="Manual",$M22=$A$15),$M22&gt;(ROW(PLE.lastrow)-ROW(PLE.firstrow))),0,
           IF(OFFSET(PLE!$G$15,$M22-$A$15,CJ$13)="",10^12,OFFSET(PLE!$G$15,$M22-$A$15,CJ$13)))</f>
        <v>1000000000000</v>
      </c>
      <c r="CK22" s="172">
        <f t="array" aca="1" ref="CK22" ca="1">IF(OR($D22&lt;&gt;"Serviço",AND(AUTOEVENTO="Manual",$M22=$A$15),$M22&gt;(ROW(PLE.lastrow)-ROW(PLE.firstrow))),0,
           IF(OFFSET(PLE!$G$15,$M22-$A$15,CK$13)="",10^12,OFFSET(PLE!$G$15,$M22-$A$15,CK$13)))</f>
        <v>1000000000000</v>
      </c>
      <c r="CL22" s="172">
        <f t="array" aca="1" ref="CL22" ca="1">IF(OR($D22&lt;&gt;"Serviço",AND(AUTOEVENTO="Manual",$M22=$A$15),$M22&gt;(ROW(PLE.lastrow)-ROW(PLE.firstrow))),0,
           IF(OFFSET(PLE!$G$15,$M22-$A$15,CL$13)="",10^12,OFFSET(PLE!$G$15,$M22-$A$15,CL$13)))</f>
        <v>1000000000000</v>
      </c>
      <c r="CM22" s="172">
        <f t="array" aca="1" ref="CM22" ca="1">IF(OR($D22&lt;&gt;"Serviço",AND(AUTOEVENTO="Manual",$M22=$A$15),$M22&gt;(ROW(PLE.lastrow)-ROW(PLE.firstrow))),0,
           IF(OFFSET(PLE!$G$15,$M22-$A$15,CM$13)="",10^12,OFFSET(PLE!$G$15,$M22-$A$15,CM$13)))</f>
        <v>1000000000000</v>
      </c>
    </row>
    <row r="23" spans="1:91" s="696" customFormat="1" ht="12.75" x14ac:dyDescent="0.2">
      <c r="A23" s="694">
        <f t="shared" ca="1" si="10"/>
        <v>0</v>
      </c>
      <c r="B23" s="694">
        <f ca="1">OFFSET(ORÇAMENTO!C$15,$L23,0)</f>
        <v>2</v>
      </c>
      <c r="C23" s="694" t="str">
        <f ca="1">OFFSET(ORÇAMENTO!L$15,$L23,0)</f>
        <v>F</v>
      </c>
      <c r="D23" s="116" t="str">
        <f ca="1">OFFSET(ORÇAMENTO!N$15,$L23,0)</f>
        <v>Nível 2</v>
      </c>
      <c r="E23" s="117" t="str">
        <f ca="1">OFFSET(ORÇAMENTO!O$15,$L23,0)</f>
        <v>1.2.</v>
      </c>
      <c r="F23" s="163" t="str">
        <f ca="1">OFFSET(ORÇAMENTO!R$15,$L23,0)</f>
        <v>SERVIÇOS INICIAIS GERAIS</v>
      </c>
      <c r="G23" s="164" t="str">
        <f ca="1">IF($D23&lt;&gt;"Serviço","",OFFSET(ORÇAMENTO!S$15,$L23,0))</f>
        <v/>
      </c>
      <c r="H23" s="122">
        <f t="array" aca="1" ref="H23" ca="1">IF($D23&lt;&gt;"Serviço",0,IF(ACOMPANHAMENTO="BM",ROUND(OFFSET(ORÇAMENTO!AJ$15,$L23,0),15-13*ORÇAMENTO!$AF$7),IF(IFERROR(CÁLCULO.FrentesPreenchidas,0)=0,0,SUM(ROUND(OFFSET($P23,0,1,1,CÁLCULO.FrentesPreenchidas),15-13*ORÇAMENTO!$AF$7)))))</f>
        <v>0</v>
      </c>
      <c r="I23" s="467"/>
      <c r="J23" s="653" t="str">
        <f t="array" aca="1" ref="J23" ca="1">IF(OR(B23&lt;&gt;"S",CÁLCULO.FrentesPreenchidas=0),"",IF(AND(ACOMPANHAMENTO="PLE",AUTOEVENTO="Manual",OR(H23&gt;0,ORÇAMENTO!AC23="QUANT."),OR(K23="",M23=0,N23="")),"►E",IF(AND(ACOMPANHAMENTO="PLE",ORÇAMENTO!AC23="QUANT."),"►Q",IF(AND(ACOMPANHAMENTO="PLE",H23&lt;&gt;SUMPRODUCT(($Q$1:$AI$1=1)*ROUND(Q23:AI23,15))),"►S",IF(AND(COUNTIF($P$11:$AI$11,"▼")=0,H23&gt;0,I23=""),"◄M","")))))</f>
        <v/>
      </c>
      <c r="K23" s="654"/>
      <c r="L23" s="165">
        <f t="shared" ca="1" si="11"/>
        <v>8</v>
      </c>
      <c r="M23" s="166" t="str">
        <f ca="1">IF($D23&lt;&gt;"Serviço","",
          IF(AUTOEVENTO="manual",$A23,
                IF(ISERROR(MATCH($A23,$A$15:OFFSET($A23,-1,0),0)),MAX($M$15:OFFSET(M23,-1,0))+1,
                      INDEX($M$15:OFFSET(M23,-1,0),MATCH($A23,$A$15:OFFSET($A23,-1,0),0)))))</f>
        <v/>
      </c>
      <c r="N23" s="167" t="str">
        <f ca="1">IF($D23&lt;&gt;"Serviço","",
         IF(AUTOEVENTO="Manual",
                IF($A23=0,"&lt;-- defina o número do agrupador",
                       OFFSET(EVENTOS!$D$15,$A23-$A$15,0)),
                OFFSET($F$15,$A23,0)))</f>
        <v/>
      </c>
      <c r="O23" s="168"/>
      <c r="Q23" s="168"/>
      <c r="R23" s="169"/>
      <c r="S23" s="169"/>
      <c r="T23" s="169"/>
      <c r="U23" s="169"/>
      <c r="V23" s="169"/>
      <c r="W23" s="169"/>
      <c r="X23" s="169"/>
      <c r="Y23" s="169"/>
      <c r="Z23" s="170"/>
      <c r="AA23" s="169"/>
      <c r="AB23" s="169"/>
      <c r="AC23" s="169"/>
      <c r="AD23" s="169"/>
      <c r="AE23" s="169"/>
      <c r="AF23" s="169"/>
      <c r="AG23" s="169"/>
      <c r="AH23" s="170"/>
      <c r="AJ23" s="452">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2">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L23" s="452">
        <f ca="1">IF(AND($D23="Serviço",AL$12&lt;&gt;0,$H23&gt;0,OR(AUTOEVENTO&lt;&gt;"manual",$M23&lt;&gt;$A$15)),
        IF(Import.TipoArredondamento&lt;&gt;"TransfereGOV",
              ROUND(OFFSET($P23,0,AL$13),15-13*ORÇAMENTO!$AF$7)/$H23*OFFSET(ORÇAMENTO!$X$15,ROW(AL23)-ROW(AL$15),0),
              ROUND(ROUND(OFFSET($P23,0,AL$13),15-13*ORÇAMENTO!$AF$7)*OFFSET(ORÇAMENTO!$W$15,ROW(AL23)-ROW(AL$15),0),15-13*ORÇAMENTO!$AF$11)),
         0)</f>
        <v>0</v>
      </c>
      <c r="AM23" s="452">
        <f ca="1">IF(AND($D23="Serviço",AM$12&lt;&gt;0,$H23&gt;0,OR(AUTOEVENTO&lt;&gt;"manual",$M23&lt;&gt;$A$15)),
        IF(Import.TipoArredondamento&lt;&gt;"TransfereGOV",
              ROUND(OFFSET($P23,0,AM$13),15-13*ORÇAMENTO!$AF$7)/$H23*OFFSET(ORÇAMENTO!$X$15,ROW(AM23)-ROW(AM$15),0),
              ROUND(ROUND(OFFSET($P23,0,AM$13),15-13*ORÇAMENTO!$AF$7)*OFFSET(ORÇAMENTO!$W$15,ROW(AM23)-ROW(AM$15),0),15-13*ORÇAMENTO!$AF$11)),
         0)</f>
        <v>0</v>
      </c>
      <c r="AN23" s="452">
        <f ca="1">IF(AND($D23="Serviço",AN$12&lt;&gt;0,$H23&gt;0,OR(AUTOEVENTO&lt;&gt;"manual",$M23&lt;&gt;$A$15)),
        IF(Import.TipoArredondamento&lt;&gt;"TransfereGOV",
              ROUND(OFFSET($P23,0,AN$13),15-13*ORÇAMENTO!$AF$7)/$H23*OFFSET(ORÇAMENTO!$X$15,ROW(AN23)-ROW(AN$15),0),
              ROUND(ROUND(OFFSET($P23,0,AN$13),15-13*ORÇAMENTO!$AF$7)*OFFSET(ORÇAMENTO!$W$15,ROW(AN23)-ROW(AN$15),0),15-13*ORÇAMENTO!$AF$11)),
         0)</f>
        <v>0</v>
      </c>
      <c r="AO23" s="452">
        <f ca="1">IF(AND($D23="Serviço",AO$12&lt;&gt;0,$H23&gt;0,OR(AUTOEVENTO&lt;&gt;"manual",$M23&lt;&gt;$A$15)),
        IF(Import.TipoArredondamento&lt;&gt;"TransfereGOV",
              ROUND(OFFSET($P23,0,AO$13),15-13*ORÇAMENTO!$AF$7)/$H23*OFFSET(ORÇAMENTO!$X$15,ROW(AO23)-ROW(AO$15),0),
              ROUND(ROUND(OFFSET($P23,0,AO$13),15-13*ORÇAMENTO!$AF$7)*OFFSET(ORÇAMENTO!$W$15,ROW(AO23)-ROW(AO$15),0),15-13*ORÇAMENTO!$AF$11)),
         0)</f>
        <v>0</v>
      </c>
      <c r="AP23" s="452">
        <f ca="1">IF(AND($D23="Serviço",AP$12&lt;&gt;0,$H23&gt;0,OR(AUTOEVENTO&lt;&gt;"manual",$M23&lt;&gt;$A$15)),
        IF(Import.TipoArredondamento&lt;&gt;"TransfereGOV",
              ROUND(OFFSET($P23,0,AP$13),15-13*ORÇAMENTO!$AF$7)/$H23*OFFSET(ORÇAMENTO!$X$15,ROW(AP23)-ROW(AP$15),0),
              ROUND(ROUND(OFFSET($P23,0,AP$13),15-13*ORÇAMENTO!$AF$7)*OFFSET(ORÇAMENTO!$W$15,ROW(AP23)-ROW(AP$15),0),15-13*ORÇAMENTO!$AF$11)),
         0)</f>
        <v>0</v>
      </c>
      <c r="AQ23" s="452">
        <f ca="1">IF(AND($D23="Serviço",AQ$12&lt;&gt;0,$H23&gt;0,OR(AUTOEVENTO&lt;&gt;"manual",$M23&lt;&gt;$A$15)),
        IF(Import.TipoArredondamento&lt;&gt;"TransfereGOV",
              ROUND(OFFSET($P23,0,AQ$13),15-13*ORÇAMENTO!$AF$7)/$H23*OFFSET(ORÇAMENTO!$X$15,ROW(AQ23)-ROW(AQ$15),0),
              ROUND(ROUND(OFFSET($P23,0,AQ$13),15-13*ORÇAMENTO!$AF$7)*OFFSET(ORÇAMENTO!$W$15,ROW(AQ23)-ROW(AQ$15),0),15-13*ORÇAMENTO!$AF$11)),
         0)</f>
        <v>0</v>
      </c>
      <c r="AR23" s="452">
        <f ca="1">IF(AND($D23="Serviço",AR$12&lt;&gt;0,$H23&gt;0,OR(AUTOEVENTO&lt;&gt;"manual",$M23&lt;&gt;$A$15)),
        IF(Import.TipoArredondamento&lt;&gt;"TransfereGOV",
              ROUND(OFFSET($P23,0,AR$13),15-13*ORÇAMENTO!$AF$7)/$H23*OFFSET(ORÇAMENTO!$X$15,ROW(AR23)-ROW(AR$15),0),
              ROUND(ROUND(OFFSET($P23,0,AR$13),15-13*ORÇAMENTO!$AF$7)*OFFSET(ORÇAMENTO!$W$15,ROW(AR23)-ROW(AR$15),0),15-13*ORÇAMENTO!$AF$11)),
         0)</f>
        <v>0</v>
      </c>
      <c r="AS23" s="452">
        <f ca="1">IF(AND($D23="Serviço",AS$12&lt;&gt;0,$H23&gt;0,OR(AUTOEVENTO&lt;&gt;"manual",$M23&lt;&gt;$A$15)),
        IF(Import.TipoArredondamento&lt;&gt;"TransfereGOV",
              ROUND(OFFSET($P23,0,AS$13),15-13*ORÇAMENTO!$AF$7)/$H23*OFFSET(ORÇAMENTO!$X$15,ROW(AS23)-ROW(AS$15),0),
              ROUND(ROUND(OFFSET($P23,0,AS$13),15-13*ORÇAMENTO!$AF$7)*OFFSET(ORÇAMENTO!$W$15,ROW(AS23)-ROW(AS$15),0),15-13*ORÇAMENTO!$AF$11)),
         0)</f>
        <v>0</v>
      </c>
      <c r="AT23" s="452">
        <f ca="1">IF(AND($D23="Serviço",AT$12&lt;&gt;0,$H23&gt;0,OR(AUTOEVENTO&lt;&gt;"manual",$M23&lt;&gt;$A$15)),
        IF(Import.TipoArredondamento&lt;&gt;"TransfereGOV",
              ROUND(OFFSET($P23,0,AT$13),15-13*ORÇAMENTO!$AF$7)/$H23*OFFSET(ORÇAMENTO!$X$15,ROW(AT23)-ROW(AT$15),0),
              ROUND(ROUND(OFFSET($P23,0,AT$13),15-13*ORÇAMENTO!$AF$7)*OFFSET(ORÇAMENTO!$W$15,ROW(AT23)-ROW(AT$15),0),15-13*ORÇAMENTO!$AF$11)),
         0)</f>
        <v>0</v>
      </c>
      <c r="AU23" s="452">
        <f ca="1">IF(AND($D23="Serviço",AU$12&lt;&gt;0,$H23&gt;0,OR(AUTOEVENTO&lt;&gt;"manual",$M23&lt;&gt;$A$15)),
        IF(Import.TipoArredondamento&lt;&gt;"TransfereGOV",
              ROUND(OFFSET($P23,0,AU$13),15-13*ORÇAMENTO!$AF$7)/$H23*OFFSET(ORÇAMENTO!$X$15,ROW(AU23)-ROW(AU$15),0),
              ROUND(ROUND(OFFSET($P23,0,AU$13),15-13*ORÇAMENTO!$AF$7)*OFFSET(ORÇAMENTO!$W$15,ROW(AU23)-ROW(AU$15),0),15-13*ORÇAMENTO!$AF$11)),
         0)</f>
        <v>0</v>
      </c>
      <c r="AV23" s="452">
        <f ca="1">IF(AND($D23="Serviço",AV$12&lt;&gt;0,$H23&gt;0,OR(AUTOEVENTO&lt;&gt;"manual",$M23&lt;&gt;$A$15)),
        IF(Import.TipoArredondamento&lt;&gt;"TransfereGOV",
              ROUND(OFFSET($P23,0,AV$13),15-13*ORÇAMENTO!$AF$7)/$H23*OFFSET(ORÇAMENTO!$X$15,ROW(AV23)-ROW(AV$15),0),
              ROUND(ROUND(OFFSET($P23,0,AV$13),15-13*ORÇAMENTO!$AF$7)*OFFSET(ORÇAMENTO!$W$15,ROW(AV23)-ROW(AV$15),0),15-13*ORÇAMENTO!$AF$11)),
         0)</f>
        <v>0</v>
      </c>
      <c r="AW23" s="452">
        <f ca="1">IF(AND($D23="Serviço",AW$12&lt;&gt;0,$H23&gt;0,OR(AUTOEVENTO&lt;&gt;"manual",$M23&lt;&gt;$A$15)),
        IF(Import.TipoArredondamento&lt;&gt;"TransfereGOV",
              ROUND(OFFSET($P23,0,AW$13),15-13*ORÇAMENTO!$AF$7)/$H23*OFFSET(ORÇAMENTO!$X$15,ROW(AW23)-ROW(AW$15),0),
              ROUND(ROUND(OFFSET($P23,0,AW$13),15-13*ORÇAMENTO!$AF$7)*OFFSET(ORÇAMENTO!$W$15,ROW(AW23)-ROW(AW$15),0),15-13*ORÇAMENTO!$AF$11)),
         0)</f>
        <v>0</v>
      </c>
      <c r="AX23" s="452">
        <f ca="1">IF(AND($D23="Serviço",AX$12&lt;&gt;0,$H23&gt;0,OR(AUTOEVENTO&lt;&gt;"manual",$M23&lt;&gt;$A$15)),
        IF(Import.TipoArredondamento&lt;&gt;"TransfereGOV",
              ROUND(OFFSET($P23,0,AX$13),15-13*ORÇAMENTO!$AF$7)/$H23*OFFSET(ORÇAMENTO!$X$15,ROW(AX23)-ROW(AX$15),0),
              ROUND(ROUND(OFFSET($P23,0,AX$13),15-13*ORÇAMENTO!$AF$7)*OFFSET(ORÇAMENTO!$W$15,ROW(AX23)-ROW(AX$15),0),15-13*ORÇAMENTO!$AF$11)),
         0)</f>
        <v>0</v>
      </c>
      <c r="AY23" s="452">
        <f ca="1">IF(AND($D23="Serviço",AY$12&lt;&gt;0,$H23&gt;0,OR(AUTOEVENTO&lt;&gt;"manual",$M23&lt;&gt;$A$15)),
        IF(Import.TipoArredondamento&lt;&gt;"TransfereGOV",
              ROUND(OFFSET($P23,0,AY$13),15-13*ORÇAMENTO!$AF$7)/$H23*OFFSET(ORÇAMENTO!$X$15,ROW(AY23)-ROW(AY$15),0),
              ROUND(ROUND(OFFSET($P23,0,AY$13),15-13*ORÇAMENTO!$AF$7)*OFFSET(ORÇAMENTO!$W$15,ROW(AY23)-ROW(AY$15),0),15-13*ORÇAMENTO!$AF$11)),
         0)</f>
        <v>0</v>
      </c>
      <c r="AZ23" s="452">
        <f ca="1">IF(AND($D23="Serviço",AZ$12&lt;&gt;0,$H23&gt;0,OR(AUTOEVENTO&lt;&gt;"manual",$M23&lt;&gt;$A$15)),
        IF(Import.TipoArredondamento&lt;&gt;"TransfereGOV",
              ROUND(OFFSET($P23,0,AZ$13),15-13*ORÇAMENTO!$AF$7)/$H23*OFFSET(ORÇAMENTO!$X$15,ROW(AZ23)-ROW(AZ$15),0),
              ROUND(ROUND(OFFSET($P23,0,AZ$13),15-13*ORÇAMENTO!$AF$7)*OFFSET(ORÇAMENTO!$W$15,ROW(AZ23)-ROW(AZ$15),0),15-13*ORÇAMENTO!$AF$11)),
         0)</f>
        <v>0</v>
      </c>
      <c r="BA23" s="452">
        <f ca="1">IF(AND($D23="Serviço",BA$12&lt;&gt;0,$H23&gt;0,OR(AUTOEVENTO&lt;&gt;"manual",$M23&lt;&gt;$A$15)),
        IF(Import.TipoArredondamento&lt;&gt;"TransfereGOV",
              ROUND(OFFSET($P23,0,BA$13),15-13*ORÇAMENTO!$AF$7)/$H23*OFFSET(ORÇAMENTO!$X$15,ROW(BA23)-ROW(BA$15),0),
              ROUND(ROUND(OFFSET($P23,0,BA$13),15-13*ORÇAMENTO!$AF$7)*OFFSET(ORÇAMENTO!$W$15,ROW(BA23)-ROW(BA$15),0),15-13*ORÇAMENTO!$AF$11)),
         0)</f>
        <v>0</v>
      </c>
      <c r="BC23" s="171">
        <f ca="1">IF(OR($D23&lt;&gt;"Serviço",AND(AUTOEVENTO="Manual",$M23=$A$15)),0,
         IF(OFFSET(CRONOPLE!$F$15,$M23-$A$15,BC$13)=0,10^12,OFFSET(CRONOPLE!$F$15,$M23-$A$15,BC$13)))</f>
        <v>0</v>
      </c>
      <c r="BD23" s="171">
        <f ca="1">IF(OR($D23&lt;&gt;"Serviço",AND(AUTOEVENTO="Manual",$M23=$A$15)),0,
         IF(OFFSET(CRONOPLE!$F$15,$M23-$A$15,BD$13)=0,10^12,OFFSET(CRONOPLE!$F$15,$M23-$A$15,BD$13)))</f>
        <v>0</v>
      </c>
      <c r="BE23" s="171">
        <f ca="1">IF(OR($D23&lt;&gt;"Serviço",AND(AUTOEVENTO="Manual",$M23=$A$15)),0,
         IF(OFFSET(CRONOPLE!$F$15,$M23-$A$15,BE$13)=0,10^12,OFFSET(CRONOPLE!$F$15,$M23-$A$15,BE$13)))</f>
        <v>0</v>
      </c>
      <c r="BF23" s="171">
        <f ca="1">IF(OR($D23&lt;&gt;"Serviço",AND(AUTOEVENTO="Manual",$M23=$A$15)),0,
         IF(OFFSET(CRONOPLE!$F$15,$M23-$A$15,BF$13)=0,10^12,OFFSET(CRONOPLE!$F$15,$M23-$A$15,BF$13)))</f>
        <v>0</v>
      </c>
      <c r="BG23" s="171">
        <f ca="1">IF(OR($D23&lt;&gt;"Serviço",AND(AUTOEVENTO="Manual",$M23=$A$15)),0,
         IF(OFFSET(CRONOPLE!$F$15,$M23-$A$15,BG$13)=0,10^12,OFFSET(CRONOPLE!$F$15,$M23-$A$15,BG$13)))</f>
        <v>0</v>
      </c>
      <c r="BH23" s="171">
        <f ca="1">IF(OR($D23&lt;&gt;"Serviço",AND(AUTOEVENTO="Manual",$M23=$A$15)),0,
         IF(OFFSET(CRONOPLE!$F$15,$M23-$A$15,BH$13)=0,10^12,OFFSET(CRONOPLE!$F$15,$M23-$A$15,BH$13)))</f>
        <v>0</v>
      </c>
      <c r="BI23" s="171">
        <f ca="1">IF(OR($D23&lt;&gt;"Serviço",AND(AUTOEVENTO="Manual",$M23=$A$15)),0,
         IF(OFFSET(CRONOPLE!$F$15,$M23-$A$15,BI$13)=0,10^12,OFFSET(CRONOPLE!$F$15,$M23-$A$15,BI$13)))</f>
        <v>0</v>
      </c>
      <c r="BJ23" s="171">
        <f ca="1">IF(OR($D23&lt;&gt;"Serviço",AND(AUTOEVENTO="Manual",$M23=$A$15)),0,
         IF(OFFSET(CRONOPLE!$F$15,$M23-$A$15,BJ$13)=0,10^12,OFFSET(CRONOPLE!$F$15,$M23-$A$15,BJ$13)))</f>
        <v>0</v>
      </c>
      <c r="BK23" s="171">
        <f ca="1">IF(OR($D23&lt;&gt;"Serviço",AND(AUTOEVENTO="Manual",$M23=$A$15)),0,
         IF(OFFSET(CRONOPLE!$F$15,$M23-$A$15,BK$13)=0,10^12,OFFSET(CRONOPLE!$F$15,$M23-$A$15,BK$13)))</f>
        <v>0</v>
      </c>
      <c r="BL23" s="171">
        <f ca="1">IF(OR($D23&lt;&gt;"Serviço",AND(AUTOEVENTO="Manual",$M23=$A$15)),0,
         IF(OFFSET(CRONOPLE!$F$15,$M23-$A$15,BL$13)=0,10^12,OFFSET(CRONOPLE!$F$15,$M23-$A$15,BL$13)))</f>
        <v>0</v>
      </c>
      <c r="BM23" s="171">
        <f ca="1">IF(OR($D23&lt;&gt;"Serviço",AND(AUTOEVENTO="Manual",$M23=$A$15)),0,
         IF(OFFSET(CRONOPLE!$F$15,$M23-$A$15,BM$13)=0,10^12,OFFSET(CRONOPLE!$F$15,$M23-$A$15,BM$13)))</f>
        <v>0</v>
      </c>
      <c r="BN23" s="171">
        <f ca="1">IF(OR($D23&lt;&gt;"Serviço",AND(AUTOEVENTO="Manual",$M23=$A$15)),0,
         IF(OFFSET(CRONOPLE!$F$15,$M23-$A$15,BN$13)=0,10^12,OFFSET(CRONOPLE!$F$15,$M23-$A$15,BN$13)))</f>
        <v>0</v>
      </c>
      <c r="BO23" s="171">
        <f ca="1">IF(OR($D23&lt;&gt;"Serviço",AND(AUTOEVENTO="Manual",$M23=$A$15)),0,
         IF(OFFSET(CRONOPLE!$F$15,$M23-$A$15,BO$13)=0,10^12,OFFSET(CRONOPLE!$F$15,$M23-$A$15,BO$13)))</f>
        <v>0</v>
      </c>
      <c r="BP23" s="171">
        <f ca="1">IF(OR($D23&lt;&gt;"Serviço",AND(AUTOEVENTO="Manual",$M23=$A$15)),0,
         IF(OFFSET(CRONOPLE!$F$15,$M23-$A$15,BP$13)=0,10^12,OFFSET(CRONOPLE!$F$15,$M23-$A$15,BP$13)))</f>
        <v>0</v>
      </c>
      <c r="BQ23" s="171">
        <f ca="1">IF(OR($D23&lt;&gt;"Serviço",AND(AUTOEVENTO="Manual",$M23=$A$15)),0,
         IF(OFFSET(CRONOPLE!$F$15,$M23-$A$15,BQ$13)=0,10^12,OFFSET(CRONOPLE!$F$15,$M23-$A$15,BQ$13)))</f>
        <v>0</v>
      </c>
      <c r="BR23" s="171">
        <f ca="1">IF(OR($D23&lt;&gt;"Serviço",AND(AUTOEVENTO="Manual",$M23=$A$15)),0,
         IF(OFFSET(CRONOPLE!$F$15,$M23-$A$15,BR$13)=0,10^12,OFFSET(CRONOPLE!$F$15,$M23-$A$15,BR$13)))</f>
        <v>0</v>
      </c>
      <c r="BS23" s="171">
        <f ca="1">IF(OR($D23&lt;&gt;"Serviço",AND(AUTOEVENTO="Manual",$M23=$A$15)),0,
         IF(OFFSET(CRONOPLE!$F$15,$M23-$A$15,BS$13)=0,10^12,OFFSET(CRONOPLE!$F$15,$M23-$A$15,BS$13)))</f>
        <v>0</v>
      </c>
      <c r="BT23" s="171">
        <f ca="1">IF(OR($D23&lt;&gt;"Serviço",AND(AUTOEVENTO="Manual",$M23=$A$15)),0,
         IF(OFFSET(CRONOPLE!$F$15,$M23-$A$15,BT$13)=0,10^12,OFFSET(CRONOPLE!$F$15,$M23-$A$15,BT$13)))</f>
        <v>0</v>
      </c>
      <c r="BV23" s="172">
        <f t="array" aca="1" ref="BV23" ca="1">IF(OR($D23&lt;&gt;"Serviço",AND(AUTOEVENTO="Manual",$M23=$A$15),$M23&gt;(ROW(PLE.lastrow)-ROW(PLE.firstrow))),0,
           IF(OFFSET(PLE!$G$15,$M23-$A$15,BV$13)="",10^12,OFFSET(PLE!$G$15,$M23-$A$15,BV$13)))</f>
        <v>0</v>
      </c>
      <c r="BW23" s="172">
        <f t="array" aca="1" ref="BW23" ca="1">IF(OR($D23&lt;&gt;"Serviço",AND(AUTOEVENTO="Manual",$M23=$A$15),$M23&gt;(ROW(PLE.lastrow)-ROW(PLE.firstrow))),0,
           IF(OFFSET(PLE!$G$15,$M23-$A$15,BW$13)="",10^12,OFFSET(PLE!$G$15,$M23-$A$15,BW$13)))</f>
        <v>0</v>
      </c>
      <c r="BX23" s="172">
        <f t="array" aca="1" ref="BX23" ca="1">IF(OR($D23&lt;&gt;"Serviço",AND(AUTOEVENTO="Manual",$M23=$A$15),$M23&gt;(ROW(PLE.lastrow)-ROW(PLE.firstrow))),0,
           IF(OFFSET(PLE!$G$15,$M23-$A$15,BX$13)="",10^12,OFFSET(PLE!$G$15,$M23-$A$15,BX$13)))</f>
        <v>0</v>
      </c>
      <c r="BY23" s="172">
        <f t="array" aca="1" ref="BY23" ca="1">IF(OR($D23&lt;&gt;"Serviço",AND(AUTOEVENTO="Manual",$M23=$A$15),$M23&gt;(ROW(PLE.lastrow)-ROW(PLE.firstrow))),0,
           IF(OFFSET(PLE!$G$15,$M23-$A$15,BY$13)="",10^12,OFFSET(PLE!$G$15,$M23-$A$15,BY$13)))</f>
        <v>0</v>
      </c>
      <c r="BZ23" s="172">
        <f t="array" aca="1" ref="BZ23" ca="1">IF(OR($D23&lt;&gt;"Serviço",AND(AUTOEVENTO="Manual",$M23=$A$15),$M23&gt;(ROW(PLE.lastrow)-ROW(PLE.firstrow))),0,
           IF(OFFSET(PLE!$G$15,$M23-$A$15,BZ$13)="",10^12,OFFSET(PLE!$G$15,$M23-$A$15,BZ$13)))</f>
        <v>0</v>
      </c>
      <c r="CA23" s="172">
        <f t="array" aca="1" ref="CA23" ca="1">IF(OR($D23&lt;&gt;"Serviço",AND(AUTOEVENTO="Manual",$M23=$A$15),$M23&gt;(ROW(PLE.lastrow)-ROW(PLE.firstrow))),0,
           IF(OFFSET(PLE!$G$15,$M23-$A$15,CA$13)="",10^12,OFFSET(PLE!$G$15,$M23-$A$15,CA$13)))</f>
        <v>0</v>
      </c>
      <c r="CB23" s="172">
        <f t="array" aca="1" ref="CB23" ca="1">IF(OR($D23&lt;&gt;"Serviço",AND(AUTOEVENTO="Manual",$M23=$A$15),$M23&gt;(ROW(PLE.lastrow)-ROW(PLE.firstrow))),0,
           IF(OFFSET(PLE!$G$15,$M23-$A$15,CB$13)="",10^12,OFFSET(PLE!$G$15,$M23-$A$15,CB$13)))</f>
        <v>0</v>
      </c>
      <c r="CC23" s="172">
        <f t="array" aca="1" ref="CC23" ca="1">IF(OR($D23&lt;&gt;"Serviço",AND(AUTOEVENTO="Manual",$M23=$A$15),$M23&gt;(ROW(PLE.lastrow)-ROW(PLE.firstrow))),0,
           IF(OFFSET(PLE!$G$15,$M23-$A$15,CC$13)="",10^12,OFFSET(PLE!$G$15,$M23-$A$15,CC$13)))</f>
        <v>0</v>
      </c>
      <c r="CD23" s="172">
        <f t="array" aca="1" ref="CD23" ca="1">IF(OR($D23&lt;&gt;"Serviço",AND(AUTOEVENTO="Manual",$M23=$A$15),$M23&gt;(ROW(PLE.lastrow)-ROW(PLE.firstrow))),0,
           IF(OFFSET(PLE!$G$15,$M23-$A$15,CD$13)="",10^12,OFFSET(PLE!$G$15,$M23-$A$15,CD$13)))</f>
        <v>0</v>
      </c>
      <c r="CE23" s="172">
        <f t="array" aca="1" ref="CE23" ca="1">IF(OR($D23&lt;&gt;"Serviço",AND(AUTOEVENTO="Manual",$M23=$A$15),$M23&gt;(ROW(PLE.lastrow)-ROW(PLE.firstrow))),0,
           IF(OFFSET(PLE!$G$15,$M23-$A$15,CE$13)="",10^12,OFFSET(PLE!$G$15,$M23-$A$15,CE$13)))</f>
        <v>0</v>
      </c>
      <c r="CF23" s="172">
        <f t="array" aca="1" ref="CF23" ca="1">IF(OR($D23&lt;&gt;"Serviço",AND(AUTOEVENTO="Manual",$M23=$A$15),$M23&gt;(ROW(PLE.lastrow)-ROW(PLE.firstrow))),0,
           IF(OFFSET(PLE!$G$15,$M23-$A$15,CF$13)="",10^12,OFFSET(PLE!$G$15,$M23-$A$15,CF$13)))</f>
        <v>0</v>
      </c>
      <c r="CG23" s="172">
        <f t="array" aca="1" ref="CG23" ca="1">IF(OR($D23&lt;&gt;"Serviço",AND(AUTOEVENTO="Manual",$M23=$A$15),$M23&gt;(ROW(PLE.lastrow)-ROW(PLE.firstrow))),0,
           IF(OFFSET(PLE!$G$15,$M23-$A$15,CG$13)="",10^12,OFFSET(PLE!$G$15,$M23-$A$15,CG$13)))</f>
        <v>0</v>
      </c>
      <c r="CH23" s="172">
        <f t="array" aca="1" ref="CH23" ca="1">IF(OR($D23&lt;&gt;"Serviço",AND(AUTOEVENTO="Manual",$M23=$A$15),$M23&gt;(ROW(PLE.lastrow)-ROW(PLE.firstrow))),0,
           IF(OFFSET(PLE!$G$15,$M23-$A$15,CH$13)="",10^12,OFFSET(PLE!$G$15,$M23-$A$15,CH$13)))</f>
        <v>0</v>
      </c>
      <c r="CI23" s="172">
        <f t="array" aca="1" ref="CI23" ca="1">IF(OR($D23&lt;&gt;"Serviço",AND(AUTOEVENTO="Manual",$M23=$A$15),$M23&gt;(ROW(PLE.lastrow)-ROW(PLE.firstrow))),0,
           IF(OFFSET(PLE!$G$15,$M23-$A$15,CI$13)="",10^12,OFFSET(PLE!$G$15,$M23-$A$15,CI$13)))</f>
        <v>0</v>
      </c>
      <c r="CJ23" s="172">
        <f t="array" aca="1" ref="CJ23" ca="1">IF(OR($D23&lt;&gt;"Serviço",AND(AUTOEVENTO="Manual",$M23=$A$15),$M23&gt;(ROW(PLE.lastrow)-ROW(PLE.firstrow))),0,
           IF(OFFSET(PLE!$G$15,$M23-$A$15,CJ$13)="",10^12,OFFSET(PLE!$G$15,$M23-$A$15,CJ$13)))</f>
        <v>0</v>
      </c>
      <c r="CK23" s="172">
        <f t="array" aca="1" ref="CK23" ca="1">IF(OR($D23&lt;&gt;"Serviço",AND(AUTOEVENTO="Manual",$M23=$A$15),$M23&gt;(ROW(PLE.lastrow)-ROW(PLE.firstrow))),0,
           IF(OFFSET(PLE!$G$15,$M23-$A$15,CK$13)="",10^12,OFFSET(PLE!$G$15,$M23-$A$15,CK$13)))</f>
        <v>0</v>
      </c>
      <c r="CL23" s="172">
        <f t="array" aca="1" ref="CL23" ca="1">IF(OR($D23&lt;&gt;"Serviço",AND(AUTOEVENTO="Manual",$M23=$A$15),$M23&gt;(ROW(PLE.lastrow)-ROW(PLE.firstrow))),0,
           IF(OFFSET(PLE!$G$15,$M23-$A$15,CL$13)="",10^12,OFFSET(PLE!$G$15,$M23-$A$15,CL$13)))</f>
        <v>0</v>
      </c>
      <c r="CM23" s="172">
        <f t="array" aca="1" ref="CM23" ca="1">IF(OR($D23&lt;&gt;"Serviço",AND(AUTOEVENTO="Manual",$M23=$A$15),$M23&gt;(ROW(PLE.lastrow)-ROW(PLE.firstrow))),0,
           IF(OFFSET(PLE!$G$15,$M23-$A$15,CM$13)="",10^12,OFFSET(PLE!$G$15,$M23-$A$15,CM$13)))</f>
        <v>0</v>
      </c>
    </row>
    <row r="24" spans="1:91" s="696" customFormat="1" ht="51" x14ac:dyDescent="0.2">
      <c r="A24" s="694">
        <f t="shared" ca="1" si="10"/>
        <v>2</v>
      </c>
      <c r="B24" s="694" t="str">
        <f ca="1">OFFSET(ORÇAMENTO!C$15,$L24,0)</f>
        <v>S</v>
      </c>
      <c r="C24" s="694" t="str">
        <f ca="1">OFFSET(ORÇAMENTO!L$15,$L24,0)</f>
        <v>F</v>
      </c>
      <c r="D24" s="116" t="str">
        <f ca="1">OFFSET(ORÇAMENTO!N$15,$L24,0)</f>
        <v>Serviço</v>
      </c>
      <c r="E24" s="117" t="str">
        <f ca="1">OFFSET(ORÇAMENTO!O$15,$L24,0)</f>
        <v>1.2.1.</v>
      </c>
      <c r="F24" s="163" t="str">
        <f ca="1">OFFSET(ORÇAMENTO!R$15,$L24,0)</f>
        <v>FORNECIMENTO E INSTALAÇÃO DE PLACA DE OBRA COM CHAPA GALVANIZADA E ESTRUTURA DE MADEIRA. AF_03/2022_PS</v>
      </c>
      <c r="G24" s="164" t="str">
        <f ca="1">IF($D24&lt;&gt;"Serviço","",OFFSET(ORÇAMENTO!S$15,$L24,0))</f>
        <v>M2</v>
      </c>
      <c r="H24" s="122">
        <f t="array" aca="1" ref="H24" ca="1">IF($D24&lt;&gt;"Serviço",0,IF(ACOMPANHAMENTO="BM",ROUND(OFFSET(ORÇAMENTO!AJ$15,$L24,0),15-13*ORÇAMENTO!$AF$7),IF(IFERROR(CÁLCULO.FrentesPreenchidas,0)=0,0,SUM(ROUND(OFFSET($P24,0,1,1,CÁLCULO.FrentesPreenchidas),15-13*ORÇAMENTO!$AF$7)))))</f>
        <v>6.49</v>
      </c>
      <c r="I24" s="467" t="s">
        <v>1212</v>
      </c>
      <c r="J24" s="653" t="str">
        <f t="array" aca="1" ref="J24" ca="1">IF(OR(B24&lt;&gt;"S",CÁLCULO.FrentesPreenchidas=0),"",IF(AND(ACOMPANHAMENTO="PLE",AUTOEVENTO="Manual",OR(H24&gt;0,ORÇAMENTO!AC24="QUANT."),OR(K24="",M24=0,N24="")),"►E",IF(AND(ACOMPANHAMENTO="PLE",ORÇAMENTO!AC24="QUANT."),"►Q",IF(AND(ACOMPANHAMENTO="PLE",H24&lt;&gt;SUMPRODUCT(($Q$1:$AI$1=1)*ROUND(Q24:AI24,15))),"►S",IF(AND(COUNTIF($P$11:$AI$11,"▼")=0,H24&gt;0,I24=""),"◄M","")))))</f>
        <v/>
      </c>
      <c r="K24" s="654" t="s">
        <v>1380</v>
      </c>
      <c r="L24" s="165">
        <f t="shared" ca="1" si="11"/>
        <v>9</v>
      </c>
      <c r="M24" s="166">
        <f ca="1">IF($D24&lt;&gt;"Serviço","",
          IF(AUTOEVENTO="manual",$A24,
                IF(ISERROR(MATCH($A24,$A$15:OFFSET($A24,-1,0),0)),MAX($M$15:OFFSET(M24,-1,0))+1,
                      INDEX($M$15:OFFSET(M24,-1,0),MATCH($A24,$A$15:OFFSET($A24,-1,0),0)))))</f>
        <v>2</v>
      </c>
      <c r="N24" s="167" t="str">
        <f ca="1">IF($D24&lt;&gt;"Serviço","",
         IF(AUTOEVENTO="Manual",
                IF($A24=0,"&lt;-- defina o número do agrupador",
                       OFFSET(EVENTOS!$D$15,$A24-$A$15,0)),
                OFFSET($F$15,$A24,0)))</f>
        <v>INTALAÇÃO DE CANTEIRO (BARRACÃO, PLACA DE OBRA)</v>
      </c>
      <c r="O24" s="168"/>
      <c r="Q24" s="168"/>
      <c r="R24" s="169"/>
      <c r="S24" s="169"/>
      <c r="T24" s="169"/>
      <c r="U24" s="169"/>
      <c r="V24" s="169">
        <v>6.49</v>
      </c>
      <c r="W24" s="169"/>
      <c r="X24" s="169"/>
      <c r="Y24" s="169"/>
      <c r="Z24" s="170"/>
      <c r="AA24" s="169"/>
      <c r="AB24" s="169"/>
      <c r="AC24" s="169"/>
      <c r="AD24" s="169"/>
      <c r="AE24" s="169"/>
      <c r="AF24" s="169"/>
      <c r="AG24" s="169"/>
      <c r="AH24" s="170"/>
      <c r="AJ24" s="452">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2">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L24" s="452">
        <f ca="1">IF(AND($D24="Serviço",AL$12&lt;&gt;0,$H24&gt;0,OR(AUTOEVENTO&lt;&gt;"manual",$M24&lt;&gt;$A$15)),
        IF(Import.TipoArredondamento&lt;&gt;"TransfereGOV",
              ROUND(OFFSET($P24,0,AL$13),15-13*ORÇAMENTO!$AF$7)/$H24*OFFSET(ORÇAMENTO!$X$15,ROW(AL24)-ROW(AL$15),0),
              ROUND(ROUND(OFFSET($P24,0,AL$13),15-13*ORÇAMENTO!$AF$7)*OFFSET(ORÇAMENTO!$W$15,ROW(AL24)-ROW(AL$15),0),15-13*ORÇAMENTO!$AF$11)),
         0)</f>
        <v>0</v>
      </c>
      <c r="AM24" s="452">
        <f ca="1">IF(AND($D24="Serviço",AM$12&lt;&gt;0,$H24&gt;0,OR(AUTOEVENTO&lt;&gt;"manual",$M24&lt;&gt;$A$15)),
        IF(Import.TipoArredondamento&lt;&gt;"TransfereGOV",
              ROUND(OFFSET($P24,0,AM$13),15-13*ORÇAMENTO!$AF$7)/$H24*OFFSET(ORÇAMENTO!$X$15,ROW(AM24)-ROW(AM$15),0),
              ROUND(ROUND(OFFSET($P24,0,AM$13),15-13*ORÇAMENTO!$AF$7)*OFFSET(ORÇAMENTO!$W$15,ROW(AM24)-ROW(AM$15),0),15-13*ORÇAMENTO!$AF$11)),
         0)</f>
        <v>0</v>
      </c>
      <c r="AN24" s="452">
        <f ca="1">IF(AND($D24="Serviço",AN$12&lt;&gt;0,$H24&gt;0,OR(AUTOEVENTO&lt;&gt;"manual",$M24&lt;&gt;$A$15)),
        IF(Import.TipoArredondamento&lt;&gt;"TransfereGOV",
              ROUND(OFFSET($P24,0,AN$13),15-13*ORÇAMENTO!$AF$7)/$H24*OFFSET(ORÇAMENTO!$X$15,ROW(AN24)-ROW(AN$15),0),
              ROUND(ROUND(OFFSET($P24,0,AN$13),15-13*ORÇAMENTO!$AF$7)*OFFSET(ORÇAMENTO!$W$15,ROW(AN24)-ROW(AN$15),0),15-13*ORÇAMENTO!$AF$11)),
         0)</f>
        <v>0</v>
      </c>
      <c r="AO24" s="452">
        <f ca="1">IF(AND($D24="Serviço",AO$12&lt;&gt;0,$H24&gt;0,OR(AUTOEVENTO&lt;&gt;"manual",$M24&lt;&gt;$A$15)),
        IF(Import.TipoArredondamento&lt;&gt;"TransfereGOV",
              ROUND(OFFSET($P24,0,AO$13),15-13*ORÇAMENTO!$AF$7)/$H24*OFFSET(ORÇAMENTO!$X$15,ROW(AO24)-ROW(AO$15),0),
              ROUND(ROUND(OFFSET($P24,0,AO$13),15-13*ORÇAMENTO!$AF$7)*OFFSET(ORÇAMENTO!$W$15,ROW(AO24)-ROW(AO$15),0),15-13*ORÇAMENTO!$AF$11)),
         0)</f>
        <v>3679.96</v>
      </c>
      <c r="AP24" s="452">
        <f ca="1">IF(AND($D24="Serviço",AP$12&lt;&gt;0,$H24&gt;0,OR(AUTOEVENTO&lt;&gt;"manual",$M24&lt;&gt;$A$15)),
        IF(Import.TipoArredondamento&lt;&gt;"TransfereGOV",
              ROUND(OFFSET($P24,0,AP$13),15-13*ORÇAMENTO!$AF$7)/$H24*OFFSET(ORÇAMENTO!$X$15,ROW(AP24)-ROW(AP$15),0),
              ROUND(ROUND(OFFSET($P24,0,AP$13),15-13*ORÇAMENTO!$AF$7)*OFFSET(ORÇAMENTO!$W$15,ROW(AP24)-ROW(AP$15),0),15-13*ORÇAMENTO!$AF$11)),
         0)</f>
        <v>0</v>
      </c>
      <c r="AQ24" s="452">
        <f ca="1">IF(AND($D24="Serviço",AQ$12&lt;&gt;0,$H24&gt;0,OR(AUTOEVENTO&lt;&gt;"manual",$M24&lt;&gt;$A$15)),
        IF(Import.TipoArredondamento&lt;&gt;"TransfereGOV",
              ROUND(OFFSET($P24,0,AQ$13),15-13*ORÇAMENTO!$AF$7)/$H24*OFFSET(ORÇAMENTO!$X$15,ROW(AQ24)-ROW(AQ$15),0),
              ROUND(ROUND(OFFSET($P24,0,AQ$13),15-13*ORÇAMENTO!$AF$7)*OFFSET(ORÇAMENTO!$W$15,ROW(AQ24)-ROW(AQ$15),0),15-13*ORÇAMENTO!$AF$11)),
         0)</f>
        <v>0</v>
      </c>
      <c r="AR24" s="452">
        <f ca="1">IF(AND($D24="Serviço",AR$12&lt;&gt;0,$H24&gt;0,OR(AUTOEVENTO&lt;&gt;"manual",$M24&lt;&gt;$A$15)),
        IF(Import.TipoArredondamento&lt;&gt;"TransfereGOV",
              ROUND(OFFSET($P24,0,AR$13),15-13*ORÇAMENTO!$AF$7)/$H24*OFFSET(ORÇAMENTO!$X$15,ROW(AR24)-ROW(AR$15),0),
              ROUND(ROUND(OFFSET($P24,0,AR$13),15-13*ORÇAMENTO!$AF$7)*OFFSET(ORÇAMENTO!$W$15,ROW(AR24)-ROW(AR$15),0),15-13*ORÇAMENTO!$AF$11)),
         0)</f>
        <v>0</v>
      </c>
      <c r="AS24" s="452">
        <f ca="1">IF(AND($D24="Serviço",AS$12&lt;&gt;0,$H24&gt;0,OR(AUTOEVENTO&lt;&gt;"manual",$M24&lt;&gt;$A$15)),
        IF(Import.TipoArredondamento&lt;&gt;"TransfereGOV",
              ROUND(OFFSET($P24,0,AS$13),15-13*ORÇAMENTO!$AF$7)/$H24*OFFSET(ORÇAMENTO!$X$15,ROW(AS24)-ROW(AS$15),0),
              ROUND(ROUND(OFFSET($P24,0,AS$13),15-13*ORÇAMENTO!$AF$7)*OFFSET(ORÇAMENTO!$W$15,ROW(AS24)-ROW(AS$15),0),15-13*ORÇAMENTO!$AF$11)),
         0)</f>
        <v>0</v>
      </c>
      <c r="AT24" s="452">
        <f ca="1">IF(AND($D24="Serviço",AT$12&lt;&gt;0,$H24&gt;0,OR(AUTOEVENTO&lt;&gt;"manual",$M24&lt;&gt;$A$15)),
        IF(Import.TipoArredondamento&lt;&gt;"TransfereGOV",
              ROUND(OFFSET($P24,0,AT$13),15-13*ORÇAMENTO!$AF$7)/$H24*OFFSET(ORÇAMENTO!$X$15,ROW(AT24)-ROW(AT$15),0),
              ROUND(ROUND(OFFSET($P24,0,AT$13),15-13*ORÇAMENTO!$AF$7)*OFFSET(ORÇAMENTO!$W$15,ROW(AT24)-ROW(AT$15),0),15-13*ORÇAMENTO!$AF$11)),
         0)</f>
        <v>0</v>
      </c>
      <c r="AU24" s="452">
        <f ca="1">IF(AND($D24="Serviço",AU$12&lt;&gt;0,$H24&gt;0,OR(AUTOEVENTO&lt;&gt;"manual",$M24&lt;&gt;$A$15)),
        IF(Import.TipoArredondamento&lt;&gt;"TransfereGOV",
              ROUND(OFFSET($P24,0,AU$13),15-13*ORÇAMENTO!$AF$7)/$H24*OFFSET(ORÇAMENTO!$X$15,ROW(AU24)-ROW(AU$15),0),
              ROUND(ROUND(OFFSET($P24,0,AU$13),15-13*ORÇAMENTO!$AF$7)*OFFSET(ORÇAMENTO!$W$15,ROW(AU24)-ROW(AU$15),0),15-13*ORÇAMENTO!$AF$11)),
         0)</f>
        <v>0</v>
      </c>
      <c r="AV24" s="452">
        <f ca="1">IF(AND($D24="Serviço",AV$12&lt;&gt;0,$H24&gt;0,OR(AUTOEVENTO&lt;&gt;"manual",$M24&lt;&gt;$A$15)),
        IF(Import.TipoArredondamento&lt;&gt;"TransfereGOV",
              ROUND(OFFSET($P24,0,AV$13),15-13*ORÇAMENTO!$AF$7)/$H24*OFFSET(ORÇAMENTO!$X$15,ROW(AV24)-ROW(AV$15),0),
              ROUND(ROUND(OFFSET($P24,0,AV$13),15-13*ORÇAMENTO!$AF$7)*OFFSET(ORÇAMENTO!$W$15,ROW(AV24)-ROW(AV$15),0),15-13*ORÇAMENTO!$AF$11)),
         0)</f>
        <v>0</v>
      </c>
      <c r="AW24" s="452">
        <f ca="1">IF(AND($D24="Serviço",AW$12&lt;&gt;0,$H24&gt;0,OR(AUTOEVENTO&lt;&gt;"manual",$M24&lt;&gt;$A$15)),
        IF(Import.TipoArredondamento&lt;&gt;"TransfereGOV",
              ROUND(OFFSET($P24,0,AW$13),15-13*ORÇAMENTO!$AF$7)/$H24*OFFSET(ORÇAMENTO!$X$15,ROW(AW24)-ROW(AW$15),0),
              ROUND(ROUND(OFFSET($P24,0,AW$13),15-13*ORÇAMENTO!$AF$7)*OFFSET(ORÇAMENTO!$W$15,ROW(AW24)-ROW(AW$15),0),15-13*ORÇAMENTO!$AF$11)),
         0)</f>
        <v>0</v>
      </c>
      <c r="AX24" s="452">
        <f ca="1">IF(AND($D24="Serviço",AX$12&lt;&gt;0,$H24&gt;0,OR(AUTOEVENTO&lt;&gt;"manual",$M24&lt;&gt;$A$15)),
        IF(Import.TipoArredondamento&lt;&gt;"TransfereGOV",
              ROUND(OFFSET($P24,0,AX$13),15-13*ORÇAMENTO!$AF$7)/$H24*OFFSET(ORÇAMENTO!$X$15,ROW(AX24)-ROW(AX$15),0),
              ROUND(ROUND(OFFSET($P24,0,AX$13),15-13*ORÇAMENTO!$AF$7)*OFFSET(ORÇAMENTO!$W$15,ROW(AX24)-ROW(AX$15),0),15-13*ORÇAMENTO!$AF$11)),
         0)</f>
        <v>0</v>
      </c>
      <c r="AY24" s="452">
        <f ca="1">IF(AND($D24="Serviço",AY$12&lt;&gt;0,$H24&gt;0,OR(AUTOEVENTO&lt;&gt;"manual",$M24&lt;&gt;$A$15)),
        IF(Import.TipoArredondamento&lt;&gt;"TransfereGOV",
              ROUND(OFFSET($P24,0,AY$13),15-13*ORÇAMENTO!$AF$7)/$H24*OFFSET(ORÇAMENTO!$X$15,ROW(AY24)-ROW(AY$15),0),
              ROUND(ROUND(OFFSET($P24,0,AY$13),15-13*ORÇAMENTO!$AF$7)*OFFSET(ORÇAMENTO!$W$15,ROW(AY24)-ROW(AY$15),0),15-13*ORÇAMENTO!$AF$11)),
         0)</f>
        <v>0</v>
      </c>
      <c r="AZ24" s="452">
        <f ca="1">IF(AND($D24="Serviço",AZ$12&lt;&gt;0,$H24&gt;0,OR(AUTOEVENTO&lt;&gt;"manual",$M24&lt;&gt;$A$15)),
        IF(Import.TipoArredondamento&lt;&gt;"TransfereGOV",
              ROUND(OFFSET($P24,0,AZ$13),15-13*ORÇAMENTO!$AF$7)/$H24*OFFSET(ORÇAMENTO!$X$15,ROW(AZ24)-ROW(AZ$15),0),
              ROUND(ROUND(OFFSET($P24,0,AZ$13),15-13*ORÇAMENTO!$AF$7)*OFFSET(ORÇAMENTO!$W$15,ROW(AZ24)-ROW(AZ$15),0),15-13*ORÇAMENTO!$AF$11)),
         0)</f>
        <v>0</v>
      </c>
      <c r="BA24" s="452">
        <f ca="1">IF(AND($D24="Serviço",BA$12&lt;&gt;0,$H24&gt;0,OR(AUTOEVENTO&lt;&gt;"manual",$M24&lt;&gt;$A$15)),
        IF(Import.TipoArredondamento&lt;&gt;"TransfereGOV",
              ROUND(OFFSET($P24,0,BA$13),15-13*ORÇAMENTO!$AF$7)/$H24*OFFSET(ORÇAMENTO!$X$15,ROW(BA24)-ROW(BA$15),0),
              ROUND(ROUND(OFFSET($P24,0,BA$13),15-13*ORÇAMENTO!$AF$7)*OFFSET(ORÇAMENTO!$W$15,ROW(BA24)-ROW(BA$15),0),15-13*ORÇAMENTO!$AF$11)),
         0)</f>
        <v>0</v>
      </c>
      <c r="BC24" s="171">
        <f ca="1">IF(OR($D24&lt;&gt;"Serviço",AND(AUTOEVENTO="Manual",$M24=$A$15)),0,
         IF(OFFSET(CRONOPLE!$F$15,$M24-$A$15,BC$13)=0,10^12,OFFSET(CRONOPLE!$F$15,$M24-$A$15,BC$13)))</f>
        <v>1</v>
      </c>
      <c r="BD24" s="171">
        <f ca="1">IF(OR($D24&lt;&gt;"Serviço",AND(AUTOEVENTO="Manual",$M24=$A$15)),0,
         IF(OFFSET(CRONOPLE!$F$15,$M24-$A$15,BD$13)=0,10^12,OFFSET(CRONOPLE!$F$15,$M24-$A$15,BD$13)))</f>
        <v>1000000000000</v>
      </c>
      <c r="BE24" s="171">
        <f ca="1">IF(OR($D24&lt;&gt;"Serviço",AND(AUTOEVENTO="Manual",$M24=$A$15)),0,
         IF(OFFSET(CRONOPLE!$F$15,$M24-$A$15,BE$13)=0,10^12,OFFSET(CRONOPLE!$F$15,$M24-$A$15,BE$13)))</f>
        <v>1000000000000</v>
      </c>
      <c r="BF24" s="171">
        <f ca="1">IF(OR($D24&lt;&gt;"Serviço",AND(AUTOEVENTO="Manual",$M24=$A$15)),0,
         IF(OFFSET(CRONOPLE!$F$15,$M24-$A$15,BF$13)=0,10^12,OFFSET(CRONOPLE!$F$15,$M24-$A$15,BF$13)))</f>
        <v>1000000000000</v>
      </c>
      <c r="BG24" s="171">
        <f ca="1">IF(OR($D24&lt;&gt;"Serviço",AND(AUTOEVENTO="Manual",$M24=$A$15)),0,
         IF(OFFSET(CRONOPLE!$F$15,$M24-$A$15,BG$13)=0,10^12,OFFSET(CRONOPLE!$F$15,$M24-$A$15,BG$13)))</f>
        <v>1000000000000</v>
      </c>
      <c r="BH24" s="171">
        <f ca="1">IF(OR($D24&lt;&gt;"Serviço",AND(AUTOEVENTO="Manual",$M24=$A$15)),0,
         IF(OFFSET(CRONOPLE!$F$15,$M24-$A$15,BH$13)=0,10^12,OFFSET(CRONOPLE!$F$15,$M24-$A$15,BH$13)))</f>
        <v>2</v>
      </c>
      <c r="BI24" s="171">
        <f ca="1">IF(OR($D24&lt;&gt;"Serviço",AND(AUTOEVENTO="Manual",$M24=$A$15)),0,
         IF(OFFSET(CRONOPLE!$F$15,$M24-$A$15,BI$13)=0,10^12,OFFSET(CRONOPLE!$F$15,$M24-$A$15,BI$13)))</f>
        <v>1000000000000</v>
      </c>
      <c r="BJ24" s="171">
        <f ca="1">IF(OR($D24&lt;&gt;"Serviço",AND(AUTOEVENTO="Manual",$M24=$A$15)),0,
         IF(OFFSET(CRONOPLE!$F$15,$M24-$A$15,BJ$13)=0,10^12,OFFSET(CRONOPLE!$F$15,$M24-$A$15,BJ$13)))</f>
        <v>1000000000000</v>
      </c>
      <c r="BK24" s="171">
        <f ca="1">IF(OR($D24&lt;&gt;"Serviço",AND(AUTOEVENTO="Manual",$M24=$A$15)),0,
         IF(OFFSET(CRONOPLE!$F$15,$M24-$A$15,BK$13)=0,10^12,OFFSET(CRONOPLE!$F$15,$M24-$A$15,BK$13)))</f>
        <v>1000000000000</v>
      </c>
      <c r="BL24" s="171">
        <f ca="1">IF(OR($D24&lt;&gt;"Serviço",AND(AUTOEVENTO="Manual",$M24=$A$15)),0,
         IF(OFFSET(CRONOPLE!$F$15,$M24-$A$15,BL$13)=0,10^12,OFFSET(CRONOPLE!$F$15,$M24-$A$15,BL$13)))</f>
        <v>1000000000000</v>
      </c>
      <c r="BM24" s="171">
        <f ca="1">IF(OR($D24&lt;&gt;"Serviço",AND(AUTOEVENTO="Manual",$M24=$A$15)),0,
         IF(OFFSET(CRONOPLE!$F$15,$M24-$A$15,BM$13)=0,10^12,OFFSET(CRONOPLE!$F$15,$M24-$A$15,BM$13)))</f>
        <v>1000000000000</v>
      </c>
      <c r="BN24" s="171">
        <f ca="1">IF(OR($D24&lt;&gt;"Serviço",AND(AUTOEVENTO="Manual",$M24=$A$15)),0,
         IF(OFFSET(CRONOPLE!$F$15,$M24-$A$15,BN$13)=0,10^12,OFFSET(CRONOPLE!$F$15,$M24-$A$15,BN$13)))</f>
        <v>1000000000000</v>
      </c>
      <c r="BO24" s="171">
        <f ca="1">IF(OR($D24&lt;&gt;"Serviço",AND(AUTOEVENTO="Manual",$M24=$A$15)),0,
         IF(OFFSET(CRONOPLE!$F$15,$M24-$A$15,BO$13)=0,10^12,OFFSET(CRONOPLE!$F$15,$M24-$A$15,BO$13)))</f>
        <v>1000000000000</v>
      </c>
      <c r="BP24" s="171">
        <f ca="1">IF(OR($D24&lt;&gt;"Serviço",AND(AUTOEVENTO="Manual",$M24=$A$15)),0,
         IF(OFFSET(CRONOPLE!$F$15,$M24-$A$15,BP$13)=0,10^12,OFFSET(CRONOPLE!$F$15,$M24-$A$15,BP$13)))</f>
        <v>1000000000000</v>
      </c>
      <c r="BQ24" s="171">
        <f ca="1">IF(OR($D24&lt;&gt;"Serviço",AND(AUTOEVENTO="Manual",$M24=$A$15)),0,
         IF(OFFSET(CRONOPLE!$F$15,$M24-$A$15,BQ$13)=0,10^12,OFFSET(CRONOPLE!$F$15,$M24-$A$15,BQ$13)))</f>
        <v>1000000000000</v>
      </c>
      <c r="BR24" s="171">
        <f ca="1">IF(OR($D24&lt;&gt;"Serviço",AND(AUTOEVENTO="Manual",$M24=$A$15)),0,
         IF(OFFSET(CRONOPLE!$F$15,$M24-$A$15,BR$13)=0,10^12,OFFSET(CRONOPLE!$F$15,$M24-$A$15,BR$13)))</f>
        <v>1000000000000</v>
      </c>
      <c r="BS24" s="171">
        <f ca="1">IF(OR($D24&lt;&gt;"Serviço",AND(AUTOEVENTO="Manual",$M24=$A$15)),0,
         IF(OFFSET(CRONOPLE!$F$15,$M24-$A$15,BS$13)=0,10^12,OFFSET(CRONOPLE!$F$15,$M24-$A$15,BS$13)))</f>
        <v>1000000000000</v>
      </c>
      <c r="BT24" s="171">
        <f ca="1">IF(OR($D24&lt;&gt;"Serviço",AND(AUTOEVENTO="Manual",$M24=$A$15)),0,
         IF(OFFSET(CRONOPLE!$F$15,$M24-$A$15,BT$13)=0,10^12,OFFSET(CRONOPLE!$F$15,$M24-$A$15,BT$13)))</f>
        <v>1000000000000</v>
      </c>
      <c r="BV24" s="172">
        <f t="array" aca="1" ref="BV24" ca="1">IF(OR($D24&lt;&gt;"Serviço",AND(AUTOEVENTO="Manual",$M24=$A$15),$M24&gt;(ROW(PLE.lastrow)-ROW(PLE.firstrow))),0,
           IF(OFFSET(PLE!$G$15,$M24-$A$15,BV$13)="",10^12,OFFSET(PLE!$G$15,$M24-$A$15,BV$13)))</f>
        <v>1000000000000</v>
      </c>
      <c r="BW24" s="172">
        <f t="array" aca="1" ref="BW24" ca="1">IF(OR($D24&lt;&gt;"Serviço",AND(AUTOEVENTO="Manual",$M24=$A$15),$M24&gt;(ROW(PLE.lastrow)-ROW(PLE.firstrow))),0,
           IF(OFFSET(PLE!$G$15,$M24-$A$15,BW$13)="",10^12,OFFSET(PLE!$G$15,$M24-$A$15,BW$13)))</f>
        <v>1000000000000</v>
      </c>
      <c r="BX24" s="172">
        <f t="array" aca="1" ref="BX24" ca="1">IF(OR($D24&lt;&gt;"Serviço",AND(AUTOEVENTO="Manual",$M24=$A$15),$M24&gt;(ROW(PLE.lastrow)-ROW(PLE.firstrow))),0,
           IF(OFFSET(PLE!$G$15,$M24-$A$15,BX$13)="",10^12,OFFSET(PLE!$G$15,$M24-$A$15,BX$13)))</f>
        <v>1000000000000</v>
      </c>
      <c r="BY24" s="172">
        <f t="array" aca="1" ref="BY24" ca="1">IF(OR($D24&lt;&gt;"Serviço",AND(AUTOEVENTO="Manual",$M24=$A$15),$M24&gt;(ROW(PLE.lastrow)-ROW(PLE.firstrow))),0,
           IF(OFFSET(PLE!$G$15,$M24-$A$15,BY$13)="",10^12,OFFSET(PLE!$G$15,$M24-$A$15,BY$13)))</f>
        <v>1000000000000</v>
      </c>
      <c r="BZ24" s="172">
        <f t="array" aca="1" ref="BZ24" ca="1">IF(OR($D24&lt;&gt;"Serviço",AND(AUTOEVENTO="Manual",$M24=$A$15),$M24&gt;(ROW(PLE.lastrow)-ROW(PLE.firstrow))),0,
           IF(OFFSET(PLE!$G$15,$M24-$A$15,BZ$13)="",10^12,OFFSET(PLE!$G$15,$M24-$A$15,BZ$13)))</f>
        <v>1000000000000</v>
      </c>
      <c r="CA24" s="172">
        <f t="array" aca="1" ref="CA24" ca="1">IF(OR($D24&lt;&gt;"Serviço",AND(AUTOEVENTO="Manual",$M24=$A$15),$M24&gt;(ROW(PLE.lastrow)-ROW(PLE.firstrow))),0,
           IF(OFFSET(PLE!$G$15,$M24-$A$15,CA$13)="",10^12,OFFSET(PLE!$G$15,$M24-$A$15,CA$13)))</f>
        <v>1000000000000</v>
      </c>
      <c r="CB24" s="172">
        <f t="array" aca="1" ref="CB24" ca="1">IF(OR($D24&lt;&gt;"Serviço",AND(AUTOEVENTO="Manual",$M24=$A$15),$M24&gt;(ROW(PLE.lastrow)-ROW(PLE.firstrow))),0,
           IF(OFFSET(PLE!$G$15,$M24-$A$15,CB$13)="",10^12,OFFSET(PLE!$G$15,$M24-$A$15,CB$13)))</f>
        <v>1000000000000</v>
      </c>
      <c r="CC24" s="172">
        <f t="array" aca="1" ref="CC24" ca="1">IF(OR($D24&lt;&gt;"Serviço",AND(AUTOEVENTO="Manual",$M24=$A$15),$M24&gt;(ROW(PLE.lastrow)-ROW(PLE.firstrow))),0,
           IF(OFFSET(PLE!$G$15,$M24-$A$15,CC$13)="",10^12,OFFSET(PLE!$G$15,$M24-$A$15,CC$13)))</f>
        <v>1000000000000</v>
      </c>
      <c r="CD24" s="172">
        <f t="array" aca="1" ref="CD24" ca="1">IF(OR($D24&lt;&gt;"Serviço",AND(AUTOEVENTO="Manual",$M24=$A$15),$M24&gt;(ROW(PLE.lastrow)-ROW(PLE.firstrow))),0,
           IF(OFFSET(PLE!$G$15,$M24-$A$15,CD$13)="",10^12,OFFSET(PLE!$G$15,$M24-$A$15,CD$13)))</f>
        <v>1000000000000</v>
      </c>
      <c r="CE24" s="172">
        <f t="array" aca="1" ref="CE24" ca="1">IF(OR($D24&lt;&gt;"Serviço",AND(AUTOEVENTO="Manual",$M24=$A$15),$M24&gt;(ROW(PLE.lastrow)-ROW(PLE.firstrow))),0,
           IF(OFFSET(PLE!$G$15,$M24-$A$15,CE$13)="",10^12,OFFSET(PLE!$G$15,$M24-$A$15,CE$13)))</f>
        <v>1000000000000</v>
      </c>
      <c r="CF24" s="172">
        <f t="array" aca="1" ref="CF24" ca="1">IF(OR($D24&lt;&gt;"Serviço",AND(AUTOEVENTO="Manual",$M24=$A$15),$M24&gt;(ROW(PLE.lastrow)-ROW(PLE.firstrow))),0,
           IF(OFFSET(PLE!$G$15,$M24-$A$15,CF$13)="",10^12,OFFSET(PLE!$G$15,$M24-$A$15,CF$13)))</f>
        <v>1000000000000</v>
      </c>
      <c r="CG24" s="172">
        <f t="array" aca="1" ref="CG24" ca="1">IF(OR($D24&lt;&gt;"Serviço",AND(AUTOEVENTO="Manual",$M24=$A$15),$M24&gt;(ROW(PLE.lastrow)-ROW(PLE.firstrow))),0,
           IF(OFFSET(PLE!$G$15,$M24-$A$15,CG$13)="",10^12,OFFSET(PLE!$G$15,$M24-$A$15,CG$13)))</f>
        <v>1000000000000</v>
      </c>
      <c r="CH24" s="172">
        <f t="array" aca="1" ref="CH24" ca="1">IF(OR($D24&lt;&gt;"Serviço",AND(AUTOEVENTO="Manual",$M24=$A$15),$M24&gt;(ROW(PLE.lastrow)-ROW(PLE.firstrow))),0,
           IF(OFFSET(PLE!$G$15,$M24-$A$15,CH$13)="",10^12,OFFSET(PLE!$G$15,$M24-$A$15,CH$13)))</f>
        <v>1000000000000</v>
      </c>
      <c r="CI24" s="172">
        <f t="array" aca="1" ref="CI24" ca="1">IF(OR($D24&lt;&gt;"Serviço",AND(AUTOEVENTO="Manual",$M24=$A$15),$M24&gt;(ROW(PLE.lastrow)-ROW(PLE.firstrow))),0,
           IF(OFFSET(PLE!$G$15,$M24-$A$15,CI$13)="",10^12,OFFSET(PLE!$G$15,$M24-$A$15,CI$13)))</f>
        <v>1000000000000</v>
      </c>
      <c r="CJ24" s="172">
        <f t="array" aca="1" ref="CJ24" ca="1">IF(OR($D24&lt;&gt;"Serviço",AND(AUTOEVENTO="Manual",$M24=$A$15),$M24&gt;(ROW(PLE.lastrow)-ROW(PLE.firstrow))),0,
           IF(OFFSET(PLE!$G$15,$M24-$A$15,CJ$13)="",10^12,OFFSET(PLE!$G$15,$M24-$A$15,CJ$13)))</f>
        <v>1000000000000</v>
      </c>
      <c r="CK24" s="172">
        <f t="array" aca="1" ref="CK24" ca="1">IF(OR($D24&lt;&gt;"Serviço",AND(AUTOEVENTO="Manual",$M24=$A$15),$M24&gt;(ROW(PLE.lastrow)-ROW(PLE.firstrow))),0,
           IF(OFFSET(PLE!$G$15,$M24-$A$15,CK$13)="",10^12,OFFSET(PLE!$G$15,$M24-$A$15,CK$13)))</f>
        <v>1000000000000</v>
      </c>
      <c r="CL24" s="172">
        <f t="array" aca="1" ref="CL24" ca="1">IF(OR($D24&lt;&gt;"Serviço",AND(AUTOEVENTO="Manual",$M24=$A$15),$M24&gt;(ROW(PLE.lastrow)-ROW(PLE.firstrow))),0,
           IF(OFFSET(PLE!$G$15,$M24-$A$15,CL$13)="",10^12,OFFSET(PLE!$G$15,$M24-$A$15,CL$13)))</f>
        <v>1000000000000</v>
      </c>
      <c r="CM24" s="172">
        <f t="array" aca="1" ref="CM24" ca="1">IF(OR($D24&lt;&gt;"Serviço",AND(AUTOEVENTO="Manual",$M24=$A$15),$M24&gt;(ROW(PLE.lastrow)-ROW(PLE.firstrow))),0,
           IF(OFFSET(PLE!$G$15,$M24-$A$15,CM$13)="",10^12,OFFSET(PLE!$G$15,$M24-$A$15,CM$13)))</f>
        <v>1000000000000</v>
      </c>
    </row>
    <row r="25" spans="1:91" s="696" customFormat="1" ht="38.25" x14ac:dyDescent="0.2">
      <c r="A25" s="694">
        <f t="shared" ca="1" si="10"/>
        <v>1</v>
      </c>
      <c r="B25" s="694" t="str">
        <f ca="1">OFFSET(ORÇAMENTO!C$15,$L25,0)</f>
        <v>S</v>
      </c>
      <c r="C25" s="694" t="str">
        <f ca="1">OFFSET(ORÇAMENTO!L$15,$L25,0)</f>
        <v>F</v>
      </c>
      <c r="D25" s="116" t="str">
        <f ca="1">OFFSET(ORÇAMENTO!N$15,$L25,0)</f>
        <v>Serviço</v>
      </c>
      <c r="E25" s="117" t="str">
        <f ca="1">OFFSET(ORÇAMENTO!O$15,$L25,0)</f>
        <v>1.2.2.</v>
      </c>
      <c r="F25" s="163" t="str">
        <f ca="1">OFFSET(ORÇAMENTO!R$15,$L25,0)</f>
        <v>MOBILIZAÇÃO E DESMOBILIZAÇÃO DE EQUIPAMENTO DE SONDAGEM A PERCUSSÃO COM ENSAIO DE PENETRAÇÃO PADRÃO (SPT) - (CUSTO FIXO)</v>
      </c>
      <c r="G25" s="164" t="str">
        <f ca="1">IF($D25&lt;&gt;"Serviço","",OFFSET(ORÇAMENTO!S$15,$L25,0))</f>
        <v>un</v>
      </c>
      <c r="H25" s="122">
        <f t="array" aca="1" ref="H25" ca="1">IF($D25&lt;&gt;"Serviço",0,IF(ACOMPANHAMENTO="BM",ROUND(OFFSET(ORÇAMENTO!AJ$15,$L25,0),15-13*ORÇAMENTO!$AF$7),IF(IFERROR(CÁLCULO.FrentesPreenchidas,0)=0,0,SUM(ROUND(OFFSET($P25,0,1,1,CÁLCULO.FrentesPreenchidas),15-13*ORÇAMENTO!$AF$7)))))</f>
        <v>1</v>
      </c>
      <c r="I25" s="467" t="s">
        <v>1214</v>
      </c>
      <c r="J25" s="653" t="str">
        <f t="array" aca="1" ref="J25" ca="1">IF(OR(B25&lt;&gt;"S",CÁLCULO.FrentesPreenchidas=0),"",IF(AND(ACOMPANHAMENTO="PLE",AUTOEVENTO="Manual",OR(H25&gt;0,ORÇAMENTO!AC25="QUANT."),OR(K25="",M25=0,N25="")),"►E",IF(AND(ACOMPANHAMENTO="PLE",ORÇAMENTO!AC25="QUANT."),"►Q",IF(AND(ACOMPANHAMENTO="PLE",H25&lt;&gt;SUMPRODUCT(($Q$1:$AI$1=1)*ROUND(Q25:AI25,15))),"►S",IF(AND(COUNTIF($P$11:$AI$11,"▼")=0,H25&gt;0,I25=""),"◄M","")))))</f>
        <v/>
      </c>
      <c r="K25" s="654" t="s">
        <v>1379</v>
      </c>
      <c r="L25" s="165">
        <f t="shared" ca="1" si="11"/>
        <v>10</v>
      </c>
      <c r="M25" s="166">
        <f ca="1">IF($D25&lt;&gt;"Serviço","",
          IF(AUTOEVENTO="manual",$A25,
                IF(ISERROR(MATCH($A25,$A$15:OFFSET($A25,-1,0),0)),MAX($M$15:OFFSET(M25,-1,0))+1,
                      INDEX($M$15:OFFSET(M25,-1,0),MATCH($A25,$A$15:OFFSET($A25,-1,0),0)))))</f>
        <v>1</v>
      </c>
      <c r="N25" s="167" t="str">
        <f ca="1">IF($D25&lt;&gt;"Serviço","",
         IF(AUTOEVENTO="Manual",
                IF($A25=0,"&lt;-- defina o número do agrupador",
                       OFFSET(EVENTOS!$D$15,$A25-$A$15,0)),
                OFFSET($F$15,$A25,0)))</f>
        <v>SERVIÇOS TÉCNICOS (PROJETOS, ORÇAMENTOS, SONDAGENS E OUTROS)</v>
      </c>
      <c r="O25" s="168"/>
      <c r="Q25" s="168"/>
      <c r="R25" s="169"/>
      <c r="S25" s="169"/>
      <c r="T25" s="169"/>
      <c r="U25" s="169">
        <v>1</v>
      </c>
      <c r="V25" s="169"/>
      <c r="W25" s="169"/>
      <c r="X25" s="169"/>
      <c r="Y25" s="169"/>
      <c r="Z25" s="170"/>
      <c r="AA25" s="169"/>
      <c r="AB25" s="169"/>
      <c r="AC25" s="169"/>
      <c r="AD25" s="169"/>
      <c r="AE25" s="169"/>
      <c r="AF25" s="169"/>
      <c r="AG25" s="169"/>
      <c r="AH25" s="170"/>
      <c r="AJ25" s="452">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2">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L25" s="452">
        <f ca="1">IF(AND($D25="Serviço",AL$12&lt;&gt;0,$H25&gt;0,OR(AUTOEVENTO&lt;&gt;"manual",$M25&lt;&gt;$A$15)),
        IF(Import.TipoArredondamento&lt;&gt;"TransfereGOV",
              ROUND(OFFSET($P25,0,AL$13),15-13*ORÇAMENTO!$AF$7)/$H25*OFFSET(ORÇAMENTO!$X$15,ROW(AL25)-ROW(AL$15),0),
              ROUND(ROUND(OFFSET($P25,0,AL$13),15-13*ORÇAMENTO!$AF$7)*OFFSET(ORÇAMENTO!$W$15,ROW(AL25)-ROW(AL$15),0),15-13*ORÇAMENTO!$AF$11)),
         0)</f>
        <v>0</v>
      </c>
      <c r="AM25" s="452">
        <f ca="1">IF(AND($D25="Serviço",AM$12&lt;&gt;0,$H25&gt;0,OR(AUTOEVENTO&lt;&gt;"manual",$M25&lt;&gt;$A$15)),
        IF(Import.TipoArredondamento&lt;&gt;"TransfereGOV",
              ROUND(OFFSET($P25,0,AM$13),15-13*ORÇAMENTO!$AF$7)/$H25*OFFSET(ORÇAMENTO!$X$15,ROW(AM25)-ROW(AM$15),0),
              ROUND(ROUND(OFFSET($P25,0,AM$13),15-13*ORÇAMENTO!$AF$7)*OFFSET(ORÇAMENTO!$W$15,ROW(AM25)-ROW(AM$15),0),15-13*ORÇAMENTO!$AF$11)),
         0)</f>
        <v>0</v>
      </c>
      <c r="AN25" s="452">
        <f ca="1">IF(AND($D25="Serviço",AN$12&lt;&gt;0,$H25&gt;0,OR(AUTOEVENTO&lt;&gt;"manual",$M25&lt;&gt;$A$15)),
        IF(Import.TipoArredondamento&lt;&gt;"TransfereGOV",
              ROUND(OFFSET($P25,0,AN$13),15-13*ORÇAMENTO!$AF$7)/$H25*OFFSET(ORÇAMENTO!$X$15,ROW(AN25)-ROW(AN$15),0),
              ROUND(ROUND(OFFSET($P25,0,AN$13),15-13*ORÇAMENTO!$AF$7)*OFFSET(ORÇAMENTO!$W$15,ROW(AN25)-ROW(AN$15),0),15-13*ORÇAMENTO!$AF$11)),
         0)</f>
        <v>988.21</v>
      </c>
      <c r="AO25" s="452">
        <f ca="1">IF(AND($D25="Serviço",AO$12&lt;&gt;0,$H25&gt;0,OR(AUTOEVENTO&lt;&gt;"manual",$M25&lt;&gt;$A$15)),
        IF(Import.TipoArredondamento&lt;&gt;"TransfereGOV",
              ROUND(OFFSET($P25,0,AO$13),15-13*ORÇAMENTO!$AF$7)/$H25*OFFSET(ORÇAMENTO!$X$15,ROW(AO25)-ROW(AO$15),0),
              ROUND(ROUND(OFFSET($P25,0,AO$13),15-13*ORÇAMENTO!$AF$7)*OFFSET(ORÇAMENTO!$W$15,ROW(AO25)-ROW(AO$15),0),15-13*ORÇAMENTO!$AF$11)),
         0)</f>
        <v>0</v>
      </c>
      <c r="AP25" s="452">
        <f ca="1">IF(AND($D25="Serviço",AP$12&lt;&gt;0,$H25&gt;0,OR(AUTOEVENTO&lt;&gt;"manual",$M25&lt;&gt;$A$15)),
        IF(Import.TipoArredondamento&lt;&gt;"TransfereGOV",
              ROUND(OFFSET($P25,0,AP$13),15-13*ORÇAMENTO!$AF$7)/$H25*OFFSET(ORÇAMENTO!$X$15,ROW(AP25)-ROW(AP$15),0),
              ROUND(ROUND(OFFSET($P25,0,AP$13),15-13*ORÇAMENTO!$AF$7)*OFFSET(ORÇAMENTO!$W$15,ROW(AP25)-ROW(AP$15),0),15-13*ORÇAMENTO!$AF$11)),
         0)</f>
        <v>0</v>
      </c>
      <c r="AQ25" s="452">
        <f ca="1">IF(AND($D25="Serviço",AQ$12&lt;&gt;0,$H25&gt;0,OR(AUTOEVENTO&lt;&gt;"manual",$M25&lt;&gt;$A$15)),
        IF(Import.TipoArredondamento&lt;&gt;"TransfereGOV",
              ROUND(OFFSET($P25,0,AQ$13),15-13*ORÇAMENTO!$AF$7)/$H25*OFFSET(ORÇAMENTO!$X$15,ROW(AQ25)-ROW(AQ$15),0),
              ROUND(ROUND(OFFSET($P25,0,AQ$13),15-13*ORÇAMENTO!$AF$7)*OFFSET(ORÇAMENTO!$W$15,ROW(AQ25)-ROW(AQ$15),0),15-13*ORÇAMENTO!$AF$11)),
         0)</f>
        <v>0</v>
      </c>
      <c r="AR25" s="452">
        <f ca="1">IF(AND($D25="Serviço",AR$12&lt;&gt;0,$H25&gt;0,OR(AUTOEVENTO&lt;&gt;"manual",$M25&lt;&gt;$A$15)),
        IF(Import.TipoArredondamento&lt;&gt;"TransfereGOV",
              ROUND(OFFSET($P25,0,AR$13),15-13*ORÇAMENTO!$AF$7)/$H25*OFFSET(ORÇAMENTO!$X$15,ROW(AR25)-ROW(AR$15),0),
              ROUND(ROUND(OFFSET($P25,0,AR$13),15-13*ORÇAMENTO!$AF$7)*OFFSET(ORÇAMENTO!$W$15,ROW(AR25)-ROW(AR$15),0),15-13*ORÇAMENTO!$AF$11)),
         0)</f>
        <v>0</v>
      </c>
      <c r="AS25" s="452">
        <f ca="1">IF(AND($D25="Serviço",AS$12&lt;&gt;0,$H25&gt;0,OR(AUTOEVENTO&lt;&gt;"manual",$M25&lt;&gt;$A$15)),
        IF(Import.TipoArredondamento&lt;&gt;"TransfereGOV",
              ROUND(OFFSET($P25,0,AS$13),15-13*ORÇAMENTO!$AF$7)/$H25*OFFSET(ORÇAMENTO!$X$15,ROW(AS25)-ROW(AS$15),0),
              ROUND(ROUND(OFFSET($P25,0,AS$13),15-13*ORÇAMENTO!$AF$7)*OFFSET(ORÇAMENTO!$W$15,ROW(AS25)-ROW(AS$15),0),15-13*ORÇAMENTO!$AF$11)),
         0)</f>
        <v>0</v>
      </c>
      <c r="AT25" s="452">
        <f ca="1">IF(AND($D25="Serviço",AT$12&lt;&gt;0,$H25&gt;0,OR(AUTOEVENTO&lt;&gt;"manual",$M25&lt;&gt;$A$15)),
        IF(Import.TipoArredondamento&lt;&gt;"TransfereGOV",
              ROUND(OFFSET($P25,0,AT$13),15-13*ORÇAMENTO!$AF$7)/$H25*OFFSET(ORÇAMENTO!$X$15,ROW(AT25)-ROW(AT$15),0),
              ROUND(ROUND(OFFSET($P25,0,AT$13),15-13*ORÇAMENTO!$AF$7)*OFFSET(ORÇAMENTO!$W$15,ROW(AT25)-ROW(AT$15),0),15-13*ORÇAMENTO!$AF$11)),
         0)</f>
        <v>0</v>
      </c>
      <c r="AU25" s="452">
        <f ca="1">IF(AND($D25="Serviço",AU$12&lt;&gt;0,$H25&gt;0,OR(AUTOEVENTO&lt;&gt;"manual",$M25&lt;&gt;$A$15)),
        IF(Import.TipoArredondamento&lt;&gt;"TransfereGOV",
              ROUND(OFFSET($P25,0,AU$13),15-13*ORÇAMENTO!$AF$7)/$H25*OFFSET(ORÇAMENTO!$X$15,ROW(AU25)-ROW(AU$15),0),
              ROUND(ROUND(OFFSET($P25,0,AU$13),15-13*ORÇAMENTO!$AF$7)*OFFSET(ORÇAMENTO!$W$15,ROW(AU25)-ROW(AU$15),0),15-13*ORÇAMENTO!$AF$11)),
         0)</f>
        <v>0</v>
      </c>
      <c r="AV25" s="452">
        <f ca="1">IF(AND($D25="Serviço",AV$12&lt;&gt;0,$H25&gt;0,OR(AUTOEVENTO&lt;&gt;"manual",$M25&lt;&gt;$A$15)),
        IF(Import.TipoArredondamento&lt;&gt;"TransfereGOV",
              ROUND(OFFSET($P25,0,AV$13),15-13*ORÇAMENTO!$AF$7)/$H25*OFFSET(ORÇAMENTO!$X$15,ROW(AV25)-ROW(AV$15),0),
              ROUND(ROUND(OFFSET($P25,0,AV$13),15-13*ORÇAMENTO!$AF$7)*OFFSET(ORÇAMENTO!$W$15,ROW(AV25)-ROW(AV$15),0),15-13*ORÇAMENTO!$AF$11)),
         0)</f>
        <v>0</v>
      </c>
      <c r="AW25" s="452">
        <f ca="1">IF(AND($D25="Serviço",AW$12&lt;&gt;0,$H25&gt;0,OR(AUTOEVENTO&lt;&gt;"manual",$M25&lt;&gt;$A$15)),
        IF(Import.TipoArredondamento&lt;&gt;"TransfereGOV",
              ROUND(OFFSET($P25,0,AW$13),15-13*ORÇAMENTO!$AF$7)/$H25*OFFSET(ORÇAMENTO!$X$15,ROW(AW25)-ROW(AW$15),0),
              ROUND(ROUND(OFFSET($P25,0,AW$13),15-13*ORÇAMENTO!$AF$7)*OFFSET(ORÇAMENTO!$W$15,ROW(AW25)-ROW(AW$15),0),15-13*ORÇAMENTO!$AF$11)),
         0)</f>
        <v>0</v>
      </c>
      <c r="AX25" s="452">
        <f ca="1">IF(AND($D25="Serviço",AX$12&lt;&gt;0,$H25&gt;0,OR(AUTOEVENTO&lt;&gt;"manual",$M25&lt;&gt;$A$15)),
        IF(Import.TipoArredondamento&lt;&gt;"TransfereGOV",
              ROUND(OFFSET($P25,0,AX$13),15-13*ORÇAMENTO!$AF$7)/$H25*OFFSET(ORÇAMENTO!$X$15,ROW(AX25)-ROW(AX$15),0),
              ROUND(ROUND(OFFSET($P25,0,AX$13),15-13*ORÇAMENTO!$AF$7)*OFFSET(ORÇAMENTO!$W$15,ROW(AX25)-ROW(AX$15),0),15-13*ORÇAMENTO!$AF$11)),
         0)</f>
        <v>0</v>
      </c>
      <c r="AY25" s="452">
        <f ca="1">IF(AND($D25="Serviço",AY$12&lt;&gt;0,$H25&gt;0,OR(AUTOEVENTO&lt;&gt;"manual",$M25&lt;&gt;$A$15)),
        IF(Import.TipoArredondamento&lt;&gt;"TransfereGOV",
              ROUND(OFFSET($P25,0,AY$13),15-13*ORÇAMENTO!$AF$7)/$H25*OFFSET(ORÇAMENTO!$X$15,ROW(AY25)-ROW(AY$15),0),
              ROUND(ROUND(OFFSET($P25,0,AY$13),15-13*ORÇAMENTO!$AF$7)*OFFSET(ORÇAMENTO!$W$15,ROW(AY25)-ROW(AY$15),0),15-13*ORÇAMENTO!$AF$11)),
         0)</f>
        <v>0</v>
      </c>
      <c r="AZ25" s="452">
        <f ca="1">IF(AND($D25="Serviço",AZ$12&lt;&gt;0,$H25&gt;0,OR(AUTOEVENTO&lt;&gt;"manual",$M25&lt;&gt;$A$15)),
        IF(Import.TipoArredondamento&lt;&gt;"TransfereGOV",
              ROUND(OFFSET($P25,0,AZ$13),15-13*ORÇAMENTO!$AF$7)/$H25*OFFSET(ORÇAMENTO!$X$15,ROW(AZ25)-ROW(AZ$15),0),
              ROUND(ROUND(OFFSET($P25,0,AZ$13),15-13*ORÇAMENTO!$AF$7)*OFFSET(ORÇAMENTO!$W$15,ROW(AZ25)-ROW(AZ$15),0),15-13*ORÇAMENTO!$AF$11)),
         0)</f>
        <v>0</v>
      </c>
      <c r="BA25" s="452">
        <f ca="1">IF(AND($D25="Serviço",BA$12&lt;&gt;0,$H25&gt;0,OR(AUTOEVENTO&lt;&gt;"manual",$M25&lt;&gt;$A$15)),
        IF(Import.TipoArredondamento&lt;&gt;"TransfereGOV",
              ROUND(OFFSET($P25,0,BA$13),15-13*ORÇAMENTO!$AF$7)/$H25*OFFSET(ORÇAMENTO!$X$15,ROW(BA25)-ROW(BA$15),0),
              ROUND(ROUND(OFFSET($P25,0,BA$13),15-13*ORÇAMENTO!$AF$7)*OFFSET(ORÇAMENTO!$W$15,ROW(BA25)-ROW(BA$15),0),15-13*ORÇAMENTO!$AF$11)),
         0)</f>
        <v>0</v>
      </c>
      <c r="BC25" s="171">
        <f ca="1">IF(OR($D25&lt;&gt;"Serviço",AND(AUTOEVENTO="Manual",$M25=$A$15)),0,
         IF(OFFSET(CRONOPLE!$F$15,$M25-$A$15,BC$13)=0,10^12,OFFSET(CRONOPLE!$F$15,$M25-$A$15,BC$13)))</f>
        <v>1</v>
      </c>
      <c r="BD25" s="171">
        <f ca="1">IF(OR($D25&lt;&gt;"Serviço",AND(AUTOEVENTO="Manual",$M25=$A$15)),0,
         IF(OFFSET(CRONOPLE!$F$15,$M25-$A$15,BD$13)=0,10^12,OFFSET(CRONOPLE!$F$15,$M25-$A$15,BD$13)))</f>
        <v>1000000000000</v>
      </c>
      <c r="BE25" s="171">
        <f ca="1">IF(OR($D25&lt;&gt;"Serviço",AND(AUTOEVENTO="Manual",$M25=$A$15)),0,
         IF(OFFSET(CRONOPLE!$F$15,$M25-$A$15,BE$13)=0,10^12,OFFSET(CRONOPLE!$F$15,$M25-$A$15,BE$13)))</f>
        <v>1000000000000</v>
      </c>
      <c r="BF25" s="171">
        <f ca="1">IF(OR($D25&lt;&gt;"Serviço",AND(AUTOEVENTO="Manual",$M25=$A$15)),0,
         IF(OFFSET(CRONOPLE!$F$15,$M25-$A$15,BF$13)=0,10^12,OFFSET(CRONOPLE!$F$15,$M25-$A$15,BF$13)))</f>
        <v>1000000000000</v>
      </c>
      <c r="BG25" s="171">
        <f ca="1">IF(OR($D25&lt;&gt;"Serviço",AND(AUTOEVENTO="Manual",$M25=$A$15)),0,
         IF(OFFSET(CRONOPLE!$F$15,$M25-$A$15,BG$13)=0,10^12,OFFSET(CRONOPLE!$F$15,$M25-$A$15,BG$13)))</f>
        <v>1</v>
      </c>
      <c r="BH25" s="171">
        <f ca="1">IF(OR($D25&lt;&gt;"Serviço",AND(AUTOEVENTO="Manual",$M25=$A$15)),0,
         IF(OFFSET(CRONOPLE!$F$15,$M25-$A$15,BH$13)=0,10^12,OFFSET(CRONOPLE!$F$15,$M25-$A$15,BH$13)))</f>
        <v>1000000000000</v>
      </c>
      <c r="BI25" s="171">
        <f ca="1">IF(OR($D25&lt;&gt;"Serviço",AND(AUTOEVENTO="Manual",$M25=$A$15)),0,
         IF(OFFSET(CRONOPLE!$F$15,$M25-$A$15,BI$13)=0,10^12,OFFSET(CRONOPLE!$F$15,$M25-$A$15,BI$13)))</f>
        <v>1000000000000</v>
      </c>
      <c r="BJ25" s="171">
        <f ca="1">IF(OR($D25&lt;&gt;"Serviço",AND(AUTOEVENTO="Manual",$M25=$A$15)),0,
         IF(OFFSET(CRONOPLE!$F$15,$M25-$A$15,BJ$13)=0,10^12,OFFSET(CRONOPLE!$F$15,$M25-$A$15,BJ$13)))</f>
        <v>1000000000000</v>
      </c>
      <c r="BK25" s="171">
        <f ca="1">IF(OR($D25&lt;&gt;"Serviço",AND(AUTOEVENTO="Manual",$M25=$A$15)),0,
         IF(OFFSET(CRONOPLE!$F$15,$M25-$A$15,BK$13)=0,10^12,OFFSET(CRONOPLE!$F$15,$M25-$A$15,BK$13)))</f>
        <v>1000000000000</v>
      </c>
      <c r="BL25" s="171">
        <f ca="1">IF(OR($D25&lt;&gt;"Serviço",AND(AUTOEVENTO="Manual",$M25=$A$15)),0,
         IF(OFFSET(CRONOPLE!$F$15,$M25-$A$15,BL$13)=0,10^12,OFFSET(CRONOPLE!$F$15,$M25-$A$15,BL$13)))</f>
        <v>1000000000000</v>
      </c>
      <c r="BM25" s="171">
        <f ca="1">IF(OR($D25&lt;&gt;"Serviço",AND(AUTOEVENTO="Manual",$M25=$A$15)),0,
         IF(OFFSET(CRONOPLE!$F$15,$M25-$A$15,BM$13)=0,10^12,OFFSET(CRONOPLE!$F$15,$M25-$A$15,BM$13)))</f>
        <v>1000000000000</v>
      </c>
      <c r="BN25" s="171">
        <f ca="1">IF(OR($D25&lt;&gt;"Serviço",AND(AUTOEVENTO="Manual",$M25=$A$15)),0,
         IF(OFFSET(CRONOPLE!$F$15,$M25-$A$15,BN$13)=0,10^12,OFFSET(CRONOPLE!$F$15,$M25-$A$15,BN$13)))</f>
        <v>1000000000000</v>
      </c>
      <c r="BO25" s="171">
        <f ca="1">IF(OR($D25&lt;&gt;"Serviço",AND(AUTOEVENTO="Manual",$M25=$A$15)),0,
         IF(OFFSET(CRONOPLE!$F$15,$M25-$A$15,BO$13)=0,10^12,OFFSET(CRONOPLE!$F$15,$M25-$A$15,BO$13)))</f>
        <v>1000000000000</v>
      </c>
      <c r="BP25" s="171">
        <f ca="1">IF(OR($D25&lt;&gt;"Serviço",AND(AUTOEVENTO="Manual",$M25=$A$15)),0,
         IF(OFFSET(CRONOPLE!$F$15,$M25-$A$15,BP$13)=0,10^12,OFFSET(CRONOPLE!$F$15,$M25-$A$15,BP$13)))</f>
        <v>1000000000000</v>
      </c>
      <c r="BQ25" s="171">
        <f ca="1">IF(OR($D25&lt;&gt;"Serviço",AND(AUTOEVENTO="Manual",$M25=$A$15)),0,
         IF(OFFSET(CRONOPLE!$F$15,$M25-$A$15,BQ$13)=0,10^12,OFFSET(CRONOPLE!$F$15,$M25-$A$15,BQ$13)))</f>
        <v>1000000000000</v>
      </c>
      <c r="BR25" s="171">
        <f ca="1">IF(OR($D25&lt;&gt;"Serviço",AND(AUTOEVENTO="Manual",$M25=$A$15)),0,
         IF(OFFSET(CRONOPLE!$F$15,$M25-$A$15,BR$13)=0,10^12,OFFSET(CRONOPLE!$F$15,$M25-$A$15,BR$13)))</f>
        <v>1000000000000</v>
      </c>
      <c r="BS25" s="171">
        <f ca="1">IF(OR($D25&lt;&gt;"Serviço",AND(AUTOEVENTO="Manual",$M25=$A$15)),0,
         IF(OFFSET(CRONOPLE!$F$15,$M25-$A$15,BS$13)=0,10^12,OFFSET(CRONOPLE!$F$15,$M25-$A$15,BS$13)))</f>
        <v>1000000000000</v>
      </c>
      <c r="BT25" s="171">
        <f ca="1">IF(OR($D25&lt;&gt;"Serviço",AND(AUTOEVENTO="Manual",$M25=$A$15)),0,
         IF(OFFSET(CRONOPLE!$F$15,$M25-$A$15,BT$13)=0,10^12,OFFSET(CRONOPLE!$F$15,$M25-$A$15,BT$13)))</f>
        <v>1000000000000</v>
      </c>
      <c r="BV25" s="172">
        <f t="array" aca="1" ref="BV25" ca="1">IF(OR($D25&lt;&gt;"Serviço",AND(AUTOEVENTO="Manual",$M25=$A$15),$M25&gt;(ROW(PLE.lastrow)-ROW(PLE.firstrow))),0,
           IF(OFFSET(PLE!$G$15,$M25-$A$15,BV$13)="",10^12,OFFSET(PLE!$G$15,$M25-$A$15,BV$13)))</f>
        <v>1000000000000</v>
      </c>
      <c r="BW25" s="172">
        <f t="array" aca="1" ref="BW25" ca="1">IF(OR($D25&lt;&gt;"Serviço",AND(AUTOEVENTO="Manual",$M25=$A$15),$M25&gt;(ROW(PLE.lastrow)-ROW(PLE.firstrow))),0,
           IF(OFFSET(PLE!$G$15,$M25-$A$15,BW$13)="",10^12,OFFSET(PLE!$G$15,$M25-$A$15,BW$13)))</f>
        <v>1000000000000</v>
      </c>
      <c r="BX25" s="172">
        <f t="array" aca="1" ref="BX25" ca="1">IF(OR($D25&lt;&gt;"Serviço",AND(AUTOEVENTO="Manual",$M25=$A$15),$M25&gt;(ROW(PLE.lastrow)-ROW(PLE.firstrow))),0,
           IF(OFFSET(PLE!$G$15,$M25-$A$15,BX$13)="",10^12,OFFSET(PLE!$G$15,$M25-$A$15,BX$13)))</f>
        <v>1000000000000</v>
      </c>
      <c r="BY25" s="172">
        <f t="array" aca="1" ref="BY25" ca="1">IF(OR($D25&lt;&gt;"Serviço",AND(AUTOEVENTO="Manual",$M25=$A$15),$M25&gt;(ROW(PLE.lastrow)-ROW(PLE.firstrow))),0,
           IF(OFFSET(PLE!$G$15,$M25-$A$15,BY$13)="",10^12,OFFSET(PLE!$G$15,$M25-$A$15,BY$13)))</f>
        <v>1000000000000</v>
      </c>
      <c r="BZ25" s="172">
        <f t="array" aca="1" ref="BZ25" ca="1">IF(OR($D25&lt;&gt;"Serviço",AND(AUTOEVENTO="Manual",$M25=$A$15),$M25&gt;(ROW(PLE.lastrow)-ROW(PLE.firstrow))),0,
           IF(OFFSET(PLE!$G$15,$M25-$A$15,BZ$13)="",10^12,OFFSET(PLE!$G$15,$M25-$A$15,BZ$13)))</f>
        <v>1000000000000</v>
      </c>
      <c r="CA25" s="172">
        <f t="array" aca="1" ref="CA25" ca="1">IF(OR($D25&lt;&gt;"Serviço",AND(AUTOEVENTO="Manual",$M25=$A$15),$M25&gt;(ROW(PLE.lastrow)-ROW(PLE.firstrow))),0,
           IF(OFFSET(PLE!$G$15,$M25-$A$15,CA$13)="",10^12,OFFSET(PLE!$G$15,$M25-$A$15,CA$13)))</f>
        <v>1000000000000</v>
      </c>
      <c r="CB25" s="172">
        <f t="array" aca="1" ref="CB25" ca="1">IF(OR($D25&lt;&gt;"Serviço",AND(AUTOEVENTO="Manual",$M25=$A$15),$M25&gt;(ROW(PLE.lastrow)-ROW(PLE.firstrow))),0,
           IF(OFFSET(PLE!$G$15,$M25-$A$15,CB$13)="",10^12,OFFSET(PLE!$G$15,$M25-$A$15,CB$13)))</f>
        <v>1000000000000</v>
      </c>
      <c r="CC25" s="172">
        <f t="array" aca="1" ref="CC25" ca="1">IF(OR($D25&lt;&gt;"Serviço",AND(AUTOEVENTO="Manual",$M25=$A$15),$M25&gt;(ROW(PLE.lastrow)-ROW(PLE.firstrow))),0,
           IF(OFFSET(PLE!$G$15,$M25-$A$15,CC$13)="",10^12,OFFSET(PLE!$G$15,$M25-$A$15,CC$13)))</f>
        <v>1000000000000</v>
      </c>
      <c r="CD25" s="172">
        <f t="array" aca="1" ref="CD25" ca="1">IF(OR($D25&lt;&gt;"Serviço",AND(AUTOEVENTO="Manual",$M25=$A$15),$M25&gt;(ROW(PLE.lastrow)-ROW(PLE.firstrow))),0,
           IF(OFFSET(PLE!$G$15,$M25-$A$15,CD$13)="",10^12,OFFSET(PLE!$G$15,$M25-$A$15,CD$13)))</f>
        <v>1000000000000</v>
      </c>
      <c r="CE25" s="172">
        <f t="array" aca="1" ref="CE25" ca="1">IF(OR($D25&lt;&gt;"Serviço",AND(AUTOEVENTO="Manual",$M25=$A$15),$M25&gt;(ROW(PLE.lastrow)-ROW(PLE.firstrow))),0,
           IF(OFFSET(PLE!$G$15,$M25-$A$15,CE$13)="",10^12,OFFSET(PLE!$G$15,$M25-$A$15,CE$13)))</f>
        <v>1000000000000</v>
      </c>
      <c r="CF25" s="172">
        <f t="array" aca="1" ref="CF25" ca="1">IF(OR($D25&lt;&gt;"Serviço",AND(AUTOEVENTO="Manual",$M25=$A$15),$M25&gt;(ROW(PLE.lastrow)-ROW(PLE.firstrow))),0,
           IF(OFFSET(PLE!$G$15,$M25-$A$15,CF$13)="",10^12,OFFSET(PLE!$G$15,$M25-$A$15,CF$13)))</f>
        <v>1000000000000</v>
      </c>
      <c r="CG25" s="172">
        <f t="array" aca="1" ref="CG25" ca="1">IF(OR($D25&lt;&gt;"Serviço",AND(AUTOEVENTO="Manual",$M25=$A$15),$M25&gt;(ROW(PLE.lastrow)-ROW(PLE.firstrow))),0,
           IF(OFFSET(PLE!$G$15,$M25-$A$15,CG$13)="",10^12,OFFSET(PLE!$G$15,$M25-$A$15,CG$13)))</f>
        <v>1000000000000</v>
      </c>
      <c r="CH25" s="172">
        <f t="array" aca="1" ref="CH25" ca="1">IF(OR($D25&lt;&gt;"Serviço",AND(AUTOEVENTO="Manual",$M25=$A$15),$M25&gt;(ROW(PLE.lastrow)-ROW(PLE.firstrow))),0,
           IF(OFFSET(PLE!$G$15,$M25-$A$15,CH$13)="",10^12,OFFSET(PLE!$G$15,$M25-$A$15,CH$13)))</f>
        <v>1000000000000</v>
      </c>
      <c r="CI25" s="172">
        <f t="array" aca="1" ref="CI25" ca="1">IF(OR($D25&lt;&gt;"Serviço",AND(AUTOEVENTO="Manual",$M25=$A$15),$M25&gt;(ROW(PLE.lastrow)-ROW(PLE.firstrow))),0,
           IF(OFFSET(PLE!$G$15,$M25-$A$15,CI$13)="",10^12,OFFSET(PLE!$G$15,$M25-$A$15,CI$13)))</f>
        <v>1000000000000</v>
      </c>
      <c r="CJ25" s="172">
        <f t="array" aca="1" ref="CJ25" ca="1">IF(OR($D25&lt;&gt;"Serviço",AND(AUTOEVENTO="Manual",$M25=$A$15),$M25&gt;(ROW(PLE.lastrow)-ROW(PLE.firstrow))),0,
           IF(OFFSET(PLE!$G$15,$M25-$A$15,CJ$13)="",10^12,OFFSET(PLE!$G$15,$M25-$A$15,CJ$13)))</f>
        <v>1000000000000</v>
      </c>
      <c r="CK25" s="172">
        <f t="array" aca="1" ref="CK25" ca="1">IF(OR($D25&lt;&gt;"Serviço",AND(AUTOEVENTO="Manual",$M25=$A$15),$M25&gt;(ROW(PLE.lastrow)-ROW(PLE.firstrow))),0,
           IF(OFFSET(PLE!$G$15,$M25-$A$15,CK$13)="",10^12,OFFSET(PLE!$G$15,$M25-$A$15,CK$13)))</f>
        <v>1000000000000</v>
      </c>
      <c r="CL25" s="172">
        <f t="array" aca="1" ref="CL25" ca="1">IF(OR($D25&lt;&gt;"Serviço",AND(AUTOEVENTO="Manual",$M25=$A$15),$M25&gt;(ROW(PLE.lastrow)-ROW(PLE.firstrow))),0,
           IF(OFFSET(PLE!$G$15,$M25-$A$15,CL$13)="",10^12,OFFSET(PLE!$G$15,$M25-$A$15,CL$13)))</f>
        <v>1000000000000</v>
      </c>
      <c r="CM25" s="172">
        <f t="array" aca="1" ref="CM25" ca="1">IF(OR($D25&lt;&gt;"Serviço",AND(AUTOEVENTO="Manual",$M25=$A$15),$M25&gt;(ROW(PLE.lastrow)-ROW(PLE.firstrow))),0,
           IF(OFFSET(PLE!$G$15,$M25-$A$15,CM$13)="",10^12,OFFSET(PLE!$G$15,$M25-$A$15,CM$13)))</f>
        <v>1000000000000</v>
      </c>
    </row>
    <row r="26" spans="1:91" s="696" customFormat="1" ht="63.75" x14ac:dyDescent="0.2">
      <c r="A26" s="694">
        <f t="shared" ca="1" si="10"/>
        <v>1</v>
      </c>
      <c r="B26" s="694" t="str">
        <f ca="1">OFFSET(ORÇAMENTO!C$15,$L26,0)</f>
        <v>S</v>
      </c>
      <c r="C26" s="694" t="str">
        <f ca="1">OFFSET(ORÇAMENTO!L$15,$L26,0)</f>
        <v>F</v>
      </c>
      <c r="D26" s="116" t="str">
        <f ca="1">OFFSET(ORÇAMENTO!N$15,$L26,0)</f>
        <v>Serviço</v>
      </c>
      <c r="E26" s="117" t="str">
        <f ca="1">OFFSET(ORÇAMENTO!O$15,$L26,0)</f>
        <v>1.2.3.</v>
      </c>
      <c r="F26" s="163" t="str">
        <f ca="1">OFFSET(ORÇAMENTO!R$15,$L26,0)</f>
        <v>MOBILIZAÇÃO E DESMOBILIZAÇÃO DE EQUIPAMENTO DE SONDAGEM A PERCUSSÃO COM ENSAIO DE PENETRAÇÃO PADRÃO (SPT) - (CUSTO VARIÁVEL), EXCLUSIVE CUSTO FIXO</v>
      </c>
      <c r="G26" s="164" t="str">
        <f ca="1">IF($D26&lt;&gt;"Serviço","",OFFSET(ORÇAMENTO!S$15,$L26,0))</f>
        <v>km</v>
      </c>
      <c r="H26" s="122">
        <f t="array" aca="1" ref="H26" ca="1">IF($D26&lt;&gt;"Serviço",0,IF(ACOMPANHAMENTO="BM",ROUND(OFFSET(ORÇAMENTO!AJ$15,$L26,0),15-13*ORÇAMENTO!$AF$7),IF(IFERROR(CÁLCULO.FrentesPreenchidas,0)=0,0,SUM(ROUND(OFFSET($P26,0,1,1,CÁLCULO.FrentesPreenchidas),15-13*ORÇAMENTO!$AF$7)))))</f>
        <v>50</v>
      </c>
      <c r="I26" s="467" t="s">
        <v>1213</v>
      </c>
      <c r="J26" s="653" t="str">
        <f t="array" aca="1" ref="J26" ca="1">IF(OR(B26&lt;&gt;"S",CÁLCULO.FrentesPreenchidas=0),"",IF(AND(ACOMPANHAMENTO="PLE",AUTOEVENTO="Manual",OR(H26&gt;0,ORÇAMENTO!AC26="QUANT."),OR(K26="",M26=0,N26="")),"►E",IF(AND(ACOMPANHAMENTO="PLE",ORÇAMENTO!AC26="QUANT."),"►Q",IF(AND(ACOMPANHAMENTO="PLE",H26&lt;&gt;SUMPRODUCT(($Q$1:$AI$1=1)*ROUND(Q26:AI26,15))),"►S",IF(AND(COUNTIF($P$11:$AI$11,"▼")=0,H26&gt;0,I26=""),"◄M","")))))</f>
        <v/>
      </c>
      <c r="K26" s="654" t="s">
        <v>1379</v>
      </c>
      <c r="L26" s="165">
        <f t="shared" ca="1" si="11"/>
        <v>11</v>
      </c>
      <c r="M26" s="166">
        <f ca="1">IF($D26&lt;&gt;"Serviço","",
          IF(AUTOEVENTO="manual",$A26,
                IF(ISERROR(MATCH($A26,$A$15:OFFSET($A26,-1,0),0)),MAX($M$15:OFFSET(M26,-1,0))+1,
                      INDEX($M$15:OFFSET(M26,-1,0),MATCH($A26,$A$15:OFFSET($A26,-1,0),0)))))</f>
        <v>1</v>
      </c>
      <c r="N26" s="167" t="str">
        <f ca="1">IF($D26&lt;&gt;"Serviço","",
         IF(AUTOEVENTO="Manual",
                IF($A26=0,"&lt;-- defina o número do agrupador",
                       OFFSET(EVENTOS!$D$15,$A26-$A$15,0)),
                OFFSET($F$15,$A26,0)))</f>
        <v>SERVIÇOS TÉCNICOS (PROJETOS, ORÇAMENTOS, SONDAGENS E OUTROS)</v>
      </c>
      <c r="O26" s="168"/>
      <c r="Q26" s="168"/>
      <c r="R26" s="169"/>
      <c r="S26" s="169"/>
      <c r="T26" s="169"/>
      <c r="U26" s="169">
        <v>50</v>
      </c>
      <c r="V26" s="169"/>
      <c r="W26" s="169"/>
      <c r="X26" s="169"/>
      <c r="Y26" s="169"/>
      <c r="Z26" s="170"/>
      <c r="AA26" s="169"/>
      <c r="AB26" s="169"/>
      <c r="AC26" s="169"/>
      <c r="AD26" s="169"/>
      <c r="AE26" s="169"/>
      <c r="AF26" s="169"/>
      <c r="AG26" s="169"/>
      <c r="AH26" s="170"/>
      <c r="AJ26" s="452">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2">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L26" s="452">
        <f ca="1">IF(AND($D26="Serviço",AL$12&lt;&gt;0,$H26&gt;0,OR(AUTOEVENTO&lt;&gt;"manual",$M26&lt;&gt;$A$15)),
        IF(Import.TipoArredondamento&lt;&gt;"TransfereGOV",
              ROUND(OFFSET($P26,0,AL$13),15-13*ORÇAMENTO!$AF$7)/$H26*OFFSET(ORÇAMENTO!$X$15,ROW(AL26)-ROW(AL$15),0),
              ROUND(ROUND(OFFSET($P26,0,AL$13),15-13*ORÇAMENTO!$AF$7)*OFFSET(ORÇAMENTO!$W$15,ROW(AL26)-ROW(AL$15),0),15-13*ORÇAMENTO!$AF$11)),
         0)</f>
        <v>0</v>
      </c>
      <c r="AM26" s="452">
        <f ca="1">IF(AND($D26="Serviço",AM$12&lt;&gt;0,$H26&gt;0,OR(AUTOEVENTO&lt;&gt;"manual",$M26&lt;&gt;$A$15)),
        IF(Import.TipoArredondamento&lt;&gt;"TransfereGOV",
              ROUND(OFFSET($P26,0,AM$13),15-13*ORÇAMENTO!$AF$7)/$H26*OFFSET(ORÇAMENTO!$X$15,ROW(AM26)-ROW(AM$15),0),
              ROUND(ROUND(OFFSET($P26,0,AM$13),15-13*ORÇAMENTO!$AF$7)*OFFSET(ORÇAMENTO!$W$15,ROW(AM26)-ROW(AM$15),0),15-13*ORÇAMENTO!$AF$11)),
         0)</f>
        <v>0</v>
      </c>
      <c r="AN26" s="452">
        <f ca="1">IF(AND($D26="Serviço",AN$12&lt;&gt;0,$H26&gt;0,OR(AUTOEVENTO&lt;&gt;"manual",$M26&lt;&gt;$A$15)),
        IF(Import.TipoArredondamento&lt;&gt;"TransfereGOV",
              ROUND(OFFSET($P26,0,AN$13),15-13*ORÇAMENTO!$AF$7)/$H26*OFFSET(ORÇAMENTO!$X$15,ROW(AN26)-ROW(AN$15),0),
              ROUND(ROUND(OFFSET($P26,0,AN$13),15-13*ORÇAMENTO!$AF$7)*OFFSET(ORÇAMENTO!$W$15,ROW(AN26)-ROW(AN$15),0),15-13*ORÇAMENTO!$AF$11)),
         0)</f>
        <v>115.5</v>
      </c>
      <c r="AO26" s="452">
        <f ca="1">IF(AND($D26="Serviço",AO$12&lt;&gt;0,$H26&gt;0,OR(AUTOEVENTO&lt;&gt;"manual",$M26&lt;&gt;$A$15)),
        IF(Import.TipoArredondamento&lt;&gt;"TransfereGOV",
              ROUND(OFFSET($P26,0,AO$13),15-13*ORÇAMENTO!$AF$7)/$H26*OFFSET(ORÇAMENTO!$X$15,ROW(AO26)-ROW(AO$15),0),
              ROUND(ROUND(OFFSET($P26,0,AO$13),15-13*ORÇAMENTO!$AF$7)*OFFSET(ORÇAMENTO!$W$15,ROW(AO26)-ROW(AO$15),0),15-13*ORÇAMENTO!$AF$11)),
         0)</f>
        <v>0</v>
      </c>
      <c r="AP26" s="452">
        <f ca="1">IF(AND($D26="Serviço",AP$12&lt;&gt;0,$H26&gt;0,OR(AUTOEVENTO&lt;&gt;"manual",$M26&lt;&gt;$A$15)),
        IF(Import.TipoArredondamento&lt;&gt;"TransfereGOV",
              ROUND(OFFSET($P26,0,AP$13),15-13*ORÇAMENTO!$AF$7)/$H26*OFFSET(ORÇAMENTO!$X$15,ROW(AP26)-ROW(AP$15),0),
              ROUND(ROUND(OFFSET($P26,0,AP$13),15-13*ORÇAMENTO!$AF$7)*OFFSET(ORÇAMENTO!$W$15,ROW(AP26)-ROW(AP$15),0),15-13*ORÇAMENTO!$AF$11)),
         0)</f>
        <v>0</v>
      </c>
      <c r="AQ26" s="452">
        <f ca="1">IF(AND($D26="Serviço",AQ$12&lt;&gt;0,$H26&gt;0,OR(AUTOEVENTO&lt;&gt;"manual",$M26&lt;&gt;$A$15)),
        IF(Import.TipoArredondamento&lt;&gt;"TransfereGOV",
              ROUND(OFFSET($P26,0,AQ$13),15-13*ORÇAMENTO!$AF$7)/$H26*OFFSET(ORÇAMENTO!$X$15,ROW(AQ26)-ROW(AQ$15),0),
              ROUND(ROUND(OFFSET($P26,0,AQ$13),15-13*ORÇAMENTO!$AF$7)*OFFSET(ORÇAMENTO!$W$15,ROW(AQ26)-ROW(AQ$15),0),15-13*ORÇAMENTO!$AF$11)),
         0)</f>
        <v>0</v>
      </c>
      <c r="AR26" s="452">
        <f ca="1">IF(AND($D26="Serviço",AR$12&lt;&gt;0,$H26&gt;0,OR(AUTOEVENTO&lt;&gt;"manual",$M26&lt;&gt;$A$15)),
        IF(Import.TipoArredondamento&lt;&gt;"TransfereGOV",
              ROUND(OFFSET($P26,0,AR$13),15-13*ORÇAMENTO!$AF$7)/$H26*OFFSET(ORÇAMENTO!$X$15,ROW(AR26)-ROW(AR$15),0),
              ROUND(ROUND(OFFSET($P26,0,AR$13),15-13*ORÇAMENTO!$AF$7)*OFFSET(ORÇAMENTO!$W$15,ROW(AR26)-ROW(AR$15),0),15-13*ORÇAMENTO!$AF$11)),
         0)</f>
        <v>0</v>
      </c>
      <c r="AS26" s="452">
        <f ca="1">IF(AND($D26="Serviço",AS$12&lt;&gt;0,$H26&gt;0,OR(AUTOEVENTO&lt;&gt;"manual",$M26&lt;&gt;$A$15)),
        IF(Import.TipoArredondamento&lt;&gt;"TransfereGOV",
              ROUND(OFFSET($P26,0,AS$13),15-13*ORÇAMENTO!$AF$7)/$H26*OFFSET(ORÇAMENTO!$X$15,ROW(AS26)-ROW(AS$15),0),
              ROUND(ROUND(OFFSET($P26,0,AS$13),15-13*ORÇAMENTO!$AF$7)*OFFSET(ORÇAMENTO!$W$15,ROW(AS26)-ROW(AS$15),0),15-13*ORÇAMENTO!$AF$11)),
         0)</f>
        <v>0</v>
      </c>
      <c r="AT26" s="452">
        <f ca="1">IF(AND($D26="Serviço",AT$12&lt;&gt;0,$H26&gt;0,OR(AUTOEVENTO&lt;&gt;"manual",$M26&lt;&gt;$A$15)),
        IF(Import.TipoArredondamento&lt;&gt;"TransfereGOV",
              ROUND(OFFSET($P26,0,AT$13),15-13*ORÇAMENTO!$AF$7)/$H26*OFFSET(ORÇAMENTO!$X$15,ROW(AT26)-ROW(AT$15),0),
              ROUND(ROUND(OFFSET($P26,0,AT$13),15-13*ORÇAMENTO!$AF$7)*OFFSET(ORÇAMENTO!$W$15,ROW(AT26)-ROW(AT$15),0),15-13*ORÇAMENTO!$AF$11)),
         0)</f>
        <v>0</v>
      </c>
      <c r="AU26" s="452">
        <f ca="1">IF(AND($D26="Serviço",AU$12&lt;&gt;0,$H26&gt;0,OR(AUTOEVENTO&lt;&gt;"manual",$M26&lt;&gt;$A$15)),
        IF(Import.TipoArredondamento&lt;&gt;"TransfereGOV",
              ROUND(OFFSET($P26,0,AU$13),15-13*ORÇAMENTO!$AF$7)/$H26*OFFSET(ORÇAMENTO!$X$15,ROW(AU26)-ROW(AU$15),0),
              ROUND(ROUND(OFFSET($P26,0,AU$13),15-13*ORÇAMENTO!$AF$7)*OFFSET(ORÇAMENTO!$W$15,ROW(AU26)-ROW(AU$15),0),15-13*ORÇAMENTO!$AF$11)),
         0)</f>
        <v>0</v>
      </c>
      <c r="AV26" s="452">
        <f ca="1">IF(AND($D26="Serviço",AV$12&lt;&gt;0,$H26&gt;0,OR(AUTOEVENTO&lt;&gt;"manual",$M26&lt;&gt;$A$15)),
        IF(Import.TipoArredondamento&lt;&gt;"TransfereGOV",
              ROUND(OFFSET($P26,0,AV$13),15-13*ORÇAMENTO!$AF$7)/$H26*OFFSET(ORÇAMENTO!$X$15,ROW(AV26)-ROW(AV$15),0),
              ROUND(ROUND(OFFSET($P26,0,AV$13),15-13*ORÇAMENTO!$AF$7)*OFFSET(ORÇAMENTO!$W$15,ROW(AV26)-ROW(AV$15),0),15-13*ORÇAMENTO!$AF$11)),
         0)</f>
        <v>0</v>
      </c>
      <c r="AW26" s="452">
        <f ca="1">IF(AND($D26="Serviço",AW$12&lt;&gt;0,$H26&gt;0,OR(AUTOEVENTO&lt;&gt;"manual",$M26&lt;&gt;$A$15)),
        IF(Import.TipoArredondamento&lt;&gt;"TransfereGOV",
              ROUND(OFFSET($P26,0,AW$13),15-13*ORÇAMENTO!$AF$7)/$H26*OFFSET(ORÇAMENTO!$X$15,ROW(AW26)-ROW(AW$15),0),
              ROUND(ROUND(OFFSET($P26,0,AW$13),15-13*ORÇAMENTO!$AF$7)*OFFSET(ORÇAMENTO!$W$15,ROW(AW26)-ROW(AW$15),0),15-13*ORÇAMENTO!$AF$11)),
         0)</f>
        <v>0</v>
      </c>
      <c r="AX26" s="452">
        <f ca="1">IF(AND($D26="Serviço",AX$12&lt;&gt;0,$H26&gt;0,OR(AUTOEVENTO&lt;&gt;"manual",$M26&lt;&gt;$A$15)),
        IF(Import.TipoArredondamento&lt;&gt;"TransfereGOV",
              ROUND(OFFSET($P26,0,AX$13),15-13*ORÇAMENTO!$AF$7)/$H26*OFFSET(ORÇAMENTO!$X$15,ROW(AX26)-ROW(AX$15),0),
              ROUND(ROUND(OFFSET($P26,0,AX$13),15-13*ORÇAMENTO!$AF$7)*OFFSET(ORÇAMENTO!$W$15,ROW(AX26)-ROW(AX$15),0),15-13*ORÇAMENTO!$AF$11)),
         0)</f>
        <v>0</v>
      </c>
      <c r="AY26" s="452">
        <f ca="1">IF(AND($D26="Serviço",AY$12&lt;&gt;0,$H26&gt;0,OR(AUTOEVENTO&lt;&gt;"manual",$M26&lt;&gt;$A$15)),
        IF(Import.TipoArredondamento&lt;&gt;"TransfereGOV",
              ROUND(OFFSET($P26,0,AY$13),15-13*ORÇAMENTO!$AF$7)/$H26*OFFSET(ORÇAMENTO!$X$15,ROW(AY26)-ROW(AY$15),0),
              ROUND(ROUND(OFFSET($P26,0,AY$13),15-13*ORÇAMENTO!$AF$7)*OFFSET(ORÇAMENTO!$W$15,ROW(AY26)-ROW(AY$15),0),15-13*ORÇAMENTO!$AF$11)),
         0)</f>
        <v>0</v>
      </c>
      <c r="AZ26" s="452">
        <f ca="1">IF(AND($D26="Serviço",AZ$12&lt;&gt;0,$H26&gt;0,OR(AUTOEVENTO&lt;&gt;"manual",$M26&lt;&gt;$A$15)),
        IF(Import.TipoArredondamento&lt;&gt;"TransfereGOV",
              ROUND(OFFSET($P26,0,AZ$13),15-13*ORÇAMENTO!$AF$7)/$H26*OFFSET(ORÇAMENTO!$X$15,ROW(AZ26)-ROW(AZ$15),0),
              ROUND(ROUND(OFFSET($P26,0,AZ$13),15-13*ORÇAMENTO!$AF$7)*OFFSET(ORÇAMENTO!$W$15,ROW(AZ26)-ROW(AZ$15),0),15-13*ORÇAMENTO!$AF$11)),
         0)</f>
        <v>0</v>
      </c>
      <c r="BA26" s="452">
        <f ca="1">IF(AND($D26="Serviço",BA$12&lt;&gt;0,$H26&gt;0,OR(AUTOEVENTO&lt;&gt;"manual",$M26&lt;&gt;$A$15)),
        IF(Import.TipoArredondamento&lt;&gt;"TransfereGOV",
              ROUND(OFFSET($P26,0,BA$13),15-13*ORÇAMENTO!$AF$7)/$H26*OFFSET(ORÇAMENTO!$X$15,ROW(BA26)-ROW(BA$15),0),
              ROUND(ROUND(OFFSET($P26,0,BA$13),15-13*ORÇAMENTO!$AF$7)*OFFSET(ORÇAMENTO!$W$15,ROW(BA26)-ROW(BA$15),0),15-13*ORÇAMENTO!$AF$11)),
         0)</f>
        <v>0</v>
      </c>
      <c r="BC26" s="171">
        <f ca="1">IF(OR($D26&lt;&gt;"Serviço",AND(AUTOEVENTO="Manual",$M26=$A$15)),0,
         IF(OFFSET(CRONOPLE!$F$15,$M26-$A$15,BC$13)=0,10^12,OFFSET(CRONOPLE!$F$15,$M26-$A$15,BC$13)))</f>
        <v>1</v>
      </c>
      <c r="BD26" s="171">
        <f ca="1">IF(OR($D26&lt;&gt;"Serviço",AND(AUTOEVENTO="Manual",$M26=$A$15)),0,
         IF(OFFSET(CRONOPLE!$F$15,$M26-$A$15,BD$13)=0,10^12,OFFSET(CRONOPLE!$F$15,$M26-$A$15,BD$13)))</f>
        <v>1000000000000</v>
      </c>
      <c r="BE26" s="171">
        <f ca="1">IF(OR($D26&lt;&gt;"Serviço",AND(AUTOEVENTO="Manual",$M26=$A$15)),0,
         IF(OFFSET(CRONOPLE!$F$15,$M26-$A$15,BE$13)=0,10^12,OFFSET(CRONOPLE!$F$15,$M26-$A$15,BE$13)))</f>
        <v>1000000000000</v>
      </c>
      <c r="BF26" s="171">
        <f ca="1">IF(OR($D26&lt;&gt;"Serviço",AND(AUTOEVENTO="Manual",$M26=$A$15)),0,
         IF(OFFSET(CRONOPLE!$F$15,$M26-$A$15,BF$13)=0,10^12,OFFSET(CRONOPLE!$F$15,$M26-$A$15,BF$13)))</f>
        <v>1000000000000</v>
      </c>
      <c r="BG26" s="171">
        <f ca="1">IF(OR($D26&lt;&gt;"Serviço",AND(AUTOEVENTO="Manual",$M26=$A$15)),0,
         IF(OFFSET(CRONOPLE!$F$15,$M26-$A$15,BG$13)=0,10^12,OFFSET(CRONOPLE!$F$15,$M26-$A$15,BG$13)))</f>
        <v>1</v>
      </c>
      <c r="BH26" s="171">
        <f ca="1">IF(OR($D26&lt;&gt;"Serviço",AND(AUTOEVENTO="Manual",$M26=$A$15)),0,
         IF(OFFSET(CRONOPLE!$F$15,$M26-$A$15,BH$13)=0,10^12,OFFSET(CRONOPLE!$F$15,$M26-$A$15,BH$13)))</f>
        <v>1000000000000</v>
      </c>
      <c r="BI26" s="171">
        <f ca="1">IF(OR($D26&lt;&gt;"Serviço",AND(AUTOEVENTO="Manual",$M26=$A$15)),0,
         IF(OFFSET(CRONOPLE!$F$15,$M26-$A$15,BI$13)=0,10^12,OFFSET(CRONOPLE!$F$15,$M26-$A$15,BI$13)))</f>
        <v>1000000000000</v>
      </c>
      <c r="BJ26" s="171">
        <f ca="1">IF(OR($D26&lt;&gt;"Serviço",AND(AUTOEVENTO="Manual",$M26=$A$15)),0,
         IF(OFFSET(CRONOPLE!$F$15,$M26-$A$15,BJ$13)=0,10^12,OFFSET(CRONOPLE!$F$15,$M26-$A$15,BJ$13)))</f>
        <v>1000000000000</v>
      </c>
      <c r="BK26" s="171">
        <f ca="1">IF(OR($D26&lt;&gt;"Serviço",AND(AUTOEVENTO="Manual",$M26=$A$15)),0,
         IF(OFFSET(CRONOPLE!$F$15,$M26-$A$15,BK$13)=0,10^12,OFFSET(CRONOPLE!$F$15,$M26-$A$15,BK$13)))</f>
        <v>1000000000000</v>
      </c>
      <c r="BL26" s="171">
        <f ca="1">IF(OR($D26&lt;&gt;"Serviço",AND(AUTOEVENTO="Manual",$M26=$A$15)),0,
         IF(OFFSET(CRONOPLE!$F$15,$M26-$A$15,BL$13)=0,10^12,OFFSET(CRONOPLE!$F$15,$M26-$A$15,BL$13)))</f>
        <v>1000000000000</v>
      </c>
      <c r="BM26" s="171">
        <f ca="1">IF(OR($D26&lt;&gt;"Serviço",AND(AUTOEVENTO="Manual",$M26=$A$15)),0,
         IF(OFFSET(CRONOPLE!$F$15,$M26-$A$15,BM$13)=0,10^12,OFFSET(CRONOPLE!$F$15,$M26-$A$15,BM$13)))</f>
        <v>1000000000000</v>
      </c>
      <c r="BN26" s="171">
        <f ca="1">IF(OR($D26&lt;&gt;"Serviço",AND(AUTOEVENTO="Manual",$M26=$A$15)),0,
         IF(OFFSET(CRONOPLE!$F$15,$M26-$A$15,BN$13)=0,10^12,OFFSET(CRONOPLE!$F$15,$M26-$A$15,BN$13)))</f>
        <v>1000000000000</v>
      </c>
      <c r="BO26" s="171">
        <f ca="1">IF(OR($D26&lt;&gt;"Serviço",AND(AUTOEVENTO="Manual",$M26=$A$15)),0,
         IF(OFFSET(CRONOPLE!$F$15,$M26-$A$15,BO$13)=0,10^12,OFFSET(CRONOPLE!$F$15,$M26-$A$15,BO$13)))</f>
        <v>1000000000000</v>
      </c>
      <c r="BP26" s="171">
        <f ca="1">IF(OR($D26&lt;&gt;"Serviço",AND(AUTOEVENTO="Manual",$M26=$A$15)),0,
         IF(OFFSET(CRONOPLE!$F$15,$M26-$A$15,BP$13)=0,10^12,OFFSET(CRONOPLE!$F$15,$M26-$A$15,BP$13)))</f>
        <v>1000000000000</v>
      </c>
      <c r="BQ26" s="171">
        <f ca="1">IF(OR($D26&lt;&gt;"Serviço",AND(AUTOEVENTO="Manual",$M26=$A$15)),0,
         IF(OFFSET(CRONOPLE!$F$15,$M26-$A$15,BQ$13)=0,10^12,OFFSET(CRONOPLE!$F$15,$M26-$A$15,BQ$13)))</f>
        <v>1000000000000</v>
      </c>
      <c r="BR26" s="171">
        <f ca="1">IF(OR($D26&lt;&gt;"Serviço",AND(AUTOEVENTO="Manual",$M26=$A$15)),0,
         IF(OFFSET(CRONOPLE!$F$15,$M26-$A$15,BR$13)=0,10^12,OFFSET(CRONOPLE!$F$15,$M26-$A$15,BR$13)))</f>
        <v>1000000000000</v>
      </c>
      <c r="BS26" s="171">
        <f ca="1">IF(OR($D26&lt;&gt;"Serviço",AND(AUTOEVENTO="Manual",$M26=$A$15)),0,
         IF(OFFSET(CRONOPLE!$F$15,$M26-$A$15,BS$13)=0,10^12,OFFSET(CRONOPLE!$F$15,$M26-$A$15,BS$13)))</f>
        <v>1000000000000</v>
      </c>
      <c r="BT26" s="171">
        <f ca="1">IF(OR($D26&lt;&gt;"Serviço",AND(AUTOEVENTO="Manual",$M26=$A$15)),0,
         IF(OFFSET(CRONOPLE!$F$15,$M26-$A$15,BT$13)=0,10^12,OFFSET(CRONOPLE!$F$15,$M26-$A$15,BT$13)))</f>
        <v>1000000000000</v>
      </c>
      <c r="BV26" s="172">
        <f t="array" aca="1" ref="BV26" ca="1">IF(OR($D26&lt;&gt;"Serviço",AND(AUTOEVENTO="Manual",$M26=$A$15),$M26&gt;(ROW(PLE.lastrow)-ROW(PLE.firstrow))),0,
           IF(OFFSET(PLE!$G$15,$M26-$A$15,BV$13)="",10^12,OFFSET(PLE!$G$15,$M26-$A$15,BV$13)))</f>
        <v>1000000000000</v>
      </c>
      <c r="BW26" s="172">
        <f t="array" aca="1" ref="BW26" ca="1">IF(OR($D26&lt;&gt;"Serviço",AND(AUTOEVENTO="Manual",$M26=$A$15),$M26&gt;(ROW(PLE.lastrow)-ROW(PLE.firstrow))),0,
           IF(OFFSET(PLE!$G$15,$M26-$A$15,BW$13)="",10^12,OFFSET(PLE!$G$15,$M26-$A$15,BW$13)))</f>
        <v>1000000000000</v>
      </c>
      <c r="BX26" s="172">
        <f t="array" aca="1" ref="BX26" ca="1">IF(OR($D26&lt;&gt;"Serviço",AND(AUTOEVENTO="Manual",$M26=$A$15),$M26&gt;(ROW(PLE.lastrow)-ROW(PLE.firstrow))),0,
           IF(OFFSET(PLE!$G$15,$M26-$A$15,BX$13)="",10^12,OFFSET(PLE!$G$15,$M26-$A$15,BX$13)))</f>
        <v>1000000000000</v>
      </c>
      <c r="BY26" s="172">
        <f t="array" aca="1" ref="BY26" ca="1">IF(OR($D26&lt;&gt;"Serviço",AND(AUTOEVENTO="Manual",$M26=$A$15),$M26&gt;(ROW(PLE.lastrow)-ROW(PLE.firstrow))),0,
           IF(OFFSET(PLE!$G$15,$M26-$A$15,BY$13)="",10^12,OFFSET(PLE!$G$15,$M26-$A$15,BY$13)))</f>
        <v>1000000000000</v>
      </c>
      <c r="BZ26" s="172">
        <f t="array" aca="1" ref="BZ26" ca="1">IF(OR($D26&lt;&gt;"Serviço",AND(AUTOEVENTO="Manual",$M26=$A$15),$M26&gt;(ROW(PLE.lastrow)-ROW(PLE.firstrow))),0,
           IF(OFFSET(PLE!$G$15,$M26-$A$15,BZ$13)="",10^12,OFFSET(PLE!$G$15,$M26-$A$15,BZ$13)))</f>
        <v>1000000000000</v>
      </c>
      <c r="CA26" s="172">
        <f t="array" aca="1" ref="CA26" ca="1">IF(OR($D26&lt;&gt;"Serviço",AND(AUTOEVENTO="Manual",$M26=$A$15),$M26&gt;(ROW(PLE.lastrow)-ROW(PLE.firstrow))),0,
           IF(OFFSET(PLE!$G$15,$M26-$A$15,CA$13)="",10^12,OFFSET(PLE!$G$15,$M26-$A$15,CA$13)))</f>
        <v>1000000000000</v>
      </c>
      <c r="CB26" s="172">
        <f t="array" aca="1" ref="CB26" ca="1">IF(OR($D26&lt;&gt;"Serviço",AND(AUTOEVENTO="Manual",$M26=$A$15),$M26&gt;(ROW(PLE.lastrow)-ROW(PLE.firstrow))),0,
           IF(OFFSET(PLE!$G$15,$M26-$A$15,CB$13)="",10^12,OFFSET(PLE!$G$15,$M26-$A$15,CB$13)))</f>
        <v>1000000000000</v>
      </c>
      <c r="CC26" s="172">
        <f t="array" aca="1" ref="CC26" ca="1">IF(OR($D26&lt;&gt;"Serviço",AND(AUTOEVENTO="Manual",$M26=$A$15),$M26&gt;(ROW(PLE.lastrow)-ROW(PLE.firstrow))),0,
           IF(OFFSET(PLE!$G$15,$M26-$A$15,CC$13)="",10^12,OFFSET(PLE!$G$15,$M26-$A$15,CC$13)))</f>
        <v>1000000000000</v>
      </c>
      <c r="CD26" s="172">
        <f t="array" aca="1" ref="CD26" ca="1">IF(OR($D26&lt;&gt;"Serviço",AND(AUTOEVENTO="Manual",$M26=$A$15),$M26&gt;(ROW(PLE.lastrow)-ROW(PLE.firstrow))),0,
           IF(OFFSET(PLE!$G$15,$M26-$A$15,CD$13)="",10^12,OFFSET(PLE!$G$15,$M26-$A$15,CD$13)))</f>
        <v>1000000000000</v>
      </c>
      <c r="CE26" s="172">
        <f t="array" aca="1" ref="CE26" ca="1">IF(OR($D26&lt;&gt;"Serviço",AND(AUTOEVENTO="Manual",$M26=$A$15),$M26&gt;(ROW(PLE.lastrow)-ROW(PLE.firstrow))),0,
           IF(OFFSET(PLE!$G$15,$M26-$A$15,CE$13)="",10^12,OFFSET(PLE!$G$15,$M26-$A$15,CE$13)))</f>
        <v>1000000000000</v>
      </c>
      <c r="CF26" s="172">
        <f t="array" aca="1" ref="CF26" ca="1">IF(OR($D26&lt;&gt;"Serviço",AND(AUTOEVENTO="Manual",$M26=$A$15),$M26&gt;(ROW(PLE.lastrow)-ROW(PLE.firstrow))),0,
           IF(OFFSET(PLE!$G$15,$M26-$A$15,CF$13)="",10^12,OFFSET(PLE!$G$15,$M26-$A$15,CF$13)))</f>
        <v>1000000000000</v>
      </c>
      <c r="CG26" s="172">
        <f t="array" aca="1" ref="CG26" ca="1">IF(OR($D26&lt;&gt;"Serviço",AND(AUTOEVENTO="Manual",$M26=$A$15),$M26&gt;(ROW(PLE.lastrow)-ROW(PLE.firstrow))),0,
           IF(OFFSET(PLE!$G$15,$M26-$A$15,CG$13)="",10^12,OFFSET(PLE!$G$15,$M26-$A$15,CG$13)))</f>
        <v>1000000000000</v>
      </c>
      <c r="CH26" s="172">
        <f t="array" aca="1" ref="CH26" ca="1">IF(OR($D26&lt;&gt;"Serviço",AND(AUTOEVENTO="Manual",$M26=$A$15),$M26&gt;(ROW(PLE.lastrow)-ROW(PLE.firstrow))),0,
           IF(OFFSET(PLE!$G$15,$M26-$A$15,CH$13)="",10^12,OFFSET(PLE!$G$15,$M26-$A$15,CH$13)))</f>
        <v>1000000000000</v>
      </c>
      <c r="CI26" s="172">
        <f t="array" aca="1" ref="CI26" ca="1">IF(OR($D26&lt;&gt;"Serviço",AND(AUTOEVENTO="Manual",$M26=$A$15),$M26&gt;(ROW(PLE.lastrow)-ROW(PLE.firstrow))),0,
           IF(OFFSET(PLE!$G$15,$M26-$A$15,CI$13)="",10^12,OFFSET(PLE!$G$15,$M26-$A$15,CI$13)))</f>
        <v>1000000000000</v>
      </c>
      <c r="CJ26" s="172">
        <f t="array" aca="1" ref="CJ26" ca="1">IF(OR($D26&lt;&gt;"Serviço",AND(AUTOEVENTO="Manual",$M26=$A$15),$M26&gt;(ROW(PLE.lastrow)-ROW(PLE.firstrow))),0,
           IF(OFFSET(PLE!$G$15,$M26-$A$15,CJ$13)="",10^12,OFFSET(PLE!$G$15,$M26-$A$15,CJ$13)))</f>
        <v>1000000000000</v>
      </c>
      <c r="CK26" s="172">
        <f t="array" aca="1" ref="CK26" ca="1">IF(OR($D26&lt;&gt;"Serviço",AND(AUTOEVENTO="Manual",$M26=$A$15),$M26&gt;(ROW(PLE.lastrow)-ROW(PLE.firstrow))),0,
           IF(OFFSET(PLE!$G$15,$M26-$A$15,CK$13)="",10^12,OFFSET(PLE!$G$15,$M26-$A$15,CK$13)))</f>
        <v>1000000000000</v>
      </c>
      <c r="CL26" s="172">
        <f t="array" aca="1" ref="CL26" ca="1">IF(OR($D26&lt;&gt;"Serviço",AND(AUTOEVENTO="Manual",$M26=$A$15),$M26&gt;(ROW(PLE.lastrow)-ROW(PLE.firstrow))),0,
           IF(OFFSET(PLE!$G$15,$M26-$A$15,CL$13)="",10^12,OFFSET(PLE!$G$15,$M26-$A$15,CL$13)))</f>
        <v>1000000000000</v>
      </c>
      <c r="CM26" s="172">
        <f t="array" aca="1" ref="CM26" ca="1">IF(OR($D26&lt;&gt;"Serviço",AND(AUTOEVENTO="Manual",$M26=$A$15),$M26&gt;(ROW(PLE.lastrow)-ROW(PLE.firstrow))),0,
           IF(OFFSET(PLE!$G$15,$M26-$A$15,CM$13)="",10^12,OFFSET(PLE!$G$15,$M26-$A$15,CM$13)))</f>
        <v>1000000000000</v>
      </c>
    </row>
    <row r="27" spans="1:91" s="696" customFormat="1" ht="76.5" x14ac:dyDescent="0.2">
      <c r="A27" s="694">
        <f t="shared" ca="1" si="10"/>
        <v>1</v>
      </c>
      <c r="B27" s="694" t="str">
        <f ca="1">OFFSET(ORÇAMENTO!C$15,$L27,0)</f>
        <v>S</v>
      </c>
      <c r="C27" s="694" t="str">
        <f ca="1">OFFSET(ORÇAMENTO!L$15,$L27,0)</f>
        <v>F</v>
      </c>
      <c r="D27" s="116" t="str">
        <f ca="1">OFFSET(ORÇAMENTO!N$15,$L27,0)</f>
        <v>Serviço</v>
      </c>
      <c r="E27" s="117" t="str">
        <f ca="1">OFFSET(ORÇAMENTO!O$15,$L27,0)</f>
        <v>1.2.4.</v>
      </c>
      <c r="F27" s="163" t="str">
        <f ca="1">OFFSET(ORÇAMENTO!R$15,$L27,0)</f>
        <v>SONDAGEM A PERCUSSÃO COM ENSAIO DE PENETRAÇÃO PADRÃO (SPT), DIÂMETRO 2.1/2", EXCLUSIVE MOBILIZAÇÃO E DESMOBILIZAÇÃO</v>
      </c>
      <c r="G27" s="164" t="str">
        <f ca="1">IF($D27&lt;&gt;"Serviço","",OFFSET(ORÇAMENTO!S$15,$L27,0))</f>
        <v>m</v>
      </c>
      <c r="H27" s="122">
        <f t="array" aca="1" ref="H27" ca="1">IF($D27&lt;&gt;"Serviço",0,IF(ACOMPANHAMENTO="BM",ROUND(OFFSET(ORÇAMENTO!AJ$15,$L27,0),15-13*ORÇAMENTO!$AF$7),IF(IFERROR(CÁLCULO.FrentesPreenchidas,0)=0,0,SUM(ROUND(OFFSET($P27,0,1,1,CÁLCULO.FrentesPreenchidas),15-13*ORÇAMENTO!$AF$7)))))</f>
        <v>80</v>
      </c>
      <c r="I27" s="467" t="s">
        <v>1215</v>
      </c>
      <c r="J27" s="653" t="str">
        <f t="array" aca="1" ref="J27" ca="1">IF(OR(B27&lt;&gt;"S",CÁLCULO.FrentesPreenchidas=0),"",IF(AND(ACOMPANHAMENTO="PLE",AUTOEVENTO="Manual",OR(H27&gt;0,ORÇAMENTO!AC27="QUANT."),OR(K27="",M27=0,N27="")),"►E",IF(AND(ACOMPANHAMENTO="PLE",ORÇAMENTO!AC27="QUANT."),"►Q",IF(AND(ACOMPANHAMENTO="PLE",H27&lt;&gt;SUMPRODUCT(($Q$1:$AI$1=1)*ROUND(Q27:AI27,15))),"►S",IF(AND(COUNTIF($P$11:$AI$11,"▼")=0,H27&gt;0,I27=""),"◄M","")))))</f>
        <v/>
      </c>
      <c r="K27" s="654" t="s">
        <v>1358</v>
      </c>
      <c r="L27" s="165">
        <f t="shared" ca="1" si="11"/>
        <v>12</v>
      </c>
      <c r="M27" s="166">
        <f ca="1">IF($D27&lt;&gt;"Serviço","",
          IF(AUTOEVENTO="manual",$A27,
                IF(ISERROR(MATCH($A27,$A$15:OFFSET($A27,-1,0),0)),MAX($M$15:OFFSET(M27,-1,0))+1,
                      INDEX($M$15:OFFSET(M27,-1,0),MATCH($A27,$A$15:OFFSET($A27,-1,0),0)))))</f>
        <v>1</v>
      </c>
      <c r="N27" s="167" t="str">
        <f ca="1">IF($D27&lt;&gt;"Serviço","",
         IF(AUTOEVENTO="Manual",
                IF($A27=0,"&lt;-- defina o número do agrupador",
                       OFFSET(EVENTOS!$D$15,$A27-$A$15,0)),
                OFFSET($F$15,$A27,0)))</f>
        <v>SERVIÇOS TÉCNICOS (PROJETOS, ORÇAMENTOS, SONDAGENS E OUTROS)</v>
      </c>
      <c r="O27" s="168"/>
      <c r="Q27" s="168"/>
      <c r="R27" s="169"/>
      <c r="S27" s="169"/>
      <c r="T27" s="169"/>
      <c r="U27" s="169">
        <v>80</v>
      </c>
      <c r="V27" s="169"/>
      <c r="W27" s="169"/>
      <c r="X27" s="169"/>
      <c r="Y27" s="169"/>
      <c r="Z27" s="170"/>
      <c r="AA27" s="169"/>
      <c r="AB27" s="169"/>
      <c r="AC27" s="169"/>
      <c r="AD27" s="169"/>
      <c r="AE27" s="169"/>
      <c r="AF27" s="169"/>
      <c r="AG27" s="169"/>
      <c r="AH27" s="170"/>
      <c r="AJ27" s="452">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2">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L27" s="452">
        <f ca="1">IF(AND($D27="Serviço",AL$12&lt;&gt;0,$H27&gt;0,OR(AUTOEVENTO&lt;&gt;"manual",$M27&lt;&gt;$A$15)),
        IF(Import.TipoArredondamento&lt;&gt;"TransfereGOV",
              ROUND(OFFSET($P27,0,AL$13),15-13*ORÇAMENTO!$AF$7)/$H27*OFFSET(ORÇAMENTO!$X$15,ROW(AL27)-ROW(AL$15),0),
              ROUND(ROUND(OFFSET($P27,0,AL$13),15-13*ORÇAMENTO!$AF$7)*OFFSET(ORÇAMENTO!$W$15,ROW(AL27)-ROW(AL$15),0),15-13*ORÇAMENTO!$AF$11)),
         0)</f>
        <v>0</v>
      </c>
      <c r="AM27" s="452">
        <f ca="1">IF(AND($D27="Serviço",AM$12&lt;&gt;0,$H27&gt;0,OR(AUTOEVENTO&lt;&gt;"manual",$M27&lt;&gt;$A$15)),
        IF(Import.TipoArredondamento&lt;&gt;"TransfereGOV",
              ROUND(OFFSET($P27,0,AM$13),15-13*ORÇAMENTO!$AF$7)/$H27*OFFSET(ORÇAMENTO!$X$15,ROW(AM27)-ROW(AM$15),0),
              ROUND(ROUND(OFFSET($P27,0,AM$13),15-13*ORÇAMENTO!$AF$7)*OFFSET(ORÇAMENTO!$W$15,ROW(AM27)-ROW(AM$15),0),15-13*ORÇAMENTO!$AF$11)),
         0)</f>
        <v>0</v>
      </c>
      <c r="AN27" s="452">
        <f ca="1">IF(AND($D27="Serviço",AN$12&lt;&gt;0,$H27&gt;0,OR(AUTOEVENTO&lt;&gt;"manual",$M27&lt;&gt;$A$15)),
        IF(Import.TipoArredondamento&lt;&gt;"TransfereGOV",
              ROUND(OFFSET($P27,0,AN$13),15-13*ORÇAMENTO!$AF$7)/$H27*OFFSET(ORÇAMENTO!$X$15,ROW(AN27)-ROW(AN$15),0),
              ROUND(ROUND(OFFSET($P27,0,AN$13),15-13*ORÇAMENTO!$AF$7)*OFFSET(ORÇAMENTO!$W$15,ROW(AN27)-ROW(AN$15),0),15-13*ORÇAMENTO!$AF$11)),
         0)</f>
        <v>7156.8</v>
      </c>
      <c r="AO27" s="452">
        <f ca="1">IF(AND($D27="Serviço",AO$12&lt;&gt;0,$H27&gt;0,OR(AUTOEVENTO&lt;&gt;"manual",$M27&lt;&gt;$A$15)),
        IF(Import.TipoArredondamento&lt;&gt;"TransfereGOV",
              ROUND(OFFSET($P27,0,AO$13),15-13*ORÇAMENTO!$AF$7)/$H27*OFFSET(ORÇAMENTO!$X$15,ROW(AO27)-ROW(AO$15),0),
              ROUND(ROUND(OFFSET($P27,0,AO$13),15-13*ORÇAMENTO!$AF$7)*OFFSET(ORÇAMENTO!$W$15,ROW(AO27)-ROW(AO$15),0),15-13*ORÇAMENTO!$AF$11)),
         0)</f>
        <v>0</v>
      </c>
      <c r="AP27" s="452">
        <f ca="1">IF(AND($D27="Serviço",AP$12&lt;&gt;0,$H27&gt;0,OR(AUTOEVENTO&lt;&gt;"manual",$M27&lt;&gt;$A$15)),
        IF(Import.TipoArredondamento&lt;&gt;"TransfereGOV",
              ROUND(OFFSET($P27,0,AP$13),15-13*ORÇAMENTO!$AF$7)/$H27*OFFSET(ORÇAMENTO!$X$15,ROW(AP27)-ROW(AP$15),0),
              ROUND(ROUND(OFFSET($P27,0,AP$13),15-13*ORÇAMENTO!$AF$7)*OFFSET(ORÇAMENTO!$W$15,ROW(AP27)-ROW(AP$15),0),15-13*ORÇAMENTO!$AF$11)),
         0)</f>
        <v>0</v>
      </c>
      <c r="AQ27" s="452">
        <f ca="1">IF(AND($D27="Serviço",AQ$12&lt;&gt;0,$H27&gt;0,OR(AUTOEVENTO&lt;&gt;"manual",$M27&lt;&gt;$A$15)),
        IF(Import.TipoArredondamento&lt;&gt;"TransfereGOV",
              ROUND(OFFSET($P27,0,AQ$13),15-13*ORÇAMENTO!$AF$7)/$H27*OFFSET(ORÇAMENTO!$X$15,ROW(AQ27)-ROW(AQ$15),0),
              ROUND(ROUND(OFFSET($P27,0,AQ$13),15-13*ORÇAMENTO!$AF$7)*OFFSET(ORÇAMENTO!$W$15,ROW(AQ27)-ROW(AQ$15),0),15-13*ORÇAMENTO!$AF$11)),
         0)</f>
        <v>0</v>
      </c>
      <c r="AR27" s="452">
        <f ca="1">IF(AND($D27="Serviço",AR$12&lt;&gt;0,$H27&gt;0,OR(AUTOEVENTO&lt;&gt;"manual",$M27&lt;&gt;$A$15)),
        IF(Import.TipoArredondamento&lt;&gt;"TransfereGOV",
              ROUND(OFFSET($P27,0,AR$13),15-13*ORÇAMENTO!$AF$7)/$H27*OFFSET(ORÇAMENTO!$X$15,ROW(AR27)-ROW(AR$15),0),
              ROUND(ROUND(OFFSET($P27,0,AR$13),15-13*ORÇAMENTO!$AF$7)*OFFSET(ORÇAMENTO!$W$15,ROW(AR27)-ROW(AR$15),0),15-13*ORÇAMENTO!$AF$11)),
         0)</f>
        <v>0</v>
      </c>
      <c r="AS27" s="452">
        <f ca="1">IF(AND($D27="Serviço",AS$12&lt;&gt;0,$H27&gt;0,OR(AUTOEVENTO&lt;&gt;"manual",$M27&lt;&gt;$A$15)),
        IF(Import.TipoArredondamento&lt;&gt;"TransfereGOV",
              ROUND(OFFSET($P27,0,AS$13),15-13*ORÇAMENTO!$AF$7)/$H27*OFFSET(ORÇAMENTO!$X$15,ROW(AS27)-ROW(AS$15),0),
              ROUND(ROUND(OFFSET($P27,0,AS$13),15-13*ORÇAMENTO!$AF$7)*OFFSET(ORÇAMENTO!$W$15,ROW(AS27)-ROW(AS$15),0),15-13*ORÇAMENTO!$AF$11)),
         0)</f>
        <v>0</v>
      </c>
      <c r="AT27" s="452">
        <f ca="1">IF(AND($D27="Serviço",AT$12&lt;&gt;0,$H27&gt;0,OR(AUTOEVENTO&lt;&gt;"manual",$M27&lt;&gt;$A$15)),
        IF(Import.TipoArredondamento&lt;&gt;"TransfereGOV",
              ROUND(OFFSET($P27,0,AT$13),15-13*ORÇAMENTO!$AF$7)/$H27*OFFSET(ORÇAMENTO!$X$15,ROW(AT27)-ROW(AT$15),0),
              ROUND(ROUND(OFFSET($P27,0,AT$13),15-13*ORÇAMENTO!$AF$7)*OFFSET(ORÇAMENTO!$W$15,ROW(AT27)-ROW(AT$15),0),15-13*ORÇAMENTO!$AF$11)),
         0)</f>
        <v>0</v>
      </c>
      <c r="AU27" s="452">
        <f ca="1">IF(AND($D27="Serviço",AU$12&lt;&gt;0,$H27&gt;0,OR(AUTOEVENTO&lt;&gt;"manual",$M27&lt;&gt;$A$15)),
        IF(Import.TipoArredondamento&lt;&gt;"TransfereGOV",
              ROUND(OFFSET($P27,0,AU$13),15-13*ORÇAMENTO!$AF$7)/$H27*OFFSET(ORÇAMENTO!$X$15,ROW(AU27)-ROW(AU$15),0),
              ROUND(ROUND(OFFSET($P27,0,AU$13),15-13*ORÇAMENTO!$AF$7)*OFFSET(ORÇAMENTO!$W$15,ROW(AU27)-ROW(AU$15),0),15-13*ORÇAMENTO!$AF$11)),
         0)</f>
        <v>0</v>
      </c>
      <c r="AV27" s="452">
        <f ca="1">IF(AND($D27="Serviço",AV$12&lt;&gt;0,$H27&gt;0,OR(AUTOEVENTO&lt;&gt;"manual",$M27&lt;&gt;$A$15)),
        IF(Import.TipoArredondamento&lt;&gt;"TransfereGOV",
              ROUND(OFFSET($P27,0,AV$13),15-13*ORÇAMENTO!$AF$7)/$H27*OFFSET(ORÇAMENTO!$X$15,ROW(AV27)-ROW(AV$15),0),
              ROUND(ROUND(OFFSET($P27,0,AV$13),15-13*ORÇAMENTO!$AF$7)*OFFSET(ORÇAMENTO!$W$15,ROW(AV27)-ROW(AV$15),0),15-13*ORÇAMENTO!$AF$11)),
         0)</f>
        <v>0</v>
      </c>
      <c r="AW27" s="452">
        <f ca="1">IF(AND($D27="Serviço",AW$12&lt;&gt;0,$H27&gt;0,OR(AUTOEVENTO&lt;&gt;"manual",$M27&lt;&gt;$A$15)),
        IF(Import.TipoArredondamento&lt;&gt;"TransfereGOV",
              ROUND(OFFSET($P27,0,AW$13),15-13*ORÇAMENTO!$AF$7)/$H27*OFFSET(ORÇAMENTO!$X$15,ROW(AW27)-ROW(AW$15),0),
              ROUND(ROUND(OFFSET($P27,0,AW$13),15-13*ORÇAMENTO!$AF$7)*OFFSET(ORÇAMENTO!$W$15,ROW(AW27)-ROW(AW$15),0),15-13*ORÇAMENTO!$AF$11)),
         0)</f>
        <v>0</v>
      </c>
      <c r="AX27" s="452">
        <f ca="1">IF(AND($D27="Serviço",AX$12&lt;&gt;0,$H27&gt;0,OR(AUTOEVENTO&lt;&gt;"manual",$M27&lt;&gt;$A$15)),
        IF(Import.TipoArredondamento&lt;&gt;"TransfereGOV",
              ROUND(OFFSET($P27,0,AX$13),15-13*ORÇAMENTO!$AF$7)/$H27*OFFSET(ORÇAMENTO!$X$15,ROW(AX27)-ROW(AX$15),0),
              ROUND(ROUND(OFFSET($P27,0,AX$13),15-13*ORÇAMENTO!$AF$7)*OFFSET(ORÇAMENTO!$W$15,ROW(AX27)-ROW(AX$15),0),15-13*ORÇAMENTO!$AF$11)),
         0)</f>
        <v>0</v>
      </c>
      <c r="AY27" s="452">
        <f ca="1">IF(AND($D27="Serviço",AY$12&lt;&gt;0,$H27&gt;0,OR(AUTOEVENTO&lt;&gt;"manual",$M27&lt;&gt;$A$15)),
        IF(Import.TipoArredondamento&lt;&gt;"TransfereGOV",
              ROUND(OFFSET($P27,0,AY$13),15-13*ORÇAMENTO!$AF$7)/$H27*OFFSET(ORÇAMENTO!$X$15,ROW(AY27)-ROW(AY$15),0),
              ROUND(ROUND(OFFSET($P27,0,AY$13),15-13*ORÇAMENTO!$AF$7)*OFFSET(ORÇAMENTO!$W$15,ROW(AY27)-ROW(AY$15),0),15-13*ORÇAMENTO!$AF$11)),
         0)</f>
        <v>0</v>
      </c>
      <c r="AZ27" s="452">
        <f ca="1">IF(AND($D27="Serviço",AZ$12&lt;&gt;0,$H27&gt;0,OR(AUTOEVENTO&lt;&gt;"manual",$M27&lt;&gt;$A$15)),
        IF(Import.TipoArredondamento&lt;&gt;"TransfereGOV",
              ROUND(OFFSET($P27,0,AZ$13),15-13*ORÇAMENTO!$AF$7)/$H27*OFFSET(ORÇAMENTO!$X$15,ROW(AZ27)-ROW(AZ$15),0),
              ROUND(ROUND(OFFSET($P27,0,AZ$13),15-13*ORÇAMENTO!$AF$7)*OFFSET(ORÇAMENTO!$W$15,ROW(AZ27)-ROW(AZ$15),0),15-13*ORÇAMENTO!$AF$11)),
         0)</f>
        <v>0</v>
      </c>
      <c r="BA27" s="452">
        <f ca="1">IF(AND($D27="Serviço",BA$12&lt;&gt;0,$H27&gt;0,OR(AUTOEVENTO&lt;&gt;"manual",$M27&lt;&gt;$A$15)),
        IF(Import.TipoArredondamento&lt;&gt;"TransfereGOV",
              ROUND(OFFSET($P27,0,BA$13),15-13*ORÇAMENTO!$AF$7)/$H27*OFFSET(ORÇAMENTO!$X$15,ROW(BA27)-ROW(BA$15),0),
              ROUND(ROUND(OFFSET($P27,0,BA$13),15-13*ORÇAMENTO!$AF$7)*OFFSET(ORÇAMENTO!$W$15,ROW(BA27)-ROW(BA$15),0),15-13*ORÇAMENTO!$AF$11)),
         0)</f>
        <v>0</v>
      </c>
      <c r="BC27" s="171">
        <f ca="1">IF(OR($D27&lt;&gt;"Serviço",AND(AUTOEVENTO="Manual",$M27=$A$15)),0,
         IF(OFFSET(CRONOPLE!$F$15,$M27-$A$15,BC$13)=0,10^12,OFFSET(CRONOPLE!$F$15,$M27-$A$15,BC$13)))</f>
        <v>1</v>
      </c>
      <c r="BD27" s="171">
        <f ca="1">IF(OR($D27&lt;&gt;"Serviço",AND(AUTOEVENTO="Manual",$M27=$A$15)),0,
         IF(OFFSET(CRONOPLE!$F$15,$M27-$A$15,BD$13)=0,10^12,OFFSET(CRONOPLE!$F$15,$M27-$A$15,BD$13)))</f>
        <v>1000000000000</v>
      </c>
      <c r="BE27" s="171">
        <f ca="1">IF(OR($D27&lt;&gt;"Serviço",AND(AUTOEVENTO="Manual",$M27=$A$15)),0,
         IF(OFFSET(CRONOPLE!$F$15,$M27-$A$15,BE$13)=0,10^12,OFFSET(CRONOPLE!$F$15,$M27-$A$15,BE$13)))</f>
        <v>1000000000000</v>
      </c>
      <c r="BF27" s="171">
        <f ca="1">IF(OR($D27&lt;&gt;"Serviço",AND(AUTOEVENTO="Manual",$M27=$A$15)),0,
         IF(OFFSET(CRONOPLE!$F$15,$M27-$A$15,BF$13)=0,10^12,OFFSET(CRONOPLE!$F$15,$M27-$A$15,BF$13)))</f>
        <v>1000000000000</v>
      </c>
      <c r="BG27" s="171">
        <f ca="1">IF(OR($D27&lt;&gt;"Serviço",AND(AUTOEVENTO="Manual",$M27=$A$15)),0,
         IF(OFFSET(CRONOPLE!$F$15,$M27-$A$15,BG$13)=0,10^12,OFFSET(CRONOPLE!$F$15,$M27-$A$15,BG$13)))</f>
        <v>1</v>
      </c>
      <c r="BH27" s="171">
        <f ca="1">IF(OR($D27&lt;&gt;"Serviço",AND(AUTOEVENTO="Manual",$M27=$A$15)),0,
         IF(OFFSET(CRONOPLE!$F$15,$M27-$A$15,BH$13)=0,10^12,OFFSET(CRONOPLE!$F$15,$M27-$A$15,BH$13)))</f>
        <v>1000000000000</v>
      </c>
      <c r="BI27" s="171">
        <f ca="1">IF(OR($D27&lt;&gt;"Serviço",AND(AUTOEVENTO="Manual",$M27=$A$15)),0,
         IF(OFFSET(CRONOPLE!$F$15,$M27-$A$15,BI$13)=0,10^12,OFFSET(CRONOPLE!$F$15,$M27-$A$15,BI$13)))</f>
        <v>1000000000000</v>
      </c>
      <c r="BJ27" s="171">
        <f ca="1">IF(OR($D27&lt;&gt;"Serviço",AND(AUTOEVENTO="Manual",$M27=$A$15)),0,
         IF(OFFSET(CRONOPLE!$F$15,$M27-$A$15,BJ$13)=0,10^12,OFFSET(CRONOPLE!$F$15,$M27-$A$15,BJ$13)))</f>
        <v>1000000000000</v>
      </c>
      <c r="BK27" s="171">
        <f ca="1">IF(OR($D27&lt;&gt;"Serviço",AND(AUTOEVENTO="Manual",$M27=$A$15)),0,
         IF(OFFSET(CRONOPLE!$F$15,$M27-$A$15,BK$13)=0,10^12,OFFSET(CRONOPLE!$F$15,$M27-$A$15,BK$13)))</f>
        <v>1000000000000</v>
      </c>
      <c r="BL27" s="171">
        <f ca="1">IF(OR($D27&lt;&gt;"Serviço",AND(AUTOEVENTO="Manual",$M27=$A$15)),0,
         IF(OFFSET(CRONOPLE!$F$15,$M27-$A$15,BL$13)=0,10^12,OFFSET(CRONOPLE!$F$15,$M27-$A$15,BL$13)))</f>
        <v>1000000000000</v>
      </c>
      <c r="BM27" s="171">
        <f ca="1">IF(OR($D27&lt;&gt;"Serviço",AND(AUTOEVENTO="Manual",$M27=$A$15)),0,
         IF(OFFSET(CRONOPLE!$F$15,$M27-$A$15,BM$13)=0,10^12,OFFSET(CRONOPLE!$F$15,$M27-$A$15,BM$13)))</f>
        <v>1000000000000</v>
      </c>
      <c r="BN27" s="171">
        <f ca="1">IF(OR($D27&lt;&gt;"Serviço",AND(AUTOEVENTO="Manual",$M27=$A$15)),0,
         IF(OFFSET(CRONOPLE!$F$15,$M27-$A$15,BN$13)=0,10^12,OFFSET(CRONOPLE!$F$15,$M27-$A$15,BN$13)))</f>
        <v>1000000000000</v>
      </c>
      <c r="BO27" s="171">
        <f ca="1">IF(OR($D27&lt;&gt;"Serviço",AND(AUTOEVENTO="Manual",$M27=$A$15)),0,
         IF(OFFSET(CRONOPLE!$F$15,$M27-$A$15,BO$13)=0,10^12,OFFSET(CRONOPLE!$F$15,$M27-$A$15,BO$13)))</f>
        <v>1000000000000</v>
      </c>
      <c r="BP27" s="171">
        <f ca="1">IF(OR($D27&lt;&gt;"Serviço",AND(AUTOEVENTO="Manual",$M27=$A$15)),0,
         IF(OFFSET(CRONOPLE!$F$15,$M27-$A$15,BP$13)=0,10^12,OFFSET(CRONOPLE!$F$15,$M27-$A$15,BP$13)))</f>
        <v>1000000000000</v>
      </c>
      <c r="BQ27" s="171">
        <f ca="1">IF(OR($D27&lt;&gt;"Serviço",AND(AUTOEVENTO="Manual",$M27=$A$15)),0,
         IF(OFFSET(CRONOPLE!$F$15,$M27-$A$15,BQ$13)=0,10^12,OFFSET(CRONOPLE!$F$15,$M27-$A$15,BQ$13)))</f>
        <v>1000000000000</v>
      </c>
      <c r="BR27" s="171">
        <f ca="1">IF(OR($D27&lt;&gt;"Serviço",AND(AUTOEVENTO="Manual",$M27=$A$15)),0,
         IF(OFFSET(CRONOPLE!$F$15,$M27-$A$15,BR$13)=0,10^12,OFFSET(CRONOPLE!$F$15,$M27-$A$15,BR$13)))</f>
        <v>1000000000000</v>
      </c>
      <c r="BS27" s="171">
        <f ca="1">IF(OR($D27&lt;&gt;"Serviço",AND(AUTOEVENTO="Manual",$M27=$A$15)),0,
         IF(OFFSET(CRONOPLE!$F$15,$M27-$A$15,BS$13)=0,10^12,OFFSET(CRONOPLE!$F$15,$M27-$A$15,BS$13)))</f>
        <v>1000000000000</v>
      </c>
      <c r="BT27" s="171">
        <f ca="1">IF(OR($D27&lt;&gt;"Serviço",AND(AUTOEVENTO="Manual",$M27=$A$15)),0,
         IF(OFFSET(CRONOPLE!$F$15,$M27-$A$15,BT$13)=0,10^12,OFFSET(CRONOPLE!$F$15,$M27-$A$15,BT$13)))</f>
        <v>1000000000000</v>
      </c>
      <c r="BV27" s="172">
        <f t="array" aca="1" ref="BV27" ca="1">IF(OR($D27&lt;&gt;"Serviço",AND(AUTOEVENTO="Manual",$M27=$A$15),$M27&gt;(ROW(PLE.lastrow)-ROW(PLE.firstrow))),0,
           IF(OFFSET(PLE!$G$15,$M27-$A$15,BV$13)="",10^12,OFFSET(PLE!$G$15,$M27-$A$15,BV$13)))</f>
        <v>1000000000000</v>
      </c>
      <c r="BW27" s="172">
        <f t="array" aca="1" ref="BW27" ca="1">IF(OR($D27&lt;&gt;"Serviço",AND(AUTOEVENTO="Manual",$M27=$A$15),$M27&gt;(ROW(PLE.lastrow)-ROW(PLE.firstrow))),0,
           IF(OFFSET(PLE!$G$15,$M27-$A$15,BW$13)="",10^12,OFFSET(PLE!$G$15,$M27-$A$15,BW$13)))</f>
        <v>1000000000000</v>
      </c>
      <c r="BX27" s="172">
        <f t="array" aca="1" ref="BX27" ca="1">IF(OR($D27&lt;&gt;"Serviço",AND(AUTOEVENTO="Manual",$M27=$A$15),$M27&gt;(ROW(PLE.lastrow)-ROW(PLE.firstrow))),0,
           IF(OFFSET(PLE!$G$15,$M27-$A$15,BX$13)="",10^12,OFFSET(PLE!$G$15,$M27-$A$15,BX$13)))</f>
        <v>1000000000000</v>
      </c>
      <c r="BY27" s="172">
        <f t="array" aca="1" ref="BY27" ca="1">IF(OR($D27&lt;&gt;"Serviço",AND(AUTOEVENTO="Manual",$M27=$A$15),$M27&gt;(ROW(PLE.lastrow)-ROW(PLE.firstrow))),0,
           IF(OFFSET(PLE!$G$15,$M27-$A$15,BY$13)="",10^12,OFFSET(PLE!$G$15,$M27-$A$15,BY$13)))</f>
        <v>1000000000000</v>
      </c>
      <c r="BZ27" s="172">
        <f t="array" aca="1" ref="BZ27" ca="1">IF(OR($D27&lt;&gt;"Serviço",AND(AUTOEVENTO="Manual",$M27=$A$15),$M27&gt;(ROW(PLE.lastrow)-ROW(PLE.firstrow))),0,
           IF(OFFSET(PLE!$G$15,$M27-$A$15,BZ$13)="",10^12,OFFSET(PLE!$G$15,$M27-$A$15,BZ$13)))</f>
        <v>1000000000000</v>
      </c>
      <c r="CA27" s="172">
        <f t="array" aca="1" ref="CA27" ca="1">IF(OR($D27&lt;&gt;"Serviço",AND(AUTOEVENTO="Manual",$M27=$A$15),$M27&gt;(ROW(PLE.lastrow)-ROW(PLE.firstrow))),0,
           IF(OFFSET(PLE!$G$15,$M27-$A$15,CA$13)="",10^12,OFFSET(PLE!$G$15,$M27-$A$15,CA$13)))</f>
        <v>1000000000000</v>
      </c>
      <c r="CB27" s="172">
        <f t="array" aca="1" ref="CB27" ca="1">IF(OR($D27&lt;&gt;"Serviço",AND(AUTOEVENTO="Manual",$M27=$A$15),$M27&gt;(ROW(PLE.lastrow)-ROW(PLE.firstrow))),0,
           IF(OFFSET(PLE!$G$15,$M27-$A$15,CB$13)="",10^12,OFFSET(PLE!$G$15,$M27-$A$15,CB$13)))</f>
        <v>1000000000000</v>
      </c>
      <c r="CC27" s="172">
        <f t="array" aca="1" ref="CC27" ca="1">IF(OR($D27&lt;&gt;"Serviço",AND(AUTOEVENTO="Manual",$M27=$A$15),$M27&gt;(ROW(PLE.lastrow)-ROW(PLE.firstrow))),0,
           IF(OFFSET(PLE!$G$15,$M27-$A$15,CC$13)="",10^12,OFFSET(PLE!$G$15,$M27-$A$15,CC$13)))</f>
        <v>1000000000000</v>
      </c>
      <c r="CD27" s="172">
        <f t="array" aca="1" ref="CD27" ca="1">IF(OR($D27&lt;&gt;"Serviço",AND(AUTOEVENTO="Manual",$M27=$A$15),$M27&gt;(ROW(PLE.lastrow)-ROW(PLE.firstrow))),0,
           IF(OFFSET(PLE!$G$15,$M27-$A$15,CD$13)="",10^12,OFFSET(PLE!$G$15,$M27-$A$15,CD$13)))</f>
        <v>1000000000000</v>
      </c>
      <c r="CE27" s="172">
        <f t="array" aca="1" ref="CE27" ca="1">IF(OR($D27&lt;&gt;"Serviço",AND(AUTOEVENTO="Manual",$M27=$A$15),$M27&gt;(ROW(PLE.lastrow)-ROW(PLE.firstrow))),0,
           IF(OFFSET(PLE!$G$15,$M27-$A$15,CE$13)="",10^12,OFFSET(PLE!$G$15,$M27-$A$15,CE$13)))</f>
        <v>1000000000000</v>
      </c>
      <c r="CF27" s="172">
        <f t="array" aca="1" ref="CF27" ca="1">IF(OR($D27&lt;&gt;"Serviço",AND(AUTOEVENTO="Manual",$M27=$A$15),$M27&gt;(ROW(PLE.lastrow)-ROW(PLE.firstrow))),0,
           IF(OFFSET(PLE!$G$15,$M27-$A$15,CF$13)="",10^12,OFFSET(PLE!$G$15,$M27-$A$15,CF$13)))</f>
        <v>1000000000000</v>
      </c>
      <c r="CG27" s="172">
        <f t="array" aca="1" ref="CG27" ca="1">IF(OR($D27&lt;&gt;"Serviço",AND(AUTOEVENTO="Manual",$M27=$A$15),$M27&gt;(ROW(PLE.lastrow)-ROW(PLE.firstrow))),0,
           IF(OFFSET(PLE!$G$15,$M27-$A$15,CG$13)="",10^12,OFFSET(PLE!$G$15,$M27-$A$15,CG$13)))</f>
        <v>1000000000000</v>
      </c>
      <c r="CH27" s="172">
        <f t="array" aca="1" ref="CH27" ca="1">IF(OR($D27&lt;&gt;"Serviço",AND(AUTOEVENTO="Manual",$M27=$A$15),$M27&gt;(ROW(PLE.lastrow)-ROW(PLE.firstrow))),0,
           IF(OFFSET(PLE!$G$15,$M27-$A$15,CH$13)="",10^12,OFFSET(PLE!$G$15,$M27-$A$15,CH$13)))</f>
        <v>1000000000000</v>
      </c>
      <c r="CI27" s="172">
        <f t="array" aca="1" ref="CI27" ca="1">IF(OR($D27&lt;&gt;"Serviço",AND(AUTOEVENTO="Manual",$M27=$A$15),$M27&gt;(ROW(PLE.lastrow)-ROW(PLE.firstrow))),0,
           IF(OFFSET(PLE!$G$15,$M27-$A$15,CI$13)="",10^12,OFFSET(PLE!$G$15,$M27-$A$15,CI$13)))</f>
        <v>1000000000000</v>
      </c>
      <c r="CJ27" s="172">
        <f t="array" aca="1" ref="CJ27" ca="1">IF(OR($D27&lt;&gt;"Serviço",AND(AUTOEVENTO="Manual",$M27=$A$15),$M27&gt;(ROW(PLE.lastrow)-ROW(PLE.firstrow))),0,
           IF(OFFSET(PLE!$G$15,$M27-$A$15,CJ$13)="",10^12,OFFSET(PLE!$G$15,$M27-$A$15,CJ$13)))</f>
        <v>1000000000000</v>
      </c>
      <c r="CK27" s="172">
        <f t="array" aca="1" ref="CK27" ca="1">IF(OR($D27&lt;&gt;"Serviço",AND(AUTOEVENTO="Manual",$M27=$A$15),$M27&gt;(ROW(PLE.lastrow)-ROW(PLE.firstrow))),0,
           IF(OFFSET(PLE!$G$15,$M27-$A$15,CK$13)="",10^12,OFFSET(PLE!$G$15,$M27-$A$15,CK$13)))</f>
        <v>1000000000000</v>
      </c>
      <c r="CL27" s="172">
        <f t="array" aca="1" ref="CL27" ca="1">IF(OR($D27&lt;&gt;"Serviço",AND(AUTOEVENTO="Manual",$M27=$A$15),$M27&gt;(ROW(PLE.lastrow)-ROW(PLE.firstrow))),0,
           IF(OFFSET(PLE!$G$15,$M27-$A$15,CL$13)="",10^12,OFFSET(PLE!$G$15,$M27-$A$15,CL$13)))</f>
        <v>1000000000000</v>
      </c>
      <c r="CM27" s="172">
        <f t="array" aca="1" ref="CM27" ca="1">IF(OR($D27&lt;&gt;"Serviço",AND(AUTOEVENTO="Manual",$M27=$A$15),$M27&gt;(ROW(PLE.lastrow)-ROW(PLE.firstrow))),0,
           IF(OFFSET(PLE!$G$15,$M27-$A$15,CM$13)="",10^12,OFFSET(PLE!$G$15,$M27-$A$15,CM$13)))</f>
        <v>1000000000000</v>
      </c>
    </row>
    <row r="28" spans="1:91" s="699" customFormat="1" ht="38.25" x14ac:dyDescent="0.2">
      <c r="A28" s="697">
        <f ca="1">IFERROR(IF(AUTOEVENTO="Manual",IF(K28&lt;&gt;"",MIN(VALUE(LEFT(K28,FIND(".",K28)-1)),COUNTA(EVENTOS.Lista)),0),IF(OR($B28&gt;AUTOEVENTO,$B28="S",$B28=0),SUBSTITUTE(OFFSET($A28,-1,0),IF($D28="Serviço",".",""),""),$L28&amp;".")),0)</f>
        <v>2</v>
      </c>
      <c r="B28" s="697" t="str">
        <f ca="1">OFFSET(ORÇAMENTO!C$15,$L28,0)</f>
        <v>S</v>
      </c>
      <c r="C28" s="697" t="str">
        <f ca="1">OFFSET(ORÇAMENTO!L$15,$L28,0)</f>
        <v>F</v>
      </c>
      <c r="D28" s="116" t="str">
        <f ca="1">OFFSET(ORÇAMENTO!N$15,$L28,0)</f>
        <v>Serviço</v>
      </c>
      <c r="E28" s="117" t="str">
        <f ca="1">OFFSET(ORÇAMENTO!O$15,$L28,0)</f>
        <v>1.2.5.</v>
      </c>
      <c r="F28" s="163" t="str">
        <f ca="1">OFFSET(ORÇAMENTO!R$15,$L28,0)</f>
        <v>BARRACÃO DE OBRA, EM CHAPA DE COMPENSADO RESINADO, INCLUSIVE  INSTALAÇÕES SANITÁRIAS E MOBILIÁRIO - PADRÃO DER-MG</v>
      </c>
      <c r="G28" s="164" t="str">
        <f ca="1">IF($D28&lt;&gt;"Serviço","",OFFSET(ORÇAMENTO!S$15,$L28,0))</f>
        <v>m2</v>
      </c>
      <c r="H28" s="122">
        <f t="array" aca="1" ref="H28" ca="1">IF($D28&lt;&gt;"Serviço",0,IF(ACOMPANHAMENTO="BM",ROUND(OFFSET(ORÇAMENTO!AJ$15,$L28,0),15-13*ORÇAMENTO!$AF$7),IF(IFERROR(CÁLCULO.FrentesPreenchidas,0)=0,0,SUM(ROUND(OFFSET($P28,0,1,1,CÁLCULO.FrentesPreenchidas),15-13*ORÇAMENTO!$AF$7)))))</f>
        <v>15</v>
      </c>
      <c r="I28" s="467" t="s">
        <v>1216</v>
      </c>
      <c r="J28" s="653" t="str">
        <f t="array" aca="1" ref="J28" ca="1">IF(OR(B28&lt;&gt;"S",CÁLCULO.FrentesPreenchidas=0),"",IF(AND(ACOMPANHAMENTO="PLE",AUTOEVENTO="Manual",OR(H28&gt;0,ORÇAMENTO!AC28="QUANT."),OR(K28="",M28=0,N28="")),"►E",IF(AND(ACOMPANHAMENTO="PLE",ORÇAMENTO!AC28="QUANT."),"►Q",IF(AND(ACOMPANHAMENTO="PLE",H28&lt;&gt;SUMPRODUCT(($Q$1:$AI$1=1)*ROUND(Q28:AI28,15))),"►S",IF(AND(COUNTIF($P$11:$AI$11,"▼")=0,H28&gt;0,I28=""),"◄M","")))))</f>
        <v/>
      </c>
      <c r="K28" s="654" t="s">
        <v>1380</v>
      </c>
      <c r="L28" s="165">
        <f ca="1">OFFSET(L28,-1,0)+1</f>
        <v>13</v>
      </c>
      <c r="M28" s="166">
        <f ca="1">IF($D28&lt;&gt;"Serviço","",
          IF(AUTOEVENTO="manual",$A28,
                IF(ISERROR(MATCH($A28,$A$15:OFFSET($A28,-1,0),0)),MAX($M$15:OFFSET(M28,-1,0))+1,
                      INDEX($M$15:OFFSET(M28,-1,0),MATCH($A28,$A$15:OFFSET($A28,-1,0),0)))))</f>
        <v>2</v>
      </c>
      <c r="N28" s="167" t="str">
        <f ca="1">IF($D28&lt;&gt;"Serviço","",
         IF(AUTOEVENTO="Manual",
                IF($A28=0,"&lt;-- defina o número do agrupador",
                       OFFSET(EVENTOS!$D$15,$A28-$A$15,0)),
                OFFSET($F$15,$A28,0)))</f>
        <v>INTALAÇÃO DE CANTEIRO (BARRACÃO, PLACA DE OBRA)</v>
      </c>
      <c r="O28" s="168"/>
      <c r="Q28" s="168"/>
      <c r="R28" s="169"/>
      <c r="S28" s="169"/>
      <c r="T28" s="169"/>
      <c r="U28" s="169"/>
      <c r="V28" s="169">
        <v>15</v>
      </c>
      <c r="W28" s="169"/>
      <c r="X28" s="169"/>
      <c r="Y28" s="169"/>
      <c r="Z28" s="170"/>
      <c r="AA28" s="169"/>
      <c r="AB28" s="169"/>
      <c r="AC28" s="169"/>
      <c r="AD28" s="169"/>
      <c r="AE28" s="169"/>
      <c r="AF28" s="169"/>
      <c r="AG28" s="169"/>
      <c r="AH28" s="170"/>
      <c r="AJ28" s="452">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2">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L28" s="452">
        <f ca="1">IF(AND($D28="Serviço",AL$12&lt;&gt;0,$H28&gt;0,OR(AUTOEVENTO&lt;&gt;"manual",$M28&lt;&gt;$A$15)),
        IF(Import.TipoArredondamento&lt;&gt;"TransfereGOV",
              ROUND(OFFSET($P28,0,AL$13),15-13*ORÇAMENTO!$AF$7)/$H28*OFFSET(ORÇAMENTO!$X$15,ROW(AL28)-ROW(AL$15),0),
              ROUND(ROUND(OFFSET($P28,0,AL$13),15-13*ORÇAMENTO!$AF$7)*OFFSET(ORÇAMENTO!$W$15,ROW(AL28)-ROW(AL$15),0),15-13*ORÇAMENTO!$AF$11)),
         0)</f>
        <v>0</v>
      </c>
      <c r="AM28" s="452">
        <f ca="1">IF(AND($D28="Serviço",AM$12&lt;&gt;0,$H28&gt;0,OR(AUTOEVENTO&lt;&gt;"manual",$M28&lt;&gt;$A$15)),
        IF(Import.TipoArredondamento&lt;&gt;"TransfereGOV",
              ROUND(OFFSET($P28,0,AM$13),15-13*ORÇAMENTO!$AF$7)/$H28*OFFSET(ORÇAMENTO!$X$15,ROW(AM28)-ROW(AM$15),0),
              ROUND(ROUND(OFFSET($P28,0,AM$13),15-13*ORÇAMENTO!$AF$7)*OFFSET(ORÇAMENTO!$W$15,ROW(AM28)-ROW(AM$15),0),15-13*ORÇAMENTO!$AF$11)),
         0)</f>
        <v>0</v>
      </c>
      <c r="AN28" s="452">
        <f ca="1">IF(AND($D28="Serviço",AN$12&lt;&gt;0,$H28&gt;0,OR(AUTOEVENTO&lt;&gt;"manual",$M28&lt;&gt;$A$15)),
        IF(Import.TipoArredondamento&lt;&gt;"TransfereGOV",
              ROUND(OFFSET($P28,0,AN$13),15-13*ORÇAMENTO!$AF$7)/$H28*OFFSET(ORÇAMENTO!$X$15,ROW(AN28)-ROW(AN$15),0),
              ROUND(ROUND(OFFSET($P28,0,AN$13),15-13*ORÇAMENTO!$AF$7)*OFFSET(ORÇAMENTO!$W$15,ROW(AN28)-ROW(AN$15),0),15-13*ORÇAMENTO!$AF$11)),
         0)</f>
        <v>0</v>
      </c>
      <c r="AO28" s="452">
        <f ca="1">IF(AND($D28="Serviço",AO$12&lt;&gt;0,$H28&gt;0,OR(AUTOEVENTO&lt;&gt;"manual",$M28&lt;&gt;$A$15)),
        IF(Import.TipoArredondamento&lt;&gt;"TransfereGOV",
              ROUND(OFFSET($P28,0,AO$13),15-13*ORÇAMENTO!$AF$7)/$H28*OFFSET(ORÇAMENTO!$X$15,ROW(AO28)-ROW(AO$15),0),
              ROUND(ROUND(OFFSET($P28,0,AO$13),15-13*ORÇAMENTO!$AF$7)*OFFSET(ORÇAMENTO!$W$15,ROW(AO28)-ROW(AO$15),0),15-13*ORÇAMENTO!$AF$11)),
         0)</f>
        <v>11457</v>
      </c>
      <c r="AP28" s="452">
        <f ca="1">IF(AND($D28="Serviço",AP$12&lt;&gt;0,$H28&gt;0,OR(AUTOEVENTO&lt;&gt;"manual",$M28&lt;&gt;$A$15)),
        IF(Import.TipoArredondamento&lt;&gt;"TransfereGOV",
              ROUND(OFFSET($P28,0,AP$13),15-13*ORÇAMENTO!$AF$7)/$H28*OFFSET(ORÇAMENTO!$X$15,ROW(AP28)-ROW(AP$15),0),
              ROUND(ROUND(OFFSET($P28,0,AP$13),15-13*ORÇAMENTO!$AF$7)*OFFSET(ORÇAMENTO!$W$15,ROW(AP28)-ROW(AP$15),0),15-13*ORÇAMENTO!$AF$11)),
         0)</f>
        <v>0</v>
      </c>
      <c r="AQ28" s="452">
        <f ca="1">IF(AND($D28="Serviço",AQ$12&lt;&gt;0,$H28&gt;0,OR(AUTOEVENTO&lt;&gt;"manual",$M28&lt;&gt;$A$15)),
        IF(Import.TipoArredondamento&lt;&gt;"TransfereGOV",
              ROUND(OFFSET($P28,0,AQ$13),15-13*ORÇAMENTO!$AF$7)/$H28*OFFSET(ORÇAMENTO!$X$15,ROW(AQ28)-ROW(AQ$15),0),
              ROUND(ROUND(OFFSET($P28,0,AQ$13),15-13*ORÇAMENTO!$AF$7)*OFFSET(ORÇAMENTO!$W$15,ROW(AQ28)-ROW(AQ$15),0),15-13*ORÇAMENTO!$AF$11)),
         0)</f>
        <v>0</v>
      </c>
      <c r="AR28" s="452">
        <f ca="1">IF(AND($D28="Serviço",AR$12&lt;&gt;0,$H28&gt;0,OR(AUTOEVENTO&lt;&gt;"manual",$M28&lt;&gt;$A$15)),
        IF(Import.TipoArredondamento&lt;&gt;"TransfereGOV",
              ROUND(OFFSET($P28,0,AR$13),15-13*ORÇAMENTO!$AF$7)/$H28*OFFSET(ORÇAMENTO!$X$15,ROW(AR28)-ROW(AR$15),0),
              ROUND(ROUND(OFFSET($P28,0,AR$13),15-13*ORÇAMENTO!$AF$7)*OFFSET(ORÇAMENTO!$W$15,ROW(AR28)-ROW(AR$15),0),15-13*ORÇAMENTO!$AF$11)),
         0)</f>
        <v>0</v>
      </c>
      <c r="AS28" s="452">
        <f ca="1">IF(AND($D28="Serviço",AS$12&lt;&gt;0,$H28&gt;0,OR(AUTOEVENTO&lt;&gt;"manual",$M28&lt;&gt;$A$15)),
        IF(Import.TipoArredondamento&lt;&gt;"TransfereGOV",
              ROUND(OFFSET($P28,0,AS$13),15-13*ORÇAMENTO!$AF$7)/$H28*OFFSET(ORÇAMENTO!$X$15,ROW(AS28)-ROW(AS$15),0),
              ROUND(ROUND(OFFSET($P28,0,AS$13),15-13*ORÇAMENTO!$AF$7)*OFFSET(ORÇAMENTO!$W$15,ROW(AS28)-ROW(AS$15),0),15-13*ORÇAMENTO!$AF$11)),
         0)</f>
        <v>0</v>
      </c>
      <c r="AT28" s="452">
        <f ca="1">IF(AND($D28="Serviço",AT$12&lt;&gt;0,$H28&gt;0,OR(AUTOEVENTO&lt;&gt;"manual",$M28&lt;&gt;$A$15)),
        IF(Import.TipoArredondamento&lt;&gt;"TransfereGOV",
              ROUND(OFFSET($P28,0,AT$13),15-13*ORÇAMENTO!$AF$7)/$H28*OFFSET(ORÇAMENTO!$X$15,ROW(AT28)-ROW(AT$15),0),
              ROUND(ROUND(OFFSET($P28,0,AT$13),15-13*ORÇAMENTO!$AF$7)*OFFSET(ORÇAMENTO!$W$15,ROW(AT28)-ROW(AT$15),0),15-13*ORÇAMENTO!$AF$11)),
         0)</f>
        <v>0</v>
      </c>
      <c r="AU28" s="452">
        <f ca="1">IF(AND($D28="Serviço",AU$12&lt;&gt;0,$H28&gt;0,OR(AUTOEVENTO&lt;&gt;"manual",$M28&lt;&gt;$A$15)),
        IF(Import.TipoArredondamento&lt;&gt;"TransfereGOV",
              ROUND(OFFSET($P28,0,AU$13),15-13*ORÇAMENTO!$AF$7)/$H28*OFFSET(ORÇAMENTO!$X$15,ROW(AU28)-ROW(AU$15),0),
              ROUND(ROUND(OFFSET($P28,0,AU$13),15-13*ORÇAMENTO!$AF$7)*OFFSET(ORÇAMENTO!$W$15,ROW(AU28)-ROW(AU$15),0),15-13*ORÇAMENTO!$AF$11)),
         0)</f>
        <v>0</v>
      </c>
      <c r="AV28" s="452">
        <f ca="1">IF(AND($D28="Serviço",AV$12&lt;&gt;0,$H28&gt;0,OR(AUTOEVENTO&lt;&gt;"manual",$M28&lt;&gt;$A$15)),
        IF(Import.TipoArredondamento&lt;&gt;"TransfereGOV",
              ROUND(OFFSET($P28,0,AV$13),15-13*ORÇAMENTO!$AF$7)/$H28*OFFSET(ORÇAMENTO!$X$15,ROW(AV28)-ROW(AV$15),0),
              ROUND(ROUND(OFFSET($P28,0,AV$13),15-13*ORÇAMENTO!$AF$7)*OFFSET(ORÇAMENTO!$W$15,ROW(AV28)-ROW(AV$15),0),15-13*ORÇAMENTO!$AF$11)),
         0)</f>
        <v>0</v>
      </c>
      <c r="AW28" s="452">
        <f ca="1">IF(AND($D28="Serviço",AW$12&lt;&gt;0,$H28&gt;0,OR(AUTOEVENTO&lt;&gt;"manual",$M28&lt;&gt;$A$15)),
        IF(Import.TipoArredondamento&lt;&gt;"TransfereGOV",
              ROUND(OFFSET($P28,0,AW$13),15-13*ORÇAMENTO!$AF$7)/$H28*OFFSET(ORÇAMENTO!$X$15,ROW(AW28)-ROW(AW$15),0),
              ROUND(ROUND(OFFSET($P28,0,AW$13),15-13*ORÇAMENTO!$AF$7)*OFFSET(ORÇAMENTO!$W$15,ROW(AW28)-ROW(AW$15),0),15-13*ORÇAMENTO!$AF$11)),
         0)</f>
        <v>0</v>
      </c>
      <c r="AX28" s="452">
        <f ca="1">IF(AND($D28="Serviço",AX$12&lt;&gt;0,$H28&gt;0,OR(AUTOEVENTO&lt;&gt;"manual",$M28&lt;&gt;$A$15)),
        IF(Import.TipoArredondamento&lt;&gt;"TransfereGOV",
              ROUND(OFFSET($P28,0,AX$13),15-13*ORÇAMENTO!$AF$7)/$H28*OFFSET(ORÇAMENTO!$X$15,ROW(AX28)-ROW(AX$15),0),
              ROUND(ROUND(OFFSET($P28,0,AX$13),15-13*ORÇAMENTO!$AF$7)*OFFSET(ORÇAMENTO!$W$15,ROW(AX28)-ROW(AX$15),0),15-13*ORÇAMENTO!$AF$11)),
         0)</f>
        <v>0</v>
      </c>
      <c r="AY28" s="452">
        <f ca="1">IF(AND($D28="Serviço",AY$12&lt;&gt;0,$H28&gt;0,OR(AUTOEVENTO&lt;&gt;"manual",$M28&lt;&gt;$A$15)),
        IF(Import.TipoArredondamento&lt;&gt;"TransfereGOV",
              ROUND(OFFSET($P28,0,AY$13),15-13*ORÇAMENTO!$AF$7)/$H28*OFFSET(ORÇAMENTO!$X$15,ROW(AY28)-ROW(AY$15),0),
              ROUND(ROUND(OFFSET($P28,0,AY$13),15-13*ORÇAMENTO!$AF$7)*OFFSET(ORÇAMENTO!$W$15,ROW(AY28)-ROW(AY$15),0),15-13*ORÇAMENTO!$AF$11)),
         0)</f>
        <v>0</v>
      </c>
      <c r="AZ28" s="452">
        <f ca="1">IF(AND($D28="Serviço",AZ$12&lt;&gt;0,$H28&gt;0,OR(AUTOEVENTO&lt;&gt;"manual",$M28&lt;&gt;$A$15)),
        IF(Import.TipoArredondamento&lt;&gt;"TransfereGOV",
              ROUND(OFFSET($P28,0,AZ$13),15-13*ORÇAMENTO!$AF$7)/$H28*OFFSET(ORÇAMENTO!$X$15,ROW(AZ28)-ROW(AZ$15),0),
              ROUND(ROUND(OFFSET($P28,0,AZ$13),15-13*ORÇAMENTO!$AF$7)*OFFSET(ORÇAMENTO!$W$15,ROW(AZ28)-ROW(AZ$15),0),15-13*ORÇAMENTO!$AF$11)),
         0)</f>
        <v>0</v>
      </c>
      <c r="BA28" s="452">
        <f ca="1">IF(AND($D28="Serviço",BA$12&lt;&gt;0,$H28&gt;0,OR(AUTOEVENTO&lt;&gt;"manual",$M28&lt;&gt;$A$15)),
        IF(Import.TipoArredondamento&lt;&gt;"TransfereGOV",
              ROUND(OFFSET($P28,0,BA$13),15-13*ORÇAMENTO!$AF$7)/$H28*OFFSET(ORÇAMENTO!$X$15,ROW(BA28)-ROW(BA$15),0),
              ROUND(ROUND(OFFSET($P28,0,BA$13),15-13*ORÇAMENTO!$AF$7)*OFFSET(ORÇAMENTO!$W$15,ROW(BA28)-ROW(BA$15),0),15-13*ORÇAMENTO!$AF$11)),
         0)</f>
        <v>0</v>
      </c>
      <c r="BC28" s="171">
        <f ca="1">IF(OR($D28&lt;&gt;"Serviço",AND(AUTOEVENTO="Manual",$M28=$A$15)),0,
         IF(OFFSET(CRONOPLE!$F$15,$M28-$A$15,BC$13)=0,10^12,OFFSET(CRONOPLE!$F$15,$M28-$A$15,BC$13)))</f>
        <v>1</v>
      </c>
      <c r="BD28" s="171">
        <f ca="1">IF(OR($D28&lt;&gt;"Serviço",AND(AUTOEVENTO="Manual",$M28=$A$15)),0,
         IF(OFFSET(CRONOPLE!$F$15,$M28-$A$15,BD$13)=0,10^12,OFFSET(CRONOPLE!$F$15,$M28-$A$15,BD$13)))</f>
        <v>1000000000000</v>
      </c>
      <c r="BE28" s="171">
        <f ca="1">IF(OR($D28&lt;&gt;"Serviço",AND(AUTOEVENTO="Manual",$M28=$A$15)),0,
         IF(OFFSET(CRONOPLE!$F$15,$M28-$A$15,BE$13)=0,10^12,OFFSET(CRONOPLE!$F$15,$M28-$A$15,BE$13)))</f>
        <v>1000000000000</v>
      </c>
      <c r="BF28" s="171">
        <f ca="1">IF(OR($D28&lt;&gt;"Serviço",AND(AUTOEVENTO="Manual",$M28=$A$15)),0,
         IF(OFFSET(CRONOPLE!$F$15,$M28-$A$15,BF$13)=0,10^12,OFFSET(CRONOPLE!$F$15,$M28-$A$15,BF$13)))</f>
        <v>1000000000000</v>
      </c>
      <c r="BG28" s="171">
        <f ca="1">IF(OR($D28&lt;&gt;"Serviço",AND(AUTOEVENTO="Manual",$M28=$A$15)),0,
         IF(OFFSET(CRONOPLE!$F$15,$M28-$A$15,BG$13)=0,10^12,OFFSET(CRONOPLE!$F$15,$M28-$A$15,BG$13)))</f>
        <v>1000000000000</v>
      </c>
      <c r="BH28" s="171">
        <f ca="1">IF(OR($D28&lt;&gt;"Serviço",AND(AUTOEVENTO="Manual",$M28=$A$15)),0,
         IF(OFFSET(CRONOPLE!$F$15,$M28-$A$15,BH$13)=0,10^12,OFFSET(CRONOPLE!$F$15,$M28-$A$15,BH$13)))</f>
        <v>2</v>
      </c>
      <c r="BI28" s="171">
        <f ca="1">IF(OR($D28&lt;&gt;"Serviço",AND(AUTOEVENTO="Manual",$M28=$A$15)),0,
         IF(OFFSET(CRONOPLE!$F$15,$M28-$A$15,BI$13)=0,10^12,OFFSET(CRONOPLE!$F$15,$M28-$A$15,BI$13)))</f>
        <v>1000000000000</v>
      </c>
      <c r="BJ28" s="171">
        <f ca="1">IF(OR($D28&lt;&gt;"Serviço",AND(AUTOEVENTO="Manual",$M28=$A$15)),0,
         IF(OFFSET(CRONOPLE!$F$15,$M28-$A$15,BJ$13)=0,10^12,OFFSET(CRONOPLE!$F$15,$M28-$A$15,BJ$13)))</f>
        <v>1000000000000</v>
      </c>
      <c r="BK28" s="171">
        <f ca="1">IF(OR($D28&lt;&gt;"Serviço",AND(AUTOEVENTO="Manual",$M28=$A$15)),0,
         IF(OFFSET(CRONOPLE!$F$15,$M28-$A$15,BK$13)=0,10^12,OFFSET(CRONOPLE!$F$15,$M28-$A$15,BK$13)))</f>
        <v>1000000000000</v>
      </c>
      <c r="BL28" s="171">
        <f ca="1">IF(OR($D28&lt;&gt;"Serviço",AND(AUTOEVENTO="Manual",$M28=$A$15)),0,
         IF(OFFSET(CRONOPLE!$F$15,$M28-$A$15,BL$13)=0,10^12,OFFSET(CRONOPLE!$F$15,$M28-$A$15,BL$13)))</f>
        <v>1000000000000</v>
      </c>
      <c r="BM28" s="171">
        <f ca="1">IF(OR($D28&lt;&gt;"Serviço",AND(AUTOEVENTO="Manual",$M28=$A$15)),0,
         IF(OFFSET(CRONOPLE!$F$15,$M28-$A$15,BM$13)=0,10^12,OFFSET(CRONOPLE!$F$15,$M28-$A$15,BM$13)))</f>
        <v>1000000000000</v>
      </c>
      <c r="BN28" s="171">
        <f ca="1">IF(OR($D28&lt;&gt;"Serviço",AND(AUTOEVENTO="Manual",$M28=$A$15)),0,
         IF(OFFSET(CRONOPLE!$F$15,$M28-$A$15,BN$13)=0,10^12,OFFSET(CRONOPLE!$F$15,$M28-$A$15,BN$13)))</f>
        <v>1000000000000</v>
      </c>
      <c r="BO28" s="171">
        <f ca="1">IF(OR($D28&lt;&gt;"Serviço",AND(AUTOEVENTO="Manual",$M28=$A$15)),0,
         IF(OFFSET(CRONOPLE!$F$15,$M28-$A$15,BO$13)=0,10^12,OFFSET(CRONOPLE!$F$15,$M28-$A$15,BO$13)))</f>
        <v>1000000000000</v>
      </c>
      <c r="BP28" s="171">
        <f ca="1">IF(OR($D28&lt;&gt;"Serviço",AND(AUTOEVENTO="Manual",$M28=$A$15)),0,
         IF(OFFSET(CRONOPLE!$F$15,$M28-$A$15,BP$13)=0,10^12,OFFSET(CRONOPLE!$F$15,$M28-$A$15,BP$13)))</f>
        <v>1000000000000</v>
      </c>
      <c r="BQ28" s="171">
        <f ca="1">IF(OR($D28&lt;&gt;"Serviço",AND(AUTOEVENTO="Manual",$M28=$A$15)),0,
         IF(OFFSET(CRONOPLE!$F$15,$M28-$A$15,BQ$13)=0,10^12,OFFSET(CRONOPLE!$F$15,$M28-$A$15,BQ$13)))</f>
        <v>1000000000000</v>
      </c>
      <c r="BR28" s="171">
        <f ca="1">IF(OR($D28&lt;&gt;"Serviço",AND(AUTOEVENTO="Manual",$M28=$A$15)),0,
         IF(OFFSET(CRONOPLE!$F$15,$M28-$A$15,BR$13)=0,10^12,OFFSET(CRONOPLE!$F$15,$M28-$A$15,BR$13)))</f>
        <v>1000000000000</v>
      </c>
      <c r="BS28" s="171">
        <f ca="1">IF(OR($D28&lt;&gt;"Serviço",AND(AUTOEVENTO="Manual",$M28=$A$15)),0,
         IF(OFFSET(CRONOPLE!$F$15,$M28-$A$15,BS$13)=0,10^12,OFFSET(CRONOPLE!$F$15,$M28-$A$15,BS$13)))</f>
        <v>1000000000000</v>
      </c>
      <c r="BT28" s="171">
        <f ca="1">IF(OR($D28&lt;&gt;"Serviço",AND(AUTOEVENTO="Manual",$M28=$A$15)),0,
         IF(OFFSET(CRONOPLE!$F$15,$M28-$A$15,BT$13)=0,10^12,OFFSET(CRONOPLE!$F$15,$M28-$A$15,BT$13)))</f>
        <v>1000000000000</v>
      </c>
      <c r="BV28" s="172">
        <f t="array" aca="1" ref="BV28" ca="1">IF(OR($D28&lt;&gt;"Serviço",AND(AUTOEVENTO="Manual",$M28=$A$15),$M28&gt;(ROW(PLE.lastrow)-ROW(PLE.firstrow))),0,
           IF(OFFSET(PLE!$G$15,$M28-$A$15,BV$13)="",10^12,OFFSET(PLE!$G$15,$M28-$A$15,BV$13)))</f>
        <v>1000000000000</v>
      </c>
      <c r="BW28" s="172">
        <f t="array" aca="1" ref="BW28" ca="1">IF(OR($D28&lt;&gt;"Serviço",AND(AUTOEVENTO="Manual",$M28=$A$15),$M28&gt;(ROW(PLE.lastrow)-ROW(PLE.firstrow))),0,
           IF(OFFSET(PLE!$G$15,$M28-$A$15,BW$13)="",10^12,OFFSET(PLE!$G$15,$M28-$A$15,BW$13)))</f>
        <v>1000000000000</v>
      </c>
      <c r="BX28" s="172">
        <f t="array" aca="1" ref="BX28" ca="1">IF(OR($D28&lt;&gt;"Serviço",AND(AUTOEVENTO="Manual",$M28=$A$15),$M28&gt;(ROW(PLE.lastrow)-ROW(PLE.firstrow))),0,
           IF(OFFSET(PLE!$G$15,$M28-$A$15,BX$13)="",10^12,OFFSET(PLE!$G$15,$M28-$A$15,BX$13)))</f>
        <v>1000000000000</v>
      </c>
      <c r="BY28" s="172">
        <f t="array" aca="1" ref="BY28" ca="1">IF(OR($D28&lt;&gt;"Serviço",AND(AUTOEVENTO="Manual",$M28=$A$15),$M28&gt;(ROW(PLE.lastrow)-ROW(PLE.firstrow))),0,
           IF(OFFSET(PLE!$G$15,$M28-$A$15,BY$13)="",10^12,OFFSET(PLE!$G$15,$M28-$A$15,BY$13)))</f>
        <v>1000000000000</v>
      </c>
      <c r="BZ28" s="172">
        <f t="array" aca="1" ref="BZ28" ca="1">IF(OR($D28&lt;&gt;"Serviço",AND(AUTOEVENTO="Manual",$M28=$A$15),$M28&gt;(ROW(PLE.lastrow)-ROW(PLE.firstrow))),0,
           IF(OFFSET(PLE!$G$15,$M28-$A$15,BZ$13)="",10^12,OFFSET(PLE!$G$15,$M28-$A$15,BZ$13)))</f>
        <v>1000000000000</v>
      </c>
      <c r="CA28" s="172">
        <f t="array" aca="1" ref="CA28" ca="1">IF(OR($D28&lt;&gt;"Serviço",AND(AUTOEVENTO="Manual",$M28=$A$15),$M28&gt;(ROW(PLE.lastrow)-ROW(PLE.firstrow))),0,
           IF(OFFSET(PLE!$G$15,$M28-$A$15,CA$13)="",10^12,OFFSET(PLE!$G$15,$M28-$A$15,CA$13)))</f>
        <v>1000000000000</v>
      </c>
      <c r="CB28" s="172">
        <f t="array" aca="1" ref="CB28" ca="1">IF(OR($D28&lt;&gt;"Serviço",AND(AUTOEVENTO="Manual",$M28=$A$15),$M28&gt;(ROW(PLE.lastrow)-ROW(PLE.firstrow))),0,
           IF(OFFSET(PLE!$G$15,$M28-$A$15,CB$13)="",10^12,OFFSET(PLE!$G$15,$M28-$A$15,CB$13)))</f>
        <v>1000000000000</v>
      </c>
      <c r="CC28" s="172">
        <f t="array" aca="1" ref="CC28" ca="1">IF(OR($D28&lt;&gt;"Serviço",AND(AUTOEVENTO="Manual",$M28=$A$15),$M28&gt;(ROW(PLE.lastrow)-ROW(PLE.firstrow))),0,
           IF(OFFSET(PLE!$G$15,$M28-$A$15,CC$13)="",10^12,OFFSET(PLE!$G$15,$M28-$A$15,CC$13)))</f>
        <v>1000000000000</v>
      </c>
      <c r="CD28" s="172">
        <f t="array" aca="1" ref="CD28" ca="1">IF(OR($D28&lt;&gt;"Serviço",AND(AUTOEVENTO="Manual",$M28=$A$15),$M28&gt;(ROW(PLE.lastrow)-ROW(PLE.firstrow))),0,
           IF(OFFSET(PLE!$G$15,$M28-$A$15,CD$13)="",10^12,OFFSET(PLE!$G$15,$M28-$A$15,CD$13)))</f>
        <v>1000000000000</v>
      </c>
      <c r="CE28" s="172">
        <f t="array" aca="1" ref="CE28" ca="1">IF(OR($D28&lt;&gt;"Serviço",AND(AUTOEVENTO="Manual",$M28=$A$15),$M28&gt;(ROW(PLE.lastrow)-ROW(PLE.firstrow))),0,
           IF(OFFSET(PLE!$G$15,$M28-$A$15,CE$13)="",10^12,OFFSET(PLE!$G$15,$M28-$A$15,CE$13)))</f>
        <v>1000000000000</v>
      </c>
      <c r="CF28" s="172">
        <f t="array" aca="1" ref="CF28" ca="1">IF(OR($D28&lt;&gt;"Serviço",AND(AUTOEVENTO="Manual",$M28=$A$15),$M28&gt;(ROW(PLE.lastrow)-ROW(PLE.firstrow))),0,
           IF(OFFSET(PLE!$G$15,$M28-$A$15,CF$13)="",10^12,OFFSET(PLE!$G$15,$M28-$A$15,CF$13)))</f>
        <v>1000000000000</v>
      </c>
      <c r="CG28" s="172">
        <f t="array" aca="1" ref="CG28" ca="1">IF(OR($D28&lt;&gt;"Serviço",AND(AUTOEVENTO="Manual",$M28=$A$15),$M28&gt;(ROW(PLE.lastrow)-ROW(PLE.firstrow))),0,
           IF(OFFSET(PLE!$G$15,$M28-$A$15,CG$13)="",10^12,OFFSET(PLE!$G$15,$M28-$A$15,CG$13)))</f>
        <v>1000000000000</v>
      </c>
      <c r="CH28" s="172">
        <f t="array" aca="1" ref="CH28" ca="1">IF(OR($D28&lt;&gt;"Serviço",AND(AUTOEVENTO="Manual",$M28=$A$15),$M28&gt;(ROW(PLE.lastrow)-ROW(PLE.firstrow))),0,
           IF(OFFSET(PLE!$G$15,$M28-$A$15,CH$13)="",10^12,OFFSET(PLE!$G$15,$M28-$A$15,CH$13)))</f>
        <v>1000000000000</v>
      </c>
      <c r="CI28" s="172">
        <f t="array" aca="1" ref="CI28" ca="1">IF(OR($D28&lt;&gt;"Serviço",AND(AUTOEVENTO="Manual",$M28=$A$15),$M28&gt;(ROW(PLE.lastrow)-ROW(PLE.firstrow))),0,
           IF(OFFSET(PLE!$G$15,$M28-$A$15,CI$13)="",10^12,OFFSET(PLE!$G$15,$M28-$A$15,CI$13)))</f>
        <v>1000000000000</v>
      </c>
      <c r="CJ28" s="172">
        <f t="array" aca="1" ref="CJ28" ca="1">IF(OR($D28&lt;&gt;"Serviço",AND(AUTOEVENTO="Manual",$M28=$A$15),$M28&gt;(ROW(PLE.lastrow)-ROW(PLE.firstrow))),0,
           IF(OFFSET(PLE!$G$15,$M28-$A$15,CJ$13)="",10^12,OFFSET(PLE!$G$15,$M28-$A$15,CJ$13)))</f>
        <v>1000000000000</v>
      </c>
      <c r="CK28" s="172">
        <f t="array" aca="1" ref="CK28" ca="1">IF(OR($D28&lt;&gt;"Serviço",AND(AUTOEVENTO="Manual",$M28=$A$15),$M28&gt;(ROW(PLE.lastrow)-ROW(PLE.firstrow))),0,
           IF(OFFSET(PLE!$G$15,$M28-$A$15,CK$13)="",10^12,OFFSET(PLE!$G$15,$M28-$A$15,CK$13)))</f>
        <v>1000000000000</v>
      </c>
      <c r="CL28" s="172">
        <f t="array" aca="1" ref="CL28" ca="1">IF(OR($D28&lt;&gt;"Serviço",AND(AUTOEVENTO="Manual",$M28=$A$15),$M28&gt;(ROW(PLE.lastrow)-ROW(PLE.firstrow))),0,
           IF(OFFSET(PLE!$G$15,$M28-$A$15,CL$13)="",10^12,OFFSET(PLE!$G$15,$M28-$A$15,CL$13)))</f>
        <v>1000000000000</v>
      </c>
      <c r="CM28" s="172">
        <f t="array" aca="1" ref="CM28" ca="1">IF(OR($D28&lt;&gt;"Serviço",AND(AUTOEVENTO="Manual",$M28=$A$15),$M28&gt;(ROW(PLE.lastrow)-ROW(PLE.firstrow))),0,
           IF(OFFSET(PLE!$G$15,$M28-$A$15,CM$13)="",10^12,OFFSET(PLE!$G$15,$M28-$A$15,CM$13)))</f>
        <v>1000000000000</v>
      </c>
    </row>
    <row r="29" spans="1:91" s="696" customFormat="1" ht="12.75" x14ac:dyDescent="0.2">
      <c r="A29" s="694">
        <f t="shared" ca="1" si="10"/>
        <v>0</v>
      </c>
      <c r="B29" s="694">
        <f ca="1">OFFSET(ORÇAMENTO!C$15,$L29,0)</f>
        <v>2</v>
      </c>
      <c r="C29" s="694" t="str">
        <f ca="1">OFFSET(ORÇAMENTO!L$15,$L29,0)</f>
        <v>F</v>
      </c>
      <c r="D29" s="116" t="str">
        <f ca="1">OFFSET(ORÇAMENTO!N$15,$L29,0)</f>
        <v>Nível 2</v>
      </c>
      <c r="E29" s="117" t="str">
        <f ca="1">OFFSET(ORÇAMENTO!O$15,$L29,0)</f>
        <v>1.3.</v>
      </c>
      <c r="F29" s="163" t="str">
        <f ca="1">OFFSET(ORÇAMENTO!R$15,$L29,0)</f>
        <v>ADMINISTRAÇÃO LOCAL</v>
      </c>
      <c r="G29" s="164" t="str">
        <f ca="1">IF($D29&lt;&gt;"Serviço","",OFFSET(ORÇAMENTO!S$15,$L29,0))</f>
        <v/>
      </c>
      <c r="H29" s="122">
        <f t="array" aca="1" ref="H29" ca="1">IF($D29&lt;&gt;"Serviço",0,IF(ACOMPANHAMENTO="BM",ROUND(OFFSET(ORÇAMENTO!AJ$15,$L29,0),15-13*ORÇAMENTO!$AF$7),IF(IFERROR(CÁLCULO.FrentesPreenchidas,0)=0,0,SUM(ROUND(OFFSET($P29,0,1,1,CÁLCULO.FrentesPreenchidas),15-13*ORÇAMENTO!$AF$7)))))</f>
        <v>0</v>
      </c>
      <c r="I29" s="467"/>
      <c r="J29" s="653" t="str">
        <f t="array" aca="1" ref="J29" ca="1">IF(OR(B29&lt;&gt;"S",CÁLCULO.FrentesPreenchidas=0),"",IF(AND(ACOMPANHAMENTO="PLE",AUTOEVENTO="Manual",OR(H29&gt;0,ORÇAMENTO!AC29="QUANT."),OR(K29="",M29=0,N29="")),"►E",IF(AND(ACOMPANHAMENTO="PLE",ORÇAMENTO!AC29="QUANT."),"►Q",IF(AND(ACOMPANHAMENTO="PLE",H29&lt;&gt;SUMPRODUCT(($Q$1:$AI$1=1)*ROUND(Q29:AI29,15))),"►S",IF(AND(COUNTIF($P$11:$AI$11,"▼")=0,H29&gt;0,I29=""),"◄M","")))))</f>
        <v/>
      </c>
      <c r="K29" s="654"/>
      <c r="L29" s="165">
        <f t="shared" ca="1" si="11"/>
        <v>14</v>
      </c>
      <c r="M29" s="166" t="str">
        <f ca="1">IF($D29&lt;&gt;"Serviço","",
          IF(AUTOEVENTO="manual",$A29,
                IF(ISERROR(MATCH($A29,$A$15:OFFSET($A29,-1,0),0)),MAX($M$15:OFFSET(M29,-1,0))+1,
                      INDEX($M$15:OFFSET(M29,-1,0),MATCH($A29,$A$15:OFFSET($A29,-1,0),0)))))</f>
        <v/>
      </c>
      <c r="N29" s="167" t="str">
        <f ca="1">IF($D29&lt;&gt;"Serviço","",
         IF(AUTOEVENTO="Manual",
                IF($A29=0,"&lt;-- defina o número do agrupador",
                       OFFSET(EVENTOS!$D$15,$A29-$A$15,0)),
                OFFSET($F$15,$A29,0)))</f>
        <v/>
      </c>
      <c r="O29" s="168"/>
      <c r="Q29" s="168"/>
      <c r="R29" s="169"/>
      <c r="S29" s="169"/>
      <c r="T29" s="169"/>
      <c r="U29" s="169"/>
      <c r="V29" s="169"/>
      <c r="W29" s="169"/>
      <c r="X29" s="169"/>
      <c r="Y29" s="169"/>
      <c r="Z29" s="170"/>
      <c r="AA29" s="169"/>
      <c r="AB29" s="169"/>
      <c r="AC29" s="169"/>
      <c r="AD29" s="169"/>
      <c r="AE29" s="169"/>
      <c r="AF29" s="169"/>
      <c r="AG29" s="169"/>
      <c r="AH29" s="170"/>
      <c r="AJ29" s="452">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2">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L29" s="452">
        <f ca="1">IF(AND($D29="Serviço",AL$12&lt;&gt;0,$H29&gt;0,OR(AUTOEVENTO&lt;&gt;"manual",$M29&lt;&gt;$A$15)),
        IF(Import.TipoArredondamento&lt;&gt;"TransfereGOV",
              ROUND(OFFSET($P29,0,AL$13),15-13*ORÇAMENTO!$AF$7)/$H29*OFFSET(ORÇAMENTO!$X$15,ROW(AL29)-ROW(AL$15),0),
              ROUND(ROUND(OFFSET($P29,0,AL$13),15-13*ORÇAMENTO!$AF$7)*OFFSET(ORÇAMENTO!$W$15,ROW(AL29)-ROW(AL$15),0),15-13*ORÇAMENTO!$AF$11)),
         0)</f>
        <v>0</v>
      </c>
      <c r="AM29" s="452">
        <f ca="1">IF(AND($D29="Serviço",AM$12&lt;&gt;0,$H29&gt;0,OR(AUTOEVENTO&lt;&gt;"manual",$M29&lt;&gt;$A$15)),
        IF(Import.TipoArredondamento&lt;&gt;"TransfereGOV",
              ROUND(OFFSET($P29,0,AM$13),15-13*ORÇAMENTO!$AF$7)/$H29*OFFSET(ORÇAMENTO!$X$15,ROW(AM29)-ROW(AM$15),0),
              ROUND(ROUND(OFFSET($P29,0,AM$13),15-13*ORÇAMENTO!$AF$7)*OFFSET(ORÇAMENTO!$W$15,ROW(AM29)-ROW(AM$15),0),15-13*ORÇAMENTO!$AF$11)),
         0)</f>
        <v>0</v>
      </c>
      <c r="AN29" s="452">
        <f ca="1">IF(AND($D29="Serviço",AN$12&lt;&gt;0,$H29&gt;0,OR(AUTOEVENTO&lt;&gt;"manual",$M29&lt;&gt;$A$15)),
        IF(Import.TipoArredondamento&lt;&gt;"TransfereGOV",
              ROUND(OFFSET($P29,0,AN$13),15-13*ORÇAMENTO!$AF$7)/$H29*OFFSET(ORÇAMENTO!$X$15,ROW(AN29)-ROW(AN$15),0),
              ROUND(ROUND(OFFSET($P29,0,AN$13),15-13*ORÇAMENTO!$AF$7)*OFFSET(ORÇAMENTO!$W$15,ROW(AN29)-ROW(AN$15),0),15-13*ORÇAMENTO!$AF$11)),
         0)</f>
        <v>0</v>
      </c>
      <c r="AO29" s="452">
        <f ca="1">IF(AND($D29="Serviço",AO$12&lt;&gt;0,$H29&gt;0,OR(AUTOEVENTO&lt;&gt;"manual",$M29&lt;&gt;$A$15)),
        IF(Import.TipoArredondamento&lt;&gt;"TransfereGOV",
              ROUND(OFFSET($P29,0,AO$13),15-13*ORÇAMENTO!$AF$7)/$H29*OFFSET(ORÇAMENTO!$X$15,ROW(AO29)-ROW(AO$15),0),
              ROUND(ROUND(OFFSET($P29,0,AO$13),15-13*ORÇAMENTO!$AF$7)*OFFSET(ORÇAMENTO!$W$15,ROW(AO29)-ROW(AO$15),0),15-13*ORÇAMENTO!$AF$11)),
         0)</f>
        <v>0</v>
      </c>
      <c r="AP29" s="452">
        <f ca="1">IF(AND($D29="Serviço",AP$12&lt;&gt;0,$H29&gt;0,OR(AUTOEVENTO&lt;&gt;"manual",$M29&lt;&gt;$A$15)),
        IF(Import.TipoArredondamento&lt;&gt;"TransfereGOV",
              ROUND(OFFSET($P29,0,AP$13),15-13*ORÇAMENTO!$AF$7)/$H29*OFFSET(ORÇAMENTO!$X$15,ROW(AP29)-ROW(AP$15),0),
              ROUND(ROUND(OFFSET($P29,0,AP$13),15-13*ORÇAMENTO!$AF$7)*OFFSET(ORÇAMENTO!$W$15,ROW(AP29)-ROW(AP$15),0),15-13*ORÇAMENTO!$AF$11)),
         0)</f>
        <v>0</v>
      </c>
      <c r="AQ29" s="452">
        <f ca="1">IF(AND($D29="Serviço",AQ$12&lt;&gt;0,$H29&gt;0,OR(AUTOEVENTO&lt;&gt;"manual",$M29&lt;&gt;$A$15)),
        IF(Import.TipoArredondamento&lt;&gt;"TransfereGOV",
              ROUND(OFFSET($P29,0,AQ$13),15-13*ORÇAMENTO!$AF$7)/$H29*OFFSET(ORÇAMENTO!$X$15,ROW(AQ29)-ROW(AQ$15),0),
              ROUND(ROUND(OFFSET($P29,0,AQ$13),15-13*ORÇAMENTO!$AF$7)*OFFSET(ORÇAMENTO!$W$15,ROW(AQ29)-ROW(AQ$15),0),15-13*ORÇAMENTO!$AF$11)),
         0)</f>
        <v>0</v>
      </c>
      <c r="AR29" s="452">
        <f ca="1">IF(AND($D29="Serviço",AR$12&lt;&gt;0,$H29&gt;0,OR(AUTOEVENTO&lt;&gt;"manual",$M29&lt;&gt;$A$15)),
        IF(Import.TipoArredondamento&lt;&gt;"TransfereGOV",
              ROUND(OFFSET($P29,0,AR$13),15-13*ORÇAMENTO!$AF$7)/$H29*OFFSET(ORÇAMENTO!$X$15,ROW(AR29)-ROW(AR$15),0),
              ROUND(ROUND(OFFSET($P29,0,AR$13),15-13*ORÇAMENTO!$AF$7)*OFFSET(ORÇAMENTO!$W$15,ROW(AR29)-ROW(AR$15),0),15-13*ORÇAMENTO!$AF$11)),
         0)</f>
        <v>0</v>
      </c>
      <c r="AS29" s="452">
        <f ca="1">IF(AND($D29="Serviço",AS$12&lt;&gt;0,$H29&gt;0,OR(AUTOEVENTO&lt;&gt;"manual",$M29&lt;&gt;$A$15)),
        IF(Import.TipoArredondamento&lt;&gt;"TransfereGOV",
              ROUND(OFFSET($P29,0,AS$13),15-13*ORÇAMENTO!$AF$7)/$H29*OFFSET(ORÇAMENTO!$X$15,ROW(AS29)-ROW(AS$15),0),
              ROUND(ROUND(OFFSET($P29,0,AS$13),15-13*ORÇAMENTO!$AF$7)*OFFSET(ORÇAMENTO!$W$15,ROW(AS29)-ROW(AS$15),0),15-13*ORÇAMENTO!$AF$11)),
         0)</f>
        <v>0</v>
      </c>
      <c r="AT29" s="452">
        <f ca="1">IF(AND($D29="Serviço",AT$12&lt;&gt;0,$H29&gt;0,OR(AUTOEVENTO&lt;&gt;"manual",$M29&lt;&gt;$A$15)),
        IF(Import.TipoArredondamento&lt;&gt;"TransfereGOV",
              ROUND(OFFSET($P29,0,AT$13),15-13*ORÇAMENTO!$AF$7)/$H29*OFFSET(ORÇAMENTO!$X$15,ROW(AT29)-ROW(AT$15),0),
              ROUND(ROUND(OFFSET($P29,0,AT$13),15-13*ORÇAMENTO!$AF$7)*OFFSET(ORÇAMENTO!$W$15,ROW(AT29)-ROW(AT$15),0),15-13*ORÇAMENTO!$AF$11)),
         0)</f>
        <v>0</v>
      </c>
      <c r="AU29" s="452">
        <f ca="1">IF(AND($D29="Serviço",AU$12&lt;&gt;0,$H29&gt;0,OR(AUTOEVENTO&lt;&gt;"manual",$M29&lt;&gt;$A$15)),
        IF(Import.TipoArredondamento&lt;&gt;"TransfereGOV",
              ROUND(OFFSET($P29,0,AU$13),15-13*ORÇAMENTO!$AF$7)/$H29*OFFSET(ORÇAMENTO!$X$15,ROW(AU29)-ROW(AU$15),0),
              ROUND(ROUND(OFFSET($P29,0,AU$13),15-13*ORÇAMENTO!$AF$7)*OFFSET(ORÇAMENTO!$W$15,ROW(AU29)-ROW(AU$15),0),15-13*ORÇAMENTO!$AF$11)),
         0)</f>
        <v>0</v>
      </c>
      <c r="AV29" s="452">
        <f ca="1">IF(AND($D29="Serviço",AV$12&lt;&gt;0,$H29&gt;0,OR(AUTOEVENTO&lt;&gt;"manual",$M29&lt;&gt;$A$15)),
        IF(Import.TipoArredondamento&lt;&gt;"TransfereGOV",
              ROUND(OFFSET($P29,0,AV$13),15-13*ORÇAMENTO!$AF$7)/$H29*OFFSET(ORÇAMENTO!$X$15,ROW(AV29)-ROW(AV$15),0),
              ROUND(ROUND(OFFSET($P29,0,AV$13),15-13*ORÇAMENTO!$AF$7)*OFFSET(ORÇAMENTO!$W$15,ROW(AV29)-ROW(AV$15),0),15-13*ORÇAMENTO!$AF$11)),
         0)</f>
        <v>0</v>
      </c>
      <c r="AW29" s="452">
        <f ca="1">IF(AND($D29="Serviço",AW$12&lt;&gt;0,$H29&gt;0,OR(AUTOEVENTO&lt;&gt;"manual",$M29&lt;&gt;$A$15)),
        IF(Import.TipoArredondamento&lt;&gt;"TransfereGOV",
              ROUND(OFFSET($P29,0,AW$13),15-13*ORÇAMENTO!$AF$7)/$H29*OFFSET(ORÇAMENTO!$X$15,ROW(AW29)-ROW(AW$15),0),
              ROUND(ROUND(OFFSET($P29,0,AW$13),15-13*ORÇAMENTO!$AF$7)*OFFSET(ORÇAMENTO!$W$15,ROW(AW29)-ROW(AW$15),0),15-13*ORÇAMENTO!$AF$11)),
         0)</f>
        <v>0</v>
      </c>
      <c r="AX29" s="452">
        <f ca="1">IF(AND($D29="Serviço",AX$12&lt;&gt;0,$H29&gt;0,OR(AUTOEVENTO&lt;&gt;"manual",$M29&lt;&gt;$A$15)),
        IF(Import.TipoArredondamento&lt;&gt;"TransfereGOV",
              ROUND(OFFSET($P29,0,AX$13),15-13*ORÇAMENTO!$AF$7)/$H29*OFFSET(ORÇAMENTO!$X$15,ROW(AX29)-ROW(AX$15),0),
              ROUND(ROUND(OFFSET($P29,0,AX$13),15-13*ORÇAMENTO!$AF$7)*OFFSET(ORÇAMENTO!$W$15,ROW(AX29)-ROW(AX$15),0),15-13*ORÇAMENTO!$AF$11)),
         0)</f>
        <v>0</v>
      </c>
      <c r="AY29" s="452">
        <f ca="1">IF(AND($D29="Serviço",AY$12&lt;&gt;0,$H29&gt;0,OR(AUTOEVENTO&lt;&gt;"manual",$M29&lt;&gt;$A$15)),
        IF(Import.TipoArredondamento&lt;&gt;"TransfereGOV",
              ROUND(OFFSET($P29,0,AY$13),15-13*ORÇAMENTO!$AF$7)/$H29*OFFSET(ORÇAMENTO!$X$15,ROW(AY29)-ROW(AY$15),0),
              ROUND(ROUND(OFFSET($P29,0,AY$13),15-13*ORÇAMENTO!$AF$7)*OFFSET(ORÇAMENTO!$W$15,ROW(AY29)-ROW(AY$15),0),15-13*ORÇAMENTO!$AF$11)),
         0)</f>
        <v>0</v>
      </c>
      <c r="AZ29" s="452">
        <f ca="1">IF(AND($D29="Serviço",AZ$12&lt;&gt;0,$H29&gt;0,OR(AUTOEVENTO&lt;&gt;"manual",$M29&lt;&gt;$A$15)),
        IF(Import.TipoArredondamento&lt;&gt;"TransfereGOV",
              ROUND(OFFSET($P29,0,AZ$13),15-13*ORÇAMENTO!$AF$7)/$H29*OFFSET(ORÇAMENTO!$X$15,ROW(AZ29)-ROW(AZ$15),0),
              ROUND(ROUND(OFFSET($P29,0,AZ$13),15-13*ORÇAMENTO!$AF$7)*OFFSET(ORÇAMENTO!$W$15,ROW(AZ29)-ROW(AZ$15),0),15-13*ORÇAMENTO!$AF$11)),
         0)</f>
        <v>0</v>
      </c>
      <c r="BA29" s="452">
        <f ca="1">IF(AND($D29="Serviço",BA$12&lt;&gt;0,$H29&gt;0,OR(AUTOEVENTO&lt;&gt;"manual",$M29&lt;&gt;$A$15)),
        IF(Import.TipoArredondamento&lt;&gt;"TransfereGOV",
              ROUND(OFFSET($P29,0,BA$13),15-13*ORÇAMENTO!$AF$7)/$H29*OFFSET(ORÇAMENTO!$X$15,ROW(BA29)-ROW(BA$15),0),
              ROUND(ROUND(OFFSET($P29,0,BA$13),15-13*ORÇAMENTO!$AF$7)*OFFSET(ORÇAMENTO!$W$15,ROW(BA29)-ROW(BA$15),0),15-13*ORÇAMENTO!$AF$11)),
         0)</f>
        <v>0</v>
      </c>
      <c r="BC29" s="171">
        <f ca="1">IF(OR($D29&lt;&gt;"Serviço",AND(AUTOEVENTO="Manual",$M29=$A$15)),0,
         IF(OFFSET(CRONOPLE!$F$15,$M29-$A$15,BC$13)=0,10^12,OFFSET(CRONOPLE!$F$15,$M29-$A$15,BC$13)))</f>
        <v>0</v>
      </c>
      <c r="BD29" s="171">
        <f ca="1">IF(OR($D29&lt;&gt;"Serviço",AND(AUTOEVENTO="Manual",$M29=$A$15)),0,
         IF(OFFSET(CRONOPLE!$F$15,$M29-$A$15,BD$13)=0,10^12,OFFSET(CRONOPLE!$F$15,$M29-$A$15,BD$13)))</f>
        <v>0</v>
      </c>
      <c r="BE29" s="171">
        <f ca="1">IF(OR($D29&lt;&gt;"Serviço",AND(AUTOEVENTO="Manual",$M29=$A$15)),0,
         IF(OFFSET(CRONOPLE!$F$15,$M29-$A$15,BE$13)=0,10^12,OFFSET(CRONOPLE!$F$15,$M29-$A$15,BE$13)))</f>
        <v>0</v>
      </c>
      <c r="BF29" s="171">
        <f ca="1">IF(OR($D29&lt;&gt;"Serviço",AND(AUTOEVENTO="Manual",$M29=$A$15)),0,
         IF(OFFSET(CRONOPLE!$F$15,$M29-$A$15,BF$13)=0,10^12,OFFSET(CRONOPLE!$F$15,$M29-$A$15,BF$13)))</f>
        <v>0</v>
      </c>
      <c r="BG29" s="171">
        <f ca="1">IF(OR($D29&lt;&gt;"Serviço",AND(AUTOEVENTO="Manual",$M29=$A$15)),0,
         IF(OFFSET(CRONOPLE!$F$15,$M29-$A$15,BG$13)=0,10^12,OFFSET(CRONOPLE!$F$15,$M29-$A$15,BG$13)))</f>
        <v>0</v>
      </c>
      <c r="BH29" s="171">
        <f ca="1">IF(OR($D29&lt;&gt;"Serviço",AND(AUTOEVENTO="Manual",$M29=$A$15)),0,
         IF(OFFSET(CRONOPLE!$F$15,$M29-$A$15,BH$13)=0,10^12,OFFSET(CRONOPLE!$F$15,$M29-$A$15,BH$13)))</f>
        <v>0</v>
      </c>
      <c r="BI29" s="171">
        <f ca="1">IF(OR($D29&lt;&gt;"Serviço",AND(AUTOEVENTO="Manual",$M29=$A$15)),0,
         IF(OFFSET(CRONOPLE!$F$15,$M29-$A$15,BI$13)=0,10^12,OFFSET(CRONOPLE!$F$15,$M29-$A$15,BI$13)))</f>
        <v>0</v>
      </c>
      <c r="BJ29" s="171">
        <f ca="1">IF(OR($D29&lt;&gt;"Serviço",AND(AUTOEVENTO="Manual",$M29=$A$15)),0,
         IF(OFFSET(CRONOPLE!$F$15,$M29-$A$15,BJ$13)=0,10^12,OFFSET(CRONOPLE!$F$15,$M29-$A$15,BJ$13)))</f>
        <v>0</v>
      </c>
      <c r="BK29" s="171">
        <f ca="1">IF(OR($D29&lt;&gt;"Serviço",AND(AUTOEVENTO="Manual",$M29=$A$15)),0,
         IF(OFFSET(CRONOPLE!$F$15,$M29-$A$15,BK$13)=0,10^12,OFFSET(CRONOPLE!$F$15,$M29-$A$15,BK$13)))</f>
        <v>0</v>
      </c>
      <c r="BL29" s="171">
        <f ca="1">IF(OR($D29&lt;&gt;"Serviço",AND(AUTOEVENTO="Manual",$M29=$A$15)),0,
         IF(OFFSET(CRONOPLE!$F$15,$M29-$A$15,BL$13)=0,10^12,OFFSET(CRONOPLE!$F$15,$M29-$A$15,BL$13)))</f>
        <v>0</v>
      </c>
      <c r="BM29" s="171">
        <f ca="1">IF(OR($D29&lt;&gt;"Serviço",AND(AUTOEVENTO="Manual",$M29=$A$15)),0,
         IF(OFFSET(CRONOPLE!$F$15,$M29-$A$15,BM$13)=0,10^12,OFFSET(CRONOPLE!$F$15,$M29-$A$15,BM$13)))</f>
        <v>0</v>
      </c>
      <c r="BN29" s="171">
        <f ca="1">IF(OR($D29&lt;&gt;"Serviço",AND(AUTOEVENTO="Manual",$M29=$A$15)),0,
         IF(OFFSET(CRONOPLE!$F$15,$M29-$A$15,BN$13)=0,10^12,OFFSET(CRONOPLE!$F$15,$M29-$A$15,BN$13)))</f>
        <v>0</v>
      </c>
      <c r="BO29" s="171">
        <f ca="1">IF(OR($D29&lt;&gt;"Serviço",AND(AUTOEVENTO="Manual",$M29=$A$15)),0,
         IF(OFFSET(CRONOPLE!$F$15,$M29-$A$15,BO$13)=0,10^12,OFFSET(CRONOPLE!$F$15,$M29-$A$15,BO$13)))</f>
        <v>0</v>
      </c>
      <c r="BP29" s="171">
        <f ca="1">IF(OR($D29&lt;&gt;"Serviço",AND(AUTOEVENTO="Manual",$M29=$A$15)),0,
         IF(OFFSET(CRONOPLE!$F$15,$M29-$A$15,BP$13)=0,10^12,OFFSET(CRONOPLE!$F$15,$M29-$A$15,BP$13)))</f>
        <v>0</v>
      </c>
      <c r="BQ29" s="171">
        <f ca="1">IF(OR($D29&lt;&gt;"Serviço",AND(AUTOEVENTO="Manual",$M29=$A$15)),0,
         IF(OFFSET(CRONOPLE!$F$15,$M29-$A$15,BQ$13)=0,10^12,OFFSET(CRONOPLE!$F$15,$M29-$A$15,BQ$13)))</f>
        <v>0</v>
      </c>
      <c r="BR29" s="171">
        <f ca="1">IF(OR($D29&lt;&gt;"Serviço",AND(AUTOEVENTO="Manual",$M29=$A$15)),0,
         IF(OFFSET(CRONOPLE!$F$15,$M29-$A$15,BR$13)=0,10^12,OFFSET(CRONOPLE!$F$15,$M29-$A$15,BR$13)))</f>
        <v>0</v>
      </c>
      <c r="BS29" s="171">
        <f ca="1">IF(OR($D29&lt;&gt;"Serviço",AND(AUTOEVENTO="Manual",$M29=$A$15)),0,
         IF(OFFSET(CRONOPLE!$F$15,$M29-$A$15,BS$13)=0,10^12,OFFSET(CRONOPLE!$F$15,$M29-$A$15,BS$13)))</f>
        <v>0</v>
      </c>
      <c r="BT29" s="171">
        <f ca="1">IF(OR($D29&lt;&gt;"Serviço",AND(AUTOEVENTO="Manual",$M29=$A$15)),0,
         IF(OFFSET(CRONOPLE!$F$15,$M29-$A$15,BT$13)=0,10^12,OFFSET(CRONOPLE!$F$15,$M29-$A$15,BT$13)))</f>
        <v>0</v>
      </c>
      <c r="BV29" s="172">
        <f t="array" aca="1" ref="BV29" ca="1">IF(OR($D29&lt;&gt;"Serviço",AND(AUTOEVENTO="Manual",$M29=$A$15),$M29&gt;(ROW(PLE.lastrow)-ROW(PLE.firstrow))),0,
           IF(OFFSET(PLE!$G$15,$M29-$A$15,BV$13)="",10^12,OFFSET(PLE!$G$15,$M29-$A$15,BV$13)))</f>
        <v>0</v>
      </c>
      <c r="BW29" s="172">
        <f t="array" aca="1" ref="BW29" ca="1">IF(OR($D29&lt;&gt;"Serviço",AND(AUTOEVENTO="Manual",$M29=$A$15),$M29&gt;(ROW(PLE.lastrow)-ROW(PLE.firstrow))),0,
           IF(OFFSET(PLE!$G$15,$M29-$A$15,BW$13)="",10^12,OFFSET(PLE!$G$15,$M29-$A$15,BW$13)))</f>
        <v>0</v>
      </c>
      <c r="BX29" s="172">
        <f t="array" aca="1" ref="BX29" ca="1">IF(OR($D29&lt;&gt;"Serviço",AND(AUTOEVENTO="Manual",$M29=$A$15),$M29&gt;(ROW(PLE.lastrow)-ROW(PLE.firstrow))),0,
           IF(OFFSET(PLE!$G$15,$M29-$A$15,BX$13)="",10^12,OFFSET(PLE!$G$15,$M29-$A$15,BX$13)))</f>
        <v>0</v>
      </c>
      <c r="BY29" s="172">
        <f t="array" aca="1" ref="BY29" ca="1">IF(OR($D29&lt;&gt;"Serviço",AND(AUTOEVENTO="Manual",$M29=$A$15),$M29&gt;(ROW(PLE.lastrow)-ROW(PLE.firstrow))),0,
           IF(OFFSET(PLE!$G$15,$M29-$A$15,BY$13)="",10^12,OFFSET(PLE!$G$15,$M29-$A$15,BY$13)))</f>
        <v>0</v>
      </c>
      <c r="BZ29" s="172">
        <f t="array" aca="1" ref="BZ29" ca="1">IF(OR($D29&lt;&gt;"Serviço",AND(AUTOEVENTO="Manual",$M29=$A$15),$M29&gt;(ROW(PLE.lastrow)-ROW(PLE.firstrow))),0,
           IF(OFFSET(PLE!$G$15,$M29-$A$15,BZ$13)="",10^12,OFFSET(PLE!$G$15,$M29-$A$15,BZ$13)))</f>
        <v>0</v>
      </c>
      <c r="CA29" s="172">
        <f t="array" aca="1" ref="CA29" ca="1">IF(OR($D29&lt;&gt;"Serviço",AND(AUTOEVENTO="Manual",$M29=$A$15),$M29&gt;(ROW(PLE.lastrow)-ROW(PLE.firstrow))),0,
           IF(OFFSET(PLE!$G$15,$M29-$A$15,CA$13)="",10^12,OFFSET(PLE!$G$15,$M29-$A$15,CA$13)))</f>
        <v>0</v>
      </c>
      <c r="CB29" s="172">
        <f t="array" aca="1" ref="CB29" ca="1">IF(OR($D29&lt;&gt;"Serviço",AND(AUTOEVENTO="Manual",$M29=$A$15),$M29&gt;(ROW(PLE.lastrow)-ROW(PLE.firstrow))),0,
           IF(OFFSET(PLE!$G$15,$M29-$A$15,CB$13)="",10^12,OFFSET(PLE!$G$15,$M29-$A$15,CB$13)))</f>
        <v>0</v>
      </c>
      <c r="CC29" s="172">
        <f t="array" aca="1" ref="CC29" ca="1">IF(OR($D29&lt;&gt;"Serviço",AND(AUTOEVENTO="Manual",$M29=$A$15),$M29&gt;(ROW(PLE.lastrow)-ROW(PLE.firstrow))),0,
           IF(OFFSET(PLE!$G$15,$M29-$A$15,CC$13)="",10^12,OFFSET(PLE!$G$15,$M29-$A$15,CC$13)))</f>
        <v>0</v>
      </c>
      <c r="CD29" s="172">
        <f t="array" aca="1" ref="CD29" ca="1">IF(OR($D29&lt;&gt;"Serviço",AND(AUTOEVENTO="Manual",$M29=$A$15),$M29&gt;(ROW(PLE.lastrow)-ROW(PLE.firstrow))),0,
           IF(OFFSET(PLE!$G$15,$M29-$A$15,CD$13)="",10^12,OFFSET(PLE!$G$15,$M29-$A$15,CD$13)))</f>
        <v>0</v>
      </c>
      <c r="CE29" s="172">
        <f t="array" aca="1" ref="CE29" ca="1">IF(OR($D29&lt;&gt;"Serviço",AND(AUTOEVENTO="Manual",$M29=$A$15),$M29&gt;(ROW(PLE.lastrow)-ROW(PLE.firstrow))),0,
           IF(OFFSET(PLE!$G$15,$M29-$A$15,CE$13)="",10^12,OFFSET(PLE!$G$15,$M29-$A$15,CE$13)))</f>
        <v>0</v>
      </c>
      <c r="CF29" s="172">
        <f t="array" aca="1" ref="CF29" ca="1">IF(OR($D29&lt;&gt;"Serviço",AND(AUTOEVENTO="Manual",$M29=$A$15),$M29&gt;(ROW(PLE.lastrow)-ROW(PLE.firstrow))),0,
           IF(OFFSET(PLE!$G$15,$M29-$A$15,CF$13)="",10^12,OFFSET(PLE!$G$15,$M29-$A$15,CF$13)))</f>
        <v>0</v>
      </c>
      <c r="CG29" s="172">
        <f t="array" aca="1" ref="CG29" ca="1">IF(OR($D29&lt;&gt;"Serviço",AND(AUTOEVENTO="Manual",$M29=$A$15),$M29&gt;(ROW(PLE.lastrow)-ROW(PLE.firstrow))),0,
           IF(OFFSET(PLE!$G$15,$M29-$A$15,CG$13)="",10^12,OFFSET(PLE!$G$15,$M29-$A$15,CG$13)))</f>
        <v>0</v>
      </c>
      <c r="CH29" s="172">
        <f t="array" aca="1" ref="CH29" ca="1">IF(OR($D29&lt;&gt;"Serviço",AND(AUTOEVENTO="Manual",$M29=$A$15),$M29&gt;(ROW(PLE.lastrow)-ROW(PLE.firstrow))),0,
           IF(OFFSET(PLE!$G$15,$M29-$A$15,CH$13)="",10^12,OFFSET(PLE!$G$15,$M29-$A$15,CH$13)))</f>
        <v>0</v>
      </c>
      <c r="CI29" s="172">
        <f t="array" aca="1" ref="CI29" ca="1">IF(OR($D29&lt;&gt;"Serviço",AND(AUTOEVENTO="Manual",$M29=$A$15),$M29&gt;(ROW(PLE.lastrow)-ROW(PLE.firstrow))),0,
           IF(OFFSET(PLE!$G$15,$M29-$A$15,CI$13)="",10^12,OFFSET(PLE!$G$15,$M29-$A$15,CI$13)))</f>
        <v>0</v>
      </c>
      <c r="CJ29" s="172">
        <f t="array" aca="1" ref="CJ29" ca="1">IF(OR($D29&lt;&gt;"Serviço",AND(AUTOEVENTO="Manual",$M29=$A$15),$M29&gt;(ROW(PLE.lastrow)-ROW(PLE.firstrow))),0,
           IF(OFFSET(PLE!$G$15,$M29-$A$15,CJ$13)="",10^12,OFFSET(PLE!$G$15,$M29-$A$15,CJ$13)))</f>
        <v>0</v>
      </c>
      <c r="CK29" s="172">
        <f t="array" aca="1" ref="CK29" ca="1">IF(OR($D29&lt;&gt;"Serviço",AND(AUTOEVENTO="Manual",$M29=$A$15),$M29&gt;(ROW(PLE.lastrow)-ROW(PLE.firstrow))),0,
           IF(OFFSET(PLE!$G$15,$M29-$A$15,CK$13)="",10^12,OFFSET(PLE!$G$15,$M29-$A$15,CK$13)))</f>
        <v>0</v>
      </c>
      <c r="CL29" s="172">
        <f t="array" aca="1" ref="CL29" ca="1">IF(OR($D29&lt;&gt;"Serviço",AND(AUTOEVENTO="Manual",$M29=$A$15),$M29&gt;(ROW(PLE.lastrow)-ROW(PLE.firstrow))),0,
           IF(OFFSET(PLE!$G$15,$M29-$A$15,CL$13)="",10^12,OFFSET(PLE!$G$15,$M29-$A$15,CL$13)))</f>
        <v>0</v>
      </c>
      <c r="CM29" s="172">
        <f t="array" aca="1" ref="CM29" ca="1">IF(OR($D29&lt;&gt;"Serviço",AND(AUTOEVENTO="Manual",$M29=$A$15),$M29&gt;(ROW(PLE.lastrow)-ROW(PLE.firstrow))),0,
           IF(OFFSET(PLE!$G$15,$M29-$A$15,CM$13)="",10^12,OFFSET(PLE!$G$15,$M29-$A$15,CM$13)))</f>
        <v>0</v>
      </c>
    </row>
    <row r="30" spans="1:91" s="696" customFormat="1" ht="63.75" x14ac:dyDescent="0.2">
      <c r="A30" s="694">
        <f t="shared" ca="1" si="10"/>
        <v>3</v>
      </c>
      <c r="B30" s="694" t="str">
        <f ca="1">OFFSET(ORÇAMENTO!C$15,$L30,0)</f>
        <v>S</v>
      </c>
      <c r="C30" s="694" t="str">
        <f ca="1">OFFSET(ORÇAMENTO!L$15,$L30,0)</f>
        <v>F</v>
      </c>
      <c r="D30" s="116" t="str">
        <f ca="1">OFFSET(ORÇAMENTO!N$15,$L30,0)</f>
        <v>Serviço</v>
      </c>
      <c r="E30" s="117" t="str">
        <f ca="1">OFFSET(ORÇAMENTO!O$15,$L30,0)</f>
        <v>1.3.1.</v>
      </c>
      <c r="F30" s="163" t="str">
        <f ca="1">OFFSET(ORÇAMENTO!R$15,$L30,0)</f>
        <v>ADMINISTAÇÃO LOCAL</v>
      </c>
      <c r="G30" s="164" t="str">
        <f ca="1">IF($D30&lt;&gt;"Serviço","",OFFSET(ORÇAMENTO!S$15,$L30,0))</f>
        <v>%CT</v>
      </c>
      <c r="H30" s="122">
        <f t="array" aca="1" ref="H30" ca="1">IF($D30&lt;&gt;"Serviço",0,IF(ACOMPANHAMENTO="BM",ROUND(OFFSET(ORÇAMENTO!AJ$15,$L30,0),15-13*ORÇAMENTO!$AF$7),IF(IFERROR(CÁLCULO.FrentesPreenchidas,0)=0,0,SUM(ROUND(OFFSET($P30,0,1,1,CÁLCULO.FrentesPreenchidas),15-13*ORÇAMENTO!$AF$7)))))</f>
        <v>100</v>
      </c>
      <c r="I30" s="467" t="s">
        <v>1355</v>
      </c>
      <c r="J30" s="653" t="str">
        <f t="array" aca="1" ref="J30" ca="1">IF(OR(B30&lt;&gt;"S",CÁLCULO.FrentesPreenchidas=0),"",IF(AND(ACOMPANHAMENTO="PLE",AUTOEVENTO="Manual",OR(H30&gt;0,ORÇAMENTO!AC30="QUANT."),OR(K30="",M30=0,N30="")),"►E",IF(AND(ACOMPANHAMENTO="PLE",ORÇAMENTO!AC30="QUANT."),"►Q",IF(AND(ACOMPANHAMENTO="PLE",H30&lt;&gt;SUMPRODUCT(($Q$1:$AI$1=1)*ROUND(Q30:AI30,15))),"►S",IF(AND(COUNTIF($P$11:$AI$11,"▼")=0,H30&gt;0,I30=""),"◄M","")))))</f>
        <v/>
      </c>
      <c r="K30" s="654" t="s">
        <v>1359</v>
      </c>
      <c r="L30" s="165">
        <f t="shared" ca="1" si="11"/>
        <v>15</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ADMINISTRAÇÃO LOCAL</v>
      </c>
      <c r="O30" s="168"/>
      <c r="Q30" s="168"/>
      <c r="R30" s="168"/>
      <c r="S30" s="168"/>
      <c r="T30" s="168"/>
      <c r="U30" s="168">
        <v>0.32</v>
      </c>
      <c r="V30" s="168">
        <v>9.02</v>
      </c>
      <c r="W30" s="168">
        <v>11.1</v>
      </c>
      <c r="X30" s="168">
        <v>16.690000000000001</v>
      </c>
      <c r="Y30" s="168">
        <v>17.91</v>
      </c>
      <c r="Z30" s="168">
        <v>19.170000000000002</v>
      </c>
      <c r="AA30" s="168">
        <v>11.75</v>
      </c>
      <c r="AB30" s="168">
        <v>6.79</v>
      </c>
      <c r="AC30" s="168">
        <v>7.25</v>
      </c>
      <c r="AD30" s="168"/>
      <c r="AE30" s="168"/>
      <c r="AF30" s="168"/>
      <c r="AG30" s="169"/>
      <c r="AH30" s="170"/>
      <c r="AJ30" s="452">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2">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L30" s="452">
        <f ca="1">IF(AND($D30="Serviço",AL$12&lt;&gt;0,$H30&gt;0,OR(AUTOEVENTO&lt;&gt;"manual",$M30&lt;&gt;$A$15)),
        IF(Import.TipoArredondamento&lt;&gt;"TransfereGOV",
              ROUND(OFFSET($P30,0,AL$13),15-13*ORÇAMENTO!$AF$7)/$H30*OFFSET(ORÇAMENTO!$X$15,ROW(AL30)-ROW(AL$15),0),
              ROUND(ROUND(OFFSET($P30,0,AL$13),15-13*ORÇAMENTO!$AF$7)*OFFSET(ORÇAMENTO!$W$15,ROW(AL30)-ROW(AL$15),0),15-13*ORÇAMENTO!$AF$11)),
         0)</f>
        <v>0</v>
      </c>
      <c r="AM30" s="452">
        <f ca="1">IF(AND($D30="Serviço",AM$12&lt;&gt;0,$H30&gt;0,OR(AUTOEVENTO&lt;&gt;"manual",$M30&lt;&gt;$A$15)),
        IF(Import.TipoArredondamento&lt;&gt;"TransfereGOV",
              ROUND(OFFSET($P30,0,AM$13),15-13*ORÇAMENTO!$AF$7)/$H30*OFFSET(ORÇAMENTO!$X$15,ROW(AM30)-ROW(AM$15),0),
              ROUND(ROUND(OFFSET($P30,0,AM$13),15-13*ORÇAMENTO!$AF$7)*OFFSET(ORÇAMENTO!$W$15,ROW(AM30)-ROW(AM$15),0),15-13*ORÇAMENTO!$AF$11)),
         0)</f>
        <v>0</v>
      </c>
      <c r="AN30" s="452">
        <f ca="1">IF(AND($D30="Serviço",AN$12&lt;&gt;0,$H30&gt;0,OR(AUTOEVENTO&lt;&gt;"manual",$M30&lt;&gt;$A$15)),
        IF(Import.TipoArredondamento&lt;&gt;"TransfereGOV",
              ROUND(OFFSET($P30,0,AN$13),15-13*ORÇAMENTO!$AF$7)/$H30*OFFSET(ORÇAMENTO!$X$15,ROW(AN30)-ROW(AN$15),0),
              ROUND(ROUND(OFFSET($P30,0,AN$13),15-13*ORÇAMENTO!$AF$7)*OFFSET(ORÇAMENTO!$W$15,ROW(AN30)-ROW(AN$15),0),15-13*ORÇAMENTO!$AF$11)),
         0)</f>
        <v>329.22</v>
      </c>
      <c r="AO30" s="452">
        <f ca="1">IF(AND($D30="Serviço",AO$12&lt;&gt;0,$H30&gt;0,OR(AUTOEVENTO&lt;&gt;"manual",$M30&lt;&gt;$A$15)),
        IF(Import.TipoArredondamento&lt;&gt;"TransfereGOV",
              ROUND(OFFSET($P30,0,AO$13),15-13*ORÇAMENTO!$AF$7)/$H30*OFFSET(ORÇAMENTO!$X$15,ROW(AO30)-ROW(AO$15),0),
              ROUND(ROUND(OFFSET($P30,0,AO$13),15-13*ORÇAMENTO!$AF$7)*OFFSET(ORÇAMENTO!$W$15,ROW(AO30)-ROW(AO$15),0),15-13*ORÇAMENTO!$AF$11)),
         0)</f>
        <v>9279.7800000000007</v>
      </c>
      <c r="AP30" s="452">
        <f ca="1">IF(AND($D30="Serviço",AP$12&lt;&gt;0,$H30&gt;0,OR(AUTOEVENTO&lt;&gt;"manual",$M30&lt;&gt;$A$15)),
        IF(Import.TipoArredondamento&lt;&gt;"TransfereGOV",
              ROUND(OFFSET($P30,0,AP$13),15-13*ORÇAMENTO!$AF$7)/$H30*OFFSET(ORÇAMENTO!$X$15,ROW(AP30)-ROW(AP$15),0),
              ROUND(ROUND(OFFSET($P30,0,AP$13),15-13*ORÇAMENTO!$AF$7)*OFFSET(ORÇAMENTO!$W$15,ROW(AP30)-ROW(AP$15),0),15-13*ORÇAMENTO!$AF$11)),
         0)</f>
        <v>11419.68</v>
      </c>
      <c r="AQ30" s="452">
        <f ca="1">IF(AND($D30="Serviço",AQ$12&lt;&gt;0,$H30&gt;0,OR(AUTOEVENTO&lt;&gt;"manual",$M30&lt;&gt;$A$15)),
        IF(Import.TipoArredondamento&lt;&gt;"TransfereGOV",
              ROUND(OFFSET($P30,0,AQ$13),15-13*ORÇAMENTO!$AF$7)/$H30*OFFSET(ORÇAMENTO!$X$15,ROW(AQ30)-ROW(AQ$15),0),
              ROUND(ROUND(OFFSET($P30,0,AQ$13),15-13*ORÇAMENTO!$AF$7)*OFFSET(ORÇAMENTO!$W$15,ROW(AQ30)-ROW(AQ$15),0),15-13*ORÇAMENTO!$AF$11)),
         0)</f>
        <v>17170.669999999998</v>
      </c>
      <c r="AR30" s="452">
        <f ca="1">IF(AND($D30="Serviço",AR$12&lt;&gt;0,$H30&gt;0,OR(AUTOEVENTO&lt;&gt;"manual",$M30&lt;&gt;$A$15)),
        IF(Import.TipoArredondamento&lt;&gt;"TransfereGOV",
              ROUND(OFFSET($P30,0,AR$13),15-13*ORÇAMENTO!$AF$7)/$H30*OFFSET(ORÇAMENTO!$X$15,ROW(AR30)-ROW(AR$15),0),
              ROUND(ROUND(OFFSET($P30,0,AR$13),15-13*ORÇAMENTO!$AF$7)*OFFSET(ORÇAMENTO!$W$15,ROW(AR30)-ROW(AR$15),0),15-13*ORÇAMENTO!$AF$11)),
         0)</f>
        <v>18425.810000000001</v>
      </c>
      <c r="AS30" s="452">
        <f ca="1">IF(AND($D30="Serviço",AS$12&lt;&gt;0,$H30&gt;0,OR(AUTOEVENTO&lt;&gt;"manual",$M30&lt;&gt;$A$15)),
        IF(Import.TipoArredondamento&lt;&gt;"TransfereGOV",
              ROUND(OFFSET($P30,0,AS$13),15-13*ORÇAMENTO!$AF$7)/$H30*OFFSET(ORÇAMENTO!$X$15,ROW(AS30)-ROW(AS$15),0),
              ROUND(ROUND(OFFSET($P30,0,AS$13),15-13*ORÇAMENTO!$AF$7)*OFFSET(ORÇAMENTO!$W$15,ROW(AS30)-ROW(AS$15),0),15-13*ORÇAMENTO!$AF$11)),
         0)</f>
        <v>19722.099999999999</v>
      </c>
      <c r="AT30" s="452">
        <f ca="1">IF(AND($D30="Serviço",AT$12&lt;&gt;0,$H30&gt;0,OR(AUTOEVENTO&lt;&gt;"manual",$M30&lt;&gt;$A$15)),
        IF(Import.TipoArredondamento&lt;&gt;"TransfereGOV",
              ROUND(OFFSET($P30,0,AT$13),15-13*ORÇAMENTO!$AF$7)/$H30*OFFSET(ORÇAMENTO!$X$15,ROW(AT30)-ROW(AT$15),0),
              ROUND(ROUND(OFFSET($P30,0,AT$13),15-13*ORÇAMENTO!$AF$7)*OFFSET(ORÇAMENTO!$W$15,ROW(AT30)-ROW(AT$15),0),15-13*ORÇAMENTO!$AF$11)),
         0)</f>
        <v>12088.4</v>
      </c>
      <c r="AU30" s="452">
        <f ca="1">IF(AND($D30="Serviço",AU$12&lt;&gt;0,$H30&gt;0,OR(AUTOEVENTO&lt;&gt;"manual",$M30&lt;&gt;$A$15)),
        IF(Import.TipoArredondamento&lt;&gt;"TransfereGOV",
              ROUND(OFFSET($P30,0,AU$13),15-13*ORÇAMENTO!$AF$7)/$H30*OFFSET(ORÇAMENTO!$X$15,ROW(AU30)-ROW(AU$15),0),
              ROUND(ROUND(OFFSET($P30,0,AU$13),15-13*ORÇAMENTO!$AF$7)*OFFSET(ORÇAMENTO!$W$15,ROW(AU30)-ROW(AU$15),0),15-13*ORÇAMENTO!$AF$11)),
         0)</f>
        <v>6985.55</v>
      </c>
      <c r="AV30" s="452">
        <f ca="1">IF(AND($D30="Serviço",AV$12&lt;&gt;0,$H30&gt;0,OR(AUTOEVENTO&lt;&gt;"manual",$M30&lt;&gt;$A$15)),
        IF(Import.TipoArredondamento&lt;&gt;"TransfereGOV",
              ROUND(OFFSET($P30,0,AV$13),15-13*ORÇAMENTO!$AF$7)/$H30*OFFSET(ORÇAMENTO!$X$15,ROW(AV30)-ROW(AV$15),0),
              ROUND(ROUND(OFFSET($P30,0,AV$13),15-13*ORÇAMENTO!$AF$7)*OFFSET(ORÇAMENTO!$W$15,ROW(AV30)-ROW(AV$15),0),15-13*ORÇAMENTO!$AF$11)),
         0)</f>
        <v>7458.8</v>
      </c>
      <c r="AW30" s="452">
        <f ca="1">IF(AND($D30="Serviço",AW$12&lt;&gt;0,$H30&gt;0,OR(AUTOEVENTO&lt;&gt;"manual",$M30&lt;&gt;$A$15)),
        IF(Import.TipoArredondamento&lt;&gt;"TransfereGOV",
              ROUND(OFFSET($P30,0,AW$13),15-13*ORÇAMENTO!$AF$7)/$H30*OFFSET(ORÇAMENTO!$X$15,ROW(AW30)-ROW(AW$15),0),
              ROUND(ROUND(OFFSET($P30,0,AW$13),15-13*ORÇAMENTO!$AF$7)*OFFSET(ORÇAMENTO!$W$15,ROW(AW30)-ROW(AW$15),0),15-13*ORÇAMENTO!$AF$11)),
         0)</f>
        <v>0</v>
      </c>
      <c r="AX30" s="452">
        <f ca="1">IF(AND($D30="Serviço",AX$12&lt;&gt;0,$H30&gt;0,OR(AUTOEVENTO&lt;&gt;"manual",$M30&lt;&gt;$A$15)),
        IF(Import.TipoArredondamento&lt;&gt;"TransfereGOV",
              ROUND(OFFSET($P30,0,AX$13),15-13*ORÇAMENTO!$AF$7)/$H30*OFFSET(ORÇAMENTO!$X$15,ROW(AX30)-ROW(AX$15),0),
              ROUND(ROUND(OFFSET($P30,0,AX$13),15-13*ORÇAMENTO!$AF$7)*OFFSET(ORÇAMENTO!$W$15,ROW(AX30)-ROW(AX$15),0),15-13*ORÇAMENTO!$AF$11)),
         0)</f>
        <v>0</v>
      </c>
      <c r="AY30" s="452">
        <f ca="1">IF(AND($D30="Serviço",AY$12&lt;&gt;0,$H30&gt;0,OR(AUTOEVENTO&lt;&gt;"manual",$M30&lt;&gt;$A$15)),
        IF(Import.TipoArredondamento&lt;&gt;"TransfereGOV",
              ROUND(OFFSET($P30,0,AY$13),15-13*ORÇAMENTO!$AF$7)/$H30*OFFSET(ORÇAMENTO!$X$15,ROW(AY30)-ROW(AY$15),0),
              ROUND(ROUND(OFFSET($P30,0,AY$13),15-13*ORÇAMENTO!$AF$7)*OFFSET(ORÇAMENTO!$W$15,ROW(AY30)-ROW(AY$15),0),15-13*ORÇAMENTO!$AF$11)),
         0)</f>
        <v>0</v>
      </c>
      <c r="AZ30" s="452">
        <f ca="1">IF(AND($D30="Serviço",AZ$12&lt;&gt;0,$H30&gt;0,OR(AUTOEVENTO&lt;&gt;"manual",$M30&lt;&gt;$A$15)),
        IF(Import.TipoArredondamento&lt;&gt;"TransfereGOV",
              ROUND(OFFSET($P30,0,AZ$13),15-13*ORÇAMENTO!$AF$7)/$H30*OFFSET(ORÇAMENTO!$X$15,ROW(AZ30)-ROW(AZ$15),0),
              ROUND(ROUND(OFFSET($P30,0,AZ$13),15-13*ORÇAMENTO!$AF$7)*OFFSET(ORÇAMENTO!$W$15,ROW(AZ30)-ROW(AZ$15),0),15-13*ORÇAMENTO!$AF$11)),
         0)</f>
        <v>0</v>
      </c>
      <c r="BA30" s="452">
        <f ca="1">IF(AND($D30="Serviço",BA$12&lt;&gt;0,$H30&gt;0,OR(AUTOEVENTO&lt;&gt;"manual",$M30&lt;&gt;$A$15)),
        IF(Import.TipoArredondamento&lt;&gt;"TransfereGOV",
              ROUND(OFFSET($P30,0,BA$13),15-13*ORÇAMENTO!$AF$7)/$H30*OFFSET(ORÇAMENTO!$X$15,ROW(BA30)-ROW(BA$15),0),
              ROUND(ROUND(OFFSET($P30,0,BA$13),15-13*ORÇAMENTO!$AF$7)*OFFSET(ORÇAMENTO!$W$15,ROW(BA30)-ROW(BA$15),0),15-13*ORÇAMENTO!$AF$11)),
         0)</f>
        <v>0</v>
      </c>
      <c r="BC30" s="171">
        <f ca="1">IF(OR($D30&lt;&gt;"Serviço",AND(AUTOEVENTO="Manual",$M30=$A$15)),0,
         IF(OFFSET(CRONOPLE!$F$15,$M30-$A$15,BC$13)=0,10^12,OFFSET(CRONOPLE!$F$15,$M30-$A$15,BC$13)))</f>
        <v>1000000000000</v>
      </c>
      <c r="BD30" s="171">
        <f ca="1">IF(OR($D30&lt;&gt;"Serviço",AND(AUTOEVENTO="Manual",$M30=$A$15)),0,
         IF(OFFSET(CRONOPLE!$F$15,$M30-$A$15,BD$13)=0,10^12,OFFSET(CRONOPLE!$F$15,$M30-$A$15,BD$13)))</f>
        <v>1000000000000</v>
      </c>
      <c r="BE30" s="171">
        <f ca="1">IF(OR($D30&lt;&gt;"Serviço",AND(AUTOEVENTO="Manual",$M30=$A$15)),0,
         IF(OFFSET(CRONOPLE!$F$15,$M30-$A$15,BE$13)=0,10^12,OFFSET(CRONOPLE!$F$15,$M30-$A$15,BE$13)))</f>
        <v>1000000000000</v>
      </c>
      <c r="BF30" s="171">
        <f ca="1">IF(OR($D30&lt;&gt;"Serviço",AND(AUTOEVENTO="Manual",$M30=$A$15)),0,
         IF(OFFSET(CRONOPLE!$F$15,$M30-$A$15,BF$13)=0,10^12,OFFSET(CRONOPLE!$F$15,$M30-$A$15,BF$13)))</f>
        <v>1000000000000</v>
      </c>
      <c r="BG30" s="171">
        <f ca="1">IF(OR($D30&lt;&gt;"Serviço",AND(AUTOEVENTO="Manual",$M30=$A$15)),0,
         IF(OFFSET(CRONOPLE!$F$15,$M30-$A$15,BG$13)=0,10^12,OFFSET(CRONOPLE!$F$15,$M30-$A$15,BG$13)))</f>
        <v>1</v>
      </c>
      <c r="BH30" s="171">
        <f ca="1">IF(OR($D30&lt;&gt;"Serviço",AND(AUTOEVENTO="Manual",$M30=$A$15)),0,
         IF(OFFSET(CRONOPLE!$F$15,$M30-$A$15,BH$13)=0,10^12,OFFSET(CRONOPLE!$F$15,$M30-$A$15,BH$13)))</f>
        <v>2</v>
      </c>
      <c r="BI30" s="171">
        <f ca="1">IF(OR($D30&lt;&gt;"Serviço",AND(AUTOEVENTO="Manual",$M30=$A$15)),0,
         IF(OFFSET(CRONOPLE!$F$15,$M30-$A$15,BI$13)=0,10^12,OFFSET(CRONOPLE!$F$15,$M30-$A$15,BI$13)))</f>
        <v>3</v>
      </c>
      <c r="BJ30" s="171">
        <f ca="1">IF(OR($D30&lt;&gt;"Serviço",AND(AUTOEVENTO="Manual",$M30=$A$15)),0,
         IF(OFFSET(CRONOPLE!$F$15,$M30-$A$15,BJ$13)=0,10^12,OFFSET(CRONOPLE!$F$15,$M30-$A$15,BJ$13)))</f>
        <v>4</v>
      </c>
      <c r="BK30" s="171">
        <f ca="1">IF(OR($D30&lt;&gt;"Serviço",AND(AUTOEVENTO="Manual",$M30=$A$15)),0,
         IF(OFFSET(CRONOPLE!$F$15,$M30-$A$15,BK$13)=0,10^12,OFFSET(CRONOPLE!$F$15,$M30-$A$15,BK$13)))</f>
        <v>5</v>
      </c>
      <c r="BL30" s="171">
        <f ca="1">IF(OR($D30&lt;&gt;"Serviço",AND(AUTOEVENTO="Manual",$M30=$A$15)),0,
         IF(OFFSET(CRONOPLE!$F$15,$M30-$A$15,BL$13)=0,10^12,OFFSET(CRONOPLE!$F$15,$M30-$A$15,BL$13)))</f>
        <v>6</v>
      </c>
      <c r="BM30" s="171">
        <f ca="1">IF(OR($D30&lt;&gt;"Serviço",AND(AUTOEVENTO="Manual",$M30=$A$15)),0,
         IF(OFFSET(CRONOPLE!$F$15,$M30-$A$15,BM$13)=0,10^12,OFFSET(CRONOPLE!$F$15,$M30-$A$15,BM$13)))</f>
        <v>7</v>
      </c>
      <c r="BN30" s="171">
        <f ca="1">IF(OR($D30&lt;&gt;"Serviço",AND(AUTOEVENTO="Manual",$M30=$A$15)),0,
         IF(OFFSET(CRONOPLE!$F$15,$M30-$A$15,BN$13)=0,10^12,OFFSET(CRONOPLE!$F$15,$M30-$A$15,BN$13)))</f>
        <v>8</v>
      </c>
      <c r="BO30" s="171">
        <f ca="1">IF(OR($D30&lt;&gt;"Serviço",AND(AUTOEVENTO="Manual",$M30=$A$15)),0,
         IF(OFFSET(CRONOPLE!$F$15,$M30-$A$15,BO$13)=0,10^12,OFFSET(CRONOPLE!$F$15,$M30-$A$15,BO$13)))</f>
        <v>9</v>
      </c>
      <c r="BP30" s="171">
        <f ca="1">IF(OR($D30&lt;&gt;"Serviço",AND(AUTOEVENTO="Manual",$M30=$A$15)),0,
         IF(OFFSET(CRONOPLE!$F$15,$M30-$A$15,BP$13)=0,10^12,OFFSET(CRONOPLE!$F$15,$M30-$A$15,BP$13)))</f>
        <v>1000000000000</v>
      </c>
      <c r="BQ30" s="171">
        <f ca="1">IF(OR($D30&lt;&gt;"Serviço",AND(AUTOEVENTO="Manual",$M30=$A$15)),0,
         IF(OFFSET(CRONOPLE!$F$15,$M30-$A$15,BQ$13)=0,10^12,OFFSET(CRONOPLE!$F$15,$M30-$A$15,BQ$13)))</f>
        <v>1000000000000</v>
      </c>
      <c r="BR30" s="171">
        <f ca="1">IF(OR($D30&lt;&gt;"Serviço",AND(AUTOEVENTO="Manual",$M30=$A$15)),0,
         IF(OFFSET(CRONOPLE!$F$15,$M30-$A$15,BR$13)=0,10^12,OFFSET(CRONOPLE!$F$15,$M30-$A$15,BR$13)))</f>
        <v>1000000000000</v>
      </c>
      <c r="BS30" s="171">
        <f ca="1">IF(OR($D30&lt;&gt;"Serviço",AND(AUTOEVENTO="Manual",$M30=$A$15)),0,
         IF(OFFSET(CRONOPLE!$F$15,$M30-$A$15,BS$13)=0,10^12,OFFSET(CRONOPLE!$F$15,$M30-$A$15,BS$13)))</f>
        <v>1000000000000</v>
      </c>
      <c r="BT30" s="171">
        <f ca="1">IF(OR($D30&lt;&gt;"Serviço",AND(AUTOEVENTO="Manual",$M30=$A$15)),0,
         IF(OFFSET(CRONOPLE!$F$15,$M30-$A$15,BT$13)=0,10^12,OFFSET(CRONOPLE!$F$15,$M30-$A$15,BT$13)))</f>
        <v>1000000000000</v>
      </c>
      <c r="BV30" s="172">
        <f t="array" aca="1" ref="BV30" ca="1">IF(OR($D30&lt;&gt;"Serviço",AND(AUTOEVENTO="Manual",$M30=$A$15),$M30&gt;(ROW(PLE.lastrow)-ROW(PLE.firstrow))),0,
           IF(OFFSET(PLE!$G$15,$M30-$A$15,BV$13)="",10^12,OFFSET(PLE!$G$15,$M30-$A$15,BV$13)))</f>
        <v>1000000000000</v>
      </c>
      <c r="BW30" s="172">
        <f t="array" aca="1" ref="BW30" ca="1">IF(OR($D30&lt;&gt;"Serviço",AND(AUTOEVENTO="Manual",$M30=$A$15),$M30&gt;(ROW(PLE.lastrow)-ROW(PLE.firstrow))),0,
           IF(OFFSET(PLE!$G$15,$M30-$A$15,BW$13)="",10^12,OFFSET(PLE!$G$15,$M30-$A$15,BW$13)))</f>
        <v>1000000000000</v>
      </c>
      <c r="BX30" s="172">
        <f t="array" aca="1" ref="BX30" ca="1">IF(OR($D30&lt;&gt;"Serviço",AND(AUTOEVENTO="Manual",$M30=$A$15),$M30&gt;(ROW(PLE.lastrow)-ROW(PLE.firstrow))),0,
           IF(OFFSET(PLE!$G$15,$M30-$A$15,BX$13)="",10^12,OFFSET(PLE!$G$15,$M30-$A$15,BX$13)))</f>
        <v>1000000000000</v>
      </c>
      <c r="BY30" s="172">
        <f t="array" aca="1" ref="BY30" ca="1">IF(OR($D30&lt;&gt;"Serviço",AND(AUTOEVENTO="Manual",$M30=$A$15),$M30&gt;(ROW(PLE.lastrow)-ROW(PLE.firstrow))),0,
           IF(OFFSET(PLE!$G$15,$M30-$A$15,BY$13)="",10^12,OFFSET(PLE!$G$15,$M30-$A$15,BY$13)))</f>
        <v>1000000000000</v>
      </c>
      <c r="BZ30" s="172">
        <f t="array" aca="1" ref="BZ30" ca="1">IF(OR($D30&lt;&gt;"Serviço",AND(AUTOEVENTO="Manual",$M30=$A$15),$M30&gt;(ROW(PLE.lastrow)-ROW(PLE.firstrow))),0,
           IF(OFFSET(PLE!$G$15,$M30-$A$15,BZ$13)="",10^12,OFFSET(PLE!$G$15,$M30-$A$15,BZ$13)))</f>
        <v>1000000000000</v>
      </c>
      <c r="CA30" s="172">
        <f t="array" aca="1" ref="CA30" ca="1">IF(OR($D30&lt;&gt;"Serviço",AND(AUTOEVENTO="Manual",$M30=$A$15),$M30&gt;(ROW(PLE.lastrow)-ROW(PLE.firstrow))),0,
           IF(OFFSET(PLE!$G$15,$M30-$A$15,CA$13)="",10^12,OFFSET(PLE!$G$15,$M30-$A$15,CA$13)))</f>
        <v>1000000000000</v>
      </c>
      <c r="CB30" s="172">
        <f t="array" aca="1" ref="CB30" ca="1">IF(OR($D30&lt;&gt;"Serviço",AND(AUTOEVENTO="Manual",$M30=$A$15),$M30&gt;(ROW(PLE.lastrow)-ROW(PLE.firstrow))),0,
           IF(OFFSET(PLE!$G$15,$M30-$A$15,CB$13)="",10^12,OFFSET(PLE!$G$15,$M30-$A$15,CB$13)))</f>
        <v>1000000000000</v>
      </c>
      <c r="CC30" s="172">
        <f t="array" aca="1" ref="CC30" ca="1">IF(OR($D30&lt;&gt;"Serviço",AND(AUTOEVENTO="Manual",$M30=$A$15),$M30&gt;(ROW(PLE.lastrow)-ROW(PLE.firstrow))),0,
           IF(OFFSET(PLE!$G$15,$M30-$A$15,CC$13)="",10^12,OFFSET(PLE!$G$15,$M30-$A$15,CC$13)))</f>
        <v>1000000000000</v>
      </c>
      <c r="CD30" s="172">
        <f t="array" aca="1" ref="CD30" ca="1">IF(OR($D30&lt;&gt;"Serviço",AND(AUTOEVENTO="Manual",$M30=$A$15),$M30&gt;(ROW(PLE.lastrow)-ROW(PLE.firstrow))),0,
           IF(OFFSET(PLE!$G$15,$M30-$A$15,CD$13)="",10^12,OFFSET(PLE!$G$15,$M30-$A$15,CD$13)))</f>
        <v>1000000000000</v>
      </c>
      <c r="CE30" s="172">
        <f t="array" aca="1" ref="CE30" ca="1">IF(OR($D30&lt;&gt;"Serviço",AND(AUTOEVENTO="Manual",$M30=$A$15),$M30&gt;(ROW(PLE.lastrow)-ROW(PLE.firstrow))),0,
           IF(OFFSET(PLE!$G$15,$M30-$A$15,CE$13)="",10^12,OFFSET(PLE!$G$15,$M30-$A$15,CE$13)))</f>
        <v>1000000000000</v>
      </c>
      <c r="CF30" s="172">
        <f t="array" aca="1" ref="CF30" ca="1">IF(OR($D30&lt;&gt;"Serviço",AND(AUTOEVENTO="Manual",$M30=$A$15),$M30&gt;(ROW(PLE.lastrow)-ROW(PLE.firstrow))),0,
           IF(OFFSET(PLE!$G$15,$M30-$A$15,CF$13)="",10^12,OFFSET(PLE!$G$15,$M30-$A$15,CF$13)))</f>
        <v>1000000000000</v>
      </c>
      <c r="CG30" s="172">
        <f t="array" aca="1" ref="CG30" ca="1">IF(OR($D30&lt;&gt;"Serviço",AND(AUTOEVENTO="Manual",$M30=$A$15),$M30&gt;(ROW(PLE.lastrow)-ROW(PLE.firstrow))),0,
           IF(OFFSET(PLE!$G$15,$M30-$A$15,CG$13)="",10^12,OFFSET(PLE!$G$15,$M30-$A$15,CG$13)))</f>
        <v>1000000000000</v>
      </c>
      <c r="CH30" s="172">
        <f t="array" aca="1" ref="CH30" ca="1">IF(OR($D30&lt;&gt;"Serviço",AND(AUTOEVENTO="Manual",$M30=$A$15),$M30&gt;(ROW(PLE.lastrow)-ROW(PLE.firstrow))),0,
           IF(OFFSET(PLE!$G$15,$M30-$A$15,CH$13)="",10^12,OFFSET(PLE!$G$15,$M30-$A$15,CH$13)))</f>
        <v>1000000000000</v>
      </c>
      <c r="CI30" s="172">
        <f t="array" aca="1" ref="CI30" ca="1">IF(OR($D30&lt;&gt;"Serviço",AND(AUTOEVENTO="Manual",$M30=$A$15),$M30&gt;(ROW(PLE.lastrow)-ROW(PLE.firstrow))),0,
           IF(OFFSET(PLE!$G$15,$M30-$A$15,CI$13)="",10^12,OFFSET(PLE!$G$15,$M30-$A$15,CI$13)))</f>
        <v>1000000000000</v>
      </c>
      <c r="CJ30" s="172">
        <f t="array" aca="1" ref="CJ30" ca="1">IF(OR($D30&lt;&gt;"Serviço",AND(AUTOEVENTO="Manual",$M30=$A$15),$M30&gt;(ROW(PLE.lastrow)-ROW(PLE.firstrow))),0,
           IF(OFFSET(PLE!$G$15,$M30-$A$15,CJ$13)="",10^12,OFFSET(PLE!$G$15,$M30-$A$15,CJ$13)))</f>
        <v>1000000000000</v>
      </c>
      <c r="CK30" s="172">
        <f t="array" aca="1" ref="CK30" ca="1">IF(OR($D30&lt;&gt;"Serviço",AND(AUTOEVENTO="Manual",$M30=$A$15),$M30&gt;(ROW(PLE.lastrow)-ROW(PLE.firstrow))),0,
           IF(OFFSET(PLE!$G$15,$M30-$A$15,CK$13)="",10^12,OFFSET(PLE!$G$15,$M30-$A$15,CK$13)))</f>
        <v>1000000000000</v>
      </c>
      <c r="CL30" s="172">
        <f t="array" aca="1" ref="CL30" ca="1">IF(OR($D30&lt;&gt;"Serviço",AND(AUTOEVENTO="Manual",$M30=$A$15),$M30&gt;(ROW(PLE.lastrow)-ROW(PLE.firstrow))),0,
           IF(OFFSET(PLE!$G$15,$M30-$A$15,CL$13)="",10^12,OFFSET(PLE!$G$15,$M30-$A$15,CL$13)))</f>
        <v>1000000000000</v>
      </c>
      <c r="CM30" s="172">
        <f t="array" aca="1" ref="CM30" ca="1">IF(OR($D30&lt;&gt;"Serviço",AND(AUTOEVENTO="Manual",$M30=$A$15),$M30&gt;(ROW(PLE.lastrow)-ROW(PLE.firstrow))),0,
           IF(OFFSET(PLE!$G$15,$M30-$A$15,CM$13)="",10^12,OFFSET(PLE!$G$15,$M30-$A$15,CM$13)))</f>
        <v>1000000000000</v>
      </c>
    </row>
    <row r="31" spans="1:91" s="696" customFormat="1" ht="12.75" x14ac:dyDescent="0.2">
      <c r="A31" s="694">
        <f t="shared" ca="1" si="10"/>
        <v>0</v>
      </c>
      <c r="B31" s="694">
        <f ca="1">OFFSET(ORÇAMENTO!C$15,$L31,0)</f>
        <v>2</v>
      </c>
      <c r="C31" s="694" t="str">
        <f ca="1">OFFSET(ORÇAMENTO!L$15,$L31,0)</f>
        <v>F</v>
      </c>
      <c r="D31" s="116" t="str">
        <f ca="1">OFFSET(ORÇAMENTO!N$15,$L31,0)</f>
        <v>Nível 2</v>
      </c>
      <c r="E31" s="117" t="str">
        <f ca="1">OFFSET(ORÇAMENTO!O$15,$L31,0)</f>
        <v>1.4.</v>
      </c>
      <c r="F31" s="163" t="str">
        <f ca="1">OFFSET(ORÇAMENTO!R$15,$L31,0)</f>
        <v>SAPATAS</v>
      </c>
      <c r="G31" s="164" t="str">
        <f ca="1">IF($D31&lt;&gt;"Serviço","",OFFSET(ORÇAMENTO!S$15,$L31,0))</f>
        <v/>
      </c>
      <c r="H31" s="122">
        <f t="array" aca="1" ref="H31" ca="1">IF($D31&lt;&gt;"Serviço",0,IF(ACOMPANHAMENTO="BM",ROUND(OFFSET(ORÇAMENTO!AJ$15,$L31,0),15-13*ORÇAMENTO!$AF$7),IF(IFERROR(CÁLCULO.FrentesPreenchidas,0)=0,0,SUM(ROUND(OFFSET($P31,0,1,1,CÁLCULO.FrentesPreenchidas),15-13*ORÇAMENTO!$AF$7)))))</f>
        <v>0</v>
      </c>
      <c r="I31" s="467"/>
      <c r="J31" s="653" t="str">
        <f t="array" aca="1" ref="J31" ca="1">IF(OR(B31&lt;&gt;"S",CÁLCULO.FrentesPreenchidas=0),"",IF(AND(ACOMPANHAMENTO="PLE",AUTOEVENTO="Manual",OR(H31&gt;0,ORÇAMENTO!AC31="QUANT."),OR(K31="",M31=0,N31="")),"►E",IF(AND(ACOMPANHAMENTO="PLE",ORÇAMENTO!AC31="QUANT."),"►Q",IF(AND(ACOMPANHAMENTO="PLE",H31&lt;&gt;SUMPRODUCT(($Q$1:$AI$1=1)*ROUND(Q31:AI31,15))),"►S",IF(AND(COUNTIF($P$11:$AI$11,"▼")=0,H31&gt;0,I31=""),"◄M","")))))</f>
        <v/>
      </c>
      <c r="K31" s="654"/>
      <c r="L31" s="165">
        <f t="shared" ca="1" si="11"/>
        <v>16</v>
      </c>
      <c r="M31" s="166" t="str">
        <f ca="1">IF($D31&lt;&gt;"Serviço","",
          IF(AUTOEVENTO="manual",$A31,
                IF(ISERROR(MATCH($A31,$A$15:OFFSET($A31,-1,0),0)),MAX($M$15:OFFSET(M31,-1,0))+1,
                      INDEX($M$15:OFFSET(M31,-1,0),MATCH($A31,$A$15:OFFSET($A31,-1,0),0)))))</f>
        <v/>
      </c>
      <c r="N31" s="167" t="str">
        <f ca="1">IF($D31&lt;&gt;"Serviço","",
         IF(AUTOEVENTO="Manual",
                IF($A31=0,"&lt;-- defina o número do agrupador",
                       OFFSET(EVENTOS!$D$15,$A31-$A$15,0)),
                OFFSET($F$15,$A31,0)))</f>
        <v/>
      </c>
      <c r="O31" s="168"/>
      <c r="Q31" s="168"/>
      <c r="R31" s="169"/>
      <c r="S31" s="169"/>
      <c r="T31" s="169"/>
      <c r="U31" s="169"/>
      <c r="V31" s="169"/>
      <c r="W31" s="169"/>
      <c r="X31" s="169"/>
      <c r="Y31" s="169"/>
      <c r="Z31" s="170"/>
      <c r="AA31" s="169"/>
      <c r="AB31" s="169"/>
      <c r="AC31" s="169"/>
      <c r="AD31" s="169"/>
      <c r="AE31" s="169"/>
      <c r="AF31" s="169"/>
      <c r="AG31" s="169"/>
      <c r="AH31" s="170"/>
      <c r="AJ31" s="452">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2">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L31" s="452">
        <f ca="1">IF(AND($D31="Serviço",AL$12&lt;&gt;0,$H31&gt;0,OR(AUTOEVENTO&lt;&gt;"manual",$M31&lt;&gt;$A$15)),
        IF(Import.TipoArredondamento&lt;&gt;"TransfereGOV",
              ROUND(OFFSET($P31,0,AL$13),15-13*ORÇAMENTO!$AF$7)/$H31*OFFSET(ORÇAMENTO!$X$15,ROW(AL31)-ROW(AL$15),0),
              ROUND(ROUND(OFFSET($P31,0,AL$13),15-13*ORÇAMENTO!$AF$7)*OFFSET(ORÇAMENTO!$W$15,ROW(AL31)-ROW(AL$15),0),15-13*ORÇAMENTO!$AF$11)),
         0)</f>
        <v>0</v>
      </c>
      <c r="AM31" s="452">
        <f ca="1">IF(AND($D31="Serviço",AM$12&lt;&gt;0,$H31&gt;0,OR(AUTOEVENTO&lt;&gt;"manual",$M31&lt;&gt;$A$15)),
        IF(Import.TipoArredondamento&lt;&gt;"TransfereGOV",
              ROUND(OFFSET($P31,0,AM$13),15-13*ORÇAMENTO!$AF$7)/$H31*OFFSET(ORÇAMENTO!$X$15,ROW(AM31)-ROW(AM$15),0),
              ROUND(ROUND(OFFSET($P31,0,AM$13),15-13*ORÇAMENTO!$AF$7)*OFFSET(ORÇAMENTO!$W$15,ROW(AM31)-ROW(AM$15),0),15-13*ORÇAMENTO!$AF$11)),
         0)</f>
        <v>0</v>
      </c>
      <c r="AN31" s="452">
        <f ca="1">IF(AND($D31="Serviço",AN$12&lt;&gt;0,$H31&gt;0,OR(AUTOEVENTO&lt;&gt;"manual",$M31&lt;&gt;$A$15)),
        IF(Import.TipoArredondamento&lt;&gt;"TransfereGOV",
              ROUND(OFFSET($P31,0,AN$13),15-13*ORÇAMENTO!$AF$7)/$H31*OFFSET(ORÇAMENTO!$X$15,ROW(AN31)-ROW(AN$15),0),
              ROUND(ROUND(OFFSET($P31,0,AN$13),15-13*ORÇAMENTO!$AF$7)*OFFSET(ORÇAMENTO!$W$15,ROW(AN31)-ROW(AN$15),0),15-13*ORÇAMENTO!$AF$11)),
         0)</f>
        <v>0</v>
      </c>
      <c r="AO31" s="452">
        <f ca="1">IF(AND($D31="Serviço",AO$12&lt;&gt;0,$H31&gt;0,OR(AUTOEVENTO&lt;&gt;"manual",$M31&lt;&gt;$A$15)),
        IF(Import.TipoArredondamento&lt;&gt;"TransfereGOV",
              ROUND(OFFSET($P31,0,AO$13),15-13*ORÇAMENTO!$AF$7)/$H31*OFFSET(ORÇAMENTO!$X$15,ROW(AO31)-ROW(AO$15),0),
              ROUND(ROUND(OFFSET($P31,0,AO$13),15-13*ORÇAMENTO!$AF$7)*OFFSET(ORÇAMENTO!$W$15,ROW(AO31)-ROW(AO$15),0),15-13*ORÇAMENTO!$AF$11)),
         0)</f>
        <v>0</v>
      </c>
      <c r="AP31" s="452">
        <f ca="1">IF(AND($D31="Serviço",AP$12&lt;&gt;0,$H31&gt;0,OR(AUTOEVENTO&lt;&gt;"manual",$M31&lt;&gt;$A$15)),
        IF(Import.TipoArredondamento&lt;&gt;"TransfereGOV",
              ROUND(OFFSET($P31,0,AP$13),15-13*ORÇAMENTO!$AF$7)/$H31*OFFSET(ORÇAMENTO!$X$15,ROW(AP31)-ROW(AP$15),0),
              ROUND(ROUND(OFFSET($P31,0,AP$13),15-13*ORÇAMENTO!$AF$7)*OFFSET(ORÇAMENTO!$W$15,ROW(AP31)-ROW(AP$15),0),15-13*ORÇAMENTO!$AF$11)),
         0)</f>
        <v>0</v>
      </c>
      <c r="AQ31" s="452">
        <f ca="1">IF(AND($D31="Serviço",AQ$12&lt;&gt;0,$H31&gt;0,OR(AUTOEVENTO&lt;&gt;"manual",$M31&lt;&gt;$A$15)),
        IF(Import.TipoArredondamento&lt;&gt;"TransfereGOV",
              ROUND(OFFSET($P31,0,AQ$13),15-13*ORÇAMENTO!$AF$7)/$H31*OFFSET(ORÇAMENTO!$X$15,ROW(AQ31)-ROW(AQ$15),0),
              ROUND(ROUND(OFFSET($P31,0,AQ$13),15-13*ORÇAMENTO!$AF$7)*OFFSET(ORÇAMENTO!$W$15,ROW(AQ31)-ROW(AQ$15),0),15-13*ORÇAMENTO!$AF$11)),
         0)</f>
        <v>0</v>
      </c>
      <c r="AR31" s="452">
        <f ca="1">IF(AND($D31="Serviço",AR$12&lt;&gt;0,$H31&gt;0,OR(AUTOEVENTO&lt;&gt;"manual",$M31&lt;&gt;$A$15)),
        IF(Import.TipoArredondamento&lt;&gt;"TransfereGOV",
              ROUND(OFFSET($P31,0,AR$13),15-13*ORÇAMENTO!$AF$7)/$H31*OFFSET(ORÇAMENTO!$X$15,ROW(AR31)-ROW(AR$15),0),
              ROUND(ROUND(OFFSET($P31,0,AR$13),15-13*ORÇAMENTO!$AF$7)*OFFSET(ORÇAMENTO!$W$15,ROW(AR31)-ROW(AR$15),0),15-13*ORÇAMENTO!$AF$11)),
         0)</f>
        <v>0</v>
      </c>
      <c r="AS31" s="452">
        <f ca="1">IF(AND($D31="Serviço",AS$12&lt;&gt;0,$H31&gt;0,OR(AUTOEVENTO&lt;&gt;"manual",$M31&lt;&gt;$A$15)),
        IF(Import.TipoArredondamento&lt;&gt;"TransfereGOV",
              ROUND(OFFSET($P31,0,AS$13),15-13*ORÇAMENTO!$AF$7)/$H31*OFFSET(ORÇAMENTO!$X$15,ROW(AS31)-ROW(AS$15),0),
              ROUND(ROUND(OFFSET($P31,0,AS$13),15-13*ORÇAMENTO!$AF$7)*OFFSET(ORÇAMENTO!$W$15,ROW(AS31)-ROW(AS$15),0),15-13*ORÇAMENTO!$AF$11)),
         0)</f>
        <v>0</v>
      </c>
      <c r="AT31" s="452">
        <f ca="1">IF(AND($D31="Serviço",AT$12&lt;&gt;0,$H31&gt;0,OR(AUTOEVENTO&lt;&gt;"manual",$M31&lt;&gt;$A$15)),
        IF(Import.TipoArredondamento&lt;&gt;"TransfereGOV",
              ROUND(OFFSET($P31,0,AT$13),15-13*ORÇAMENTO!$AF$7)/$H31*OFFSET(ORÇAMENTO!$X$15,ROW(AT31)-ROW(AT$15),0),
              ROUND(ROUND(OFFSET($P31,0,AT$13),15-13*ORÇAMENTO!$AF$7)*OFFSET(ORÇAMENTO!$W$15,ROW(AT31)-ROW(AT$15),0),15-13*ORÇAMENTO!$AF$11)),
         0)</f>
        <v>0</v>
      </c>
      <c r="AU31" s="452">
        <f ca="1">IF(AND($D31="Serviço",AU$12&lt;&gt;0,$H31&gt;0,OR(AUTOEVENTO&lt;&gt;"manual",$M31&lt;&gt;$A$15)),
        IF(Import.TipoArredondamento&lt;&gt;"TransfereGOV",
              ROUND(OFFSET($P31,0,AU$13),15-13*ORÇAMENTO!$AF$7)/$H31*OFFSET(ORÇAMENTO!$X$15,ROW(AU31)-ROW(AU$15),0),
              ROUND(ROUND(OFFSET($P31,0,AU$13),15-13*ORÇAMENTO!$AF$7)*OFFSET(ORÇAMENTO!$W$15,ROW(AU31)-ROW(AU$15),0),15-13*ORÇAMENTO!$AF$11)),
         0)</f>
        <v>0</v>
      </c>
      <c r="AV31" s="452">
        <f ca="1">IF(AND($D31="Serviço",AV$12&lt;&gt;0,$H31&gt;0,OR(AUTOEVENTO&lt;&gt;"manual",$M31&lt;&gt;$A$15)),
        IF(Import.TipoArredondamento&lt;&gt;"TransfereGOV",
              ROUND(OFFSET($P31,0,AV$13),15-13*ORÇAMENTO!$AF$7)/$H31*OFFSET(ORÇAMENTO!$X$15,ROW(AV31)-ROW(AV$15),0),
              ROUND(ROUND(OFFSET($P31,0,AV$13),15-13*ORÇAMENTO!$AF$7)*OFFSET(ORÇAMENTO!$W$15,ROW(AV31)-ROW(AV$15),0),15-13*ORÇAMENTO!$AF$11)),
         0)</f>
        <v>0</v>
      </c>
      <c r="AW31" s="452">
        <f ca="1">IF(AND($D31="Serviço",AW$12&lt;&gt;0,$H31&gt;0,OR(AUTOEVENTO&lt;&gt;"manual",$M31&lt;&gt;$A$15)),
        IF(Import.TipoArredondamento&lt;&gt;"TransfereGOV",
              ROUND(OFFSET($P31,0,AW$13),15-13*ORÇAMENTO!$AF$7)/$H31*OFFSET(ORÇAMENTO!$X$15,ROW(AW31)-ROW(AW$15),0),
              ROUND(ROUND(OFFSET($P31,0,AW$13),15-13*ORÇAMENTO!$AF$7)*OFFSET(ORÇAMENTO!$W$15,ROW(AW31)-ROW(AW$15),0),15-13*ORÇAMENTO!$AF$11)),
         0)</f>
        <v>0</v>
      </c>
      <c r="AX31" s="452">
        <f ca="1">IF(AND($D31="Serviço",AX$12&lt;&gt;0,$H31&gt;0,OR(AUTOEVENTO&lt;&gt;"manual",$M31&lt;&gt;$A$15)),
        IF(Import.TipoArredondamento&lt;&gt;"TransfereGOV",
              ROUND(OFFSET($P31,0,AX$13),15-13*ORÇAMENTO!$AF$7)/$H31*OFFSET(ORÇAMENTO!$X$15,ROW(AX31)-ROW(AX$15),0),
              ROUND(ROUND(OFFSET($P31,0,AX$13),15-13*ORÇAMENTO!$AF$7)*OFFSET(ORÇAMENTO!$W$15,ROW(AX31)-ROW(AX$15),0),15-13*ORÇAMENTO!$AF$11)),
         0)</f>
        <v>0</v>
      </c>
      <c r="AY31" s="452">
        <f ca="1">IF(AND($D31="Serviço",AY$12&lt;&gt;0,$H31&gt;0,OR(AUTOEVENTO&lt;&gt;"manual",$M31&lt;&gt;$A$15)),
        IF(Import.TipoArredondamento&lt;&gt;"TransfereGOV",
              ROUND(OFFSET($P31,0,AY$13),15-13*ORÇAMENTO!$AF$7)/$H31*OFFSET(ORÇAMENTO!$X$15,ROW(AY31)-ROW(AY$15),0),
              ROUND(ROUND(OFFSET($P31,0,AY$13),15-13*ORÇAMENTO!$AF$7)*OFFSET(ORÇAMENTO!$W$15,ROW(AY31)-ROW(AY$15),0),15-13*ORÇAMENTO!$AF$11)),
         0)</f>
        <v>0</v>
      </c>
      <c r="AZ31" s="452">
        <f ca="1">IF(AND($D31="Serviço",AZ$12&lt;&gt;0,$H31&gt;0,OR(AUTOEVENTO&lt;&gt;"manual",$M31&lt;&gt;$A$15)),
        IF(Import.TipoArredondamento&lt;&gt;"TransfereGOV",
              ROUND(OFFSET($P31,0,AZ$13),15-13*ORÇAMENTO!$AF$7)/$H31*OFFSET(ORÇAMENTO!$X$15,ROW(AZ31)-ROW(AZ$15),0),
              ROUND(ROUND(OFFSET($P31,0,AZ$13),15-13*ORÇAMENTO!$AF$7)*OFFSET(ORÇAMENTO!$W$15,ROW(AZ31)-ROW(AZ$15),0),15-13*ORÇAMENTO!$AF$11)),
         0)</f>
        <v>0</v>
      </c>
      <c r="BA31" s="452">
        <f ca="1">IF(AND($D31="Serviço",BA$12&lt;&gt;0,$H31&gt;0,OR(AUTOEVENTO&lt;&gt;"manual",$M31&lt;&gt;$A$15)),
        IF(Import.TipoArredondamento&lt;&gt;"TransfereGOV",
              ROUND(OFFSET($P31,0,BA$13),15-13*ORÇAMENTO!$AF$7)/$H31*OFFSET(ORÇAMENTO!$X$15,ROW(BA31)-ROW(BA$15),0),
              ROUND(ROUND(OFFSET($P31,0,BA$13),15-13*ORÇAMENTO!$AF$7)*OFFSET(ORÇAMENTO!$W$15,ROW(BA31)-ROW(BA$15),0),15-13*ORÇAMENTO!$AF$11)),
         0)</f>
        <v>0</v>
      </c>
      <c r="BC31" s="171">
        <f ca="1">IF(OR($D31&lt;&gt;"Serviço",AND(AUTOEVENTO="Manual",$M31=$A$15)),0,
         IF(OFFSET(CRONOPLE!$F$15,$M31-$A$15,BC$13)=0,10^12,OFFSET(CRONOPLE!$F$15,$M31-$A$15,BC$13)))</f>
        <v>0</v>
      </c>
      <c r="BD31" s="171">
        <f ca="1">IF(OR($D31&lt;&gt;"Serviço",AND(AUTOEVENTO="Manual",$M31=$A$15)),0,
         IF(OFFSET(CRONOPLE!$F$15,$M31-$A$15,BD$13)=0,10^12,OFFSET(CRONOPLE!$F$15,$M31-$A$15,BD$13)))</f>
        <v>0</v>
      </c>
      <c r="BE31" s="171">
        <f ca="1">IF(OR($D31&lt;&gt;"Serviço",AND(AUTOEVENTO="Manual",$M31=$A$15)),0,
         IF(OFFSET(CRONOPLE!$F$15,$M31-$A$15,BE$13)=0,10^12,OFFSET(CRONOPLE!$F$15,$M31-$A$15,BE$13)))</f>
        <v>0</v>
      </c>
      <c r="BF31" s="171">
        <f ca="1">IF(OR($D31&lt;&gt;"Serviço",AND(AUTOEVENTO="Manual",$M31=$A$15)),0,
         IF(OFFSET(CRONOPLE!$F$15,$M31-$A$15,BF$13)=0,10^12,OFFSET(CRONOPLE!$F$15,$M31-$A$15,BF$13)))</f>
        <v>0</v>
      </c>
      <c r="BG31" s="171">
        <f ca="1">IF(OR($D31&lt;&gt;"Serviço",AND(AUTOEVENTO="Manual",$M31=$A$15)),0,
         IF(OFFSET(CRONOPLE!$F$15,$M31-$A$15,BG$13)=0,10^12,OFFSET(CRONOPLE!$F$15,$M31-$A$15,BG$13)))</f>
        <v>0</v>
      </c>
      <c r="BH31" s="171">
        <f ca="1">IF(OR($D31&lt;&gt;"Serviço",AND(AUTOEVENTO="Manual",$M31=$A$15)),0,
         IF(OFFSET(CRONOPLE!$F$15,$M31-$A$15,BH$13)=0,10^12,OFFSET(CRONOPLE!$F$15,$M31-$A$15,BH$13)))</f>
        <v>0</v>
      </c>
      <c r="BI31" s="171">
        <f ca="1">IF(OR($D31&lt;&gt;"Serviço",AND(AUTOEVENTO="Manual",$M31=$A$15)),0,
         IF(OFFSET(CRONOPLE!$F$15,$M31-$A$15,BI$13)=0,10^12,OFFSET(CRONOPLE!$F$15,$M31-$A$15,BI$13)))</f>
        <v>0</v>
      </c>
      <c r="BJ31" s="171">
        <f ca="1">IF(OR($D31&lt;&gt;"Serviço",AND(AUTOEVENTO="Manual",$M31=$A$15)),0,
         IF(OFFSET(CRONOPLE!$F$15,$M31-$A$15,BJ$13)=0,10^12,OFFSET(CRONOPLE!$F$15,$M31-$A$15,BJ$13)))</f>
        <v>0</v>
      </c>
      <c r="BK31" s="171">
        <f ca="1">IF(OR($D31&lt;&gt;"Serviço",AND(AUTOEVENTO="Manual",$M31=$A$15)),0,
         IF(OFFSET(CRONOPLE!$F$15,$M31-$A$15,BK$13)=0,10^12,OFFSET(CRONOPLE!$F$15,$M31-$A$15,BK$13)))</f>
        <v>0</v>
      </c>
      <c r="BL31" s="171">
        <f ca="1">IF(OR($D31&lt;&gt;"Serviço",AND(AUTOEVENTO="Manual",$M31=$A$15)),0,
         IF(OFFSET(CRONOPLE!$F$15,$M31-$A$15,BL$13)=0,10^12,OFFSET(CRONOPLE!$F$15,$M31-$A$15,BL$13)))</f>
        <v>0</v>
      </c>
      <c r="BM31" s="171">
        <f ca="1">IF(OR($D31&lt;&gt;"Serviço",AND(AUTOEVENTO="Manual",$M31=$A$15)),0,
         IF(OFFSET(CRONOPLE!$F$15,$M31-$A$15,BM$13)=0,10^12,OFFSET(CRONOPLE!$F$15,$M31-$A$15,BM$13)))</f>
        <v>0</v>
      </c>
      <c r="BN31" s="171">
        <f ca="1">IF(OR($D31&lt;&gt;"Serviço",AND(AUTOEVENTO="Manual",$M31=$A$15)),0,
         IF(OFFSET(CRONOPLE!$F$15,$M31-$A$15,BN$13)=0,10^12,OFFSET(CRONOPLE!$F$15,$M31-$A$15,BN$13)))</f>
        <v>0</v>
      </c>
      <c r="BO31" s="171">
        <f ca="1">IF(OR($D31&lt;&gt;"Serviço",AND(AUTOEVENTO="Manual",$M31=$A$15)),0,
         IF(OFFSET(CRONOPLE!$F$15,$M31-$A$15,BO$13)=0,10^12,OFFSET(CRONOPLE!$F$15,$M31-$A$15,BO$13)))</f>
        <v>0</v>
      </c>
      <c r="BP31" s="171">
        <f ca="1">IF(OR($D31&lt;&gt;"Serviço",AND(AUTOEVENTO="Manual",$M31=$A$15)),0,
         IF(OFFSET(CRONOPLE!$F$15,$M31-$A$15,BP$13)=0,10^12,OFFSET(CRONOPLE!$F$15,$M31-$A$15,BP$13)))</f>
        <v>0</v>
      </c>
      <c r="BQ31" s="171">
        <f ca="1">IF(OR($D31&lt;&gt;"Serviço",AND(AUTOEVENTO="Manual",$M31=$A$15)),0,
         IF(OFFSET(CRONOPLE!$F$15,$M31-$A$15,BQ$13)=0,10^12,OFFSET(CRONOPLE!$F$15,$M31-$A$15,BQ$13)))</f>
        <v>0</v>
      </c>
      <c r="BR31" s="171">
        <f ca="1">IF(OR($D31&lt;&gt;"Serviço",AND(AUTOEVENTO="Manual",$M31=$A$15)),0,
         IF(OFFSET(CRONOPLE!$F$15,$M31-$A$15,BR$13)=0,10^12,OFFSET(CRONOPLE!$F$15,$M31-$A$15,BR$13)))</f>
        <v>0</v>
      </c>
      <c r="BS31" s="171">
        <f ca="1">IF(OR($D31&lt;&gt;"Serviço",AND(AUTOEVENTO="Manual",$M31=$A$15)),0,
         IF(OFFSET(CRONOPLE!$F$15,$M31-$A$15,BS$13)=0,10^12,OFFSET(CRONOPLE!$F$15,$M31-$A$15,BS$13)))</f>
        <v>0</v>
      </c>
      <c r="BT31" s="171">
        <f ca="1">IF(OR($D31&lt;&gt;"Serviço",AND(AUTOEVENTO="Manual",$M31=$A$15)),0,
         IF(OFFSET(CRONOPLE!$F$15,$M31-$A$15,BT$13)=0,10^12,OFFSET(CRONOPLE!$F$15,$M31-$A$15,BT$13)))</f>
        <v>0</v>
      </c>
      <c r="BV31" s="172">
        <f t="array" aca="1" ref="BV31" ca="1">IF(OR($D31&lt;&gt;"Serviço",AND(AUTOEVENTO="Manual",$M31=$A$15),$M31&gt;(ROW(PLE.lastrow)-ROW(PLE.firstrow))),0,
           IF(OFFSET(PLE!$G$15,$M31-$A$15,BV$13)="",10^12,OFFSET(PLE!$G$15,$M31-$A$15,BV$13)))</f>
        <v>0</v>
      </c>
      <c r="BW31" s="172">
        <f t="array" aca="1" ref="BW31" ca="1">IF(OR($D31&lt;&gt;"Serviço",AND(AUTOEVENTO="Manual",$M31=$A$15),$M31&gt;(ROW(PLE.lastrow)-ROW(PLE.firstrow))),0,
           IF(OFFSET(PLE!$G$15,$M31-$A$15,BW$13)="",10^12,OFFSET(PLE!$G$15,$M31-$A$15,BW$13)))</f>
        <v>0</v>
      </c>
      <c r="BX31" s="172">
        <f t="array" aca="1" ref="BX31" ca="1">IF(OR($D31&lt;&gt;"Serviço",AND(AUTOEVENTO="Manual",$M31=$A$15),$M31&gt;(ROW(PLE.lastrow)-ROW(PLE.firstrow))),0,
           IF(OFFSET(PLE!$G$15,$M31-$A$15,BX$13)="",10^12,OFFSET(PLE!$G$15,$M31-$A$15,BX$13)))</f>
        <v>0</v>
      </c>
      <c r="BY31" s="172">
        <f t="array" aca="1" ref="BY31" ca="1">IF(OR($D31&lt;&gt;"Serviço",AND(AUTOEVENTO="Manual",$M31=$A$15),$M31&gt;(ROW(PLE.lastrow)-ROW(PLE.firstrow))),0,
           IF(OFFSET(PLE!$G$15,$M31-$A$15,BY$13)="",10^12,OFFSET(PLE!$G$15,$M31-$A$15,BY$13)))</f>
        <v>0</v>
      </c>
      <c r="BZ31" s="172">
        <f t="array" aca="1" ref="BZ31" ca="1">IF(OR($D31&lt;&gt;"Serviço",AND(AUTOEVENTO="Manual",$M31=$A$15),$M31&gt;(ROW(PLE.lastrow)-ROW(PLE.firstrow))),0,
           IF(OFFSET(PLE!$G$15,$M31-$A$15,BZ$13)="",10^12,OFFSET(PLE!$G$15,$M31-$A$15,BZ$13)))</f>
        <v>0</v>
      </c>
      <c r="CA31" s="172">
        <f t="array" aca="1" ref="CA31" ca="1">IF(OR($D31&lt;&gt;"Serviço",AND(AUTOEVENTO="Manual",$M31=$A$15),$M31&gt;(ROW(PLE.lastrow)-ROW(PLE.firstrow))),0,
           IF(OFFSET(PLE!$G$15,$M31-$A$15,CA$13)="",10^12,OFFSET(PLE!$G$15,$M31-$A$15,CA$13)))</f>
        <v>0</v>
      </c>
      <c r="CB31" s="172">
        <f t="array" aca="1" ref="CB31" ca="1">IF(OR($D31&lt;&gt;"Serviço",AND(AUTOEVENTO="Manual",$M31=$A$15),$M31&gt;(ROW(PLE.lastrow)-ROW(PLE.firstrow))),0,
           IF(OFFSET(PLE!$G$15,$M31-$A$15,CB$13)="",10^12,OFFSET(PLE!$G$15,$M31-$A$15,CB$13)))</f>
        <v>0</v>
      </c>
      <c r="CC31" s="172">
        <f t="array" aca="1" ref="CC31" ca="1">IF(OR($D31&lt;&gt;"Serviço",AND(AUTOEVENTO="Manual",$M31=$A$15),$M31&gt;(ROW(PLE.lastrow)-ROW(PLE.firstrow))),0,
           IF(OFFSET(PLE!$G$15,$M31-$A$15,CC$13)="",10^12,OFFSET(PLE!$G$15,$M31-$A$15,CC$13)))</f>
        <v>0</v>
      </c>
      <c r="CD31" s="172">
        <f t="array" aca="1" ref="CD31" ca="1">IF(OR($D31&lt;&gt;"Serviço",AND(AUTOEVENTO="Manual",$M31=$A$15),$M31&gt;(ROW(PLE.lastrow)-ROW(PLE.firstrow))),0,
           IF(OFFSET(PLE!$G$15,$M31-$A$15,CD$13)="",10^12,OFFSET(PLE!$G$15,$M31-$A$15,CD$13)))</f>
        <v>0</v>
      </c>
      <c r="CE31" s="172">
        <f t="array" aca="1" ref="CE31" ca="1">IF(OR($D31&lt;&gt;"Serviço",AND(AUTOEVENTO="Manual",$M31=$A$15),$M31&gt;(ROW(PLE.lastrow)-ROW(PLE.firstrow))),0,
           IF(OFFSET(PLE!$G$15,$M31-$A$15,CE$13)="",10^12,OFFSET(PLE!$G$15,$M31-$A$15,CE$13)))</f>
        <v>0</v>
      </c>
      <c r="CF31" s="172">
        <f t="array" aca="1" ref="CF31" ca="1">IF(OR($D31&lt;&gt;"Serviço",AND(AUTOEVENTO="Manual",$M31=$A$15),$M31&gt;(ROW(PLE.lastrow)-ROW(PLE.firstrow))),0,
           IF(OFFSET(PLE!$G$15,$M31-$A$15,CF$13)="",10^12,OFFSET(PLE!$G$15,$M31-$A$15,CF$13)))</f>
        <v>0</v>
      </c>
      <c r="CG31" s="172">
        <f t="array" aca="1" ref="CG31" ca="1">IF(OR($D31&lt;&gt;"Serviço",AND(AUTOEVENTO="Manual",$M31=$A$15),$M31&gt;(ROW(PLE.lastrow)-ROW(PLE.firstrow))),0,
           IF(OFFSET(PLE!$G$15,$M31-$A$15,CG$13)="",10^12,OFFSET(PLE!$G$15,$M31-$A$15,CG$13)))</f>
        <v>0</v>
      </c>
      <c r="CH31" s="172">
        <f t="array" aca="1" ref="CH31" ca="1">IF(OR($D31&lt;&gt;"Serviço",AND(AUTOEVENTO="Manual",$M31=$A$15),$M31&gt;(ROW(PLE.lastrow)-ROW(PLE.firstrow))),0,
           IF(OFFSET(PLE!$G$15,$M31-$A$15,CH$13)="",10^12,OFFSET(PLE!$G$15,$M31-$A$15,CH$13)))</f>
        <v>0</v>
      </c>
      <c r="CI31" s="172">
        <f t="array" aca="1" ref="CI31" ca="1">IF(OR($D31&lt;&gt;"Serviço",AND(AUTOEVENTO="Manual",$M31=$A$15),$M31&gt;(ROW(PLE.lastrow)-ROW(PLE.firstrow))),0,
           IF(OFFSET(PLE!$G$15,$M31-$A$15,CI$13)="",10^12,OFFSET(PLE!$G$15,$M31-$A$15,CI$13)))</f>
        <v>0</v>
      </c>
      <c r="CJ31" s="172">
        <f t="array" aca="1" ref="CJ31" ca="1">IF(OR($D31&lt;&gt;"Serviço",AND(AUTOEVENTO="Manual",$M31=$A$15),$M31&gt;(ROW(PLE.lastrow)-ROW(PLE.firstrow))),0,
           IF(OFFSET(PLE!$G$15,$M31-$A$15,CJ$13)="",10^12,OFFSET(PLE!$G$15,$M31-$A$15,CJ$13)))</f>
        <v>0</v>
      </c>
      <c r="CK31" s="172">
        <f t="array" aca="1" ref="CK31" ca="1">IF(OR($D31&lt;&gt;"Serviço",AND(AUTOEVENTO="Manual",$M31=$A$15),$M31&gt;(ROW(PLE.lastrow)-ROW(PLE.firstrow))),0,
           IF(OFFSET(PLE!$G$15,$M31-$A$15,CK$13)="",10^12,OFFSET(PLE!$G$15,$M31-$A$15,CK$13)))</f>
        <v>0</v>
      </c>
      <c r="CL31" s="172">
        <f t="array" aca="1" ref="CL31" ca="1">IF(OR($D31&lt;&gt;"Serviço",AND(AUTOEVENTO="Manual",$M31=$A$15),$M31&gt;(ROW(PLE.lastrow)-ROW(PLE.firstrow))),0,
           IF(OFFSET(PLE!$G$15,$M31-$A$15,CL$13)="",10^12,OFFSET(PLE!$G$15,$M31-$A$15,CL$13)))</f>
        <v>0</v>
      </c>
      <c r="CM31" s="172">
        <f t="array" aca="1" ref="CM31" ca="1">IF(OR($D31&lt;&gt;"Serviço",AND(AUTOEVENTO="Manual",$M31=$A$15),$M31&gt;(ROW(PLE.lastrow)-ROW(PLE.firstrow))),0,
           IF(OFFSET(PLE!$G$15,$M31-$A$15,CM$13)="",10^12,OFFSET(PLE!$G$15,$M31-$A$15,CM$13)))</f>
        <v>0</v>
      </c>
    </row>
    <row r="32" spans="1:91" s="696" customFormat="1" ht="38.25" x14ac:dyDescent="0.2">
      <c r="A32" s="694">
        <f t="shared" ca="1" si="10"/>
        <v>4</v>
      </c>
      <c r="B32" s="694" t="str">
        <f ca="1">OFFSET(ORÇAMENTO!C$15,$L32,0)</f>
        <v>S</v>
      </c>
      <c r="C32" s="694" t="str">
        <f ca="1">OFFSET(ORÇAMENTO!L$15,$L32,0)</f>
        <v>F</v>
      </c>
      <c r="D32" s="116" t="str">
        <f ca="1">OFFSET(ORÇAMENTO!N$15,$L32,0)</f>
        <v>Serviço</v>
      </c>
      <c r="E32" s="117" t="str">
        <f ca="1">OFFSET(ORÇAMENTO!O$15,$L32,0)</f>
        <v>1.4.1.</v>
      </c>
      <c r="F32" s="163" t="str">
        <f ca="1">OFFSET(ORÇAMENTO!R$15,$L32,0)</f>
        <v>LOCAÇÃO COM CAVALETE COM ALTURA DE 0,50 M - 2 UTILIZAÇÕES. AF_03/2024</v>
      </c>
      <c r="G32" s="164" t="str">
        <f ca="1">IF($D32&lt;&gt;"Serviço","",OFFSET(ORÇAMENTO!S$15,$L32,0))</f>
        <v>UN</v>
      </c>
      <c r="H32" s="122">
        <f t="array" aca="1" ref="H32" ca="1">IF($D32&lt;&gt;"Serviço",0,IF(ACOMPANHAMENTO="BM",ROUND(OFFSET(ORÇAMENTO!AJ$15,$L32,0),15-13*ORÇAMENTO!$AF$7),IF(IFERROR(CÁLCULO.FrentesPreenchidas,0)=0,0,SUM(ROUND(OFFSET($P32,0,1,1,CÁLCULO.FrentesPreenchidas),15-13*ORÇAMENTO!$AF$7)))))</f>
        <v>20</v>
      </c>
      <c r="I32" s="467" t="s">
        <v>1217</v>
      </c>
      <c r="J32" s="653" t="str">
        <f t="array" aca="1" ref="J32" ca="1">IF(OR(B32&lt;&gt;"S",CÁLCULO.FrentesPreenchidas=0),"",IF(AND(ACOMPANHAMENTO="PLE",AUTOEVENTO="Manual",OR(H32&gt;0,ORÇAMENTO!AC32="QUANT."),OR(K32="",M32=0,N32="")),"►E",IF(AND(ACOMPANHAMENTO="PLE",ORÇAMENTO!AC32="QUANT."),"►Q",IF(AND(ACOMPANHAMENTO="PLE",H32&lt;&gt;SUMPRODUCT(($Q$1:$AI$1=1)*ROUND(Q32:AI32,15))),"►S",IF(AND(COUNTIF($P$11:$AI$11,"▼")=0,H32&gt;0,I32=""),"◄M","")))))</f>
        <v/>
      </c>
      <c r="K32" s="654" t="s">
        <v>1383</v>
      </c>
      <c r="L32" s="165">
        <f t="shared" ca="1" si="11"/>
        <v>17</v>
      </c>
      <c r="M32" s="166">
        <f ca="1">IF($D32&lt;&gt;"Serviço","",
          IF(AUTOEVENTO="manual",$A32,
                IF(ISERROR(MATCH($A32,$A$15:OFFSET($A32,-1,0),0)),MAX($M$15:OFFSET(M32,-1,0))+1,
                      INDEX($M$15:OFFSET(M32,-1,0),MATCH($A32,$A$15:OFFSET($A32,-1,0),0)))))</f>
        <v>4</v>
      </c>
      <c r="N32" s="167" t="str">
        <f ca="1">IF($D32&lt;&gt;"Serviço","",
         IF(AUTOEVENTO="Manual",
                IF($A32=0,"&lt;-- defina o número do agrupador",
                       OFFSET(EVENTOS!$D$15,$A32-$A$15,0)),
                OFFSET($F$15,$A32,0)))</f>
        <v>SAPATAS (LOCAÇÃO,ESCAVAÇÕES, FORMAS, AÇO, CONCRETAGEM)</v>
      </c>
      <c r="O32" s="168"/>
      <c r="Q32" s="169">
        <v>5</v>
      </c>
      <c r="R32" s="169">
        <v>5</v>
      </c>
      <c r="S32" s="169">
        <v>5</v>
      </c>
      <c r="T32" s="169">
        <v>5</v>
      </c>
      <c r="U32" s="169"/>
      <c r="V32" s="169"/>
      <c r="W32" s="169"/>
      <c r="X32" s="169"/>
      <c r="Y32" s="169"/>
      <c r="Z32" s="170"/>
      <c r="AA32" s="169"/>
      <c r="AB32" s="169"/>
      <c r="AC32" s="169"/>
      <c r="AD32" s="169"/>
      <c r="AE32" s="169"/>
      <c r="AF32" s="169"/>
      <c r="AG32" s="169"/>
      <c r="AH32" s="170"/>
      <c r="AJ32" s="452">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756.15</v>
      </c>
      <c r="AK32" s="452">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756.15</v>
      </c>
      <c r="AL32" s="452">
        <f ca="1">IF(AND($D32="Serviço",AL$12&lt;&gt;0,$H32&gt;0,OR(AUTOEVENTO&lt;&gt;"manual",$M32&lt;&gt;$A$15)),
        IF(Import.TipoArredondamento&lt;&gt;"TransfereGOV",
              ROUND(OFFSET($P32,0,AL$13),15-13*ORÇAMENTO!$AF$7)/$H32*OFFSET(ORÇAMENTO!$X$15,ROW(AL32)-ROW(AL$15),0),
              ROUND(ROUND(OFFSET($P32,0,AL$13),15-13*ORÇAMENTO!$AF$7)*OFFSET(ORÇAMENTO!$W$15,ROW(AL32)-ROW(AL$15),0),15-13*ORÇAMENTO!$AF$11)),
         0)</f>
        <v>756.15</v>
      </c>
      <c r="AM32" s="452">
        <f ca="1">IF(AND($D32="Serviço",AM$12&lt;&gt;0,$H32&gt;0,OR(AUTOEVENTO&lt;&gt;"manual",$M32&lt;&gt;$A$15)),
        IF(Import.TipoArredondamento&lt;&gt;"TransfereGOV",
              ROUND(OFFSET($P32,0,AM$13),15-13*ORÇAMENTO!$AF$7)/$H32*OFFSET(ORÇAMENTO!$X$15,ROW(AM32)-ROW(AM$15),0),
              ROUND(ROUND(OFFSET($P32,0,AM$13),15-13*ORÇAMENTO!$AF$7)*OFFSET(ORÇAMENTO!$W$15,ROW(AM32)-ROW(AM$15),0),15-13*ORÇAMENTO!$AF$11)),
         0)</f>
        <v>756.15</v>
      </c>
      <c r="AN32" s="452">
        <f ca="1">IF(AND($D32="Serviço",AN$12&lt;&gt;0,$H32&gt;0,OR(AUTOEVENTO&lt;&gt;"manual",$M32&lt;&gt;$A$15)),
        IF(Import.TipoArredondamento&lt;&gt;"TransfereGOV",
              ROUND(OFFSET($P32,0,AN$13),15-13*ORÇAMENTO!$AF$7)/$H32*OFFSET(ORÇAMENTO!$X$15,ROW(AN32)-ROW(AN$15),0),
              ROUND(ROUND(OFFSET($P32,0,AN$13),15-13*ORÇAMENTO!$AF$7)*OFFSET(ORÇAMENTO!$W$15,ROW(AN32)-ROW(AN$15),0),15-13*ORÇAMENTO!$AF$11)),
         0)</f>
        <v>0</v>
      </c>
      <c r="AO32" s="452">
        <f ca="1">IF(AND($D32="Serviço",AO$12&lt;&gt;0,$H32&gt;0,OR(AUTOEVENTO&lt;&gt;"manual",$M32&lt;&gt;$A$15)),
        IF(Import.TipoArredondamento&lt;&gt;"TransfereGOV",
              ROUND(OFFSET($P32,0,AO$13),15-13*ORÇAMENTO!$AF$7)/$H32*OFFSET(ORÇAMENTO!$X$15,ROW(AO32)-ROW(AO$15),0),
              ROUND(ROUND(OFFSET($P32,0,AO$13),15-13*ORÇAMENTO!$AF$7)*OFFSET(ORÇAMENTO!$W$15,ROW(AO32)-ROW(AO$15),0),15-13*ORÇAMENTO!$AF$11)),
         0)</f>
        <v>0</v>
      </c>
      <c r="AP32" s="452">
        <f ca="1">IF(AND($D32="Serviço",AP$12&lt;&gt;0,$H32&gt;0,OR(AUTOEVENTO&lt;&gt;"manual",$M32&lt;&gt;$A$15)),
        IF(Import.TipoArredondamento&lt;&gt;"TransfereGOV",
              ROUND(OFFSET($P32,0,AP$13),15-13*ORÇAMENTO!$AF$7)/$H32*OFFSET(ORÇAMENTO!$X$15,ROW(AP32)-ROW(AP$15),0),
              ROUND(ROUND(OFFSET($P32,0,AP$13),15-13*ORÇAMENTO!$AF$7)*OFFSET(ORÇAMENTO!$W$15,ROW(AP32)-ROW(AP$15),0),15-13*ORÇAMENTO!$AF$11)),
         0)</f>
        <v>0</v>
      </c>
      <c r="AQ32" s="452">
        <f ca="1">IF(AND($D32="Serviço",AQ$12&lt;&gt;0,$H32&gt;0,OR(AUTOEVENTO&lt;&gt;"manual",$M32&lt;&gt;$A$15)),
        IF(Import.TipoArredondamento&lt;&gt;"TransfereGOV",
              ROUND(OFFSET($P32,0,AQ$13),15-13*ORÇAMENTO!$AF$7)/$H32*OFFSET(ORÇAMENTO!$X$15,ROW(AQ32)-ROW(AQ$15),0),
              ROUND(ROUND(OFFSET($P32,0,AQ$13),15-13*ORÇAMENTO!$AF$7)*OFFSET(ORÇAMENTO!$W$15,ROW(AQ32)-ROW(AQ$15),0),15-13*ORÇAMENTO!$AF$11)),
         0)</f>
        <v>0</v>
      </c>
      <c r="AR32" s="452">
        <f ca="1">IF(AND($D32="Serviço",AR$12&lt;&gt;0,$H32&gt;0,OR(AUTOEVENTO&lt;&gt;"manual",$M32&lt;&gt;$A$15)),
        IF(Import.TipoArredondamento&lt;&gt;"TransfereGOV",
              ROUND(OFFSET($P32,0,AR$13),15-13*ORÇAMENTO!$AF$7)/$H32*OFFSET(ORÇAMENTO!$X$15,ROW(AR32)-ROW(AR$15),0),
              ROUND(ROUND(OFFSET($P32,0,AR$13),15-13*ORÇAMENTO!$AF$7)*OFFSET(ORÇAMENTO!$W$15,ROW(AR32)-ROW(AR$15),0),15-13*ORÇAMENTO!$AF$11)),
         0)</f>
        <v>0</v>
      </c>
      <c r="AS32" s="452">
        <f ca="1">IF(AND($D32="Serviço",AS$12&lt;&gt;0,$H32&gt;0,OR(AUTOEVENTO&lt;&gt;"manual",$M32&lt;&gt;$A$15)),
        IF(Import.TipoArredondamento&lt;&gt;"TransfereGOV",
              ROUND(OFFSET($P32,0,AS$13),15-13*ORÇAMENTO!$AF$7)/$H32*OFFSET(ORÇAMENTO!$X$15,ROW(AS32)-ROW(AS$15),0),
              ROUND(ROUND(OFFSET($P32,0,AS$13),15-13*ORÇAMENTO!$AF$7)*OFFSET(ORÇAMENTO!$W$15,ROW(AS32)-ROW(AS$15),0),15-13*ORÇAMENTO!$AF$11)),
         0)</f>
        <v>0</v>
      </c>
      <c r="AT32" s="452">
        <f ca="1">IF(AND($D32="Serviço",AT$12&lt;&gt;0,$H32&gt;0,OR(AUTOEVENTO&lt;&gt;"manual",$M32&lt;&gt;$A$15)),
        IF(Import.TipoArredondamento&lt;&gt;"TransfereGOV",
              ROUND(OFFSET($P32,0,AT$13),15-13*ORÇAMENTO!$AF$7)/$H32*OFFSET(ORÇAMENTO!$X$15,ROW(AT32)-ROW(AT$15),0),
              ROUND(ROUND(OFFSET($P32,0,AT$13),15-13*ORÇAMENTO!$AF$7)*OFFSET(ORÇAMENTO!$W$15,ROW(AT32)-ROW(AT$15),0),15-13*ORÇAMENTO!$AF$11)),
         0)</f>
        <v>0</v>
      </c>
      <c r="AU32" s="452">
        <f ca="1">IF(AND($D32="Serviço",AU$12&lt;&gt;0,$H32&gt;0,OR(AUTOEVENTO&lt;&gt;"manual",$M32&lt;&gt;$A$15)),
        IF(Import.TipoArredondamento&lt;&gt;"TransfereGOV",
              ROUND(OFFSET($P32,0,AU$13),15-13*ORÇAMENTO!$AF$7)/$H32*OFFSET(ORÇAMENTO!$X$15,ROW(AU32)-ROW(AU$15),0),
              ROUND(ROUND(OFFSET($P32,0,AU$13),15-13*ORÇAMENTO!$AF$7)*OFFSET(ORÇAMENTO!$W$15,ROW(AU32)-ROW(AU$15),0),15-13*ORÇAMENTO!$AF$11)),
         0)</f>
        <v>0</v>
      </c>
      <c r="AV32" s="452">
        <f ca="1">IF(AND($D32="Serviço",AV$12&lt;&gt;0,$H32&gt;0,OR(AUTOEVENTO&lt;&gt;"manual",$M32&lt;&gt;$A$15)),
        IF(Import.TipoArredondamento&lt;&gt;"TransfereGOV",
              ROUND(OFFSET($P32,0,AV$13),15-13*ORÇAMENTO!$AF$7)/$H32*OFFSET(ORÇAMENTO!$X$15,ROW(AV32)-ROW(AV$15),0),
              ROUND(ROUND(OFFSET($P32,0,AV$13),15-13*ORÇAMENTO!$AF$7)*OFFSET(ORÇAMENTO!$W$15,ROW(AV32)-ROW(AV$15),0),15-13*ORÇAMENTO!$AF$11)),
         0)</f>
        <v>0</v>
      </c>
      <c r="AW32" s="452">
        <f ca="1">IF(AND($D32="Serviço",AW$12&lt;&gt;0,$H32&gt;0,OR(AUTOEVENTO&lt;&gt;"manual",$M32&lt;&gt;$A$15)),
        IF(Import.TipoArredondamento&lt;&gt;"TransfereGOV",
              ROUND(OFFSET($P32,0,AW$13),15-13*ORÇAMENTO!$AF$7)/$H32*OFFSET(ORÇAMENTO!$X$15,ROW(AW32)-ROW(AW$15),0),
              ROUND(ROUND(OFFSET($P32,0,AW$13),15-13*ORÇAMENTO!$AF$7)*OFFSET(ORÇAMENTO!$W$15,ROW(AW32)-ROW(AW$15),0),15-13*ORÇAMENTO!$AF$11)),
         0)</f>
        <v>0</v>
      </c>
      <c r="AX32" s="452">
        <f ca="1">IF(AND($D32="Serviço",AX$12&lt;&gt;0,$H32&gt;0,OR(AUTOEVENTO&lt;&gt;"manual",$M32&lt;&gt;$A$15)),
        IF(Import.TipoArredondamento&lt;&gt;"TransfereGOV",
              ROUND(OFFSET($P32,0,AX$13),15-13*ORÇAMENTO!$AF$7)/$H32*OFFSET(ORÇAMENTO!$X$15,ROW(AX32)-ROW(AX$15),0),
              ROUND(ROUND(OFFSET($P32,0,AX$13),15-13*ORÇAMENTO!$AF$7)*OFFSET(ORÇAMENTO!$W$15,ROW(AX32)-ROW(AX$15),0),15-13*ORÇAMENTO!$AF$11)),
         0)</f>
        <v>0</v>
      </c>
      <c r="AY32" s="452">
        <f ca="1">IF(AND($D32="Serviço",AY$12&lt;&gt;0,$H32&gt;0,OR(AUTOEVENTO&lt;&gt;"manual",$M32&lt;&gt;$A$15)),
        IF(Import.TipoArredondamento&lt;&gt;"TransfereGOV",
              ROUND(OFFSET($P32,0,AY$13),15-13*ORÇAMENTO!$AF$7)/$H32*OFFSET(ORÇAMENTO!$X$15,ROW(AY32)-ROW(AY$15),0),
              ROUND(ROUND(OFFSET($P32,0,AY$13),15-13*ORÇAMENTO!$AF$7)*OFFSET(ORÇAMENTO!$W$15,ROW(AY32)-ROW(AY$15),0),15-13*ORÇAMENTO!$AF$11)),
         0)</f>
        <v>0</v>
      </c>
      <c r="AZ32" s="452">
        <f ca="1">IF(AND($D32="Serviço",AZ$12&lt;&gt;0,$H32&gt;0,OR(AUTOEVENTO&lt;&gt;"manual",$M32&lt;&gt;$A$15)),
        IF(Import.TipoArredondamento&lt;&gt;"TransfereGOV",
              ROUND(OFFSET($P32,0,AZ$13),15-13*ORÇAMENTO!$AF$7)/$H32*OFFSET(ORÇAMENTO!$X$15,ROW(AZ32)-ROW(AZ$15),0),
              ROUND(ROUND(OFFSET($P32,0,AZ$13),15-13*ORÇAMENTO!$AF$7)*OFFSET(ORÇAMENTO!$W$15,ROW(AZ32)-ROW(AZ$15),0),15-13*ORÇAMENTO!$AF$11)),
         0)</f>
        <v>0</v>
      </c>
      <c r="BA32" s="452">
        <f ca="1">IF(AND($D32="Serviço",BA$12&lt;&gt;0,$H32&gt;0,OR(AUTOEVENTO&lt;&gt;"manual",$M32&lt;&gt;$A$15)),
        IF(Import.TipoArredondamento&lt;&gt;"TransfereGOV",
              ROUND(OFFSET($P32,0,BA$13),15-13*ORÇAMENTO!$AF$7)/$H32*OFFSET(ORÇAMENTO!$X$15,ROW(BA32)-ROW(BA$15),0),
              ROUND(ROUND(OFFSET($P32,0,BA$13),15-13*ORÇAMENTO!$AF$7)*OFFSET(ORÇAMENTO!$W$15,ROW(BA32)-ROW(BA$15),0),15-13*ORÇAMENTO!$AF$11)),
         0)</f>
        <v>0</v>
      </c>
      <c r="BC32" s="171">
        <f ca="1">IF(OR($D32&lt;&gt;"Serviço",AND(AUTOEVENTO="Manual",$M32=$A$15)),0,
         IF(OFFSET(CRONOPLE!$F$15,$M32-$A$15,BC$13)=0,10^12,OFFSET(CRONOPLE!$F$15,$M32-$A$15,BC$13)))</f>
        <v>2</v>
      </c>
      <c r="BD32" s="171">
        <f ca="1">IF(OR($D32&lt;&gt;"Serviço",AND(AUTOEVENTO="Manual",$M32=$A$15)),0,
         IF(OFFSET(CRONOPLE!$F$15,$M32-$A$15,BD$13)=0,10^12,OFFSET(CRONOPLE!$F$15,$M32-$A$15,BD$13)))</f>
        <v>2</v>
      </c>
      <c r="BE32" s="171">
        <f ca="1">IF(OR($D32&lt;&gt;"Serviço",AND(AUTOEVENTO="Manual",$M32=$A$15)),0,
         IF(OFFSET(CRONOPLE!$F$15,$M32-$A$15,BE$13)=0,10^12,OFFSET(CRONOPLE!$F$15,$M32-$A$15,BE$13)))</f>
        <v>3</v>
      </c>
      <c r="BF32" s="171">
        <f ca="1">IF(OR($D32&lt;&gt;"Serviço",AND(AUTOEVENTO="Manual",$M32=$A$15)),0,
         IF(OFFSET(CRONOPLE!$F$15,$M32-$A$15,BF$13)=0,10^12,OFFSET(CRONOPLE!$F$15,$M32-$A$15,BF$13)))</f>
        <v>3</v>
      </c>
      <c r="BG32" s="171">
        <f ca="1">IF(OR($D32&lt;&gt;"Serviço",AND(AUTOEVENTO="Manual",$M32=$A$15)),0,
         IF(OFFSET(CRONOPLE!$F$15,$M32-$A$15,BG$13)=0,10^12,OFFSET(CRONOPLE!$F$15,$M32-$A$15,BG$13)))</f>
        <v>3</v>
      </c>
      <c r="BH32" s="171">
        <f ca="1">IF(OR($D32&lt;&gt;"Serviço",AND(AUTOEVENTO="Manual",$M32=$A$15)),0,
         IF(OFFSET(CRONOPLE!$F$15,$M32-$A$15,BH$13)=0,10^12,OFFSET(CRONOPLE!$F$15,$M32-$A$15,BH$13)))</f>
        <v>1000000000000</v>
      </c>
      <c r="BI32" s="171">
        <f ca="1">IF(OR($D32&lt;&gt;"Serviço",AND(AUTOEVENTO="Manual",$M32=$A$15)),0,
         IF(OFFSET(CRONOPLE!$F$15,$M32-$A$15,BI$13)=0,10^12,OFFSET(CRONOPLE!$F$15,$M32-$A$15,BI$13)))</f>
        <v>1000000000000</v>
      </c>
      <c r="BJ32" s="171">
        <f ca="1">IF(OR($D32&lt;&gt;"Serviço",AND(AUTOEVENTO="Manual",$M32=$A$15)),0,
         IF(OFFSET(CRONOPLE!$F$15,$M32-$A$15,BJ$13)=0,10^12,OFFSET(CRONOPLE!$F$15,$M32-$A$15,BJ$13)))</f>
        <v>1000000000000</v>
      </c>
      <c r="BK32" s="171">
        <f ca="1">IF(OR($D32&lt;&gt;"Serviço",AND(AUTOEVENTO="Manual",$M32=$A$15)),0,
         IF(OFFSET(CRONOPLE!$F$15,$M32-$A$15,BK$13)=0,10^12,OFFSET(CRONOPLE!$F$15,$M32-$A$15,BK$13)))</f>
        <v>1000000000000</v>
      </c>
      <c r="BL32" s="171">
        <f ca="1">IF(OR($D32&lt;&gt;"Serviço",AND(AUTOEVENTO="Manual",$M32=$A$15)),0,
         IF(OFFSET(CRONOPLE!$F$15,$M32-$A$15,BL$13)=0,10^12,OFFSET(CRONOPLE!$F$15,$M32-$A$15,BL$13)))</f>
        <v>1000000000000</v>
      </c>
      <c r="BM32" s="171">
        <f ca="1">IF(OR($D32&lt;&gt;"Serviço",AND(AUTOEVENTO="Manual",$M32=$A$15)),0,
         IF(OFFSET(CRONOPLE!$F$15,$M32-$A$15,BM$13)=0,10^12,OFFSET(CRONOPLE!$F$15,$M32-$A$15,BM$13)))</f>
        <v>1000000000000</v>
      </c>
      <c r="BN32" s="171">
        <f ca="1">IF(OR($D32&lt;&gt;"Serviço",AND(AUTOEVENTO="Manual",$M32=$A$15)),0,
         IF(OFFSET(CRONOPLE!$F$15,$M32-$A$15,BN$13)=0,10^12,OFFSET(CRONOPLE!$F$15,$M32-$A$15,BN$13)))</f>
        <v>1000000000000</v>
      </c>
      <c r="BO32" s="171">
        <f ca="1">IF(OR($D32&lt;&gt;"Serviço",AND(AUTOEVENTO="Manual",$M32=$A$15)),0,
         IF(OFFSET(CRONOPLE!$F$15,$M32-$A$15,BO$13)=0,10^12,OFFSET(CRONOPLE!$F$15,$M32-$A$15,BO$13)))</f>
        <v>1000000000000</v>
      </c>
      <c r="BP32" s="171">
        <f ca="1">IF(OR($D32&lt;&gt;"Serviço",AND(AUTOEVENTO="Manual",$M32=$A$15)),0,
         IF(OFFSET(CRONOPLE!$F$15,$M32-$A$15,BP$13)=0,10^12,OFFSET(CRONOPLE!$F$15,$M32-$A$15,BP$13)))</f>
        <v>1000000000000</v>
      </c>
      <c r="BQ32" s="171">
        <f ca="1">IF(OR($D32&lt;&gt;"Serviço",AND(AUTOEVENTO="Manual",$M32=$A$15)),0,
         IF(OFFSET(CRONOPLE!$F$15,$M32-$A$15,BQ$13)=0,10^12,OFFSET(CRONOPLE!$F$15,$M32-$A$15,BQ$13)))</f>
        <v>1000000000000</v>
      </c>
      <c r="BR32" s="171">
        <f ca="1">IF(OR($D32&lt;&gt;"Serviço",AND(AUTOEVENTO="Manual",$M32=$A$15)),0,
         IF(OFFSET(CRONOPLE!$F$15,$M32-$A$15,BR$13)=0,10^12,OFFSET(CRONOPLE!$F$15,$M32-$A$15,BR$13)))</f>
        <v>1000000000000</v>
      </c>
      <c r="BS32" s="171">
        <f ca="1">IF(OR($D32&lt;&gt;"Serviço",AND(AUTOEVENTO="Manual",$M32=$A$15)),0,
         IF(OFFSET(CRONOPLE!$F$15,$M32-$A$15,BS$13)=0,10^12,OFFSET(CRONOPLE!$F$15,$M32-$A$15,BS$13)))</f>
        <v>1000000000000</v>
      </c>
      <c r="BT32" s="171">
        <f ca="1">IF(OR($D32&lt;&gt;"Serviço",AND(AUTOEVENTO="Manual",$M32=$A$15)),0,
         IF(OFFSET(CRONOPLE!$F$15,$M32-$A$15,BT$13)=0,10^12,OFFSET(CRONOPLE!$F$15,$M32-$A$15,BT$13)))</f>
        <v>1000000000000</v>
      </c>
      <c r="BV32" s="172">
        <f t="array" aca="1" ref="BV32" ca="1">IF(OR($D32&lt;&gt;"Serviço",AND(AUTOEVENTO="Manual",$M32=$A$15),$M32&gt;(ROW(PLE.lastrow)-ROW(PLE.firstrow))),0,
           IF(OFFSET(PLE!$G$15,$M32-$A$15,BV$13)="",10^12,OFFSET(PLE!$G$15,$M32-$A$15,BV$13)))</f>
        <v>1000000000000</v>
      </c>
      <c r="BW32" s="172">
        <f t="array" aca="1" ref="BW32" ca="1">IF(OR($D32&lt;&gt;"Serviço",AND(AUTOEVENTO="Manual",$M32=$A$15),$M32&gt;(ROW(PLE.lastrow)-ROW(PLE.firstrow))),0,
           IF(OFFSET(PLE!$G$15,$M32-$A$15,BW$13)="",10^12,OFFSET(PLE!$G$15,$M32-$A$15,BW$13)))</f>
        <v>1000000000000</v>
      </c>
      <c r="BX32" s="172">
        <f t="array" aca="1" ref="BX32" ca="1">IF(OR($D32&lt;&gt;"Serviço",AND(AUTOEVENTO="Manual",$M32=$A$15),$M32&gt;(ROW(PLE.lastrow)-ROW(PLE.firstrow))),0,
           IF(OFFSET(PLE!$G$15,$M32-$A$15,BX$13)="",10^12,OFFSET(PLE!$G$15,$M32-$A$15,BX$13)))</f>
        <v>1000000000000</v>
      </c>
      <c r="BY32" s="172">
        <f t="array" aca="1" ref="BY32" ca="1">IF(OR($D32&lt;&gt;"Serviço",AND(AUTOEVENTO="Manual",$M32=$A$15),$M32&gt;(ROW(PLE.lastrow)-ROW(PLE.firstrow))),0,
           IF(OFFSET(PLE!$G$15,$M32-$A$15,BY$13)="",10^12,OFFSET(PLE!$G$15,$M32-$A$15,BY$13)))</f>
        <v>1000000000000</v>
      </c>
      <c r="BZ32" s="172">
        <f t="array" aca="1" ref="BZ32" ca="1">IF(OR($D32&lt;&gt;"Serviço",AND(AUTOEVENTO="Manual",$M32=$A$15),$M32&gt;(ROW(PLE.lastrow)-ROW(PLE.firstrow))),0,
           IF(OFFSET(PLE!$G$15,$M32-$A$15,BZ$13)="",10^12,OFFSET(PLE!$G$15,$M32-$A$15,BZ$13)))</f>
        <v>1000000000000</v>
      </c>
      <c r="CA32" s="172">
        <f t="array" aca="1" ref="CA32" ca="1">IF(OR($D32&lt;&gt;"Serviço",AND(AUTOEVENTO="Manual",$M32=$A$15),$M32&gt;(ROW(PLE.lastrow)-ROW(PLE.firstrow))),0,
           IF(OFFSET(PLE!$G$15,$M32-$A$15,CA$13)="",10^12,OFFSET(PLE!$G$15,$M32-$A$15,CA$13)))</f>
        <v>1000000000000</v>
      </c>
      <c r="CB32" s="172">
        <f t="array" aca="1" ref="CB32" ca="1">IF(OR($D32&lt;&gt;"Serviço",AND(AUTOEVENTO="Manual",$M32=$A$15),$M32&gt;(ROW(PLE.lastrow)-ROW(PLE.firstrow))),0,
           IF(OFFSET(PLE!$G$15,$M32-$A$15,CB$13)="",10^12,OFFSET(PLE!$G$15,$M32-$A$15,CB$13)))</f>
        <v>1000000000000</v>
      </c>
      <c r="CC32" s="172">
        <f t="array" aca="1" ref="CC32" ca="1">IF(OR($D32&lt;&gt;"Serviço",AND(AUTOEVENTO="Manual",$M32=$A$15),$M32&gt;(ROW(PLE.lastrow)-ROW(PLE.firstrow))),0,
           IF(OFFSET(PLE!$G$15,$M32-$A$15,CC$13)="",10^12,OFFSET(PLE!$G$15,$M32-$A$15,CC$13)))</f>
        <v>1000000000000</v>
      </c>
      <c r="CD32" s="172">
        <f t="array" aca="1" ref="CD32" ca="1">IF(OR($D32&lt;&gt;"Serviço",AND(AUTOEVENTO="Manual",$M32=$A$15),$M32&gt;(ROW(PLE.lastrow)-ROW(PLE.firstrow))),0,
           IF(OFFSET(PLE!$G$15,$M32-$A$15,CD$13)="",10^12,OFFSET(PLE!$G$15,$M32-$A$15,CD$13)))</f>
        <v>1000000000000</v>
      </c>
      <c r="CE32" s="172">
        <f t="array" aca="1" ref="CE32" ca="1">IF(OR($D32&lt;&gt;"Serviço",AND(AUTOEVENTO="Manual",$M32=$A$15),$M32&gt;(ROW(PLE.lastrow)-ROW(PLE.firstrow))),0,
           IF(OFFSET(PLE!$G$15,$M32-$A$15,CE$13)="",10^12,OFFSET(PLE!$G$15,$M32-$A$15,CE$13)))</f>
        <v>1000000000000</v>
      </c>
      <c r="CF32" s="172">
        <f t="array" aca="1" ref="CF32" ca="1">IF(OR($D32&lt;&gt;"Serviço",AND(AUTOEVENTO="Manual",$M32=$A$15),$M32&gt;(ROW(PLE.lastrow)-ROW(PLE.firstrow))),0,
           IF(OFFSET(PLE!$G$15,$M32-$A$15,CF$13)="",10^12,OFFSET(PLE!$G$15,$M32-$A$15,CF$13)))</f>
        <v>1000000000000</v>
      </c>
      <c r="CG32" s="172">
        <f t="array" aca="1" ref="CG32" ca="1">IF(OR($D32&lt;&gt;"Serviço",AND(AUTOEVENTO="Manual",$M32=$A$15),$M32&gt;(ROW(PLE.lastrow)-ROW(PLE.firstrow))),0,
           IF(OFFSET(PLE!$G$15,$M32-$A$15,CG$13)="",10^12,OFFSET(PLE!$G$15,$M32-$A$15,CG$13)))</f>
        <v>1000000000000</v>
      </c>
      <c r="CH32" s="172">
        <f t="array" aca="1" ref="CH32" ca="1">IF(OR($D32&lt;&gt;"Serviço",AND(AUTOEVENTO="Manual",$M32=$A$15),$M32&gt;(ROW(PLE.lastrow)-ROW(PLE.firstrow))),0,
           IF(OFFSET(PLE!$G$15,$M32-$A$15,CH$13)="",10^12,OFFSET(PLE!$G$15,$M32-$A$15,CH$13)))</f>
        <v>1000000000000</v>
      </c>
      <c r="CI32" s="172">
        <f t="array" aca="1" ref="CI32" ca="1">IF(OR($D32&lt;&gt;"Serviço",AND(AUTOEVENTO="Manual",$M32=$A$15),$M32&gt;(ROW(PLE.lastrow)-ROW(PLE.firstrow))),0,
           IF(OFFSET(PLE!$G$15,$M32-$A$15,CI$13)="",10^12,OFFSET(PLE!$G$15,$M32-$A$15,CI$13)))</f>
        <v>1000000000000</v>
      </c>
      <c r="CJ32" s="172">
        <f t="array" aca="1" ref="CJ32" ca="1">IF(OR($D32&lt;&gt;"Serviço",AND(AUTOEVENTO="Manual",$M32=$A$15),$M32&gt;(ROW(PLE.lastrow)-ROW(PLE.firstrow))),0,
           IF(OFFSET(PLE!$G$15,$M32-$A$15,CJ$13)="",10^12,OFFSET(PLE!$G$15,$M32-$A$15,CJ$13)))</f>
        <v>1000000000000</v>
      </c>
      <c r="CK32" s="172">
        <f t="array" aca="1" ref="CK32" ca="1">IF(OR($D32&lt;&gt;"Serviço",AND(AUTOEVENTO="Manual",$M32=$A$15),$M32&gt;(ROW(PLE.lastrow)-ROW(PLE.firstrow))),0,
           IF(OFFSET(PLE!$G$15,$M32-$A$15,CK$13)="",10^12,OFFSET(PLE!$G$15,$M32-$A$15,CK$13)))</f>
        <v>1000000000000</v>
      </c>
      <c r="CL32" s="172">
        <f t="array" aca="1" ref="CL32" ca="1">IF(OR($D32&lt;&gt;"Serviço",AND(AUTOEVENTO="Manual",$M32=$A$15),$M32&gt;(ROW(PLE.lastrow)-ROW(PLE.firstrow))),0,
           IF(OFFSET(PLE!$G$15,$M32-$A$15,CL$13)="",10^12,OFFSET(PLE!$G$15,$M32-$A$15,CL$13)))</f>
        <v>1000000000000</v>
      </c>
      <c r="CM32" s="172">
        <f t="array" aca="1" ref="CM32" ca="1">IF(OR($D32&lt;&gt;"Serviço",AND(AUTOEVENTO="Manual",$M32=$A$15),$M32&gt;(ROW(PLE.lastrow)-ROW(PLE.firstrow))),0,
           IF(OFFSET(PLE!$G$15,$M32-$A$15,CM$13)="",10^12,OFFSET(PLE!$G$15,$M32-$A$15,CM$13)))</f>
        <v>1000000000000</v>
      </c>
    </row>
    <row r="33" spans="1:91" s="696" customFormat="1" ht="51" x14ac:dyDescent="0.2">
      <c r="A33" s="694">
        <f t="shared" ca="1" si="10"/>
        <v>4</v>
      </c>
      <c r="B33" s="694" t="str">
        <f ca="1">OFFSET(ORÇAMENTO!C$15,$L33,0)</f>
        <v>S</v>
      </c>
      <c r="C33" s="694" t="str">
        <f ca="1">OFFSET(ORÇAMENTO!L$15,$L33,0)</f>
        <v>F</v>
      </c>
      <c r="D33" s="116" t="str">
        <f ca="1">OFFSET(ORÇAMENTO!N$15,$L33,0)</f>
        <v>Serviço</v>
      </c>
      <c r="E33" s="117" t="str">
        <f ca="1">OFFSET(ORÇAMENTO!O$15,$L33,0)</f>
        <v>1.4.2.</v>
      </c>
      <c r="F33" s="163" t="str">
        <f ca="1">OFFSET(ORÇAMENTO!R$15,$L33,0)</f>
        <v>ESCAVAÇÃO MECANIZADA PARA BLOCO DE COROAMENTO OU SAPATA COM RETROESCAVADEIRA (INCLUINDO ESCAVAÇÃO PARA COLOCAÇÃO DE FÔRMAS). AF_01/2024</v>
      </c>
      <c r="G33" s="164" t="str">
        <f ca="1">IF($D33&lt;&gt;"Serviço","",OFFSET(ORÇAMENTO!S$15,$L33,0))</f>
        <v>M3</v>
      </c>
      <c r="H33" s="122">
        <f t="array" aca="1" ref="H33" ca="1">IF($D33&lt;&gt;"Serviço",0,IF(ACOMPANHAMENTO="BM",ROUND(OFFSET(ORÇAMENTO!AJ$15,$L33,0),15-13*ORÇAMENTO!$AF$7),IF(IFERROR(CÁLCULO.FrentesPreenchidas,0)=0,0,SUM(ROUND(OFFSET($P33,0,1,1,CÁLCULO.FrentesPreenchidas),15-13*ORÇAMENTO!$AF$7)))))</f>
        <v>64.849999999999994</v>
      </c>
      <c r="I33" s="467" t="s">
        <v>1219</v>
      </c>
      <c r="J33" s="653" t="str">
        <f t="array" aca="1" ref="J33" ca="1">IF(OR(B33&lt;&gt;"S",CÁLCULO.FrentesPreenchidas=0),"",IF(AND(ACOMPANHAMENTO="PLE",AUTOEVENTO="Manual",OR(H33&gt;0,ORÇAMENTO!AC33="QUANT."),OR(K33="",M33=0,N33="")),"►E",IF(AND(ACOMPANHAMENTO="PLE",ORÇAMENTO!AC33="QUANT."),"►Q",IF(AND(ACOMPANHAMENTO="PLE",H33&lt;&gt;SUMPRODUCT(($Q$1:$AI$1=1)*ROUND(Q33:AI33,15))),"►S",IF(AND(COUNTIF($P$11:$AI$11,"▼")=0,H33&gt;0,I33=""),"◄M","")))))</f>
        <v/>
      </c>
      <c r="K33" s="654" t="s">
        <v>1383</v>
      </c>
      <c r="L33" s="165">
        <f t="shared" ca="1" si="11"/>
        <v>18</v>
      </c>
      <c r="M33" s="166">
        <f ca="1">IF($D33&lt;&gt;"Serviço","",
          IF(AUTOEVENTO="manual",$A33,
                IF(ISERROR(MATCH($A33,$A$15:OFFSET($A33,-1,0),0)),MAX($M$15:OFFSET(M33,-1,0))+1,
                      INDEX($M$15:OFFSET(M33,-1,0),MATCH($A33,$A$15:OFFSET($A33,-1,0),0)))))</f>
        <v>4</v>
      </c>
      <c r="N33" s="167" t="str">
        <f ca="1">IF($D33&lt;&gt;"Serviço","",
         IF(AUTOEVENTO="Manual",
                IF($A33=0,"&lt;-- defina o número do agrupador",
                       OFFSET(EVENTOS!$D$15,$A33-$A$15,0)),
                OFFSET($F$15,$A33,0)))</f>
        <v>SAPATAS (LOCAÇÃO,ESCAVAÇÕES, FORMAS, AÇO, CONCRETAGEM)</v>
      </c>
      <c r="O33" s="168"/>
      <c r="Q33" s="169">
        <f>1.41*5</f>
        <v>7.05</v>
      </c>
      <c r="R33" s="169">
        <f>1.41*5</f>
        <v>7.05</v>
      </c>
      <c r="S33" s="169">
        <f>1.41*5</f>
        <v>7.05</v>
      </c>
      <c r="T33" s="169">
        <f t="shared" ref="T33" si="12">8.74*5</f>
        <v>43.7</v>
      </c>
      <c r="U33" s="169"/>
      <c r="V33" s="169"/>
      <c r="W33" s="169"/>
      <c r="X33" s="169"/>
      <c r="Y33" s="169"/>
      <c r="Z33" s="170"/>
      <c r="AA33" s="169"/>
      <c r="AB33" s="169"/>
      <c r="AC33" s="169"/>
      <c r="AD33" s="169"/>
      <c r="AE33" s="169"/>
      <c r="AF33" s="169"/>
      <c r="AG33" s="169"/>
      <c r="AH33" s="170"/>
      <c r="AJ33" s="452">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354.12</v>
      </c>
      <c r="AK33" s="452">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354.12</v>
      </c>
      <c r="AL33" s="452">
        <f ca="1">IF(AND($D33="Serviço",AL$12&lt;&gt;0,$H33&gt;0,OR(AUTOEVENTO&lt;&gt;"manual",$M33&lt;&gt;$A$15)),
        IF(Import.TipoArredondamento&lt;&gt;"TransfereGOV",
              ROUND(OFFSET($P33,0,AL$13),15-13*ORÇAMENTO!$AF$7)/$H33*OFFSET(ORÇAMENTO!$X$15,ROW(AL33)-ROW(AL$15),0),
              ROUND(ROUND(OFFSET($P33,0,AL$13),15-13*ORÇAMENTO!$AF$7)*OFFSET(ORÇAMENTO!$W$15,ROW(AL33)-ROW(AL$15),0),15-13*ORÇAMENTO!$AF$11)),
         0)</f>
        <v>354.12</v>
      </c>
      <c r="AM33" s="452">
        <f ca="1">IF(AND($D33="Serviço",AM$12&lt;&gt;0,$H33&gt;0,OR(AUTOEVENTO&lt;&gt;"manual",$M33&lt;&gt;$A$15)),
        IF(Import.TipoArredondamento&lt;&gt;"TransfereGOV",
              ROUND(OFFSET($P33,0,AM$13),15-13*ORÇAMENTO!$AF$7)/$H33*OFFSET(ORÇAMENTO!$X$15,ROW(AM33)-ROW(AM$15),0),
              ROUND(ROUND(OFFSET($P33,0,AM$13),15-13*ORÇAMENTO!$AF$7)*OFFSET(ORÇAMENTO!$W$15,ROW(AM33)-ROW(AM$15),0),15-13*ORÇAMENTO!$AF$11)),
         0)</f>
        <v>2195.0500000000002</v>
      </c>
      <c r="AN33" s="452">
        <f ca="1">IF(AND($D33="Serviço",AN$12&lt;&gt;0,$H33&gt;0,OR(AUTOEVENTO&lt;&gt;"manual",$M33&lt;&gt;$A$15)),
        IF(Import.TipoArredondamento&lt;&gt;"TransfereGOV",
              ROUND(OFFSET($P33,0,AN$13),15-13*ORÇAMENTO!$AF$7)/$H33*OFFSET(ORÇAMENTO!$X$15,ROW(AN33)-ROW(AN$15),0),
              ROUND(ROUND(OFFSET($P33,0,AN$13),15-13*ORÇAMENTO!$AF$7)*OFFSET(ORÇAMENTO!$W$15,ROW(AN33)-ROW(AN$15),0),15-13*ORÇAMENTO!$AF$11)),
         0)</f>
        <v>0</v>
      </c>
      <c r="AO33" s="452">
        <f ca="1">IF(AND($D33="Serviço",AO$12&lt;&gt;0,$H33&gt;0,OR(AUTOEVENTO&lt;&gt;"manual",$M33&lt;&gt;$A$15)),
        IF(Import.TipoArredondamento&lt;&gt;"TransfereGOV",
              ROUND(OFFSET($P33,0,AO$13),15-13*ORÇAMENTO!$AF$7)/$H33*OFFSET(ORÇAMENTO!$X$15,ROW(AO33)-ROW(AO$15),0),
              ROUND(ROUND(OFFSET($P33,0,AO$13),15-13*ORÇAMENTO!$AF$7)*OFFSET(ORÇAMENTO!$W$15,ROW(AO33)-ROW(AO$15),0),15-13*ORÇAMENTO!$AF$11)),
         0)</f>
        <v>0</v>
      </c>
      <c r="AP33" s="452">
        <f ca="1">IF(AND($D33="Serviço",AP$12&lt;&gt;0,$H33&gt;0,OR(AUTOEVENTO&lt;&gt;"manual",$M33&lt;&gt;$A$15)),
        IF(Import.TipoArredondamento&lt;&gt;"TransfereGOV",
              ROUND(OFFSET($P33,0,AP$13),15-13*ORÇAMENTO!$AF$7)/$H33*OFFSET(ORÇAMENTO!$X$15,ROW(AP33)-ROW(AP$15),0),
              ROUND(ROUND(OFFSET($P33,0,AP$13),15-13*ORÇAMENTO!$AF$7)*OFFSET(ORÇAMENTO!$W$15,ROW(AP33)-ROW(AP$15),0),15-13*ORÇAMENTO!$AF$11)),
         0)</f>
        <v>0</v>
      </c>
      <c r="AQ33" s="452">
        <f ca="1">IF(AND($D33="Serviço",AQ$12&lt;&gt;0,$H33&gt;0,OR(AUTOEVENTO&lt;&gt;"manual",$M33&lt;&gt;$A$15)),
        IF(Import.TipoArredondamento&lt;&gt;"TransfereGOV",
              ROUND(OFFSET($P33,0,AQ$13),15-13*ORÇAMENTO!$AF$7)/$H33*OFFSET(ORÇAMENTO!$X$15,ROW(AQ33)-ROW(AQ$15),0),
              ROUND(ROUND(OFFSET($P33,0,AQ$13),15-13*ORÇAMENTO!$AF$7)*OFFSET(ORÇAMENTO!$W$15,ROW(AQ33)-ROW(AQ$15),0),15-13*ORÇAMENTO!$AF$11)),
         0)</f>
        <v>0</v>
      </c>
      <c r="AR33" s="452">
        <f ca="1">IF(AND($D33="Serviço",AR$12&lt;&gt;0,$H33&gt;0,OR(AUTOEVENTO&lt;&gt;"manual",$M33&lt;&gt;$A$15)),
        IF(Import.TipoArredondamento&lt;&gt;"TransfereGOV",
              ROUND(OFFSET($P33,0,AR$13),15-13*ORÇAMENTO!$AF$7)/$H33*OFFSET(ORÇAMENTO!$X$15,ROW(AR33)-ROW(AR$15),0),
              ROUND(ROUND(OFFSET($P33,0,AR$13),15-13*ORÇAMENTO!$AF$7)*OFFSET(ORÇAMENTO!$W$15,ROW(AR33)-ROW(AR$15),0),15-13*ORÇAMENTO!$AF$11)),
         0)</f>
        <v>0</v>
      </c>
      <c r="AS33" s="452">
        <f ca="1">IF(AND($D33="Serviço",AS$12&lt;&gt;0,$H33&gt;0,OR(AUTOEVENTO&lt;&gt;"manual",$M33&lt;&gt;$A$15)),
        IF(Import.TipoArredondamento&lt;&gt;"TransfereGOV",
              ROUND(OFFSET($P33,0,AS$13),15-13*ORÇAMENTO!$AF$7)/$H33*OFFSET(ORÇAMENTO!$X$15,ROW(AS33)-ROW(AS$15),0),
              ROUND(ROUND(OFFSET($P33,0,AS$13),15-13*ORÇAMENTO!$AF$7)*OFFSET(ORÇAMENTO!$W$15,ROW(AS33)-ROW(AS$15),0),15-13*ORÇAMENTO!$AF$11)),
         0)</f>
        <v>0</v>
      </c>
      <c r="AT33" s="452">
        <f ca="1">IF(AND($D33="Serviço",AT$12&lt;&gt;0,$H33&gt;0,OR(AUTOEVENTO&lt;&gt;"manual",$M33&lt;&gt;$A$15)),
        IF(Import.TipoArredondamento&lt;&gt;"TransfereGOV",
              ROUND(OFFSET($P33,0,AT$13),15-13*ORÇAMENTO!$AF$7)/$H33*OFFSET(ORÇAMENTO!$X$15,ROW(AT33)-ROW(AT$15),0),
              ROUND(ROUND(OFFSET($P33,0,AT$13),15-13*ORÇAMENTO!$AF$7)*OFFSET(ORÇAMENTO!$W$15,ROW(AT33)-ROW(AT$15),0),15-13*ORÇAMENTO!$AF$11)),
         0)</f>
        <v>0</v>
      </c>
      <c r="AU33" s="452">
        <f ca="1">IF(AND($D33="Serviço",AU$12&lt;&gt;0,$H33&gt;0,OR(AUTOEVENTO&lt;&gt;"manual",$M33&lt;&gt;$A$15)),
        IF(Import.TipoArredondamento&lt;&gt;"TransfereGOV",
              ROUND(OFFSET($P33,0,AU$13),15-13*ORÇAMENTO!$AF$7)/$H33*OFFSET(ORÇAMENTO!$X$15,ROW(AU33)-ROW(AU$15),0),
              ROUND(ROUND(OFFSET($P33,0,AU$13),15-13*ORÇAMENTO!$AF$7)*OFFSET(ORÇAMENTO!$W$15,ROW(AU33)-ROW(AU$15),0),15-13*ORÇAMENTO!$AF$11)),
         0)</f>
        <v>0</v>
      </c>
      <c r="AV33" s="452">
        <f ca="1">IF(AND($D33="Serviço",AV$12&lt;&gt;0,$H33&gt;0,OR(AUTOEVENTO&lt;&gt;"manual",$M33&lt;&gt;$A$15)),
        IF(Import.TipoArredondamento&lt;&gt;"TransfereGOV",
              ROUND(OFFSET($P33,0,AV$13),15-13*ORÇAMENTO!$AF$7)/$H33*OFFSET(ORÇAMENTO!$X$15,ROW(AV33)-ROW(AV$15),0),
              ROUND(ROUND(OFFSET($P33,0,AV$13),15-13*ORÇAMENTO!$AF$7)*OFFSET(ORÇAMENTO!$W$15,ROW(AV33)-ROW(AV$15),0),15-13*ORÇAMENTO!$AF$11)),
         0)</f>
        <v>0</v>
      </c>
      <c r="AW33" s="452">
        <f ca="1">IF(AND($D33="Serviço",AW$12&lt;&gt;0,$H33&gt;0,OR(AUTOEVENTO&lt;&gt;"manual",$M33&lt;&gt;$A$15)),
        IF(Import.TipoArredondamento&lt;&gt;"TransfereGOV",
              ROUND(OFFSET($P33,0,AW$13),15-13*ORÇAMENTO!$AF$7)/$H33*OFFSET(ORÇAMENTO!$X$15,ROW(AW33)-ROW(AW$15),0),
              ROUND(ROUND(OFFSET($P33,0,AW$13),15-13*ORÇAMENTO!$AF$7)*OFFSET(ORÇAMENTO!$W$15,ROW(AW33)-ROW(AW$15),0),15-13*ORÇAMENTO!$AF$11)),
         0)</f>
        <v>0</v>
      </c>
      <c r="AX33" s="452">
        <f ca="1">IF(AND($D33="Serviço",AX$12&lt;&gt;0,$H33&gt;0,OR(AUTOEVENTO&lt;&gt;"manual",$M33&lt;&gt;$A$15)),
        IF(Import.TipoArredondamento&lt;&gt;"TransfereGOV",
              ROUND(OFFSET($P33,0,AX$13),15-13*ORÇAMENTO!$AF$7)/$H33*OFFSET(ORÇAMENTO!$X$15,ROW(AX33)-ROW(AX$15),0),
              ROUND(ROUND(OFFSET($P33,0,AX$13),15-13*ORÇAMENTO!$AF$7)*OFFSET(ORÇAMENTO!$W$15,ROW(AX33)-ROW(AX$15),0),15-13*ORÇAMENTO!$AF$11)),
         0)</f>
        <v>0</v>
      </c>
      <c r="AY33" s="452">
        <f ca="1">IF(AND($D33="Serviço",AY$12&lt;&gt;0,$H33&gt;0,OR(AUTOEVENTO&lt;&gt;"manual",$M33&lt;&gt;$A$15)),
        IF(Import.TipoArredondamento&lt;&gt;"TransfereGOV",
              ROUND(OFFSET($P33,0,AY$13),15-13*ORÇAMENTO!$AF$7)/$H33*OFFSET(ORÇAMENTO!$X$15,ROW(AY33)-ROW(AY$15),0),
              ROUND(ROUND(OFFSET($P33,0,AY$13),15-13*ORÇAMENTO!$AF$7)*OFFSET(ORÇAMENTO!$W$15,ROW(AY33)-ROW(AY$15),0),15-13*ORÇAMENTO!$AF$11)),
         0)</f>
        <v>0</v>
      </c>
      <c r="AZ33" s="452">
        <f ca="1">IF(AND($D33="Serviço",AZ$12&lt;&gt;0,$H33&gt;0,OR(AUTOEVENTO&lt;&gt;"manual",$M33&lt;&gt;$A$15)),
        IF(Import.TipoArredondamento&lt;&gt;"TransfereGOV",
              ROUND(OFFSET($P33,0,AZ$13),15-13*ORÇAMENTO!$AF$7)/$H33*OFFSET(ORÇAMENTO!$X$15,ROW(AZ33)-ROW(AZ$15),0),
              ROUND(ROUND(OFFSET($P33,0,AZ$13),15-13*ORÇAMENTO!$AF$7)*OFFSET(ORÇAMENTO!$W$15,ROW(AZ33)-ROW(AZ$15),0),15-13*ORÇAMENTO!$AF$11)),
         0)</f>
        <v>0</v>
      </c>
      <c r="BA33" s="452">
        <f ca="1">IF(AND($D33="Serviço",BA$12&lt;&gt;0,$H33&gt;0,OR(AUTOEVENTO&lt;&gt;"manual",$M33&lt;&gt;$A$15)),
        IF(Import.TipoArredondamento&lt;&gt;"TransfereGOV",
              ROUND(OFFSET($P33,0,BA$13),15-13*ORÇAMENTO!$AF$7)/$H33*OFFSET(ORÇAMENTO!$X$15,ROW(BA33)-ROW(BA$15),0),
              ROUND(ROUND(OFFSET($P33,0,BA$13),15-13*ORÇAMENTO!$AF$7)*OFFSET(ORÇAMENTO!$W$15,ROW(BA33)-ROW(BA$15),0),15-13*ORÇAMENTO!$AF$11)),
         0)</f>
        <v>0</v>
      </c>
      <c r="BC33" s="171">
        <f ca="1">IF(OR($D33&lt;&gt;"Serviço",AND(AUTOEVENTO="Manual",$M33=$A$15)),0,
         IF(OFFSET(CRONOPLE!$F$15,$M33-$A$15,BC$13)=0,10^12,OFFSET(CRONOPLE!$F$15,$M33-$A$15,BC$13)))</f>
        <v>2</v>
      </c>
      <c r="BD33" s="171">
        <f ca="1">IF(OR($D33&lt;&gt;"Serviço",AND(AUTOEVENTO="Manual",$M33=$A$15)),0,
         IF(OFFSET(CRONOPLE!$F$15,$M33-$A$15,BD$13)=0,10^12,OFFSET(CRONOPLE!$F$15,$M33-$A$15,BD$13)))</f>
        <v>2</v>
      </c>
      <c r="BE33" s="171">
        <f ca="1">IF(OR($D33&lt;&gt;"Serviço",AND(AUTOEVENTO="Manual",$M33=$A$15)),0,
         IF(OFFSET(CRONOPLE!$F$15,$M33-$A$15,BE$13)=0,10^12,OFFSET(CRONOPLE!$F$15,$M33-$A$15,BE$13)))</f>
        <v>3</v>
      </c>
      <c r="BF33" s="171">
        <f ca="1">IF(OR($D33&lt;&gt;"Serviço",AND(AUTOEVENTO="Manual",$M33=$A$15)),0,
         IF(OFFSET(CRONOPLE!$F$15,$M33-$A$15,BF$13)=0,10^12,OFFSET(CRONOPLE!$F$15,$M33-$A$15,BF$13)))</f>
        <v>3</v>
      </c>
      <c r="BG33" s="171">
        <f ca="1">IF(OR($D33&lt;&gt;"Serviço",AND(AUTOEVENTO="Manual",$M33=$A$15)),0,
         IF(OFFSET(CRONOPLE!$F$15,$M33-$A$15,BG$13)=0,10^12,OFFSET(CRONOPLE!$F$15,$M33-$A$15,BG$13)))</f>
        <v>3</v>
      </c>
      <c r="BH33" s="171">
        <f ca="1">IF(OR($D33&lt;&gt;"Serviço",AND(AUTOEVENTO="Manual",$M33=$A$15)),0,
         IF(OFFSET(CRONOPLE!$F$15,$M33-$A$15,BH$13)=0,10^12,OFFSET(CRONOPLE!$F$15,$M33-$A$15,BH$13)))</f>
        <v>1000000000000</v>
      </c>
      <c r="BI33" s="171">
        <f ca="1">IF(OR($D33&lt;&gt;"Serviço",AND(AUTOEVENTO="Manual",$M33=$A$15)),0,
         IF(OFFSET(CRONOPLE!$F$15,$M33-$A$15,BI$13)=0,10^12,OFFSET(CRONOPLE!$F$15,$M33-$A$15,BI$13)))</f>
        <v>1000000000000</v>
      </c>
      <c r="BJ33" s="171">
        <f ca="1">IF(OR($D33&lt;&gt;"Serviço",AND(AUTOEVENTO="Manual",$M33=$A$15)),0,
         IF(OFFSET(CRONOPLE!$F$15,$M33-$A$15,BJ$13)=0,10^12,OFFSET(CRONOPLE!$F$15,$M33-$A$15,BJ$13)))</f>
        <v>1000000000000</v>
      </c>
      <c r="BK33" s="171">
        <f ca="1">IF(OR($D33&lt;&gt;"Serviço",AND(AUTOEVENTO="Manual",$M33=$A$15)),0,
         IF(OFFSET(CRONOPLE!$F$15,$M33-$A$15,BK$13)=0,10^12,OFFSET(CRONOPLE!$F$15,$M33-$A$15,BK$13)))</f>
        <v>1000000000000</v>
      </c>
      <c r="BL33" s="171">
        <f ca="1">IF(OR($D33&lt;&gt;"Serviço",AND(AUTOEVENTO="Manual",$M33=$A$15)),0,
         IF(OFFSET(CRONOPLE!$F$15,$M33-$A$15,BL$13)=0,10^12,OFFSET(CRONOPLE!$F$15,$M33-$A$15,BL$13)))</f>
        <v>1000000000000</v>
      </c>
      <c r="BM33" s="171">
        <f ca="1">IF(OR($D33&lt;&gt;"Serviço",AND(AUTOEVENTO="Manual",$M33=$A$15)),0,
         IF(OFFSET(CRONOPLE!$F$15,$M33-$A$15,BM$13)=0,10^12,OFFSET(CRONOPLE!$F$15,$M33-$A$15,BM$13)))</f>
        <v>1000000000000</v>
      </c>
      <c r="BN33" s="171">
        <f ca="1">IF(OR($D33&lt;&gt;"Serviço",AND(AUTOEVENTO="Manual",$M33=$A$15)),0,
         IF(OFFSET(CRONOPLE!$F$15,$M33-$A$15,BN$13)=0,10^12,OFFSET(CRONOPLE!$F$15,$M33-$A$15,BN$13)))</f>
        <v>1000000000000</v>
      </c>
      <c r="BO33" s="171">
        <f ca="1">IF(OR($D33&lt;&gt;"Serviço",AND(AUTOEVENTO="Manual",$M33=$A$15)),0,
         IF(OFFSET(CRONOPLE!$F$15,$M33-$A$15,BO$13)=0,10^12,OFFSET(CRONOPLE!$F$15,$M33-$A$15,BO$13)))</f>
        <v>1000000000000</v>
      </c>
      <c r="BP33" s="171">
        <f ca="1">IF(OR($D33&lt;&gt;"Serviço",AND(AUTOEVENTO="Manual",$M33=$A$15)),0,
         IF(OFFSET(CRONOPLE!$F$15,$M33-$A$15,BP$13)=0,10^12,OFFSET(CRONOPLE!$F$15,$M33-$A$15,BP$13)))</f>
        <v>1000000000000</v>
      </c>
      <c r="BQ33" s="171">
        <f ca="1">IF(OR($D33&lt;&gt;"Serviço",AND(AUTOEVENTO="Manual",$M33=$A$15)),0,
         IF(OFFSET(CRONOPLE!$F$15,$M33-$A$15,BQ$13)=0,10^12,OFFSET(CRONOPLE!$F$15,$M33-$A$15,BQ$13)))</f>
        <v>1000000000000</v>
      </c>
      <c r="BR33" s="171">
        <f ca="1">IF(OR($D33&lt;&gt;"Serviço",AND(AUTOEVENTO="Manual",$M33=$A$15)),0,
         IF(OFFSET(CRONOPLE!$F$15,$M33-$A$15,BR$13)=0,10^12,OFFSET(CRONOPLE!$F$15,$M33-$A$15,BR$13)))</f>
        <v>1000000000000</v>
      </c>
      <c r="BS33" s="171">
        <f ca="1">IF(OR($D33&lt;&gt;"Serviço",AND(AUTOEVENTO="Manual",$M33=$A$15)),0,
         IF(OFFSET(CRONOPLE!$F$15,$M33-$A$15,BS$13)=0,10^12,OFFSET(CRONOPLE!$F$15,$M33-$A$15,BS$13)))</f>
        <v>1000000000000</v>
      </c>
      <c r="BT33" s="171">
        <f ca="1">IF(OR($D33&lt;&gt;"Serviço",AND(AUTOEVENTO="Manual",$M33=$A$15)),0,
         IF(OFFSET(CRONOPLE!$F$15,$M33-$A$15,BT$13)=0,10^12,OFFSET(CRONOPLE!$F$15,$M33-$A$15,BT$13)))</f>
        <v>1000000000000</v>
      </c>
      <c r="BV33" s="172">
        <f t="array" aca="1" ref="BV33" ca="1">IF(OR($D33&lt;&gt;"Serviço",AND(AUTOEVENTO="Manual",$M33=$A$15),$M33&gt;(ROW(PLE.lastrow)-ROW(PLE.firstrow))),0,
           IF(OFFSET(PLE!$G$15,$M33-$A$15,BV$13)="",10^12,OFFSET(PLE!$G$15,$M33-$A$15,BV$13)))</f>
        <v>1000000000000</v>
      </c>
      <c r="BW33" s="172">
        <f t="array" aca="1" ref="BW33" ca="1">IF(OR($D33&lt;&gt;"Serviço",AND(AUTOEVENTO="Manual",$M33=$A$15),$M33&gt;(ROW(PLE.lastrow)-ROW(PLE.firstrow))),0,
           IF(OFFSET(PLE!$G$15,$M33-$A$15,BW$13)="",10^12,OFFSET(PLE!$G$15,$M33-$A$15,BW$13)))</f>
        <v>1000000000000</v>
      </c>
      <c r="BX33" s="172">
        <f t="array" aca="1" ref="BX33" ca="1">IF(OR($D33&lt;&gt;"Serviço",AND(AUTOEVENTO="Manual",$M33=$A$15),$M33&gt;(ROW(PLE.lastrow)-ROW(PLE.firstrow))),0,
           IF(OFFSET(PLE!$G$15,$M33-$A$15,BX$13)="",10^12,OFFSET(PLE!$G$15,$M33-$A$15,BX$13)))</f>
        <v>1000000000000</v>
      </c>
      <c r="BY33" s="172">
        <f t="array" aca="1" ref="BY33" ca="1">IF(OR($D33&lt;&gt;"Serviço",AND(AUTOEVENTO="Manual",$M33=$A$15),$M33&gt;(ROW(PLE.lastrow)-ROW(PLE.firstrow))),0,
           IF(OFFSET(PLE!$G$15,$M33-$A$15,BY$13)="",10^12,OFFSET(PLE!$G$15,$M33-$A$15,BY$13)))</f>
        <v>1000000000000</v>
      </c>
      <c r="BZ33" s="172">
        <f t="array" aca="1" ref="BZ33" ca="1">IF(OR($D33&lt;&gt;"Serviço",AND(AUTOEVENTO="Manual",$M33=$A$15),$M33&gt;(ROW(PLE.lastrow)-ROW(PLE.firstrow))),0,
           IF(OFFSET(PLE!$G$15,$M33-$A$15,BZ$13)="",10^12,OFFSET(PLE!$G$15,$M33-$A$15,BZ$13)))</f>
        <v>1000000000000</v>
      </c>
      <c r="CA33" s="172">
        <f t="array" aca="1" ref="CA33" ca="1">IF(OR($D33&lt;&gt;"Serviço",AND(AUTOEVENTO="Manual",$M33=$A$15),$M33&gt;(ROW(PLE.lastrow)-ROW(PLE.firstrow))),0,
           IF(OFFSET(PLE!$G$15,$M33-$A$15,CA$13)="",10^12,OFFSET(PLE!$G$15,$M33-$A$15,CA$13)))</f>
        <v>1000000000000</v>
      </c>
      <c r="CB33" s="172">
        <f t="array" aca="1" ref="CB33" ca="1">IF(OR($D33&lt;&gt;"Serviço",AND(AUTOEVENTO="Manual",$M33=$A$15),$M33&gt;(ROW(PLE.lastrow)-ROW(PLE.firstrow))),0,
           IF(OFFSET(PLE!$G$15,$M33-$A$15,CB$13)="",10^12,OFFSET(PLE!$G$15,$M33-$A$15,CB$13)))</f>
        <v>1000000000000</v>
      </c>
      <c r="CC33" s="172">
        <f t="array" aca="1" ref="CC33" ca="1">IF(OR($D33&lt;&gt;"Serviço",AND(AUTOEVENTO="Manual",$M33=$A$15),$M33&gt;(ROW(PLE.lastrow)-ROW(PLE.firstrow))),0,
           IF(OFFSET(PLE!$G$15,$M33-$A$15,CC$13)="",10^12,OFFSET(PLE!$G$15,$M33-$A$15,CC$13)))</f>
        <v>1000000000000</v>
      </c>
      <c r="CD33" s="172">
        <f t="array" aca="1" ref="CD33" ca="1">IF(OR($D33&lt;&gt;"Serviço",AND(AUTOEVENTO="Manual",$M33=$A$15),$M33&gt;(ROW(PLE.lastrow)-ROW(PLE.firstrow))),0,
           IF(OFFSET(PLE!$G$15,$M33-$A$15,CD$13)="",10^12,OFFSET(PLE!$G$15,$M33-$A$15,CD$13)))</f>
        <v>1000000000000</v>
      </c>
      <c r="CE33" s="172">
        <f t="array" aca="1" ref="CE33" ca="1">IF(OR($D33&lt;&gt;"Serviço",AND(AUTOEVENTO="Manual",$M33=$A$15),$M33&gt;(ROW(PLE.lastrow)-ROW(PLE.firstrow))),0,
           IF(OFFSET(PLE!$G$15,$M33-$A$15,CE$13)="",10^12,OFFSET(PLE!$G$15,$M33-$A$15,CE$13)))</f>
        <v>1000000000000</v>
      </c>
      <c r="CF33" s="172">
        <f t="array" aca="1" ref="CF33" ca="1">IF(OR($D33&lt;&gt;"Serviço",AND(AUTOEVENTO="Manual",$M33=$A$15),$M33&gt;(ROW(PLE.lastrow)-ROW(PLE.firstrow))),0,
           IF(OFFSET(PLE!$G$15,$M33-$A$15,CF$13)="",10^12,OFFSET(PLE!$G$15,$M33-$A$15,CF$13)))</f>
        <v>1000000000000</v>
      </c>
      <c r="CG33" s="172">
        <f t="array" aca="1" ref="CG33" ca="1">IF(OR($D33&lt;&gt;"Serviço",AND(AUTOEVENTO="Manual",$M33=$A$15),$M33&gt;(ROW(PLE.lastrow)-ROW(PLE.firstrow))),0,
           IF(OFFSET(PLE!$G$15,$M33-$A$15,CG$13)="",10^12,OFFSET(PLE!$G$15,$M33-$A$15,CG$13)))</f>
        <v>1000000000000</v>
      </c>
      <c r="CH33" s="172">
        <f t="array" aca="1" ref="CH33" ca="1">IF(OR($D33&lt;&gt;"Serviço",AND(AUTOEVENTO="Manual",$M33=$A$15),$M33&gt;(ROW(PLE.lastrow)-ROW(PLE.firstrow))),0,
           IF(OFFSET(PLE!$G$15,$M33-$A$15,CH$13)="",10^12,OFFSET(PLE!$G$15,$M33-$A$15,CH$13)))</f>
        <v>1000000000000</v>
      </c>
      <c r="CI33" s="172">
        <f t="array" aca="1" ref="CI33" ca="1">IF(OR($D33&lt;&gt;"Serviço",AND(AUTOEVENTO="Manual",$M33=$A$15),$M33&gt;(ROW(PLE.lastrow)-ROW(PLE.firstrow))),0,
           IF(OFFSET(PLE!$G$15,$M33-$A$15,CI$13)="",10^12,OFFSET(PLE!$G$15,$M33-$A$15,CI$13)))</f>
        <v>1000000000000</v>
      </c>
      <c r="CJ33" s="172">
        <f t="array" aca="1" ref="CJ33" ca="1">IF(OR($D33&lt;&gt;"Serviço",AND(AUTOEVENTO="Manual",$M33=$A$15),$M33&gt;(ROW(PLE.lastrow)-ROW(PLE.firstrow))),0,
           IF(OFFSET(PLE!$G$15,$M33-$A$15,CJ$13)="",10^12,OFFSET(PLE!$G$15,$M33-$A$15,CJ$13)))</f>
        <v>1000000000000</v>
      </c>
      <c r="CK33" s="172">
        <f t="array" aca="1" ref="CK33" ca="1">IF(OR($D33&lt;&gt;"Serviço",AND(AUTOEVENTO="Manual",$M33=$A$15),$M33&gt;(ROW(PLE.lastrow)-ROW(PLE.firstrow))),0,
           IF(OFFSET(PLE!$G$15,$M33-$A$15,CK$13)="",10^12,OFFSET(PLE!$G$15,$M33-$A$15,CK$13)))</f>
        <v>1000000000000</v>
      </c>
      <c r="CL33" s="172">
        <f t="array" aca="1" ref="CL33" ca="1">IF(OR($D33&lt;&gt;"Serviço",AND(AUTOEVENTO="Manual",$M33=$A$15),$M33&gt;(ROW(PLE.lastrow)-ROW(PLE.firstrow))),0,
           IF(OFFSET(PLE!$G$15,$M33-$A$15,CL$13)="",10^12,OFFSET(PLE!$G$15,$M33-$A$15,CL$13)))</f>
        <v>1000000000000</v>
      </c>
      <c r="CM33" s="172">
        <f t="array" aca="1" ref="CM33" ca="1">IF(OR($D33&lt;&gt;"Serviço",AND(AUTOEVENTO="Manual",$M33=$A$15),$M33&gt;(ROW(PLE.lastrow)-ROW(PLE.firstrow))),0,
           IF(OFFSET(PLE!$G$15,$M33-$A$15,CM$13)="",10^12,OFFSET(PLE!$G$15,$M33-$A$15,CM$13)))</f>
        <v>1000000000000</v>
      </c>
    </row>
    <row r="34" spans="1:91" s="696" customFormat="1" ht="51" x14ac:dyDescent="0.2">
      <c r="A34" s="694">
        <f t="shared" ca="1" si="10"/>
        <v>4</v>
      </c>
      <c r="B34" s="694" t="str">
        <f ca="1">OFFSET(ORÇAMENTO!C$15,$L34,0)</f>
        <v>S</v>
      </c>
      <c r="C34" s="694" t="str">
        <f ca="1">OFFSET(ORÇAMENTO!L$15,$L34,0)</f>
        <v>F</v>
      </c>
      <c r="D34" s="116" t="str">
        <f ca="1">OFFSET(ORÇAMENTO!N$15,$L34,0)</f>
        <v>Serviço</v>
      </c>
      <c r="E34" s="117" t="str">
        <f ca="1">OFFSET(ORÇAMENTO!O$15,$L34,0)</f>
        <v>1.4.3.</v>
      </c>
      <c r="F34" s="163" t="str">
        <f ca="1">OFFSET(ORÇAMENTO!R$15,$L34,0)</f>
        <v>PREPARO DE FUNDO DE VALA COM LARGURA MENOR QUE 1,5 M (ACERTO DO SOLO NATURAL). AF_08/2020</v>
      </c>
      <c r="G34" s="164" t="str">
        <f ca="1">IF($D34&lt;&gt;"Serviço","",OFFSET(ORÇAMENTO!S$15,$L34,0))</f>
        <v>M2</v>
      </c>
      <c r="H34" s="122">
        <f t="array" aca="1" ref="H34" ca="1">IF($D34&lt;&gt;"Serviço",0,IF(ACOMPANHAMENTO="BM",ROUND(OFFSET(ORÇAMENTO!AJ$15,$L34,0),15-13*ORÇAMENTO!$AF$7),IF(IFERROR(CÁLCULO.FrentesPreenchidas,0)=0,0,SUM(ROUND(OFFSET($P34,0,1,1,CÁLCULO.FrentesPreenchidas),15-13*ORÇAMENTO!$AF$7)))))</f>
        <v>93.6</v>
      </c>
      <c r="I34" s="467" t="s">
        <v>1218</v>
      </c>
      <c r="J34" s="653" t="str">
        <f t="array" aca="1" ref="J34" ca="1">IF(OR(B34&lt;&gt;"S",CÁLCULO.FrentesPreenchidas=0),"",IF(AND(ACOMPANHAMENTO="PLE",AUTOEVENTO="Manual",OR(H34&gt;0,ORÇAMENTO!AC34="QUANT."),OR(K34="",M34=0,N34="")),"►E",IF(AND(ACOMPANHAMENTO="PLE",ORÇAMENTO!AC34="QUANT."),"►Q",IF(AND(ACOMPANHAMENTO="PLE",H34&lt;&gt;SUMPRODUCT(($Q$1:$AI$1=1)*ROUND(Q34:AI34,15))),"►S",IF(AND(COUNTIF($P$11:$AI$11,"▼")=0,H34&gt;0,I34=""),"◄M","")))))</f>
        <v/>
      </c>
      <c r="K34" s="654" t="s">
        <v>1383</v>
      </c>
      <c r="L34" s="165">
        <f t="shared" ca="1" si="11"/>
        <v>19</v>
      </c>
      <c r="M34" s="166">
        <f ca="1">IF($D34&lt;&gt;"Serviço","",
          IF(AUTOEVENTO="manual",$A34,
                IF(ISERROR(MATCH($A34,$A$15:OFFSET($A34,-1,0),0)),MAX($M$15:OFFSET(M34,-1,0))+1,
                      INDEX($M$15:OFFSET(M34,-1,0),MATCH($A34,$A$15:OFFSET($A34,-1,0),0)))))</f>
        <v>4</v>
      </c>
      <c r="N34" s="167" t="str">
        <f ca="1">IF($D34&lt;&gt;"Serviço","",
         IF(AUTOEVENTO="Manual",
                IF($A34=0,"&lt;-- defina o número do agrupador",
                       OFFSET(EVENTOS!$D$15,$A34-$A$15,0)),
                OFFSET($F$15,$A34,0)))</f>
        <v>SAPATAS (LOCAÇÃO,ESCAVAÇÕES, FORMAS, AÇO, CONCRETAGEM)</v>
      </c>
      <c r="O34" s="168"/>
      <c r="Q34" s="169">
        <f>4.68*5</f>
        <v>23.4</v>
      </c>
      <c r="R34" s="169">
        <f t="shared" ref="R34:T35" si="13">4.68*5</f>
        <v>23.4</v>
      </c>
      <c r="S34" s="169">
        <f t="shared" si="13"/>
        <v>23.4</v>
      </c>
      <c r="T34" s="169">
        <f t="shared" si="13"/>
        <v>23.4</v>
      </c>
      <c r="U34" s="169"/>
      <c r="V34" s="169"/>
      <c r="W34" s="169"/>
      <c r="X34" s="169"/>
      <c r="Y34" s="169"/>
      <c r="Z34" s="170"/>
      <c r="AA34" s="169"/>
      <c r="AB34" s="169"/>
      <c r="AC34" s="169"/>
      <c r="AD34" s="169"/>
      <c r="AE34" s="169"/>
      <c r="AF34" s="169"/>
      <c r="AG34" s="169"/>
      <c r="AH34" s="170"/>
      <c r="AJ34" s="452">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183.22</v>
      </c>
      <c r="AK34" s="452">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183.22</v>
      </c>
      <c r="AL34" s="452">
        <f ca="1">IF(AND($D34="Serviço",AL$12&lt;&gt;0,$H34&gt;0,OR(AUTOEVENTO&lt;&gt;"manual",$M34&lt;&gt;$A$15)),
        IF(Import.TipoArredondamento&lt;&gt;"TransfereGOV",
              ROUND(OFFSET($P34,0,AL$13),15-13*ORÇAMENTO!$AF$7)/$H34*OFFSET(ORÇAMENTO!$X$15,ROW(AL34)-ROW(AL$15),0),
              ROUND(ROUND(OFFSET($P34,0,AL$13),15-13*ORÇAMENTO!$AF$7)*OFFSET(ORÇAMENTO!$W$15,ROW(AL34)-ROW(AL$15),0),15-13*ORÇAMENTO!$AF$11)),
         0)</f>
        <v>183.22</v>
      </c>
      <c r="AM34" s="452">
        <f ca="1">IF(AND($D34="Serviço",AM$12&lt;&gt;0,$H34&gt;0,OR(AUTOEVENTO&lt;&gt;"manual",$M34&lt;&gt;$A$15)),
        IF(Import.TipoArredondamento&lt;&gt;"TransfereGOV",
              ROUND(OFFSET($P34,0,AM$13),15-13*ORÇAMENTO!$AF$7)/$H34*OFFSET(ORÇAMENTO!$X$15,ROW(AM34)-ROW(AM$15),0),
              ROUND(ROUND(OFFSET($P34,0,AM$13),15-13*ORÇAMENTO!$AF$7)*OFFSET(ORÇAMENTO!$W$15,ROW(AM34)-ROW(AM$15),0),15-13*ORÇAMENTO!$AF$11)),
         0)</f>
        <v>183.22</v>
      </c>
      <c r="AN34" s="452">
        <f ca="1">IF(AND($D34="Serviço",AN$12&lt;&gt;0,$H34&gt;0,OR(AUTOEVENTO&lt;&gt;"manual",$M34&lt;&gt;$A$15)),
        IF(Import.TipoArredondamento&lt;&gt;"TransfereGOV",
              ROUND(OFFSET($P34,0,AN$13),15-13*ORÇAMENTO!$AF$7)/$H34*OFFSET(ORÇAMENTO!$X$15,ROW(AN34)-ROW(AN$15),0),
              ROUND(ROUND(OFFSET($P34,0,AN$13),15-13*ORÇAMENTO!$AF$7)*OFFSET(ORÇAMENTO!$W$15,ROW(AN34)-ROW(AN$15),0),15-13*ORÇAMENTO!$AF$11)),
         0)</f>
        <v>0</v>
      </c>
      <c r="AO34" s="452">
        <f ca="1">IF(AND($D34="Serviço",AO$12&lt;&gt;0,$H34&gt;0,OR(AUTOEVENTO&lt;&gt;"manual",$M34&lt;&gt;$A$15)),
        IF(Import.TipoArredondamento&lt;&gt;"TransfereGOV",
              ROUND(OFFSET($P34,0,AO$13),15-13*ORÇAMENTO!$AF$7)/$H34*OFFSET(ORÇAMENTO!$X$15,ROW(AO34)-ROW(AO$15),0),
              ROUND(ROUND(OFFSET($P34,0,AO$13),15-13*ORÇAMENTO!$AF$7)*OFFSET(ORÇAMENTO!$W$15,ROW(AO34)-ROW(AO$15),0),15-13*ORÇAMENTO!$AF$11)),
         0)</f>
        <v>0</v>
      </c>
      <c r="AP34" s="452">
        <f ca="1">IF(AND($D34="Serviço",AP$12&lt;&gt;0,$H34&gt;0,OR(AUTOEVENTO&lt;&gt;"manual",$M34&lt;&gt;$A$15)),
        IF(Import.TipoArredondamento&lt;&gt;"TransfereGOV",
              ROUND(OFFSET($P34,0,AP$13),15-13*ORÇAMENTO!$AF$7)/$H34*OFFSET(ORÇAMENTO!$X$15,ROW(AP34)-ROW(AP$15),0),
              ROUND(ROUND(OFFSET($P34,0,AP$13),15-13*ORÇAMENTO!$AF$7)*OFFSET(ORÇAMENTO!$W$15,ROW(AP34)-ROW(AP$15),0),15-13*ORÇAMENTO!$AF$11)),
         0)</f>
        <v>0</v>
      </c>
      <c r="AQ34" s="452">
        <f ca="1">IF(AND($D34="Serviço",AQ$12&lt;&gt;0,$H34&gt;0,OR(AUTOEVENTO&lt;&gt;"manual",$M34&lt;&gt;$A$15)),
        IF(Import.TipoArredondamento&lt;&gt;"TransfereGOV",
              ROUND(OFFSET($P34,0,AQ$13),15-13*ORÇAMENTO!$AF$7)/$H34*OFFSET(ORÇAMENTO!$X$15,ROW(AQ34)-ROW(AQ$15),0),
              ROUND(ROUND(OFFSET($P34,0,AQ$13),15-13*ORÇAMENTO!$AF$7)*OFFSET(ORÇAMENTO!$W$15,ROW(AQ34)-ROW(AQ$15),0),15-13*ORÇAMENTO!$AF$11)),
         0)</f>
        <v>0</v>
      </c>
      <c r="AR34" s="452">
        <f ca="1">IF(AND($D34="Serviço",AR$12&lt;&gt;0,$H34&gt;0,OR(AUTOEVENTO&lt;&gt;"manual",$M34&lt;&gt;$A$15)),
        IF(Import.TipoArredondamento&lt;&gt;"TransfereGOV",
              ROUND(OFFSET($P34,0,AR$13),15-13*ORÇAMENTO!$AF$7)/$H34*OFFSET(ORÇAMENTO!$X$15,ROW(AR34)-ROW(AR$15),0),
              ROUND(ROUND(OFFSET($P34,0,AR$13),15-13*ORÇAMENTO!$AF$7)*OFFSET(ORÇAMENTO!$W$15,ROW(AR34)-ROW(AR$15),0),15-13*ORÇAMENTO!$AF$11)),
         0)</f>
        <v>0</v>
      </c>
      <c r="AS34" s="452">
        <f ca="1">IF(AND($D34="Serviço",AS$12&lt;&gt;0,$H34&gt;0,OR(AUTOEVENTO&lt;&gt;"manual",$M34&lt;&gt;$A$15)),
        IF(Import.TipoArredondamento&lt;&gt;"TransfereGOV",
              ROUND(OFFSET($P34,0,AS$13),15-13*ORÇAMENTO!$AF$7)/$H34*OFFSET(ORÇAMENTO!$X$15,ROW(AS34)-ROW(AS$15),0),
              ROUND(ROUND(OFFSET($P34,0,AS$13),15-13*ORÇAMENTO!$AF$7)*OFFSET(ORÇAMENTO!$W$15,ROW(AS34)-ROW(AS$15),0),15-13*ORÇAMENTO!$AF$11)),
         0)</f>
        <v>0</v>
      </c>
      <c r="AT34" s="452">
        <f ca="1">IF(AND($D34="Serviço",AT$12&lt;&gt;0,$H34&gt;0,OR(AUTOEVENTO&lt;&gt;"manual",$M34&lt;&gt;$A$15)),
        IF(Import.TipoArredondamento&lt;&gt;"TransfereGOV",
              ROUND(OFFSET($P34,0,AT$13),15-13*ORÇAMENTO!$AF$7)/$H34*OFFSET(ORÇAMENTO!$X$15,ROW(AT34)-ROW(AT$15),0),
              ROUND(ROUND(OFFSET($P34,0,AT$13),15-13*ORÇAMENTO!$AF$7)*OFFSET(ORÇAMENTO!$W$15,ROW(AT34)-ROW(AT$15),0),15-13*ORÇAMENTO!$AF$11)),
         0)</f>
        <v>0</v>
      </c>
      <c r="AU34" s="452">
        <f ca="1">IF(AND($D34="Serviço",AU$12&lt;&gt;0,$H34&gt;0,OR(AUTOEVENTO&lt;&gt;"manual",$M34&lt;&gt;$A$15)),
        IF(Import.TipoArredondamento&lt;&gt;"TransfereGOV",
              ROUND(OFFSET($P34,0,AU$13),15-13*ORÇAMENTO!$AF$7)/$H34*OFFSET(ORÇAMENTO!$X$15,ROW(AU34)-ROW(AU$15),0),
              ROUND(ROUND(OFFSET($P34,0,AU$13),15-13*ORÇAMENTO!$AF$7)*OFFSET(ORÇAMENTO!$W$15,ROW(AU34)-ROW(AU$15),0),15-13*ORÇAMENTO!$AF$11)),
         0)</f>
        <v>0</v>
      </c>
      <c r="AV34" s="452">
        <f ca="1">IF(AND($D34="Serviço",AV$12&lt;&gt;0,$H34&gt;0,OR(AUTOEVENTO&lt;&gt;"manual",$M34&lt;&gt;$A$15)),
        IF(Import.TipoArredondamento&lt;&gt;"TransfereGOV",
              ROUND(OFFSET($P34,0,AV$13),15-13*ORÇAMENTO!$AF$7)/$H34*OFFSET(ORÇAMENTO!$X$15,ROW(AV34)-ROW(AV$15),0),
              ROUND(ROUND(OFFSET($P34,0,AV$13),15-13*ORÇAMENTO!$AF$7)*OFFSET(ORÇAMENTO!$W$15,ROW(AV34)-ROW(AV$15),0),15-13*ORÇAMENTO!$AF$11)),
         0)</f>
        <v>0</v>
      </c>
      <c r="AW34" s="452">
        <f ca="1">IF(AND($D34="Serviço",AW$12&lt;&gt;0,$H34&gt;0,OR(AUTOEVENTO&lt;&gt;"manual",$M34&lt;&gt;$A$15)),
        IF(Import.TipoArredondamento&lt;&gt;"TransfereGOV",
              ROUND(OFFSET($P34,0,AW$13),15-13*ORÇAMENTO!$AF$7)/$H34*OFFSET(ORÇAMENTO!$X$15,ROW(AW34)-ROW(AW$15),0),
              ROUND(ROUND(OFFSET($P34,0,AW$13),15-13*ORÇAMENTO!$AF$7)*OFFSET(ORÇAMENTO!$W$15,ROW(AW34)-ROW(AW$15),0),15-13*ORÇAMENTO!$AF$11)),
         0)</f>
        <v>0</v>
      </c>
      <c r="AX34" s="452">
        <f ca="1">IF(AND($D34="Serviço",AX$12&lt;&gt;0,$H34&gt;0,OR(AUTOEVENTO&lt;&gt;"manual",$M34&lt;&gt;$A$15)),
        IF(Import.TipoArredondamento&lt;&gt;"TransfereGOV",
              ROUND(OFFSET($P34,0,AX$13),15-13*ORÇAMENTO!$AF$7)/$H34*OFFSET(ORÇAMENTO!$X$15,ROW(AX34)-ROW(AX$15),0),
              ROUND(ROUND(OFFSET($P34,0,AX$13),15-13*ORÇAMENTO!$AF$7)*OFFSET(ORÇAMENTO!$W$15,ROW(AX34)-ROW(AX$15),0),15-13*ORÇAMENTO!$AF$11)),
         0)</f>
        <v>0</v>
      </c>
      <c r="AY34" s="452">
        <f ca="1">IF(AND($D34="Serviço",AY$12&lt;&gt;0,$H34&gt;0,OR(AUTOEVENTO&lt;&gt;"manual",$M34&lt;&gt;$A$15)),
        IF(Import.TipoArredondamento&lt;&gt;"TransfereGOV",
              ROUND(OFFSET($P34,0,AY$13),15-13*ORÇAMENTO!$AF$7)/$H34*OFFSET(ORÇAMENTO!$X$15,ROW(AY34)-ROW(AY$15),0),
              ROUND(ROUND(OFFSET($P34,0,AY$13),15-13*ORÇAMENTO!$AF$7)*OFFSET(ORÇAMENTO!$W$15,ROW(AY34)-ROW(AY$15),0),15-13*ORÇAMENTO!$AF$11)),
         0)</f>
        <v>0</v>
      </c>
      <c r="AZ34" s="452">
        <f ca="1">IF(AND($D34="Serviço",AZ$12&lt;&gt;0,$H34&gt;0,OR(AUTOEVENTO&lt;&gt;"manual",$M34&lt;&gt;$A$15)),
        IF(Import.TipoArredondamento&lt;&gt;"TransfereGOV",
              ROUND(OFFSET($P34,0,AZ$13),15-13*ORÇAMENTO!$AF$7)/$H34*OFFSET(ORÇAMENTO!$X$15,ROW(AZ34)-ROW(AZ$15),0),
              ROUND(ROUND(OFFSET($P34,0,AZ$13),15-13*ORÇAMENTO!$AF$7)*OFFSET(ORÇAMENTO!$W$15,ROW(AZ34)-ROW(AZ$15),0),15-13*ORÇAMENTO!$AF$11)),
         0)</f>
        <v>0</v>
      </c>
      <c r="BA34" s="452">
        <f ca="1">IF(AND($D34="Serviço",BA$12&lt;&gt;0,$H34&gt;0,OR(AUTOEVENTO&lt;&gt;"manual",$M34&lt;&gt;$A$15)),
        IF(Import.TipoArredondamento&lt;&gt;"TransfereGOV",
              ROUND(OFFSET($P34,0,BA$13),15-13*ORÇAMENTO!$AF$7)/$H34*OFFSET(ORÇAMENTO!$X$15,ROW(BA34)-ROW(BA$15),0),
              ROUND(ROUND(OFFSET($P34,0,BA$13),15-13*ORÇAMENTO!$AF$7)*OFFSET(ORÇAMENTO!$W$15,ROW(BA34)-ROW(BA$15),0),15-13*ORÇAMENTO!$AF$11)),
         0)</f>
        <v>0</v>
      </c>
      <c r="BC34" s="171">
        <f ca="1">IF(OR($D34&lt;&gt;"Serviço",AND(AUTOEVENTO="Manual",$M34=$A$15)),0,
         IF(OFFSET(CRONOPLE!$F$15,$M34-$A$15,BC$13)=0,10^12,OFFSET(CRONOPLE!$F$15,$M34-$A$15,BC$13)))</f>
        <v>2</v>
      </c>
      <c r="BD34" s="171">
        <f ca="1">IF(OR($D34&lt;&gt;"Serviço",AND(AUTOEVENTO="Manual",$M34=$A$15)),0,
         IF(OFFSET(CRONOPLE!$F$15,$M34-$A$15,BD$13)=0,10^12,OFFSET(CRONOPLE!$F$15,$M34-$A$15,BD$13)))</f>
        <v>2</v>
      </c>
      <c r="BE34" s="171">
        <f ca="1">IF(OR($D34&lt;&gt;"Serviço",AND(AUTOEVENTO="Manual",$M34=$A$15)),0,
         IF(OFFSET(CRONOPLE!$F$15,$M34-$A$15,BE$13)=0,10^12,OFFSET(CRONOPLE!$F$15,$M34-$A$15,BE$13)))</f>
        <v>3</v>
      </c>
      <c r="BF34" s="171">
        <f ca="1">IF(OR($D34&lt;&gt;"Serviço",AND(AUTOEVENTO="Manual",$M34=$A$15)),0,
         IF(OFFSET(CRONOPLE!$F$15,$M34-$A$15,BF$13)=0,10^12,OFFSET(CRONOPLE!$F$15,$M34-$A$15,BF$13)))</f>
        <v>3</v>
      </c>
      <c r="BG34" s="171">
        <f ca="1">IF(OR($D34&lt;&gt;"Serviço",AND(AUTOEVENTO="Manual",$M34=$A$15)),0,
         IF(OFFSET(CRONOPLE!$F$15,$M34-$A$15,BG$13)=0,10^12,OFFSET(CRONOPLE!$F$15,$M34-$A$15,BG$13)))</f>
        <v>3</v>
      </c>
      <c r="BH34" s="171">
        <f ca="1">IF(OR($D34&lt;&gt;"Serviço",AND(AUTOEVENTO="Manual",$M34=$A$15)),0,
         IF(OFFSET(CRONOPLE!$F$15,$M34-$A$15,BH$13)=0,10^12,OFFSET(CRONOPLE!$F$15,$M34-$A$15,BH$13)))</f>
        <v>1000000000000</v>
      </c>
      <c r="BI34" s="171">
        <f ca="1">IF(OR($D34&lt;&gt;"Serviço",AND(AUTOEVENTO="Manual",$M34=$A$15)),0,
         IF(OFFSET(CRONOPLE!$F$15,$M34-$A$15,BI$13)=0,10^12,OFFSET(CRONOPLE!$F$15,$M34-$A$15,BI$13)))</f>
        <v>1000000000000</v>
      </c>
      <c r="BJ34" s="171">
        <f ca="1">IF(OR($D34&lt;&gt;"Serviço",AND(AUTOEVENTO="Manual",$M34=$A$15)),0,
         IF(OFFSET(CRONOPLE!$F$15,$M34-$A$15,BJ$13)=0,10^12,OFFSET(CRONOPLE!$F$15,$M34-$A$15,BJ$13)))</f>
        <v>1000000000000</v>
      </c>
      <c r="BK34" s="171">
        <f ca="1">IF(OR($D34&lt;&gt;"Serviço",AND(AUTOEVENTO="Manual",$M34=$A$15)),0,
         IF(OFFSET(CRONOPLE!$F$15,$M34-$A$15,BK$13)=0,10^12,OFFSET(CRONOPLE!$F$15,$M34-$A$15,BK$13)))</f>
        <v>1000000000000</v>
      </c>
      <c r="BL34" s="171">
        <f ca="1">IF(OR($D34&lt;&gt;"Serviço",AND(AUTOEVENTO="Manual",$M34=$A$15)),0,
         IF(OFFSET(CRONOPLE!$F$15,$M34-$A$15,BL$13)=0,10^12,OFFSET(CRONOPLE!$F$15,$M34-$A$15,BL$13)))</f>
        <v>1000000000000</v>
      </c>
      <c r="BM34" s="171">
        <f ca="1">IF(OR($D34&lt;&gt;"Serviço",AND(AUTOEVENTO="Manual",$M34=$A$15)),0,
         IF(OFFSET(CRONOPLE!$F$15,$M34-$A$15,BM$13)=0,10^12,OFFSET(CRONOPLE!$F$15,$M34-$A$15,BM$13)))</f>
        <v>1000000000000</v>
      </c>
      <c r="BN34" s="171">
        <f ca="1">IF(OR($D34&lt;&gt;"Serviço",AND(AUTOEVENTO="Manual",$M34=$A$15)),0,
         IF(OFFSET(CRONOPLE!$F$15,$M34-$A$15,BN$13)=0,10^12,OFFSET(CRONOPLE!$F$15,$M34-$A$15,BN$13)))</f>
        <v>1000000000000</v>
      </c>
      <c r="BO34" s="171">
        <f ca="1">IF(OR($D34&lt;&gt;"Serviço",AND(AUTOEVENTO="Manual",$M34=$A$15)),0,
         IF(OFFSET(CRONOPLE!$F$15,$M34-$A$15,BO$13)=0,10^12,OFFSET(CRONOPLE!$F$15,$M34-$A$15,BO$13)))</f>
        <v>1000000000000</v>
      </c>
      <c r="BP34" s="171">
        <f ca="1">IF(OR($D34&lt;&gt;"Serviço",AND(AUTOEVENTO="Manual",$M34=$A$15)),0,
         IF(OFFSET(CRONOPLE!$F$15,$M34-$A$15,BP$13)=0,10^12,OFFSET(CRONOPLE!$F$15,$M34-$A$15,BP$13)))</f>
        <v>1000000000000</v>
      </c>
      <c r="BQ34" s="171">
        <f ca="1">IF(OR($D34&lt;&gt;"Serviço",AND(AUTOEVENTO="Manual",$M34=$A$15)),0,
         IF(OFFSET(CRONOPLE!$F$15,$M34-$A$15,BQ$13)=0,10^12,OFFSET(CRONOPLE!$F$15,$M34-$A$15,BQ$13)))</f>
        <v>1000000000000</v>
      </c>
      <c r="BR34" s="171">
        <f ca="1">IF(OR($D34&lt;&gt;"Serviço",AND(AUTOEVENTO="Manual",$M34=$A$15)),0,
         IF(OFFSET(CRONOPLE!$F$15,$M34-$A$15,BR$13)=0,10^12,OFFSET(CRONOPLE!$F$15,$M34-$A$15,BR$13)))</f>
        <v>1000000000000</v>
      </c>
      <c r="BS34" s="171">
        <f ca="1">IF(OR($D34&lt;&gt;"Serviço",AND(AUTOEVENTO="Manual",$M34=$A$15)),0,
         IF(OFFSET(CRONOPLE!$F$15,$M34-$A$15,BS$13)=0,10^12,OFFSET(CRONOPLE!$F$15,$M34-$A$15,BS$13)))</f>
        <v>1000000000000</v>
      </c>
      <c r="BT34" s="171">
        <f ca="1">IF(OR($D34&lt;&gt;"Serviço",AND(AUTOEVENTO="Manual",$M34=$A$15)),0,
         IF(OFFSET(CRONOPLE!$F$15,$M34-$A$15,BT$13)=0,10^12,OFFSET(CRONOPLE!$F$15,$M34-$A$15,BT$13)))</f>
        <v>1000000000000</v>
      </c>
      <c r="BV34" s="172">
        <f t="array" aca="1" ref="BV34" ca="1">IF(OR($D34&lt;&gt;"Serviço",AND(AUTOEVENTO="Manual",$M34=$A$15),$M34&gt;(ROW(PLE.lastrow)-ROW(PLE.firstrow))),0,
           IF(OFFSET(PLE!$G$15,$M34-$A$15,BV$13)="",10^12,OFFSET(PLE!$G$15,$M34-$A$15,BV$13)))</f>
        <v>1000000000000</v>
      </c>
      <c r="BW34" s="172">
        <f t="array" aca="1" ref="BW34" ca="1">IF(OR($D34&lt;&gt;"Serviço",AND(AUTOEVENTO="Manual",$M34=$A$15),$M34&gt;(ROW(PLE.lastrow)-ROW(PLE.firstrow))),0,
           IF(OFFSET(PLE!$G$15,$M34-$A$15,BW$13)="",10^12,OFFSET(PLE!$G$15,$M34-$A$15,BW$13)))</f>
        <v>1000000000000</v>
      </c>
      <c r="BX34" s="172">
        <f t="array" aca="1" ref="BX34" ca="1">IF(OR($D34&lt;&gt;"Serviço",AND(AUTOEVENTO="Manual",$M34=$A$15),$M34&gt;(ROW(PLE.lastrow)-ROW(PLE.firstrow))),0,
           IF(OFFSET(PLE!$G$15,$M34-$A$15,BX$13)="",10^12,OFFSET(PLE!$G$15,$M34-$A$15,BX$13)))</f>
        <v>1000000000000</v>
      </c>
      <c r="BY34" s="172">
        <f t="array" aca="1" ref="BY34" ca="1">IF(OR($D34&lt;&gt;"Serviço",AND(AUTOEVENTO="Manual",$M34=$A$15),$M34&gt;(ROW(PLE.lastrow)-ROW(PLE.firstrow))),0,
           IF(OFFSET(PLE!$G$15,$M34-$A$15,BY$13)="",10^12,OFFSET(PLE!$G$15,$M34-$A$15,BY$13)))</f>
        <v>1000000000000</v>
      </c>
      <c r="BZ34" s="172">
        <f t="array" aca="1" ref="BZ34" ca="1">IF(OR($D34&lt;&gt;"Serviço",AND(AUTOEVENTO="Manual",$M34=$A$15),$M34&gt;(ROW(PLE.lastrow)-ROW(PLE.firstrow))),0,
           IF(OFFSET(PLE!$G$15,$M34-$A$15,BZ$13)="",10^12,OFFSET(PLE!$G$15,$M34-$A$15,BZ$13)))</f>
        <v>1000000000000</v>
      </c>
      <c r="CA34" s="172">
        <f t="array" aca="1" ref="CA34" ca="1">IF(OR($D34&lt;&gt;"Serviço",AND(AUTOEVENTO="Manual",$M34=$A$15),$M34&gt;(ROW(PLE.lastrow)-ROW(PLE.firstrow))),0,
           IF(OFFSET(PLE!$G$15,$M34-$A$15,CA$13)="",10^12,OFFSET(PLE!$G$15,$M34-$A$15,CA$13)))</f>
        <v>1000000000000</v>
      </c>
      <c r="CB34" s="172">
        <f t="array" aca="1" ref="CB34" ca="1">IF(OR($D34&lt;&gt;"Serviço",AND(AUTOEVENTO="Manual",$M34=$A$15),$M34&gt;(ROW(PLE.lastrow)-ROW(PLE.firstrow))),0,
           IF(OFFSET(PLE!$G$15,$M34-$A$15,CB$13)="",10^12,OFFSET(PLE!$G$15,$M34-$A$15,CB$13)))</f>
        <v>1000000000000</v>
      </c>
      <c r="CC34" s="172">
        <f t="array" aca="1" ref="CC34" ca="1">IF(OR($D34&lt;&gt;"Serviço",AND(AUTOEVENTO="Manual",$M34=$A$15),$M34&gt;(ROW(PLE.lastrow)-ROW(PLE.firstrow))),0,
           IF(OFFSET(PLE!$G$15,$M34-$A$15,CC$13)="",10^12,OFFSET(PLE!$G$15,$M34-$A$15,CC$13)))</f>
        <v>1000000000000</v>
      </c>
      <c r="CD34" s="172">
        <f t="array" aca="1" ref="CD34" ca="1">IF(OR($D34&lt;&gt;"Serviço",AND(AUTOEVENTO="Manual",$M34=$A$15),$M34&gt;(ROW(PLE.lastrow)-ROW(PLE.firstrow))),0,
           IF(OFFSET(PLE!$G$15,$M34-$A$15,CD$13)="",10^12,OFFSET(PLE!$G$15,$M34-$A$15,CD$13)))</f>
        <v>1000000000000</v>
      </c>
      <c r="CE34" s="172">
        <f t="array" aca="1" ref="CE34" ca="1">IF(OR($D34&lt;&gt;"Serviço",AND(AUTOEVENTO="Manual",$M34=$A$15),$M34&gt;(ROW(PLE.lastrow)-ROW(PLE.firstrow))),0,
           IF(OFFSET(PLE!$G$15,$M34-$A$15,CE$13)="",10^12,OFFSET(PLE!$G$15,$M34-$A$15,CE$13)))</f>
        <v>1000000000000</v>
      </c>
      <c r="CF34" s="172">
        <f t="array" aca="1" ref="CF34" ca="1">IF(OR($D34&lt;&gt;"Serviço",AND(AUTOEVENTO="Manual",$M34=$A$15),$M34&gt;(ROW(PLE.lastrow)-ROW(PLE.firstrow))),0,
           IF(OFFSET(PLE!$G$15,$M34-$A$15,CF$13)="",10^12,OFFSET(PLE!$G$15,$M34-$A$15,CF$13)))</f>
        <v>1000000000000</v>
      </c>
      <c r="CG34" s="172">
        <f t="array" aca="1" ref="CG34" ca="1">IF(OR($D34&lt;&gt;"Serviço",AND(AUTOEVENTO="Manual",$M34=$A$15),$M34&gt;(ROW(PLE.lastrow)-ROW(PLE.firstrow))),0,
           IF(OFFSET(PLE!$G$15,$M34-$A$15,CG$13)="",10^12,OFFSET(PLE!$G$15,$M34-$A$15,CG$13)))</f>
        <v>1000000000000</v>
      </c>
      <c r="CH34" s="172">
        <f t="array" aca="1" ref="CH34" ca="1">IF(OR($D34&lt;&gt;"Serviço",AND(AUTOEVENTO="Manual",$M34=$A$15),$M34&gt;(ROW(PLE.lastrow)-ROW(PLE.firstrow))),0,
           IF(OFFSET(PLE!$G$15,$M34-$A$15,CH$13)="",10^12,OFFSET(PLE!$G$15,$M34-$A$15,CH$13)))</f>
        <v>1000000000000</v>
      </c>
      <c r="CI34" s="172">
        <f t="array" aca="1" ref="CI34" ca="1">IF(OR($D34&lt;&gt;"Serviço",AND(AUTOEVENTO="Manual",$M34=$A$15),$M34&gt;(ROW(PLE.lastrow)-ROW(PLE.firstrow))),0,
           IF(OFFSET(PLE!$G$15,$M34-$A$15,CI$13)="",10^12,OFFSET(PLE!$G$15,$M34-$A$15,CI$13)))</f>
        <v>1000000000000</v>
      </c>
      <c r="CJ34" s="172">
        <f t="array" aca="1" ref="CJ34" ca="1">IF(OR($D34&lt;&gt;"Serviço",AND(AUTOEVENTO="Manual",$M34=$A$15),$M34&gt;(ROW(PLE.lastrow)-ROW(PLE.firstrow))),0,
           IF(OFFSET(PLE!$G$15,$M34-$A$15,CJ$13)="",10^12,OFFSET(PLE!$G$15,$M34-$A$15,CJ$13)))</f>
        <v>1000000000000</v>
      </c>
      <c r="CK34" s="172">
        <f t="array" aca="1" ref="CK34" ca="1">IF(OR($D34&lt;&gt;"Serviço",AND(AUTOEVENTO="Manual",$M34=$A$15),$M34&gt;(ROW(PLE.lastrow)-ROW(PLE.firstrow))),0,
           IF(OFFSET(PLE!$G$15,$M34-$A$15,CK$13)="",10^12,OFFSET(PLE!$G$15,$M34-$A$15,CK$13)))</f>
        <v>1000000000000</v>
      </c>
      <c r="CL34" s="172">
        <f t="array" aca="1" ref="CL34" ca="1">IF(OR($D34&lt;&gt;"Serviço",AND(AUTOEVENTO="Manual",$M34=$A$15),$M34&gt;(ROW(PLE.lastrow)-ROW(PLE.firstrow))),0,
           IF(OFFSET(PLE!$G$15,$M34-$A$15,CL$13)="",10^12,OFFSET(PLE!$G$15,$M34-$A$15,CL$13)))</f>
        <v>1000000000000</v>
      </c>
      <c r="CM34" s="172">
        <f t="array" aca="1" ref="CM34" ca="1">IF(OR($D34&lt;&gt;"Serviço",AND(AUTOEVENTO="Manual",$M34=$A$15),$M34&gt;(ROW(PLE.lastrow)-ROW(PLE.firstrow))),0,
           IF(OFFSET(PLE!$G$15,$M34-$A$15,CM$13)="",10^12,OFFSET(PLE!$G$15,$M34-$A$15,CM$13)))</f>
        <v>1000000000000</v>
      </c>
    </row>
    <row r="35" spans="1:91" s="696" customFormat="1" ht="76.5" x14ac:dyDescent="0.2">
      <c r="A35" s="694">
        <f t="shared" ca="1" si="10"/>
        <v>4</v>
      </c>
      <c r="B35" s="694" t="str">
        <f ca="1">OFFSET(ORÇAMENTO!C$15,$L35,0)</f>
        <v>S</v>
      </c>
      <c r="C35" s="694" t="str">
        <f ca="1">OFFSET(ORÇAMENTO!L$15,$L35,0)</f>
        <v>F</v>
      </c>
      <c r="D35" s="116" t="str">
        <f ca="1">OFFSET(ORÇAMENTO!N$15,$L35,0)</f>
        <v>Serviço</v>
      </c>
      <c r="E35" s="117" t="str">
        <f ca="1">OFFSET(ORÇAMENTO!O$15,$L35,0)</f>
        <v>1.4.4.</v>
      </c>
      <c r="F35" s="163" t="str">
        <f ca="1">OFFSET(ORÇAMENTO!R$15,$L35,0)</f>
        <v>LASTRO DE CONCRETO MAGRO, APLICADO EM BLOCOS DE COROAMENTO OU SAPATAS, ESPESSURA DE 5 CM. AF_01/2024</v>
      </c>
      <c r="G35" s="164" t="str">
        <f ca="1">IF($D35&lt;&gt;"Serviço","",OFFSET(ORÇAMENTO!S$15,$L35,0))</f>
        <v>M2</v>
      </c>
      <c r="H35" s="122">
        <f t="array" aca="1" ref="H35" ca="1">IF($D35&lt;&gt;"Serviço",0,IF(ACOMPANHAMENTO="BM",ROUND(OFFSET(ORÇAMENTO!AJ$15,$L35,0),15-13*ORÇAMENTO!$AF$7),IF(IFERROR(CÁLCULO.FrentesPreenchidas,0)=0,0,SUM(ROUND(OFFSET($P35,0,1,1,CÁLCULO.FrentesPreenchidas),15-13*ORÇAMENTO!$AF$7)))))</f>
        <v>93.6</v>
      </c>
      <c r="I35" s="467" t="s">
        <v>1220</v>
      </c>
      <c r="J35" s="653" t="str">
        <f t="array" aca="1" ref="J35" ca="1">IF(OR(B35&lt;&gt;"S",CÁLCULO.FrentesPreenchidas=0),"",IF(AND(ACOMPANHAMENTO="PLE",AUTOEVENTO="Manual",OR(H35&gt;0,ORÇAMENTO!AC35="QUANT."),OR(K35="",M35=0,N35="")),"►E",IF(AND(ACOMPANHAMENTO="PLE",ORÇAMENTO!AC35="QUANT."),"►Q",IF(AND(ACOMPANHAMENTO="PLE",H35&lt;&gt;SUMPRODUCT(($Q$1:$AI$1=1)*ROUND(Q35:AI35,15))),"►S",IF(AND(COUNTIF($P$11:$AI$11,"▼")=0,H35&gt;0,I35=""),"◄M","")))))</f>
        <v/>
      </c>
      <c r="K35" s="654" t="s">
        <v>1383</v>
      </c>
      <c r="L35" s="165">
        <f t="shared" ca="1" si="11"/>
        <v>20</v>
      </c>
      <c r="M35" s="166">
        <f ca="1">IF($D35&lt;&gt;"Serviço","",
          IF(AUTOEVENTO="manual",$A35,
                IF(ISERROR(MATCH($A35,$A$15:OFFSET($A35,-1,0),0)),MAX($M$15:OFFSET(M35,-1,0))+1,
                      INDEX($M$15:OFFSET(M35,-1,0),MATCH($A35,$A$15:OFFSET($A35,-1,0),0)))))</f>
        <v>4</v>
      </c>
      <c r="N35" s="167" t="str">
        <f ca="1">IF($D35&lt;&gt;"Serviço","",
         IF(AUTOEVENTO="Manual",
                IF($A35=0,"&lt;-- defina o número do agrupador",
                       OFFSET(EVENTOS!$D$15,$A35-$A$15,0)),
                OFFSET($F$15,$A35,0)))</f>
        <v>SAPATAS (LOCAÇÃO,ESCAVAÇÕES, FORMAS, AÇO, CONCRETAGEM)</v>
      </c>
      <c r="O35" s="168"/>
      <c r="Q35" s="169">
        <f>4.68*5</f>
        <v>23.4</v>
      </c>
      <c r="R35" s="169">
        <f t="shared" si="13"/>
        <v>23.4</v>
      </c>
      <c r="S35" s="169">
        <f t="shared" si="13"/>
        <v>23.4</v>
      </c>
      <c r="T35" s="169">
        <f t="shared" si="13"/>
        <v>23.4</v>
      </c>
      <c r="U35" s="169"/>
      <c r="V35" s="169"/>
      <c r="W35" s="169"/>
      <c r="X35" s="169"/>
      <c r="Y35" s="169"/>
      <c r="Z35" s="170"/>
      <c r="AA35" s="169"/>
      <c r="AB35" s="169"/>
      <c r="AC35" s="169"/>
      <c r="AD35" s="169"/>
      <c r="AE35" s="169"/>
      <c r="AF35" s="169"/>
      <c r="AG35" s="169"/>
      <c r="AH35" s="170"/>
      <c r="AJ35" s="452">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1201.1199999999999</v>
      </c>
      <c r="AK35" s="452">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1201.1199999999999</v>
      </c>
      <c r="AL35" s="452">
        <f ca="1">IF(AND($D35="Serviço",AL$12&lt;&gt;0,$H35&gt;0,OR(AUTOEVENTO&lt;&gt;"manual",$M35&lt;&gt;$A$15)),
        IF(Import.TipoArredondamento&lt;&gt;"TransfereGOV",
              ROUND(OFFSET($P35,0,AL$13),15-13*ORÇAMENTO!$AF$7)/$H35*OFFSET(ORÇAMENTO!$X$15,ROW(AL35)-ROW(AL$15),0),
              ROUND(ROUND(OFFSET($P35,0,AL$13),15-13*ORÇAMENTO!$AF$7)*OFFSET(ORÇAMENTO!$W$15,ROW(AL35)-ROW(AL$15),0),15-13*ORÇAMENTO!$AF$11)),
         0)</f>
        <v>1201.1199999999999</v>
      </c>
      <c r="AM35" s="452">
        <f ca="1">IF(AND($D35="Serviço",AM$12&lt;&gt;0,$H35&gt;0,OR(AUTOEVENTO&lt;&gt;"manual",$M35&lt;&gt;$A$15)),
        IF(Import.TipoArredondamento&lt;&gt;"TransfereGOV",
              ROUND(OFFSET($P35,0,AM$13),15-13*ORÇAMENTO!$AF$7)/$H35*OFFSET(ORÇAMENTO!$X$15,ROW(AM35)-ROW(AM$15),0),
              ROUND(ROUND(OFFSET($P35,0,AM$13),15-13*ORÇAMENTO!$AF$7)*OFFSET(ORÇAMENTO!$W$15,ROW(AM35)-ROW(AM$15),0),15-13*ORÇAMENTO!$AF$11)),
         0)</f>
        <v>1201.1199999999999</v>
      </c>
      <c r="AN35" s="452">
        <f ca="1">IF(AND($D35="Serviço",AN$12&lt;&gt;0,$H35&gt;0,OR(AUTOEVENTO&lt;&gt;"manual",$M35&lt;&gt;$A$15)),
        IF(Import.TipoArredondamento&lt;&gt;"TransfereGOV",
              ROUND(OFFSET($P35,0,AN$13),15-13*ORÇAMENTO!$AF$7)/$H35*OFFSET(ORÇAMENTO!$X$15,ROW(AN35)-ROW(AN$15),0),
              ROUND(ROUND(OFFSET($P35,0,AN$13),15-13*ORÇAMENTO!$AF$7)*OFFSET(ORÇAMENTO!$W$15,ROW(AN35)-ROW(AN$15),0),15-13*ORÇAMENTO!$AF$11)),
         0)</f>
        <v>0</v>
      </c>
      <c r="AO35" s="452">
        <f ca="1">IF(AND($D35="Serviço",AO$12&lt;&gt;0,$H35&gt;0,OR(AUTOEVENTO&lt;&gt;"manual",$M35&lt;&gt;$A$15)),
        IF(Import.TipoArredondamento&lt;&gt;"TransfereGOV",
              ROUND(OFFSET($P35,0,AO$13),15-13*ORÇAMENTO!$AF$7)/$H35*OFFSET(ORÇAMENTO!$X$15,ROW(AO35)-ROW(AO$15),0),
              ROUND(ROUND(OFFSET($P35,0,AO$13),15-13*ORÇAMENTO!$AF$7)*OFFSET(ORÇAMENTO!$W$15,ROW(AO35)-ROW(AO$15),0),15-13*ORÇAMENTO!$AF$11)),
         0)</f>
        <v>0</v>
      </c>
      <c r="AP35" s="452">
        <f ca="1">IF(AND($D35="Serviço",AP$12&lt;&gt;0,$H35&gt;0,OR(AUTOEVENTO&lt;&gt;"manual",$M35&lt;&gt;$A$15)),
        IF(Import.TipoArredondamento&lt;&gt;"TransfereGOV",
              ROUND(OFFSET($P35,0,AP$13),15-13*ORÇAMENTO!$AF$7)/$H35*OFFSET(ORÇAMENTO!$X$15,ROW(AP35)-ROW(AP$15),0),
              ROUND(ROUND(OFFSET($P35,0,AP$13),15-13*ORÇAMENTO!$AF$7)*OFFSET(ORÇAMENTO!$W$15,ROW(AP35)-ROW(AP$15),0),15-13*ORÇAMENTO!$AF$11)),
         0)</f>
        <v>0</v>
      </c>
      <c r="AQ35" s="452">
        <f ca="1">IF(AND($D35="Serviço",AQ$12&lt;&gt;0,$H35&gt;0,OR(AUTOEVENTO&lt;&gt;"manual",$M35&lt;&gt;$A$15)),
        IF(Import.TipoArredondamento&lt;&gt;"TransfereGOV",
              ROUND(OFFSET($P35,0,AQ$13),15-13*ORÇAMENTO!$AF$7)/$H35*OFFSET(ORÇAMENTO!$X$15,ROW(AQ35)-ROW(AQ$15),0),
              ROUND(ROUND(OFFSET($P35,0,AQ$13),15-13*ORÇAMENTO!$AF$7)*OFFSET(ORÇAMENTO!$W$15,ROW(AQ35)-ROW(AQ$15),0),15-13*ORÇAMENTO!$AF$11)),
         0)</f>
        <v>0</v>
      </c>
      <c r="AR35" s="452">
        <f ca="1">IF(AND($D35="Serviço",AR$12&lt;&gt;0,$H35&gt;0,OR(AUTOEVENTO&lt;&gt;"manual",$M35&lt;&gt;$A$15)),
        IF(Import.TipoArredondamento&lt;&gt;"TransfereGOV",
              ROUND(OFFSET($P35,0,AR$13),15-13*ORÇAMENTO!$AF$7)/$H35*OFFSET(ORÇAMENTO!$X$15,ROW(AR35)-ROW(AR$15),0),
              ROUND(ROUND(OFFSET($P35,0,AR$13),15-13*ORÇAMENTO!$AF$7)*OFFSET(ORÇAMENTO!$W$15,ROW(AR35)-ROW(AR$15),0),15-13*ORÇAMENTO!$AF$11)),
         0)</f>
        <v>0</v>
      </c>
      <c r="AS35" s="452">
        <f ca="1">IF(AND($D35="Serviço",AS$12&lt;&gt;0,$H35&gt;0,OR(AUTOEVENTO&lt;&gt;"manual",$M35&lt;&gt;$A$15)),
        IF(Import.TipoArredondamento&lt;&gt;"TransfereGOV",
              ROUND(OFFSET($P35,0,AS$13),15-13*ORÇAMENTO!$AF$7)/$H35*OFFSET(ORÇAMENTO!$X$15,ROW(AS35)-ROW(AS$15),0),
              ROUND(ROUND(OFFSET($P35,0,AS$13),15-13*ORÇAMENTO!$AF$7)*OFFSET(ORÇAMENTO!$W$15,ROW(AS35)-ROW(AS$15),0),15-13*ORÇAMENTO!$AF$11)),
         0)</f>
        <v>0</v>
      </c>
      <c r="AT35" s="452">
        <f ca="1">IF(AND($D35="Serviço",AT$12&lt;&gt;0,$H35&gt;0,OR(AUTOEVENTO&lt;&gt;"manual",$M35&lt;&gt;$A$15)),
        IF(Import.TipoArredondamento&lt;&gt;"TransfereGOV",
              ROUND(OFFSET($P35,0,AT$13),15-13*ORÇAMENTO!$AF$7)/$H35*OFFSET(ORÇAMENTO!$X$15,ROW(AT35)-ROW(AT$15),0),
              ROUND(ROUND(OFFSET($P35,0,AT$13),15-13*ORÇAMENTO!$AF$7)*OFFSET(ORÇAMENTO!$W$15,ROW(AT35)-ROW(AT$15),0),15-13*ORÇAMENTO!$AF$11)),
         0)</f>
        <v>0</v>
      </c>
      <c r="AU35" s="452">
        <f ca="1">IF(AND($D35="Serviço",AU$12&lt;&gt;0,$H35&gt;0,OR(AUTOEVENTO&lt;&gt;"manual",$M35&lt;&gt;$A$15)),
        IF(Import.TipoArredondamento&lt;&gt;"TransfereGOV",
              ROUND(OFFSET($P35,0,AU$13),15-13*ORÇAMENTO!$AF$7)/$H35*OFFSET(ORÇAMENTO!$X$15,ROW(AU35)-ROW(AU$15),0),
              ROUND(ROUND(OFFSET($P35,0,AU$13),15-13*ORÇAMENTO!$AF$7)*OFFSET(ORÇAMENTO!$W$15,ROW(AU35)-ROW(AU$15),0),15-13*ORÇAMENTO!$AF$11)),
         0)</f>
        <v>0</v>
      </c>
      <c r="AV35" s="452">
        <f ca="1">IF(AND($D35="Serviço",AV$12&lt;&gt;0,$H35&gt;0,OR(AUTOEVENTO&lt;&gt;"manual",$M35&lt;&gt;$A$15)),
        IF(Import.TipoArredondamento&lt;&gt;"TransfereGOV",
              ROUND(OFFSET($P35,0,AV$13),15-13*ORÇAMENTO!$AF$7)/$H35*OFFSET(ORÇAMENTO!$X$15,ROW(AV35)-ROW(AV$15),0),
              ROUND(ROUND(OFFSET($P35,0,AV$13),15-13*ORÇAMENTO!$AF$7)*OFFSET(ORÇAMENTO!$W$15,ROW(AV35)-ROW(AV$15),0),15-13*ORÇAMENTO!$AF$11)),
         0)</f>
        <v>0</v>
      </c>
      <c r="AW35" s="452">
        <f ca="1">IF(AND($D35="Serviço",AW$12&lt;&gt;0,$H35&gt;0,OR(AUTOEVENTO&lt;&gt;"manual",$M35&lt;&gt;$A$15)),
        IF(Import.TipoArredondamento&lt;&gt;"TransfereGOV",
              ROUND(OFFSET($P35,0,AW$13),15-13*ORÇAMENTO!$AF$7)/$H35*OFFSET(ORÇAMENTO!$X$15,ROW(AW35)-ROW(AW$15),0),
              ROUND(ROUND(OFFSET($P35,0,AW$13),15-13*ORÇAMENTO!$AF$7)*OFFSET(ORÇAMENTO!$W$15,ROW(AW35)-ROW(AW$15),0),15-13*ORÇAMENTO!$AF$11)),
         0)</f>
        <v>0</v>
      </c>
      <c r="AX35" s="452">
        <f ca="1">IF(AND($D35="Serviço",AX$12&lt;&gt;0,$H35&gt;0,OR(AUTOEVENTO&lt;&gt;"manual",$M35&lt;&gt;$A$15)),
        IF(Import.TipoArredondamento&lt;&gt;"TransfereGOV",
              ROUND(OFFSET($P35,0,AX$13),15-13*ORÇAMENTO!$AF$7)/$H35*OFFSET(ORÇAMENTO!$X$15,ROW(AX35)-ROW(AX$15),0),
              ROUND(ROUND(OFFSET($P35,0,AX$13),15-13*ORÇAMENTO!$AF$7)*OFFSET(ORÇAMENTO!$W$15,ROW(AX35)-ROW(AX$15),0),15-13*ORÇAMENTO!$AF$11)),
         0)</f>
        <v>0</v>
      </c>
      <c r="AY35" s="452">
        <f ca="1">IF(AND($D35="Serviço",AY$12&lt;&gt;0,$H35&gt;0,OR(AUTOEVENTO&lt;&gt;"manual",$M35&lt;&gt;$A$15)),
        IF(Import.TipoArredondamento&lt;&gt;"TransfereGOV",
              ROUND(OFFSET($P35,0,AY$13),15-13*ORÇAMENTO!$AF$7)/$H35*OFFSET(ORÇAMENTO!$X$15,ROW(AY35)-ROW(AY$15),0),
              ROUND(ROUND(OFFSET($P35,0,AY$13),15-13*ORÇAMENTO!$AF$7)*OFFSET(ORÇAMENTO!$W$15,ROW(AY35)-ROW(AY$15),0),15-13*ORÇAMENTO!$AF$11)),
         0)</f>
        <v>0</v>
      </c>
      <c r="AZ35" s="452">
        <f ca="1">IF(AND($D35="Serviço",AZ$12&lt;&gt;0,$H35&gt;0,OR(AUTOEVENTO&lt;&gt;"manual",$M35&lt;&gt;$A$15)),
        IF(Import.TipoArredondamento&lt;&gt;"TransfereGOV",
              ROUND(OFFSET($P35,0,AZ$13),15-13*ORÇAMENTO!$AF$7)/$H35*OFFSET(ORÇAMENTO!$X$15,ROW(AZ35)-ROW(AZ$15),0),
              ROUND(ROUND(OFFSET($P35,0,AZ$13),15-13*ORÇAMENTO!$AF$7)*OFFSET(ORÇAMENTO!$W$15,ROW(AZ35)-ROW(AZ$15),0),15-13*ORÇAMENTO!$AF$11)),
         0)</f>
        <v>0</v>
      </c>
      <c r="BA35" s="452">
        <f ca="1">IF(AND($D35="Serviço",BA$12&lt;&gt;0,$H35&gt;0,OR(AUTOEVENTO&lt;&gt;"manual",$M35&lt;&gt;$A$15)),
        IF(Import.TipoArredondamento&lt;&gt;"TransfereGOV",
              ROUND(OFFSET($P35,0,BA$13),15-13*ORÇAMENTO!$AF$7)/$H35*OFFSET(ORÇAMENTO!$X$15,ROW(BA35)-ROW(BA$15),0),
              ROUND(ROUND(OFFSET($P35,0,BA$13),15-13*ORÇAMENTO!$AF$7)*OFFSET(ORÇAMENTO!$W$15,ROW(BA35)-ROW(BA$15),0),15-13*ORÇAMENTO!$AF$11)),
         0)</f>
        <v>0</v>
      </c>
      <c r="BC35" s="171">
        <f ca="1">IF(OR($D35&lt;&gt;"Serviço",AND(AUTOEVENTO="Manual",$M35=$A$15)),0,
         IF(OFFSET(CRONOPLE!$F$15,$M35-$A$15,BC$13)=0,10^12,OFFSET(CRONOPLE!$F$15,$M35-$A$15,BC$13)))</f>
        <v>2</v>
      </c>
      <c r="BD35" s="171">
        <f ca="1">IF(OR($D35&lt;&gt;"Serviço",AND(AUTOEVENTO="Manual",$M35=$A$15)),0,
         IF(OFFSET(CRONOPLE!$F$15,$M35-$A$15,BD$13)=0,10^12,OFFSET(CRONOPLE!$F$15,$M35-$A$15,BD$13)))</f>
        <v>2</v>
      </c>
      <c r="BE35" s="171">
        <f ca="1">IF(OR($D35&lt;&gt;"Serviço",AND(AUTOEVENTO="Manual",$M35=$A$15)),0,
         IF(OFFSET(CRONOPLE!$F$15,$M35-$A$15,BE$13)=0,10^12,OFFSET(CRONOPLE!$F$15,$M35-$A$15,BE$13)))</f>
        <v>3</v>
      </c>
      <c r="BF35" s="171">
        <f ca="1">IF(OR($D35&lt;&gt;"Serviço",AND(AUTOEVENTO="Manual",$M35=$A$15)),0,
         IF(OFFSET(CRONOPLE!$F$15,$M35-$A$15,BF$13)=0,10^12,OFFSET(CRONOPLE!$F$15,$M35-$A$15,BF$13)))</f>
        <v>3</v>
      </c>
      <c r="BG35" s="171">
        <f ca="1">IF(OR($D35&lt;&gt;"Serviço",AND(AUTOEVENTO="Manual",$M35=$A$15)),0,
         IF(OFFSET(CRONOPLE!$F$15,$M35-$A$15,BG$13)=0,10^12,OFFSET(CRONOPLE!$F$15,$M35-$A$15,BG$13)))</f>
        <v>3</v>
      </c>
      <c r="BH35" s="171">
        <f ca="1">IF(OR($D35&lt;&gt;"Serviço",AND(AUTOEVENTO="Manual",$M35=$A$15)),0,
         IF(OFFSET(CRONOPLE!$F$15,$M35-$A$15,BH$13)=0,10^12,OFFSET(CRONOPLE!$F$15,$M35-$A$15,BH$13)))</f>
        <v>1000000000000</v>
      </c>
      <c r="BI35" s="171">
        <f ca="1">IF(OR($D35&lt;&gt;"Serviço",AND(AUTOEVENTO="Manual",$M35=$A$15)),0,
         IF(OFFSET(CRONOPLE!$F$15,$M35-$A$15,BI$13)=0,10^12,OFFSET(CRONOPLE!$F$15,$M35-$A$15,BI$13)))</f>
        <v>1000000000000</v>
      </c>
      <c r="BJ35" s="171">
        <f ca="1">IF(OR($D35&lt;&gt;"Serviço",AND(AUTOEVENTO="Manual",$M35=$A$15)),0,
         IF(OFFSET(CRONOPLE!$F$15,$M35-$A$15,BJ$13)=0,10^12,OFFSET(CRONOPLE!$F$15,$M35-$A$15,BJ$13)))</f>
        <v>1000000000000</v>
      </c>
      <c r="BK35" s="171">
        <f ca="1">IF(OR($D35&lt;&gt;"Serviço",AND(AUTOEVENTO="Manual",$M35=$A$15)),0,
         IF(OFFSET(CRONOPLE!$F$15,$M35-$A$15,BK$13)=0,10^12,OFFSET(CRONOPLE!$F$15,$M35-$A$15,BK$13)))</f>
        <v>1000000000000</v>
      </c>
      <c r="BL35" s="171">
        <f ca="1">IF(OR($D35&lt;&gt;"Serviço",AND(AUTOEVENTO="Manual",$M35=$A$15)),0,
         IF(OFFSET(CRONOPLE!$F$15,$M35-$A$15,BL$13)=0,10^12,OFFSET(CRONOPLE!$F$15,$M35-$A$15,BL$13)))</f>
        <v>1000000000000</v>
      </c>
      <c r="BM35" s="171">
        <f ca="1">IF(OR($D35&lt;&gt;"Serviço",AND(AUTOEVENTO="Manual",$M35=$A$15)),0,
         IF(OFFSET(CRONOPLE!$F$15,$M35-$A$15,BM$13)=0,10^12,OFFSET(CRONOPLE!$F$15,$M35-$A$15,BM$13)))</f>
        <v>1000000000000</v>
      </c>
      <c r="BN35" s="171">
        <f ca="1">IF(OR($D35&lt;&gt;"Serviço",AND(AUTOEVENTO="Manual",$M35=$A$15)),0,
         IF(OFFSET(CRONOPLE!$F$15,$M35-$A$15,BN$13)=0,10^12,OFFSET(CRONOPLE!$F$15,$M35-$A$15,BN$13)))</f>
        <v>1000000000000</v>
      </c>
      <c r="BO35" s="171">
        <f ca="1">IF(OR($D35&lt;&gt;"Serviço",AND(AUTOEVENTO="Manual",$M35=$A$15)),0,
         IF(OFFSET(CRONOPLE!$F$15,$M35-$A$15,BO$13)=0,10^12,OFFSET(CRONOPLE!$F$15,$M35-$A$15,BO$13)))</f>
        <v>1000000000000</v>
      </c>
      <c r="BP35" s="171">
        <f ca="1">IF(OR($D35&lt;&gt;"Serviço",AND(AUTOEVENTO="Manual",$M35=$A$15)),0,
         IF(OFFSET(CRONOPLE!$F$15,$M35-$A$15,BP$13)=0,10^12,OFFSET(CRONOPLE!$F$15,$M35-$A$15,BP$13)))</f>
        <v>1000000000000</v>
      </c>
      <c r="BQ35" s="171">
        <f ca="1">IF(OR($D35&lt;&gt;"Serviço",AND(AUTOEVENTO="Manual",$M35=$A$15)),0,
         IF(OFFSET(CRONOPLE!$F$15,$M35-$A$15,BQ$13)=0,10^12,OFFSET(CRONOPLE!$F$15,$M35-$A$15,BQ$13)))</f>
        <v>1000000000000</v>
      </c>
      <c r="BR35" s="171">
        <f ca="1">IF(OR($D35&lt;&gt;"Serviço",AND(AUTOEVENTO="Manual",$M35=$A$15)),0,
         IF(OFFSET(CRONOPLE!$F$15,$M35-$A$15,BR$13)=0,10^12,OFFSET(CRONOPLE!$F$15,$M35-$A$15,BR$13)))</f>
        <v>1000000000000</v>
      </c>
      <c r="BS35" s="171">
        <f ca="1">IF(OR($D35&lt;&gt;"Serviço",AND(AUTOEVENTO="Manual",$M35=$A$15)),0,
         IF(OFFSET(CRONOPLE!$F$15,$M35-$A$15,BS$13)=0,10^12,OFFSET(CRONOPLE!$F$15,$M35-$A$15,BS$13)))</f>
        <v>1000000000000</v>
      </c>
      <c r="BT35" s="171">
        <f ca="1">IF(OR($D35&lt;&gt;"Serviço",AND(AUTOEVENTO="Manual",$M35=$A$15)),0,
         IF(OFFSET(CRONOPLE!$F$15,$M35-$A$15,BT$13)=0,10^12,OFFSET(CRONOPLE!$F$15,$M35-$A$15,BT$13)))</f>
        <v>1000000000000</v>
      </c>
      <c r="BV35" s="172">
        <f t="array" aca="1" ref="BV35" ca="1">IF(OR($D35&lt;&gt;"Serviço",AND(AUTOEVENTO="Manual",$M35=$A$15),$M35&gt;(ROW(PLE.lastrow)-ROW(PLE.firstrow))),0,
           IF(OFFSET(PLE!$G$15,$M35-$A$15,BV$13)="",10^12,OFFSET(PLE!$G$15,$M35-$A$15,BV$13)))</f>
        <v>1000000000000</v>
      </c>
      <c r="BW35" s="172">
        <f t="array" aca="1" ref="BW35" ca="1">IF(OR($D35&lt;&gt;"Serviço",AND(AUTOEVENTO="Manual",$M35=$A$15),$M35&gt;(ROW(PLE.lastrow)-ROW(PLE.firstrow))),0,
           IF(OFFSET(PLE!$G$15,$M35-$A$15,BW$13)="",10^12,OFFSET(PLE!$G$15,$M35-$A$15,BW$13)))</f>
        <v>1000000000000</v>
      </c>
      <c r="BX35" s="172">
        <f t="array" aca="1" ref="BX35" ca="1">IF(OR($D35&lt;&gt;"Serviço",AND(AUTOEVENTO="Manual",$M35=$A$15),$M35&gt;(ROW(PLE.lastrow)-ROW(PLE.firstrow))),0,
           IF(OFFSET(PLE!$G$15,$M35-$A$15,BX$13)="",10^12,OFFSET(PLE!$G$15,$M35-$A$15,BX$13)))</f>
        <v>1000000000000</v>
      </c>
      <c r="BY35" s="172">
        <f t="array" aca="1" ref="BY35" ca="1">IF(OR($D35&lt;&gt;"Serviço",AND(AUTOEVENTO="Manual",$M35=$A$15),$M35&gt;(ROW(PLE.lastrow)-ROW(PLE.firstrow))),0,
           IF(OFFSET(PLE!$G$15,$M35-$A$15,BY$13)="",10^12,OFFSET(PLE!$G$15,$M35-$A$15,BY$13)))</f>
        <v>1000000000000</v>
      </c>
      <c r="BZ35" s="172">
        <f t="array" aca="1" ref="BZ35" ca="1">IF(OR($D35&lt;&gt;"Serviço",AND(AUTOEVENTO="Manual",$M35=$A$15),$M35&gt;(ROW(PLE.lastrow)-ROW(PLE.firstrow))),0,
           IF(OFFSET(PLE!$G$15,$M35-$A$15,BZ$13)="",10^12,OFFSET(PLE!$G$15,$M35-$A$15,BZ$13)))</f>
        <v>1000000000000</v>
      </c>
      <c r="CA35" s="172">
        <f t="array" aca="1" ref="CA35" ca="1">IF(OR($D35&lt;&gt;"Serviço",AND(AUTOEVENTO="Manual",$M35=$A$15),$M35&gt;(ROW(PLE.lastrow)-ROW(PLE.firstrow))),0,
           IF(OFFSET(PLE!$G$15,$M35-$A$15,CA$13)="",10^12,OFFSET(PLE!$G$15,$M35-$A$15,CA$13)))</f>
        <v>1000000000000</v>
      </c>
      <c r="CB35" s="172">
        <f t="array" aca="1" ref="CB35" ca="1">IF(OR($D35&lt;&gt;"Serviço",AND(AUTOEVENTO="Manual",$M35=$A$15),$M35&gt;(ROW(PLE.lastrow)-ROW(PLE.firstrow))),0,
           IF(OFFSET(PLE!$G$15,$M35-$A$15,CB$13)="",10^12,OFFSET(PLE!$G$15,$M35-$A$15,CB$13)))</f>
        <v>1000000000000</v>
      </c>
      <c r="CC35" s="172">
        <f t="array" aca="1" ref="CC35" ca="1">IF(OR($D35&lt;&gt;"Serviço",AND(AUTOEVENTO="Manual",$M35=$A$15),$M35&gt;(ROW(PLE.lastrow)-ROW(PLE.firstrow))),0,
           IF(OFFSET(PLE!$G$15,$M35-$A$15,CC$13)="",10^12,OFFSET(PLE!$G$15,$M35-$A$15,CC$13)))</f>
        <v>1000000000000</v>
      </c>
      <c r="CD35" s="172">
        <f t="array" aca="1" ref="CD35" ca="1">IF(OR($D35&lt;&gt;"Serviço",AND(AUTOEVENTO="Manual",$M35=$A$15),$M35&gt;(ROW(PLE.lastrow)-ROW(PLE.firstrow))),0,
           IF(OFFSET(PLE!$G$15,$M35-$A$15,CD$13)="",10^12,OFFSET(PLE!$G$15,$M35-$A$15,CD$13)))</f>
        <v>1000000000000</v>
      </c>
      <c r="CE35" s="172">
        <f t="array" aca="1" ref="CE35" ca="1">IF(OR($D35&lt;&gt;"Serviço",AND(AUTOEVENTO="Manual",$M35=$A$15),$M35&gt;(ROW(PLE.lastrow)-ROW(PLE.firstrow))),0,
           IF(OFFSET(PLE!$G$15,$M35-$A$15,CE$13)="",10^12,OFFSET(PLE!$G$15,$M35-$A$15,CE$13)))</f>
        <v>1000000000000</v>
      </c>
      <c r="CF35" s="172">
        <f t="array" aca="1" ref="CF35" ca="1">IF(OR($D35&lt;&gt;"Serviço",AND(AUTOEVENTO="Manual",$M35=$A$15),$M35&gt;(ROW(PLE.lastrow)-ROW(PLE.firstrow))),0,
           IF(OFFSET(PLE!$G$15,$M35-$A$15,CF$13)="",10^12,OFFSET(PLE!$G$15,$M35-$A$15,CF$13)))</f>
        <v>1000000000000</v>
      </c>
      <c r="CG35" s="172">
        <f t="array" aca="1" ref="CG35" ca="1">IF(OR($D35&lt;&gt;"Serviço",AND(AUTOEVENTO="Manual",$M35=$A$15),$M35&gt;(ROW(PLE.lastrow)-ROW(PLE.firstrow))),0,
           IF(OFFSET(PLE!$G$15,$M35-$A$15,CG$13)="",10^12,OFFSET(PLE!$G$15,$M35-$A$15,CG$13)))</f>
        <v>1000000000000</v>
      </c>
      <c r="CH35" s="172">
        <f t="array" aca="1" ref="CH35" ca="1">IF(OR($D35&lt;&gt;"Serviço",AND(AUTOEVENTO="Manual",$M35=$A$15),$M35&gt;(ROW(PLE.lastrow)-ROW(PLE.firstrow))),0,
           IF(OFFSET(PLE!$G$15,$M35-$A$15,CH$13)="",10^12,OFFSET(PLE!$G$15,$M35-$A$15,CH$13)))</f>
        <v>1000000000000</v>
      </c>
      <c r="CI35" s="172">
        <f t="array" aca="1" ref="CI35" ca="1">IF(OR($D35&lt;&gt;"Serviço",AND(AUTOEVENTO="Manual",$M35=$A$15),$M35&gt;(ROW(PLE.lastrow)-ROW(PLE.firstrow))),0,
           IF(OFFSET(PLE!$G$15,$M35-$A$15,CI$13)="",10^12,OFFSET(PLE!$G$15,$M35-$A$15,CI$13)))</f>
        <v>1000000000000</v>
      </c>
      <c r="CJ35" s="172">
        <f t="array" aca="1" ref="CJ35" ca="1">IF(OR($D35&lt;&gt;"Serviço",AND(AUTOEVENTO="Manual",$M35=$A$15),$M35&gt;(ROW(PLE.lastrow)-ROW(PLE.firstrow))),0,
           IF(OFFSET(PLE!$G$15,$M35-$A$15,CJ$13)="",10^12,OFFSET(PLE!$G$15,$M35-$A$15,CJ$13)))</f>
        <v>1000000000000</v>
      </c>
      <c r="CK35" s="172">
        <f t="array" aca="1" ref="CK35" ca="1">IF(OR($D35&lt;&gt;"Serviço",AND(AUTOEVENTO="Manual",$M35=$A$15),$M35&gt;(ROW(PLE.lastrow)-ROW(PLE.firstrow))),0,
           IF(OFFSET(PLE!$G$15,$M35-$A$15,CK$13)="",10^12,OFFSET(PLE!$G$15,$M35-$A$15,CK$13)))</f>
        <v>1000000000000</v>
      </c>
      <c r="CL35" s="172">
        <f t="array" aca="1" ref="CL35" ca="1">IF(OR($D35&lt;&gt;"Serviço",AND(AUTOEVENTO="Manual",$M35=$A$15),$M35&gt;(ROW(PLE.lastrow)-ROW(PLE.firstrow))),0,
           IF(OFFSET(PLE!$G$15,$M35-$A$15,CL$13)="",10^12,OFFSET(PLE!$G$15,$M35-$A$15,CL$13)))</f>
        <v>1000000000000</v>
      </c>
      <c r="CM35" s="172">
        <f t="array" aca="1" ref="CM35" ca="1">IF(OR($D35&lt;&gt;"Serviço",AND(AUTOEVENTO="Manual",$M35=$A$15),$M35&gt;(ROW(PLE.lastrow)-ROW(PLE.firstrow))),0,
           IF(OFFSET(PLE!$G$15,$M35-$A$15,CM$13)="",10^12,OFFSET(PLE!$G$15,$M35-$A$15,CM$13)))</f>
        <v>1000000000000</v>
      </c>
    </row>
    <row r="36" spans="1:91" s="712" customFormat="1" ht="51" x14ac:dyDescent="0.2">
      <c r="A36" s="710">
        <f ca="1">IFERROR(IF(AUTOEVENTO="Manual",IF(K36&lt;&gt;"",MIN(VALUE(LEFT(K36,FIND(".",K36)-1)),COUNTA(EVENTOS.Lista)),0),IF(OR($B36&gt;AUTOEVENTO,$B36="S",$B36=0),SUBSTITUTE(OFFSET($A36,-1,0),IF($D36="Serviço",".",""),""),$L36&amp;".")),0)</f>
        <v>4</v>
      </c>
      <c r="B36" s="710" t="str">
        <f ca="1">OFFSET(ORÇAMENTO!C$15,$L36,0)</f>
        <v>S</v>
      </c>
      <c r="C36" s="710" t="str">
        <f ca="1">OFFSET(ORÇAMENTO!L$15,$L36,0)</f>
        <v>F</v>
      </c>
      <c r="D36" s="116" t="str">
        <f ca="1">OFFSET(ORÇAMENTO!N$15,$L36,0)</f>
        <v>Serviço</v>
      </c>
      <c r="E36" s="117" t="str">
        <f ca="1">OFFSET(ORÇAMENTO!O$15,$L36,0)</f>
        <v>1.4.5.</v>
      </c>
      <c r="F36" s="163" t="str">
        <f ca="1">OFFSET(ORÇAMENTO!R$15,$L36,0)</f>
        <v>FABRICAÇÃO, MONTAGEM E DESMONTAGEM DE FÔRMA PARA SAPATA, EM CHAPA DE MADEIRA COMPENSADA RESINADA, E=17 MM, 4 UTILIZAÇÕES. AF_01/2024</v>
      </c>
      <c r="G36" s="164" t="str">
        <f ca="1">IF($D36&lt;&gt;"Serviço","",OFFSET(ORÇAMENTO!S$15,$L36,0))</f>
        <v>M2</v>
      </c>
      <c r="H36" s="122">
        <f t="array" aca="1" ref="H36" ca="1">IF($D36&lt;&gt;"Serviço",0,IF(ACOMPANHAMENTO="BM",ROUND(OFFSET(ORÇAMENTO!AJ$15,$L36,0),15-13*ORÇAMENTO!$AF$7),IF(IFERROR(CÁLCULO.FrentesPreenchidas,0)=0,0,SUM(ROUND(OFFSET($P36,0,1,1,CÁLCULO.FrentesPreenchidas),15-13*ORÇAMENTO!$AF$7)))))</f>
        <v>291.2</v>
      </c>
      <c r="I36" s="467" t="s">
        <v>1463</v>
      </c>
      <c r="J36" s="653" t="str">
        <f t="array" aca="1" ref="J36" ca="1">IF(OR(B36&lt;&gt;"S",CÁLCULO.FrentesPreenchidas=0),"",IF(AND(ACOMPANHAMENTO="PLE",AUTOEVENTO="Manual",OR(H36&gt;0,ORÇAMENTO!AC36="QUANT."),OR(K36="",M36=0,N36="")),"►E",IF(AND(ACOMPANHAMENTO="PLE",ORÇAMENTO!AC36="QUANT."),"►Q",IF(AND(ACOMPANHAMENTO="PLE",H36&lt;&gt;SUMPRODUCT(($Q$1:$AI$1=1)*ROUND(Q36:AI36,15))),"►S",IF(AND(COUNTIF($P$11:$AI$11,"▼")=0,H36&gt;0,I36=""),"◄M","")))))</f>
        <v/>
      </c>
      <c r="K36" s="654" t="s">
        <v>1383</v>
      </c>
      <c r="L36" s="165">
        <f ca="1">OFFSET(L36,-1,0)+1</f>
        <v>21</v>
      </c>
      <c r="M36" s="166">
        <f ca="1">IF($D36&lt;&gt;"Serviço","",
          IF(AUTOEVENTO="manual",$A36,
                IF(ISERROR(MATCH($A36,$A$15:OFFSET($A36,-1,0),0)),MAX($M$15:OFFSET(M36,-1,0))+1,
                      INDEX($M$15:OFFSET(M36,-1,0),MATCH($A36,$A$15:OFFSET($A36,-1,0),0)))))</f>
        <v>4</v>
      </c>
      <c r="N36" s="167" t="str">
        <f ca="1">IF($D36&lt;&gt;"Serviço","",
         IF(AUTOEVENTO="Manual",
                IF($A36=0,"&lt;-- defina o número do agrupador",
                       OFFSET(EVENTOS!$D$15,$A36-$A$15,0)),
                OFFSET($F$15,$A36,0)))</f>
        <v>SAPATAS (LOCAÇÃO,ESCAVAÇÕES, FORMAS, AÇO, CONCRETAGEM)</v>
      </c>
      <c r="O36" s="168"/>
      <c r="Q36" s="168">
        <f>14.56*5</f>
        <v>72.8</v>
      </c>
      <c r="R36" s="168">
        <f t="shared" ref="R36:T36" si="14">14.56*5</f>
        <v>72.8</v>
      </c>
      <c r="S36" s="168">
        <f t="shared" si="14"/>
        <v>72.8</v>
      </c>
      <c r="T36" s="168">
        <f t="shared" si="14"/>
        <v>72.8</v>
      </c>
      <c r="U36" s="169"/>
      <c r="V36" s="169"/>
      <c r="W36" s="169"/>
      <c r="X36" s="169"/>
      <c r="Y36" s="169"/>
      <c r="Z36" s="170"/>
      <c r="AA36" s="169"/>
      <c r="AB36" s="169"/>
      <c r="AC36" s="169"/>
      <c r="AD36" s="169"/>
      <c r="AE36" s="169"/>
      <c r="AF36" s="169"/>
      <c r="AG36" s="169"/>
      <c r="AH36" s="170"/>
      <c r="AJ36" s="452">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17038.11</v>
      </c>
      <c r="AK36" s="452">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17038.11</v>
      </c>
      <c r="AL36" s="452">
        <f ca="1">IF(AND($D36="Serviço",AL$12&lt;&gt;0,$H36&gt;0,OR(AUTOEVENTO&lt;&gt;"manual",$M36&lt;&gt;$A$15)),
        IF(Import.TipoArredondamento&lt;&gt;"TransfereGOV",
              ROUND(OFFSET($P36,0,AL$13),15-13*ORÇAMENTO!$AF$7)/$H36*OFFSET(ORÇAMENTO!$X$15,ROW(AL36)-ROW(AL$15),0),
              ROUND(ROUND(OFFSET($P36,0,AL$13),15-13*ORÇAMENTO!$AF$7)*OFFSET(ORÇAMENTO!$W$15,ROW(AL36)-ROW(AL$15),0),15-13*ORÇAMENTO!$AF$11)),
         0)</f>
        <v>17038.11</v>
      </c>
      <c r="AM36" s="452">
        <f ca="1">IF(AND($D36="Serviço",AM$12&lt;&gt;0,$H36&gt;0,OR(AUTOEVENTO&lt;&gt;"manual",$M36&lt;&gt;$A$15)),
        IF(Import.TipoArredondamento&lt;&gt;"TransfereGOV",
              ROUND(OFFSET($P36,0,AM$13),15-13*ORÇAMENTO!$AF$7)/$H36*OFFSET(ORÇAMENTO!$X$15,ROW(AM36)-ROW(AM$15),0),
              ROUND(ROUND(OFFSET($P36,0,AM$13),15-13*ORÇAMENTO!$AF$7)*OFFSET(ORÇAMENTO!$W$15,ROW(AM36)-ROW(AM$15),0),15-13*ORÇAMENTO!$AF$11)),
         0)</f>
        <v>17038.11</v>
      </c>
      <c r="AN36" s="452">
        <f ca="1">IF(AND($D36="Serviço",AN$12&lt;&gt;0,$H36&gt;0,OR(AUTOEVENTO&lt;&gt;"manual",$M36&lt;&gt;$A$15)),
        IF(Import.TipoArredondamento&lt;&gt;"TransfereGOV",
              ROUND(OFFSET($P36,0,AN$13),15-13*ORÇAMENTO!$AF$7)/$H36*OFFSET(ORÇAMENTO!$X$15,ROW(AN36)-ROW(AN$15),0),
              ROUND(ROUND(OFFSET($P36,0,AN$13),15-13*ORÇAMENTO!$AF$7)*OFFSET(ORÇAMENTO!$W$15,ROW(AN36)-ROW(AN$15),0),15-13*ORÇAMENTO!$AF$11)),
         0)</f>
        <v>0</v>
      </c>
      <c r="AO36" s="452">
        <f ca="1">IF(AND($D36="Serviço",AO$12&lt;&gt;0,$H36&gt;0,OR(AUTOEVENTO&lt;&gt;"manual",$M36&lt;&gt;$A$15)),
        IF(Import.TipoArredondamento&lt;&gt;"TransfereGOV",
              ROUND(OFFSET($P36,0,AO$13),15-13*ORÇAMENTO!$AF$7)/$H36*OFFSET(ORÇAMENTO!$X$15,ROW(AO36)-ROW(AO$15),0),
              ROUND(ROUND(OFFSET($P36,0,AO$13),15-13*ORÇAMENTO!$AF$7)*OFFSET(ORÇAMENTO!$W$15,ROW(AO36)-ROW(AO$15),0),15-13*ORÇAMENTO!$AF$11)),
         0)</f>
        <v>0</v>
      </c>
      <c r="AP36" s="452">
        <f ca="1">IF(AND($D36="Serviço",AP$12&lt;&gt;0,$H36&gt;0,OR(AUTOEVENTO&lt;&gt;"manual",$M36&lt;&gt;$A$15)),
        IF(Import.TipoArredondamento&lt;&gt;"TransfereGOV",
              ROUND(OFFSET($P36,0,AP$13),15-13*ORÇAMENTO!$AF$7)/$H36*OFFSET(ORÇAMENTO!$X$15,ROW(AP36)-ROW(AP$15),0),
              ROUND(ROUND(OFFSET($P36,0,AP$13),15-13*ORÇAMENTO!$AF$7)*OFFSET(ORÇAMENTO!$W$15,ROW(AP36)-ROW(AP$15),0),15-13*ORÇAMENTO!$AF$11)),
         0)</f>
        <v>0</v>
      </c>
      <c r="AQ36" s="452">
        <f ca="1">IF(AND($D36="Serviço",AQ$12&lt;&gt;0,$H36&gt;0,OR(AUTOEVENTO&lt;&gt;"manual",$M36&lt;&gt;$A$15)),
        IF(Import.TipoArredondamento&lt;&gt;"TransfereGOV",
              ROUND(OFFSET($P36,0,AQ$13),15-13*ORÇAMENTO!$AF$7)/$H36*OFFSET(ORÇAMENTO!$X$15,ROW(AQ36)-ROW(AQ$15),0),
              ROUND(ROUND(OFFSET($P36,0,AQ$13),15-13*ORÇAMENTO!$AF$7)*OFFSET(ORÇAMENTO!$W$15,ROW(AQ36)-ROW(AQ$15),0),15-13*ORÇAMENTO!$AF$11)),
         0)</f>
        <v>0</v>
      </c>
      <c r="AR36" s="452">
        <f ca="1">IF(AND($D36="Serviço",AR$12&lt;&gt;0,$H36&gt;0,OR(AUTOEVENTO&lt;&gt;"manual",$M36&lt;&gt;$A$15)),
        IF(Import.TipoArredondamento&lt;&gt;"TransfereGOV",
              ROUND(OFFSET($P36,0,AR$13),15-13*ORÇAMENTO!$AF$7)/$H36*OFFSET(ORÇAMENTO!$X$15,ROW(AR36)-ROW(AR$15),0),
              ROUND(ROUND(OFFSET($P36,0,AR$13),15-13*ORÇAMENTO!$AF$7)*OFFSET(ORÇAMENTO!$W$15,ROW(AR36)-ROW(AR$15),0),15-13*ORÇAMENTO!$AF$11)),
         0)</f>
        <v>0</v>
      </c>
      <c r="AS36" s="452">
        <f ca="1">IF(AND($D36="Serviço",AS$12&lt;&gt;0,$H36&gt;0,OR(AUTOEVENTO&lt;&gt;"manual",$M36&lt;&gt;$A$15)),
        IF(Import.TipoArredondamento&lt;&gt;"TransfereGOV",
              ROUND(OFFSET($P36,0,AS$13),15-13*ORÇAMENTO!$AF$7)/$H36*OFFSET(ORÇAMENTO!$X$15,ROW(AS36)-ROW(AS$15),0),
              ROUND(ROUND(OFFSET($P36,0,AS$13),15-13*ORÇAMENTO!$AF$7)*OFFSET(ORÇAMENTO!$W$15,ROW(AS36)-ROW(AS$15),0),15-13*ORÇAMENTO!$AF$11)),
         0)</f>
        <v>0</v>
      </c>
      <c r="AT36" s="452">
        <f ca="1">IF(AND($D36="Serviço",AT$12&lt;&gt;0,$H36&gt;0,OR(AUTOEVENTO&lt;&gt;"manual",$M36&lt;&gt;$A$15)),
        IF(Import.TipoArredondamento&lt;&gt;"TransfereGOV",
              ROUND(OFFSET($P36,0,AT$13),15-13*ORÇAMENTO!$AF$7)/$H36*OFFSET(ORÇAMENTO!$X$15,ROW(AT36)-ROW(AT$15),0),
              ROUND(ROUND(OFFSET($P36,0,AT$13),15-13*ORÇAMENTO!$AF$7)*OFFSET(ORÇAMENTO!$W$15,ROW(AT36)-ROW(AT$15),0),15-13*ORÇAMENTO!$AF$11)),
         0)</f>
        <v>0</v>
      </c>
      <c r="AU36" s="452">
        <f ca="1">IF(AND($D36="Serviço",AU$12&lt;&gt;0,$H36&gt;0,OR(AUTOEVENTO&lt;&gt;"manual",$M36&lt;&gt;$A$15)),
        IF(Import.TipoArredondamento&lt;&gt;"TransfereGOV",
              ROUND(OFFSET($P36,0,AU$13),15-13*ORÇAMENTO!$AF$7)/$H36*OFFSET(ORÇAMENTO!$X$15,ROW(AU36)-ROW(AU$15),0),
              ROUND(ROUND(OFFSET($P36,0,AU$13),15-13*ORÇAMENTO!$AF$7)*OFFSET(ORÇAMENTO!$W$15,ROW(AU36)-ROW(AU$15),0),15-13*ORÇAMENTO!$AF$11)),
         0)</f>
        <v>0</v>
      </c>
      <c r="AV36" s="452">
        <f ca="1">IF(AND($D36="Serviço",AV$12&lt;&gt;0,$H36&gt;0,OR(AUTOEVENTO&lt;&gt;"manual",$M36&lt;&gt;$A$15)),
        IF(Import.TipoArredondamento&lt;&gt;"TransfereGOV",
              ROUND(OFFSET($P36,0,AV$13),15-13*ORÇAMENTO!$AF$7)/$H36*OFFSET(ORÇAMENTO!$X$15,ROW(AV36)-ROW(AV$15),0),
              ROUND(ROUND(OFFSET($P36,0,AV$13),15-13*ORÇAMENTO!$AF$7)*OFFSET(ORÇAMENTO!$W$15,ROW(AV36)-ROW(AV$15),0),15-13*ORÇAMENTO!$AF$11)),
         0)</f>
        <v>0</v>
      </c>
      <c r="AW36" s="452">
        <f ca="1">IF(AND($D36="Serviço",AW$12&lt;&gt;0,$H36&gt;0,OR(AUTOEVENTO&lt;&gt;"manual",$M36&lt;&gt;$A$15)),
        IF(Import.TipoArredondamento&lt;&gt;"TransfereGOV",
              ROUND(OFFSET($P36,0,AW$13),15-13*ORÇAMENTO!$AF$7)/$H36*OFFSET(ORÇAMENTO!$X$15,ROW(AW36)-ROW(AW$15),0),
              ROUND(ROUND(OFFSET($P36,0,AW$13),15-13*ORÇAMENTO!$AF$7)*OFFSET(ORÇAMENTO!$W$15,ROW(AW36)-ROW(AW$15),0),15-13*ORÇAMENTO!$AF$11)),
         0)</f>
        <v>0</v>
      </c>
      <c r="AX36" s="452">
        <f ca="1">IF(AND($D36="Serviço",AX$12&lt;&gt;0,$H36&gt;0,OR(AUTOEVENTO&lt;&gt;"manual",$M36&lt;&gt;$A$15)),
        IF(Import.TipoArredondamento&lt;&gt;"TransfereGOV",
              ROUND(OFFSET($P36,0,AX$13),15-13*ORÇAMENTO!$AF$7)/$H36*OFFSET(ORÇAMENTO!$X$15,ROW(AX36)-ROW(AX$15),0),
              ROUND(ROUND(OFFSET($P36,0,AX$13),15-13*ORÇAMENTO!$AF$7)*OFFSET(ORÇAMENTO!$W$15,ROW(AX36)-ROW(AX$15),0),15-13*ORÇAMENTO!$AF$11)),
         0)</f>
        <v>0</v>
      </c>
      <c r="AY36" s="452">
        <f ca="1">IF(AND($D36="Serviço",AY$12&lt;&gt;0,$H36&gt;0,OR(AUTOEVENTO&lt;&gt;"manual",$M36&lt;&gt;$A$15)),
        IF(Import.TipoArredondamento&lt;&gt;"TransfereGOV",
              ROUND(OFFSET($P36,0,AY$13),15-13*ORÇAMENTO!$AF$7)/$H36*OFFSET(ORÇAMENTO!$X$15,ROW(AY36)-ROW(AY$15),0),
              ROUND(ROUND(OFFSET($P36,0,AY$13),15-13*ORÇAMENTO!$AF$7)*OFFSET(ORÇAMENTO!$W$15,ROW(AY36)-ROW(AY$15),0),15-13*ORÇAMENTO!$AF$11)),
         0)</f>
        <v>0</v>
      </c>
      <c r="AZ36" s="452">
        <f ca="1">IF(AND($D36="Serviço",AZ$12&lt;&gt;0,$H36&gt;0,OR(AUTOEVENTO&lt;&gt;"manual",$M36&lt;&gt;$A$15)),
        IF(Import.TipoArredondamento&lt;&gt;"TransfereGOV",
              ROUND(OFFSET($P36,0,AZ$13),15-13*ORÇAMENTO!$AF$7)/$H36*OFFSET(ORÇAMENTO!$X$15,ROW(AZ36)-ROW(AZ$15),0),
              ROUND(ROUND(OFFSET($P36,0,AZ$13),15-13*ORÇAMENTO!$AF$7)*OFFSET(ORÇAMENTO!$W$15,ROW(AZ36)-ROW(AZ$15),0),15-13*ORÇAMENTO!$AF$11)),
         0)</f>
        <v>0</v>
      </c>
      <c r="BA36" s="452">
        <f ca="1">IF(AND($D36="Serviço",BA$12&lt;&gt;0,$H36&gt;0,OR(AUTOEVENTO&lt;&gt;"manual",$M36&lt;&gt;$A$15)),
        IF(Import.TipoArredondamento&lt;&gt;"TransfereGOV",
              ROUND(OFFSET($P36,0,BA$13),15-13*ORÇAMENTO!$AF$7)/$H36*OFFSET(ORÇAMENTO!$X$15,ROW(BA36)-ROW(BA$15),0),
              ROUND(ROUND(OFFSET($P36,0,BA$13),15-13*ORÇAMENTO!$AF$7)*OFFSET(ORÇAMENTO!$W$15,ROW(BA36)-ROW(BA$15),0),15-13*ORÇAMENTO!$AF$11)),
         0)</f>
        <v>0</v>
      </c>
      <c r="BC36" s="171">
        <f ca="1">IF(OR($D36&lt;&gt;"Serviço",AND(AUTOEVENTO="Manual",$M36=$A$15)),0,
         IF(OFFSET(CRONOPLE!$F$15,$M36-$A$15,BC$13)=0,10^12,OFFSET(CRONOPLE!$F$15,$M36-$A$15,BC$13)))</f>
        <v>2</v>
      </c>
      <c r="BD36" s="171">
        <f ca="1">IF(OR($D36&lt;&gt;"Serviço",AND(AUTOEVENTO="Manual",$M36=$A$15)),0,
         IF(OFFSET(CRONOPLE!$F$15,$M36-$A$15,BD$13)=0,10^12,OFFSET(CRONOPLE!$F$15,$M36-$A$15,BD$13)))</f>
        <v>2</v>
      </c>
      <c r="BE36" s="171">
        <f ca="1">IF(OR($D36&lt;&gt;"Serviço",AND(AUTOEVENTO="Manual",$M36=$A$15)),0,
         IF(OFFSET(CRONOPLE!$F$15,$M36-$A$15,BE$13)=0,10^12,OFFSET(CRONOPLE!$F$15,$M36-$A$15,BE$13)))</f>
        <v>3</v>
      </c>
      <c r="BF36" s="171">
        <f ca="1">IF(OR($D36&lt;&gt;"Serviço",AND(AUTOEVENTO="Manual",$M36=$A$15)),0,
         IF(OFFSET(CRONOPLE!$F$15,$M36-$A$15,BF$13)=0,10^12,OFFSET(CRONOPLE!$F$15,$M36-$A$15,BF$13)))</f>
        <v>3</v>
      </c>
      <c r="BG36" s="171">
        <f ca="1">IF(OR($D36&lt;&gt;"Serviço",AND(AUTOEVENTO="Manual",$M36=$A$15)),0,
         IF(OFFSET(CRONOPLE!$F$15,$M36-$A$15,BG$13)=0,10^12,OFFSET(CRONOPLE!$F$15,$M36-$A$15,BG$13)))</f>
        <v>3</v>
      </c>
      <c r="BH36" s="171">
        <f ca="1">IF(OR($D36&lt;&gt;"Serviço",AND(AUTOEVENTO="Manual",$M36=$A$15)),0,
         IF(OFFSET(CRONOPLE!$F$15,$M36-$A$15,BH$13)=0,10^12,OFFSET(CRONOPLE!$F$15,$M36-$A$15,BH$13)))</f>
        <v>1000000000000</v>
      </c>
      <c r="BI36" s="171">
        <f ca="1">IF(OR($D36&lt;&gt;"Serviço",AND(AUTOEVENTO="Manual",$M36=$A$15)),0,
         IF(OFFSET(CRONOPLE!$F$15,$M36-$A$15,BI$13)=0,10^12,OFFSET(CRONOPLE!$F$15,$M36-$A$15,BI$13)))</f>
        <v>1000000000000</v>
      </c>
      <c r="BJ36" s="171">
        <f ca="1">IF(OR($D36&lt;&gt;"Serviço",AND(AUTOEVENTO="Manual",$M36=$A$15)),0,
         IF(OFFSET(CRONOPLE!$F$15,$M36-$A$15,BJ$13)=0,10^12,OFFSET(CRONOPLE!$F$15,$M36-$A$15,BJ$13)))</f>
        <v>1000000000000</v>
      </c>
      <c r="BK36" s="171">
        <f ca="1">IF(OR($D36&lt;&gt;"Serviço",AND(AUTOEVENTO="Manual",$M36=$A$15)),0,
         IF(OFFSET(CRONOPLE!$F$15,$M36-$A$15,BK$13)=0,10^12,OFFSET(CRONOPLE!$F$15,$M36-$A$15,BK$13)))</f>
        <v>1000000000000</v>
      </c>
      <c r="BL36" s="171">
        <f ca="1">IF(OR($D36&lt;&gt;"Serviço",AND(AUTOEVENTO="Manual",$M36=$A$15)),0,
         IF(OFFSET(CRONOPLE!$F$15,$M36-$A$15,BL$13)=0,10^12,OFFSET(CRONOPLE!$F$15,$M36-$A$15,BL$13)))</f>
        <v>1000000000000</v>
      </c>
      <c r="BM36" s="171">
        <f ca="1">IF(OR($D36&lt;&gt;"Serviço",AND(AUTOEVENTO="Manual",$M36=$A$15)),0,
         IF(OFFSET(CRONOPLE!$F$15,$M36-$A$15,BM$13)=0,10^12,OFFSET(CRONOPLE!$F$15,$M36-$A$15,BM$13)))</f>
        <v>1000000000000</v>
      </c>
      <c r="BN36" s="171">
        <f ca="1">IF(OR($D36&lt;&gt;"Serviço",AND(AUTOEVENTO="Manual",$M36=$A$15)),0,
         IF(OFFSET(CRONOPLE!$F$15,$M36-$A$15,BN$13)=0,10^12,OFFSET(CRONOPLE!$F$15,$M36-$A$15,BN$13)))</f>
        <v>1000000000000</v>
      </c>
      <c r="BO36" s="171">
        <f ca="1">IF(OR($D36&lt;&gt;"Serviço",AND(AUTOEVENTO="Manual",$M36=$A$15)),0,
         IF(OFFSET(CRONOPLE!$F$15,$M36-$A$15,BO$13)=0,10^12,OFFSET(CRONOPLE!$F$15,$M36-$A$15,BO$13)))</f>
        <v>1000000000000</v>
      </c>
      <c r="BP36" s="171">
        <f ca="1">IF(OR($D36&lt;&gt;"Serviço",AND(AUTOEVENTO="Manual",$M36=$A$15)),0,
         IF(OFFSET(CRONOPLE!$F$15,$M36-$A$15,BP$13)=0,10^12,OFFSET(CRONOPLE!$F$15,$M36-$A$15,BP$13)))</f>
        <v>1000000000000</v>
      </c>
      <c r="BQ36" s="171">
        <f ca="1">IF(OR($D36&lt;&gt;"Serviço",AND(AUTOEVENTO="Manual",$M36=$A$15)),0,
         IF(OFFSET(CRONOPLE!$F$15,$M36-$A$15,BQ$13)=0,10^12,OFFSET(CRONOPLE!$F$15,$M36-$A$15,BQ$13)))</f>
        <v>1000000000000</v>
      </c>
      <c r="BR36" s="171">
        <f ca="1">IF(OR($D36&lt;&gt;"Serviço",AND(AUTOEVENTO="Manual",$M36=$A$15)),0,
         IF(OFFSET(CRONOPLE!$F$15,$M36-$A$15,BR$13)=0,10^12,OFFSET(CRONOPLE!$F$15,$M36-$A$15,BR$13)))</f>
        <v>1000000000000</v>
      </c>
      <c r="BS36" s="171">
        <f ca="1">IF(OR($D36&lt;&gt;"Serviço",AND(AUTOEVENTO="Manual",$M36=$A$15)),0,
         IF(OFFSET(CRONOPLE!$F$15,$M36-$A$15,BS$13)=0,10^12,OFFSET(CRONOPLE!$F$15,$M36-$A$15,BS$13)))</f>
        <v>1000000000000</v>
      </c>
      <c r="BT36" s="171">
        <f ca="1">IF(OR($D36&lt;&gt;"Serviço",AND(AUTOEVENTO="Manual",$M36=$A$15)),0,
         IF(OFFSET(CRONOPLE!$F$15,$M36-$A$15,BT$13)=0,10^12,OFFSET(CRONOPLE!$F$15,$M36-$A$15,BT$13)))</f>
        <v>1000000000000</v>
      </c>
      <c r="BV36" s="172">
        <f t="array" aca="1" ref="BV36" ca="1">IF(OR($D36&lt;&gt;"Serviço",AND(AUTOEVENTO="Manual",$M36=$A$15),$M36&gt;(ROW(PLE.lastrow)-ROW(PLE.firstrow))),0,
           IF(OFFSET(PLE!$G$15,$M36-$A$15,BV$13)="",10^12,OFFSET(PLE!$G$15,$M36-$A$15,BV$13)))</f>
        <v>1000000000000</v>
      </c>
      <c r="BW36" s="172">
        <f t="array" aca="1" ref="BW36" ca="1">IF(OR($D36&lt;&gt;"Serviço",AND(AUTOEVENTO="Manual",$M36=$A$15),$M36&gt;(ROW(PLE.lastrow)-ROW(PLE.firstrow))),0,
           IF(OFFSET(PLE!$G$15,$M36-$A$15,BW$13)="",10^12,OFFSET(PLE!$G$15,$M36-$A$15,BW$13)))</f>
        <v>1000000000000</v>
      </c>
      <c r="BX36" s="172">
        <f t="array" aca="1" ref="BX36" ca="1">IF(OR($D36&lt;&gt;"Serviço",AND(AUTOEVENTO="Manual",$M36=$A$15),$M36&gt;(ROW(PLE.lastrow)-ROW(PLE.firstrow))),0,
           IF(OFFSET(PLE!$G$15,$M36-$A$15,BX$13)="",10^12,OFFSET(PLE!$G$15,$M36-$A$15,BX$13)))</f>
        <v>1000000000000</v>
      </c>
      <c r="BY36" s="172">
        <f t="array" aca="1" ref="BY36" ca="1">IF(OR($D36&lt;&gt;"Serviço",AND(AUTOEVENTO="Manual",$M36=$A$15),$M36&gt;(ROW(PLE.lastrow)-ROW(PLE.firstrow))),0,
           IF(OFFSET(PLE!$G$15,$M36-$A$15,BY$13)="",10^12,OFFSET(PLE!$G$15,$M36-$A$15,BY$13)))</f>
        <v>1000000000000</v>
      </c>
      <c r="BZ36" s="172">
        <f t="array" aca="1" ref="BZ36" ca="1">IF(OR($D36&lt;&gt;"Serviço",AND(AUTOEVENTO="Manual",$M36=$A$15),$M36&gt;(ROW(PLE.lastrow)-ROW(PLE.firstrow))),0,
           IF(OFFSET(PLE!$G$15,$M36-$A$15,BZ$13)="",10^12,OFFSET(PLE!$G$15,$M36-$A$15,BZ$13)))</f>
        <v>1000000000000</v>
      </c>
      <c r="CA36" s="172">
        <f t="array" aca="1" ref="CA36" ca="1">IF(OR($D36&lt;&gt;"Serviço",AND(AUTOEVENTO="Manual",$M36=$A$15),$M36&gt;(ROW(PLE.lastrow)-ROW(PLE.firstrow))),0,
           IF(OFFSET(PLE!$G$15,$M36-$A$15,CA$13)="",10^12,OFFSET(PLE!$G$15,$M36-$A$15,CA$13)))</f>
        <v>1000000000000</v>
      </c>
      <c r="CB36" s="172">
        <f t="array" aca="1" ref="CB36" ca="1">IF(OR($D36&lt;&gt;"Serviço",AND(AUTOEVENTO="Manual",$M36=$A$15),$M36&gt;(ROW(PLE.lastrow)-ROW(PLE.firstrow))),0,
           IF(OFFSET(PLE!$G$15,$M36-$A$15,CB$13)="",10^12,OFFSET(PLE!$G$15,$M36-$A$15,CB$13)))</f>
        <v>1000000000000</v>
      </c>
      <c r="CC36" s="172">
        <f t="array" aca="1" ref="CC36" ca="1">IF(OR($D36&lt;&gt;"Serviço",AND(AUTOEVENTO="Manual",$M36=$A$15),$M36&gt;(ROW(PLE.lastrow)-ROW(PLE.firstrow))),0,
           IF(OFFSET(PLE!$G$15,$M36-$A$15,CC$13)="",10^12,OFFSET(PLE!$G$15,$M36-$A$15,CC$13)))</f>
        <v>1000000000000</v>
      </c>
      <c r="CD36" s="172">
        <f t="array" aca="1" ref="CD36" ca="1">IF(OR($D36&lt;&gt;"Serviço",AND(AUTOEVENTO="Manual",$M36=$A$15),$M36&gt;(ROW(PLE.lastrow)-ROW(PLE.firstrow))),0,
           IF(OFFSET(PLE!$G$15,$M36-$A$15,CD$13)="",10^12,OFFSET(PLE!$G$15,$M36-$A$15,CD$13)))</f>
        <v>1000000000000</v>
      </c>
      <c r="CE36" s="172">
        <f t="array" aca="1" ref="CE36" ca="1">IF(OR($D36&lt;&gt;"Serviço",AND(AUTOEVENTO="Manual",$M36=$A$15),$M36&gt;(ROW(PLE.lastrow)-ROW(PLE.firstrow))),0,
           IF(OFFSET(PLE!$G$15,$M36-$A$15,CE$13)="",10^12,OFFSET(PLE!$G$15,$M36-$A$15,CE$13)))</f>
        <v>1000000000000</v>
      </c>
      <c r="CF36" s="172">
        <f t="array" aca="1" ref="CF36" ca="1">IF(OR($D36&lt;&gt;"Serviço",AND(AUTOEVENTO="Manual",$M36=$A$15),$M36&gt;(ROW(PLE.lastrow)-ROW(PLE.firstrow))),0,
           IF(OFFSET(PLE!$G$15,$M36-$A$15,CF$13)="",10^12,OFFSET(PLE!$G$15,$M36-$A$15,CF$13)))</f>
        <v>1000000000000</v>
      </c>
      <c r="CG36" s="172">
        <f t="array" aca="1" ref="CG36" ca="1">IF(OR($D36&lt;&gt;"Serviço",AND(AUTOEVENTO="Manual",$M36=$A$15),$M36&gt;(ROW(PLE.lastrow)-ROW(PLE.firstrow))),0,
           IF(OFFSET(PLE!$G$15,$M36-$A$15,CG$13)="",10^12,OFFSET(PLE!$G$15,$M36-$A$15,CG$13)))</f>
        <v>1000000000000</v>
      </c>
      <c r="CH36" s="172">
        <f t="array" aca="1" ref="CH36" ca="1">IF(OR($D36&lt;&gt;"Serviço",AND(AUTOEVENTO="Manual",$M36=$A$15),$M36&gt;(ROW(PLE.lastrow)-ROW(PLE.firstrow))),0,
           IF(OFFSET(PLE!$G$15,$M36-$A$15,CH$13)="",10^12,OFFSET(PLE!$G$15,$M36-$A$15,CH$13)))</f>
        <v>1000000000000</v>
      </c>
      <c r="CI36" s="172">
        <f t="array" aca="1" ref="CI36" ca="1">IF(OR($D36&lt;&gt;"Serviço",AND(AUTOEVENTO="Manual",$M36=$A$15),$M36&gt;(ROW(PLE.lastrow)-ROW(PLE.firstrow))),0,
           IF(OFFSET(PLE!$G$15,$M36-$A$15,CI$13)="",10^12,OFFSET(PLE!$G$15,$M36-$A$15,CI$13)))</f>
        <v>1000000000000</v>
      </c>
      <c r="CJ36" s="172">
        <f t="array" aca="1" ref="CJ36" ca="1">IF(OR($D36&lt;&gt;"Serviço",AND(AUTOEVENTO="Manual",$M36=$A$15),$M36&gt;(ROW(PLE.lastrow)-ROW(PLE.firstrow))),0,
           IF(OFFSET(PLE!$G$15,$M36-$A$15,CJ$13)="",10^12,OFFSET(PLE!$G$15,$M36-$A$15,CJ$13)))</f>
        <v>1000000000000</v>
      </c>
      <c r="CK36" s="172">
        <f t="array" aca="1" ref="CK36" ca="1">IF(OR($D36&lt;&gt;"Serviço",AND(AUTOEVENTO="Manual",$M36=$A$15),$M36&gt;(ROW(PLE.lastrow)-ROW(PLE.firstrow))),0,
           IF(OFFSET(PLE!$G$15,$M36-$A$15,CK$13)="",10^12,OFFSET(PLE!$G$15,$M36-$A$15,CK$13)))</f>
        <v>1000000000000</v>
      </c>
      <c r="CL36" s="172">
        <f t="array" aca="1" ref="CL36" ca="1">IF(OR($D36&lt;&gt;"Serviço",AND(AUTOEVENTO="Manual",$M36=$A$15),$M36&gt;(ROW(PLE.lastrow)-ROW(PLE.firstrow))),0,
           IF(OFFSET(PLE!$G$15,$M36-$A$15,CL$13)="",10^12,OFFSET(PLE!$G$15,$M36-$A$15,CL$13)))</f>
        <v>1000000000000</v>
      </c>
      <c r="CM36" s="172">
        <f t="array" aca="1" ref="CM36" ca="1">IF(OR($D36&lt;&gt;"Serviço",AND(AUTOEVENTO="Manual",$M36=$A$15),$M36&gt;(ROW(PLE.lastrow)-ROW(PLE.firstrow))),0,
           IF(OFFSET(PLE!$G$15,$M36-$A$15,CM$13)="",10^12,OFFSET(PLE!$G$15,$M36-$A$15,CM$13)))</f>
        <v>1000000000000</v>
      </c>
    </row>
    <row r="37" spans="1:91" s="696" customFormat="1" ht="51" x14ac:dyDescent="0.2">
      <c r="A37" s="694">
        <f t="shared" ca="1" si="10"/>
        <v>4</v>
      </c>
      <c r="B37" s="694" t="str">
        <f ca="1">OFFSET(ORÇAMENTO!C$15,$L37,0)</f>
        <v>S</v>
      </c>
      <c r="C37" s="694" t="str">
        <f ca="1">OFFSET(ORÇAMENTO!L$15,$L37,0)</f>
        <v>F</v>
      </c>
      <c r="D37" s="116" t="str">
        <f ca="1">OFFSET(ORÇAMENTO!N$15,$L37,0)</f>
        <v>Serviço</v>
      </c>
      <c r="E37" s="117" t="str">
        <f ca="1">OFFSET(ORÇAMENTO!O$15,$L37,0)</f>
        <v>1.4.6.</v>
      </c>
      <c r="F37" s="163" t="str">
        <f ca="1">OFFSET(ORÇAMENTO!R$15,$L37,0)</f>
        <v>ARMAÇÃO DE SAPATA ISOLADA, VIGA BALDRAME E SAPATA CORRIDA UTILIZANDO AÇO CA-50 DE 10 MM - MONTAGEM. AF_01/2024</v>
      </c>
      <c r="G37" s="164" t="str">
        <f ca="1">IF($D37&lt;&gt;"Serviço","",OFFSET(ORÇAMENTO!S$15,$L37,0))</f>
        <v>KG</v>
      </c>
      <c r="H37" s="122">
        <f t="array" aca="1" ref="H37" ca="1">IF($D37&lt;&gt;"Serviço",0,IF(ACOMPANHAMENTO="BM",ROUND(OFFSET(ORÇAMENTO!AJ$15,$L37,0),15-13*ORÇAMENTO!$AF$7),IF(IFERROR(CÁLCULO.FrentesPreenchidas,0)=0,0,SUM(ROUND(OFFSET($P37,0,1,1,CÁLCULO.FrentesPreenchidas),15-13*ORÇAMENTO!$AF$7)))))</f>
        <v>1014</v>
      </c>
      <c r="I37" s="467" t="s">
        <v>1221</v>
      </c>
      <c r="J37" s="653" t="str">
        <f t="array" aca="1" ref="J37" ca="1">IF(OR(B37&lt;&gt;"S",CÁLCULO.FrentesPreenchidas=0),"",IF(AND(ACOMPANHAMENTO="PLE",AUTOEVENTO="Manual",OR(H37&gt;0,ORÇAMENTO!AC37="QUANT."),OR(K37="",M37=0,N37="")),"►E",IF(AND(ACOMPANHAMENTO="PLE",ORÇAMENTO!AC37="QUANT."),"►Q",IF(AND(ACOMPANHAMENTO="PLE",H37&lt;&gt;SUMPRODUCT(($Q$1:$AI$1=1)*ROUND(Q37:AI37,15))),"►S",IF(AND(COUNTIF($P$11:$AI$11,"▼")=0,H37&gt;0,I37=""),"◄M","")))))</f>
        <v/>
      </c>
      <c r="K37" s="654" t="s">
        <v>1383</v>
      </c>
      <c r="L37" s="165">
        <f t="shared" ca="1" si="11"/>
        <v>22</v>
      </c>
      <c r="M37" s="166">
        <f ca="1">IF($D37&lt;&gt;"Serviço","",
          IF(AUTOEVENTO="manual",$A37,
                IF(ISERROR(MATCH($A37,$A$15:OFFSET($A37,-1,0),0)),MAX($M$15:OFFSET(M37,-1,0))+1,
                      INDEX($M$15:OFFSET(M37,-1,0),MATCH($A37,$A$15:OFFSET($A37,-1,0),0)))))</f>
        <v>4</v>
      </c>
      <c r="N37" s="167" t="str">
        <f ca="1">IF($D37&lt;&gt;"Serviço","",
         IF(AUTOEVENTO="Manual",
                IF($A37=0,"&lt;-- defina o número do agrupador",
                       OFFSET(EVENTOS!$D$15,$A37-$A$15,0)),
                OFFSET($F$15,$A37,0)))</f>
        <v>SAPATAS (LOCAÇÃO,ESCAVAÇÕES, FORMAS, AÇO, CONCRETAGEM)</v>
      </c>
      <c r="O37" s="168"/>
      <c r="Q37" s="169">
        <f>50.7*5</f>
        <v>253.5</v>
      </c>
      <c r="R37" s="169">
        <f t="shared" ref="R37:T37" si="15">50.7*5</f>
        <v>253.5</v>
      </c>
      <c r="S37" s="169">
        <f t="shared" si="15"/>
        <v>253.5</v>
      </c>
      <c r="T37" s="169">
        <f t="shared" si="15"/>
        <v>253.5</v>
      </c>
      <c r="U37" s="169"/>
      <c r="V37" s="169"/>
      <c r="W37" s="169"/>
      <c r="X37" s="169"/>
      <c r="Y37" s="169"/>
      <c r="Z37" s="170"/>
      <c r="AA37" s="169"/>
      <c r="AB37" s="169"/>
      <c r="AC37" s="169"/>
      <c r="AD37" s="169"/>
      <c r="AE37" s="169"/>
      <c r="AF37" s="169"/>
      <c r="AG37" s="169"/>
      <c r="AH37" s="170"/>
      <c r="AJ37" s="452">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3625.05</v>
      </c>
      <c r="AK37" s="452">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3625.05</v>
      </c>
      <c r="AL37" s="452">
        <f ca="1">IF(AND($D37="Serviço",AL$12&lt;&gt;0,$H37&gt;0,OR(AUTOEVENTO&lt;&gt;"manual",$M37&lt;&gt;$A$15)),
        IF(Import.TipoArredondamento&lt;&gt;"TransfereGOV",
              ROUND(OFFSET($P37,0,AL$13),15-13*ORÇAMENTO!$AF$7)/$H37*OFFSET(ORÇAMENTO!$X$15,ROW(AL37)-ROW(AL$15),0),
              ROUND(ROUND(OFFSET($P37,0,AL$13),15-13*ORÇAMENTO!$AF$7)*OFFSET(ORÇAMENTO!$W$15,ROW(AL37)-ROW(AL$15),0),15-13*ORÇAMENTO!$AF$11)),
         0)</f>
        <v>3625.05</v>
      </c>
      <c r="AM37" s="452">
        <f ca="1">IF(AND($D37="Serviço",AM$12&lt;&gt;0,$H37&gt;0,OR(AUTOEVENTO&lt;&gt;"manual",$M37&lt;&gt;$A$15)),
        IF(Import.TipoArredondamento&lt;&gt;"TransfereGOV",
              ROUND(OFFSET($P37,0,AM$13),15-13*ORÇAMENTO!$AF$7)/$H37*OFFSET(ORÇAMENTO!$X$15,ROW(AM37)-ROW(AM$15),0),
              ROUND(ROUND(OFFSET($P37,0,AM$13),15-13*ORÇAMENTO!$AF$7)*OFFSET(ORÇAMENTO!$W$15,ROW(AM37)-ROW(AM$15),0),15-13*ORÇAMENTO!$AF$11)),
         0)</f>
        <v>3625.05</v>
      </c>
      <c r="AN37" s="452">
        <f ca="1">IF(AND($D37="Serviço",AN$12&lt;&gt;0,$H37&gt;0,OR(AUTOEVENTO&lt;&gt;"manual",$M37&lt;&gt;$A$15)),
        IF(Import.TipoArredondamento&lt;&gt;"TransfereGOV",
              ROUND(OFFSET($P37,0,AN$13),15-13*ORÇAMENTO!$AF$7)/$H37*OFFSET(ORÇAMENTO!$X$15,ROW(AN37)-ROW(AN$15),0),
              ROUND(ROUND(OFFSET($P37,0,AN$13),15-13*ORÇAMENTO!$AF$7)*OFFSET(ORÇAMENTO!$W$15,ROW(AN37)-ROW(AN$15),0),15-13*ORÇAMENTO!$AF$11)),
         0)</f>
        <v>0</v>
      </c>
      <c r="AO37" s="452">
        <f ca="1">IF(AND($D37="Serviço",AO$12&lt;&gt;0,$H37&gt;0,OR(AUTOEVENTO&lt;&gt;"manual",$M37&lt;&gt;$A$15)),
        IF(Import.TipoArredondamento&lt;&gt;"TransfereGOV",
              ROUND(OFFSET($P37,0,AO$13),15-13*ORÇAMENTO!$AF$7)/$H37*OFFSET(ORÇAMENTO!$X$15,ROW(AO37)-ROW(AO$15),0),
              ROUND(ROUND(OFFSET($P37,0,AO$13),15-13*ORÇAMENTO!$AF$7)*OFFSET(ORÇAMENTO!$W$15,ROW(AO37)-ROW(AO$15),0),15-13*ORÇAMENTO!$AF$11)),
         0)</f>
        <v>0</v>
      </c>
      <c r="AP37" s="452">
        <f ca="1">IF(AND($D37="Serviço",AP$12&lt;&gt;0,$H37&gt;0,OR(AUTOEVENTO&lt;&gt;"manual",$M37&lt;&gt;$A$15)),
        IF(Import.TipoArredondamento&lt;&gt;"TransfereGOV",
              ROUND(OFFSET($P37,0,AP$13),15-13*ORÇAMENTO!$AF$7)/$H37*OFFSET(ORÇAMENTO!$X$15,ROW(AP37)-ROW(AP$15),0),
              ROUND(ROUND(OFFSET($P37,0,AP$13),15-13*ORÇAMENTO!$AF$7)*OFFSET(ORÇAMENTO!$W$15,ROW(AP37)-ROW(AP$15),0),15-13*ORÇAMENTO!$AF$11)),
         0)</f>
        <v>0</v>
      </c>
      <c r="AQ37" s="452">
        <f ca="1">IF(AND($D37="Serviço",AQ$12&lt;&gt;0,$H37&gt;0,OR(AUTOEVENTO&lt;&gt;"manual",$M37&lt;&gt;$A$15)),
        IF(Import.TipoArredondamento&lt;&gt;"TransfereGOV",
              ROUND(OFFSET($P37,0,AQ$13),15-13*ORÇAMENTO!$AF$7)/$H37*OFFSET(ORÇAMENTO!$X$15,ROW(AQ37)-ROW(AQ$15),0),
              ROUND(ROUND(OFFSET($P37,0,AQ$13),15-13*ORÇAMENTO!$AF$7)*OFFSET(ORÇAMENTO!$W$15,ROW(AQ37)-ROW(AQ$15),0),15-13*ORÇAMENTO!$AF$11)),
         0)</f>
        <v>0</v>
      </c>
      <c r="AR37" s="452">
        <f ca="1">IF(AND($D37="Serviço",AR$12&lt;&gt;0,$H37&gt;0,OR(AUTOEVENTO&lt;&gt;"manual",$M37&lt;&gt;$A$15)),
        IF(Import.TipoArredondamento&lt;&gt;"TransfereGOV",
              ROUND(OFFSET($P37,0,AR$13),15-13*ORÇAMENTO!$AF$7)/$H37*OFFSET(ORÇAMENTO!$X$15,ROW(AR37)-ROW(AR$15),0),
              ROUND(ROUND(OFFSET($P37,0,AR$13),15-13*ORÇAMENTO!$AF$7)*OFFSET(ORÇAMENTO!$W$15,ROW(AR37)-ROW(AR$15),0),15-13*ORÇAMENTO!$AF$11)),
         0)</f>
        <v>0</v>
      </c>
      <c r="AS37" s="452">
        <f ca="1">IF(AND($D37="Serviço",AS$12&lt;&gt;0,$H37&gt;0,OR(AUTOEVENTO&lt;&gt;"manual",$M37&lt;&gt;$A$15)),
        IF(Import.TipoArredondamento&lt;&gt;"TransfereGOV",
              ROUND(OFFSET($P37,0,AS$13),15-13*ORÇAMENTO!$AF$7)/$H37*OFFSET(ORÇAMENTO!$X$15,ROW(AS37)-ROW(AS$15),0),
              ROUND(ROUND(OFFSET($P37,0,AS$13),15-13*ORÇAMENTO!$AF$7)*OFFSET(ORÇAMENTO!$W$15,ROW(AS37)-ROW(AS$15),0),15-13*ORÇAMENTO!$AF$11)),
         0)</f>
        <v>0</v>
      </c>
      <c r="AT37" s="452">
        <f ca="1">IF(AND($D37="Serviço",AT$12&lt;&gt;0,$H37&gt;0,OR(AUTOEVENTO&lt;&gt;"manual",$M37&lt;&gt;$A$15)),
        IF(Import.TipoArredondamento&lt;&gt;"TransfereGOV",
              ROUND(OFFSET($P37,0,AT$13),15-13*ORÇAMENTO!$AF$7)/$H37*OFFSET(ORÇAMENTO!$X$15,ROW(AT37)-ROW(AT$15),0),
              ROUND(ROUND(OFFSET($P37,0,AT$13),15-13*ORÇAMENTO!$AF$7)*OFFSET(ORÇAMENTO!$W$15,ROW(AT37)-ROW(AT$15),0),15-13*ORÇAMENTO!$AF$11)),
         0)</f>
        <v>0</v>
      </c>
      <c r="AU37" s="452">
        <f ca="1">IF(AND($D37="Serviço",AU$12&lt;&gt;0,$H37&gt;0,OR(AUTOEVENTO&lt;&gt;"manual",$M37&lt;&gt;$A$15)),
        IF(Import.TipoArredondamento&lt;&gt;"TransfereGOV",
              ROUND(OFFSET($P37,0,AU$13),15-13*ORÇAMENTO!$AF$7)/$H37*OFFSET(ORÇAMENTO!$X$15,ROW(AU37)-ROW(AU$15),0),
              ROUND(ROUND(OFFSET($P37,0,AU$13),15-13*ORÇAMENTO!$AF$7)*OFFSET(ORÇAMENTO!$W$15,ROW(AU37)-ROW(AU$15),0),15-13*ORÇAMENTO!$AF$11)),
         0)</f>
        <v>0</v>
      </c>
      <c r="AV37" s="452">
        <f ca="1">IF(AND($D37="Serviço",AV$12&lt;&gt;0,$H37&gt;0,OR(AUTOEVENTO&lt;&gt;"manual",$M37&lt;&gt;$A$15)),
        IF(Import.TipoArredondamento&lt;&gt;"TransfereGOV",
              ROUND(OFFSET($P37,0,AV$13),15-13*ORÇAMENTO!$AF$7)/$H37*OFFSET(ORÇAMENTO!$X$15,ROW(AV37)-ROW(AV$15),0),
              ROUND(ROUND(OFFSET($P37,0,AV$13),15-13*ORÇAMENTO!$AF$7)*OFFSET(ORÇAMENTO!$W$15,ROW(AV37)-ROW(AV$15),0),15-13*ORÇAMENTO!$AF$11)),
         0)</f>
        <v>0</v>
      </c>
      <c r="AW37" s="452">
        <f ca="1">IF(AND($D37="Serviço",AW$12&lt;&gt;0,$H37&gt;0,OR(AUTOEVENTO&lt;&gt;"manual",$M37&lt;&gt;$A$15)),
        IF(Import.TipoArredondamento&lt;&gt;"TransfereGOV",
              ROUND(OFFSET($P37,0,AW$13),15-13*ORÇAMENTO!$AF$7)/$H37*OFFSET(ORÇAMENTO!$X$15,ROW(AW37)-ROW(AW$15),0),
              ROUND(ROUND(OFFSET($P37,0,AW$13),15-13*ORÇAMENTO!$AF$7)*OFFSET(ORÇAMENTO!$W$15,ROW(AW37)-ROW(AW$15),0),15-13*ORÇAMENTO!$AF$11)),
         0)</f>
        <v>0</v>
      </c>
      <c r="AX37" s="452">
        <f ca="1">IF(AND($D37="Serviço",AX$12&lt;&gt;0,$H37&gt;0,OR(AUTOEVENTO&lt;&gt;"manual",$M37&lt;&gt;$A$15)),
        IF(Import.TipoArredondamento&lt;&gt;"TransfereGOV",
              ROUND(OFFSET($P37,0,AX$13),15-13*ORÇAMENTO!$AF$7)/$H37*OFFSET(ORÇAMENTO!$X$15,ROW(AX37)-ROW(AX$15),0),
              ROUND(ROUND(OFFSET($P37,0,AX$13),15-13*ORÇAMENTO!$AF$7)*OFFSET(ORÇAMENTO!$W$15,ROW(AX37)-ROW(AX$15),0),15-13*ORÇAMENTO!$AF$11)),
         0)</f>
        <v>0</v>
      </c>
      <c r="AY37" s="452">
        <f ca="1">IF(AND($D37="Serviço",AY$12&lt;&gt;0,$H37&gt;0,OR(AUTOEVENTO&lt;&gt;"manual",$M37&lt;&gt;$A$15)),
        IF(Import.TipoArredondamento&lt;&gt;"TransfereGOV",
              ROUND(OFFSET($P37,0,AY$13),15-13*ORÇAMENTO!$AF$7)/$H37*OFFSET(ORÇAMENTO!$X$15,ROW(AY37)-ROW(AY$15),0),
              ROUND(ROUND(OFFSET($P37,0,AY$13),15-13*ORÇAMENTO!$AF$7)*OFFSET(ORÇAMENTO!$W$15,ROW(AY37)-ROW(AY$15),0),15-13*ORÇAMENTO!$AF$11)),
         0)</f>
        <v>0</v>
      </c>
      <c r="AZ37" s="452">
        <f ca="1">IF(AND($D37="Serviço",AZ$12&lt;&gt;0,$H37&gt;0,OR(AUTOEVENTO&lt;&gt;"manual",$M37&lt;&gt;$A$15)),
        IF(Import.TipoArredondamento&lt;&gt;"TransfereGOV",
              ROUND(OFFSET($P37,0,AZ$13),15-13*ORÇAMENTO!$AF$7)/$H37*OFFSET(ORÇAMENTO!$X$15,ROW(AZ37)-ROW(AZ$15),0),
              ROUND(ROUND(OFFSET($P37,0,AZ$13),15-13*ORÇAMENTO!$AF$7)*OFFSET(ORÇAMENTO!$W$15,ROW(AZ37)-ROW(AZ$15),0),15-13*ORÇAMENTO!$AF$11)),
         0)</f>
        <v>0</v>
      </c>
      <c r="BA37" s="452">
        <f ca="1">IF(AND($D37="Serviço",BA$12&lt;&gt;0,$H37&gt;0,OR(AUTOEVENTO&lt;&gt;"manual",$M37&lt;&gt;$A$15)),
        IF(Import.TipoArredondamento&lt;&gt;"TransfereGOV",
              ROUND(OFFSET($P37,0,BA$13),15-13*ORÇAMENTO!$AF$7)/$H37*OFFSET(ORÇAMENTO!$X$15,ROW(BA37)-ROW(BA$15),0),
              ROUND(ROUND(OFFSET($P37,0,BA$13),15-13*ORÇAMENTO!$AF$7)*OFFSET(ORÇAMENTO!$W$15,ROW(BA37)-ROW(BA$15),0),15-13*ORÇAMENTO!$AF$11)),
         0)</f>
        <v>0</v>
      </c>
      <c r="BC37" s="171">
        <f ca="1">IF(OR($D37&lt;&gt;"Serviço",AND(AUTOEVENTO="Manual",$M37=$A$15)),0,
         IF(OFFSET(CRONOPLE!$F$15,$M37-$A$15,BC$13)=0,10^12,OFFSET(CRONOPLE!$F$15,$M37-$A$15,BC$13)))</f>
        <v>2</v>
      </c>
      <c r="BD37" s="171">
        <f ca="1">IF(OR($D37&lt;&gt;"Serviço",AND(AUTOEVENTO="Manual",$M37=$A$15)),0,
         IF(OFFSET(CRONOPLE!$F$15,$M37-$A$15,BD$13)=0,10^12,OFFSET(CRONOPLE!$F$15,$M37-$A$15,BD$13)))</f>
        <v>2</v>
      </c>
      <c r="BE37" s="171">
        <f ca="1">IF(OR($D37&lt;&gt;"Serviço",AND(AUTOEVENTO="Manual",$M37=$A$15)),0,
         IF(OFFSET(CRONOPLE!$F$15,$M37-$A$15,BE$13)=0,10^12,OFFSET(CRONOPLE!$F$15,$M37-$A$15,BE$13)))</f>
        <v>3</v>
      </c>
      <c r="BF37" s="171">
        <f ca="1">IF(OR($D37&lt;&gt;"Serviço",AND(AUTOEVENTO="Manual",$M37=$A$15)),0,
         IF(OFFSET(CRONOPLE!$F$15,$M37-$A$15,BF$13)=0,10^12,OFFSET(CRONOPLE!$F$15,$M37-$A$15,BF$13)))</f>
        <v>3</v>
      </c>
      <c r="BG37" s="171">
        <f ca="1">IF(OR($D37&lt;&gt;"Serviço",AND(AUTOEVENTO="Manual",$M37=$A$15)),0,
         IF(OFFSET(CRONOPLE!$F$15,$M37-$A$15,BG$13)=0,10^12,OFFSET(CRONOPLE!$F$15,$M37-$A$15,BG$13)))</f>
        <v>3</v>
      </c>
      <c r="BH37" s="171">
        <f ca="1">IF(OR($D37&lt;&gt;"Serviço",AND(AUTOEVENTO="Manual",$M37=$A$15)),0,
         IF(OFFSET(CRONOPLE!$F$15,$M37-$A$15,BH$13)=0,10^12,OFFSET(CRONOPLE!$F$15,$M37-$A$15,BH$13)))</f>
        <v>1000000000000</v>
      </c>
      <c r="BI37" s="171">
        <f ca="1">IF(OR($D37&lt;&gt;"Serviço",AND(AUTOEVENTO="Manual",$M37=$A$15)),0,
         IF(OFFSET(CRONOPLE!$F$15,$M37-$A$15,BI$13)=0,10^12,OFFSET(CRONOPLE!$F$15,$M37-$A$15,BI$13)))</f>
        <v>1000000000000</v>
      </c>
      <c r="BJ37" s="171">
        <f ca="1">IF(OR($D37&lt;&gt;"Serviço",AND(AUTOEVENTO="Manual",$M37=$A$15)),0,
         IF(OFFSET(CRONOPLE!$F$15,$M37-$A$15,BJ$13)=0,10^12,OFFSET(CRONOPLE!$F$15,$M37-$A$15,BJ$13)))</f>
        <v>1000000000000</v>
      </c>
      <c r="BK37" s="171">
        <f ca="1">IF(OR($D37&lt;&gt;"Serviço",AND(AUTOEVENTO="Manual",$M37=$A$15)),0,
         IF(OFFSET(CRONOPLE!$F$15,$M37-$A$15,BK$13)=0,10^12,OFFSET(CRONOPLE!$F$15,$M37-$A$15,BK$13)))</f>
        <v>1000000000000</v>
      </c>
      <c r="BL37" s="171">
        <f ca="1">IF(OR($D37&lt;&gt;"Serviço",AND(AUTOEVENTO="Manual",$M37=$A$15)),0,
         IF(OFFSET(CRONOPLE!$F$15,$M37-$A$15,BL$13)=0,10^12,OFFSET(CRONOPLE!$F$15,$M37-$A$15,BL$13)))</f>
        <v>1000000000000</v>
      </c>
      <c r="BM37" s="171">
        <f ca="1">IF(OR($D37&lt;&gt;"Serviço",AND(AUTOEVENTO="Manual",$M37=$A$15)),0,
         IF(OFFSET(CRONOPLE!$F$15,$M37-$A$15,BM$13)=0,10^12,OFFSET(CRONOPLE!$F$15,$M37-$A$15,BM$13)))</f>
        <v>1000000000000</v>
      </c>
      <c r="BN37" s="171">
        <f ca="1">IF(OR($D37&lt;&gt;"Serviço",AND(AUTOEVENTO="Manual",$M37=$A$15)),0,
         IF(OFFSET(CRONOPLE!$F$15,$M37-$A$15,BN$13)=0,10^12,OFFSET(CRONOPLE!$F$15,$M37-$A$15,BN$13)))</f>
        <v>1000000000000</v>
      </c>
      <c r="BO37" s="171">
        <f ca="1">IF(OR($D37&lt;&gt;"Serviço",AND(AUTOEVENTO="Manual",$M37=$A$15)),0,
         IF(OFFSET(CRONOPLE!$F$15,$M37-$A$15,BO$13)=0,10^12,OFFSET(CRONOPLE!$F$15,$M37-$A$15,BO$13)))</f>
        <v>1000000000000</v>
      </c>
      <c r="BP37" s="171">
        <f ca="1">IF(OR($D37&lt;&gt;"Serviço",AND(AUTOEVENTO="Manual",$M37=$A$15)),0,
         IF(OFFSET(CRONOPLE!$F$15,$M37-$A$15,BP$13)=0,10^12,OFFSET(CRONOPLE!$F$15,$M37-$A$15,BP$13)))</f>
        <v>1000000000000</v>
      </c>
      <c r="BQ37" s="171">
        <f ca="1">IF(OR($D37&lt;&gt;"Serviço",AND(AUTOEVENTO="Manual",$M37=$A$15)),0,
         IF(OFFSET(CRONOPLE!$F$15,$M37-$A$15,BQ$13)=0,10^12,OFFSET(CRONOPLE!$F$15,$M37-$A$15,BQ$13)))</f>
        <v>1000000000000</v>
      </c>
      <c r="BR37" s="171">
        <f ca="1">IF(OR($D37&lt;&gt;"Serviço",AND(AUTOEVENTO="Manual",$M37=$A$15)),0,
         IF(OFFSET(CRONOPLE!$F$15,$M37-$A$15,BR$13)=0,10^12,OFFSET(CRONOPLE!$F$15,$M37-$A$15,BR$13)))</f>
        <v>1000000000000</v>
      </c>
      <c r="BS37" s="171">
        <f ca="1">IF(OR($D37&lt;&gt;"Serviço",AND(AUTOEVENTO="Manual",$M37=$A$15)),0,
         IF(OFFSET(CRONOPLE!$F$15,$M37-$A$15,BS$13)=0,10^12,OFFSET(CRONOPLE!$F$15,$M37-$A$15,BS$13)))</f>
        <v>1000000000000</v>
      </c>
      <c r="BT37" s="171">
        <f ca="1">IF(OR($D37&lt;&gt;"Serviço",AND(AUTOEVENTO="Manual",$M37=$A$15)),0,
         IF(OFFSET(CRONOPLE!$F$15,$M37-$A$15,BT$13)=0,10^12,OFFSET(CRONOPLE!$F$15,$M37-$A$15,BT$13)))</f>
        <v>1000000000000</v>
      </c>
      <c r="BV37" s="172">
        <f t="array" aca="1" ref="BV37" ca="1">IF(OR($D37&lt;&gt;"Serviço",AND(AUTOEVENTO="Manual",$M37=$A$15),$M37&gt;(ROW(PLE.lastrow)-ROW(PLE.firstrow))),0,
           IF(OFFSET(PLE!$G$15,$M37-$A$15,BV$13)="",10^12,OFFSET(PLE!$G$15,$M37-$A$15,BV$13)))</f>
        <v>1000000000000</v>
      </c>
      <c r="BW37" s="172">
        <f t="array" aca="1" ref="BW37" ca="1">IF(OR($D37&lt;&gt;"Serviço",AND(AUTOEVENTO="Manual",$M37=$A$15),$M37&gt;(ROW(PLE.lastrow)-ROW(PLE.firstrow))),0,
           IF(OFFSET(PLE!$G$15,$M37-$A$15,BW$13)="",10^12,OFFSET(PLE!$G$15,$M37-$A$15,BW$13)))</f>
        <v>1000000000000</v>
      </c>
      <c r="BX37" s="172">
        <f t="array" aca="1" ref="BX37" ca="1">IF(OR($D37&lt;&gt;"Serviço",AND(AUTOEVENTO="Manual",$M37=$A$15),$M37&gt;(ROW(PLE.lastrow)-ROW(PLE.firstrow))),0,
           IF(OFFSET(PLE!$G$15,$M37-$A$15,BX$13)="",10^12,OFFSET(PLE!$G$15,$M37-$A$15,BX$13)))</f>
        <v>1000000000000</v>
      </c>
      <c r="BY37" s="172">
        <f t="array" aca="1" ref="BY37" ca="1">IF(OR($D37&lt;&gt;"Serviço",AND(AUTOEVENTO="Manual",$M37=$A$15),$M37&gt;(ROW(PLE.lastrow)-ROW(PLE.firstrow))),0,
           IF(OFFSET(PLE!$G$15,$M37-$A$15,BY$13)="",10^12,OFFSET(PLE!$G$15,$M37-$A$15,BY$13)))</f>
        <v>1000000000000</v>
      </c>
      <c r="BZ37" s="172">
        <f t="array" aca="1" ref="BZ37" ca="1">IF(OR($D37&lt;&gt;"Serviço",AND(AUTOEVENTO="Manual",$M37=$A$15),$M37&gt;(ROW(PLE.lastrow)-ROW(PLE.firstrow))),0,
           IF(OFFSET(PLE!$G$15,$M37-$A$15,BZ$13)="",10^12,OFFSET(PLE!$G$15,$M37-$A$15,BZ$13)))</f>
        <v>1000000000000</v>
      </c>
      <c r="CA37" s="172">
        <f t="array" aca="1" ref="CA37" ca="1">IF(OR($D37&lt;&gt;"Serviço",AND(AUTOEVENTO="Manual",$M37=$A$15),$M37&gt;(ROW(PLE.lastrow)-ROW(PLE.firstrow))),0,
           IF(OFFSET(PLE!$G$15,$M37-$A$15,CA$13)="",10^12,OFFSET(PLE!$G$15,$M37-$A$15,CA$13)))</f>
        <v>1000000000000</v>
      </c>
      <c r="CB37" s="172">
        <f t="array" aca="1" ref="CB37" ca="1">IF(OR($D37&lt;&gt;"Serviço",AND(AUTOEVENTO="Manual",$M37=$A$15),$M37&gt;(ROW(PLE.lastrow)-ROW(PLE.firstrow))),0,
           IF(OFFSET(PLE!$G$15,$M37-$A$15,CB$13)="",10^12,OFFSET(PLE!$G$15,$M37-$A$15,CB$13)))</f>
        <v>1000000000000</v>
      </c>
      <c r="CC37" s="172">
        <f t="array" aca="1" ref="CC37" ca="1">IF(OR($D37&lt;&gt;"Serviço",AND(AUTOEVENTO="Manual",$M37=$A$15),$M37&gt;(ROW(PLE.lastrow)-ROW(PLE.firstrow))),0,
           IF(OFFSET(PLE!$G$15,$M37-$A$15,CC$13)="",10^12,OFFSET(PLE!$G$15,$M37-$A$15,CC$13)))</f>
        <v>1000000000000</v>
      </c>
      <c r="CD37" s="172">
        <f t="array" aca="1" ref="CD37" ca="1">IF(OR($D37&lt;&gt;"Serviço",AND(AUTOEVENTO="Manual",$M37=$A$15),$M37&gt;(ROW(PLE.lastrow)-ROW(PLE.firstrow))),0,
           IF(OFFSET(PLE!$G$15,$M37-$A$15,CD$13)="",10^12,OFFSET(PLE!$G$15,$M37-$A$15,CD$13)))</f>
        <v>1000000000000</v>
      </c>
      <c r="CE37" s="172">
        <f t="array" aca="1" ref="CE37" ca="1">IF(OR($D37&lt;&gt;"Serviço",AND(AUTOEVENTO="Manual",$M37=$A$15),$M37&gt;(ROW(PLE.lastrow)-ROW(PLE.firstrow))),0,
           IF(OFFSET(PLE!$G$15,$M37-$A$15,CE$13)="",10^12,OFFSET(PLE!$G$15,$M37-$A$15,CE$13)))</f>
        <v>1000000000000</v>
      </c>
      <c r="CF37" s="172">
        <f t="array" aca="1" ref="CF37" ca="1">IF(OR($D37&lt;&gt;"Serviço",AND(AUTOEVENTO="Manual",$M37=$A$15),$M37&gt;(ROW(PLE.lastrow)-ROW(PLE.firstrow))),0,
           IF(OFFSET(PLE!$G$15,$M37-$A$15,CF$13)="",10^12,OFFSET(PLE!$G$15,$M37-$A$15,CF$13)))</f>
        <v>1000000000000</v>
      </c>
      <c r="CG37" s="172">
        <f t="array" aca="1" ref="CG37" ca="1">IF(OR($D37&lt;&gt;"Serviço",AND(AUTOEVENTO="Manual",$M37=$A$15),$M37&gt;(ROW(PLE.lastrow)-ROW(PLE.firstrow))),0,
           IF(OFFSET(PLE!$G$15,$M37-$A$15,CG$13)="",10^12,OFFSET(PLE!$G$15,$M37-$A$15,CG$13)))</f>
        <v>1000000000000</v>
      </c>
      <c r="CH37" s="172">
        <f t="array" aca="1" ref="CH37" ca="1">IF(OR($D37&lt;&gt;"Serviço",AND(AUTOEVENTO="Manual",$M37=$A$15),$M37&gt;(ROW(PLE.lastrow)-ROW(PLE.firstrow))),0,
           IF(OFFSET(PLE!$G$15,$M37-$A$15,CH$13)="",10^12,OFFSET(PLE!$G$15,$M37-$A$15,CH$13)))</f>
        <v>1000000000000</v>
      </c>
      <c r="CI37" s="172">
        <f t="array" aca="1" ref="CI37" ca="1">IF(OR($D37&lt;&gt;"Serviço",AND(AUTOEVENTO="Manual",$M37=$A$15),$M37&gt;(ROW(PLE.lastrow)-ROW(PLE.firstrow))),0,
           IF(OFFSET(PLE!$G$15,$M37-$A$15,CI$13)="",10^12,OFFSET(PLE!$G$15,$M37-$A$15,CI$13)))</f>
        <v>1000000000000</v>
      </c>
      <c r="CJ37" s="172">
        <f t="array" aca="1" ref="CJ37" ca="1">IF(OR($D37&lt;&gt;"Serviço",AND(AUTOEVENTO="Manual",$M37=$A$15),$M37&gt;(ROW(PLE.lastrow)-ROW(PLE.firstrow))),0,
           IF(OFFSET(PLE!$G$15,$M37-$A$15,CJ$13)="",10^12,OFFSET(PLE!$G$15,$M37-$A$15,CJ$13)))</f>
        <v>1000000000000</v>
      </c>
      <c r="CK37" s="172">
        <f t="array" aca="1" ref="CK37" ca="1">IF(OR($D37&lt;&gt;"Serviço",AND(AUTOEVENTO="Manual",$M37=$A$15),$M37&gt;(ROW(PLE.lastrow)-ROW(PLE.firstrow))),0,
           IF(OFFSET(PLE!$G$15,$M37-$A$15,CK$13)="",10^12,OFFSET(PLE!$G$15,$M37-$A$15,CK$13)))</f>
        <v>1000000000000</v>
      </c>
      <c r="CL37" s="172">
        <f t="array" aca="1" ref="CL37" ca="1">IF(OR($D37&lt;&gt;"Serviço",AND(AUTOEVENTO="Manual",$M37=$A$15),$M37&gt;(ROW(PLE.lastrow)-ROW(PLE.firstrow))),0,
           IF(OFFSET(PLE!$G$15,$M37-$A$15,CL$13)="",10^12,OFFSET(PLE!$G$15,$M37-$A$15,CL$13)))</f>
        <v>1000000000000</v>
      </c>
      <c r="CM37" s="172">
        <f t="array" aca="1" ref="CM37" ca="1">IF(OR($D37&lt;&gt;"Serviço",AND(AUTOEVENTO="Manual",$M37=$A$15),$M37&gt;(ROW(PLE.lastrow)-ROW(PLE.firstrow))),0,
           IF(OFFSET(PLE!$G$15,$M37-$A$15,CM$13)="",10^12,OFFSET(PLE!$G$15,$M37-$A$15,CM$13)))</f>
        <v>1000000000000</v>
      </c>
    </row>
    <row r="38" spans="1:91" s="696" customFormat="1" ht="51" x14ac:dyDescent="0.2">
      <c r="A38" s="694">
        <f t="shared" ca="1" si="10"/>
        <v>4</v>
      </c>
      <c r="B38" s="694" t="str">
        <f ca="1">OFFSET(ORÇAMENTO!C$15,$L38,0)</f>
        <v>S</v>
      </c>
      <c r="C38" s="694" t="str">
        <f ca="1">OFFSET(ORÇAMENTO!L$15,$L38,0)</f>
        <v>F</v>
      </c>
      <c r="D38" s="116" t="str">
        <f ca="1">OFFSET(ORÇAMENTO!N$15,$L38,0)</f>
        <v>Serviço</v>
      </c>
      <c r="E38" s="117" t="str">
        <f ca="1">OFFSET(ORÇAMENTO!O$15,$L38,0)</f>
        <v>1.4.7.</v>
      </c>
      <c r="F38" s="163" t="str">
        <f ca="1">OFFSET(ORÇAMENTO!R$15,$L38,0)</f>
        <v>ARMAÇÃO DE SAPATA ISOLADA, VIGA BALDRAME E SAPATA CORRIDA UTILIZANDO AÇO CA-50 DE 6,3 MM - MONTAGEM. AF_01/2024</v>
      </c>
      <c r="G38" s="164" t="str">
        <f ca="1">IF($D38&lt;&gt;"Serviço","",OFFSET(ORÇAMENTO!S$15,$L38,0))</f>
        <v>KG</v>
      </c>
      <c r="H38" s="122">
        <f t="array" aca="1" ref="H38" ca="1">IF($D38&lt;&gt;"Serviço",0,IF(ACOMPANHAMENTO="BM",ROUND(OFFSET(ORÇAMENTO!AJ$15,$L38,0),15-13*ORÇAMENTO!$AF$7),IF(IFERROR(CÁLCULO.FrentesPreenchidas,0)=0,0,SUM(ROUND(OFFSET($P38,0,1,1,CÁLCULO.FrentesPreenchidas),15-13*ORÇAMENTO!$AF$7)))))</f>
        <v>534</v>
      </c>
      <c r="I38" s="467" t="s">
        <v>1221</v>
      </c>
      <c r="J38" s="653" t="str">
        <f t="array" aca="1" ref="J38" ca="1">IF(OR(B38&lt;&gt;"S",CÁLCULO.FrentesPreenchidas=0),"",IF(AND(ACOMPANHAMENTO="PLE",AUTOEVENTO="Manual",OR(H38&gt;0,ORÇAMENTO!AC38="QUANT."),OR(K38="",M38=0,N38="")),"►E",IF(AND(ACOMPANHAMENTO="PLE",ORÇAMENTO!AC38="QUANT."),"►Q",IF(AND(ACOMPANHAMENTO="PLE",H38&lt;&gt;SUMPRODUCT(($Q$1:$AI$1=1)*ROUND(Q38:AI38,15))),"►S",IF(AND(COUNTIF($P$11:$AI$11,"▼")=0,H38&gt;0,I38=""),"◄M","")))))</f>
        <v/>
      </c>
      <c r="K38" s="654" t="s">
        <v>1383</v>
      </c>
      <c r="L38" s="165">
        <f t="shared" ca="1" si="11"/>
        <v>23</v>
      </c>
      <c r="M38" s="166">
        <f ca="1">IF($D38&lt;&gt;"Serviço","",
          IF(AUTOEVENTO="manual",$A38,
                IF(ISERROR(MATCH($A38,$A$15:OFFSET($A38,-1,0),0)),MAX($M$15:OFFSET(M38,-1,0))+1,
                      INDEX($M$15:OFFSET(M38,-1,0),MATCH($A38,$A$15:OFFSET($A38,-1,0),0)))))</f>
        <v>4</v>
      </c>
      <c r="N38" s="167" t="str">
        <f ca="1">IF($D38&lt;&gt;"Serviço","",
         IF(AUTOEVENTO="Manual",
                IF($A38=0,"&lt;-- defina o número do agrupador",
                       OFFSET(EVENTOS!$D$15,$A38-$A$15,0)),
                OFFSET($F$15,$A38,0)))</f>
        <v>SAPATAS (LOCAÇÃO,ESCAVAÇÕES, FORMAS, AÇO, CONCRETAGEM)</v>
      </c>
      <c r="O38" s="168"/>
      <c r="Q38" s="169">
        <f>26.7*5</f>
        <v>133.5</v>
      </c>
      <c r="R38" s="169">
        <f t="shared" ref="R38:T38" si="16">26.7*5</f>
        <v>133.5</v>
      </c>
      <c r="S38" s="169">
        <f t="shared" si="16"/>
        <v>133.5</v>
      </c>
      <c r="T38" s="169">
        <f t="shared" si="16"/>
        <v>133.5</v>
      </c>
      <c r="U38" s="169"/>
      <c r="V38" s="169"/>
      <c r="W38" s="169"/>
      <c r="X38" s="169"/>
      <c r="Y38" s="169"/>
      <c r="Z38" s="170"/>
      <c r="AA38" s="169"/>
      <c r="AB38" s="169"/>
      <c r="AC38" s="169"/>
      <c r="AD38" s="169"/>
      <c r="AE38" s="169"/>
      <c r="AF38" s="169"/>
      <c r="AG38" s="169"/>
      <c r="AH38" s="170"/>
      <c r="AJ38" s="452">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2361.62</v>
      </c>
      <c r="AK38" s="452">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2361.62</v>
      </c>
      <c r="AL38" s="452">
        <f ca="1">IF(AND($D38="Serviço",AL$12&lt;&gt;0,$H38&gt;0,OR(AUTOEVENTO&lt;&gt;"manual",$M38&lt;&gt;$A$15)),
        IF(Import.TipoArredondamento&lt;&gt;"TransfereGOV",
              ROUND(OFFSET($P38,0,AL$13),15-13*ORÇAMENTO!$AF$7)/$H38*OFFSET(ORÇAMENTO!$X$15,ROW(AL38)-ROW(AL$15),0),
              ROUND(ROUND(OFFSET($P38,0,AL$13),15-13*ORÇAMENTO!$AF$7)*OFFSET(ORÇAMENTO!$W$15,ROW(AL38)-ROW(AL$15),0),15-13*ORÇAMENTO!$AF$11)),
         0)</f>
        <v>2361.62</v>
      </c>
      <c r="AM38" s="452">
        <f ca="1">IF(AND($D38="Serviço",AM$12&lt;&gt;0,$H38&gt;0,OR(AUTOEVENTO&lt;&gt;"manual",$M38&lt;&gt;$A$15)),
        IF(Import.TipoArredondamento&lt;&gt;"TransfereGOV",
              ROUND(OFFSET($P38,0,AM$13),15-13*ORÇAMENTO!$AF$7)/$H38*OFFSET(ORÇAMENTO!$X$15,ROW(AM38)-ROW(AM$15),0),
              ROUND(ROUND(OFFSET($P38,0,AM$13),15-13*ORÇAMENTO!$AF$7)*OFFSET(ORÇAMENTO!$W$15,ROW(AM38)-ROW(AM$15),0),15-13*ORÇAMENTO!$AF$11)),
         0)</f>
        <v>2361.62</v>
      </c>
      <c r="AN38" s="452">
        <f ca="1">IF(AND($D38="Serviço",AN$12&lt;&gt;0,$H38&gt;0,OR(AUTOEVENTO&lt;&gt;"manual",$M38&lt;&gt;$A$15)),
        IF(Import.TipoArredondamento&lt;&gt;"TransfereGOV",
              ROUND(OFFSET($P38,0,AN$13),15-13*ORÇAMENTO!$AF$7)/$H38*OFFSET(ORÇAMENTO!$X$15,ROW(AN38)-ROW(AN$15),0),
              ROUND(ROUND(OFFSET($P38,0,AN$13),15-13*ORÇAMENTO!$AF$7)*OFFSET(ORÇAMENTO!$W$15,ROW(AN38)-ROW(AN$15),0),15-13*ORÇAMENTO!$AF$11)),
         0)</f>
        <v>0</v>
      </c>
      <c r="AO38" s="452">
        <f ca="1">IF(AND($D38="Serviço",AO$12&lt;&gt;0,$H38&gt;0,OR(AUTOEVENTO&lt;&gt;"manual",$M38&lt;&gt;$A$15)),
        IF(Import.TipoArredondamento&lt;&gt;"TransfereGOV",
              ROUND(OFFSET($P38,0,AO$13),15-13*ORÇAMENTO!$AF$7)/$H38*OFFSET(ORÇAMENTO!$X$15,ROW(AO38)-ROW(AO$15),0),
              ROUND(ROUND(OFFSET($P38,0,AO$13),15-13*ORÇAMENTO!$AF$7)*OFFSET(ORÇAMENTO!$W$15,ROW(AO38)-ROW(AO$15),0),15-13*ORÇAMENTO!$AF$11)),
         0)</f>
        <v>0</v>
      </c>
      <c r="AP38" s="452">
        <f ca="1">IF(AND($D38="Serviço",AP$12&lt;&gt;0,$H38&gt;0,OR(AUTOEVENTO&lt;&gt;"manual",$M38&lt;&gt;$A$15)),
        IF(Import.TipoArredondamento&lt;&gt;"TransfereGOV",
              ROUND(OFFSET($P38,0,AP$13),15-13*ORÇAMENTO!$AF$7)/$H38*OFFSET(ORÇAMENTO!$X$15,ROW(AP38)-ROW(AP$15),0),
              ROUND(ROUND(OFFSET($P38,0,AP$13),15-13*ORÇAMENTO!$AF$7)*OFFSET(ORÇAMENTO!$W$15,ROW(AP38)-ROW(AP$15),0),15-13*ORÇAMENTO!$AF$11)),
         0)</f>
        <v>0</v>
      </c>
      <c r="AQ38" s="452">
        <f ca="1">IF(AND($D38="Serviço",AQ$12&lt;&gt;0,$H38&gt;0,OR(AUTOEVENTO&lt;&gt;"manual",$M38&lt;&gt;$A$15)),
        IF(Import.TipoArredondamento&lt;&gt;"TransfereGOV",
              ROUND(OFFSET($P38,0,AQ$13),15-13*ORÇAMENTO!$AF$7)/$H38*OFFSET(ORÇAMENTO!$X$15,ROW(AQ38)-ROW(AQ$15),0),
              ROUND(ROUND(OFFSET($P38,0,AQ$13),15-13*ORÇAMENTO!$AF$7)*OFFSET(ORÇAMENTO!$W$15,ROW(AQ38)-ROW(AQ$15),0),15-13*ORÇAMENTO!$AF$11)),
         0)</f>
        <v>0</v>
      </c>
      <c r="AR38" s="452">
        <f ca="1">IF(AND($D38="Serviço",AR$12&lt;&gt;0,$H38&gt;0,OR(AUTOEVENTO&lt;&gt;"manual",$M38&lt;&gt;$A$15)),
        IF(Import.TipoArredondamento&lt;&gt;"TransfereGOV",
              ROUND(OFFSET($P38,0,AR$13),15-13*ORÇAMENTO!$AF$7)/$H38*OFFSET(ORÇAMENTO!$X$15,ROW(AR38)-ROW(AR$15),0),
              ROUND(ROUND(OFFSET($P38,0,AR$13),15-13*ORÇAMENTO!$AF$7)*OFFSET(ORÇAMENTO!$W$15,ROW(AR38)-ROW(AR$15),0),15-13*ORÇAMENTO!$AF$11)),
         0)</f>
        <v>0</v>
      </c>
      <c r="AS38" s="452">
        <f ca="1">IF(AND($D38="Serviço",AS$12&lt;&gt;0,$H38&gt;0,OR(AUTOEVENTO&lt;&gt;"manual",$M38&lt;&gt;$A$15)),
        IF(Import.TipoArredondamento&lt;&gt;"TransfereGOV",
              ROUND(OFFSET($P38,0,AS$13),15-13*ORÇAMENTO!$AF$7)/$H38*OFFSET(ORÇAMENTO!$X$15,ROW(AS38)-ROW(AS$15),0),
              ROUND(ROUND(OFFSET($P38,0,AS$13),15-13*ORÇAMENTO!$AF$7)*OFFSET(ORÇAMENTO!$W$15,ROW(AS38)-ROW(AS$15),0),15-13*ORÇAMENTO!$AF$11)),
         0)</f>
        <v>0</v>
      </c>
      <c r="AT38" s="452">
        <f ca="1">IF(AND($D38="Serviço",AT$12&lt;&gt;0,$H38&gt;0,OR(AUTOEVENTO&lt;&gt;"manual",$M38&lt;&gt;$A$15)),
        IF(Import.TipoArredondamento&lt;&gt;"TransfereGOV",
              ROUND(OFFSET($P38,0,AT$13),15-13*ORÇAMENTO!$AF$7)/$H38*OFFSET(ORÇAMENTO!$X$15,ROW(AT38)-ROW(AT$15),0),
              ROUND(ROUND(OFFSET($P38,0,AT$13),15-13*ORÇAMENTO!$AF$7)*OFFSET(ORÇAMENTO!$W$15,ROW(AT38)-ROW(AT$15),0),15-13*ORÇAMENTO!$AF$11)),
         0)</f>
        <v>0</v>
      </c>
      <c r="AU38" s="452">
        <f ca="1">IF(AND($D38="Serviço",AU$12&lt;&gt;0,$H38&gt;0,OR(AUTOEVENTO&lt;&gt;"manual",$M38&lt;&gt;$A$15)),
        IF(Import.TipoArredondamento&lt;&gt;"TransfereGOV",
              ROUND(OFFSET($P38,0,AU$13),15-13*ORÇAMENTO!$AF$7)/$H38*OFFSET(ORÇAMENTO!$X$15,ROW(AU38)-ROW(AU$15),0),
              ROUND(ROUND(OFFSET($P38,0,AU$13),15-13*ORÇAMENTO!$AF$7)*OFFSET(ORÇAMENTO!$W$15,ROW(AU38)-ROW(AU$15),0),15-13*ORÇAMENTO!$AF$11)),
         0)</f>
        <v>0</v>
      </c>
      <c r="AV38" s="452">
        <f ca="1">IF(AND($D38="Serviço",AV$12&lt;&gt;0,$H38&gt;0,OR(AUTOEVENTO&lt;&gt;"manual",$M38&lt;&gt;$A$15)),
        IF(Import.TipoArredondamento&lt;&gt;"TransfereGOV",
              ROUND(OFFSET($P38,0,AV$13),15-13*ORÇAMENTO!$AF$7)/$H38*OFFSET(ORÇAMENTO!$X$15,ROW(AV38)-ROW(AV$15),0),
              ROUND(ROUND(OFFSET($P38,0,AV$13),15-13*ORÇAMENTO!$AF$7)*OFFSET(ORÇAMENTO!$W$15,ROW(AV38)-ROW(AV$15),0),15-13*ORÇAMENTO!$AF$11)),
         0)</f>
        <v>0</v>
      </c>
      <c r="AW38" s="452">
        <f ca="1">IF(AND($D38="Serviço",AW$12&lt;&gt;0,$H38&gt;0,OR(AUTOEVENTO&lt;&gt;"manual",$M38&lt;&gt;$A$15)),
        IF(Import.TipoArredondamento&lt;&gt;"TransfereGOV",
              ROUND(OFFSET($P38,0,AW$13),15-13*ORÇAMENTO!$AF$7)/$H38*OFFSET(ORÇAMENTO!$X$15,ROW(AW38)-ROW(AW$15),0),
              ROUND(ROUND(OFFSET($P38,0,AW$13),15-13*ORÇAMENTO!$AF$7)*OFFSET(ORÇAMENTO!$W$15,ROW(AW38)-ROW(AW$15),0),15-13*ORÇAMENTO!$AF$11)),
         0)</f>
        <v>0</v>
      </c>
      <c r="AX38" s="452">
        <f ca="1">IF(AND($D38="Serviço",AX$12&lt;&gt;0,$H38&gt;0,OR(AUTOEVENTO&lt;&gt;"manual",$M38&lt;&gt;$A$15)),
        IF(Import.TipoArredondamento&lt;&gt;"TransfereGOV",
              ROUND(OFFSET($P38,0,AX$13),15-13*ORÇAMENTO!$AF$7)/$H38*OFFSET(ORÇAMENTO!$X$15,ROW(AX38)-ROW(AX$15),0),
              ROUND(ROUND(OFFSET($P38,0,AX$13),15-13*ORÇAMENTO!$AF$7)*OFFSET(ORÇAMENTO!$W$15,ROW(AX38)-ROW(AX$15),0),15-13*ORÇAMENTO!$AF$11)),
         0)</f>
        <v>0</v>
      </c>
      <c r="AY38" s="452">
        <f ca="1">IF(AND($D38="Serviço",AY$12&lt;&gt;0,$H38&gt;0,OR(AUTOEVENTO&lt;&gt;"manual",$M38&lt;&gt;$A$15)),
        IF(Import.TipoArredondamento&lt;&gt;"TransfereGOV",
              ROUND(OFFSET($P38,0,AY$13),15-13*ORÇAMENTO!$AF$7)/$H38*OFFSET(ORÇAMENTO!$X$15,ROW(AY38)-ROW(AY$15),0),
              ROUND(ROUND(OFFSET($P38,0,AY$13),15-13*ORÇAMENTO!$AF$7)*OFFSET(ORÇAMENTO!$W$15,ROW(AY38)-ROW(AY$15),0),15-13*ORÇAMENTO!$AF$11)),
         0)</f>
        <v>0</v>
      </c>
      <c r="AZ38" s="452">
        <f ca="1">IF(AND($D38="Serviço",AZ$12&lt;&gt;0,$H38&gt;0,OR(AUTOEVENTO&lt;&gt;"manual",$M38&lt;&gt;$A$15)),
        IF(Import.TipoArredondamento&lt;&gt;"TransfereGOV",
              ROUND(OFFSET($P38,0,AZ$13),15-13*ORÇAMENTO!$AF$7)/$H38*OFFSET(ORÇAMENTO!$X$15,ROW(AZ38)-ROW(AZ$15),0),
              ROUND(ROUND(OFFSET($P38,0,AZ$13),15-13*ORÇAMENTO!$AF$7)*OFFSET(ORÇAMENTO!$W$15,ROW(AZ38)-ROW(AZ$15),0),15-13*ORÇAMENTO!$AF$11)),
         0)</f>
        <v>0</v>
      </c>
      <c r="BA38" s="452">
        <f ca="1">IF(AND($D38="Serviço",BA$12&lt;&gt;0,$H38&gt;0,OR(AUTOEVENTO&lt;&gt;"manual",$M38&lt;&gt;$A$15)),
        IF(Import.TipoArredondamento&lt;&gt;"TransfereGOV",
              ROUND(OFFSET($P38,0,BA$13),15-13*ORÇAMENTO!$AF$7)/$H38*OFFSET(ORÇAMENTO!$X$15,ROW(BA38)-ROW(BA$15),0),
              ROUND(ROUND(OFFSET($P38,0,BA$13),15-13*ORÇAMENTO!$AF$7)*OFFSET(ORÇAMENTO!$W$15,ROW(BA38)-ROW(BA$15),0),15-13*ORÇAMENTO!$AF$11)),
         0)</f>
        <v>0</v>
      </c>
      <c r="BC38" s="171">
        <f ca="1">IF(OR($D38&lt;&gt;"Serviço",AND(AUTOEVENTO="Manual",$M38=$A$15)),0,
         IF(OFFSET(CRONOPLE!$F$15,$M38-$A$15,BC$13)=0,10^12,OFFSET(CRONOPLE!$F$15,$M38-$A$15,BC$13)))</f>
        <v>2</v>
      </c>
      <c r="BD38" s="171">
        <f ca="1">IF(OR($D38&lt;&gt;"Serviço",AND(AUTOEVENTO="Manual",$M38=$A$15)),0,
         IF(OFFSET(CRONOPLE!$F$15,$M38-$A$15,BD$13)=0,10^12,OFFSET(CRONOPLE!$F$15,$M38-$A$15,BD$13)))</f>
        <v>2</v>
      </c>
      <c r="BE38" s="171">
        <f ca="1">IF(OR($D38&lt;&gt;"Serviço",AND(AUTOEVENTO="Manual",$M38=$A$15)),0,
         IF(OFFSET(CRONOPLE!$F$15,$M38-$A$15,BE$13)=0,10^12,OFFSET(CRONOPLE!$F$15,$M38-$A$15,BE$13)))</f>
        <v>3</v>
      </c>
      <c r="BF38" s="171">
        <f ca="1">IF(OR($D38&lt;&gt;"Serviço",AND(AUTOEVENTO="Manual",$M38=$A$15)),0,
         IF(OFFSET(CRONOPLE!$F$15,$M38-$A$15,BF$13)=0,10^12,OFFSET(CRONOPLE!$F$15,$M38-$A$15,BF$13)))</f>
        <v>3</v>
      </c>
      <c r="BG38" s="171">
        <f ca="1">IF(OR($D38&lt;&gt;"Serviço",AND(AUTOEVENTO="Manual",$M38=$A$15)),0,
         IF(OFFSET(CRONOPLE!$F$15,$M38-$A$15,BG$13)=0,10^12,OFFSET(CRONOPLE!$F$15,$M38-$A$15,BG$13)))</f>
        <v>3</v>
      </c>
      <c r="BH38" s="171">
        <f ca="1">IF(OR($D38&lt;&gt;"Serviço",AND(AUTOEVENTO="Manual",$M38=$A$15)),0,
         IF(OFFSET(CRONOPLE!$F$15,$M38-$A$15,BH$13)=0,10^12,OFFSET(CRONOPLE!$F$15,$M38-$A$15,BH$13)))</f>
        <v>1000000000000</v>
      </c>
      <c r="BI38" s="171">
        <f ca="1">IF(OR($D38&lt;&gt;"Serviço",AND(AUTOEVENTO="Manual",$M38=$A$15)),0,
         IF(OFFSET(CRONOPLE!$F$15,$M38-$A$15,BI$13)=0,10^12,OFFSET(CRONOPLE!$F$15,$M38-$A$15,BI$13)))</f>
        <v>1000000000000</v>
      </c>
      <c r="BJ38" s="171">
        <f ca="1">IF(OR($D38&lt;&gt;"Serviço",AND(AUTOEVENTO="Manual",$M38=$A$15)),0,
         IF(OFFSET(CRONOPLE!$F$15,$M38-$A$15,BJ$13)=0,10^12,OFFSET(CRONOPLE!$F$15,$M38-$A$15,BJ$13)))</f>
        <v>1000000000000</v>
      </c>
      <c r="BK38" s="171">
        <f ca="1">IF(OR($D38&lt;&gt;"Serviço",AND(AUTOEVENTO="Manual",$M38=$A$15)),0,
         IF(OFFSET(CRONOPLE!$F$15,$M38-$A$15,BK$13)=0,10^12,OFFSET(CRONOPLE!$F$15,$M38-$A$15,BK$13)))</f>
        <v>1000000000000</v>
      </c>
      <c r="BL38" s="171">
        <f ca="1">IF(OR($D38&lt;&gt;"Serviço",AND(AUTOEVENTO="Manual",$M38=$A$15)),0,
         IF(OFFSET(CRONOPLE!$F$15,$M38-$A$15,BL$13)=0,10^12,OFFSET(CRONOPLE!$F$15,$M38-$A$15,BL$13)))</f>
        <v>1000000000000</v>
      </c>
      <c r="BM38" s="171">
        <f ca="1">IF(OR($D38&lt;&gt;"Serviço",AND(AUTOEVENTO="Manual",$M38=$A$15)),0,
         IF(OFFSET(CRONOPLE!$F$15,$M38-$A$15,BM$13)=0,10^12,OFFSET(CRONOPLE!$F$15,$M38-$A$15,BM$13)))</f>
        <v>1000000000000</v>
      </c>
      <c r="BN38" s="171">
        <f ca="1">IF(OR($D38&lt;&gt;"Serviço",AND(AUTOEVENTO="Manual",$M38=$A$15)),0,
         IF(OFFSET(CRONOPLE!$F$15,$M38-$A$15,BN$13)=0,10^12,OFFSET(CRONOPLE!$F$15,$M38-$A$15,BN$13)))</f>
        <v>1000000000000</v>
      </c>
      <c r="BO38" s="171">
        <f ca="1">IF(OR($D38&lt;&gt;"Serviço",AND(AUTOEVENTO="Manual",$M38=$A$15)),0,
         IF(OFFSET(CRONOPLE!$F$15,$M38-$A$15,BO$13)=0,10^12,OFFSET(CRONOPLE!$F$15,$M38-$A$15,BO$13)))</f>
        <v>1000000000000</v>
      </c>
      <c r="BP38" s="171">
        <f ca="1">IF(OR($D38&lt;&gt;"Serviço",AND(AUTOEVENTO="Manual",$M38=$A$15)),0,
         IF(OFFSET(CRONOPLE!$F$15,$M38-$A$15,BP$13)=0,10^12,OFFSET(CRONOPLE!$F$15,$M38-$A$15,BP$13)))</f>
        <v>1000000000000</v>
      </c>
      <c r="BQ38" s="171">
        <f ca="1">IF(OR($D38&lt;&gt;"Serviço",AND(AUTOEVENTO="Manual",$M38=$A$15)),0,
         IF(OFFSET(CRONOPLE!$F$15,$M38-$A$15,BQ$13)=0,10^12,OFFSET(CRONOPLE!$F$15,$M38-$A$15,BQ$13)))</f>
        <v>1000000000000</v>
      </c>
      <c r="BR38" s="171">
        <f ca="1">IF(OR($D38&lt;&gt;"Serviço",AND(AUTOEVENTO="Manual",$M38=$A$15)),0,
         IF(OFFSET(CRONOPLE!$F$15,$M38-$A$15,BR$13)=0,10^12,OFFSET(CRONOPLE!$F$15,$M38-$A$15,BR$13)))</f>
        <v>1000000000000</v>
      </c>
      <c r="BS38" s="171">
        <f ca="1">IF(OR($D38&lt;&gt;"Serviço",AND(AUTOEVENTO="Manual",$M38=$A$15)),0,
         IF(OFFSET(CRONOPLE!$F$15,$M38-$A$15,BS$13)=0,10^12,OFFSET(CRONOPLE!$F$15,$M38-$A$15,BS$13)))</f>
        <v>1000000000000</v>
      </c>
      <c r="BT38" s="171">
        <f ca="1">IF(OR($D38&lt;&gt;"Serviço",AND(AUTOEVENTO="Manual",$M38=$A$15)),0,
         IF(OFFSET(CRONOPLE!$F$15,$M38-$A$15,BT$13)=0,10^12,OFFSET(CRONOPLE!$F$15,$M38-$A$15,BT$13)))</f>
        <v>1000000000000</v>
      </c>
      <c r="BV38" s="172">
        <f t="array" aca="1" ref="BV38" ca="1">IF(OR($D38&lt;&gt;"Serviço",AND(AUTOEVENTO="Manual",$M38=$A$15),$M38&gt;(ROW(PLE.lastrow)-ROW(PLE.firstrow))),0,
           IF(OFFSET(PLE!$G$15,$M38-$A$15,BV$13)="",10^12,OFFSET(PLE!$G$15,$M38-$A$15,BV$13)))</f>
        <v>1000000000000</v>
      </c>
      <c r="BW38" s="172">
        <f t="array" aca="1" ref="BW38" ca="1">IF(OR($D38&lt;&gt;"Serviço",AND(AUTOEVENTO="Manual",$M38=$A$15),$M38&gt;(ROW(PLE.lastrow)-ROW(PLE.firstrow))),0,
           IF(OFFSET(PLE!$G$15,$M38-$A$15,BW$13)="",10^12,OFFSET(PLE!$G$15,$M38-$A$15,BW$13)))</f>
        <v>1000000000000</v>
      </c>
      <c r="BX38" s="172">
        <f t="array" aca="1" ref="BX38" ca="1">IF(OR($D38&lt;&gt;"Serviço",AND(AUTOEVENTO="Manual",$M38=$A$15),$M38&gt;(ROW(PLE.lastrow)-ROW(PLE.firstrow))),0,
           IF(OFFSET(PLE!$G$15,$M38-$A$15,BX$13)="",10^12,OFFSET(PLE!$G$15,$M38-$A$15,BX$13)))</f>
        <v>1000000000000</v>
      </c>
      <c r="BY38" s="172">
        <f t="array" aca="1" ref="BY38" ca="1">IF(OR($D38&lt;&gt;"Serviço",AND(AUTOEVENTO="Manual",$M38=$A$15),$M38&gt;(ROW(PLE.lastrow)-ROW(PLE.firstrow))),0,
           IF(OFFSET(PLE!$G$15,$M38-$A$15,BY$13)="",10^12,OFFSET(PLE!$G$15,$M38-$A$15,BY$13)))</f>
        <v>1000000000000</v>
      </c>
      <c r="BZ38" s="172">
        <f t="array" aca="1" ref="BZ38" ca="1">IF(OR($D38&lt;&gt;"Serviço",AND(AUTOEVENTO="Manual",$M38=$A$15),$M38&gt;(ROW(PLE.lastrow)-ROW(PLE.firstrow))),0,
           IF(OFFSET(PLE!$G$15,$M38-$A$15,BZ$13)="",10^12,OFFSET(PLE!$G$15,$M38-$A$15,BZ$13)))</f>
        <v>1000000000000</v>
      </c>
      <c r="CA38" s="172">
        <f t="array" aca="1" ref="CA38" ca="1">IF(OR($D38&lt;&gt;"Serviço",AND(AUTOEVENTO="Manual",$M38=$A$15),$M38&gt;(ROW(PLE.lastrow)-ROW(PLE.firstrow))),0,
           IF(OFFSET(PLE!$G$15,$M38-$A$15,CA$13)="",10^12,OFFSET(PLE!$G$15,$M38-$A$15,CA$13)))</f>
        <v>1000000000000</v>
      </c>
      <c r="CB38" s="172">
        <f t="array" aca="1" ref="CB38" ca="1">IF(OR($D38&lt;&gt;"Serviço",AND(AUTOEVENTO="Manual",$M38=$A$15),$M38&gt;(ROW(PLE.lastrow)-ROW(PLE.firstrow))),0,
           IF(OFFSET(PLE!$G$15,$M38-$A$15,CB$13)="",10^12,OFFSET(PLE!$G$15,$M38-$A$15,CB$13)))</f>
        <v>1000000000000</v>
      </c>
      <c r="CC38" s="172">
        <f t="array" aca="1" ref="CC38" ca="1">IF(OR($D38&lt;&gt;"Serviço",AND(AUTOEVENTO="Manual",$M38=$A$15),$M38&gt;(ROW(PLE.lastrow)-ROW(PLE.firstrow))),0,
           IF(OFFSET(PLE!$G$15,$M38-$A$15,CC$13)="",10^12,OFFSET(PLE!$G$15,$M38-$A$15,CC$13)))</f>
        <v>1000000000000</v>
      </c>
      <c r="CD38" s="172">
        <f t="array" aca="1" ref="CD38" ca="1">IF(OR($D38&lt;&gt;"Serviço",AND(AUTOEVENTO="Manual",$M38=$A$15),$M38&gt;(ROW(PLE.lastrow)-ROW(PLE.firstrow))),0,
           IF(OFFSET(PLE!$G$15,$M38-$A$15,CD$13)="",10^12,OFFSET(PLE!$G$15,$M38-$A$15,CD$13)))</f>
        <v>1000000000000</v>
      </c>
      <c r="CE38" s="172">
        <f t="array" aca="1" ref="CE38" ca="1">IF(OR($D38&lt;&gt;"Serviço",AND(AUTOEVENTO="Manual",$M38=$A$15),$M38&gt;(ROW(PLE.lastrow)-ROW(PLE.firstrow))),0,
           IF(OFFSET(PLE!$G$15,$M38-$A$15,CE$13)="",10^12,OFFSET(PLE!$G$15,$M38-$A$15,CE$13)))</f>
        <v>1000000000000</v>
      </c>
      <c r="CF38" s="172">
        <f t="array" aca="1" ref="CF38" ca="1">IF(OR($D38&lt;&gt;"Serviço",AND(AUTOEVENTO="Manual",$M38=$A$15),$M38&gt;(ROW(PLE.lastrow)-ROW(PLE.firstrow))),0,
           IF(OFFSET(PLE!$G$15,$M38-$A$15,CF$13)="",10^12,OFFSET(PLE!$G$15,$M38-$A$15,CF$13)))</f>
        <v>1000000000000</v>
      </c>
      <c r="CG38" s="172">
        <f t="array" aca="1" ref="CG38" ca="1">IF(OR($D38&lt;&gt;"Serviço",AND(AUTOEVENTO="Manual",$M38=$A$15),$M38&gt;(ROW(PLE.lastrow)-ROW(PLE.firstrow))),0,
           IF(OFFSET(PLE!$G$15,$M38-$A$15,CG$13)="",10^12,OFFSET(PLE!$G$15,$M38-$A$15,CG$13)))</f>
        <v>1000000000000</v>
      </c>
      <c r="CH38" s="172">
        <f t="array" aca="1" ref="CH38" ca="1">IF(OR($D38&lt;&gt;"Serviço",AND(AUTOEVENTO="Manual",$M38=$A$15),$M38&gt;(ROW(PLE.lastrow)-ROW(PLE.firstrow))),0,
           IF(OFFSET(PLE!$G$15,$M38-$A$15,CH$13)="",10^12,OFFSET(PLE!$G$15,$M38-$A$15,CH$13)))</f>
        <v>1000000000000</v>
      </c>
      <c r="CI38" s="172">
        <f t="array" aca="1" ref="CI38" ca="1">IF(OR($D38&lt;&gt;"Serviço",AND(AUTOEVENTO="Manual",$M38=$A$15),$M38&gt;(ROW(PLE.lastrow)-ROW(PLE.firstrow))),0,
           IF(OFFSET(PLE!$G$15,$M38-$A$15,CI$13)="",10^12,OFFSET(PLE!$G$15,$M38-$A$15,CI$13)))</f>
        <v>1000000000000</v>
      </c>
      <c r="CJ38" s="172">
        <f t="array" aca="1" ref="CJ38" ca="1">IF(OR($D38&lt;&gt;"Serviço",AND(AUTOEVENTO="Manual",$M38=$A$15),$M38&gt;(ROW(PLE.lastrow)-ROW(PLE.firstrow))),0,
           IF(OFFSET(PLE!$G$15,$M38-$A$15,CJ$13)="",10^12,OFFSET(PLE!$G$15,$M38-$A$15,CJ$13)))</f>
        <v>1000000000000</v>
      </c>
      <c r="CK38" s="172">
        <f t="array" aca="1" ref="CK38" ca="1">IF(OR($D38&lt;&gt;"Serviço",AND(AUTOEVENTO="Manual",$M38=$A$15),$M38&gt;(ROW(PLE.lastrow)-ROW(PLE.firstrow))),0,
           IF(OFFSET(PLE!$G$15,$M38-$A$15,CK$13)="",10^12,OFFSET(PLE!$G$15,$M38-$A$15,CK$13)))</f>
        <v>1000000000000</v>
      </c>
      <c r="CL38" s="172">
        <f t="array" aca="1" ref="CL38" ca="1">IF(OR($D38&lt;&gt;"Serviço",AND(AUTOEVENTO="Manual",$M38=$A$15),$M38&gt;(ROW(PLE.lastrow)-ROW(PLE.firstrow))),0,
           IF(OFFSET(PLE!$G$15,$M38-$A$15,CL$13)="",10^12,OFFSET(PLE!$G$15,$M38-$A$15,CL$13)))</f>
        <v>1000000000000</v>
      </c>
      <c r="CM38" s="172">
        <f t="array" aca="1" ref="CM38" ca="1">IF(OR($D38&lt;&gt;"Serviço",AND(AUTOEVENTO="Manual",$M38=$A$15),$M38&gt;(ROW(PLE.lastrow)-ROW(PLE.firstrow))),0,
           IF(OFFSET(PLE!$G$15,$M38-$A$15,CM$13)="",10^12,OFFSET(PLE!$G$15,$M38-$A$15,CM$13)))</f>
        <v>1000000000000</v>
      </c>
    </row>
    <row r="39" spans="1:91" s="696" customFormat="1" ht="51" x14ac:dyDescent="0.2">
      <c r="A39" s="694">
        <f t="shared" ca="1" si="10"/>
        <v>4</v>
      </c>
      <c r="B39" s="694" t="str">
        <f ca="1">OFFSET(ORÇAMENTO!C$15,$L39,0)</f>
        <v>S</v>
      </c>
      <c r="C39" s="694" t="str">
        <f ca="1">OFFSET(ORÇAMENTO!L$15,$L39,0)</f>
        <v>F</v>
      </c>
      <c r="D39" s="116" t="str">
        <f ca="1">OFFSET(ORÇAMENTO!N$15,$L39,0)</f>
        <v>Serviço</v>
      </c>
      <c r="E39" s="117" t="str">
        <f ca="1">OFFSET(ORÇAMENTO!O$15,$L39,0)</f>
        <v>1.4.8.</v>
      </c>
      <c r="F39" s="163" t="str">
        <f ca="1">OFFSET(ORÇAMENTO!R$15,$L39,0)</f>
        <v>ARMAÇÃO DE SAPATA ISOLADA, VIGA BALDRAME E SAPATA CORRIDA UTILIZANDO AÇO CA-60 DE 5 MM - MONTAGEM. AF_01/2024</v>
      </c>
      <c r="G39" s="164" t="str">
        <f ca="1">IF($D39&lt;&gt;"Serviço","",OFFSET(ORÇAMENTO!S$15,$L39,0))</f>
        <v>KG</v>
      </c>
      <c r="H39" s="122">
        <f t="array" aca="1" ref="H39" ca="1">IF($D39&lt;&gt;"Serviço",0,IF(ACOMPANHAMENTO="BM",ROUND(OFFSET(ORÇAMENTO!AJ$15,$L39,0),15-13*ORÇAMENTO!$AF$7),IF(IFERROR(CÁLCULO.FrentesPreenchidas,0)=0,0,SUM(ROUND(OFFSET($P39,0,1,1,CÁLCULO.FrentesPreenchidas),15-13*ORÇAMENTO!$AF$7)))))</f>
        <v>256</v>
      </c>
      <c r="I39" s="467" t="s">
        <v>1221</v>
      </c>
      <c r="J39" s="653" t="str">
        <f t="array" aca="1" ref="J39" ca="1">IF(OR(B39&lt;&gt;"S",CÁLCULO.FrentesPreenchidas=0),"",IF(AND(ACOMPANHAMENTO="PLE",AUTOEVENTO="Manual",OR(H39&gt;0,ORÇAMENTO!AC39="QUANT."),OR(K39="",M39=0,N39="")),"►E",IF(AND(ACOMPANHAMENTO="PLE",ORÇAMENTO!AC39="QUANT."),"►Q",IF(AND(ACOMPANHAMENTO="PLE",H39&lt;&gt;SUMPRODUCT(($Q$1:$AI$1=1)*ROUND(Q39:AI39,15))),"►S",IF(AND(COUNTIF($P$11:$AI$11,"▼")=0,H39&gt;0,I39=""),"◄M","")))))</f>
        <v/>
      </c>
      <c r="K39" s="654" t="s">
        <v>1383</v>
      </c>
      <c r="L39" s="165">
        <f t="shared" ca="1" si="11"/>
        <v>24</v>
      </c>
      <c r="M39" s="166">
        <f ca="1">IF($D39&lt;&gt;"Serviço","",
          IF(AUTOEVENTO="manual",$A39,
                IF(ISERROR(MATCH($A39,$A$15:OFFSET($A39,-1,0),0)),MAX($M$15:OFFSET(M39,-1,0))+1,
                      INDEX($M$15:OFFSET(M39,-1,0),MATCH($A39,$A$15:OFFSET($A39,-1,0),0)))))</f>
        <v>4</v>
      </c>
      <c r="N39" s="167" t="str">
        <f ca="1">IF($D39&lt;&gt;"Serviço","",
         IF(AUTOEVENTO="Manual",
                IF($A39=0,"&lt;-- defina o número do agrupador",
                       OFFSET(EVENTOS!$D$15,$A39-$A$15,0)),
                OFFSET($F$15,$A39,0)))</f>
        <v>SAPATAS (LOCAÇÃO,ESCAVAÇÕES, FORMAS, AÇO, CONCRETAGEM)</v>
      </c>
      <c r="O39" s="168"/>
      <c r="Q39" s="169">
        <f>12.8*5</f>
        <v>64</v>
      </c>
      <c r="R39" s="169">
        <f t="shared" ref="R39:T39" si="17">12.8*5</f>
        <v>64</v>
      </c>
      <c r="S39" s="169">
        <f t="shared" si="17"/>
        <v>64</v>
      </c>
      <c r="T39" s="169">
        <f t="shared" si="17"/>
        <v>64</v>
      </c>
      <c r="U39" s="169"/>
      <c r="V39" s="169"/>
      <c r="W39" s="169"/>
      <c r="X39" s="169"/>
      <c r="Y39" s="169"/>
      <c r="Z39" s="170"/>
      <c r="AA39" s="169"/>
      <c r="AB39" s="169"/>
      <c r="AC39" s="169"/>
      <c r="AD39" s="169"/>
      <c r="AE39" s="169"/>
      <c r="AF39" s="169"/>
      <c r="AG39" s="169"/>
      <c r="AH39" s="170"/>
      <c r="AJ39" s="452">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1242.8800000000001</v>
      </c>
      <c r="AK39" s="452">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1242.8800000000001</v>
      </c>
      <c r="AL39" s="452">
        <f ca="1">IF(AND($D39="Serviço",AL$12&lt;&gt;0,$H39&gt;0,OR(AUTOEVENTO&lt;&gt;"manual",$M39&lt;&gt;$A$15)),
        IF(Import.TipoArredondamento&lt;&gt;"TransfereGOV",
              ROUND(OFFSET($P39,0,AL$13),15-13*ORÇAMENTO!$AF$7)/$H39*OFFSET(ORÇAMENTO!$X$15,ROW(AL39)-ROW(AL$15),0),
              ROUND(ROUND(OFFSET($P39,0,AL$13),15-13*ORÇAMENTO!$AF$7)*OFFSET(ORÇAMENTO!$W$15,ROW(AL39)-ROW(AL$15),0),15-13*ORÇAMENTO!$AF$11)),
         0)</f>
        <v>1242.8800000000001</v>
      </c>
      <c r="AM39" s="452">
        <f ca="1">IF(AND($D39="Serviço",AM$12&lt;&gt;0,$H39&gt;0,OR(AUTOEVENTO&lt;&gt;"manual",$M39&lt;&gt;$A$15)),
        IF(Import.TipoArredondamento&lt;&gt;"TransfereGOV",
              ROUND(OFFSET($P39,0,AM$13),15-13*ORÇAMENTO!$AF$7)/$H39*OFFSET(ORÇAMENTO!$X$15,ROW(AM39)-ROW(AM$15),0),
              ROUND(ROUND(OFFSET($P39,0,AM$13),15-13*ORÇAMENTO!$AF$7)*OFFSET(ORÇAMENTO!$W$15,ROW(AM39)-ROW(AM$15),0),15-13*ORÇAMENTO!$AF$11)),
         0)</f>
        <v>1242.8800000000001</v>
      </c>
      <c r="AN39" s="452">
        <f ca="1">IF(AND($D39="Serviço",AN$12&lt;&gt;0,$H39&gt;0,OR(AUTOEVENTO&lt;&gt;"manual",$M39&lt;&gt;$A$15)),
        IF(Import.TipoArredondamento&lt;&gt;"TransfereGOV",
              ROUND(OFFSET($P39,0,AN$13),15-13*ORÇAMENTO!$AF$7)/$H39*OFFSET(ORÇAMENTO!$X$15,ROW(AN39)-ROW(AN$15),0),
              ROUND(ROUND(OFFSET($P39,0,AN$13),15-13*ORÇAMENTO!$AF$7)*OFFSET(ORÇAMENTO!$W$15,ROW(AN39)-ROW(AN$15),0),15-13*ORÇAMENTO!$AF$11)),
         0)</f>
        <v>0</v>
      </c>
      <c r="AO39" s="452">
        <f ca="1">IF(AND($D39="Serviço",AO$12&lt;&gt;0,$H39&gt;0,OR(AUTOEVENTO&lt;&gt;"manual",$M39&lt;&gt;$A$15)),
        IF(Import.TipoArredondamento&lt;&gt;"TransfereGOV",
              ROUND(OFFSET($P39,0,AO$13),15-13*ORÇAMENTO!$AF$7)/$H39*OFFSET(ORÇAMENTO!$X$15,ROW(AO39)-ROW(AO$15),0),
              ROUND(ROUND(OFFSET($P39,0,AO$13),15-13*ORÇAMENTO!$AF$7)*OFFSET(ORÇAMENTO!$W$15,ROW(AO39)-ROW(AO$15),0),15-13*ORÇAMENTO!$AF$11)),
         0)</f>
        <v>0</v>
      </c>
      <c r="AP39" s="452">
        <f ca="1">IF(AND($D39="Serviço",AP$12&lt;&gt;0,$H39&gt;0,OR(AUTOEVENTO&lt;&gt;"manual",$M39&lt;&gt;$A$15)),
        IF(Import.TipoArredondamento&lt;&gt;"TransfereGOV",
              ROUND(OFFSET($P39,0,AP$13),15-13*ORÇAMENTO!$AF$7)/$H39*OFFSET(ORÇAMENTO!$X$15,ROW(AP39)-ROW(AP$15),0),
              ROUND(ROUND(OFFSET($P39,0,AP$13),15-13*ORÇAMENTO!$AF$7)*OFFSET(ORÇAMENTO!$W$15,ROW(AP39)-ROW(AP$15),0),15-13*ORÇAMENTO!$AF$11)),
         0)</f>
        <v>0</v>
      </c>
      <c r="AQ39" s="452">
        <f ca="1">IF(AND($D39="Serviço",AQ$12&lt;&gt;0,$H39&gt;0,OR(AUTOEVENTO&lt;&gt;"manual",$M39&lt;&gt;$A$15)),
        IF(Import.TipoArredondamento&lt;&gt;"TransfereGOV",
              ROUND(OFFSET($P39,0,AQ$13),15-13*ORÇAMENTO!$AF$7)/$H39*OFFSET(ORÇAMENTO!$X$15,ROW(AQ39)-ROW(AQ$15),0),
              ROUND(ROUND(OFFSET($P39,0,AQ$13),15-13*ORÇAMENTO!$AF$7)*OFFSET(ORÇAMENTO!$W$15,ROW(AQ39)-ROW(AQ$15),0),15-13*ORÇAMENTO!$AF$11)),
         0)</f>
        <v>0</v>
      </c>
      <c r="AR39" s="452">
        <f ca="1">IF(AND($D39="Serviço",AR$12&lt;&gt;0,$H39&gt;0,OR(AUTOEVENTO&lt;&gt;"manual",$M39&lt;&gt;$A$15)),
        IF(Import.TipoArredondamento&lt;&gt;"TransfereGOV",
              ROUND(OFFSET($P39,0,AR$13),15-13*ORÇAMENTO!$AF$7)/$H39*OFFSET(ORÇAMENTO!$X$15,ROW(AR39)-ROW(AR$15),0),
              ROUND(ROUND(OFFSET($P39,0,AR$13),15-13*ORÇAMENTO!$AF$7)*OFFSET(ORÇAMENTO!$W$15,ROW(AR39)-ROW(AR$15),0),15-13*ORÇAMENTO!$AF$11)),
         0)</f>
        <v>0</v>
      </c>
      <c r="AS39" s="452">
        <f ca="1">IF(AND($D39="Serviço",AS$12&lt;&gt;0,$H39&gt;0,OR(AUTOEVENTO&lt;&gt;"manual",$M39&lt;&gt;$A$15)),
        IF(Import.TipoArredondamento&lt;&gt;"TransfereGOV",
              ROUND(OFFSET($P39,0,AS$13),15-13*ORÇAMENTO!$AF$7)/$H39*OFFSET(ORÇAMENTO!$X$15,ROW(AS39)-ROW(AS$15),0),
              ROUND(ROUND(OFFSET($P39,0,AS$13),15-13*ORÇAMENTO!$AF$7)*OFFSET(ORÇAMENTO!$W$15,ROW(AS39)-ROW(AS$15),0),15-13*ORÇAMENTO!$AF$11)),
         0)</f>
        <v>0</v>
      </c>
      <c r="AT39" s="452">
        <f ca="1">IF(AND($D39="Serviço",AT$12&lt;&gt;0,$H39&gt;0,OR(AUTOEVENTO&lt;&gt;"manual",$M39&lt;&gt;$A$15)),
        IF(Import.TipoArredondamento&lt;&gt;"TransfereGOV",
              ROUND(OFFSET($P39,0,AT$13),15-13*ORÇAMENTO!$AF$7)/$H39*OFFSET(ORÇAMENTO!$X$15,ROW(AT39)-ROW(AT$15),0),
              ROUND(ROUND(OFFSET($P39,0,AT$13),15-13*ORÇAMENTO!$AF$7)*OFFSET(ORÇAMENTO!$W$15,ROW(AT39)-ROW(AT$15),0),15-13*ORÇAMENTO!$AF$11)),
         0)</f>
        <v>0</v>
      </c>
      <c r="AU39" s="452">
        <f ca="1">IF(AND($D39="Serviço",AU$12&lt;&gt;0,$H39&gt;0,OR(AUTOEVENTO&lt;&gt;"manual",$M39&lt;&gt;$A$15)),
        IF(Import.TipoArredondamento&lt;&gt;"TransfereGOV",
              ROUND(OFFSET($P39,0,AU$13),15-13*ORÇAMENTO!$AF$7)/$H39*OFFSET(ORÇAMENTO!$X$15,ROW(AU39)-ROW(AU$15),0),
              ROUND(ROUND(OFFSET($P39,0,AU$13),15-13*ORÇAMENTO!$AF$7)*OFFSET(ORÇAMENTO!$W$15,ROW(AU39)-ROW(AU$15),0),15-13*ORÇAMENTO!$AF$11)),
         0)</f>
        <v>0</v>
      </c>
      <c r="AV39" s="452">
        <f ca="1">IF(AND($D39="Serviço",AV$12&lt;&gt;0,$H39&gt;0,OR(AUTOEVENTO&lt;&gt;"manual",$M39&lt;&gt;$A$15)),
        IF(Import.TipoArredondamento&lt;&gt;"TransfereGOV",
              ROUND(OFFSET($P39,0,AV$13),15-13*ORÇAMENTO!$AF$7)/$H39*OFFSET(ORÇAMENTO!$X$15,ROW(AV39)-ROW(AV$15),0),
              ROUND(ROUND(OFFSET($P39,0,AV$13),15-13*ORÇAMENTO!$AF$7)*OFFSET(ORÇAMENTO!$W$15,ROW(AV39)-ROW(AV$15),0),15-13*ORÇAMENTO!$AF$11)),
         0)</f>
        <v>0</v>
      </c>
      <c r="AW39" s="452">
        <f ca="1">IF(AND($D39="Serviço",AW$12&lt;&gt;0,$H39&gt;0,OR(AUTOEVENTO&lt;&gt;"manual",$M39&lt;&gt;$A$15)),
        IF(Import.TipoArredondamento&lt;&gt;"TransfereGOV",
              ROUND(OFFSET($P39,0,AW$13),15-13*ORÇAMENTO!$AF$7)/$H39*OFFSET(ORÇAMENTO!$X$15,ROW(AW39)-ROW(AW$15),0),
              ROUND(ROUND(OFFSET($P39,0,AW$13),15-13*ORÇAMENTO!$AF$7)*OFFSET(ORÇAMENTO!$W$15,ROW(AW39)-ROW(AW$15),0),15-13*ORÇAMENTO!$AF$11)),
         0)</f>
        <v>0</v>
      </c>
      <c r="AX39" s="452">
        <f ca="1">IF(AND($D39="Serviço",AX$12&lt;&gt;0,$H39&gt;0,OR(AUTOEVENTO&lt;&gt;"manual",$M39&lt;&gt;$A$15)),
        IF(Import.TipoArredondamento&lt;&gt;"TransfereGOV",
              ROUND(OFFSET($P39,0,AX$13),15-13*ORÇAMENTO!$AF$7)/$H39*OFFSET(ORÇAMENTO!$X$15,ROW(AX39)-ROW(AX$15),0),
              ROUND(ROUND(OFFSET($P39,0,AX$13),15-13*ORÇAMENTO!$AF$7)*OFFSET(ORÇAMENTO!$W$15,ROW(AX39)-ROW(AX$15),0),15-13*ORÇAMENTO!$AF$11)),
         0)</f>
        <v>0</v>
      </c>
      <c r="AY39" s="452">
        <f ca="1">IF(AND($D39="Serviço",AY$12&lt;&gt;0,$H39&gt;0,OR(AUTOEVENTO&lt;&gt;"manual",$M39&lt;&gt;$A$15)),
        IF(Import.TipoArredondamento&lt;&gt;"TransfereGOV",
              ROUND(OFFSET($P39,0,AY$13),15-13*ORÇAMENTO!$AF$7)/$H39*OFFSET(ORÇAMENTO!$X$15,ROW(AY39)-ROW(AY$15),0),
              ROUND(ROUND(OFFSET($P39,0,AY$13),15-13*ORÇAMENTO!$AF$7)*OFFSET(ORÇAMENTO!$W$15,ROW(AY39)-ROW(AY$15),0),15-13*ORÇAMENTO!$AF$11)),
         0)</f>
        <v>0</v>
      </c>
      <c r="AZ39" s="452">
        <f ca="1">IF(AND($D39="Serviço",AZ$12&lt;&gt;0,$H39&gt;0,OR(AUTOEVENTO&lt;&gt;"manual",$M39&lt;&gt;$A$15)),
        IF(Import.TipoArredondamento&lt;&gt;"TransfereGOV",
              ROUND(OFFSET($P39,0,AZ$13),15-13*ORÇAMENTO!$AF$7)/$H39*OFFSET(ORÇAMENTO!$X$15,ROW(AZ39)-ROW(AZ$15),0),
              ROUND(ROUND(OFFSET($P39,0,AZ$13),15-13*ORÇAMENTO!$AF$7)*OFFSET(ORÇAMENTO!$W$15,ROW(AZ39)-ROW(AZ$15),0),15-13*ORÇAMENTO!$AF$11)),
         0)</f>
        <v>0</v>
      </c>
      <c r="BA39" s="452">
        <f ca="1">IF(AND($D39="Serviço",BA$12&lt;&gt;0,$H39&gt;0,OR(AUTOEVENTO&lt;&gt;"manual",$M39&lt;&gt;$A$15)),
        IF(Import.TipoArredondamento&lt;&gt;"TransfereGOV",
              ROUND(OFFSET($P39,0,BA$13),15-13*ORÇAMENTO!$AF$7)/$H39*OFFSET(ORÇAMENTO!$X$15,ROW(BA39)-ROW(BA$15),0),
              ROUND(ROUND(OFFSET($P39,0,BA$13),15-13*ORÇAMENTO!$AF$7)*OFFSET(ORÇAMENTO!$W$15,ROW(BA39)-ROW(BA$15),0),15-13*ORÇAMENTO!$AF$11)),
         0)</f>
        <v>0</v>
      </c>
      <c r="BC39" s="171">
        <f ca="1">IF(OR($D39&lt;&gt;"Serviço",AND(AUTOEVENTO="Manual",$M39=$A$15)),0,
         IF(OFFSET(CRONOPLE!$F$15,$M39-$A$15,BC$13)=0,10^12,OFFSET(CRONOPLE!$F$15,$M39-$A$15,BC$13)))</f>
        <v>2</v>
      </c>
      <c r="BD39" s="171">
        <f ca="1">IF(OR($D39&lt;&gt;"Serviço",AND(AUTOEVENTO="Manual",$M39=$A$15)),0,
         IF(OFFSET(CRONOPLE!$F$15,$M39-$A$15,BD$13)=0,10^12,OFFSET(CRONOPLE!$F$15,$M39-$A$15,BD$13)))</f>
        <v>2</v>
      </c>
      <c r="BE39" s="171">
        <f ca="1">IF(OR($D39&lt;&gt;"Serviço",AND(AUTOEVENTO="Manual",$M39=$A$15)),0,
         IF(OFFSET(CRONOPLE!$F$15,$M39-$A$15,BE$13)=0,10^12,OFFSET(CRONOPLE!$F$15,$M39-$A$15,BE$13)))</f>
        <v>3</v>
      </c>
      <c r="BF39" s="171">
        <f ca="1">IF(OR($D39&lt;&gt;"Serviço",AND(AUTOEVENTO="Manual",$M39=$A$15)),0,
         IF(OFFSET(CRONOPLE!$F$15,$M39-$A$15,BF$13)=0,10^12,OFFSET(CRONOPLE!$F$15,$M39-$A$15,BF$13)))</f>
        <v>3</v>
      </c>
      <c r="BG39" s="171">
        <f ca="1">IF(OR($D39&lt;&gt;"Serviço",AND(AUTOEVENTO="Manual",$M39=$A$15)),0,
         IF(OFFSET(CRONOPLE!$F$15,$M39-$A$15,BG$13)=0,10^12,OFFSET(CRONOPLE!$F$15,$M39-$A$15,BG$13)))</f>
        <v>3</v>
      </c>
      <c r="BH39" s="171">
        <f ca="1">IF(OR($D39&lt;&gt;"Serviço",AND(AUTOEVENTO="Manual",$M39=$A$15)),0,
         IF(OFFSET(CRONOPLE!$F$15,$M39-$A$15,BH$13)=0,10^12,OFFSET(CRONOPLE!$F$15,$M39-$A$15,BH$13)))</f>
        <v>1000000000000</v>
      </c>
      <c r="BI39" s="171">
        <f ca="1">IF(OR($D39&lt;&gt;"Serviço",AND(AUTOEVENTO="Manual",$M39=$A$15)),0,
         IF(OFFSET(CRONOPLE!$F$15,$M39-$A$15,BI$13)=0,10^12,OFFSET(CRONOPLE!$F$15,$M39-$A$15,BI$13)))</f>
        <v>1000000000000</v>
      </c>
      <c r="BJ39" s="171">
        <f ca="1">IF(OR($D39&lt;&gt;"Serviço",AND(AUTOEVENTO="Manual",$M39=$A$15)),0,
         IF(OFFSET(CRONOPLE!$F$15,$M39-$A$15,BJ$13)=0,10^12,OFFSET(CRONOPLE!$F$15,$M39-$A$15,BJ$13)))</f>
        <v>1000000000000</v>
      </c>
      <c r="BK39" s="171">
        <f ca="1">IF(OR($D39&lt;&gt;"Serviço",AND(AUTOEVENTO="Manual",$M39=$A$15)),0,
         IF(OFFSET(CRONOPLE!$F$15,$M39-$A$15,BK$13)=0,10^12,OFFSET(CRONOPLE!$F$15,$M39-$A$15,BK$13)))</f>
        <v>1000000000000</v>
      </c>
      <c r="BL39" s="171">
        <f ca="1">IF(OR($D39&lt;&gt;"Serviço",AND(AUTOEVENTO="Manual",$M39=$A$15)),0,
         IF(OFFSET(CRONOPLE!$F$15,$M39-$A$15,BL$13)=0,10^12,OFFSET(CRONOPLE!$F$15,$M39-$A$15,BL$13)))</f>
        <v>1000000000000</v>
      </c>
      <c r="BM39" s="171">
        <f ca="1">IF(OR($D39&lt;&gt;"Serviço",AND(AUTOEVENTO="Manual",$M39=$A$15)),0,
         IF(OFFSET(CRONOPLE!$F$15,$M39-$A$15,BM$13)=0,10^12,OFFSET(CRONOPLE!$F$15,$M39-$A$15,BM$13)))</f>
        <v>1000000000000</v>
      </c>
      <c r="BN39" s="171">
        <f ca="1">IF(OR($D39&lt;&gt;"Serviço",AND(AUTOEVENTO="Manual",$M39=$A$15)),0,
         IF(OFFSET(CRONOPLE!$F$15,$M39-$A$15,BN$13)=0,10^12,OFFSET(CRONOPLE!$F$15,$M39-$A$15,BN$13)))</f>
        <v>1000000000000</v>
      </c>
      <c r="BO39" s="171">
        <f ca="1">IF(OR($D39&lt;&gt;"Serviço",AND(AUTOEVENTO="Manual",$M39=$A$15)),0,
         IF(OFFSET(CRONOPLE!$F$15,$M39-$A$15,BO$13)=0,10^12,OFFSET(CRONOPLE!$F$15,$M39-$A$15,BO$13)))</f>
        <v>1000000000000</v>
      </c>
      <c r="BP39" s="171">
        <f ca="1">IF(OR($D39&lt;&gt;"Serviço",AND(AUTOEVENTO="Manual",$M39=$A$15)),0,
         IF(OFFSET(CRONOPLE!$F$15,$M39-$A$15,BP$13)=0,10^12,OFFSET(CRONOPLE!$F$15,$M39-$A$15,BP$13)))</f>
        <v>1000000000000</v>
      </c>
      <c r="BQ39" s="171">
        <f ca="1">IF(OR($D39&lt;&gt;"Serviço",AND(AUTOEVENTO="Manual",$M39=$A$15)),0,
         IF(OFFSET(CRONOPLE!$F$15,$M39-$A$15,BQ$13)=0,10^12,OFFSET(CRONOPLE!$F$15,$M39-$A$15,BQ$13)))</f>
        <v>1000000000000</v>
      </c>
      <c r="BR39" s="171">
        <f ca="1">IF(OR($D39&lt;&gt;"Serviço",AND(AUTOEVENTO="Manual",$M39=$A$15)),0,
         IF(OFFSET(CRONOPLE!$F$15,$M39-$A$15,BR$13)=0,10^12,OFFSET(CRONOPLE!$F$15,$M39-$A$15,BR$13)))</f>
        <v>1000000000000</v>
      </c>
      <c r="BS39" s="171">
        <f ca="1">IF(OR($D39&lt;&gt;"Serviço",AND(AUTOEVENTO="Manual",$M39=$A$15)),0,
         IF(OFFSET(CRONOPLE!$F$15,$M39-$A$15,BS$13)=0,10^12,OFFSET(CRONOPLE!$F$15,$M39-$A$15,BS$13)))</f>
        <v>1000000000000</v>
      </c>
      <c r="BT39" s="171">
        <f ca="1">IF(OR($D39&lt;&gt;"Serviço",AND(AUTOEVENTO="Manual",$M39=$A$15)),0,
         IF(OFFSET(CRONOPLE!$F$15,$M39-$A$15,BT$13)=0,10^12,OFFSET(CRONOPLE!$F$15,$M39-$A$15,BT$13)))</f>
        <v>1000000000000</v>
      </c>
      <c r="BV39" s="172">
        <f t="array" aca="1" ref="BV39" ca="1">IF(OR($D39&lt;&gt;"Serviço",AND(AUTOEVENTO="Manual",$M39=$A$15),$M39&gt;(ROW(PLE.lastrow)-ROW(PLE.firstrow))),0,
           IF(OFFSET(PLE!$G$15,$M39-$A$15,BV$13)="",10^12,OFFSET(PLE!$G$15,$M39-$A$15,BV$13)))</f>
        <v>1000000000000</v>
      </c>
      <c r="BW39" s="172">
        <f t="array" aca="1" ref="BW39" ca="1">IF(OR($D39&lt;&gt;"Serviço",AND(AUTOEVENTO="Manual",$M39=$A$15),$M39&gt;(ROW(PLE.lastrow)-ROW(PLE.firstrow))),0,
           IF(OFFSET(PLE!$G$15,$M39-$A$15,BW$13)="",10^12,OFFSET(PLE!$G$15,$M39-$A$15,BW$13)))</f>
        <v>1000000000000</v>
      </c>
      <c r="BX39" s="172">
        <f t="array" aca="1" ref="BX39" ca="1">IF(OR($D39&lt;&gt;"Serviço",AND(AUTOEVENTO="Manual",$M39=$A$15),$M39&gt;(ROW(PLE.lastrow)-ROW(PLE.firstrow))),0,
           IF(OFFSET(PLE!$G$15,$M39-$A$15,BX$13)="",10^12,OFFSET(PLE!$G$15,$M39-$A$15,BX$13)))</f>
        <v>1000000000000</v>
      </c>
      <c r="BY39" s="172">
        <f t="array" aca="1" ref="BY39" ca="1">IF(OR($D39&lt;&gt;"Serviço",AND(AUTOEVENTO="Manual",$M39=$A$15),$M39&gt;(ROW(PLE.lastrow)-ROW(PLE.firstrow))),0,
           IF(OFFSET(PLE!$G$15,$M39-$A$15,BY$13)="",10^12,OFFSET(PLE!$G$15,$M39-$A$15,BY$13)))</f>
        <v>1000000000000</v>
      </c>
      <c r="BZ39" s="172">
        <f t="array" aca="1" ref="BZ39" ca="1">IF(OR($D39&lt;&gt;"Serviço",AND(AUTOEVENTO="Manual",$M39=$A$15),$M39&gt;(ROW(PLE.lastrow)-ROW(PLE.firstrow))),0,
           IF(OFFSET(PLE!$G$15,$M39-$A$15,BZ$13)="",10^12,OFFSET(PLE!$G$15,$M39-$A$15,BZ$13)))</f>
        <v>1000000000000</v>
      </c>
      <c r="CA39" s="172">
        <f t="array" aca="1" ref="CA39" ca="1">IF(OR($D39&lt;&gt;"Serviço",AND(AUTOEVENTO="Manual",$M39=$A$15),$M39&gt;(ROW(PLE.lastrow)-ROW(PLE.firstrow))),0,
           IF(OFFSET(PLE!$G$15,$M39-$A$15,CA$13)="",10^12,OFFSET(PLE!$G$15,$M39-$A$15,CA$13)))</f>
        <v>1000000000000</v>
      </c>
      <c r="CB39" s="172">
        <f t="array" aca="1" ref="CB39" ca="1">IF(OR($D39&lt;&gt;"Serviço",AND(AUTOEVENTO="Manual",$M39=$A$15),$M39&gt;(ROW(PLE.lastrow)-ROW(PLE.firstrow))),0,
           IF(OFFSET(PLE!$G$15,$M39-$A$15,CB$13)="",10^12,OFFSET(PLE!$G$15,$M39-$A$15,CB$13)))</f>
        <v>1000000000000</v>
      </c>
      <c r="CC39" s="172">
        <f t="array" aca="1" ref="CC39" ca="1">IF(OR($D39&lt;&gt;"Serviço",AND(AUTOEVENTO="Manual",$M39=$A$15),$M39&gt;(ROW(PLE.lastrow)-ROW(PLE.firstrow))),0,
           IF(OFFSET(PLE!$G$15,$M39-$A$15,CC$13)="",10^12,OFFSET(PLE!$G$15,$M39-$A$15,CC$13)))</f>
        <v>1000000000000</v>
      </c>
      <c r="CD39" s="172">
        <f t="array" aca="1" ref="CD39" ca="1">IF(OR($D39&lt;&gt;"Serviço",AND(AUTOEVENTO="Manual",$M39=$A$15),$M39&gt;(ROW(PLE.lastrow)-ROW(PLE.firstrow))),0,
           IF(OFFSET(PLE!$G$15,$M39-$A$15,CD$13)="",10^12,OFFSET(PLE!$G$15,$M39-$A$15,CD$13)))</f>
        <v>1000000000000</v>
      </c>
      <c r="CE39" s="172">
        <f t="array" aca="1" ref="CE39" ca="1">IF(OR($D39&lt;&gt;"Serviço",AND(AUTOEVENTO="Manual",$M39=$A$15),$M39&gt;(ROW(PLE.lastrow)-ROW(PLE.firstrow))),0,
           IF(OFFSET(PLE!$G$15,$M39-$A$15,CE$13)="",10^12,OFFSET(PLE!$G$15,$M39-$A$15,CE$13)))</f>
        <v>1000000000000</v>
      </c>
      <c r="CF39" s="172">
        <f t="array" aca="1" ref="CF39" ca="1">IF(OR($D39&lt;&gt;"Serviço",AND(AUTOEVENTO="Manual",$M39=$A$15),$M39&gt;(ROW(PLE.lastrow)-ROW(PLE.firstrow))),0,
           IF(OFFSET(PLE!$G$15,$M39-$A$15,CF$13)="",10^12,OFFSET(PLE!$G$15,$M39-$A$15,CF$13)))</f>
        <v>1000000000000</v>
      </c>
      <c r="CG39" s="172">
        <f t="array" aca="1" ref="CG39" ca="1">IF(OR($D39&lt;&gt;"Serviço",AND(AUTOEVENTO="Manual",$M39=$A$15),$M39&gt;(ROW(PLE.lastrow)-ROW(PLE.firstrow))),0,
           IF(OFFSET(PLE!$G$15,$M39-$A$15,CG$13)="",10^12,OFFSET(PLE!$G$15,$M39-$A$15,CG$13)))</f>
        <v>1000000000000</v>
      </c>
      <c r="CH39" s="172">
        <f t="array" aca="1" ref="CH39" ca="1">IF(OR($D39&lt;&gt;"Serviço",AND(AUTOEVENTO="Manual",$M39=$A$15),$M39&gt;(ROW(PLE.lastrow)-ROW(PLE.firstrow))),0,
           IF(OFFSET(PLE!$G$15,$M39-$A$15,CH$13)="",10^12,OFFSET(PLE!$G$15,$M39-$A$15,CH$13)))</f>
        <v>1000000000000</v>
      </c>
      <c r="CI39" s="172">
        <f t="array" aca="1" ref="CI39" ca="1">IF(OR($D39&lt;&gt;"Serviço",AND(AUTOEVENTO="Manual",$M39=$A$15),$M39&gt;(ROW(PLE.lastrow)-ROW(PLE.firstrow))),0,
           IF(OFFSET(PLE!$G$15,$M39-$A$15,CI$13)="",10^12,OFFSET(PLE!$G$15,$M39-$A$15,CI$13)))</f>
        <v>1000000000000</v>
      </c>
      <c r="CJ39" s="172">
        <f t="array" aca="1" ref="CJ39" ca="1">IF(OR($D39&lt;&gt;"Serviço",AND(AUTOEVENTO="Manual",$M39=$A$15),$M39&gt;(ROW(PLE.lastrow)-ROW(PLE.firstrow))),0,
           IF(OFFSET(PLE!$G$15,$M39-$A$15,CJ$13)="",10^12,OFFSET(PLE!$G$15,$M39-$A$15,CJ$13)))</f>
        <v>1000000000000</v>
      </c>
      <c r="CK39" s="172">
        <f t="array" aca="1" ref="CK39" ca="1">IF(OR($D39&lt;&gt;"Serviço",AND(AUTOEVENTO="Manual",$M39=$A$15),$M39&gt;(ROW(PLE.lastrow)-ROW(PLE.firstrow))),0,
           IF(OFFSET(PLE!$G$15,$M39-$A$15,CK$13)="",10^12,OFFSET(PLE!$G$15,$M39-$A$15,CK$13)))</f>
        <v>1000000000000</v>
      </c>
      <c r="CL39" s="172">
        <f t="array" aca="1" ref="CL39" ca="1">IF(OR($D39&lt;&gt;"Serviço",AND(AUTOEVENTO="Manual",$M39=$A$15),$M39&gt;(ROW(PLE.lastrow)-ROW(PLE.firstrow))),0,
           IF(OFFSET(PLE!$G$15,$M39-$A$15,CL$13)="",10^12,OFFSET(PLE!$G$15,$M39-$A$15,CL$13)))</f>
        <v>1000000000000</v>
      </c>
      <c r="CM39" s="172">
        <f t="array" aca="1" ref="CM39" ca="1">IF(OR($D39&lt;&gt;"Serviço",AND(AUTOEVENTO="Manual",$M39=$A$15),$M39&gt;(ROW(PLE.lastrow)-ROW(PLE.firstrow))),0,
           IF(OFFSET(PLE!$G$15,$M39-$A$15,CM$13)="",10^12,OFFSET(PLE!$G$15,$M39-$A$15,CM$13)))</f>
        <v>1000000000000</v>
      </c>
    </row>
    <row r="40" spans="1:91" s="696" customFormat="1" ht="51" x14ac:dyDescent="0.2">
      <c r="A40" s="694">
        <f t="shared" ca="1" si="10"/>
        <v>4</v>
      </c>
      <c r="B40" s="694" t="str">
        <f ca="1">OFFSET(ORÇAMENTO!C$15,$L40,0)</f>
        <v>S</v>
      </c>
      <c r="C40" s="694" t="str">
        <f ca="1">OFFSET(ORÇAMENTO!L$15,$L40,0)</f>
        <v>F</v>
      </c>
      <c r="D40" s="116" t="str">
        <f ca="1">OFFSET(ORÇAMENTO!N$15,$L40,0)</f>
        <v>Serviço</v>
      </c>
      <c r="E40" s="117" t="str">
        <f ca="1">OFFSET(ORÇAMENTO!O$15,$L40,0)</f>
        <v>1.4.9.</v>
      </c>
      <c r="F40" s="163" t="str">
        <f ca="1">OFFSET(ORÇAMENTO!R$15,$L40,0)</f>
        <v>CONCRETAGEM DE SAPATA, FCK 20 MPA, COM USO DE JERICA - LANÇAMENTO, ADENSAMENTO E ACABAMENTO.</v>
      </c>
      <c r="G40" s="164" t="str">
        <f ca="1">IF($D40&lt;&gt;"Serviço","",OFFSET(ORÇAMENTO!S$15,$L40,0))</f>
        <v>M3</v>
      </c>
      <c r="H40" s="122">
        <f t="array" aca="1" ref="H40" ca="1">IF($D40&lt;&gt;"Serviço",0,IF(ACOMPANHAMENTO="BM",ROUND(OFFSET(ORÇAMENTO!AJ$15,$L40,0),15-13*ORÇAMENTO!$AF$7),IF(IFERROR(CÁLCULO.FrentesPreenchidas,0)=0,0,SUM(ROUND(OFFSET($P40,0,1,1,CÁLCULO.FrentesPreenchidas),15-13*ORÇAMENTO!$AF$7)))))</f>
        <v>28.2</v>
      </c>
      <c r="I40" s="467" t="s">
        <v>1222</v>
      </c>
      <c r="J40" s="653" t="str">
        <f t="array" aca="1" ref="J40" ca="1">IF(OR(B40&lt;&gt;"S",CÁLCULO.FrentesPreenchidas=0),"",IF(AND(ACOMPANHAMENTO="PLE",AUTOEVENTO="Manual",OR(H40&gt;0,ORÇAMENTO!AC40="QUANT."),OR(K40="",M40=0,N40="")),"►E",IF(AND(ACOMPANHAMENTO="PLE",ORÇAMENTO!AC40="QUANT."),"►Q",IF(AND(ACOMPANHAMENTO="PLE",H40&lt;&gt;SUMPRODUCT(($Q$1:$AI$1=1)*ROUND(Q40:AI40,15))),"►S",IF(AND(COUNTIF($P$11:$AI$11,"▼")=0,H40&gt;0,I40=""),"◄M","")))))</f>
        <v/>
      </c>
      <c r="K40" s="654" t="s">
        <v>1383</v>
      </c>
      <c r="L40" s="165">
        <f t="shared" ca="1" si="11"/>
        <v>25</v>
      </c>
      <c r="M40" s="166">
        <f ca="1">IF($D40&lt;&gt;"Serviço","",
          IF(AUTOEVENTO="manual",$A40,
                IF(ISERROR(MATCH($A40,$A$15:OFFSET($A40,-1,0),0)),MAX($M$15:OFFSET(M40,-1,0))+1,
                      INDEX($M$15:OFFSET(M40,-1,0),MATCH($A40,$A$15:OFFSET($A40,-1,0),0)))))</f>
        <v>4</v>
      </c>
      <c r="N40" s="167" t="str">
        <f ca="1">IF($D40&lt;&gt;"Serviço","",
         IF(AUTOEVENTO="Manual",
                IF($A40=0,"&lt;-- defina o número do agrupador",
                       OFFSET(EVENTOS!$D$15,$A40-$A$15,0)),
                OFFSET($F$15,$A40,0)))</f>
        <v>SAPATAS (LOCAÇÃO,ESCAVAÇÕES, FORMAS, AÇO, CONCRETAGEM)</v>
      </c>
      <c r="O40" s="168"/>
      <c r="Q40" s="169">
        <f>1.41*5</f>
        <v>7.05</v>
      </c>
      <c r="R40" s="169">
        <f t="shared" ref="R40:T40" si="18">1.41*5</f>
        <v>7.05</v>
      </c>
      <c r="S40" s="169">
        <f t="shared" si="18"/>
        <v>7.05</v>
      </c>
      <c r="T40" s="169">
        <f t="shared" si="18"/>
        <v>7.05</v>
      </c>
      <c r="U40" s="169"/>
      <c r="V40" s="169"/>
      <c r="W40" s="169"/>
      <c r="X40" s="169"/>
      <c r="Y40" s="169"/>
      <c r="Z40" s="170"/>
      <c r="AA40" s="169"/>
      <c r="AB40" s="169"/>
      <c r="AC40" s="169"/>
      <c r="AD40" s="169"/>
      <c r="AE40" s="169"/>
      <c r="AF40" s="169"/>
      <c r="AG40" s="169"/>
      <c r="AH40" s="170"/>
      <c r="AJ40" s="452">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6351.63</v>
      </c>
      <c r="AK40" s="452">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6351.63</v>
      </c>
      <c r="AL40" s="452">
        <f ca="1">IF(AND($D40="Serviço",AL$12&lt;&gt;0,$H40&gt;0,OR(AUTOEVENTO&lt;&gt;"manual",$M40&lt;&gt;$A$15)),
        IF(Import.TipoArredondamento&lt;&gt;"TransfereGOV",
              ROUND(OFFSET($P40,0,AL$13),15-13*ORÇAMENTO!$AF$7)/$H40*OFFSET(ORÇAMENTO!$X$15,ROW(AL40)-ROW(AL$15),0),
              ROUND(ROUND(OFFSET($P40,0,AL$13),15-13*ORÇAMENTO!$AF$7)*OFFSET(ORÇAMENTO!$W$15,ROW(AL40)-ROW(AL$15),0),15-13*ORÇAMENTO!$AF$11)),
         0)</f>
        <v>6351.63</v>
      </c>
      <c r="AM40" s="452">
        <f ca="1">IF(AND($D40="Serviço",AM$12&lt;&gt;0,$H40&gt;0,OR(AUTOEVENTO&lt;&gt;"manual",$M40&lt;&gt;$A$15)),
        IF(Import.TipoArredondamento&lt;&gt;"TransfereGOV",
              ROUND(OFFSET($P40,0,AM$13),15-13*ORÇAMENTO!$AF$7)/$H40*OFFSET(ORÇAMENTO!$X$15,ROW(AM40)-ROW(AM$15),0),
              ROUND(ROUND(OFFSET($P40,0,AM$13),15-13*ORÇAMENTO!$AF$7)*OFFSET(ORÇAMENTO!$W$15,ROW(AM40)-ROW(AM$15),0),15-13*ORÇAMENTO!$AF$11)),
         0)</f>
        <v>6351.63</v>
      </c>
      <c r="AN40" s="452">
        <f ca="1">IF(AND($D40="Serviço",AN$12&lt;&gt;0,$H40&gt;0,OR(AUTOEVENTO&lt;&gt;"manual",$M40&lt;&gt;$A$15)),
        IF(Import.TipoArredondamento&lt;&gt;"TransfereGOV",
              ROUND(OFFSET($P40,0,AN$13),15-13*ORÇAMENTO!$AF$7)/$H40*OFFSET(ORÇAMENTO!$X$15,ROW(AN40)-ROW(AN$15),0),
              ROUND(ROUND(OFFSET($P40,0,AN$13),15-13*ORÇAMENTO!$AF$7)*OFFSET(ORÇAMENTO!$W$15,ROW(AN40)-ROW(AN$15),0),15-13*ORÇAMENTO!$AF$11)),
         0)</f>
        <v>0</v>
      </c>
      <c r="AO40" s="452">
        <f ca="1">IF(AND($D40="Serviço",AO$12&lt;&gt;0,$H40&gt;0,OR(AUTOEVENTO&lt;&gt;"manual",$M40&lt;&gt;$A$15)),
        IF(Import.TipoArredondamento&lt;&gt;"TransfereGOV",
              ROUND(OFFSET($P40,0,AO$13),15-13*ORÇAMENTO!$AF$7)/$H40*OFFSET(ORÇAMENTO!$X$15,ROW(AO40)-ROW(AO$15),0),
              ROUND(ROUND(OFFSET($P40,0,AO$13),15-13*ORÇAMENTO!$AF$7)*OFFSET(ORÇAMENTO!$W$15,ROW(AO40)-ROW(AO$15),0),15-13*ORÇAMENTO!$AF$11)),
         0)</f>
        <v>0</v>
      </c>
      <c r="AP40" s="452">
        <f ca="1">IF(AND($D40="Serviço",AP$12&lt;&gt;0,$H40&gt;0,OR(AUTOEVENTO&lt;&gt;"manual",$M40&lt;&gt;$A$15)),
        IF(Import.TipoArredondamento&lt;&gt;"TransfereGOV",
              ROUND(OFFSET($P40,0,AP$13),15-13*ORÇAMENTO!$AF$7)/$H40*OFFSET(ORÇAMENTO!$X$15,ROW(AP40)-ROW(AP$15),0),
              ROUND(ROUND(OFFSET($P40,0,AP$13),15-13*ORÇAMENTO!$AF$7)*OFFSET(ORÇAMENTO!$W$15,ROW(AP40)-ROW(AP$15),0),15-13*ORÇAMENTO!$AF$11)),
         0)</f>
        <v>0</v>
      </c>
      <c r="AQ40" s="452">
        <f ca="1">IF(AND($D40="Serviço",AQ$12&lt;&gt;0,$H40&gt;0,OR(AUTOEVENTO&lt;&gt;"manual",$M40&lt;&gt;$A$15)),
        IF(Import.TipoArredondamento&lt;&gt;"TransfereGOV",
              ROUND(OFFSET($P40,0,AQ$13),15-13*ORÇAMENTO!$AF$7)/$H40*OFFSET(ORÇAMENTO!$X$15,ROW(AQ40)-ROW(AQ$15),0),
              ROUND(ROUND(OFFSET($P40,0,AQ$13),15-13*ORÇAMENTO!$AF$7)*OFFSET(ORÇAMENTO!$W$15,ROW(AQ40)-ROW(AQ$15),0),15-13*ORÇAMENTO!$AF$11)),
         0)</f>
        <v>0</v>
      </c>
      <c r="AR40" s="452">
        <f ca="1">IF(AND($D40="Serviço",AR$12&lt;&gt;0,$H40&gt;0,OR(AUTOEVENTO&lt;&gt;"manual",$M40&lt;&gt;$A$15)),
        IF(Import.TipoArredondamento&lt;&gt;"TransfereGOV",
              ROUND(OFFSET($P40,0,AR$13),15-13*ORÇAMENTO!$AF$7)/$H40*OFFSET(ORÇAMENTO!$X$15,ROW(AR40)-ROW(AR$15),0),
              ROUND(ROUND(OFFSET($P40,0,AR$13),15-13*ORÇAMENTO!$AF$7)*OFFSET(ORÇAMENTO!$W$15,ROW(AR40)-ROW(AR$15),0),15-13*ORÇAMENTO!$AF$11)),
         0)</f>
        <v>0</v>
      </c>
      <c r="AS40" s="452">
        <f ca="1">IF(AND($D40="Serviço",AS$12&lt;&gt;0,$H40&gt;0,OR(AUTOEVENTO&lt;&gt;"manual",$M40&lt;&gt;$A$15)),
        IF(Import.TipoArredondamento&lt;&gt;"TransfereGOV",
              ROUND(OFFSET($P40,0,AS$13),15-13*ORÇAMENTO!$AF$7)/$H40*OFFSET(ORÇAMENTO!$X$15,ROW(AS40)-ROW(AS$15),0),
              ROUND(ROUND(OFFSET($P40,0,AS$13),15-13*ORÇAMENTO!$AF$7)*OFFSET(ORÇAMENTO!$W$15,ROW(AS40)-ROW(AS$15),0),15-13*ORÇAMENTO!$AF$11)),
         0)</f>
        <v>0</v>
      </c>
      <c r="AT40" s="452">
        <f ca="1">IF(AND($D40="Serviço",AT$12&lt;&gt;0,$H40&gt;0,OR(AUTOEVENTO&lt;&gt;"manual",$M40&lt;&gt;$A$15)),
        IF(Import.TipoArredondamento&lt;&gt;"TransfereGOV",
              ROUND(OFFSET($P40,0,AT$13),15-13*ORÇAMENTO!$AF$7)/$H40*OFFSET(ORÇAMENTO!$X$15,ROW(AT40)-ROW(AT$15),0),
              ROUND(ROUND(OFFSET($P40,0,AT$13),15-13*ORÇAMENTO!$AF$7)*OFFSET(ORÇAMENTO!$W$15,ROW(AT40)-ROW(AT$15),0),15-13*ORÇAMENTO!$AF$11)),
         0)</f>
        <v>0</v>
      </c>
      <c r="AU40" s="452">
        <f ca="1">IF(AND($D40="Serviço",AU$12&lt;&gt;0,$H40&gt;0,OR(AUTOEVENTO&lt;&gt;"manual",$M40&lt;&gt;$A$15)),
        IF(Import.TipoArredondamento&lt;&gt;"TransfereGOV",
              ROUND(OFFSET($P40,0,AU$13),15-13*ORÇAMENTO!$AF$7)/$H40*OFFSET(ORÇAMENTO!$X$15,ROW(AU40)-ROW(AU$15),0),
              ROUND(ROUND(OFFSET($P40,0,AU$13),15-13*ORÇAMENTO!$AF$7)*OFFSET(ORÇAMENTO!$W$15,ROW(AU40)-ROW(AU$15),0),15-13*ORÇAMENTO!$AF$11)),
         0)</f>
        <v>0</v>
      </c>
      <c r="AV40" s="452">
        <f ca="1">IF(AND($D40="Serviço",AV$12&lt;&gt;0,$H40&gt;0,OR(AUTOEVENTO&lt;&gt;"manual",$M40&lt;&gt;$A$15)),
        IF(Import.TipoArredondamento&lt;&gt;"TransfereGOV",
              ROUND(OFFSET($P40,0,AV$13),15-13*ORÇAMENTO!$AF$7)/$H40*OFFSET(ORÇAMENTO!$X$15,ROW(AV40)-ROW(AV$15),0),
              ROUND(ROUND(OFFSET($P40,0,AV$13),15-13*ORÇAMENTO!$AF$7)*OFFSET(ORÇAMENTO!$W$15,ROW(AV40)-ROW(AV$15),0),15-13*ORÇAMENTO!$AF$11)),
         0)</f>
        <v>0</v>
      </c>
      <c r="AW40" s="452">
        <f ca="1">IF(AND($D40="Serviço",AW$12&lt;&gt;0,$H40&gt;0,OR(AUTOEVENTO&lt;&gt;"manual",$M40&lt;&gt;$A$15)),
        IF(Import.TipoArredondamento&lt;&gt;"TransfereGOV",
              ROUND(OFFSET($P40,0,AW$13),15-13*ORÇAMENTO!$AF$7)/$H40*OFFSET(ORÇAMENTO!$X$15,ROW(AW40)-ROW(AW$15),0),
              ROUND(ROUND(OFFSET($P40,0,AW$13),15-13*ORÇAMENTO!$AF$7)*OFFSET(ORÇAMENTO!$W$15,ROW(AW40)-ROW(AW$15),0),15-13*ORÇAMENTO!$AF$11)),
         0)</f>
        <v>0</v>
      </c>
      <c r="AX40" s="452">
        <f ca="1">IF(AND($D40="Serviço",AX$12&lt;&gt;0,$H40&gt;0,OR(AUTOEVENTO&lt;&gt;"manual",$M40&lt;&gt;$A$15)),
        IF(Import.TipoArredondamento&lt;&gt;"TransfereGOV",
              ROUND(OFFSET($P40,0,AX$13),15-13*ORÇAMENTO!$AF$7)/$H40*OFFSET(ORÇAMENTO!$X$15,ROW(AX40)-ROW(AX$15),0),
              ROUND(ROUND(OFFSET($P40,0,AX$13),15-13*ORÇAMENTO!$AF$7)*OFFSET(ORÇAMENTO!$W$15,ROW(AX40)-ROW(AX$15),0),15-13*ORÇAMENTO!$AF$11)),
         0)</f>
        <v>0</v>
      </c>
      <c r="AY40" s="452">
        <f ca="1">IF(AND($D40="Serviço",AY$12&lt;&gt;0,$H40&gt;0,OR(AUTOEVENTO&lt;&gt;"manual",$M40&lt;&gt;$A$15)),
        IF(Import.TipoArredondamento&lt;&gt;"TransfereGOV",
              ROUND(OFFSET($P40,0,AY$13),15-13*ORÇAMENTO!$AF$7)/$H40*OFFSET(ORÇAMENTO!$X$15,ROW(AY40)-ROW(AY$15),0),
              ROUND(ROUND(OFFSET($P40,0,AY$13),15-13*ORÇAMENTO!$AF$7)*OFFSET(ORÇAMENTO!$W$15,ROW(AY40)-ROW(AY$15),0),15-13*ORÇAMENTO!$AF$11)),
         0)</f>
        <v>0</v>
      </c>
      <c r="AZ40" s="452">
        <f ca="1">IF(AND($D40="Serviço",AZ$12&lt;&gt;0,$H40&gt;0,OR(AUTOEVENTO&lt;&gt;"manual",$M40&lt;&gt;$A$15)),
        IF(Import.TipoArredondamento&lt;&gt;"TransfereGOV",
              ROUND(OFFSET($P40,0,AZ$13),15-13*ORÇAMENTO!$AF$7)/$H40*OFFSET(ORÇAMENTO!$X$15,ROW(AZ40)-ROW(AZ$15),0),
              ROUND(ROUND(OFFSET($P40,0,AZ$13),15-13*ORÇAMENTO!$AF$7)*OFFSET(ORÇAMENTO!$W$15,ROW(AZ40)-ROW(AZ$15),0),15-13*ORÇAMENTO!$AF$11)),
         0)</f>
        <v>0</v>
      </c>
      <c r="BA40" s="452">
        <f ca="1">IF(AND($D40="Serviço",BA$12&lt;&gt;0,$H40&gt;0,OR(AUTOEVENTO&lt;&gt;"manual",$M40&lt;&gt;$A$15)),
        IF(Import.TipoArredondamento&lt;&gt;"TransfereGOV",
              ROUND(OFFSET($P40,0,BA$13),15-13*ORÇAMENTO!$AF$7)/$H40*OFFSET(ORÇAMENTO!$X$15,ROW(BA40)-ROW(BA$15),0),
              ROUND(ROUND(OFFSET($P40,0,BA$13),15-13*ORÇAMENTO!$AF$7)*OFFSET(ORÇAMENTO!$W$15,ROW(BA40)-ROW(BA$15),0),15-13*ORÇAMENTO!$AF$11)),
         0)</f>
        <v>0</v>
      </c>
      <c r="BC40" s="171">
        <f ca="1">IF(OR($D40&lt;&gt;"Serviço",AND(AUTOEVENTO="Manual",$M40=$A$15)),0,
         IF(OFFSET(CRONOPLE!$F$15,$M40-$A$15,BC$13)=0,10^12,OFFSET(CRONOPLE!$F$15,$M40-$A$15,BC$13)))</f>
        <v>2</v>
      </c>
      <c r="BD40" s="171">
        <f ca="1">IF(OR($D40&lt;&gt;"Serviço",AND(AUTOEVENTO="Manual",$M40=$A$15)),0,
         IF(OFFSET(CRONOPLE!$F$15,$M40-$A$15,BD$13)=0,10^12,OFFSET(CRONOPLE!$F$15,$M40-$A$15,BD$13)))</f>
        <v>2</v>
      </c>
      <c r="BE40" s="171">
        <f ca="1">IF(OR($D40&lt;&gt;"Serviço",AND(AUTOEVENTO="Manual",$M40=$A$15)),0,
         IF(OFFSET(CRONOPLE!$F$15,$M40-$A$15,BE$13)=0,10^12,OFFSET(CRONOPLE!$F$15,$M40-$A$15,BE$13)))</f>
        <v>3</v>
      </c>
      <c r="BF40" s="171">
        <f ca="1">IF(OR($D40&lt;&gt;"Serviço",AND(AUTOEVENTO="Manual",$M40=$A$15)),0,
         IF(OFFSET(CRONOPLE!$F$15,$M40-$A$15,BF$13)=0,10^12,OFFSET(CRONOPLE!$F$15,$M40-$A$15,BF$13)))</f>
        <v>3</v>
      </c>
      <c r="BG40" s="171">
        <f ca="1">IF(OR($D40&lt;&gt;"Serviço",AND(AUTOEVENTO="Manual",$M40=$A$15)),0,
         IF(OFFSET(CRONOPLE!$F$15,$M40-$A$15,BG$13)=0,10^12,OFFSET(CRONOPLE!$F$15,$M40-$A$15,BG$13)))</f>
        <v>3</v>
      </c>
      <c r="BH40" s="171">
        <f ca="1">IF(OR($D40&lt;&gt;"Serviço",AND(AUTOEVENTO="Manual",$M40=$A$15)),0,
         IF(OFFSET(CRONOPLE!$F$15,$M40-$A$15,BH$13)=0,10^12,OFFSET(CRONOPLE!$F$15,$M40-$A$15,BH$13)))</f>
        <v>1000000000000</v>
      </c>
      <c r="BI40" s="171">
        <f ca="1">IF(OR($D40&lt;&gt;"Serviço",AND(AUTOEVENTO="Manual",$M40=$A$15)),0,
         IF(OFFSET(CRONOPLE!$F$15,$M40-$A$15,BI$13)=0,10^12,OFFSET(CRONOPLE!$F$15,$M40-$A$15,BI$13)))</f>
        <v>1000000000000</v>
      </c>
      <c r="BJ40" s="171">
        <f ca="1">IF(OR($D40&lt;&gt;"Serviço",AND(AUTOEVENTO="Manual",$M40=$A$15)),0,
         IF(OFFSET(CRONOPLE!$F$15,$M40-$A$15,BJ$13)=0,10^12,OFFSET(CRONOPLE!$F$15,$M40-$A$15,BJ$13)))</f>
        <v>1000000000000</v>
      </c>
      <c r="BK40" s="171">
        <f ca="1">IF(OR($D40&lt;&gt;"Serviço",AND(AUTOEVENTO="Manual",$M40=$A$15)),0,
         IF(OFFSET(CRONOPLE!$F$15,$M40-$A$15,BK$13)=0,10^12,OFFSET(CRONOPLE!$F$15,$M40-$A$15,BK$13)))</f>
        <v>1000000000000</v>
      </c>
      <c r="BL40" s="171">
        <f ca="1">IF(OR($D40&lt;&gt;"Serviço",AND(AUTOEVENTO="Manual",$M40=$A$15)),0,
         IF(OFFSET(CRONOPLE!$F$15,$M40-$A$15,BL$13)=0,10^12,OFFSET(CRONOPLE!$F$15,$M40-$A$15,BL$13)))</f>
        <v>1000000000000</v>
      </c>
      <c r="BM40" s="171">
        <f ca="1">IF(OR($D40&lt;&gt;"Serviço",AND(AUTOEVENTO="Manual",$M40=$A$15)),0,
         IF(OFFSET(CRONOPLE!$F$15,$M40-$A$15,BM$13)=0,10^12,OFFSET(CRONOPLE!$F$15,$M40-$A$15,BM$13)))</f>
        <v>1000000000000</v>
      </c>
      <c r="BN40" s="171">
        <f ca="1">IF(OR($D40&lt;&gt;"Serviço",AND(AUTOEVENTO="Manual",$M40=$A$15)),0,
         IF(OFFSET(CRONOPLE!$F$15,$M40-$A$15,BN$13)=0,10^12,OFFSET(CRONOPLE!$F$15,$M40-$A$15,BN$13)))</f>
        <v>1000000000000</v>
      </c>
      <c r="BO40" s="171">
        <f ca="1">IF(OR($D40&lt;&gt;"Serviço",AND(AUTOEVENTO="Manual",$M40=$A$15)),0,
         IF(OFFSET(CRONOPLE!$F$15,$M40-$A$15,BO$13)=0,10^12,OFFSET(CRONOPLE!$F$15,$M40-$A$15,BO$13)))</f>
        <v>1000000000000</v>
      </c>
      <c r="BP40" s="171">
        <f ca="1">IF(OR($D40&lt;&gt;"Serviço",AND(AUTOEVENTO="Manual",$M40=$A$15)),0,
         IF(OFFSET(CRONOPLE!$F$15,$M40-$A$15,BP$13)=0,10^12,OFFSET(CRONOPLE!$F$15,$M40-$A$15,BP$13)))</f>
        <v>1000000000000</v>
      </c>
      <c r="BQ40" s="171">
        <f ca="1">IF(OR($D40&lt;&gt;"Serviço",AND(AUTOEVENTO="Manual",$M40=$A$15)),0,
         IF(OFFSET(CRONOPLE!$F$15,$M40-$A$15,BQ$13)=0,10^12,OFFSET(CRONOPLE!$F$15,$M40-$A$15,BQ$13)))</f>
        <v>1000000000000</v>
      </c>
      <c r="BR40" s="171">
        <f ca="1">IF(OR($D40&lt;&gt;"Serviço",AND(AUTOEVENTO="Manual",$M40=$A$15)),0,
         IF(OFFSET(CRONOPLE!$F$15,$M40-$A$15,BR$13)=0,10^12,OFFSET(CRONOPLE!$F$15,$M40-$A$15,BR$13)))</f>
        <v>1000000000000</v>
      </c>
      <c r="BS40" s="171">
        <f ca="1">IF(OR($D40&lt;&gt;"Serviço",AND(AUTOEVENTO="Manual",$M40=$A$15)),0,
         IF(OFFSET(CRONOPLE!$F$15,$M40-$A$15,BS$13)=0,10^12,OFFSET(CRONOPLE!$F$15,$M40-$A$15,BS$13)))</f>
        <v>1000000000000</v>
      </c>
      <c r="BT40" s="171">
        <f ca="1">IF(OR($D40&lt;&gt;"Serviço",AND(AUTOEVENTO="Manual",$M40=$A$15)),0,
         IF(OFFSET(CRONOPLE!$F$15,$M40-$A$15,BT$13)=0,10^12,OFFSET(CRONOPLE!$F$15,$M40-$A$15,BT$13)))</f>
        <v>1000000000000</v>
      </c>
      <c r="BV40" s="172">
        <f t="array" aca="1" ref="BV40" ca="1">IF(OR($D40&lt;&gt;"Serviço",AND(AUTOEVENTO="Manual",$M40=$A$15),$M40&gt;(ROW(PLE.lastrow)-ROW(PLE.firstrow))),0,
           IF(OFFSET(PLE!$G$15,$M40-$A$15,BV$13)="",10^12,OFFSET(PLE!$G$15,$M40-$A$15,BV$13)))</f>
        <v>1000000000000</v>
      </c>
      <c r="BW40" s="172">
        <f t="array" aca="1" ref="BW40" ca="1">IF(OR($D40&lt;&gt;"Serviço",AND(AUTOEVENTO="Manual",$M40=$A$15),$M40&gt;(ROW(PLE.lastrow)-ROW(PLE.firstrow))),0,
           IF(OFFSET(PLE!$G$15,$M40-$A$15,BW$13)="",10^12,OFFSET(PLE!$G$15,$M40-$A$15,BW$13)))</f>
        <v>1000000000000</v>
      </c>
      <c r="BX40" s="172">
        <f t="array" aca="1" ref="BX40" ca="1">IF(OR($D40&lt;&gt;"Serviço",AND(AUTOEVENTO="Manual",$M40=$A$15),$M40&gt;(ROW(PLE.lastrow)-ROW(PLE.firstrow))),0,
           IF(OFFSET(PLE!$G$15,$M40-$A$15,BX$13)="",10^12,OFFSET(PLE!$G$15,$M40-$A$15,BX$13)))</f>
        <v>1000000000000</v>
      </c>
      <c r="BY40" s="172">
        <f t="array" aca="1" ref="BY40" ca="1">IF(OR($D40&lt;&gt;"Serviço",AND(AUTOEVENTO="Manual",$M40=$A$15),$M40&gt;(ROW(PLE.lastrow)-ROW(PLE.firstrow))),0,
           IF(OFFSET(PLE!$G$15,$M40-$A$15,BY$13)="",10^12,OFFSET(PLE!$G$15,$M40-$A$15,BY$13)))</f>
        <v>1000000000000</v>
      </c>
      <c r="BZ40" s="172">
        <f t="array" aca="1" ref="BZ40" ca="1">IF(OR($D40&lt;&gt;"Serviço",AND(AUTOEVENTO="Manual",$M40=$A$15),$M40&gt;(ROW(PLE.lastrow)-ROW(PLE.firstrow))),0,
           IF(OFFSET(PLE!$G$15,$M40-$A$15,BZ$13)="",10^12,OFFSET(PLE!$G$15,$M40-$A$15,BZ$13)))</f>
        <v>1000000000000</v>
      </c>
      <c r="CA40" s="172">
        <f t="array" aca="1" ref="CA40" ca="1">IF(OR($D40&lt;&gt;"Serviço",AND(AUTOEVENTO="Manual",$M40=$A$15),$M40&gt;(ROW(PLE.lastrow)-ROW(PLE.firstrow))),0,
           IF(OFFSET(PLE!$G$15,$M40-$A$15,CA$13)="",10^12,OFFSET(PLE!$G$15,$M40-$A$15,CA$13)))</f>
        <v>1000000000000</v>
      </c>
      <c r="CB40" s="172">
        <f t="array" aca="1" ref="CB40" ca="1">IF(OR($D40&lt;&gt;"Serviço",AND(AUTOEVENTO="Manual",$M40=$A$15),$M40&gt;(ROW(PLE.lastrow)-ROW(PLE.firstrow))),0,
           IF(OFFSET(PLE!$G$15,$M40-$A$15,CB$13)="",10^12,OFFSET(PLE!$G$15,$M40-$A$15,CB$13)))</f>
        <v>1000000000000</v>
      </c>
      <c r="CC40" s="172">
        <f t="array" aca="1" ref="CC40" ca="1">IF(OR($D40&lt;&gt;"Serviço",AND(AUTOEVENTO="Manual",$M40=$A$15),$M40&gt;(ROW(PLE.lastrow)-ROW(PLE.firstrow))),0,
           IF(OFFSET(PLE!$G$15,$M40-$A$15,CC$13)="",10^12,OFFSET(PLE!$G$15,$M40-$A$15,CC$13)))</f>
        <v>1000000000000</v>
      </c>
      <c r="CD40" s="172">
        <f t="array" aca="1" ref="CD40" ca="1">IF(OR($D40&lt;&gt;"Serviço",AND(AUTOEVENTO="Manual",$M40=$A$15),$M40&gt;(ROW(PLE.lastrow)-ROW(PLE.firstrow))),0,
           IF(OFFSET(PLE!$G$15,$M40-$A$15,CD$13)="",10^12,OFFSET(PLE!$G$15,$M40-$A$15,CD$13)))</f>
        <v>1000000000000</v>
      </c>
      <c r="CE40" s="172">
        <f t="array" aca="1" ref="CE40" ca="1">IF(OR($D40&lt;&gt;"Serviço",AND(AUTOEVENTO="Manual",$M40=$A$15),$M40&gt;(ROW(PLE.lastrow)-ROW(PLE.firstrow))),0,
           IF(OFFSET(PLE!$G$15,$M40-$A$15,CE$13)="",10^12,OFFSET(PLE!$G$15,$M40-$A$15,CE$13)))</f>
        <v>1000000000000</v>
      </c>
      <c r="CF40" s="172">
        <f t="array" aca="1" ref="CF40" ca="1">IF(OR($D40&lt;&gt;"Serviço",AND(AUTOEVENTO="Manual",$M40=$A$15),$M40&gt;(ROW(PLE.lastrow)-ROW(PLE.firstrow))),0,
           IF(OFFSET(PLE!$G$15,$M40-$A$15,CF$13)="",10^12,OFFSET(PLE!$G$15,$M40-$A$15,CF$13)))</f>
        <v>1000000000000</v>
      </c>
      <c r="CG40" s="172">
        <f t="array" aca="1" ref="CG40" ca="1">IF(OR($D40&lt;&gt;"Serviço",AND(AUTOEVENTO="Manual",$M40=$A$15),$M40&gt;(ROW(PLE.lastrow)-ROW(PLE.firstrow))),0,
           IF(OFFSET(PLE!$G$15,$M40-$A$15,CG$13)="",10^12,OFFSET(PLE!$G$15,$M40-$A$15,CG$13)))</f>
        <v>1000000000000</v>
      </c>
      <c r="CH40" s="172">
        <f t="array" aca="1" ref="CH40" ca="1">IF(OR($D40&lt;&gt;"Serviço",AND(AUTOEVENTO="Manual",$M40=$A$15),$M40&gt;(ROW(PLE.lastrow)-ROW(PLE.firstrow))),0,
           IF(OFFSET(PLE!$G$15,$M40-$A$15,CH$13)="",10^12,OFFSET(PLE!$G$15,$M40-$A$15,CH$13)))</f>
        <v>1000000000000</v>
      </c>
      <c r="CI40" s="172">
        <f t="array" aca="1" ref="CI40" ca="1">IF(OR($D40&lt;&gt;"Serviço",AND(AUTOEVENTO="Manual",$M40=$A$15),$M40&gt;(ROW(PLE.lastrow)-ROW(PLE.firstrow))),0,
           IF(OFFSET(PLE!$G$15,$M40-$A$15,CI$13)="",10^12,OFFSET(PLE!$G$15,$M40-$A$15,CI$13)))</f>
        <v>1000000000000</v>
      </c>
      <c r="CJ40" s="172">
        <f t="array" aca="1" ref="CJ40" ca="1">IF(OR($D40&lt;&gt;"Serviço",AND(AUTOEVENTO="Manual",$M40=$A$15),$M40&gt;(ROW(PLE.lastrow)-ROW(PLE.firstrow))),0,
           IF(OFFSET(PLE!$G$15,$M40-$A$15,CJ$13)="",10^12,OFFSET(PLE!$G$15,$M40-$A$15,CJ$13)))</f>
        <v>1000000000000</v>
      </c>
      <c r="CK40" s="172">
        <f t="array" aca="1" ref="CK40" ca="1">IF(OR($D40&lt;&gt;"Serviço",AND(AUTOEVENTO="Manual",$M40=$A$15),$M40&gt;(ROW(PLE.lastrow)-ROW(PLE.firstrow))),0,
           IF(OFFSET(PLE!$G$15,$M40-$A$15,CK$13)="",10^12,OFFSET(PLE!$G$15,$M40-$A$15,CK$13)))</f>
        <v>1000000000000</v>
      </c>
      <c r="CL40" s="172">
        <f t="array" aca="1" ref="CL40" ca="1">IF(OR($D40&lt;&gt;"Serviço",AND(AUTOEVENTO="Manual",$M40=$A$15),$M40&gt;(ROW(PLE.lastrow)-ROW(PLE.firstrow))),0,
           IF(OFFSET(PLE!$G$15,$M40-$A$15,CL$13)="",10^12,OFFSET(PLE!$G$15,$M40-$A$15,CL$13)))</f>
        <v>1000000000000</v>
      </c>
      <c r="CM40" s="172">
        <f t="array" aca="1" ref="CM40" ca="1">IF(OR($D40&lt;&gt;"Serviço",AND(AUTOEVENTO="Manual",$M40=$A$15),$M40&gt;(ROW(PLE.lastrow)-ROW(PLE.firstrow))),0,
           IF(OFFSET(PLE!$G$15,$M40-$A$15,CM$13)="",10^12,OFFSET(PLE!$G$15,$M40-$A$15,CM$13)))</f>
        <v>1000000000000</v>
      </c>
    </row>
    <row r="41" spans="1:91" s="712" customFormat="1" ht="38.25" x14ac:dyDescent="0.2">
      <c r="A41" s="710">
        <f ca="1">IFERROR(IF(AUTOEVENTO="Manual",IF(K41&lt;&gt;"",MIN(VALUE(LEFT(K41,FIND(".",K41)-1)),COUNTA(EVENTOS.Lista)),0),IF(OR($B41&gt;AUTOEVENTO,$B41="S",$B41=0),SUBSTITUTE(OFFSET($A41,-1,0),IF($D41="Serviço",".",""),""),$L41&amp;".")),0)</f>
        <v>4</v>
      </c>
      <c r="B41" s="710" t="str">
        <f ca="1">OFFSET(ORÇAMENTO!C$15,$L41,0)</f>
        <v>S</v>
      </c>
      <c r="C41" s="710" t="str">
        <f ca="1">OFFSET(ORÇAMENTO!L$15,$L41,0)</f>
        <v>F</v>
      </c>
      <c r="D41" s="116" t="str">
        <f ca="1">OFFSET(ORÇAMENTO!N$15,$L41,0)</f>
        <v>Serviço</v>
      </c>
      <c r="E41" s="117" t="str">
        <f ca="1">OFFSET(ORÇAMENTO!O$15,$L41,0)</f>
        <v>1.4.10.</v>
      </c>
      <c r="F41" s="163" t="str">
        <f ca="1">OFFSET(ORÇAMENTO!R$15,$L41,0)</f>
        <v>REATERRO MANUAL DE VALAS, COM COMPACTADOR DE SOLOS DE PERCUSSÃO. AF_08/2023</v>
      </c>
      <c r="G41" s="164" t="str">
        <f ca="1">IF($D41&lt;&gt;"Serviço","",OFFSET(ORÇAMENTO!S$15,$L41,0))</f>
        <v>M3</v>
      </c>
      <c r="H41" s="122">
        <f t="array" aca="1" ref="H41" ca="1">IF($D41&lt;&gt;"Serviço",0,IF(ACOMPANHAMENTO="BM",ROUND(OFFSET(ORÇAMENTO!AJ$15,$L41,0),15-13*ORÇAMENTO!$AF$7),IF(IFERROR(CÁLCULO.FrentesPreenchidas,0)=0,0,SUM(ROUND(OFFSET($P41,0,1,1,CÁLCULO.FrentesPreenchidas),15-13*ORÇAMENTO!$AF$7)))))</f>
        <v>141.80000000000001</v>
      </c>
      <c r="I41" s="467" t="s">
        <v>1462</v>
      </c>
      <c r="J41" s="653" t="str">
        <f t="array" aca="1" ref="J41" ca="1">IF(OR(B41&lt;&gt;"S",CÁLCULO.FrentesPreenchidas=0),"",IF(AND(ACOMPANHAMENTO="PLE",AUTOEVENTO="Manual",OR(H41&gt;0,ORÇAMENTO!AC41="QUANT."),OR(K41="",M41=0,N41="")),"►E",IF(AND(ACOMPANHAMENTO="PLE",ORÇAMENTO!AC41="QUANT."),"►Q",IF(AND(ACOMPANHAMENTO="PLE",H41&lt;&gt;SUMPRODUCT(($Q$1:$AI$1=1)*ROUND(Q41:AI41,15))),"►S",IF(AND(COUNTIF($P$11:$AI$11,"▼")=0,H41&gt;0,I41=""),"◄M","")))))</f>
        <v/>
      </c>
      <c r="K41" s="654" t="s">
        <v>1383</v>
      </c>
      <c r="L41" s="165">
        <f ca="1">OFFSET(L41,-1,0)+1</f>
        <v>26</v>
      </c>
      <c r="M41" s="166">
        <f ca="1">IF($D41&lt;&gt;"Serviço","",
          IF(AUTOEVENTO="manual",$A41,
                IF(ISERROR(MATCH($A41,$A$15:OFFSET($A41,-1,0),0)),MAX($M$15:OFFSET(M41,-1,0))+1,
                      INDEX($M$15:OFFSET(M41,-1,0),MATCH($A41,$A$15:OFFSET($A41,-1,0),0)))))</f>
        <v>4</v>
      </c>
      <c r="N41" s="167" t="str">
        <f ca="1">IF($D41&lt;&gt;"Serviço","",
         IF(AUTOEVENTO="Manual",
                IF($A41=0,"&lt;-- defina o número do agrupador",
                       OFFSET(EVENTOS!$D$15,$A41-$A$15,0)),
                OFFSET($F$15,$A41,0)))</f>
        <v>SAPATAS (LOCAÇÃO,ESCAVAÇÕES, FORMAS, AÇO, CONCRETAGEM)</v>
      </c>
      <c r="O41" s="168"/>
      <c r="Q41" s="168">
        <f>7.09*5</f>
        <v>35.450000000000003</v>
      </c>
      <c r="R41" s="168">
        <f t="shared" ref="R41:T41" si="19">7.09*5</f>
        <v>35.450000000000003</v>
      </c>
      <c r="S41" s="168">
        <f t="shared" si="19"/>
        <v>35.450000000000003</v>
      </c>
      <c r="T41" s="168">
        <f t="shared" si="19"/>
        <v>35.450000000000003</v>
      </c>
      <c r="U41" s="169"/>
      <c r="V41" s="169"/>
      <c r="W41" s="169"/>
      <c r="X41" s="169"/>
      <c r="Y41" s="169"/>
      <c r="Z41" s="170"/>
      <c r="AA41" s="169"/>
      <c r="AB41" s="169"/>
      <c r="AC41" s="169"/>
      <c r="AD41" s="169"/>
      <c r="AE41" s="169"/>
      <c r="AF41" s="169"/>
      <c r="AG41" s="169"/>
      <c r="AH41" s="170"/>
      <c r="AJ41" s="452">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966.37</v>
      </c>
      <c r="AK41" s="452">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966.37</v>
      </c>
      <c r="AL41" s="452">
        <f ca="1">IF(AND($D41="Serviço",AL$12&lt;&gt;0,$H41&gt;0,OR(AUTOEVENTO&lt;&gt;"manual",$M41&lt;&gt;$A$15)),
        IF(Import.TipoArredondamento&lt;&gt;"TransfereGOV",
              ROUND(OFFSET($P41,0,AL$13),15-13*ORÇAMENTO!$AF$7)/$H41*OFFSET(ORÇAMENTO!$X$15,ROW(AL41)-ROW(AL$15),0),
              ROUND(ROUND(OFFSET($P41,0,AL$13),15-13*ORÇAMENTO!$AF$7)*OFFSET(ORÇAMENTO!$W$15,ROW(AL41)-ROW(AL$15),0),15-13*ORÇAMENTO!$AF$11)),
         0)</f>
        <v>966.37</v>
      </c>
      <c r="AM41" s="452">
        <f ca="1">IF(AND($D41="Serviço",AM$12&lt;&gt;0,$H41&gt;0,OR(AUTOEVENTO&lt;&gt;"manual",$M41&lt;&gt;$A$15)),
        IF(Import.TipoArredondamento&lt;&gt;"TransfereGOV",
              ROUND(OFFSET($P41,0,AM$13),15-13*ORÇAMENTO!$AF$7)/$H41*OFFSET(ORÇAMENTO!$X$15,ROW(AM41)-ROW(AM$15),0),
              ROUND(ROUND(OFFSET($P41,0,AM$13),15-13*ORÇAMENTO!$AF$7)*OFFSET(ORÇAMENTO!$W$15,ROW(AM41)-ROW(AM$15),0),15-13*ORÇAMENTO!$AF$11)),
         0)</f>
        <v>966.37</v>
      </c>
      <c r="AN41" s="452">
        <f ca="1">IF(AND($D41="Serviço",AN$12&lt;&gt;0,$H41&gt;0,OR(AUTOEVENTO&lt;&gt;"manual",$M41&lt;&gt;$A$15)),
        IF(Import.TipoArredondamento&lt;&gt;"TransfereGOV",
              ROUND(OFFSET($P41,0,AN$13),15-13*ORÇAMENTO!$AF$7)/$H41*OFFSET(ORÇAMENTO!$X$15,ROW(AN41)-ROW(AN$15),0),
              ROUND(ROUND(OFFSET($P41,0,AN$13),15-13*ORÇAMENTO!$AF$7)*OFFSET(ORÇAMENTO!$W$15,ROW(AN41)-ROW(AN$15),0),15-13*ORÇAMENTO!$AF$11)),
         0)</f>
        <v>0</v>
      </c>
      <c r="AO41" s="452">
        <f ca="1">IF(AND($D41="Serviço",AO$12&lt;&gt;0,$H41&gt;0,OR(AUTOEVENTO&lt;&gt;"manual",$M41&lt;&gt;$A$15)),
        IF(Import.TipoArredondamento&lt;&gt;"TransfereGOV",
              ROUND(OFFSET($P41,0,AO$13),15-13*ORÇAMENTO!$AF$7)/$H41*OFFSET(ORÇAMENTO!$X$15,ROW(AO41)-ROW(AO$15),0),
              ROUND(ROUND(OFFSET($P41,0,AO$13),15-13*ORÇAMENTO!$AF$7)*OFFSET(ORÇAMENTO!$W$15,ROW(AO41)-ROW(AO$15),0),15-13*ORÇAMENTO!$AF$11)),
         0)</f>
        <v>0</v>
      </c>
      <c r="AP41" s="452">
        <f ca="1">IF(AND($D41="Serviço",AP$12&lt;&gt;0,$H41&gt;0,OR(AUTOEVENTO&lt;&gt;"manual",$M41&lt;&gt;$A$15)),
        IF(Import.TipoArredondamento&lt;&gt;"TransfereGOV",
              ROUND(OFFSET($P41,0,AP$13),15-13*ORÇAMENTO!$AF$7)/$H41*OFFSET(ORÇAMENTO!$X$15,ROW(AP41)-ROW(AP$15),0),
              ROUND(ROUND(OFFSET($P41,0,AP$13),15-13*ORÇAMENTO!$AF$7)*OFFSET(ORÇAMENTO!$W$15,ROW(AP41)-ROW(AP$15),0),15-13*ORÇAMENTO!$AF$11)),
         0)</f>
        <v>0</v>
      </c>
      <c r="AQ41" s="452">
        <f ca="1">IF(AND($D41="Serviço",AQ$12&lt;&gt;0,$H41&gt;0,OR(AUTOEVENTO&lt;&gt;"manual",$M41&lt;&gt;$A$15)),
        IF(Import.TipoArredondamento&lt;&gt;"TransfereGOV",
              ROUND(OFFSET($P41,0,AQ$13),15-13*ORÇAMENTO!$AF$7)/$H41*OFFSET(ORÇAMENTO!$X$15,ROW(AQ41)-ROW(AQ$15),0),
              ROUND(ROUND(OFFSET($P41,0,AQ$13),15-13*ORÇAMENTO!$AF$7)*OFFSET(ORÇAMENTO!$W$15,ROW(AQ41)-ROW(AQ$15),0),15-13*ORÇAMENTO!$AF$11)),
         0)</f>
        <v>0</v>
      </c>
      <c r="AR41" s="452">
        <f ca="1">IF(AND($D41="Serviço",AR$12&lt;&gt;0,$H41&gt;0,OR(AUTOEVENTO&lt;&gt;"manual",$M41&lt;&gt;$A$15)),
        IF(Import.TipoArredondamento&lt;&gt;"TransfereGOV",
              ROUND(OFFSET($P41,0,AR$13),15-13*ORÇAMENTO!$AF$7)/$H41*OFFSET(ORÇAMENTO!$X$15,ROW(AR41)-ROW(AR$15),0),
              ROUND(ROUND(OFFSET($P41,0,AR$13),15-13*ORÇAMENTO!$AF$7)*OFFSET(ORÇAMENTO!$W$15,ROW(AR41)-ROW(AR$15),0),15-13*ORÇAMENTO!$AF$11)),
         0)</f>
        <v>0</v>
      </c>
      <c r="AS41" s="452">
        <f ca="1">IF(AND($D41="Serviço",AS$12&lt;&gt;0,$H41&gt;0,OR(AUTOEVENTO&lt;&gt;"manual",$M41&lt;&gt;$A$15)),
        IF(Import.TipoArredondamento&lt;&gt;"TransfereGOV",
              ROUND(OFFSET($P41,0,AS$13),15-13*ORÇAMENTO!$AF$7)/$H41*OFFSET(ORÇAMENTO!$X$15,ROW(AS41)-ROW(AS$15),0),
              ROUND(ROUND(OFFSET($P41,0,AS$13),15-13*ORÇAMENTO!$AF$7)*OFFSET(ORÇAMENTO!$W$15,ROW(AS41)-ROW(AS$15),0),15-13*ORÇAMENTO!$AF$11)),
         0)</f>
        <v>0</v>
      </c>
      <c r="AT41" s="452">
        <f ca="1">IF(AND($D41="Serviço",AT$12&lt;&gt;0,$H41&gt;0,OR(AUTOEVENTO&lt;&gt;"manual",$M41&lt;&gt;$A$15)),
        IF(Import.TipoArredondamento&lt;&gt;"TransfereGOV",
              ROUND(OFFSET($P41,0,AT$13),15-13*ORÇAMENTO!$AF$7)/$H41*OFFSET(ORÇAMENTO!$X$15,ROW(AT41)-ROW(AT$15),0),
              ROUND(ROUND(OFFSET($P41,0,AT$13),15-13*ORÇAMENTO!$AF$7)*OFFSET(ORÇAMENTO!$W$15,ROW(AT41)-ROW(AT$15),0),15-13*ORÇAMENTO!$AF$11)),
         0)</f>
        <v>0</v>
      </c>
      <c r="AU41" s="452">
        <f ca="1">IF(AND($D41="Serviço",AU$12&lt;&gt;0,$H41&gt;0,OR(AUTOEVENTO&lt;&gt;"manual",$M41&lt;&gt;$A$15)),
        IF(Import.TipoArredondamento&lt;&gt;"TransfereGOV",
              ROUND(OFFSET($P41,0,AU$13),15-13*ORÇAMENTO!$AF$7)/$H41*OFFSET(ORÇAMENTO!$X$15,ROW(AU41)-ROW(AU$15),0),
              ROUND(ROUND(OFFSET($P41,0,AU$13),15-13*ORÇAMENTO!$AF$7)*OFFSET(ORÇAMENTO!$W$15,ROW(AU41)-ROW(AU$15),0),15-13*ORÇAMENTO!$AF$11)),
         0)</f>
        <v>0</v>
      </c>
      <c r="AV41" s="452">
        <f ca="1">IF(AND($D41="Serviço",AV$12&lt;&gt;0,$H41&gt;0,OR(AUTOEVENTO&lt;&gt;"manual",$M41&lt;&gt;$A$15)),
        IF(Import.TipoArredondamento&lt;&gt;"TransfereGOV",
              ROUND(OFFSET($P41,0,AV$13),15-13*ORÇAMENTO!$AF$7)/$H41*OFFSET(ORÇAMENTO!$X$15,ROW(AV41)-ROW(AV$15),0),
              ROUND(ROUND(OFFSET($P41,0,AV$13),15-13*ORÇAMENTO!$AF$7)*OFFSET(ORÇAMENTO!$W$15,ROW(AV41)-ROW(AV$15),0),15-13*ORÇAMENTO!$AF$11)),
         0)</f>
        <v>0</v>
      </c>
      <c r="AW41" s="452">
        <f ca="1">IF(AND($D41="Serviço",AW$12&lt;&gt;0,$H41&gt;0,OR(AUTOEVENTO&lt;&gt;"manual",$M41&lt;&gt;$A$15)),
        IF(Import.TipoArredondamento&lt;&gt;"TransfereGOV",
              ROUND(OFFSET($P41,0,AW$13),15-13*ORÇAMENTO!$AF$7)/$H41*OFFSET(ORÇAMENTO!$X$15,ROW(AW41)-ROW(AW$15),0),
              ROUND(ROUND(OFFSET($P41,0,AW$13),15-13*ORÇAMENTO!$AF$7)*OFFSET(ORÇAMENTO!$W$15,ROW(AW41)-ROW(AW$15),0),15-13*ORÇAMENTO!$AF$11)),
         0)</f>
        <v>0</v>
      </c>
      <c r="AX41" s="452">
        <f ca="1">IF(AND($D41="Serviço",AX$12&lt;&gt;0,$H41&gt;0,OR(AUTOEVENTO&lt;&gt;"manual",$M41&lt;&gt;$A$15)),
        IF(Import.TipoArredondamento&lt;&gt;"TransfereGOV",
              ROUND(OFFSET($P41,0,AX$13),15-13*ORÇAMENTO!$AF$7)/$H41*OFFSET(ORÇAMENTO!$X$15,ROW(AX41)-ROW(AX$15),0),
              ROUND(ROUND(OFFSET($P41,0,AX$13),15-13*ORÇAMENTO!$AF$7)*OFFSET(ORÇAMENTO!$W$15,ROW(AX41)-ROW(AX$15),0),15-13*ORÇAMENTO!$AF$11)),
         0)</f>
        <v>0</v>
      </c>
      <c r="AY41" s="452">
        <f ca="1">IF(AND($D41="Serviço",AY$12&lt;&gt;0,$H41&gt;0,OR(AUTOEVENTO&lt;&gt;"manual",$M41&lt;&gt;$A$15)),
        IF(Import.TipoArredondamento&lt;&gt;"TransfereGOV",
              ROUND(OFFSET($P41,0,AY$13),15-13*ORÇAMENTO!$AF$7)/$H41*OFFSET(ORÇAMENTO!$X$15,ROW(AY41)-ROW(AY$15),0),
              ROUND(ROUND(OFFSET($P41,0,AY$13),15-13*ORÇAMENTO!$AF$7)*OFFSET(ORÇAMENTO!$W$15,ROW(AY41)-ROW(AY$15),0),15-13*ORÇAMENTO!$AF$11)),
         0)</f>
        <v>0</v>
      </c>
      <c r="AZ41" s="452">
        <f ca="1">IF(AND($D41="Serviço",AZ$12&lt;&gt;0,$H41&gt;0,OR(AUTOEVENTO&lt;&gt;"manual",$M41&lt;&gt;$A$15)),
        IF(Import.TipoArredondamento&lt;&gt;"TransfereGOV",
              ROUND(OFFSET($P41,0,AZ$13),15-13*ORÇAMENTO!$AF$7)/$H41*OFFSET(ORÇAMENTO!$X$15,ROW(AZ41)-ROW(AZ$15),0),
              ROUND(ROUND(OFFSET($P41,0,AZ$13),15-13*ORÇAMENTO!$AF$7)*OFFSET(ORÇAMENTO!$W$15,ROW(AZ41)-ROW(AZ$15),0),15-13*ORÇAMENTO!$AF$11)),
         0)</f>
        <v>0</v>
      </c>
      <c r="BA41" s="452">
        <f ca="1">IF(AND($D41="Serviço",BA$12&lt;&gt;0,$H41&gt;0,OR(AUTOEVENTO&lt;&gt;"manual",$M41&lt;&gt;$A$15)),
        IF(Import.TipoArredondamento&lt;&gt;"TransfereGOV",
              ROUND(OFFSET($P41,0,BA$13),15-13*ORÇAMENTO!$AF$7)/$H41*OFFSET(ORÇAMENTO!$X$15,ROW(BA41)-ROW(BA$15),0),
              ROUND(ROUND(OFFSET($P41,0,BA$13),15-13*ORÇAMENTO!$AF$7)*OFFSET(ORÇAMENTO!$W$15,ROW(BA41)-ROW(BA$15),0),15-13*ORÇAMENTO!$AF$11)),
         0)</f>
        <v>0</v>
      </c>
      <c r="BC41" s="171">
        <f ca="1">IF(OR($D41&lt;&gt;"Serviço",AND(AUTOEVENTO="Manual",$M41=$A$15)),0,
         IF(OFFSET(CRONOPLE!$F$15,$M41-$A$15,BC$13)=0,10^12,OFFSET(CRONOPLE!$F$15,$M41-$A$15,BC$13)))</f>
        <v>2</v>
      </c>
      <c r="BD41" s="171">
        <f ca="1">IF(OR($D41&lt;&gt;"Serviço",AND(AUTOEVENTO="Manual",$M41=$A$15)),0,
         IF(OFFSET(CRONOPLE!$F$15,$M41-$A$15,BD$13)=0,10^12,OFFSET(CRONOPLE!$F$15,$M41-$A$15,BD$13)))</f>
        <v>2</v>
      </c>
      <c r="BE41" s="171">
        <f ca="1">IF(OR($D41&lt;&gt;"Serviço",AND(AUTOEVENTO="Manual",$M41=$A$15)),0,
         IF(OFFSET(CRONOPLE!$F$15,$M41-$A$15,BE$13)=0,10^12,OFFSET(CRONOPLE!$F$15,$M41-$A$15,BE$13)))</f>
        <v>3</v>
      </c>
      <c r="BF41" s="171">
        <f ca="1">IF(OR($D41&lt;&gt;"Serviço",AND(AUTOEVENTO="Manual",$M41=$A$15)),0,
         IF(OFFSET(CRONOPLE!$F$15,$M41-$A$15,BF$13)=0,10^12,OFFSET(CRONOPLE!$F$15,$M41-$A$15,BF$13)))</f>
        <v>3</v>
      </c>
      <c r="BG41" s="171">
        <f ca="1">IF(OR($D41&lt;&gt;"Serviço",AND(AUTOEVENTO="Manual",$M41=$A$15)),0,
         IF(OFFSET(CRONOPLE!$F$15,$M41-$A$15,BG$13)=0,10^12,OFFSET(CRONOPLE!$F$15,$M41-$A$15,BG$13)))</f>
        <v>3</v>
      </c>
      <c r="BH41" s="171">
        <f ca="1">IF(OR($D41&lt;&gt;"Serviço",AND(AUTOEVENTO="Manual",$M41=$A$15)),0,
         IF(OFFSET(CRONOPLE!$F$15,$M41-$A$15,BH$13)=0,10^12,OFFSET(CRONOPLE!$F$15,$M41-$A$15,BH$13)))</f>
        <v>1000000000000</v>
      </c>
      <c r="BI41" s="171">
        <f ca="1">IF(OR($D41&lt;&gt;"Serviço",AND(AUTOEVENTO="Manual",$M41=$A$15)),0,
         IF(OFFSET(CRONOPLE!$F$15,$M41-$A$15,BI$13)=0,10^12,OFFSET(CRONOPLE!$F$15,$M41-$A$15,BI$13)))</f>
        <v>1000000000000</v>
      </c>
      <c r="BJ41" s="171">
        <f ca="1">IF(OR($D41&lt;&gt;"Serviço",AND(AUTOEVENTO="Manual",$M41=$A$15)),0,
         IF(OFFSET(CRONOPLE!$F$15,$M41-$A$15,BJ$13)=0,10^12,OFFSET(CRONOPLE!$F$15,$M41-$A$15,BJ$13)))</f>
        <v>1000000000000</v>
      </c>
      <c r="BK41" s="171">
        <f ca="1">IF(OR($D41&lt;&gt;"Serviço",AND(AUTOEVENTO="Manual",$M41=$A$15)),0,
         IF(OFFSET(CRONOPLE!$F$15,$M41-$A$15,BK$13)=0,10^12,OFFSET(CRONOPLE!$F$15,$M41-$A$15,BK$13)))</f>
        <v>1000000000000</v>
      </c>
      <c r="BL41" s="171">
        <f ca="1">IF(OR($D41&lt;&gt;"Serviço",AND(AUTOEVENTO="Manual",$M41=$A$15)),0,
         IF(OFFSET(CRONOPLE!$F$15,$M41-$A$15,BL$13)=0,10^12,OFFSET(CRONOPLE!$F$15,$M41-$A$15,BL$13)))</f>
        <v>1000000000000</v>
      </c>
      <c r="BM41" s="171">
        <f ca="1">IF(OR($D41&lt;&gt;"Serviço",AND(AUTOEVENTO="Manual",$M41=$A$15)),0,
         IF(OFFSET(CRONOPLE!$F$15,$M41-$A$15,BM$13)=0,10^12,OFFSET(CRONOPLE!$F$15,$M41-$A$15,BM$13)))</f>
        <v>1000000000000</v>
      </c>
      <c r="BN41" s="171">
        <f ca="1">IF(OR($D41&lt;&gt;"Serviço",AND(AUTOEVENTO="Manual",$M41=$A$15)),0,
         IF(OFFSET(CRONOPLE!$F$15,$M41-$A$15,BN$13)=0,10^12,OFFSET(CRONOPLE!$F$15,$M41-$A$15,BN$13)))</f>
        <v>1000000000000</v>
      </c>
      <c r="BO41" s="171">
        <f ca="1">IF(OR($D41&lt;&gt;"Serviço",AND(AUTOEVENTO="Manual",$M41=$A$15)),0,
         IF(OFFSET(CRONOPLE!$F$15,$M41-$A$15,BO$13)=0,10^12,OFFSET(CRONOPLE!$F$15,$M41-$A$15,BO$13)))</f>
        <v>1000000000000</v>
      </c>
      <c r="BP41" s="171">
        <f ca="1">IF(OR($D41&lt;&gt;"Serviço",AND(AUTOEVENTO="Manual",$M41=$A$15)),0,
         IF(OFFSET(CRONOPLE!$F$15,$M41-$A$15,BP$13)=0,10^12,OFFSET(CRONOPLE!$F$15,$M41-$A$15,BP$13)))</f>
        <v>1000000000000</v>
      </c>
      <c r="BQ41" s="171">
        <f ca="1">IF(OR($D41&lt;&gt;"Serviço",AND(AUTOEVENTO="Manual",$M41=$A$15)),0,
         IF(OFFSET(CRONOPLE!$F$15,$M41-$A$15,BQ$13)=0,10^12,OFFSET(CRONOPLE!$F$15,$M41-$A$15,BQ$13)))</f>
        <v>1000000000000</v>
      </c>
      <c r="BR41" s="171">
        <f ca="1">IF(OR($D41&lt;&gt;"Serviço",AND(AUTOEVENTO="Manual",$M41=$A$15)),0,
         IF(OFFSET(CRONOPLE!$F$15,$M41-$A$15,BR$13)=0,10^12,OFFSET(CRONOPLE!$F$15,$M41-$A$15,BR$13)))</f>
        <v>1000000000000</v>
      </c>
      <c r="BS41" s="171">
        <f ca="1">IF(OR($D41&lt;&gt;"Serviço",AND(AUTOEVENTO="Manual",$M41=$A$15)),0,
         IF(OFFSET(CRONOPLE!$F$15,$M41-$A$15,BS$13)=0,10^12,OFFSET(CRONOPLE!$F$15,$M41-$A$15,BS$13)))</f>
        <v>1000000000000</v>
      </c>
      <c r="BT41" s="171">
        <f ca="1">IF(OR($D41&lt;&gt;"Serviço",AND(AUTOEVENTO="Manual",$M41=$A$15)),0,
         IF(OFFSET(CRONOPLE!$F$15,$M41-$A$15,BT$13)=0,10^12,OFFSET(CRONOPLE!$F$15,$M41-$A$15,BT$13)))</f>
        <v>1000000000000</v>
      </c>
      <c r="BV41" s="172">
        <f t="array" aca="1" ref="BV41" ca="1">IF(OR($D41&lt;&gt;"Serviço",AND(AUTOEVENTO="Manual",$M41=$A$15),$M41&gt;(ROW(PLE.lastrow)-ROW(PLE.firstrow))),0,
           IF(OFFSET(PLE!$G$15,$M41-$A$15,BV$13)="",10^12,OFFSET(PLE!$G$15,$M41-$A$15,BV$13)))</f>
        <v>1000000000000</v>
      </c>
      <c r="BW41" s="172">
        <f t="array" aca="1" ref="BW41" ca="1">IF(OR($D41&lt;&gt;"Serviço",AND(AUTOEVENTO="Manual",$M41=$A$15),$M41&gt;(ROW(PLE.lastrow)-ROW(PLE.firstrow))),0,
           IF(OFFSET(PLE!$G$15,$M41-$A$15,BW$13)="",10^12,OFFSET(PLE!$G$15,$M41-$A$15,BW$13)))</f>
        <v>1000000000000</v>
      </c>
      <c r="BX41" s="172">
        <f t="array" aca="1" ref="BX41" ca="1">IF(OR($D41&lt;&gt;"Serviço",AND(AUTOEVENTO="Manual",$M41=$A$15),$M41&gt;(ROW(PLE.lastrow)-ROW(PLE.firstrow))),0,
           IF(OFFSET(PLE!$G$15,$M41-$A$15,BX$13)="",10^12,OFFSET(PLE!$G$15,$M41-$A$15,BX$13)))</f>
        <v>1000000000000</v>
      </c>
      <c r="BY41" s="172">
        <f t="array" aca="1" ref="BY41" ca="1">IF(OR($D41&lt;&gt;"Serviço",AND(AUTOEVENTO="Manual",$M41=$A$15),$M41&gt;(ROW(PLE.lastrow)-ROW(PLE.firstrow))),0,
           IF(OFFSET(PLE!$G$15,$M41-$A$15,BY$13)="",10^12,OFFSET(PLE!$G$15,$M41-$A$15,BY$13)))</f>
        <v>1000000000000</v>
      </c>
      <c r="BZ41" s="172">
        <f t="array" aca="1" ref="BZ41" ca="1">IF(OR($D41&lt;&gt;"Serviço",AND(AUTOEVENTO="Manual",$M41=$A$15),$M41&gt;(ROW(PLE.lastrow)-ROW(PLE.firstrow))),0,
           IF(OFFSET(PLE!$G$15,$M41-$A$15,BZ$13)="",10^12,OFFSET(PLE!$G$15,$M41-$A$15,BZ$13)))</f>
        <v>1000000000000</v>
      </c>
      <c r="CA41" s="172">
        <f t="array" aca="1" ref="CA41" ca="1">IF(OR($D41&lt;&gt;"Serviço",AND(AUTOEVENTO="Manual",$M41=$A$15),$M41&gt;(ROW(PLE.lastrow)-ROW(PLE.firstrow))),0,
           IF(OFFSET(PLE!$G$15,$M41-$A$15,CA$13)="",10^12,OFFSET(PLE!$G$15,$M41-$A$15,CA$13)))</f>
        <v>1000000000000</v>
      </c>
      <c r="CB41" s="172">
        <f t="array" aca="1" ref="CB41" ca="1">IF(OR($D41&lt;&gt;"Serviço",AND(AUTOEVENTO="Manual",$M41=$A$15),$M41&gt;(ROW(PLE.lastrow)-ROW(PLE.firstrow))),0,
           IF(OFFSET(PLE!$G$15,$M41-$A$15,CB$13)="",10^12,OFFSET(PLE!$G$15,$M41-$A$15,CB$13)))</f>
        <v>1000000000000</v>
      </c>
      <c r="CC41" s="172">
        <f t="array" aca="1" ref="CC41" ca="1">IF(OR($D41&lt;&gt;"Serviço",AND(AUTOEVENTO="Manual",$M41=$A$15),$M41&gt;(ROW(PLE.lastrow)-ROW(PLE.firstrow))),0,
           IF(OFFSET(PLE!$G$15,$M41-$A$15,CC$13)="",10^12,OFFSET(PLE!$G$15,$M41-$A$15,CC$13)))</f>
        <v>1000000000000</v>
      </c>
      <c r="CD41" s="172">
        <f t="array" aca="1" ref="CD41" ca="1">IF(OR($D41&lt;&gt;"Serviço",AND(AUTOEVENTO="Manual",$M41=$A$15),$M41&gt;(ROW(PLE.lastrow)-ROW(PLE.firstrow))),0,
           IF(OFFSET(PLE!$G$15,$M41-$A$15,CD$13)="",10^12,OFFSET(PLE!$G$15,$M41-$A$15,CD$13)))</f>
        <v>1000000000000</v>
      </c>
      <c r="CE41" s="172">
        <f t="array" aca="1" ref="CE41" ca="1">IF(OR($D41&lt;&gt;"Serviço",AND(AUTOEVENTO="Manual",$M41=$A$15),$M41&gt;(ROW(PLE.lastrow)-ROW(PLE.firstrow))),0,
           IF(OFFSET(PLE!$G$15,$M41-$A$15,CE$13)="",10^12,OFFSET(PLE!$G$15,$M41-$A$15,CE$13)))</f>
        <v>1000000000000</v>
      </c>
      <c r="CF41" s="172">
        <f t="array" aca="1" ref="CF41" ca="1">IF(OR($D41&lt;&gt;"Serviço",AND(AUTOEVENTO="Manual",$M41=$A$15),$M41&gt;(ROW(PLE.lastrow)-ROW(PLE.firstrow))),0,
           IF(OFFSET(PLE!$G$15,$M41-$A$15,CF$13)="",10^12,OFFSET(PLE!$G$15,$M41-$A$15,CF$13)))</f>
        <v>1000000000000</v>
      </c>
      <c r="CG41" s="172">
        <f t="array" aca="1" ref="CG41" ca="1">IF(OR($D41&lt;&gt;"Serviço",AND(AUTOEVENTO="Manual",$M41=$A$15),$M41&gt;(ROW(PLE.lastrow)-ROW(PLE.firstrow))),0,
           IF(OFFSET(PLE!$G$15,$M41-$A$15,CG$13)="",10^12,OFFSET(PLE!$G$15,$M41-$A$15,CG$13)))</f>
        <v>1000000000000</v>
      </c>
      <c r="CH41" s="172">
        <f t="array" aca="1" ref="CH41" ca="1">IF(OR($D41&lt;&gt;"Serviço",AND(AUTOEVENTO="Manual",$M41=$A$15),$M41&gt;(ROW(PLE.lastrow)-ROW(PLE.firstrow))),0,
           IF(OFFSET(PLE!$G$15,$M41-$A$15,CH$13)="",10^12,OFFSET(PLE!$G$15,$M41-$A$15,CH$13)))</f>
        <v>1000000000000</v>
      </c>
      <c r="CI41" s="172">
        <f t="array" aca="1" ref="CI41" ca="1">IF(OR($D41&lt;&gt;"Serviço",AND(AUTOEVENTO="Manual",$M41=$A$15),$M41&gt;(ROW(PLE.lastrow)-ROW(PLE.firstrow))),0,
           IF(OFFSET(PLE!$G$15,$M41-$A$15,CI$13)="",10^12,OFFSET(PLE!$G$15,$M41-$A$15,CI$13)))</f>
        <v>1000000000000</v>
      </c>
      <c r="CJ41" s="172">
        <f t="array" aca="1" ref="CJ41" ca="1">IF(OR($D41&lt;&gt;"Serviço",AND(AUTOEVENTO="Manual",$M41=$A$15),$M41&gt;(ROW(PLE.lastrow)-ROW(PLE.firstrow))),0,
           IF(OFFSET(PLE!$G$15,$M41-$A$15,CJ$13)="",10^12,OFFSET(PLE!$G$15,$M41-$A$15,CJ$13)))</f>
        <v>1000000000000</v>
      </c>
      <c r="CK41" s="172">
        <f t="array" aca="1" ref="CK41" ca="1">IF(OR($D41&lt;&gt;"Serviço",AND(AUTOEVENTO="Manual",$M41=$A$15),$M41&gt;(ROW(PLE.lastrow)-ROW(PLE.firstrow))),0,
           IF(OFFSET(PLE!$G$15,$M41-$A$15,CK$13)="",10^12,OFFSET(PLE!$G$15,$M41-$A$15,CK$13)))</f>
        <v>1000000000000</v>
      </c>
      <c r="CL41" s="172">
        <f t="array" aca="1" ref="CL41" ca="1">IF(OR($D41&lt;&gt;"Serviço",AND(AUTOEVENTO="Manual",$M41=$A$15),$M41&gt;(ROW(PLE.lastrow)-ROW(PLE.firstrow))),0,
           IF(OFFSET(PLE!$G$15,$M41-$A$15,CL$13)="",10^12,OFFSET(PLE!$G$15,$M41-$A$15,CL$13)))</f>
        <v>1000000000000</v>
      </c>
      <c r="CM41" s="172">
        <f t="array" aca="1" ref="CM41" ca="1">IF(OR($D41&lt;&gt;"Serviço",AND(AUTOEVENTO="Manual",$M41=$A$15),$M41&gt;(ROW(PLE.lastrow)-ROW(PLE.firstrow))),0,
           IF(OFFSET(PLE!$G$15,$M41-$A$15,CM$13)="",10^12,OFFSET(PLE!$G$15,$M41-$A$15,CM$13)))</f>
        <v>1000000000000</v>
      </c>
    </row>
    <row r="42" spans="1:91" s="696" customFormat="1" ht="12.75" x14ac:dyDescent="0.2">
      <c r="A42" s="694">
        <f t="shared" ca="1" si="10"/>
        <v>0</v>
      </c>
      <c r="B42" s="694">
        <f ca="1">OFFSET(ORÇAMENTO!C$15,$L42,0)</f>
        <v>2</v>
      </c>
      <c r="C42" s="694" t="str">
        <f ca="1">OFFSET(ORÇAMENTO!L$15,$L42,0)</f>
        <v>F</v>
      </c>
      <c r="D42" s="116" t="str">
        <f ca="1">OFFSET(ORÇAMENTO!N$15,$L42,0)</f>
        <v>Nível 2</v>
      </c>
      <c r="E42" s="117" t="str">
        <f ca="1">OFFSET(ORÇAMENTO!O$15,$L42,0)</f>
        <v>1.5.</v>
      </c>
      <c r="F42" s="163" t="str">
        <f ca="1">OFFSET(ORÇAMENTO!R$15,$L42,0)</f>
        <v>BALDRAMES</v>
      </c>
      <c r="G42" s="164" t="str">
        <f ca="1">IF($D42&lt;&gt;"Serviço","",OFFSET(ORÇAMENTO!S$15,$L42,0))</f>
        <v/>
      </c>
      <c r="H42" s="122">
        <f t="array" aca="1" ref="H42" ca="1">IF($D42&lt;&gt;"Serviço",0,IF(ACOMPANHAMENTO="BM",ROUND(OFFSET(ORÇAMENTO!AJ$15,$L42,0),15-13*ORÇAMENTO!$AF$7),IF(IFERROR(CÁLCULO.FrentesPreenchidas,0)=0,0,SUM(ROUND(OFFSET($P42,0,1,1,CÁLCULO.FrentesPreenchidas),15-13*ORÇAMENTO!$AF$7)))))</f>
        <v>0</v>
      </c>
      <c r="I42" s="467"/>
      <c r="J42" s="653" t="str">
        <f t="array" aca="1" ref="J42" ca="1">IF(OR(B42&lt;&gt;"S",CÁLCULO.FrentesPreenchidas=0),"",IF(AND(ACOMPANHAMENTO="PLE",AUTOEVENTO="Manual",OR(H42&gt;0,ORÇAMENTO!AC42="QUANT."),OR(K42="",M42=0,N42="")),"►E",IF(AND(ACOMPANHAMENTO="PLE",ORÇAMENTO!AC42="QUANT."),"►Q",IF(AND(ACOMPANHAMENTO="PLE",H42&lt;&gt;SUMPRODUCT(($Q$1:$AI$1=1)*ROUND(Q42:AI42,15))),"►S",IF(AND(COUNTIF($P$11:$AI$11,"▼")=0,H42&gt;0,I42=""),"◄M","")))))</f>
        <v/>
      </c>
      <c r="K42" s="654"/>
      <c r="L42" s="165">
        <f t="shared" ca="1" si="11"/>
        <v>27</v>
      </c>
      <c r="M42" s="166" t="str">
        <f ca="1">IF($D42&lt;&gt;"Serviço","",
          IF(AUTOEVENTO="manual",$A42,
                IF(ISERROR(MATCH($A42,$A$15:OFFSET($A42,-1,0),0)),MAX($M$15:OFFSET(M42,-1,0))+1,
                      INDEX($M$15:OFFSET(M42,-1,0),MATCH($A42,$A$15:OFFSET($A42,-1,0),0)))))</f>
        <v/>
      </c>
      <c r="N42" s="167" t="str">
        <f ca="1">IF($D42&lt;&gt;"Serviço","",
         IF(AUTOEVENTO="Manual",
                IF($A42=0,"&lt;-- defina o número do agrupador",
                       OFFSET(EVENTOS!$D$15,$A42-$A$15,0)),
                OFFSET($F$15,$A42,0)))</f>
        <v/>
      </c>
      <c r="O42" s="168"/>
      <c r="Q42" s="169"/>
      <c r="R42" s="169"/>
      <c r="S42" s="169"/>
      <c r="T42" s="169"/>
      <c r="U42" s="169"/>
      <c r="V42" s="169"/>
      <c r="W42" s="169"/>
      <c r="X42" s="169"/>
      <c r="Y42" s="169"/>
      <c r="Z42" s="170"/>
      <c r="AA42" s="169"/>
      <c r="AB42" s="169"/>
      <c r="AC42" s="169"/>
      <c r="AD42" s="169"/>
      <c r="AE42" s="169"/>
      <c r="AF42" s="169"/>
      <c r="AG42" s="169"/>
      <c r="AH42" s="170"/>
      <c r="AJ42" s="452">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2">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L42" s="452">
        <f ca="1">IF(AND($D42="Serviço",AL$12&lt;&gt;0,$H42&gt;0,OR(AUTOEVENTO&lt;&gt;"manual",$M42&lt;&gt;$A$15)),
        IF(Import.TipoArredondamento&lt;&gt;"TransfereGOV",
              ROUND(OFFSET($P42,0,AL$13),15-13*ORÇAMENTO!$AF$7)/$H42*OFFSET(ORÇAMENTO!$X$15,ROW(AL42)-ROW(AL$15),0),
              ROUND(ROUND(OFFSET($P42,0,AL$13),15-13*ORÇAMENTO!$AF$7)*OFFSET(ORÇAMENTO!$W$15,ROW(AL42)-ROW(AL$15),0),15-13*ORÇAMENTO!$AF$11)),
         0)</f>
        <v>0</v>
      </c>
      <c r="AM42" s="452">
        <f ca="1">IF(AND($D42="Serviço",AM$12&lt;&gt;0,$H42&gt;0,OR(AUTOEVENTO&lt;&gt;"manual",$M42&lt;&gt;$A$15)),
        IF(Import.TipoArredondamento&lt;&gt;"TransfereGOV",
              ROUND(OFFSET($P42,0,AM$13),15-13*ORÇAMENTO!$AF$7)/$H42*OFFSET(ORÇAMENTO!$X$15,ROW(AM42)-ROW(AM$15),0),
              ROUND(ROUND(OFFSET($P42,0,AM$13),15-13*ORÇAMENTO!$AF$7)*OFFSET(ORÇAMENTO!$W$15,ROW(AM42)-ROW(AM$15),0),15-13*ORÇAMENTO!$AF$11)),
         0)</f>
        <v>0</v>
      </c>
      <c r="AN42" s="452">
        <f ca="1">IF(AND($D42="Serviço",AN$12&lt;&gt;0,$H42&gt;0,OR(AUTOEVENTO&lt;&gt;"manual",$M42&lt;&gt;$A$15)),
        IF(Import.TipoArredondamento&lt;&gt;"TransfereGOV",
              ROUND(OFFSET($P42,0,AN$13),15-13*ORÇAMENTO!$AF$7)/$H42*OFFSET(ORÇAMENTO!$X$15,ROW(AN42)-ROW(AN$15),0),
              ROUND(ROUND(OFFSET($P42,0,AN$13),15-13*ORÇAMENTO!$AF$7)*OFFSET(ORÇAMENTO!$W$15,ROW(AN42)-ROW(AN$15),0),15-13*ORÇAMENTO!$AF$11)),
         0)</f>
        <v>0</v>
      </c>
      <c r="AO42" s="452">
        <f ca="1">IF(AND($D42="Serviço",AO$12&lt;&gt;0,$H42&gt;0,OR(AUTOEVENTO&lt;&gt;"manual",$M42&lt;&gt;$A$15)),
        IF(Import.TipoArredondamento&lt;&gt;"TransfereGOV",
              ROUND(OFFSET($P42,0,AO$13),15-13*ORÇAMENTO!$AF$7)/$H42*OFFSET(ORÇAMENTO!$X$15,ROW(AO42)-ROW(AO$15),0),
              ROUND(ROUND(OFFSET($P42,0,AO$13),15-13*ORÇAMENTO!$AF$7)*OFFSET(ORÇAMENTO!$W$15,ROW(AO42)-ROW(AO$15),0),15-13*ORÇAMENTO!$AF$11)),
         0)</f>
        <v>0</v>
      </c>
      <c r="AP42" s="452">
        <f ca="1">IF(AND($D42="Serviço",AP$12&lt;&gt;0,$H42&gt;0,OR(AUTOEVENTO&lt;&gt;"manual",$M42&lt;&gt;$A$15)),
        IF(Import.TipoArredondamento&lt;&gt;"TransfereGOV",
              ROUND(OFFSET($P42,0,AP$13),15-13*ORÇAMENTO!$AF$7)/$H42*OFFSET(ORÇAMENTO!$X$15,ROW(AP42)-ROW(AP$15),0),
              ROUND(ROUND(OFFSET($P42,0,AP$13),15-13*ORÇAMENTO!$AF$7)*OFFSET(ORÇAMENTO!$W$15,ROW(AP42)-ROW(AP$15),0),15-13*ORÇAMENTO!$AF$11)),
         0)</f>
        <v>0</v>
      </c>
      <c r="AQ42" s="452">
        <f ca="1">IF(AND($D42="Serviço",AQ$12&lt;&gt;0,$H42&gt;0,OR(AUTOEVENTO&lt;&gt;"manual",$M42&lt;&gt;$A$15)),
        IF(Import.TipoArredondamento&lt;&gt;"TransfereGOV",
              ROUND(OFFSET($P42,0,AQ$13),15-13*ORÇAMENTO!$AF$7)/$H42*OFFSET(ORÇAMENTO!$X$15,ROW(AQ42)-ROW(AQ$15),0),
              ROUND(ROUND(OFFSET($P42,0,AQ$13),15-13*ORÇAMENTO!$AF$7)*OFFSET(ORÇAMENTO!$W$15,ROW(AQ42)-ROW(AQ$15),0),15-13*ORÇAMENTO!$AF$11)),
         0)</f>
        <v>0</v>
      </c>
      <c r="AR42" s="452">
        <f ca="1">IF(AND($D42="Serviço",AR$12&lt;&gt;0,$H42&gt;0,OR(AUTOEVENTO&lt;&gt;"manual",$M42&lt;&gt;$A$15)),
        IF(Import.TipoArredondamento&lt;&gt;"TransfereGOV",
              ROUND(OFFSET($P42,0,AR$13),15-13*ORÇAMENTO!$AF$7)/$H42*OFFSET(ORÇAMENTO!$X$15,ROW(AR42)-ROW(AR$15),0),
              ROUND(ROUND(OFFSET($P42,0,AR$13),15-13*ORÇAMENTO!$AF$7)*OFFSET(ORÇAMENTO!$W$15,ROW(AR42)-ROW(AR$15),0),15-13*ORÇAMENTO!$AF$11)),
         0)</f>
        <v>0</v>
      </c>
      <c r="AS42" s="452">
        <f ca="1">IF(AND($D42="Serviço",AS$12&lt;&gt;0,$H42&gt;0,OR(AUTOEVENTO&lt;&gt;"manual",$M42&lt;&gt;$A$15)),
        IF(Import.TipoArredondamento&lt;&gt;"TransfereGOV",
              ROUND(OFFSET($P42,0,AS$13),15-13*ORÇAMENTO!$AF$7)/$H42*OFFSET(ORÇAMENTO!$X$15,ROW(AS42)-ROW(AS$15),0),
              ROUND(ROUND(OFFSET($P42,0,AS$13),15-13*ORÇAMENTO!$AF$7)*OFFSET(ORÇAMENTO!$W$15,ROW(AS42)-ROW(AS$15),0),15-13*ORÇAMENTO!$AF$11)),
         0)</f>
        <v>0</v>
      </c>
      <c r="AT42" s="452">
        <f ca="1">IF(AND($D42="Serviço",AT$12&lt;&gt;0,$H42&gt;0,OR(AUTOEVENTO&lt;&gt;"manual",$M42&lt;&gt;$A$15)),
        IF(Import.TipoArredondamento&lt;&gt;"TransfereGOV",
              ROUND(OFFSET($P42,0,AT$13),15-13*ORÇAMENTO!$AF$7)/$H42*OFFSET(ORÇAMENTO!$X$15,ROW(AT42)-ROW(AT$15),0),
              ROUND(ROUND(OFFSET($P42,0,AT$13),15-13*ORÇAMENTO!$AF$7)*OFFSET(ORÇAMENTO!$W$15,ROW(AT42)-ROW(AT$15),0),15-13*ORÇAMENTO!$AF$11)),
         0)</f>
        <v>0</v>
      </c>
      <c r="AU42" s="452">
        <f ca="1">IF(AND($D42="Serviço",AU$12&lt;&gt;0,$H42&gt;0,OR(AUTOEVENTO&lt;&gt;"manual",$M42&lt;&gt;$A$15)),
        IF(Import.TipoArredondamento&lt;&gt;"TransfereGOV",
              ROUND(OFFSET($P42,0,AU$13),15-13*ORÇAMENTO!$AF$7)/$H42*OFFSET(ORÇAMENTO!$X$15,ROW(AU42)-ROW(AU$15),0),
              ROUND(ROUND(OFFSET($P42,0,AU$13),15-13*ORÇAMENTO!$AF$7)*OFFSET(ORÇAMENTO!$W$15,ROW(AU42)-ROW(AU$15),0),15-13*ORÇAMENTO!$AF$11)),
         0)</f>
        <v>0</v>
      </c>
      <c r="AV42" s="452">
        <f ca="1">IF(AND($D42="Serviço",AV$12&lt;&gt;0,$H42&gt;0,OR(AUTOEVENTO&lt;&gt;"manual",$M42&lt;&gt;$A$15)),
        IF(Import.TipoArredondamento&lt;&gt;"TransfereGOV",
              ROUND(OFFSET($P42,0,AV$13),15-13*ORÇAMENTO!$AF$7)/$H42*OFFSET(ORÇAMENTO!$X$15,ROW(AV42)-ROW(AV$15),0),
              ROUND(ROUND(OFFSET($P42,0,AV$13),15-13*ORÇAMENTO!$AF$7)*OFFSET(ORÇAMENTO!$W$15,ROW(AV42)-ROW(AV$15),0),15-13*ORÇAMENTO!$AF$11)),
         0)</f>
        <v>0</v>
      </c>
      <c r="AW42" s="452">
        <f ca="1">IF(AND($D42="Serviço",AW$12&lt;&gt;0,$H42&gt;0,OR(AUTOEVENTO&lt;&gt;"manual",$M42&lt;&gt;$A$15)),
        IF(Import.TipoArredondamento&lt;&gt;"TransfereGOV",
              ROUND(OFFSET($P42,0,AW$13),15-13*ORÇAMENTO!$AF$7)/$H42*OFFSET(ORÇAMENTO!$X$15,ROW(AW42)-ROW(AW$15),0),
              ROUND(ROUND(OFFSET($P42,0,AW$13),15-13*ORÇAMENTO!$AF$7)*OFFSET(ORÇAMENTO!$W$15,ROW(AW42)-ROW(AW$15),0),15-13*ORÇAMENTO!$AF$11)),
         0)</f>
        <v>0</v>
      </c>
      <c r="AX42" s="452">
        <f ca="1">IF(AND($D42="Serviço",AX$12&lt;&gt;0,$H42&gt;0,OR(AUTOEVENTO&lt;&gt;"manual",$M42&lt;&gt;$A$15)),
        IF(Import.TipoArredondamento&lt;&gt;"TransfereGOV",
              ROUND(OFFSET($P42,0,AX$13),15-13*ORÇAMENTO!$AF$7)/$H42*OFFSET(ORÇAMENTO!$X$15,ROW(AX42)-ROW(AX$15),0),
              ROUND(ROUND(OFFSET($P42,0,AX$13),15-13*ORÇAMENTO!$AF$7)*OFFSET(ORÇAMENTO!$W$15,ROW(AX42)-ROW(AX$15),0),15-13*ORÇAMENTO!$AF$11)),
         0)</f>
        <v>0</v>
      </c>
      <c r="AY42" s="452">
        <f ca="1">IF(AND($D42="Serviço",AY$12&lt;&gt;0,$H42&gt;0,OR(AUTOEVENTO&lt;&gt;"manual",$M42&lt;&gt;$A$15)),
        IF(Import.TipoArredondamento&lt;&gt;"TransfereGOV",
              ROUND(OFFSET($P42,0,AY$13),15-13*ORÇAMENTO!$AF$7)/$H42*OFFSET(ORÇAMENTO!$X$15,ROW(AY42)-ROW(AY$15),0),
              ROUND(ROUND(OFFSET($P42,0,AY$13),15-13*ORÇAMENTO!$AF$7)*OFFSET(ORÇAMENTO!$W$15,ROW(AY42)-ROW(AY$15),0),15-13*ORÇAMENTO!$AF$11)),
         0)</f>
        <v>0</v>
      </c>
      <c r="AZ42" s="452">
        <f ca="1">IF(AND($D42="Serviço",AZ$12&lt;&gt;0,$H42&gt;0,OR(AUTOEVENTO&lt;&gt;"manual",$M42&lt;&gt;$A$15)),
        IF(Import.TipoArredondamento&lt;&gt;"TransfereGOV",
              ROUND(OFFSET($P42,0,AZ$13),15-13*ORÇAMENTO!$AF$7)/$H42*OFFSET(ORÇAMENTO!$X$15,ROW(AZ42)-ROW(AZ$15),0),
              ROUND(ROUND(OFFSET($P42,0,AZ$13),15-13*ORÇAMENTO!$AF$7)*OFFSET(ORÇAMENTO!$W$15,ROW(AZ42)-ROW(AZ$15),0),15-13*ORÇAMENTO!$AF$11)),
         0)</f>
        <v>0</v>
      </c>
      <c r="BA42" s="452">
        <f ca="1">IF(AND($D42="Serviço",BA$12&lt;&gt;0,$H42&gt;0,OR(AUTOEVENTO&lt;&gt;"manual",$M42&lt;&gt;$A$15)),
        IF(Import.TipoArredondamento&lt;&gt;"TransfereGOV",
              ROUND(OFFSET($P42,0,BA$13),15-13*ORÇAMENTO!$AF$7)/$H42*OFFSET(ORÇAMENTO!$X$15,ROW(BA42)-ROW(BA$15),0),
              ROUND(ROUND(OFFSET($P42,0,BA$13),15-13*ORÇAMENTO!$AF$7)*OFFSET(ORÇAMENTO!$W$15,ROW(BA42)-ROW(BA$15),0),15-13*ORÇAMENTO!$AF$11)),
         0)</f>
        <v>0</v>
      </c>
      <c r="BC42" s="171">
        <f ca="1">IF(OR($D42&lt;&gt;"Serviço",AND(AUTOEVENTO="Manual",$M42=$A$15)),0,
         IF(OFFSET(CRONOPLE!$F$15,$M42-$A$15,BC$13)=0,10^12,OFFSET(CRONOPLE!$F$15,$M42-$A$15,BC$13)))</f>
        <v>0</v>
      </c>
      <c r="BD42" s="171">
        <f ca="1">IF(OR($D42&lt;&gt;"Serviço",AND(AUTOEVENTO="Manual",$M42=$A$15)),0,
         IF(OFFSET(CRONOPLE!$F$15,$M42-$A$15,BD$13)=0,10^12,OFFSET(CRONOPLE!$F$15,$M42-$A$15,BD$13)))</f>
        <v>0</v>
      </c>
      <c r="BE42" s="171">
        <f ca="1">IF(OR($D42&lt;&gt;"Serviço",AND(AUTOEVENTO="Manual",$M42=$A$15)),0,
         IF(OFFSET(CRONOPLE!$F$15,$M42-$A$15,BE$13)=0,10^12,OFFSET(CRONOPLE!$F$15,$M42-$A$15,BE$13)))</f>
        <v>0</v>
      </c>
      <c r="BF42" s="171">
        <f ca="1">IF(OR($D42&lt;&gt;"Serviço",AND(AUTOEVENTO="Manual",$M42=$A$15)),0,
         IF(OFFSET(CRONOPLE!$F$15,$M42-$A$15,BF$13)=0,10^12,OFFSET(CRONOPLE!$F$15,$M42-$A$15,BF$13)))</f>
        <v>0</v>
      </c>
      <c r="BG42" s="171">
        <f ca="1">IF(OR($D42&lt;&gt;"Serviço",AND(AUTOEVENTO="Manual",$M42=$A$15)),0,
         IF(OFFSET(CRONOPLE!$F$15,$M42-$A$15,BG$13)=0,10^12,OFFSET(CRONOPLE!$F$15,$M42-$A$15,BG$13)))</f>
        <v>0</v>
      </c>
      <c r="BH42" s="171">
        <f ca="1">IF(OR($D42&lt;&gt;"Serviço",AND(AUTOEVENTO="Manual",$M42=$A$15)),0,
         IF(OFFSET(CRONOPLE!$F$15,$M42-$A$15,BH$13)=0,10^12,OFFSET(CRONOPLE!$F$15,$M42-$A$15,BH$13)))</f>
        <v>0</v>
      </c>
      <c r="BI42" s="171">
        <f ca="1">IF(OR($D42&lt;&gt;"Serviço",AND(AUTOEVENTO="Manual",$M42=$A$15)),0,
         IF(OFFSET(CRONOPLE!$F$15,$M42-$A$15,BI$13)=0,10^12,OFFSET(CRONOPLE!$F$15,$M42-$A$15,BI$13)))</f>
        <v>0</v>
      </c>
      <c r="BJ42" s="171">
        <f ca="1">IF(OR($D42&lt;&gt;"Serviço",AND(AUTOEVENTO="Manual",$M42=$A$15)),0,
         IF(OFFSET(CRONOPLE!$F$15,$M42-$A$15,BJ$13)=0,10^12,OFFSET(CRONOPLE!$F$15,$M42-$A$15,BJ$13)))</f>
        <v>0</v>
      </c>
      <c r="BK42" s="171">
        <f ca="1">IF(OR($D42&lt;&gt;"Serviço",AND(AUTOEVENTO="Manual",$M42=$A$15)),0,
         IF(OFFSET(CRONOPLE!$F$15,$M42-$A$15,BK$13)=0,10^12,OFFSET(CRONOPLE!$F$15,$M42-$A$15,BK$13)))</f>
        <v>0</v>
      </c>
      <c r="BL42" s="171">
        <f ca="1">IF(OR($D42&lt;&gt;"Serviço",AND(AUTOEVENTO="Manual",$M42=$A$15)),0,
         IF(OFFSET(CRONOPLE!$F$15,$M42-$A$15,BL$13)=0,10^12,OFFSET(CRONOPLE!$F$15,$M42-$A$15,BL$13)))</f>
        <v>0</v>
      </c>
      <c r="BM42" s="171">
        <f ca="1">IF(OR($D42&lt;&gt;"Serviço",AND(AUTOEVENTO="Manual",$M42=$A$15)),0,
         IF(OFFSET(CRONOPLE!$F$15,$M42-$A$15,BM$13)=0,10^12,OFFSET(CRONOPLE!$F$15,$M42-$A$15,BM$13)))</f>
        <v>0</v>
      </c>
      <c r="BN42" s="171">
        <f ca="1">IF(OR($D42&lt;&gt;"Serviço",AND(AUTOEVENTO="Manual",$M42=$A$15)),0,
         IF(OFFSET(CRONOPLE!$F$15,$M42-$A$15,BN$13)=0,10^12,OFFSET(CRONOPLE!$F$15,$M42-$A$15,BN$13)))</f>
        <v>0</v>
      </c>
      <c r="BO42" s="171">
        <f ca="1">IF(OR($D42&lt;&gt;"Serviço",AND(AUTOEVENTO="Manual",$M42=$A$15)),0,
         IF(OFFSET(CRONOPLE!$F$15,$M42-$A$15,BO$13)=0,10^12,OFFSET(CRONOPLE!$F$15,$M42-$A$15,BO$13)))</f>
        <v>0</v>
      </c>
      <c r="BP42" s="171">
        <f ca="1">IF(OR($D42&lt;&gt;"Serviço",AND(AUTOEVENTO="Manual",$M42=$A$15)),0,
         IF(OFFSET(CRONOPLE!$F$15,$M42-$A$15,BP$13)=0,10^12,OFFSET(CRONOPLE!$F$15,$M42-$A$15,BP$13)))</f>
        <v>0</v>
      </c>
      <c r="BQ42" s="171">
        <f ca="1">IF(OR($D42&lt;&gt;"Serviço",AND(AUTOEVENTO="Manual",$M42=$A$15)),0,
         IF(OFFSET(CRONOPLE!$F$15,$M42-$A$15,BQ$13)=0,10^12,OFFSET(CRONOPLE!$F$15,$M42-$A$15,BQ$13)))</f>
        <v>0</v>
      </c>
      <c r="BR42" s="171">
        <f ca="1">IF(OR($D42&lt;&gt;"Serviço",AND(AUTOEVENTO="Manual",$M42=$A$15)),0,
         IF(OFFSET(CRONOPLE!$F$15,$M42-$A$15,BR$13)=0,10^12,OFFSET(CRONOPLE!$F$15,$M42-$A$15,BR$13)))</f>
        <v>0</v>
      </c>
      <c r="BS42" s="171">
        <f ca="1">IF(OR($D42&lt;&gt;"Serviço",AND(AUTOEVENTO="Manual",$M42=$A$15)),0,
         IF(OFFSET(CRONOPLE!$F$15,$M42-$A$15,BS$13)=0,10^12,OFFSET(CRONOPLE!$F$15,$M42-$A$15,BS$13)))</f>
        <v>0</v>
      </c>
      <c r="BT42" s="171">
        <f ca="1">IF(OR($D42&lt;&gt;"Serviço",AND(AUTOEVENTO="Manual",$M42=$A$15)),0,
         IF(OFFSET(CRONOPLE!$F$15,$M42-$A$15,BT$13)=0,10^12,OFFSET(CRONOPLE!$F$15,$M42-$A$15,BT$13)))</f>
        <v>0</v>
      </c>
      <c r="BV42" s="172">
        <f t="array" aca="1" ref="BV42" ca="1">IF(OR($D42&lt;&gt;"Serviço",AND(AUTOEVENTO="Manual",$M42=$A$15),$M42&gt;(ROW(PLE.lastrow)-ROW(PLE.firstrow))),0,
           IF(OFFSET(PLE!$G$15,$M42-$A$15,BV$13)="",10^12,OFFSET(PLE!$G$15,$M42-$A$15,BV$13)))</f>
        <v>0</v>
      </c>
      <c r="BW42" s="172">
        <f t="array" aca="1" ref="BW42" ca="1">IF(OR($D42&lt;&gt;"Serviço",AND(AUTOEVENTO="Manual",$M42=$A$15),$M42&gt;(ROW(PLE.lastrow)-ROW(PLE.firstrow))),0,
           IF(OFFSET(PLE!$G$15,$M42-$A$15,BW$13)="",10^12,OFFSET(PLE!$G$15,$M42-$A$15,BW$13)))</f>
        <v>0</v>
      </c>
      <c r="BX42" s="172">
        <f t="array" aca="1" ref="BX42" ca="1">IF(OR($D42&lt;&gt;"Serviço",AND(AUTOEVENTO="Manual",$M42=$A$15),$M42&gt;(ROW(PLE.lastrow)-ROW(PLE.firstrow))),0,
           IF(OFFSET(PLE!$G$15,$M42-$A$15,BX$13)="",10^12,OFFSET(PLE!$G$15,$M42-$A$15,BX$13)))</f>
        <v>0</v>
      </c>
      <c r="BY42" s="172">
        <f t="array" aca="1" ref="BY42" ca="1">IF(OR($D42&lt;&gt;"Serviço",AND(AUTOEVENTO="Manual",$M42=$A$15),$M42&gt;(ROW(PLE.lastrow)-ROW(PLE.firstrow))),0,
           IF(OFFSET(PLE!$G$15,$M42-$A$15,BY$13)="",10^12,OFFSET(PLE!$G$15,$M42-$A$15,BY$13)))</f>
        <v>0</v>
      </c>
      <c r="BZ42" s="172">
        <f t="array" aca="1" ref="BZ42" ca="1">IF(OR($D42&lt;&gt;"Serviço",AND(AUTOEVENTO="Manual",$M42=$A$15),$M42&gt;(ROW(PLE.lastrow)-ROW(PLE.firstrow))),0,
           IF(OFFSET(PLE!$G$15,$M42-$A$15,BZ$13)="",10^12,OFFSET(PLE!$G$15,$M42-$A$15,BZ$13)))</f>
        <v>0</v>
      </c>
      <c r="CA42" s="172">
        <f t="array" aca="1" ref="CA42" ca="1">IF(OR($D42&lt;&gt;"Serviço",AND(AUTOEVENTO="Manual",$M42=$A$15),$M42&gt;(ROW(PLE.lastrow)-ROW(PLE.firstrow))),0,
           IF(OFFSET(PLE!$G$15,$M42-$A$15,CA$13)="",10^12,OFFSET(PLE!$G$15,$M42-$A$15,CA$13)))</f>
        <v>0</v>
      </c>
      <c r="CB42" s="172">
        <f t="array" aca="1" ref="CB42" ca="1">IF(OR($D42&lt;&gt;"Serviço",AND(AUTOEVENTO="Manual",$M42=$A$15),$M42&gt;(ROW(PLE.lastrow)-ROW(PLE.firstrow))),0,
           IF(OFFSET(PLE!$G$15,$M42-$A$15,CB$13)="",10^12,OFFSET(PLE!$G$15,$M42-$A$15,CB$13)))</f>
        <v>0</v>
      </c>
      <c r="CC42" s="172">
        <f t="array" aca="1" ref="CC42" ca="1">IF(OR($D42&lt;&gt;"Serviço",AND(AUTOEVENTO="Manual",$M42=$A$15),$M42&gt;(ROW(PLE.lastrow)-ROW(PLE.firstrow))),0,
           IF(OFFSET(PLE!$G$15,$M42-$A$15,CC$13)="",10^12,OFFSET(PLE!$G$15,$M42-$A$15,CC$13)))</f>
        <v>0</v>
      </c>
      <c r="CD42" s="172">
        <f t="array" aca="1" ref="CD42" ca="1">IF(OR($D42&lt;&gt;"Serviço",AND(AUTOEVENTO="Manual",$M42=$A$15),$M42&gt;(ROW(PLE.lastrow)-ROW(PLE.firstrow))),0,
           IF(OFFSET(PLE!$G$15,$M42-$A$15,CD$13)="",10^12,OFFSET(PLE!$G$15,$M42-$A$15,CD$13)))</f>
        <v>0</v>
      </c>
      <c r="CE42" s="172">
        <f t="array" aca="1" ref="CE42" ca="1">IF(OR($D42&lt;&gt;"Serviço",AND(AUTOEVENTO="Manual",$M42=$A$15),$M42&gt;(ROW(PLE.lastrow)-ROW(PLE.firstrow))),0,
           IF(OFFSET(PLE!$G$15,$M42-$A$15,CE$13)="",10^12,OFFSET(PLE!$G$15,$M42-$A$15,CE$13)))</f>
        <v>0</v>
      </c>
      <c r="CF42" s="172">
        <f t="array" aca="1" ref="CF42" ca="1">IF(OR($D42&lt;&gt;"Serviço",AND(AUTOEVENTO="Manual",$M42=$A$15),$M42&gt;(ROW(PLE.lastrow)-ROW(PLE.firstrow))),0,
           IF(OFFSET(PLE!$G$15,$M42-$A$15,CF$13)="",10^12,OFFSET(PLE!$G$15,$M42-$A$15,CF$13)))</f>
        <v>0</v>
      </c>
      <c r="CG42" s="172">
        <f t="array" aca="1" ref="CG42" ca="1">IF(OR($D42&lt;&gt;"Serviço",AND(AUTOEVENTO="Manual",$M42=$A$15),$M42&gt;(ROW(PLE.lastrow)-ROW(PLE.firstrow))),0,
           IF(OFFSET(PLE!$G$15,$M42-$A$15,CG$13)="",10^12,OFFSET(PLE!$G$15,$M42-$A$15,CG$13)))</f>
        <v>0</v>
      </c>
      <c r="CH42" s="172">
        <f t="array" aca="1" ref="CH42" ca="1">IF(OR($D42&lt;&gt;"Serviço",AND(AUTOEVENTO="Manual",$M42=$A$15),$M42&gt;(ROW(PLE.lastrow)-ROW(PLE.firstrow))),0,
           IF(OFFSET(PLE!$G$15,$M42-$A$15,CH$13)="",10^12,OFFSET(PLE!$G$15,$M42-$A$15,CH$13)))</f>
        <v>0</v>
      </c>
      <c r="CI42" s="172">
        <f t="array" aca="1" ref="CI42" ca="1">IF(OR($D42&lt;&gt;"Serviço",AND(AUTOEVENTO="Manual",$M42=$A$15),$M42&gt;(ROW(PLE.lastrow)-ROW(PLE.firstrow))),0,
           IF(OFFSET(PLE!$G$15,$M42-$A$15,CI$13)="",10^12,OFFSET(PLE!$G$15,$M42-$A$15,CI$13)))</f>
        <v>0</v>
      </c>
      <c r="CJ42" s="172">
        <f t="array" aca="1" ref="CJ42" ca="1">IF(OR($D42&lt;&gt;"Serviço",AND(AUTOEVENTO="Manual",$M42=$A$15),$M42&gt;(ROW(PLE.lastrow)-ROW(PLE.firstrow))),0,
           IF(OFFSET(PLE!$G$15,$M42-$A$15,CJ$13)="",10^12,OFFSET(PLE!$G$15,$M42-$A$15,CJ$13)))</f>
        <v>0</v>
      </c>
      <c r="CK42" s="172">
        <f t="array" aca="1" ref="CK42" ca="1">IF(OR($D42&lt;&gt;"Serviço",AND(AUTOEVENTO="Manual",$M42=$A$15),$M42&gt;(ROW(PLE.lastrow)-ROW(PLE.firstrow))),0,
           IF(OFFSET(PLE!$G$15,$M42-$A$15,CK$13)="",10^12,OFFSET(PLE!$G$15,$M42-$A$15,CK$13)))</f>
        <v>0</v>
      </c>
      <c r="CL42" s="172">
        <f t="array" aca="1" ref="CL42" ca="1">IF(OR($D42&lt;&gt;"Serviço",AND(AUTOEVENTO="Manual",$M42=$A$15),$M42&gt;(ROW(PLE.lastrow)-ROW(PLE.firstrow))),0,
           IF(OFFSET(PLE!$G$15,$M42-$A$15,CL$13)="",10^12,OFFSET(PLE!$G$15,$M42-$A$15,CL$13)))</f>
        <v>0</v>
      </c>
      <c r="CM42" s="172">
        <f t="array" aca="1" ref="CM42" ca="1">IF(OR($D42&lt;&gt;"Serviço",AND(AUTOEVENTO="Manual",$M42=$A$15),$M42&gt;(ROW(PLE.lastrow)-ROW(PLE.firstrow))),0,
           IF(OFFSET(PLE!$G$15,$M42-$A$15,CM$13)="",10^12,OFFSET(PLE!$G$15,$M42-$A$15,CM$13)))</f>
        <v>0</v>
      </c>
    </row>
    <row r="43" spans="1:91" s="696" customFormat="1" ht="51" x14ac:dyDescent="0.2">
      <c r="A43" s="694">
        <f t="shared" ca="1" si="10"/>
        <v>5</v>
      </c>
      <c r="B43" s="694" t="str">
        <f ca="1">OFFSET(ORÇAMENTO!C$15,$L43,0)</f>
        <v>S</v>
      </c>
      <c r="C43" s="694" t="str">
        <f ca="1">OFFSET(ORÇAMENTO!L$15,$L43,0)</f>
        <v>F</v>
      </c>
      <c r="D43" s="116" t="str">
        <f ca="1">OFFSET(ORÇAMENTO!N$15,$L43,0)</f>
        <v>Serviço</v>
      </c>
      <c r="E43" s="117" t="str">
        <f ca="1">OFFSET(ORÇAMENTO!O$15,$L43,0)</f>
        <v>1.5.1.</v>
      </c>
      <c r="F43" s="163" t="str">
        <f ca="1">OFFSET(ORÇAMENTO!R$15,$L43,0)</f>
        <v>ESCAVAÇÃO MANUAL PARA VIGA BALDRAME OU SAPATA CORRIDA (INCLUINDO ESCAVAÇÃO PARA COLOCAÇÃO DE FÔRMAS). AF_01/2024</v>
      </c>
      <c r="G43" s="164" t="str">
        <f ca="1">IF($D43&lt;&gt;"Serviço","",OFFSET(ORÇAMENTO!S$15,$L43,0))</f>
        <v>M3</v>
      </c>
      <c r="H43" s="122">
        <f t="array" aca="1" ref="H43" ca="1">IF($D43&lt;&gt;"Serviço",0,IF(ACOMPANHAMENTO="BM",ROUND(OFFSET(ORÇAMENTO!AJ$15,$L43,0),15-13*ORÇAMENTO!$AF$7),IF(IFERROR(CÁLCULO.FrentesPreenchidas,0)=0,0,SUM(ROUND(OFFSET($P43,0,1,1,CÁLCULO.FrentesPreenchidas),15-13*ORÇAMENTO!$AF$7)))))</f>
        <v>109.2</v>
      </c>
      <c r="I43" s="467" t="s">
        <v>1223</v>
      </c>
      <c r="J43" s="653" t="str">
        <f t="array" aca="1" ref="J43" ca="1">IF(OR(B43&lt;&gt;"S",CÁLCULO.FrentesPreenchidas=0),"",IF(AND(ACOMPANHAMENTO="PLE",AUTOEVENTO="Manual",OR(H43&gt;0,ORÇAMENTO!AC43="QUANT."),OR(K43="",M43=0,N43="")),"►E",IF(AND(ACOMPANHAMENTO="PLE",ORÇAMENTO!AC43="QUANT."),"►Q",IF(AND(ACOMPANHAMENTO="PLE",H43&lt;&gt;SUMPRODUCT(($Q$1:$AI$1=1)*ROUND(Q43:AI43,15))),"►S",IF(AND(COUNTIF($P$11:$AI$11,"▼")=0,H43&gt;0,I43=""),"◄M","")))))</f>
        <v/>
      </c>
      <c r="K43" s="654" t="s">
        <v>1384</v>
      </c>
      <c r="L43" s="165">
        <f t="shared" ca="1" si="11"/>
        <v>28</v>
      </c>
      <c r="M43" s="166">
        <f ca="1">IF($D43&lt;&gt;"Serviço","",
          IF(AUTOEVENTO="manual",$A43,
                IF(ISERROR(MATCH($A43,$A$15:OFFSET($A43,-1,0),0)),MAX($M$15:OFFSET(M43,-1,0))+1,
                      INDEX($M$15:OFFSET(M43,-1,0),MATCH($A43,$A$15:OFFSET($A43,-1,0),0)))))</f>
        <v>5</v>
      </c>
      <c r="N43" s="167" t="str">
        <f ca="1">IF($D43&lt;&gt;"Serviço","",
         IF(AUTOEVENTO="Manual",
                IF($A43=0,"&lt;-- defina o número do agrupador",
                       OFFSET(EVENTOS!$D$15,$A43-$A$15,0)),
                OFFSET($F$15,$A43,0)))</f>
        <v>BALDRAMES (ESCAVAÇÕES, FORMAS, AÇO, CONCRETAGEM)</v>
      </c>
      <c r="O43" s="168"/>
      <c r="Q43" s="169">
        <f>5.46*5</f>
        <v>27.3</v>
      </c>
      <c r="R43" s="169">
        <f t="shared" ref="R43:T43" si="20">5.46*5</f>
        <v>27.3</v>
      </c>
      <c r="S43" s="169">
        <f t="shared" si="20"/>
        <v>27.3</v>
      </c>
      <c r="T43" s="169">
        <f t="shared" si="20"/>
        <v>27.3</v>
      </c>
      <c r="U43" s="169"/>
      <c r="V43" s="169"/>
      <c r="W43" s="169"/>
      <c r="X43" s="169"/>
      <c r="Y43" s="169"/>
      <c r="Z43" s="170"/>
      <c r="AA43" s="169"/>
      <c r="AB43" s="169"/>
      <c r="AC43" s="169"/>
      <c r="AD43" s="169"/>
      <c r="AE43" s="169"/>
      <c r="AF43" s="169"/>
      <c r="AG43" s="169"/>
      <c r="AH43" s="170"/>
      <c r="AJ43" s="452">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3424.79</v>
      </c>
      <c r="AK43" s="452">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3424.79</v>
      </c>
      <c r="AL43" s="452">
        <f ca="1">IF(AND($D43="Serviço",AL$12&lt;&gt;0,$H43&gt;0,OR(AUTOEVENTO&lt;&gt;"manual",$M43&lt;&gt;$A$15)),
        IF(Import.TipoArredondamento&lt;&gt;"TransfereGOV",
              ROUND(OFFSET($P43,0,AL$13),15-13*ORÇAMENTO!$AF$7)/$H43*OFFSET(ORÇAMENTO!$X$15,ROW(AL43)-ROW(AL$15),0),
              ROUND(ROUND(OFFSET($P43,0,AL$13),15-13*ORÇAMENTO!$AF$7)*OFFSET(ORÇAMENTO!$W$15,ROW(AL43)-ROW(AL$15),0),15-13*ORÇAMENTO!$AF$11)),
         0)</f>
        <v>3424.79</v>
      </c>
      <c r="AM43" s="452">
        <f ca="1">IF(AND($D43="Serviço",AM$12&lt;&gt;0,$H43&gt;0,OR(AUTOEVENTO&lt;&gt;"manual",$M43&lt;&gt;$A$15)),
        IF(Import.TipoArredondamento&lt;&gt;"TransfereGOV",
              ROUND(OFFSET($P43,0,AM$13),15-13*ORÇAMENTO!$AF$7)/$H43*OFFSET(ORÇAMENTO!$X$15,ROW(AM43)-ROW(AM$15),0),
              ROUND(ROUND(OFFSET($P43,0,AM$13),15-13*ORÇAMENTO!$AF$7)*OFFSET(ORÇAMENTO!$W$15,ROW(AM43)-ROW(AM$15),0),15-13*ORÇAMENTO!$AF$11)),
         0)</f>
        <v>3424.79</v>
      </c>
      <c r="AN43" s="452">
        <f ca="1">IF(AND($D43="Serviço",AN$12&lt;&gt;0,$H43&gt;0,OR(AUTOEVENTO&lt;&gt;"manual",$M43&lt;&gt;$A$15)),
        IF(Import.TipoArredondamento&lt;&gt;"TransfereGOV",
              ROUND(OFFSET($P43,0,AN$13),15-13*ORÇAMENTO!$AF$7)/$H43*OFFSET(ORÇAMENTO!$X$15,ROW(AN43)-ROW(AN$15),0),
              ROUND(ROUND(OFFSET($P43,0,AN$13),15-13*ORÇAMENTO!$AF$7)*OFFSET(ORÇAMENTO!$W$15,ROW(AN43)-ROW(AN$15),0),15-13*ORÇAMENTO!$AF$11)),
         0)</f>
        <v>0</v>
      </c>
      <c r="AO43" s="452">
        <f ca="1">IF(AND($D43="Serviço",AO$12&lt;&gt;0,$H43&gt;0,OR(AUTOEVENTO&lt;&gt;"manual",$M43&lt;&gt;$A$15)),
        IF(Import.TipoArredondamento&lt;&gt;"TransfereGOV",
              ROUND(OFFSET($P43,0,AO$13),15-13*ORÇAMENTO!$AF$7)/$H43*OFFSET(ORÇAMENTO!$X$15,ROW(AO43)-ROW(AO$15),0),
              ROUND(ROUND(OFFSET($P43,0,AO$13),15-13*ORÇAMENTO!$AF$7)*OFFSET(ORÇAMENTO!$W$15,ROW(AO43)-ROW(AO$15),0),15-13*ORÇAMENTO!$AF$11)),
         0)</f>
        <v>0</v>
      </c>
      <c r="AP43" s="452">
        <f ca="1">IF(AND($D43="Serviço",AP$12&lt;&gt;0,$H43&gt;0,OR(AUTOEVENTO&lt;&gt;"manual",$M43&lt;&gt;$A$15)),
        IF(Import.TipoArredondamento&lt;&gt;"TransfereGOV",
              ROUND(OFFSET($P43,0,AP$13),15-13*ORÇAMENTO!$AF$7)/$H43*OFFSET(ORÇAMENTO!$X$15,ROW(AP43)-ROW(AP$15),0),
              ROUND(ROUND(OFFSET($P43,0,AP$13),15-13*ORÇAMENTO!$AF$7)*OFFSET(ORÇAMENTO!$W$15,ROW(AP43)-ROW(AP$15),0),15-13*ORÇAMENTO!$AF$11)),
         0)</f>
        <v>0</v>
      </c>
      <c r="AQ43" s="452">
        <f ca="1">IF(AND($D43="Serviço",AQ$12&lt;&gt;0,$H43&gt;0,OR(AUTOEVENTO&lt;&gt;"manual",$M43&lt;&gt;$A$15)),
        IF(Import.TipoArredondamento&lt;&gt;"TransfereGOV",
              ROUND(OFFSET($P43,0,AQ$13),15-13*ORÇAMENTO!$AF$7)/$H43*OFFSET(ORÇAMENTO!$X$15,ROW(AQ43)-ROW(AQ$15),0),
              ROUND(ROUND(OFFSET($P43,0,AQ$13),15-13*ORÇAMENTO!$AF$7)*OFFSET(ORÇAMENTO!$W$15,ROW(AQ43)-ROW(AQ$15),0),15-13*ORÇAMENTO!$AF$11)),
         0)</f>
        <v>0</v>
      </c>
      <c r="AR43" s="452">
        <f ca="1">IF(AND($D43="Serviço",AR$12&lt;&gt;0,$H43&gt;0,OR(AUTOEVENTO&lt;&gt;"manual",$M43&lt;&gt;$A$15)),
        IF(Import.TipoArredondamento&lt;&gt;"TransfereGOV",
              ROUND(OFFSET($P43,0,AR$13),15-13*ORÇAMENTO!$AF$7)/$H43*OFFSET(ORÇAMENTO!$X$15,ROW(AR43)-ROW(AR$15),0),
              ROUND(ROUND(OFFSET($P43,0,AR$13),15-13*ORÇAMENTO!$AF$7)*OFFSET(ORÇAMENTO!$W$15,ROW(AR43)-ROW(AR$15),0),15-13*ORÇAMENTO!$AF$11)),
         0)</f>
        <v>0</v>
      </c>
      <c r="AS43" s="452">
        <f ca="1">IF(AND($D43="Serviço",AS$12&lt;&gt;0,$H43&gt;0,OR(AUTOEVENTO&lt;&gt;"manual",$M43&lt;&gt;$A$15)),
        IF(Import.TipoArredondamento&lt;&gt;"TransfereGOV",
              ROUND(OFFSET($P43,0,AS$13),15-13*ORÇAMENTO!$AF$7)/$H43*OFFSET(ORÇAMENTO!$X$15,ROW(AS43)-ROW(AS$15),0),
              ROUND(ROUND(OFFSET($P43,0,AS$13),15-13*ORÇAMENTO!$AF$7)*OFFSET(ORÇAMENTO!$W$15,ROW(AS43)-ROW(AS$15),0),15-13*ORÇAMENTO!$AF$11)),
         0)</f>
        <v>0</v>
      </c>
      <c r="AT43" s="452">
        <f ca="1">IF(AND($D43="Serviço",AT$12&lt;&gt;0,$H43&gt;0,OR(AUTOEVENTO&lt;&gt;"manual",$M43&lt;&gt;$A$15)),
        IF(Import.TipoArredondamento&lt;&gt;"TransfereGOV",
              ROUND(OFFSET($P43,0,AT$13),15-13*ORÇAMENTO!$AF$7)/$H43*OFFSET(ORÇAMENTO!$X$15,ROW(AT43)-ROW(AT$15),0),
              ROUND(ROUND(OFFSET($P43,0,AT$13),15-13*ORÇAMENTO!$AF$7)*OFFSET(ORÇAMENTO!$W$15,ROW(AT43)-ROW(AT$15),0),15-13*ORÇAMENTO!$AF$11)),
         0)</f>
        <v>0</v>
      </c>
      <c r="AU43" s="452">
        <f ca="1">IF(AND($D43="Serviço",AU$12&lt;&gt;0,$H43&gt;0,OR(AUTOEVENTO&lt;&gt;"manual",$M43&lt;&gt;$A$15)),
        IF(Import.TipoArredondamento&lt;&gt;"TransfereGOV",
              ROUND(OFFSET($P43,0,AU$13),15-13*ORÇAMENTO!$AF$7)/$H43*OFFSET(ORÇAMENTO!$X$15,ROW(AU43)-ROW(AU$15),0),
              ROUND(ROUND(OFFSET($P43,0,AU$13),15-13*ORÇAMENTO!$AF$7)*OFFSET(ORÇAMENTO!$W$15,ROW(AU43)-ROW(AU$15),0),15-13*ORÇAMENTO!$AF$11)),
         0)</f>
        <v>0</v>
      </c>
      <c r="AV43" s="452">
        <f ca="1">IF(AND($D43="Serviço",AV$12&lt;&gt;0,$H43&gt;0,OR(AUTOEVENTO&lt;&gt;"manual",$M43&lt;&gt;$A$15)),
        IF(Import.TipoArredondamento&lt;&gt;"TransfereGOV",
              ROUND(OFFSET($P43,0,AV$13),15-13*ORÇAMENTO!$AF$7)/$H43*OFFSET(ORÇAMENTO!$X$15,ROW(AV43)-ROW(AV$15),0),
              ROUND(ROUND(OFFSET($P43,0,AV$13),15-13*ORÇAMENTO!$AF$7)*OFFSET(ORÇAMENTO!$W$15,ROW(AV43)-ROW(AV$15),0),15-13*ORÇAMENTO!$AF$11)),
         0)</f>
        <v>0</v>
      </c>
      <c r="AW43" s="452">
        <f ca="1">IF(AND($D43="Serviço",AW$12&lt;&gt;0,$H43&gt;0,OR(AUTOEVENTO&lt;&gt;"manual",$M43&lt;&gt;$A$15)),
        IF(Import.TipoArredondamento&lt;&gt;"TransfereGOV",
              ROUND(OFFSET($P43,0,AW$13),15-13*ORÇAMENTO!$AF$7)/$H43*OFFSET(ORÇAMENTO!$X$15,ROW(AW43)-ROW(AW$15),0),
              ROUND(ROUND(OFFSET($P43,0,AW$13),15-13*ORÇAMENTO!$AF$7)*OFFSET(ORÇAMENTO!$W$15,ROW(AW43)-ROW(AW$15),0),15-13*ORÇAMENTO!$AF$11)),
         0)</f>
        <v>0</v>
      </c>
      <c r="AX43" s="452">
        <f ca="1">IF(AND($D43="Serviço",AX$12&lt;&gt;0,$H43&gt;0,OR(AUTOEVENTO&lt;&gt;"manual",$M43&lt;&gt;$A$15)),
        IF(Import.TipoArredondamento&lt;&gt;"TransfereGOV",
              ROUND(OFFSET($P43,0,AX$13),15-13*ORÇAMENTO!$AF$7)/$H43*OFFSET(ORÇAMENTO!$X$15,ROW(AX43)-ROW(AX$15),0),
              ROUND(ROUND(OFFSET($P43,0,AX$13),15-13*ORÇAMENTO!$AF$7)*OFFSET(ORÇAMENTO!$W$15,ROW(AX43)-ROW(AX$15),0),15-13*ORÇAMENTO!$AF$11)),
         0)</f>
        <v>0</v>
      </c>
      <c r="AY43" s="452">
        <f ca="1">IF(AND($D43="Serviço",AY$12&lt;&gt;0,$H43&gt;0,OR(AUTOEVENTO&lt;&gt;"manual",$M43&lt;&gt;$A$15)),
        IF(Import.TipoArredondamento&lt;&gt;"TransfereGOV",
              ROUND(OFFSET($P43,0,AY$13),15-13*ORÇAMENTO!$AF$7)/$H43*OFFSET(ORÇAMENTO!$X$15,ROW(AY43)-ROW(AY$15),0),
              ROUND(ROUND(OFFSET($P43,0,AY$13),15-13*ORÇAMENTO!$AF$7)*OFFSET(ORÇAMENTO!$W$15,ROW(AY43)-ROW(AY$15),0),15-13*ORÇAMENTO!$AF$11)),
         0)</f>
        <v>0</v>
      </c>
      <c r="AZ43" s="452">
        <f ca="1">IF(AND($D43="Serviço",AZ$12&lt;&gt;0,$H43&gt;0,OR(AUTOEVENTO&lt;&gt;"manual",$M43&lt;&gt;$A$15)),
        IF(Import.TipoArredondamento&lt;&gt;"TransfereGOV",
              ROUND(OFFSET($P43,0,AZ$13),15-13*ORÇAMENTO!$AF$7)/$H43*OFFSET(ORÇAMENTO!$X$15,ROW(AZ43)-ROW(AZ$15),0),
              ROUND(ROUND(OFFSET($P43,0,AZ$13),15-13*ORÇAMENTO!$AF$7)*OFFSET(ORÇAMENTO!$W$15,ROW(AZ43)-ROW(AZ$15),0),15-13*ORÇAMENTO!$AF$11)),
         0)</f>
        <v>0</v>
      </c>
      <c r="BA43" s="452">
        <f ca="1">IF(AND($D43="Serviço",BA$12&lt;&gt;0,$H43&gt;0,OR(AUTOEVENTO&lt;&gt;"manual",$M43&lt;&gt;$A$15)),
        IF(Import.TipoArredondamento&lt;&gt;"TransfereGOV",
              ROUND(OFFSET($P43,0,BA$13),15-13*ORÇAMENTO!$AF$7)/$H43*OFFSET(ORÇAMENTO!$X$15,ROW(BA43)-ROW(BA$15),0),
              ROUND(ROUND(OFFSET($P43,0,BA$13),15-13*ORÇAMENTO!$AF$7)*OFFSET(ORÇAMENTO!$W$15,ROW(BA43)-ROW(BA$15),0),15-13*ORÇAMENTO!$AF$11)),
         0)</f>
        <v>0</v>
      </c>
      <c r="BC43" s="171">
        <f ca="1">IF(OR($D43&lt;&gt;"Serviço",AND(AUTOEVENTO="Manual",$M43=$A$15)),0,
         IF(OFFSET(CRONOPLE!$F$15,$M43-$A$15,BC$13)=0,10^12,OFFSET(CRONOPLE!$F$15,$M43-$A$15,BC$13)))</f>
        <v>2</v>
      </c>
      <c r="BD43" s="171">
        <f ca="1">IF(OR($D43&lt;&gt;"Serviço",AND(AUTOEVENTO="Manual",$M43=$A$15)),0,
         IF(OFFSET(CRONOPLE!$F$15,$M43-$A$15,BD$13)=0,10^12,OFFSET(CRONOPLE!$F$15,$M43-$A$15,BD$13)))</f>
        <v>2</v>
      </c>
      <c r="BE43" s="171">
        <f ca="1">IF(OR($D43&lt;&gt;"Serviço",AND(AUTOEVENTO="Manual",$M43=$A$15)),0,
         IF(OFFSET(CRONOPLE!$F$15,$M43-$A$15,BE$13)=0,10^12,OFFSET(CRONOPLE!$F$15,$M43-$A$15,BE$13)))</f>
        <v>3</v>
      </c>
      <c r="BF43" s="171">
        <f ca="1">IF(OR($D43&lt;&gt;"Serviço",AND(AUTOEVENTO="Manual",$M43=$A$15)),0,
         IF(OFFSET(CRONOPLE!$F$15,$M43-$A$15,BF$13)=0,10^12,OFFSET(CRONOPLE!$F$15,$M43-$A$15,BF$13)))</f>
        <v>4</v>
      </c>
      <c r="BG43" s="171">
        <f ca="1">IF(OR($D43&lt;&gt;"Serviço",AND(AUTOEVENTO="Manual",$M43=$A$15)),0,
         IF(OFFSET(CRONOPLE!$F$15,$M43-$A$15,BG$13)=0,10^12,OFFSET(CRONOPLE!$F$15,$M43-$A$15,BG$13)))</f>
        <v>4</v>
      </c>
      <c r="BH43" s="171">
        <f ca="1">IF(OR($D43&lt;&gt;"Serviço",AND(AUTOEVENTO="Manual",$M43=$A$15)),0,
         IF(OFFSET(CRONOPLE!$F$15,$M43-$A$15,BH$13)=0,10^12,OFFSET(CRONOPLE!$F$15,$M43-$A$15,BH$13)))</f>
        <v>1000000000000</v>
      </c>
      <c r="BI43" s="171">
        <f ca="1">IF(OR($D43&lt;&gt;"Serviço",AND(AUTOEVENTO="Manual",$M43=$A$15)),0,
         IF(OFFSET(CRONOPLE!$F$15,$M43-$A$15,BI$13)=0,10^12,OFFSET(CRONOPLE!$F$15,$M43-$A$15,BI$13)))</f>
        <v>1000000000000</v>
      </c>
      <c r="BJ43" s="171">
        <f ca="1">IF(OR($D43&lt;&gt;"Serviço",AND(AUTOEVENTO="Manual",$M43=$A$15)),0,
         IF(OFFSET(CRONOPLE!$F$15,$M43-$A$15,BJ$13)=0,10^12,OFFSET(CRONOPLE!$F$15,$M43-$A$15,BJ$13)))</f>
        <v>1000000000000</v>
      </c>
      <c r="BK43" s="171">
        <f ca="1">IF(OR($D43&lt;&gt;"Serviço",AND(AUTOEVENTO="Manual",$M43=$A$15)),0,
         IF(OFFSET(CRONOPLE!$F$15,$M43-$A$15,BK$13)=0,10^12,OFFSET(CRONOPLE!$F$15,$M43-$A$15,BK$13)))</f>
        <v>1000000000000</v>
      </c>
      <c r="BL43" s="171">
        <f ca="1">IF(OR($D43&lt;&gt;"Serviço",AND(AUTOEVENTO="Manual",$M43=$A$15)),0,
         IF(OFFSET(CRONOPLE!$F$15,$M43-$A$15,BL$13)=0,10^12,OFFSET(CRONOPLE!$F$15,$M43-$A$15,BL$13)))</f>
        <v>1000000000000</v>
      </c>
      <c r="BM43" s="171">
        <f ca="1">IF(OR($D43&lt;&gt;"Serviço",AND(AUTOEVENTO="Manual",$M43=$A$15)),0,
         IF(OFFSET(CRONOPLE!$F$15,$M43-$A$15,BM$13)=0,10^12,OFFSET(CRONOPLE!$F$15,$M43-$A$15,BM$13)))</f>
        <v>1000000000000</v>
      </c>
      <c r="BN43" s="171">
        <f ca="1">IF(OR($D43&lt;&gt;"Serviço",AND(AUTOEVENTO="Manual",$M43=$A$15)),0,
         IF(OFFSET(CRONOPLE!$F$15,$M43-$A$15,BN$13)=0,10^12,OFFSET(CRONOPLE!$F$15,$M43-$A$15,BN$13)))</f>
        <v>1000000000000</v>
      </c>
      <c r="BO43" s="171">
        <f ca="1">IF(OR($D43&lt;&gt;"Serviço",AND(AUTOEVENTO="Manual",$M43=$A$15)),0,
         IF(OFFSET(CRONOPLE!$F$15,$M43-$A$15,BO$13)=0,10^12,OFFSET(CRONOPLE!$F$15,$M43-$A$15,BO$13)))</f>
        <v>1000000000000</v>
      </c>
      <c r="BP43" s="171">
        <f ca="1">IF(OR($D43&lt;&gt;"Serviço",AND(AUTOEVENTO="Manual",$M43=$A$15)),0,
         IF(OFFSET(CRONOPLE!$F$15,$M43-$A$15,BP$13)=0,10^12,OFFSET(CRONOPLE!$F$15,$M43-$A$15,BP$13)))</f>
        <v>1000000000000</v>
      </c>
      <c r="BQ43" s="171">
        <f ca="1">IF(OR($D43&lt;&gt;"Serviço",AND(AUTOEVENTO="Manual",$M43=$A$15)),0,
         IF(OFFSET(CRONOPLE!$F$15,$M43-$A$15,BQ$13)=0,10^12,OFFSET(CRONOPLE!$F$15,$M43-$A$15,BQ$13)))</f>
        <v>1000000000000</v>
      </c>
      <c r="BR43" s="171">
        <f ca="1">IF(OR($D43&lt;&gt;"Serviço",AND(AUTOEVENTO="Manual",$M43=$A$15)),0,
         IF(OFFSET(CRONOPLE!$F$15,$M43-$A$15,BR$13)=0,10^12,OFFSET(CRONOPLE!$F$15,$M43-$A$15,BR$13)))</f>
        <v>1000000000000</v>
      </c>
      <c r="BS43" s="171">
        <f ca="1">IF(OR($D43&lt;&gt;"Serviço",AND(AUTOEVENTO="Manual",$M43=$A$15)),0,
         IF(OFFSET(CRONOPLE!$F$15,$M43-$A$15,BS$13)=0,10^12,OFFSET(CRONOPLE!$F$15,$M43-$A$15,BS$13)))</f>
        <v>1000000000000</v>
      </c>
      <c r="BT43" s="171">
        <f ca="1">IF(OR($D43&lt;&gt;"Serviço",AND(AUTOEVENTO="Manual",$M43=$A$15)),0,
         IF(OFFSET(CRONOPLE!$F$15,$M43-$A$15,BT$13)=0,10^12,OFFSET(CRONOPLE!$F$15,$M43-$A$15,BT$13)))</f>
        <v>1000000000000</v>
      </c>
      <c r="BV43" s="172">
        <f t="array" aca="1" ref="BV43" ca="1">IF(OR($D43&lt;&gt;"Serviço",AND(AUTOEVENTO="Manual",$M43=$A$15),$M43&gt;(ROW(PLE.lastrow)-ROW(PLE.firstrow))),0,
           IF(OFFSET(PLE!$G$15,$M43-$A$15,BV$13)="",10^12,OFFSET(PLE!$G$15,$M43-$A$15,BV$13)))</f>
        <v>1000000000000</v>
      </c>
      <c r="BW43" s="172">
        <f t="array" aca="1" ref="BW43" ca="1">IF(OR($D43&lt;&gt;"Serviço",AND(AUTOEVENTO="Manual",$M43=$A$15),$M43&gt;(ROW(PLE.lastrow)-ROW(PLE.firstrow))),0,
           IF(OFFSET(PLE!$G$15,$M43-$A$15,BW$13)="",10^12,OFFSET(PLE!$G$15,$M43-$A$15,BW$13)))</f>
        <v>1000000000000</v>
      </c>
      <c r="BX43" s="172">
        <f t="array" aca="1" ref="BX43" ca="1">IF(OR($D43&lt;&gt;"Serviço",AND(AUTOEVENTO="Manual",$M43=$A$15),$M43&gt;(ROW(PLE.lastrow)-ROW(PLE.firstrow))),0,
           IF(OFFSET(PLE!$G$15,$M43-$A$15,BX$13)="",10^12,OFFSET(PLE!$G$15,$M43-$A$15,BX$13)))</f>
        <v>1000000000000</v>
      </c>
      <c r="BY43" s="172">
        <f t="array" aca="1" ref="BY43" ca="1">IF(OR($D43&lt;&gt;"Serviço",AND(AUTOEVENTO="Manual",$M43=$A$15),$M43&gt;(ROW(PLE.lastrow)-ROW(PLE.firstrow))),0,
           IF(OFFSET(PLE!$G$15,$M43-$A$15,BY$13)="",10^12,OFFSET(PLE!$G$15,$M43-$A$15,BY$13)))</f>
        <v>1000000000000</v>
      </c>
      <c r="BZ43" s="172">
        <f t="array" aca="1" ref="BZ43" ca="1">IF(OR($D43&lt;&gt;"Serviço",AND(AUTOEVENTO="Manual",$M43=$A$15),$M43&gt;(ROW(PLE.lastrow)-ROW(PLE.firstrow))),0,
           IF(OFFSET(PLE!$G$15,$M43-$A$15,BZ$13)="",10^12,OFFSET(PLE!$G$15,$M43-$A$15,BZ$13)))</f>
        <v>1000000000000</v>
      </c>
      <c r="CA43" s="172">
        <f t="array" aca="1" ref="CA43" ca="1">IF(OR($D43&lt;&gt;"Serviço",AND(AUTOEVENTO="Manual",$M43=$A$15),$M43&gt;(ROW(PLE.lastrow)-ROW(PLE.firstrow))),0,
           IF(OFFSET(PLE!$G$15,$M43-$A$15,CA$13)="",10^12,OFFSET(PLE!$G$15,$M43-$A$15,CA$13)))</f>
        <v>1000000000000</v>
      </c>
      <c r="CB43" s="172">
        <f t="array" aca="1" ref="CB43" ca="1">IF(OR($D43&lt;&gt;"Serviço",AND(AUTOEVENTO="Manual",$M43=$A$15),$M43&gt;(ROW(PLE.lastrow)-ROW(PLE.firstrow))),0,
           IF(OFFSET(PLE!$G$15,$M43-$A$15,CB$13)="",10^12,OFFSET(PLE!$G$15,$M43-$A$15,CB$13)))</f>
        <v>1000000000000</v>
      </c>
      <c r="CC43" s="172">
        <f t="array" aca="1" ref="CC43" ca="1">IF(OR($D43&lt;&gt;"Serviço",AND(AUTOEVENTO="Manual",$M43=$A$15),$M43&gt;(ROW(PLE.lastrow)-ROW(PLE.firstrow))),0,
           IF(OFFSET(PLE!$G$15,$M43-$A$15,CC$13)="",10^12,OFFSET(PLE!$G$15,$M43-$A$15,CC$13)))</f>
        <v>1000000000000</v>
      </c>
      <c r="CD43" s="172">
        <f t="array" aca="1" ref="CD43" ca="1">IF(OR($D43&lt;&gt;"Serviço",AND(AUTOEVENTO="Manual",$M43=$A$15),$M43&gt;(ROW(PLE.lastrow)-ROW(PLE.firstrow))),0,
           IF(OFFSET(PLE!$G$15,$M43-$A$15,CD$13)="",10^12,OFFSET(PLE!$G$15,$M43-$A$15,CD$13)))</f>
        <v>1000000000000</v>
      </c>
      <c r="CE43" s="172">
        <f t="array" aca="1" ref="CE43" ca="1">IF(OR($D43&lt;&gt;"Serviço",AND(AUTOEVENTO="Manual",$M43=$A$15),$M43&gt;(ROW(PLE.lastrow)-ROW(PLE.firstrow))),0,
           IF(OFFSET(PLE!$G$15,$M43-$A$15,CE$13)="",10^12,OFFSET(PLE!$G$15,$M43-$A$15,CE$13)))</f>
        <v>1000000000000</v>
      </c>
      <c r="CF43" s="172">
        <f t="array" aca="1" ref="CF43" ca="1">IF(OR($D43&lt;&gt;"Serviço",AND(AUTOEVENTO="Manual",$M43=$A$15),$M43&gt;(ROW(PLE.lastrow)-ROW(PLE.firstrow))),0,
           IF(OFFSET(PLE!$G$15,$M43-$A$15,CF$13)="",10^12,OFFSET(PLE!$G$15,$M43-$A$15,CF$13)))</f>
        <v>1000000000000</v>
      </c>
      <c r="CG43" s="172">
        <f t="array" aca="1" ref="CG43" ca="1">IF(OR($D43&lt;&gt;"Serviço",AND(AUTOEVENTO="Manual",$M43=$A$15),$M43&gt;(ROW(PLE.lastrow)-ROW(PLE.firstrow))),0,
           IF(OFFSET(PLE!$G$15,$M43-$A$15,CG$13)="",10^12,OFFSET(PLE!$G$15,$M43-$A$15,CG$13)))</f>
        <v>1000000000000</v>
      </c>
      <c r="CH43" s="172">
        <f t="array" aca="1" ref="CH43" ca="1">IF(OR($D43&lt;&gt;"Serviço",AND(AUTOEVENTO="Manual",$M43=$A$15),$M43&gt;(ROW(PLE.lastrow)-ROW(PLE.firstrow))),0,
           IF(OFFSET(PLE!$G$15,$M43-$A$15,CH$13)="",10^12,OFFSET(PLE!$G$15,$M43-$A$15,CH$13)))</f>
        <v>1000000000000</v>
      </c>
      <c r="CI43" s="172">
        <f t="array" aca="1" ref="CI43" ca="1">IF(OR($D43&lt;&gt;"Serviço",AND(AUTOEVENTO="Manual",$M43=$A$15),$M43&gt;(ROW(PLE.lastrow)-ROW(PLE.firstrow))),0,
           IF(OFFSET(PLE!$G$15,$M43-$A$15,CI$13)="",10^12,OFFSET(PLE!$G$15,$M43-$A$15,CI$13)))</f>
        <v>1000000000000</v>
      </c>
      <c r="CJ43" s="172">
        <f t="array" aca="1" ref="CJ43" ca="1">IF(OR($D43&lt;&gt;"Serviço",AND(AUTOEVENTO="Manual",$M43=$A$15),$M43&gt;(ROW(PLE.lastrow)-ROW(PLE.firstrow))),0,
           IF(OFFSET(PLE!$G$15,$M43-$A$15,CJ$13)="",10^12,OFFSET(PLE!$G$15,$M43-$A$15,CJ$13)))</f>
        <v>1000000000000</v>
      </c>
      <c r="CK43" s="172">
        <f t="array" aca="1" ref="CK43" ca="1">IF(OR($D43&lt;&gt;"Serviço",AND(AUTOEVENTO="Manual",$M43=$A$15),$M43&gt;(ROW(PLE.lastrow)-ROW(PLE.firstrow))),0,
           IF(OFFSET(PLE!$G$15,$M43-$A$15,CK$13)="",10^12,OFFSET(PLE!$G$15,$M43-$A$15,CK$13)))</f>
        <v>1000000000000</v>
      </c>
      <c r="CL43" s="172">
        <f t="array" aca="1" ref="CL43" ca="1">IF(OR($D43&lt;&gt;"Serviço",AND(AUTOEVENTO="Manual",$M43=$A$15),$M43&gt;(ROW(PLE.lastrow)-ROW(PLE.firstrow))),0,
           IF(OFFSET(PLE!$G$15,$M43-$A$15,CL$13)="",10^12,OFFSET(PLE!$G$15,$M43-$A$15,CL$13)))</f>
        <v>1000000000000</v>
      </c>
      <c r="CM43" s="172">
        <f t="array" aca="1" ref="CM43" ca="1">IF(OR($D43&lt;&gt;"Serviço",AND(AUTOEVENTO="Manual",$M43=$A$15),$M43&gt;(ROW(PLE.lastrow)-ROW(PLE.firstrow))),0,
           IF(OFFSET(PLE!$G$15,$M43-$A$15,CM$13)="",10^12,OFFSET(PLE!$G$15,$M43-$A$15,CM$13)))</f>
        <v>1000000000000</v>
      </c>
    </row>
    <row r="44" spans="1:91" s="696" customFormat="1" ht="76.5" x14ac:dyDescent="0.2">
      <c r="A44" s="694">
        <f t="shared" ca="1" si="10"/>
        <v>5</v>
      </c>
      <c r="B44" s="694" t="str">
        <f ca="1">OFFSET(ORÇAMENTO!C$15,$L44,0)</f>
        <v>S</v>
      </c>
      <c r="C44" s="694" t="str">
        <f ca="1">OFFSET(ORÇAMENTO!L$15,$L44,0)</f>
        <v>F</v>
      </c>
      <c r="D44" s="116" t="str">
        <f ca="1">OFFSET(ORÇAMENTO!N$15,$L44,0)</f>
        <v>Serviço</v>
      </c>
      <c r="E44" s="117" t="str">
        <f ca="1">OFFSET(ORÇAMENTO!O$15,$L44,0)</f>
        <v>1.5.2.</v>
      </c>
      <c r="F44" s="163" t="str">
        <f ca="1">OFFSET(ORÇAMENTO!R$15,$L44,0)</f>
        <v>LASTRO DE CONCRETO MAGRO, APLICADO EM BLOCOS DE COROAMENTO OU SAPATAS, ESPESSURA DE 5 CM. AF_01/2024</v>
      </c>
      <c r="G44" s="164" t="str">
        <f ca="1">IF($D44&lt;&gt;"Serviço","",OFFSET(ORÇAMENTO!S$15,$L44,0))</f>
        <v>M2</v>
      </c>
      <c r="H44" s="122">
        <f t="array" aca="1" ref="H44" ca="1">IF($D44&lt;&gt;"Serviço",0,IF(ACOMPANHAMENTO="BM",ROUND(OFFSET(ORÇAMENTO!AJ$15,$L44,0),15-13*ORÇAMENTO!$AF$7),IF(IFERROR(CÁLCULO.FrentesPreenchidas,0)=0,0,SUM(ROUND(OFFSET($P44,0,1,1,CÁLCULO.FrentesPreenchidas),15-13*ORÇAMENTO!$AF$7)))))</f>
        <v>136.6</v>
      </c>
      <c r="I44" s="467" t="s">
        <v>1224</v>
      </c>
      <c r="J44" s="653" t="str">
        <f t="array" aca="1" ref="J44" ca="1">IF(OR(B44&lt;&gt;"S",CÁLCULO.FrentesPreenchidas=0),"",IF(AND(ACOMPANHAMENTO="PLE",AUTOEVENTO="Manual",OR(H44&gt;0,ORÇAMENTO!AC44="QUANT."),OR(K44="",M44=0,N44="")),"►E",IF(AND(ACOMPANHAMENTO="PLE",ORÇAMENTO!AC44="QUANT."),"►Q",IF(AND(ACOMPANHAMENTO="PLE",H44&lt;&gt;SUMPRODUCT(($Q$1:$AI$1=1)*ROUND(Q44:AI44,15))),"►S",IF(AND(COUNTIF($P$11:$AI$11,"▼")=0,H44&gt;0,I44=""),"◄M","")))))</f>
        <v/>
      </c>
      <c r="K44" s="654" t="s">
        <v>1384</v>
      </c>
      <c r="L44" s="165">
        <f t="shared" ca="1" si="11"/>
        <v>29</v>
      </c>
      <c r="M44" s="166">
        <f ca="1">IF($D44&lt;&gt;"Serviço","",
          IF(AUTOEVENTO="manual",$A44,
                IF(ISERROR(MATCH($A44,$A$15:OFFSET($A44,-1,0),0)),MAX($M$15:OFFSET(M44,-1,0))+1,
                      INDEX($M$15:OFFSET(M44,-1,0),MATCH($A44,$A$15:OFFSET($A44,-1,0),0)))))</f>
        <v>5</v>
      </c>
      <c r="N44" s="167" t="str">
        <f ca="1">IF($D44&lt;&gt;"Serviço","",
         IF(AUTOEVENTO="Manual",
                IF($A44=0,"&lt;-- defina o número do agrupador",
                       OFFSET(EVENTOS!$D$15,$A44-$A$15,0)),
                OFFSET($F$15,$A44,0)))</f>
        <v>BALDRAMES (ESCAVAÇÕES, FORMAS, AÇO, CONCRETAGEM)</v>
      </c>
      <c r="O44" s="168"/>
      <c r="Q44" s="169">
        <f>6.83*5</f>
        <v>34.15</v>
      </c>
      <c r="R44" s="169">
        <f t="shared" ref="R44:T44" si="21">6.83*5</f>
        <v>34.15</v>
      </c>
      <c r="S44" s="169">
        <f t="shared" si="21"/>
        <v>34.15</v>
      </c>
      <c r="T44" s="169">
        <f t="shared" si="21"/>
        <v>34.15</v>
      </c>
      <c r="U44" s="169"/>
      <c r="V44" s="169"/>
      <c r="W44" s="169"/>
      <c r="X44" s="169"/>
      <c r="Y44" s="169"/>
      <c r="Z44" s="170"/>
      <c r="AA44" s="169"/>
      <c r="AB44" s="169"/>
      <c r="AC44" s="169"/>
      <c r="AD44" s="169"/>
      <c r="AE44" s="169"/>
      <c r="AF44" s="169"/>
      <c r="AG44" s="169"/>
      <c r="AH44" s="170"/>
      <c r="AJ44" s="452">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1752.92</v>
      </c>
      <c r="AK44" s="452">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1752.92</v>
      </c>
      <c r="AL44" s="452">
        <f ca="1">IF(AND($D44="Serviço",AL$12&lt;&gt;0,$H44&gt;0,OR(AUTOEVENTO&lt;&gt;"manual",$M44&lt;&gt;$A$15)),
        IF(Import.TipoArredondamento&lt;&gt;"TransfereGOV",
              ROUND(OFFSET($P44,0,AL$13),15-13*ORÇAMENTO!$AF$7)/$H44*OFFSET(ORÇAMENTO!$X$15,ROW(AL44)-ROW(AL$15),0),
              ROUND(ROUND(OFFSET($P44,0,AL$13),15-13*ORÇAMENTO!$AF$7)*OFFSET(ORÇAMENTO!$W$15,ROW(AL44)-ROW(AL$15),0),15-13*ORÇAMENTO!$AF$11)),
         0)</f>
        <v>1752.92</v>
      </c>
      <c r="AM44" s="452">
        <f ca="1">IF(AND($D44="Serviço",AM$12&lt;&gt;0,$H44&gt;0,OR(AUTOEVENTO&lt;&gt;"manual",$M44&lt;&gt;$A$15)),
        IF(Import.TipoArredondamento&lt;&gt;"TransfereGOV",
              ROUND(OFFSET($P44,0,AM$13),15-13*ORÇAMENTO!$AF$7)/$H44*OFFSET(ORÇAMENTO!$X$15,ROW(AM44)-ROW(AM$15),0),
              ROUND(ROUND(OFFSET($P44,0,AM$13),15-13*ORÇAMENTO!$AF$7)*OFFSET(ORÇAMENTO!$W$15,ROW(AM44)-ROW(AM$15),0),15-13*ORÇAMENTO!$AF$11)),
         0)</f>
        <v>1752.92</v>
      </c>
      <c r="AN44" s="452">
        <f ca="1">IF(AND($D44="Serviço",AN$12&lt;&gt;0,$H44&gt;0,OR(AUTOEVENTO&lt;&gt;"manual",$M44&lt;&gt;$A$15)),
        IF(Import.TipoArredondamento&lt;&gt;"TransfereGOV",
              ROUND(OFFSET($P44,0,AN$13),15-13*ORÇAMENTO!$AF$7)/$H44*OFFSET(ORÇAMENTO!$X$15,ROW(AN44)-ROW(AN$15),0),
              ROUND(ROUND(OFFSET($P44,0,AN$13),15-13*ORÇAMENTO!$AF$7)*OFFSET(ORÇAMENTO!$W$15,ROW(AN44)-ROW(AN$15),0),15-13*ORÇAMENTO!$AF$11)),
         0)</f>
        <v>0</v>
      </c>
      <c r="AO44" s="452">
        <f ca="1">IF(AND($D44="Serviço",AO$12&lt;&gt;0,$H44&gt;0,OR(AUTOEVENTO&lt;&gt;"manual",$M44&lt;&gt;$A$15)),
        IF(Import.TipoArredondamento&lt;&gt;"TransfereGOV",
              ROUND(OFFSET($P44,0,AO$13),15-13*ORÇAMENTO!$AF$7)/$H44*OFFSET(ORÇAMENTO!$X$15,ROW(AO44)-ROW(AO$15),0),
              ROUND(ROUND(OFFSET($P44,0,AO$13),15-13*ORÇAMENTO!$AF$7)*OFFSET(ORÇAMENTO!$W$15,ROW(AO44)-ROW(AO$15),0),15-13*ORÇAMENTO!$AF$11)),
         0)</f>
        <v>0</v>
      </c>
      <c r="AP44" s="452">
        <f ca="1">IF(AND($D44="Serviço",AP$12&lt;&gt;0,$H44&gt;0,OR(AUTOEVENTO&lt;&gt;"manual",$M44&lt;&gt;$A$15)),
        IF(Import.TipoArredondamento&lt;&gt;"TransfereGOV",
              ROUND(OFFSET($P44,0,AP$13),15-13*ORÇAMENTO!$AF$7)/$H44*OFFSET(ORÇAMENTO!$X$15,ROW(AP44)-ROW(AP$15),0),
              ROUND(ROUND(OFFSET($P44,0,AP$13),15-13*ORÇAMENTO!$AF$7)*OFFSET(ORÇAMENTO!$W$15,ROW(AP44)-ROW(AP$15),0),15-13*ORÇAMENTO!$AF$11)),
         0)</f>
        <v>0</v>
      </c>
      <c r="AQ44" s="452">
        <f ca="1">IF(AND($D44="Serviço",AQ$12&lt;&gt;0,$H44&gt;0,OR(AUTOEVENTO&lt;&gt;"manual",$M44&lt;&gt;$A$15)),
        IF(Import.TipoArredondamento&lt;&gt;"TransfereGOV",
              ROUND(OFFSET($P44,0,AQ$13),15-13*ORÇAMENTO!$AF$7)/$H44*OFFSET(ORÇAMENTO!$X$15,ROW(AQ44)-ROW(AQ$15),0),
              ROUND(ROUND(OFFSET($P44,0,AQ$13),15-13*ORÇAMENTO!$AF$7)*OFFSET(ORÇAMENTO!$W$15,ROW(AQ44)-ROW(AQ$15),0),15-13*ORÇAMENTO!$AF$11)),
         0)</f>
        <v>0</v>
      </c>
      <c r="AR44" s="452">
        <f ca="1">IF(AND($D44="Serviço",AR$12&lt;&gt;0,$H44&gt;0,OR(AUTOEVENTO&lt;&gt;"manual",$M44&lt;&gt;$A$15)),
        IF(Import.TipoArredondamento&lt;&gt;"TransfereGOV",
              ROUND(OFFSET($P44,0,AR$13),15-13*ORÇAMENTO!$AF$7)/$H44*OFFSET(ORÇAMENTO!$X$15,ROW(AR44)-ROW(AR$15),0),
              ROUND(ROUND(OFFSET($P44,0,AR$13),15-13*ORÇAMENTO!$AF$7)*OFFSET(ORÇAMENTO!$W$15,ROW(AR44)-ROW(AR$15),0),15-13*ORÇAMENTO!$AF$11)),
         0)</f>
        <v>0</v>
      </c>
      <c r="AS44" s="452">
        <f ca="1">IF(AND($D44="Serviço",AS$12&lt;&gt;0,$H44&gt;0,OR(AUTOEVENTO&lt;&gt;"manual",$M44&lt;&gt;$A$15)),
        IF(Import.TipoArredondamento&lt;&gt;"TransfereGOV",
              ROUND(OFFSET($P44,0,AS$13),15-13*ORÇAMENTO!$AF$7)/$H44*OFFSET(ORÇAMENTO!$X$15,ROW(AS44)-ROW(AS$15),0),
              ROUND(ROUND(OFFSET($P44,0,AS$13),15-13*ORÇAMENTO!$AF$7)*OFFSET(ORÇAMENTO!$W$15,ROW(AS44)-ROW(AS$15),0),15-13*ORÇAMENTO!$AF$11)),
         0)</f>
        <v>0</v>
      </c>
      <c r="AT44" s="452">
        <f ca="1">IF(AND($D44="Serviço",AT$12&lt;&gt;0,$H44&gt;0,OR(AUTOEVENTO&lt;&gt;"manual",$M44&lt;&gt;$A$15)),
        IF(Import.TipoArredondamento&lt;&gt;"TransfereGOV",
              ROUND(OFFSET($P44,0,AT$13),15-13*ORÇAMENTO!$AF$7)/$H44*OFFSET(ORÇAMENTO!$X$15,ROW(AT44)-ROW(AT$15),0),
              ROUND(ROUND(OFFSET($P44,0,AT$13),15-13*ORÇAMENTO!$AF$7)*OFFSET(ORÇAMENTO!$W$15,ROW(AT44)-ROW(AT$15),0),15-13*ORÇAMENTO!$AF$11)),
         0)</f>
        <v>0</v>
      </c>
      <c r="AU44" s="452">
        <f ca="1">IF(AND($D44="Serviço",AU$12&lt;&gt;0,$H44&gt;0,OR(AUTOEVENTO&lt;&gt;"manual",$M44&lt;&gt;$A$15)),
        IF(Import.TipoArredondamento&lt;&gt;"TransfereGOV",
              ROUND(OFFSET($P44,0,AU$13),15-13*ORÇAMENTO!$AF$7)/$H44*OFFSET(ORÇAMENTO!$X$15,ROW(AU44)-ROW(AU$15),0),
              ROUND(ROUND(OFFSET($P44,0,AU$13),15-13*ORÇAMENTO!$AF$7)*OFFSET(ORÇAMENTO!$W$15,ROW(AU44)-ROW(AU$15),0),15-13*ORÇAMENTO!$AF$11)),
         0)</f>
        <v>0</v>
      </c>
      <c r="AV44" s="452">
        <f ca="1">IF(AND($D44="Serviço",AV$12&lt;&gt;0,$H44&gt;0,OR(AUTOEVENTO&lt;&gt;"manual",$M44&lt;&gt;$A$15)),
        IF(Import.TipoArredondamento&lt;&gt;"TransfereGOV",
              ROUND(OFFSET($P44,0,AV$13),15-13*ORÇAMENTO!$AF$7)/$H44*OFFSET(ORÇAMENTO!$X$15,ROW(AV44)-ROW(AV$15),0),
              ROUND(ROUND(OFFSET($P44,0,AV$13),15-13*ORÇAMENTO!$AF$7)*OFFSET(ORÇAMENTO!$W$15,ROW(AV44)-ROW(AV$15),0),15-13*ORÇAMENTO!$AF$11)),
         0)</f>
        <v>0</v>
      </c>
      <c r="AW44" s="452">
        <f ca="1">IF(AND($D44="Serviço",AW$12&lt;&gt;0,$H44&gt;0,OR(AUTOEVENTO&lt;&gt;"manual",$M44&lt;&gt;$A$15)),
        IF(Import.TipoArredondamento&lt;&gt;"TransfereGOV",
              ROUND(OFFSET($P44,0,AW$13),15-13*ORÇAMENTO!$AF$7)/$H44*OFFSET(ORÇAMENTO!$X$15,ROW(AW44)-ROW(AW$15),0),
              ROUND(ROUND(OFFSET($P44,0,AW$13),15-13*ORÇAMENTO!$AF$7)*OFFSET(ORÇAMENTO!$W$15,ROW(AW44)-ROW(AW$15),0),15-13*ORÇAMENTO!$AF$11)),
         0)</f>
        <v>0</v>
      </c>
      <c r="AX44" s="452">
        <f ca="1">IF(AND($D44="Serviço",AX$12&lt;&gt;0,$H44&gt;0,OR(AUTOEVENTO&lt;&gt;"manual",$M44&lt;&gt;$A$15)),
        IF(Import.TipoArredondamento&lt;&gt;"TransfereGOV",
              ROUND(OFFSET($P44,0,AX$13),15-13*ORÇAMENTO!$AF$7)/$H44*OFFSET(ORÇAMENTO!$X$15,ROW(AX44)-ROW(AX$15),0),
              ROUND(ROUND(OFFSET($P44,0,AX$13),15-13*ORÇAMENTO!$AF$7)*OFFSET(ORÇAMENTO!$W$15,ROW(AX44)-ROW(AX$15),0),15-13*ORÇAMENTO!$AF$11)),
         0)</f>
        <v>0</v>
      </c>
      <c r="AY44" s="452">
        <f ca="1">IF(AND($D44="Serviço",AY$12&lt;&gt;0,$H44&gt;0,OR(AUTOEVENTO&lt;&gt;"manual",$M44&lt;&gt;$A$15)),
        IF(Import.TipoArredondamento&lt;&gt;"TransfereGOV",
              ROUND(OFFSET($P44,0,AY$13),15-13*ORÇAMENTO!$AF$7)/$H44*OFFSET(ORÇAMENTO!$X$15,ROW(AY44)-ROW(AY$15),0),
              ROUND(ROUND(OFFSET($P44,0,AY$13),15-13*ORÇAMENTO!$AF$7)*OFFSET(ORÇAMENTO!$W$15,ROW(AY44)-ROW(AY$15),0),15-13*ORÇAMENTO!$AF$11)),
         0)</f>
        <v>0</v>
      </c>
      <c r="AZ44" s="452">
        <f ca="1">IF(AND($D44="Serviço",AZ$12&lt;&gt;0,$H44&gt;0,OR(AUTOEVENTO&lt;&gt;"manual",$M44&lt;&gt;$A$15)),
        IF(Import.TipoArredondamento&lt;&gt;"TransfereGOV",
              ROUND(OFFSET($P44,0,AZ$13),15-13*ORÇAMENTO!$AF$7)/$H44*OFFSET(ORÇAMENTO!$X$15,ROW(AZ44)-ROW(AZ$15),0),
              ROUND(ROUND(OFFSET($P44,0,AZ$13),15-13*ORÇAMENTO!$AF$7)*OFFSET(ORÇAMENTO!$W$15,ROW(AZ44)-ROW(AZ$15),0),15-13*ORÇAMENTO!$AF$11)),
         0)</f>
        <v>0</v>
      </c>
      <c r="BA44" s="452">
        <f ca="1">IF(AND($D44="Serviço",BA$12&lt;&gt;0,$H44&gt;0,OR(AUTOEVENTO&lt;&gt;"manual",$M44&lt;&gt;$A$15)),
        IF(Import.TipoArredondamento&lt;&gt;"TransfereGOV",
              ROUND(OFFSET($P44,0,BA$13),15-13*ORÇAMENTO!$AF$7)/$H44*OFFSET(ORÇAMENTO!$X$15,ROW(BA44)-ROW(BA$15),0),
              ROUND(ROUND(OFFSET($P44,0,BA$13),15-13*ORÇAMENTO!$AF$7)*OFFSET(ORÇAMENTO!$W$15,ROW(BA44)-ROW(BA$15),0),15-13*ORÇAMENTO!$AF$11)),
         0)</f>
        <v>0</v>
      </c>
      <c r="BC44" s="171">
        <f ca="1">IF(OR($D44&lt;&gt;"Serviço",AND(AUTOEVENTO="Manual",$M44=$A$15)),0,
         IF(OFFSET(CRONOPLE!$F$15,$M44-$A$15,BC$13)=0,10^12,OFFSET(CRONOPLE!$F$15,$M44-$A$15,BC$13)))</f>
        <v>2</v>
      </c>
      <c r="BD44" s="171">
        <f ca="1">IF(OR($D44&lt;&gt;"Serviço",AND(AUTOEVENTO="Manual",$M44=$A$15)),0,
         IF(OFFSET(CRONOPLE!$F$15,$M44-$A$15,BD$13)=0,10^12,OFFSET(CRONOPLE!$F$15,$M44-$A$15,BD$13)))</f>
        <v>2</v>
      </c>
      <c r="BE44" s="171">
        <f ca="1">IF(OR($D44&lt;&gt;"Serviço",AND(AUTOEVENTO="Manual",$M44=$A$15)),0,
         IF(OFFSET(CRONOPLE!$F$15,$M44-$A$15,BE$13)=0,10^12,OFFSET(CRONOPLE!$F$15,$M44-$A$15,BE$13)))</f>
        <v>3</v>
      </c>
      <c r="BF44" s="171">
        <f ca="1">IF(OR($D44&lt;&gt;"Serviço",AND(AUTOEVENTO="Manual",$M44=$A$15)),0,
         IF(OFFSET(CRONOPLE!$F$15,$M44-$A$15,BF$13)=0,10^12,OFFSET(CRONOPLE!$F$15,$M44-$A$15,BF$13)))</f>
        <v>4</v>
      </c>
      <c r="BG44" s="171">
        <f ca="1">IF(OR($D44&lt;&gt;"Serviço",AND(AUTOEVENTO="Manual",$M44=$A$15)),0,
         IF(OFFSET(CRONOPLE!$F$15,$M44-$A$15,BG$13)=0,10^12,OFFSET(CRONOPLE!$F$15,$M44-$A$15,BG$13)))</f>
        <v>4</v>
      </c>
      <c r="BH44" s="171">
        <f ca="1">IF(OR($D44&lt;&gt;"Serviço",AND(AUTOEVENTO="Manual",$M44=$A$15)),0,
         IF(OFFSET(CRONOPLE!$F$15,$M44-$A$15,BH$13)=0,10^12,OFFSET(CRONOPLE!$F$15,$M44-$A$15,BH$13)))</f>
        <v>1000000000000</v>
      </c>
      <c r="BI44" s="171">
        <f ca="1">IF(OR($D44&lt;&gt;"Serviço",AND(AUTOEVENTO="Manual",$M44=$A$15)),0,
         IF(OFFSET(CRONOPLE!$F$15,$M44-$A$15,BI$13)=0,10^12,OFFSET(CRONOPLE!$F$15,$M44-$A$15,BI$13)))</f>
        <v>1000000000000</v>
      </c>
      <c r="BJ44" s="171">
        <f ca="1">IF(OR($D44&lt;&gt;"Serviço",AND(AUTOEVENTO="Manual",$M44=$A$15)),0,
         IF(OFFSET(CRONOPLE!$F$15,$M44-$A$15,BJ$13)=0,10^12,OFFSET(CRONOPLE!$F$15,$M44-$A$15,BJ$13)))</f>
        <v>1000000000000</v>
      </c>
      <c r="BK44" s="171">
        <f ca="1">IF(OR($D44&lt;&gt;"Serviço",AND(AUTOEVENTO="Manual",$M44=$A$15)),0,
         IF(OFFSET(CRONOPLE!$F$15,$M44-$A$15,BK$13)=0,10^12,OFFSET(CRONOPLE!$F$15,$M44-$A$15,BK$13)))</f>
        <v>1000000000000</v>
      </c>
      <c r="BL44" s="171">
        <f ca="1">IF(OR($D44&lt;&gt;"Serviço",AND(AUTOEVENTO="Manual",$M44=$A$15)),0,
         IF(OFFSET(CRONOPLE!$F$15,$M44-$A$15,BL$13)=0,10^12,OFFSET(CRONOPLE!$F$15,$M44-$A$15,BL$13)))</f>
        <v>1000000000000</v>
      </c>
      <c r="BM44" s="171">
        <f ca="1">IF(OR($D44&lt;&gt;"Serviço",AND(AUTOEVENTO="Manual",$M44=$A$15)),0,
         IF(OFFSET(CRONOPLE!$F$15,$M44-$A$15,BM$13)=0,10^12,OFFSET(CRONOPLE!$F$15,$M44-$A$15,BM$13)))</f>
        <v>1000000000000</v>
      </c>
      <c r="BN44" s="171">
        <f ca="1">IF(OR($D44&lt;&gt;"Serviço",AND(AUTOEVENTO="Manual",$M44=$A$15)),0,
         IF(OFFSET(CRONOPLE!$F$15,$M44-$A$15,BN$13)=0,10^12,OFFSET(CRONOPLE!$F$15,$M44-$A$15,BN$13)))</f>
        <v>1000000000000</v>
      </c>
      <c r="BO44" s="171">
        <f ca="1">IF(OR($D44&lt;&gt;"Serviço",AND(AUTOEVENTO="Manual",$M44=$A$15)),0,
         IF(OFFSET(CRONOPLE!$F$15,$M44-$A$15,BO$13)=0,10^12,OFFSET(CRONOPLE!$F$15,$M44-$A$15,BO$13)))</f>
        <v>1000000000000</v>
      </c>
      <c r="BP44" s="171">
        <f ca="1">IF(OR($D44&lt;&gt;"Serviço",AND(AUTOEVENTO="Manual",$M44=$A$15)),0,
         IF(OFFSET(CRONOPLE!$F$15,$M44-$A$15,BP$13)=0,10^12,OFFSET(CRONOPLE!$F$15,$M44-$A$15,BP$13)))</f>
        <v>1000000000000</v>
      </c>
      <c r="BQ44" s="171">
        <f ca="1">IF(OR($D44&lt;&gt;"Serviço",AND(AUTOEVENTO="Manual",$M44=$A$15)),0,
         IF(OFFSET(CRONOPLE!$F$15,$M44-$A$15,BQ$13)=0,10^12,OFFSET(CRONOPLE!$F$15,$M44-$A$15,BQ$13)))</f>
        <v>1000000000000</v>
      </c>
      <c r="BR44" s="171">
        <f ca="1">IF(OR($D44&lt;&gt;"Serviço",AND(AUTOEVENTO="Manual",$M44=$A$15)),0,
         IF(OFFSET(CRONOPLE!$F$15,$M44-$A$15,BR$13)=0,10^12,OFFSET(CRONOPLE!$F$15,$M44-$A$15,BR$13)))</f>
        <v>1000000000000</v>
      </c>
      <c r="BS44" s="171">
        <f ca="1">IF(OR($D44&lt;&gt;"Serviço",AND(AUTOEVENTO="Manual",$M44=$A$15)),0,
         IF(OFFSET(CRONOPLE!$F$15,$M44-$A$15,BS$13)=0,10^12,OFFSET(CRONOPLE!$F$15,$M44-$A$15,BS$13)))</f>
        <v>1000000000000</v>
      </c>
      <c r="BT44" s="171">
        <f ca="1">IF(OR($D44&lt;&gt;"Serviço",AND(AUTOEVENTO="Manual",$M44=$A$15)),0,
         IF(OFFSET(CRONOPLE!$F$15,$M44-$A$15,BT$13)=0,10^12,OFFSET(CRONOPLE!$F$15,$M44-$A$15,BT$13)))</f>
        <v>1000000000000</v>
      </c>
      <c r="BV44" s="172">
        <f t="array" aca="1" ref="BV44" ca="1">IF(OR($D44&lt;&gt;"Serviço",AND(AUTOEVENTO="Manual",$M44=$A$15),$M44&gt;(ROW(PLE.lastrow)-ROW(PLE.firstrow))),0,
           IF(OFFSET(PLE!$G$15,$M44-$A$15,BV$13)="",10^12,OFFSET(PLE!$G$15,$M44-$A$15,BV$13)))</f>
        <v>1000000000000</v>
      </c>
      <c r="BW44" s="172">
        <f t="array" aca="1" ref="BW44" ca="1">IF(OR($D44&lt;&gt;"Serviço",AND(AUTOEVENTO="Manual",$M44=$A$15),$M44&gt;(ROW(PLE.lastrow)-ROW(PLE.firstrow))),0,
           IF(OFFSET(PLE!$G$15,$M44-$A$15,BW$13)="",10^12,OFFSET(PLE!$G$15,$M44-$A$15,BW$13)))</f>
        <v>1000000000000</v>
      </c>
      <c r="BX44" s="172">
        <f t="array" aca="1" ref="BX44" ca="1">IF(OR($D44&lt;&gt;"Serviço",AND(AUTOEVENTO="Manual",$M44=$A$15),$M44&gt;(ROW(PLE.lastrow)-ROW(PLE.firstrow))),0,
           IF(OFFSET(PLE!$G$15,$M44-$A$15,BX$13)="",10^12,OFFSET(PLE!$G$15,$M44-$A$15,BX$13)))</f>
        <v>1000000000000</v>
      </c>
      <c r="BY44" s="172">
        <f t="array" aca="1" ref="BY44" ca="1">IF(OR($D44&lt;&gt;"Serviço",AND(AUTOEVENTO="Manual",$M44=$A$15),$M44&gt;(ROW(PLE.lastrow)-ROW(PLE.firstrow))),0,
           IF(OFFSET(PLE!$G$15,$M44-$A$15,BY$13)="",10^12,OFFSET(PLE!$G$15,$M44-$A$15,BY$13)))</f>
        <v>1000000000000</v>
      </c>
      <c r="BZ44" s="172">
        <f t="array" aca="1" ref="BZ44" ca="1">IF(OR($D44&lt;&gt;"Serviço",AND(AUTOEVENTO="Manual",$M44=$A$15),$M44&gt;(ROW(PLE.lastrow)-ROW(PLE.firstrow))),0,
           IF(OFFSET(PLE!$G$15,$M44-$A$15,BZ$13)="",10^12,OFFSET(PLE!$G$15,$M44-$A$15,BZ$13)))</f>
        <v>1000000000000</v>
      </c>
      <c r="CA44" s="172">
        <f t="array" aca="1" ref="CA44" ca="1">IF(OR($D44&lt;&gt;"Serviço",AND(AUTOEVENTO="Manual",$M44=$A$15),$M44&gt;(ROW(PLE.lastrow)-ROW(PLE.firstrow))),0,
           IF(OFFSET(PLE!$G$15,$M44-$A$15,CA$13)="",10^12,OFFSET(PLE!$G$15,$M44-$A$15,CA$13)))</f>
        <v>1000000000000</v>
      </c>
      <c r="CB44" s="172">
        <f t="array" aca="1" ref="CB44" ca="1">IF(OR($D44&lt;&gt;"Serviço",AND(AUTOEVENTO="Manual",$M44=$A$15),$M44&gt;(ROW(PLE.lastrow)-ROW(PLE.firstrow))),0,
           IF(OFFSET(PLE!$G$15,$M44-$A$15,CB$13)="",10^12,OFFSET(PLE!$G$15,$M44-$A$15,CB$13)))</f>
        <v>1000000000000</v>
      </c>
      <c r="CC44" s="172">
        <f t="array" aca="1" ref="CC44" ca="1">IF(OR($D44&lt;&gt;"Serviço",AND(AUTOEVENTO="Manual",$M44=$A$15),$M44&gt;(ROW(PLE.lastrow)-ROW(PLE.firstrow))),0,
           IF(OFFSET(PLE!$G$15,$M44-$A$15,CC$13)="",10^12,OFFSET(PLE!$G$15,$M44-$A$15,CC$13)))</f>
        <v>1000000000000</v>
      </c>
      <c r="CD44" s="172">
        <f t="array" aca="1" ref="CD44" ca="1">IF(OR($D44&lt;&gt;"Serviço",AND(AUTOEVENTO="Manual",$M44=$A$15),$M44&gt;(ROW(PLE.lastrow)-ROW(PLE.firstrow))),0,
           IF(OFFSET(PLE!$G$15,$M44-$A$15,CD$13)="",10^12,OFFSET(PLE!$G$15,$M44-$A$15,CD$13)))</f>
        <v>1000000000000</v>
      </c>
      <c r="CE44" s="172">
        <f t="array" aca="1" ref="CE44" ca="1">IF(OR($D44&lt;&gt;"Serviço",AND(AUTOEVENTO="Manual",$M44=$A$15),$M44&gt;(ROW(PLE.lastrow)-ROW(PLE.firstrow))),0,
           IF(OFFSET(PLE!$G$15,$M44-$A$15,CE$13)="",10^12,OFFSET(PLE!$G$15,$M44-$A$15,CE$13)))</f>
        <v>1000000000000</v>
      </c>
      <c r="CF44" s="172">
        <f t="array" aca="1" ref="CF44" ca="1">IF(OR($D44&lt;&gt;"Serviço",AND(AUTOEVENTO="Manual",$M44=$A$15),$M44&gt;(ROW(PLE.lastrow)-ROW(PLE.firstrow))),0,
           IF(OFFSET(PLE!$G$15,$M44-$A$15,CF$13)="",10^12,OFFSET(PLE!$G$15,$M44-$A$15,CF$13)))</f>
        <v>1000000000000</v>
      </c>
      <c r="CG44" s="172">
        <f t="array" aca="1" ref="CG44" ca="1">IF(OR($D44&lt;&gt;"Serviço",AND(AUTOEVENTO="Manual",$M44=$A$15),$M44&gt;(ROW(PLE.lastrow)-ROW(PLE.firstrow))),0,
           IF(OFFSET(PLE!$G$15,$M44-$A$15,CG$13)="",10^12,OFFSET(PLE!$G$15,$M44-$A$15,CG$13)))</f>
        <v>1000000000000</v>
      </c>
      <c r="CH44" s="172">
        <f t="array" aca="1" ref="CH44" ca="1">IF(OR($D44&lt;&gt;"Serviço",AND(AUTOEVENTO="Manual",$M44=$A$15),$M44&gt;(ROW(PLE.lastrow)-ROW(PLE.firstrow))),0,
           IF(OFFSET(PLE!$G$15,$M44-$A$15,CH$13)="",10^12,OFFSET(PLE!$G$15,$M44-$A$15,CH$13)))</f>
        <v>1000000000000</v>
      </c>
      <c r="CI44" s="172">
        <f t="array" aca="1" ref="CI44" ca="1">IF(OR($D44&lt;&gt;"Serviço",AND(AUTOEVENTO="Manual",$M44=$A$15),$M44&gt;(ROW(PLE.lastrow)-ROW(PLE.firstrow))),0,
           IF(OFFSET(PLE!$G$15,$M44-$A$15,CI$13)="",10^12,OFFSET(PLE!$G$15,$M44-$A$15,CI$13)))</f>
        <v>1000000000000</v>
      </c>
      <c r="CJ44" s="172">
        <f t="array" aca="1" ref="CJ44" ca="1">IF(OR($D44&lt;&gt;"Serviço",AND(AUTOEVENTO="Manual",$M44=$A$15),$M44&gt;(ROW(PLE.lastrow)-ROW(PLE.firstrow))),0,
           IF(OFFSET(PLE!$G$15,$M44-$A$15,CJ$13)="",10^12,OFFSET(PLE!$G$15,$M44-$A$15,CJ$13)))</f>
        <v>1000000000000</v>
      </c>
      <c r="CK44" s="172">
        <f t="array" aca="1" ref="CK44" ca="1">IF(OR($D44&lt;&gt;"Serviço",AND(AUTOEVENTO="Manual",$M44=$A$15),$M44&gt;(ROW(PLE.lastrow)-ROW(PLE.firstrow))),0,
           IF(OFFSET(PLE!$G$15,$M44-$A$15,CK$13)="",10^12,OFFSET(PLE!$G$15,$M44-$A$15,CK$13)))</f>
        <v>1000000000000</v>
      </c>
      <c r="CL44" s="172">
        <f t="array" aca="1" ref="CL44" ca="1">IF(OR($D44&lt;&gt;"Serviço",AND(AUTOEVENTO="Manual",$M44=$A$15),$M44&gt;(ROW(PLE.lastrow)-ROW(PLE.firstrow))),0,
           IF(OFFSET(PLE!$G$15,$M44-$A$15,CL$13)="",10^12,OFFSET(PLE!$G$15,$M44-$A$15,CL$13)))</f>
        <v>1000000000000</v>
      </c>
      <c r="CM44" s="172">
        <f t="array" aca="1" ref="CM44" ca="1">IF(OR($D44&lt;&gt;"Serviço",AND(AUTOEVENTO="Manual",$M44=$A$15),$M44&gt;(ROW(PLE.lastrow)-ROW(PLE.firstrow))),0,
           IF(OFFSET(PLE!$G$15,$M44-$A$15,CM$13)="",10^12,OFFSET(PLE!$G$15,$M44-$A$15,CM$13)))</f>
        <v>1000000000000</v>
      </c>
    </row>
    <row r="45" spans="1:91" s="712" customFormat="1" ht="51" x14ac:dyDescent="0.2">
      <c r="A45" s="710">
        <f ca="1">IFERROR(IF(AUTOEVENTO="Manual",IF(K45&lt;&gt;"",MIN(VALUE(LEFT(K45,FIND(".",K45)-1)),COUNTA(EVENTOS.Lista)),0),IF(OR($B45&gt;AUTOEVENTO,$B45="S",$B45=0),SUBSTITUTE(OFFSET($A45,-1,0),IF($D45="Serviço",".",""),""),$L45&amp;".")),0)</f>
        <v>5</v>
      </c>
      <c r="B45" s="710" t="str">
        <f ca="1">OFFSET(ORÇAMENTO!C$15,$L45,0)</f>
        <v>S</v>
      </c>
      <c r="C45" s="710" t="str">
        <f ca="1">OFFSET(ORÇAMENTO!L$15,$L45,0)</f>
        <v>F</v>
      </c>
      <c r="D45" s="116" t="str">
        <f ca="1">OFFSET(ORÇAMENTO!N$15,$L45,0)</f>
        <v>Serviço</v>
      </c>
      <c r="E45" s="117" t="str">
        <f ca="1">OFFSET(ORÇAMENTO!O$15,$L45,0)</f>
        <v>1.5.3.</v>
      </c>
      <c r="F45" s="163" t="str">
        <f ca="1">OFFSET(ORÇAMENTO!R$15,$L45,0)</f>
        <v>FABRICAÇÃO, MONTAGEM E DESMONTAGEM DE FÔRMA PARA VIGA BALDRAME, EM MADEIRA SERRADA, E=25 MM, 4 UTILIZAÇÕES. AF_01/2024</v>
      </c>
      <c r="G45" s="164" t="str">
        <f ca="1">IF($D45&lt;&gt;"Serviço","",OFFSET(ORÇAMENTO!S$15,$L45,0))</f>
        <v>M2</v>
      </c>
      <c r="H45" s="122">
        <f t="array" aca="1" ref="H45" ca="1">IF($D45&lt;&gt;"Serviço",0,IF(ACOMPANHAMENTO="BM",ROUND(OFFSET(ORÇAMENTO!AJ$15,$L45,0),15-13*ORÇAMENTO!$AF$7),IF(IFERROR(CÁLCULO.FrentesPreenchidas,0)=0,0,SUM(ROUND(OFFSET($P45,0,1,1,CÁLCULO.FrentesPreenchidas),15-13*ORÇAMENTO!$AF$7)))))</f>
        <v>511.6</v>
      </c>
      <c r="I45" s="467" t="s">
        <v>1225</v>
      </c>
      <c r="J45" s="653" t="str">
        <f t="array" aca="1" ref="J45" ca="1">IF(OR(B45&lt;&gt;"S",CÁLCULO.FrentesPreenchidas=0),"",IF(AND(ACOMPANHAMENTO="PLE",AUTOEVENTO="Manual",OR(H45&gt;0,ORÇAMENTO!AC45="QUANT."),OR(K45="",M45=0,N45="")),"►E",IF(AND(ACOMPANHAMENTO="PLE",ORÇAMENTO!AC45="QUANT."),"►Q",IF(AND(ACOMPANHAMENTO="PLE",H45&lt;&gt;SUMPRODUCT(($Q$1:$AI$1=1)*ROUND(Q45:AI45,15))),"►S",IF(AND(COUNTIF($P$11:$AI$11,"▼")=0,H45&gt;0,I45=""),"◄M","")))))</f>
        <v/>
      </c>
      <c r="K45" s="654" t="s">
        <v>1384</v>
      </c>
      <c r="L45" s="165">
        <f ca="1">OFFSET(L45,-1,0)+1</f>
        <v>30</v>
      </c>
      <c r="M45" s="166">
        <f ca="1">IF($D45&lt;&gt;"Serviço","",
          IF(AUTOEVENTO="manual",$A45,
                IF(ISERROR(MATCH($A45,$A$15:OFFSET($A45,-1,0),0)),MAX($M$15:OFFSET(M45,-1,0))+1,
                      INDEX($M$15:OFFSET(M45,-1,0),MATCH($A45,$A$15:OFFSET($A45,-1,0),0)))))</f>
        <v>5</v>
      </c>
      <c r="N45" s="167" t="str">
        <f ca="1">IF($D45&lt;&gt;"Serviço","",
         IF(AUTOEVENTO="Manual",
                IF($A45=0,"&lt;-- defina o número do agrupador",
                       OFFSET(EVENTOS!$D$15,$A45-$A$15,0)),
                OFFSET($F$15,$A45,0)))</f>
        <v>BALDRAMES (ESCAVAÇÕES, FORMAS, AÇO, CONCRETAGEM)</v>
      </c>
      <c r="O45" s="168"/>
      <c r="Q45" s="168">
        <f>25.58*5</f>
        <v>127.89999999999999</v>
      </c>
      <c r="R45" s="168">
        <f t="shared" ref="R45:T45" si="22">25.58*5</f>
        <v>127.89999999999999</v>
      </c>
      <c r="S45" s="168">
        <f t="shared" si="22"/>
        <v>127.89999999999999</v>
      </c>
      <c r="T45" s="168">
        <f t="shared" si="22"/>
        <v>127.89999999999999</v>
      </c>
      <c r="U45" s="169"/>
      <c r="V45" s="169"/>
      <c r="W45" s="169"/>
      <c r="X45" s="169"/>
      <c r="Y45" s="169"/>
      <c r="Z45" s="170"/>
      <c r="AA45" s="169"/>
      <c r="AB45" s="169"/>
      <c r="AC45" s="169"/>
      <c r="AD45" s="169"/>
      <c r="AE45" s="169"/>
      <c r="AF45" s="169"/>
      <c r="AG45" s="169"/>
      <c r="AH45" s="170"/>
      <c r="AJ45" s="452">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10980.22</v>
      </c>
      <c r="AK45" s="452">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10980.22</v>
      </c>
      <c r="AL45" s="452">
        <f ca="1">IF(AND($D45="Serviço",AL$12&lt;&gt;0,$H45&gt;0,OR(AUTOEVENTO&lt;&gt;"manual",$M45&lt;&gt;$A$15)),
        IF(Import.TipoArredondamento&lt;&gt;"TransfereGOV",
              ROUND(OFFSET($P45,0,AL$13),15-13*ORÇAMENTO!$AF$7)/$H45*OFFSET(ORÇAMENTO!$X$15,ROW(AL45)-ROW(AL$15),0),
              ROUND(ROUND(OFFSET($P45,0,AL$13),15-13*ORÇAMENTO!$AF$7)*OFFSET(ORÇAMENTO!$W$15,ROW(AL45)-ROW(AL$15),0),15-13*ORÇAMENTO!$AF$11)),
         0)</f>
        <v>10980.22</v>
      </c>
      <c r="AM45" s="452">
        <f ca="1">IF(AND($D45="Serviço",AM$12&lt;&gt;0,$H45&gt;0,OR(AUTOEVENTO&lt;&gt;"manual",$M45&lt;&gt;$A$15)),
        IF(Import.TipoArredondamento&lt;&gt;"TransfereGOV",
              ROUND(OFFSET($P45,0,AM$13),15-13*ORÇAMENTO!$AF$7)/$H45*OFFSET(ORÇAMENTO!$X$15,ROW(AM45)-ROW(AM$15),0),
              ROUND(ROUND(OFFSET($P45,0,AM$13),15-13*ORÇAMENTO!$AF$7)*OFFSET(ORÇAMENTO!$W$15,ROW(AM45)-ROW(AM$15),0),15-13*ORÇAMENTO!$AF$11)),
         0)</f>
        <v>10980.22</v>
      </c>
      <c r="AN45" s="452">
        <f ca="1">IF(AND($D45="Serviço",AN$12&lt;&gt;0,$H45&gt;0,OR(AUTOEVENTO&lt;&gt;"manual",$M45&lt;&gt;$A$15)),
        IF(Import.TipoArredondamento&lt;&gt;"TransfereGOV",
              ROUND(OFFSET($P45,0,AN$13),15-13*ORÇAMENTO!$AF$7)/$H45*OFFSET(ORÇAMENTO!$X$15,ROW(AN45)-ROW(AN$15),0),
              ROUND(ROUND(OFFSET($P45,0,AN$13),15-13*ORÇAMENTO!$AF$7)*OFFSET(ORÇAMENTO!$W$15,ROW(AN45)-ROW(AN$15),0),15-13*ORÇAMENTO!$AF$11)),
         0)</f>
        <v>0</v>
      </c>
      <c r="AO45" s="452">
        <f ca="1">IF(AND($D45="Serviço",AO$12&lt;&gt;0,$H45&gt;0,OR(AUTOEVENTO&lt;&gt;"manual",$M45&lt;&gt;$A$15)),
        IF(Import.TipoArredondamento&lt;&gt;"TransfereGOV",
              ROUND(OFFSET($P45,0,AO$13),15-13*ORÇAMENTO!$AF$7)/$H45*OFFSET(ORÇAMENTO!$X$15,ROW(AO45)-ROW(AO$15),0),
              ROUND(ROUND(OFFSET($P45,0,AO$13),15-13*ORÇAMENTO!$AF$7)*OFFSET(ORÇAMENTO!$W$15,ROW(AO45)-ROW(AO$15),0),15-13*ORÇAMENTO!$AF$11)),
         0)</f>
        <v>0</v>
      </c>
      <c r="AP45" s="452">
        <f ca="1">IF(AND($D45="Serviço",AP$12&lt;&gt;0,$H45&gt;0,OR(AUTOEVENTO&lt;&gt;"manual",$M45&lt;&gt;$A$15)),
        IF(Import.TipoArredondamento&lt;&gt;"TransfereGOV",
              ROUND(OFFSET($P45,0,AP$13),15-13*ORÇAMENTO!$AF$7)/$H45*OFFSET(ORÇAMENTO!$X$15,ROW(AP45)-ROW(AP$15),0),
              ROUND(ROUND(OFFSET($P45,0,AP$13),15-13*ORÇAMENTO!$AF$7)*OFFSET(ORÇAMENTO!$W$15,ROW(AP45)-ROW(AP$15),0),15-13*ORÇAMENTO!$AF$11)),
         0)</f>
        <v>0</v>
      </c>
      <c r="AQ45" s="452">
        <f ca="1">IF(AND($D45="Serviço",AQ$12&lt;&gt;0,$H45&gt;0,OR(AUTOEVENTO&lt;&gt;"manual",$M45&lt;&gt;$A$15)),
        IF(Import.TipoArredondamento&lt;&gt;"TransfereGOV",
              ROUND(OFFSET($P45,0,AQ$13),15-13*ORÇAMENTO!$AF$7)/$H45*OFFSET(ORÇAMENTO!$X$15,ROW(AQ45)-ROW(AQ$15),0),
              ROUND(ROUND(OFFSET($P45,0,AQ$13),15-13*ORÇAMENTO!$AF$7)*OFFSET(ORÇAMENTO!$W$15,ROW(AQ45)-ROW(AQ$15),0),15-13*ORÇAMENTO!$AF$11)),
         0)</f>
        <v>0</v>
      </c>
      <c r="AR45" s="452">
        <f ca="1">IF(AND($D45="Serviço",AR$12&lt;&gt;0,$H45&gt;0,OR(AUTOEVENTO&lt;&gt;"manual",$M45&lt;&gt;$A$15)),
        IF(Import.TipoArredondamento&lt;&gt;"TransfereGOV",
              ROUND(OFFSET($P45,0,AR$13),15-13*ORÇAMENTO!$AF$7)/$H45*OFFSET(ORÇAMENTO!$X$15,ROW(AR45)-ROW(AR$15),0),
              ROUND(ROUND(OFFSET($P45,0,AR$13),15-13*ORÇAMENTO!$AF$7)*OFFSET(ORÇAMENTO!$W$15,ROW(AR45)-ROW(AR$15),0),15-13*ORÇAMENTO!$AF$11)),
         0)</f>
        <v>0</v>
      </c>
      <c r="AS45" s="452">
        <f ca="1">IF(AND($D45="Serviço",AS$12&lt;&gt;0,$H45&gt;0,OR(AUTOEVENTO&lt;&gt;"manual",$M45&lt;&gt;$A$15)),
        IF(Import.TipoArredondamento&lt;&gt;"TransfereGOV",
              ROUND(OFFSET($P45,0,AS$13),15-13*ORÇAMENTO!$AF$7)/$H45*OFFSET(ORÇAMENTO!$X$15,ROW(AS45)-ROW(AS$15),0),
              ROUND(ROUND(OFFSET($P45,0,AS$13),15-13*ORÇAMENTO!$AF$7)*OFFSET(ORÇAMENTO!$W$15,ROW(AS45)-ROW(AS$15),0),15-13*ORÇAMENTO!$AF$11)),
         0)</f>
        <v>0</v>
      </c>
      <c r="AT45" s="452">
        <f ca="1">IF(AND($D45="Serviço",AT$12&lt;&gt;0,$H45&gt;0,OR(AUTOEVENTO&lt;&gt;"manual",$M45&lt;&gt;$A$15)),
        IF(Import.TipoArredondamento&lt;&gt;"TransfereGOV",
              ROUND(OFFSET($P45,0,AT$13),15-13*ORÇAMENTO!$AF$7)/$H45*OFFSET(ORÇAMENTO!$X$15,ROW(AT45)-ROW(AT$15),0),
              ROUND(ROUND(OFFSET($P45,0,AT$13),15-13*ORÇAMENTO!$AF$7)*OFFSET(ORÇAMENTO!$W$15,ROW(AT45)-ROW(AT$15),0),15-13*ORÇAMENTO!$AF$11)),
         0)</f>
        <v>0</v>
      </c>
      <c r="AU45" s="452">
        <f ca="1">IF(AND($D45="Serviço",AU$12&lt;&gt;0,$H45&gt;0,OR(AUTOEVENTO&lt;&gt;"manual",$M45&lt;&gt;$A$15)),
        IF(Import.TipoArredondamento&lt;&gt;"TransfereGOV",
              ROUND(OFFSET($P45,0,AU$13),15-13*ORÇAMENTO!$AF$7)/$H45*OFFSET(ORÇAMENTO!$X$15,ROW(AU45)-ROW(AU$15),0),
              ROUND(ROUND(OFFSET($P45,0,AU$13),15-13*ORÇAMENTO!$AF$7)*OFFSET(ORÇAMENTO!$W$15,ROW(AU45)-ROW(AU$15),0),15-13*ORÇAMENTO!$AF$11)),
         0)</f>
        <v>0</v>
      </c>
      <c r="AV45" s="452">
        <f ca="1">IF(AND($D45="Serviço",AV$12&lt;&gt;0,$H45&gt;0,OR(AUTOEVENTO&lt;&gt;"manual",$M45&lt;&gt;$A$15)),
        IF(Import.TipoArredondamento&lt;&gt;"TransfereGOV",
              ROUND(OFFSET($P45,0,AV$13),15-13*ORÇAMENTO!$AF$7)/$H45*OFFSET(ORÇAMENTO!$X$15,ROW(AV45)-ROW(AV$15),0),
              ROUND(ROUND(OFFSET($P45,0,AV$13),15-13*ORÇAMENTO!$AF$7)*OFFSET(ORÇAMENTO!$W$15,ROW(AV45)-ROW(AV$15),0),15-13*ORÇAMENTO!$AF$11)),
         0)</f>
        <v>0</v>
      </c>
      <c r="AW45" s="452">
        <f ca="1">IF(AND($D45="Serviço",AW$12&lt;&gt;0,$H45&gt;0,OR(AUTOEVENTO&lt;&gt;"manual",$M45&lt;&gt;$A$15)),
        IF(Import.TipoArredondamento&lt;&gt;"TransfereGOV",
              ROUND(OFFSET($P45,0,AW$13),15-13*ORÇAMENTO!$AF$7)/$H45*OFFSET(ORÇAMENTO!$X$15,ROW(AW45)-ROW(AW$15),0),
              ROUND(ROUND(OFFSET($P45,0,AW$13),15-13*ORÇAMENTO!$AF$7)*OFFSET(ORÇAMENTO!$W$15,ROW(AW45)-ROW(AW$15),0),15-13*ORÇAMENTO!$AF$11)),
         0)</f>
        <v>0</v>
      </c>
      <c r="AX45" s="452">
        <f ca="1">IF(AND($D45="Serviço",AX$12&lt;&gt;0,$H45&gt;0,OR(AUTOEVENTO&lt;&gt;"manual",$M45&lt;&gt;$A$15)),
        IF(Import.TipoArredondamento&lt;&gt;"TransfereGOV",
              ROUND(OFFSET($P45,0,AX$13),15-13*ORÇAMENTO!$AF$7)/$H45*OFFSET(ORÇAMENTO!$X$15,ROW(AX45)-ROW(AX$15),0),
              ROUND(ROUND(OFFSET($P45,0,AX$13),15-13*ORÇAMENTO!$AF$7)*OFFSET(ORÇAMENTO!$W$15,ROW(AX45)-ROW(AX$15),0),15-13*ORÇAMENTO!$AF$11)),
         0)</f>
        <v>0</v>
      </c>
      <c r="AY45" s="452">
        <f ca="1">IF(AND($D45="Serviço",AY$12&lt;&gt;0,$H45&gt;0,OR(AUTOEVENTO&lt;&gt;"manual",$M45&lt;&gt;$A$15)),
        IF(Import.TipoArredondamento&lt;&gt;"TransfereGOV",
              ROUND(OFFSET($P45,0,AY$13),15-13*ORÇAMENTO!$AF$7)/$H45*OFFSET(ORÇAMENTO!$X$15,ROW(AY45)-ROW(AY$15),0),
              ROUND(ROUND(OFFSET($P45,0,AY$13),15-13*ORÇAMENTO!$AF$7)*OFFSET(ORÇAMENTO!$W$15,ROW(AY45)-ROW(AY$15),0),15-13*ORÇAMENTO!$AF$11)),
         0)</f>
        <v>0</v>
      </c>
      <c r="AZ45" s="452">
        <f ca="1">IF(AND($D45="Serviço",AZ$12&lt;&gt;0,$H45&gt;0,OR(AUTOEVENTO&lt;&gt;"manual",$M45&lt;&gt;$A$15)),
        IF(Import.TipoArredondamento&lt;&gt;"TransfereGOV",
              ROUND(OFFSET($P45,0,AZ$13),15-13*ORÇAMENTO!$AF$7)/$H45*OFFSET(ORÇAMENTO!$X$15,ROW(AZ45)-ROW(AZ$15),0),
              ROUND(ROUND(OFFSET($P45,0,AZ$13),15-13*ORÇAMENTO!$AF$7)*OFFSET(ORÇAMENTO!$W$15,ROW(AZ45)-ROW(AZ$15),0),15-13*ORÇAMENTO!$AF$11)),
         0)</f>
        <v>0</v>
      </c>
      <c r="BA45" s="452">
        <f ca="1">IF(AND($D45="Serviço",BA$12&lt;&gt;0,$H45&gt;0,OR(AUTOEVENTO&lt;&gt;"manual",$M45&lt;&gt;$A$15)),
        IF(Import.TipoArredondamento&lt;&gt;"TransfereGOV",
              ROUND(OFFSET($P45,0,BA$13),15-13*ORÇAMENTO!$AF$7)/$H45*OFFSET(ORÇAMENTO!$X$15,ROW(BA45)-ROW(BA$15),0),
              ROUND(ROUND(OFFSET($P45,0,BA$13),15-13*ORÇAMENTO!$AF$7)*OFFSET(ORÇAMENTO!$W$15,ROW(BA45)-ROW(BA$15),0),15-13*ORÇAMENTO!$AF$11)),
         0)</f>
        <v>0</v>
      </c>
      <c r="BC45" s="171">
        <f ca="1">IF(OR($D45&lt;&gt;"Serviço",AND(AUTOEVENTO="Manual",$M45=$A$15)),0,
         IF(OFFSET(CRONOPLE!$F$15,$M45-$A$15,BC$13)=0,10^12,OFFSET(CRONOPLE!$F$15,$M45-$A$15,BC$13)))</f>
        <v>2</v>
      </c>
      <c r="BD45" s="171">
        <f ca="1">IF(OR($D45&lt;&gt;"Serviço",AND(AUTOEVENTO="Manual",$M45=$A$15)),0,
         IF(OFFSET(CRONOPLE!$F$15,$M45-$A$15,BD$13)=0,10^12,OFFSET(CRONOPLE!$F$15,$M45-$A$15,BD$13)))</f>
        <v>2</v>
      </c>
      <c r="BE45" s="171">
        <f ca="1">IF(OR($D45&lt;&gt;"Serviço",AND(AUTOEVENTO="Manual",$M45=$A$15)),0,
         IF(OFFSET(CRONOPLE!$F$15,$M45-$A$15,BE$13)=0,10^12,OFFSET(CRONOPLE!$F$15,$M45-$A$15,BE$13)))</f>
        <v>3</v>
      </c>
      <c r="BF45" s="171">
        <f ca="1">IF(OR($D45&lt;&gt;"Serviço",AND(AUTOEVENTO="Manual",$M45=$A$15)),0,
         IF(OFFSET(CRONOPLE!$F$15,$M45-$A$15,BF$13)=0,10^12,OFFSET(CRONOPLE!$F$15,$M45-$A$15,BF$13)))</f>
        <v>4</v>
      </c>
      <c r="BG45" s="171">
        <f ca="1">IF(OR($D45&lt;&gt;"Serviço",AND(AUTOEVENTO="Manual",$M45=$A$15)),0,
         IF(OFFSET(CRONOPLE!$F$15,$M45-$A$15,BG$13)=0,10^12,OFFSET(CRONOPLE!$F$15,$M45-$A$15,BG$13)))</f>
        <v>4</v>
      </c>
      <c r="BH45" s="171">
        <f ca="1">IF(OR($D45&lt;&gt;"Serviço",AND(AUTOEVENTO="Manual",$M45=$A$15)),0,
         IF(OFFSET(CRONOPLE!$F$15,$M45-$A$15,BH$13)=0,10^12,OFFSET(CRONOPLE!$F$15,$M45-$A$15,BH$13)))</f>
        <v>1000000000000</v>
      </c>
      <c r="BI45" s="171">
        <f ca="1">IF(OR($D45&lt;&gt;"Serviço",AND(AUTOEVENTO="Manual",$M45=$A$15)),0,
         IF(OFFSET(CRONOPLE!$F$15,$M45-$A$15,BI$13)=0,10^12,OFFSET(CRONOPLE!$F$15,$M45-$A$15,BI$13)))</f>
        <v>1000000000000</v>
      </c>
      <c r="BJ45" s="171">
        <f ca="1">IF(OR($D45&lt;&gt;"Serviço",AND(AUTOEVENTO="Manual",$M45=$A$15)),0,
         IF(OFFSET(CRONOPLE!$F$15,$M45-$A$15,BJ$13)=0,10^12,OFFSET(CRONOPLE!$F$15,$M45-$A$15,BJ$13)))</f>
        <v>1000000000000</v>
      </c>
      <c r="BK45" s="171">
        <f ca="1">IF(OR($D45&lt;&gt;"Serviço",AND(AUTOEVENTO="Manual",$M45=$A$15)),0,
         IF(OFFSET(CRONOPLE!$F$15,$M45-$A$15,BK$13)=0,10^12,OFFSET(CRONOPLE!$F$15,$M45-$A$15,BK$13)))</f>
        <v>1000000000000</v>
      </c>
      <c r="BL45" s="171">
        <f ca="1">IF(OR($D45&lt;&gt;"Serviço",AND(AUTOEVENTO="Manual",$M45=$A$15)),0,
         IF(OFFSET(CRONOPLE!$F$15,$M45-$A$15,BL$13)=0,10^12,OFFSET(CRONOPLE!$F$15,$M45-$A$15,BL$13)))</f>
        <v>1000000000000</v>
      </c>
      <c r="BM45" s="171">
        <f ca="1">IF(OR($D45&lt;&gt;"Serviço",AND(AUTOEVENTO="Manual",$M45=$A$15)),0,
         IF(OFFSET(CRONOPLE!$F$15,$M45-$A$15,BM$13)=0,10^12,OFFSET(CRONOPLE!$F$15,$M45-$A$15,BM$13)))</f>
        <v>1000000000000</v>
      </c>
      <c r="BN45" s="171">
        <f ca="1">IF(OR($D45&lt;&gt;"Serviço",AND(AUTOEVENTO="Manual",$M45=$A$15)),0,
         IF(OFFSET(CRONOPLE!$F$15,$M45-$A$15,BN$13)=0,10^12,OFFSET(CRONOPLE!$F$15,$M45-$A$15,BN$13)))</f>
        <v>1000000000000</v>
      </c>
      <c r="BO45" s="171">
        <f ca="1">IF(OR($D45&lt;&gt;"Serviço",AND(AUTOEVENTO="Manual",$M45=$A$15)),0,
         IF(OFFSET(CRONOPLE!$F$15,$M45-$A$15,BO$13)=0,10^12,OFFSET(CRONOPLE!$F$15,$M45-$A$15,BO$13)))</f>
        <v>1000000000000</v>
      </c>
      <c r="BP45" s="171">
        <f ca="1">IF(OR($D45&lt;&gt;"Serviço",AND(AUTOEVENTO="Manual",$M45=$A$15)),0,
         IF(OFFSET(CRONOPLE!$F$15,$M45-$A$15,BP$13)=0,10^12,OFFSET(CRONOPLE!$F$15,$M45-$A$15,BP$13)))</f>
        <v>1000000000000</v>
      </c>
      <c r="BQ45" s="171">
        <f ca="1">IF(OR($D45&lt;&gt;"Serviço",AND(AUTOEVENTO="Manual",$M45=$A$15)),0,
         IF(OFFSET(CRONOPLE!$F$15,$M45-$A$15,BQ$13)=0,10^12,OFFSET(CRONOPLE!$F$15,$M45-$A$15,BQ$13)))</f>
        <v>1000000000000</v>
      </c>
      <c r="BR45" s="171">
        <f ca="1">IF(OR($D45&lt;&gt;"Serviço",AND(AUTOEVENTO="Manual",$M45=$A$15)),0,
         IF(OFFSET(CRONOPLE!$F$15,$M45-$A$15,BR$13)=0,10^12,OFFSET(CRONOPLE!$F$15,$M45-$A$15,BR$13)))</f>
        <v>1000000000000</v>
      </c>
      <c r="BS45" s="171">
        <f ca="1">IF(OR($D45&lt;&gt;"Serviço",AND(AUTOEVENTO="Manual",$M45=$A$15)),0,
         IF(OFFSET(CRONOPLE!$F$15,$M45-$A$15,BS$13)=0,10^12,OFFSET(CRONOPLE!$F$15,$M45-$A$15,BS$13)))</f>
        <v>1000000000000</v>
      </c>
      <c r="BT45" s="171">
        <f ca="1">IF(OR($D45&lt;&gt;"Serviço",AND(AUTOEVENTO="Manual",$M45=$A$15)),0,
         IF(OFFSET(CRONOPLE!$F$15,$M45-$A$15,BT$13)=0,10^12,OFFSET(CRONOPLE!$F$15,$M45-$A$15,BT$13)))</f>
        <v>1000000000000</v>
      </c>
      <c r="BV45" s="172">
        <f t="array" aca="1" ref="BV45" ca="1">IF(OR($D45&lt;&gt;"Serviço",AND(AUTOEVENTO="Manual",$M45=$A$15),$M45&gt;(ROW(PLE.lastrow)-ROW(PLE.firstrow))),0,
           IF(OFFSET(PLE!$G$15,$M45-$A$15,BV$13)="",10^12,OFFSET(PLE!$G$15,$M45-$A$15,BV$13)))</f>
        <v>1000000000000</v>
      </c>
      <c r="BW45" s="172">
        <f t="array" aca="1" ref="BW45" ca="1">IF(OR($D45&lt;&gt;"Serviço",AND(AUTOEVENTO="Manual",$M45=$A$15),$M45&gt;(ROW(PLE.lastrow)-ROW(PLE.firstrow))),0,
           IF(OFFSET(PLE!$G$15,$M45-$A$15,BW$13)="",10^12,OFFSET(PLE!$G$15,$M45-$A$15,BW$13)))</f>
        <v>1000000000000</v>
      </c>
      <c r="BX45" s="172">
        <f t="array" aca="1" ref="BX45" ca="1">IF(OR($D45&lt;&gt;"Serviço",AND(AUTOEVENTO="Manual",$M45=$A$15),$M45&gt;(ROW(PLE.lastrow)-ROW(PLE.firstrow))),0,
           IF(OFFSET(PLE!$G$15,$M45-$A$15,BX$13)="",10^12,OFFSET(PLE!$G$15,$M45-$A$15,BX$13)))</f>
        <v>1000000000000</v>
      </c>
      <c r="BY45" s="172">
        <f t="array" aca="1" ref="BY45" ca="1">IF(OR($D45&lt;&gt;"Serviço",AND(AUTOEVENTO="Manual",$M45=$A$15),$M45&gt;(ROW(PLE.lastrow)-ROW(PLE.firstrow))),0,
           IF(OFFSET(PLE!$G$15,$M45-$A$15,BY$13)="",10^12,OFFSET(PLE!$G$15,$M45-$A$15,BY$13)))</f>
        <v>1000000000000</v>
      </c>
      <c r="BZ45" s="172">
        <f t="array" aca="1" ref="BZ45" ca="1">IF(OR($D45&lt;&gt;"Serviço",AND(AUTOEVENTO="Manual",$M45=$A$15),$M45&gt;(ROW(PLE.lastrow)-ROW(PLE.firstrow))),0,
           IF(OFFSET(PLE!$G$15,$M45-$A$15,BZ$13)="",10^12,OFFSET(PLE!$G$15,$M45-$A$15,BZ$13)))</f>
        <v>1000000000000</v>
      </c>
      <c r="CA45" s="172">
        <f t="array" aca="1" ref="CA45" ca="1">IF(OR($D45&lt;&gt;"Serviço",AND(AUTOEVENTO="Manual",$M45=$A$15),$M45&gt;(ROW(PLE.lastrow)-ROW(PLE.firstrow))),0,
           IF(OFFSET(PLE!$G$15,$M45-$A$15,CA$13)="",10^12,OFFSET(PLE!$G$15,$M45-$A$15,CA$13)))</f>
        <v>1000000000000</v>
      </c>
      <c r="CB45" s="172">
        <f t="array" aca="1" ref="CB45" ca="1">IF(OR($D45&lt;&gt;"Serviço",AND(AUTOEVENTO="Manual",$M45=$A$15),$M45&gt;(ROW(PLE.lastrow)-ROW(PLE.firstrow))),0,
           IF(OFFSET(PLE!$G$15,$M45-$A$15,CB$13)="",10^12,OFFSET(PLE!$G$15,$M45-$A$15,CB$13)))</f>
        <v>1000000000000</v>
      </c>
      <c r="CC45" s="172">
        <f t="array" aca="1" ref="CC45" ca="1">IF(OR($D45&lt;&gt;"Serviço",AND(AUTOEVENTO="Manual",$M45=$A$15),$M45&gt;(ROW(PLE.lastrow)-ROW(PLE.firstrow))),0,
           IF(OFFSET(PLE!$G$15,$M45-$A$15,CC$13)="",10^12,OFFSET(PLE!$G$15,$M45-$A$15,CC$13)))</f>
        <v>1000000000000</v>
      </c>
      <c r="CD45" s="172">
        <f t="array" aca="1" ref="CD45" ca="1">IF(OR($D45&lt;&gt;"Serviço",AND(AUTOEVENTO="Manual",$M45=$A$15),$M45&gt;(ROW(PLE.lastrow)-ROW(PLE.firstrow))),0,
           IF(OFFSET(PLE!$G$15,$M45-$A$15,CD$13)="",10^12,OFFSET(PLE!$G$15,$M45-$A$15,CD$13)))</f>
        <v>1000000000000</v>
      </c>
      <c r="CE45" s="172">
        <f t="array" aca="1" ref="CE45" ca="1">IF(OR($D45&lt;&gt;"Serviço",AND(AUTOEVENTO="Manual",$M45=$A$15),$M45&gt;(ROW(PLE.lastrow)-ROW(PLE.firstrow))),0,
           IF(OFFSET(PLE!$G$15,$M45-$A$15,CE$13)="",10^12,OFFSET(PLE!$G$15,$M45-$A$15,CE$13)))</f>
        <v>1000000000000</v>
      </c>
      <c r="CF45" s="172">
        <f t="array" aca="1" ref="CF45" ca="1">IF(OR($D45&lt;&gt;"Serviço",AND(AUTOEVENTO="Manual",$M45=$A$15),$M45&gt;(ROW(PLE.lastrow)-ROW(PLE.firstrow))),0,
           IF(OFFSET(PLE!$G$15,$M45-$A$15,CF$13)="",10^12,OFFSET(PLE!$G$15,$M45-$A$15,CF$13)))</f>
        <v>1000000000000</v>
      </c>
      <c r="CG45" s="172">
        <f t="array" aca="1" ref="CG45" ca="1">IF(OR($D45&lt;&gt;"Serviço",AND(AUTOEVENTO="Manual",$M45=$A$15),$M45&gt;(ROW(PLE.lastrow)-ROW(PLE.firstrow))),0,
           IF(OFFSET(PLE!$G$15,$M45-$A$15,CG$13)="",10^12,OFFSET(PLE!$G$15,$M45-$A$15,CG$13)))</f>
        <v>1000000000000</v>
      </c>
      <c r="CH45" s="172">
        <f t="array" aca="1" ref="CH45" ca="1">IF(OR($D45&lt;&gt;"Serviço",AND(AUTOEVENTO="Manual",$M45=$A$15),$M45&gt;(ROW(PLE.lastrow)-ROW(PLE.firstrow))),0,
           IF(OFFSET(PLE!$G$15,$M45-$A$15,CH$13)="",10^12,OFFSET(PLE!$G$15,$M45-$A$15,CH$13)))</f>
        <v>1000000000000</v>
      </c>
      <c r="CI45" s="172">
        <f t="array" aca="1" ref="CI45" ca="1">IF(OR($D45&lt;&gt;"Serviço",AND(AUTOEVENTO="Manual",$M45=$A$15),$M45&gt;(ROW(PLE.lastrow)-ROW(PLE.firstrow))),0,
           IF(OFFSET(PLE!$G$15,$M45-$A$15,CI$13)="",10^12,OFFSET(PLE!$G$15,$M45-$A$15,CI$13)))</f>
        <v>1000000000000</v>
      </c>
      <c r="CJ45" s="172">
        <f t="array" aca="1" ref="CJ45" ca="1">IF(OR($D45&lt;&gt;"Serviço",AND(AUTOEVENTO="Manual",$M45=$A$15),$M45&gt;(ROW(PLE.lastrow)-ROW(PLE.firstrow))),0,
           IF(OFFSET(PLE!$G$15,$M45-$A$15,CJ$13)="",10^12,OFFSET(PLE!$G$15,$M45-$A$15,CJ$13)))</f>
        <v>1000000000000</v>
      </c>
      <c r="CK45" s="172">
        <f t="array" aca="1" ref="CK45" ca="1">IF(OR($D45&lt;&gt;"Serviço",AND(AUTOEVENTO="Manual",$M45=$A$15),$M45&gt;(ROW(PLE.lastrow)-ROW(PLE.firstrow))),0,
           IF(OFFSET(PLE!$G$15,$M45-$A$15,CK$13)="",10^12,OFFSET(PLE!$G$15,$M45-$A$15,CK$13)))</f>
        <v>1000000000000</v>
      </c>
      <c r="CL45" s="172">
        <f t="array" aca="1" ref="CL45" ca="1">IF(OR($D45&lt;&gt;"Serviço",AND(AUTOEVENTO="Manual",$M45=$A$15),$M45&gt;(ROW(PLE.lastrow)-ROW(PLE.firstrow))),0,
           IF(OFFSET(PLE!$G$15,$M45-$A$15,CL$13)="",10^12,OFFSET(PLE!$G$15,$M45-$A$15,CL$13)))</f>
        <v>1000000000000</v>
      </c>
      <c r="CM45" s="172">
        <f t="array" aca="1" ref="CM45" ca="1">IF(OR($D45&lt;&gt;"Serviço",AND(AUTOEVENTO="Manual",$M45=$A$15),$M45&gt;(ROW(PLE.lastrow)-ROW(PLE.firstrow))),0,
           IF(OFFSET(PLE!$G$15,$M45-$A$15,CM$13)="",10^12,OFFSET(PLE!$G$15,$M45-$A$15,CM$13)))</f>
        <v>1000000000000</v>
      </c>
    </row>
    <row r="46" spans="1:91" s="696" customFormat="1" ht="51" x14ac:dyDescent="0.2">
      <c r="A46" s="694">
        <f t="shared" ca="1" si="10"/>
        <v>5</v>
      </c>
      <c r="B46" s="694" t="str">
        <f ca="1">OFFSET(ORÇAMENTO!C$15,$L46,0)</f>
        <v>S</v>
      </c>
      <c r="C46" s="694" t="str">
        <f ca="1">OFFSET(ORÇAMENTO!L$15,$L46,0)</f>
        <v>F</v>
      </c>
      <c r="D46" s="116" t="str">
        <f ca="1">OFFSET(ORÇAMENTO!N$15,$L46,0)</f>
        <v>Serviço</v>
      </c>
      <c r="E46" s="117" t="str">
        <f ca="1">OFFSET(ORÇAMENTO!O$15,$L46,0)</f>
        <v>1.5.4.</v>
      </c>
      <c r="F46" s="163" t="str">
        <f ca="1">OFFSET(ORÇAMENTO!R$15,$L46,0)</f>
        <v>ARMAÇÃO DE SAPATA ISOLADA, VIGA BALDRAME E SAPATA CORRIDA UTILIZANDO AÇO CA-50 DE 8 MM - MONTAGEM. AF_01/2024</v>
      </c>
      <c r="G46" s="164" t="str">
        <f ca="1">IF($D46&lt;&gt;"Serviço","",OFFSET(ORÇAMENTO!S$15,$L46,0))</f>
        <v>KG</v>
      </c>
      <c r="H46" s="122">
        <f t="array" aca="1" ref="H46" ca="1">IF($D46&lt;&gt;"Serviço",0,IF(ACOMPANHAMENTO="BM",ROUND(OFFSET(ORÇAMENTO!AJ$15,$L46,0),15-13*ORÇAMENTO!$AF$7),IF(IFERROR(CÁLCULO.FrentesPreenchidas,0)=0,0,SUM(ROUND(OFFSET($P46,0,1,1,CÁLCULO.FrentesPreenchidas),15-13*ORÇAMENTO!$AF$7)))))</f>
        <v>1608</v>
      </c>
      <c r="I46" s="467" t="s">
        <v>1226</v>
      </c>
      <c r="J46" s="653" t="str">
        <f t="array" aca="1" ref="J46" ca="1">IF(OR(B46&lt;&gt;"S",CÁLCULO.FrentesPreenchidas=0),"",IF(AND(ACOMPANHAMENTO="PLE",AUTOEVENTO="Manual",OR(H46&gt;0,ORÇAMENTO!AC46="QUANT."),OR(K46="",M46=0,N46="")),"►E",IF(AND(ACOMPANHAMENTO="PLE",ORÇAMENTO!AC46="QUANT."),"►Q",IF(AND(ACOMPANHAMENTO="PLE",H46&lt;&gt;SUMPRODUCT(($Q$1:$AI$1=1)*ROUND(Q46:AI46,15))),"►S",IF(AND(COUNTIF($P$11:$AI$11,"▼")=0,H46&gt;0,I46=""),"◄M","")))))</f>
        <v/>
      </c>
      <c r="K46" s="654" t="s">
        <v>1384</v>
      </c>
      <c r="L46" s="165">
        <f t="shared" ca="1" si="11"/>
        <v>31</v>
      </c>
      <c r="M46" s="166">
        <f ca="1">IF($D46&lt;&gt;"Serviço","",
          IF(AUTOEVENTO="manual",$A46,
                IF(ISERROR(MATCH($A46,$A$15:OFFSET($A46,-1,0),0)),MAX($M$15:OFFSET(M46,-1,0))+1,
                      INDEX($M$15:OFFSET(M46,-1,0),MATCH($A46,$A$15:OFFSET($A46,-1,0),0)))))</f>
        <v>5</v>
      </c>
      <c r="N46" s="167" t="str">
        <f ca="1">IF($D46&lt;&gt;"Serviço","",
         IF(AUTOEVENTO="Manual",
                IF($A46=0,"&lt;-- defina o número do agrupador",
                       OFFSET(EVENTOS!$D$15,$A46-$A$15,0)),
                OFFSET($F$15,$A46,0)))</f>
        <v>BALDRAMES (ESCAVAÇÕES, FORMAS, AÇO, CONCRETAGEM)</v>
      </c>
      <c r="O46" s="168"/>
      <c r="Q46" s="169">
        <f>80.4*5</f>
        <v>402</v>
      </c>
      <c r="R46" s="169">
        <f t="shared" ref="R46:T46" si="23">80.4*5</f>
        <v>402</v>
      </c>
      <c r="S46" s="169">
        <f t="shared" si="23"/>
        <v>402</v>
      </c>
      <c r="T46" s="169">
        <f t="shared" si="23"/>
        <v>402</v>
      </c>
      <c r="U46" s="169"/>
      <c r="V46" s="169"/>
      <c r="W46" s="169"/>
      <c r="X46" s="169"/>
      <c r="Y46" s="169"/>
      <c r="Z46" s="170"/>
      <c r="AA46" s="169"/>
      <c r="AB46" s="169"/>
      <c r="AC46" s="169"/>
      <c r="AD46" s="169"/>
      <c r="AE46" s="169"/>
      <c r="AF46" s="169"/>
      <c r="AG46" s="169"/>
      <c r="AH46" s="170"/>
      <c r="AJ46" s="452">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6496.32</v>
      </c>
      <c r="AK46" s="452">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6496.32</v>
      </c>
      <c r="AL46" s="452">
        <f ca="1">IF(AND($D46="Serviço",AL$12&lt;&gt;0,$H46&gt;0,OR(AUTOEVENTO&lt;&gt;"manual",$M46&lt;&gt;$A$15)),
        IF(Import.TipoArredondamento&lt;&gt;"TransfereGOV",
              ROUND(OFFSET($P46,0,AL$13),15-13*ORÇAMENTO!$AF$7)/$H46*OFFSET(ORÇAMENTO!$X$15,ROW(AL46)-ROW(AL$15),0),
              ROUND(ROUND(OFFSET($P46,0,AL$13),15-13*ORÇAMENTO!$AF$7)*OFFSET(ORÇAMENTO!$W$15,ROW(AL46)-ROW(AL$15),0),15-13*ORÇAMENTO!$AF$11)),
         0)</f>
        <v>6496.32</v>
      </c>
      <c r="AM46" s="452">
        <f ca="1">IF(AND($D46="Serviço",AM$12&lt;&gt;0,$H46&gt;0,OR(AUTOEVENTO&lt;&gt;"manual",$M46&lt;&gt;$A$15)),
        IF(Import.TipoArredondamento&lt;&gt;"TransfereGOV",
              ROUND(OFFSET($P46,0,AM$13),15-13*ORÇAMENTO!$AF$7)/$H46*OFFSET(ORÇAMENTO!$X$15,ROW(AM46)-ROW(AM$15),0),
              ROUND(ROUND(OFFSET($P46,0,AM$13),15-13*ORÇAMENTO!$AF$7)*OFFSET(ORÇAMENTO!$W$15,ROW(AM46)-ROW(AM$15),0),15-13*ORÇAMENTO!$AF$11)),
         0)</f>
        <v>6496.32</v>
      </c>
      <c r="AN46" s="452">
        <f ca="1">IF(AND($D46="Serviço",AN$12&lt;&gt;0,$H46&gt;0,OR(AUTOEVENTO&lt;&gt;"manual",$M46&lt;&gt;$A$15)),
        IF(Import.TipoArredondamento&lt;&gt;"TransfereGOV",
              ROUND(OFFSET($P46,0,AN$13),15-13*ORÇAMENTO!$AF$7)/$H46*OFFSET(ORÇAMENTO!$X$15,ROW(AN46)-ROW(AN$15),0),
              ROUND(ROUND(OFFSET($P46,0,AN$13),15-13*ORÇAMENTO!$AF$7)*OFFSET(ORÇAMENTO!$W$15,ROW(AN46)-ROW(AN$15),0),15-13*ORÇAMENTO!$AF$11)),
         0)</f>
        <v>0</v>
      </c>
      <c r="AO46" s="452">
        <f ca="1">IF(AND($D46="Serviço",AO$12&lt;&gt;0,$H46&gt;0,OR(AUTOEVENTO&lt;&gt;"manual",$M46&lt;&gt;$A$15)),
        IF(Import.TipoArredondamento&lt;&gt;"TransfereGOV",
              ROUND(OFFSET($P46,0,AO$13),15-13*ORÇAMENTO!$AF$7)/$H46*OFFSET(ORÇAMENTO!$X$15,ROW(AO46)-ROW(AO$15),0),
              ROUND(ROUND(OFFSET($P46,0,AO$13),15-13*ORÇAMENTO!$AF$7)*OFFSET(ORÇAMENTO!$W$15,ROW(AO46)-ROW(AO$15),0),15-13*ORÇAMENTO!$AF$11)),
         0)</f>
        <v>0</v>
      </c>
      <c r="AP46" s="452">
        <f ca="1">IF(AND($D46="Serviço",AP$12&lt;&gt;0,$H46&gt;0,OR(AUTOEVENTO&lt;&gt;"manual",$M46&lt;&gt;$A$15)),
        IF(Import.TipoArredondamento&lt;&gt;"TransfereGOV",
              ROUND(OFFSET($P46,0,AP$13),15-13*ORÇAMENTO!$AF$7)/$H46*OFFSET(ORÇAMENTO!$X$15,ROW(AP46)-ROW(AP$15),0),
              ROUND(ROUND(OFFSET($P46,0,AP$13),15-13*ORÇAMENTO!$AF$7)*OFFSET(ORÇAMENTO!$W$15,ROW(AP46)-ROW(AP$15),0),15-13*ORÇAMENTO!$AF$11)),
         0)</f>
        <v>0</v>
      </c>
      <c r="AQ46" s="452">
        <f ca="1">IF(AND($D46="Serviço",AQ$12&lt;&gt;0,$H46&gt;0,OR(AUTOEVENTO&lt;&gt;"manual",$M46&lt;&gt;$A$15)),
        IF(Import.TipoArredondamento&lt;&gt;"TransfereGOV",
              ROUND(OFFSET($P46,0,AQ$13),15-13*ORÇAMENTO!$AF$7)/$H46*OFFSET(ORÇAMENTO!$X$15,ROW(AQ46)-ROW(AQ$15),0),
              ROUND(ROUND(OFFSET($P46,0,AQ$13),15-13*ORÇAMENTO!$AF$7)*OFFSET(ORÇAMENTO!$W$15,ROW(AQ46)-ROW(AQ$15),0),15-13*ORÇAMENTO!$AF$11)),
         0)</f>
        <v>0</v>
      </c>
      <c r="AR46" s="452">
        <f ca="1">IF(AND($D46="Serviço",AR$12&lt;&gt;0,$H46&gt;0,OR(AUTOEVENTO&lt;&gt;"manual",$M46&lt;&gt;$A$15)),
        IF(Import.TipoArredondamento&lt;&gt;"TransfereGOV",
              ROUND(OFFSET($P46,0,AR$13),15-13*ORÇAMENTO!$AF$7)/$H46*OFFSET(ORÇAMENTO!$X$15,ROW(AR46)-ROW(AR$15),0),
              ROUND(ROUND(OFFSET($P46,0,AR$13),15-13*ORÇAMENTO!$AF$7)*OFFSET(ORÇAMENTO!$W$15,ROW(AR46)-ROW(AR$15),0),15-13*ORÇAMENTO!$AF$11)),
         0)</f>
        <v>0</v>
      </c>
      <c r="AS46" s="452">
        <f ca="1">IF(AND($D46="Serviço",AS$12&lt;&gt;0,$H46&gt;0,OR(AUTOEVENTO&lt;&gt;"manual",$M46&lt;&gt;$A$15)),
        IF(Import.TipoArredondamento&lt;&gt;"TransfereGOV",
              ROUND(OFFSET($P46,0,AS$13),15-13*ORÇAMENTO!$AF$7)/$H46*OFFSET(ORÇAMENTO!$X$15,ROW(AS46)-ROW(AS$15),0),
              ROUND(ROUND(OFFSET($P46,0,AS$13),15-13*ORÇAMENTO!$AF$7)*OFFSET(ORÇAMENTO!$W$15,ROW(AS46)-ROW(AS$15),0),15-13*ORÇAMENTO!$AF$11)),
         0)</f>
        <v>0</v>
      </c>
      <c r="AT46" s="452">
        <f ca="1">IF(AND($D46="Serviço",AT$12&lt;&gt;0,$H46&gt;0,OR(AUTOEVENTO&lt;&gt;"manual",$M46&lt;&gt;$A$15)),
        IF(Import.TipoArredondamento&lt;&gt;"TransfereGOV",
              ROUND(OFFSET($P46,0,AT$13),15-13*ORÇAMENTO!$AF$7)/$H46*OFFSET(ORÇAMENTO!$X$15,ROW(AT46)-ROW(AT$15),0),
              ROUND(ROUND(OFFSET($P46,0,AT$13),15-13*ORÇAMENTO!$AF$7)*OFFSET(ORÇAMENTO!$W$15,ROW(AT46)-ROW(AT$15),0),15-13*ORÇAMENTO!$AF$11)),
         0)</f>
        <v>0</v>
      </c>
      <c r="AU46" s="452">
        <f ca="1">IF(AND($D46="Serviço",AU$12&lt;&gt;0,$H46&gt;0,OR(AUTOEVENTO&lt;&gt;"manual",$M46&lt;&gt;$A$15)),
        IF(Import.TipoArredondamento&lt;&gt;"TransfereGOV",
              ROUND(OFFSET($P46,0,AU$13),15-13*ORÇAMENTO!$AF$7)/$H46*OFFSET(ORÇAMENTO!$X$15,ROW(AU46)-ROW(AU$15),0),
              ROUND(ROUND(OFFSET($P46,0,AU$13),15-13*ORÇAMENTO!$AF$7)*OFFSET(ORÇAMENTO!$W$15,ROW(AU46)-ROW(AU$15),0),15-13*ORÇAMENTO!$AF$11)),
         0)</f>
        <v>0</v>
      </c>
      <c r="AV46" s="452">
        <f ca="1">IF(AND($D46="Serviço",AV$12&lt;&gt;0,$H46&gt;0,OR(AUTOEVENTO&lt;&gt;"manual",$M46&lt;&gt;$A$15)),
        IF(Import.TipoArredondamento&lt;&gt;"TransfereGOV",
              ROUND(OFFSET($P46,0,AV$13),15-13*ORÇAMENTO!$AF$7)/$H46*OFFSET(ORÇAMENTO!$X$15,ROW(AV46)-ROW(AV$15),0),
              ROUND(ROUND(OFFSET($P46,0,AV$13),15-13*ORÇAMENTO!$AF$7)*OFFSET(ORÇAMENTO!$W$15,ROW(AV46)-ROW(AV$15),0),15-13*ORÇAMENTO!$AF$11)),
         0)</f>
        <v>0</v>
      </c>
      <c r="AW46" s="452">
        <f ca="1">IF(AND($D46="Serviço",AW$12&lt;&gt;0,$H46&gt;0,OR(AUTOEVENTO&lt;&gt;"manual",$M46&lt;&gt;$A$15)),
        IF(Import.TipoArredondamento&lt;&gt;"TransfereGOV",
              ROUND(OFFSET($P46,0,AW$13),15-13*ORÇAMENTO!$AF$7)/$H46*OFFSET(ORÇAMENTO!$X$15,ROW(AW46)-ROW(AW$15),0),
              ROUND(ROUND(OFFSET($P46,0,AW$13),15-13*ORÇAMENTO!$AF$7)*OFFSET(ORÇAMENTO!$W$15,ROW(AW46)-ROW(AW$15),0),15-13*ORÇAMENTO!$AF$11)),
         0)</f>
        <v>0</v>
      </c>
      <c r="AX46" s="452">
        <f ca="1">IF(AND($D46="Serviço",AX$12&lt;&gt;0,$H46&gt;0,OR(AUTOEVENTO&lt;&gt;"manual",$M46&lt;&gt;$A$15)),
        IF(Import.TipoArredondamento&lt;&gt;"TransfereGOV",
              ROUND(OFFSET($P46,0,AX$13),15-13*ORÇAMENTO!$AF$7)/$H46*OFFSET(ORÇAMENTO!$X$15,ROW(AX46)-ROW(AX$15),0),
              ROUND(ROUND(OFFSET($P46,0,AX$13),15-13*ORÇAMENTO!$AF$7)*OFFSET(ORÇAMENTO!$W$15,ROW(AX46)-ROW(AX$15),0),15-13*ORÇAMENTO!$AF$11)),
         0)</f>
        <v>0</v>
      </c>
      <c r="AY46" s="452">
        <f ca="1">IF(AND($D46="Serviço",AY$12&lt;&gt;0,$H46&gt;0,OR(AUTOEVENTO&lt;&gt;"manual",$M46&lt;&gt;$A$15)),
        IF(Import.TipoArredondamento&lt;&gt;"TransfereGOV",
              ROUND(OFFSET($P46,0,AY$13),15-13*ORÇAMENTO!$AF$7)/$H46*OFFSET(ORÇAMENTO!$X$15,ROW(AY46)-ROW(AY$15),0),
              ROUND(ROUND(OFFSET($P46,0,AY$13),15-13*ORÇAMENTO!$AF$7)*OFFSET(ORÇAMENTO!$W$15,ROW(AY46)-ROW(AY$15),0),15-13*ORÇAMENTO!$AF$11)),
         0)</f>
        <v>0</v>
      </c>
      <c r="AZ46" s="452">
        <f ca="1">IF(AND($D46="Serviço",AZ$12&lt;&gt;0,$H46&gt;0,OR(AUTOEVENTO&lt;&gt;"manual",$M46&lt;&gt;$A$15)),
        IF(Import.TipoArredondamento&lt;&gt;"TransfereGOV",
              ROUND(OFFSET($P46,0,AZ$13),15-13*ORÇAMENTO!$AF$7)/$H46*OFFSET(ORÇAMENTO!$X$15,ROW(AZ46)-ROW(AZ$15),0),
              ROUND(ROUND(OFFSET($P46,0,AZ$13),15-13*ORÇAMENTO!$AF$7)*OFFSET(ORÇAMENTO!$W$15,ROW(AZ46)-ROW(AZ$15),0),15-13*ORÇAMENTO!$AF$11)),
         0)</f>
        <v>0</v>
      </c>
      <c r="BA46" s="452">
        <f ca="1">IF(AND($D46="Serviço",BA$12&lt;&gt;0,$H46&gt;0,OR(AUTOEVENTO&lt;&gt;"manual",$M46&lt;&gt;$A$15)),
        IF(Import.TipoArredondamento&lt;&gt;"TransfereGOV",
              ROUND(OFFSET($P46,0,BA$13),15-13*ORÇAMENTO!$AF$7)/$H46*OFFSET(ORÇAMENTO!$X$15,ROW(BA46)-ROW(BA$15),0),
              ROUND(ROUND(OFFSET($P46,0,BA$13),15-13*ORÇAMENTO!$AF$7)*OFFSET(ORÇAMENTO!$W$15,ROW(BA46)-ROW(BA$15),0),15-13*ORÇAMENTO!$AF$11)),
         0)</f>
        <v>0</v>
      </c>
      <c r="BC46" s="171">
        <f ca="1">IF(OR($D46&lt;&gt;"Serviço",AND(AUTOEVENTO="Manual",$M46=$A$15)),0,
         IF(OFFSET(CRONOPLE!$F$15,$M46-$A$15,BC$13)=0,10^12,OFFSET(CRONOPLE!$F$15,$M46-$A$15,BC$13)))</f>
        <v>2</v>
      </c>
      <c r="BD46" s="171">
        <f ca="1">IF(OR($D46&lt;&gt;"Serviço",AND(AUTOEVENTO="Manual",$M46=$A$15)),0,
         IF(OFFSET(CRONOPLE!$F$15,$M46-$A$15,BD$13)=0,10^12,OFFSET(CRONOPLE!$F$15,$M46-$A$15,BD$13)))</f>
        <v>2</v>
      </c>
      <c r="BE46" s="171">
        <f ca="1">IF(OR($D46&lt;&gt;"Serviço",AND(AUTOEVENTO="Manual",$M46=$A$15)),0,
         IF(OFFSET(CRONOPLE!$F$15,$M46-$A$15,BE$13)=0,10^12,OFFSET(CRONOPLE!$F$15,$M46-$A$15,BE$13)))</f>
        <v>3</v>
      </c>
      <c r="BF46" s="171">
        <f ca="1">IF(OR($D46&lt;&gt;"Serviço",AND(AUTOEVENTO="Manual",$M46=$A$15)),0,
         IF(OFFSET(CRONOPLE!$F$15,$M46-$A$15,BF$13)=0,10^12,OFFSET(CRONOPLE!$F$15,$M46-$A$15,BF$13)))</f>
        <v>4</v>
      </c>
      <c r="BG46" s="171">
        <f ca="1">IF(OR($D46&lt;&gt;"Serviço",AND(AUTOEVENTO="Manual",$M46=$A$15)),0,
         IF(OFFSET(CRONOPLE!$F$15,$M46-$A$15,BG$13)=0,10^12,OFFSET(CRONOPLE!$F$15,$M46-$A$15,BG$13)))</f>
        <v>4</v>
      </c>
      <c r="BH46" s="171">
        <f ca="1">IF(OR($D46&lt;&gt;"Serviço",AND(AUTOEVENTO="Manual",$M46=$A$15)),0,
         IF(OFFSET(CRONOPLE!$F$15,$M46-$A$15,BH$13)=0,10^12,OFFSET(CRONOPLE!$F$15,$M46-$A$15,BH$13)))</f>
        <v>1000000000000</v>
      </c>
      <c r="BI46" s="171">
        <f ca="1">IF(OR($D46&lt;&gt;"Serviço",AND(AUTOEVENTO="Manual",$M46=$A$15)),0,
         IF(OFFSET(CRONOPLE!$F$15,$M46-$A$15,BI$13)=0,10^12,OFFSET(CRONOPLE!$F$15,$M46-$A$15,BI$13)))</f>
        <v>1000000000000</v>
      </c>
      <c r="BJ46" s="171">
        <f ca="1">IF(OR($D46&lt;&gt;"Serviço",AND(AUTOEVENTO="Manual",$M46=$A$15)),0,
         IF(OFFSET(CRONOPLE!$F$15,$M46-$A$15,BJ$13)=0,10^12,OFFSET(CRONOPLE!$F$15,$M46-$A$15,BJ$13)))</f>
        <v>1000000000000</v>
      </c>
      <c r="BK46" s="171">
        <f ca="1">IF(OR($D46&lt;&gt;"Serviço",AND(AUTOEVENTO="Manual",$M46=$A$15)),0,
         IF(OFFSET(CRONOPLE!$F$15,$M46-$A$15,BK$13)=0,10^12,OFFSET(CRONOPLE!$F$15,$M46-$A$15,BK$13)))</f>
        <v>1000000000000</v>
      </c>
      <c r="BL46" s="171">
        <f ca="1">IF(OR($D46&lt;&gt;"Serviço",AND(AUTOEVENTO="Manual",$M46=$A$15)),0,
         IF(OFFSET(CRONOPLE!$F$15,$M46-$A$15,BL$13)=0,10^12,OFFSET(CRONOPLE!$F$15,$M46-$A$15,BL$13)))</f>
        <v>1000000000000</v>
      </c>
      <c r="BM46" s="171">
        <f ca="1">IF(OR($D46&lt;&gt;"Serviço",AND(AUTOEVENTO="Manual",$M46=$A$15)),0,
         IF(OFFSET(CRONOPLE!$F$15,$M46-$A$15,BM$13)=0,10^12,OFFSET(CRONOPLE!$F$15,$M46-$A$15,BM$13)))</f>
        <v>1000000000000</v>
      </c>
      <c r="BN46" s="171">
        <f ca="1">IF(OR($D46&lt;&gt;"Serviço",AND(AUTOEVENTO="Manual",$M46=$A$15)),0,
         IF(OFFSET(CRONOPLE!$F$15,$M46-$A$15,BN$13)=0,10^12,OFFSET(CRONOPLE!$F$15,$M46-$A$15,BN$13)))</f>
        <v>1000000000000</v>
      </c>
      <c r="BO46" s="171">
        <f ca="1">IF(OR($D46&lt;&gt;"Serviço",AND(AUTOEVENTO="Manual",$M46=$A$15)),0,
         IF(OFFSET(CRONOPLE!$F$15,$M46-$A$15,BO$13)=0,10^12,OFFSET(CRONOPLE!$F$15,$M46-$A$15,BO$13)))</f>
        <v>1000000000000</v>
      </c>
      <c r="BP46" s="171">
        <f ca="1">IF(OR($D46&lt;&gt;"Serviço",AND(AUTOEVENTO="Manual",$M46=$A$15)),0,
         IF(OFFSET(CRONOPLE!$F$15,$M46-$A$15,BP$13)=0,10^12,OFFSET(CRONOPLE!$F$15,$M46-$A$15,BP$13)))</f>
        <v>1000000000000</v>
      </c>
      <c r="BQ46" s="171">
        <f ca="1">IF(OR($D46&lt;&gt;"Serviço",AND(AUTOEVENTO="Manual",$M46=$A$15)),0,
         IF(OFFSET(CRONOPLE!$F$15,$M46-$A$15,BQ$13)=0,10^12,OFFSET(CRONOPLE!$F$15,$M46-$A$15,BQ$13)))</f>
        <v>1000000000000</v>
      </c>
      <c r="BR46" s="171">
        <f ca="1">IF(OR($D46&lt;&gt;"Serviço",AND(AUTOEVENTO="Manual",$M46=$A$15)),0,
         IF(OFFSET(CRONOPLE!$F$15,$M46-$A$15,BR$13)=0,10^12,OFFSET(CRONOPLE!$F$15,$M46-$A$15,BR$13)))</f>
        <v>1000000000000</v>
      </c>
      <c r="BS46" s="171">
        <f ca="1">IF(OR($D46&lt;&gt;"Serviço",AND(AUTOEVENTO="Manual",$M46=$A$15)),0,
         IF(OFFSET(CRONOPLE!$F$15,$M46-$A$15,BS$13)=0,10^12,OFFSET(CRONOPLE!$F$15,$M46-$A$15,BS$13)))</f>
        <v>1000000000000</v>
      </c>
      <c r="BT46" s="171">
        <f ca="1">IF(OR($D46&lt;&gt;"Serviço",AND(AUTOEVENTO="Manual",$M46=$A$15)),0,
         IF(OFFSET(CRONOPLE!$F$15,$M46-$A$15,BT$13)=0,10^12,OFFSET(CRONOPLE!$F$15,$M46-$A$15,BT$13)))</f>
        <v>1000000000000</v>
      </c>
      <c r="BV46" s="172">
        <f t="array" aca="1" ref="BV46" ca="1">IF(OR($D46&lt;&gt;"Serviço",AND(AUTOEVENTO="Manual",$M46=$A$15),$M46&gt;(ROW(PLE.lastrow)-ROW(PLE.firstrow))),0,
           IF(OFFSET(PLE!$G$15,$M46-$A$15,BV$13)="",10^12,OFFSET(PLE!$G$15,$M46-$A$15,BV$13)))</f>
        <v>1000000000000</v>
      </c>
      <c r="BW46" s="172">
        <f t="array" aca="1" ref="BW46" ca="1">IF(OR($D46&lt;&gt;"Serviço",AND(AUTOEVENTO="Manual",$M46=$A$15),$M46&gt;(ROW(PLE.lastrow)-ROW(PLE.firstrow))),0,
           IF(OFFSET(PLE!$G$15,$M46-$A$15,BW$13)="",10^12,OFFSET(PLE!$G$15,$M46-$A$15,BW$13)))</f>
        <v>1000000000000</v>
      </c>
      <c r="BX46" s="172">
        <f t="array" aca="1" ref="BX46" ca="1">IF(OR($D46&lt;&gt;"Serviço",AND(AUTOEVENTO="Manual",$M46=$A$15),$M46&gt;(ROW(PLE.lastrow)-ROW(PLE.firstrow))),0,
           IF(OFFSET(PLE!$G$15,$M46-$A$15,BX$13)="",10^12,OFFSET(PLE!$G$15,$M46-$A$15,BX$13)))</f>
        <v>1000000000000</v>
      </c>
      <c r="BY46" s="172">
        <f t="array" aca="1" ref="BY46" ca="1">IF(OR($D46&lt;&gt;"Serviço",AND(AUTOEVENTO="Manual",$M46=$A$15),$M46&gt;(ROW(PLE.lastrow)-ROW(PLE.firstrow))),0,
           IF(OFFSET(PLE!$G$15,$M46-$A$15,BY$13)="",10^12,OFFSET(PLE!$G$15,$M46-$A$15,BY$13)))</f>
        <v>1000000000000</v>
      </c>
      <c r="BZ46" s="172">
        <f t="array" aca="1" ref="BZ46" ca="1">IF(OR($D46&lt;&gt;"Serviço",AND(AUTOEVENTO="Manual",$M46=$A$15),$M46&gt;(ROW(PLE.lastrow)-ROW(PLE.firstrow))),0,
           IF(OFFSET(PLE!$G$15,$M46-$A$15,BZ$13)="",10^12,OFFSET(PLE!$G$15,$M46-$A$15,BZ$13)))</f>
        <v>1000000000000</v>
      </c>
      <c r="CA46" s="172">
        <f t="array" aca="1" ref="CA46" ca="1">IF(OR($D46&lt;&gt;"Serviço",AND(AUTOEVENTO="Manual",$M46=$A$15),$M46&gt;(ROW(PLE.lastrow)-ROW(PLE.firstrow))),0,
           IF(OFFSET(PLE!$G$15,$M46-$A$15,CA$13)="",10^12,OFFSET(PLE!$G$15,$M46-$A$15,CA$13)))</f>
        <v>1000000000000</v>
      </c>
      <c r="CB46" s="172">
        <f t="array" aca="1" ref="CB46" ca="1">IF(OR($D46&lt;&gt;"Serviço",AND(AUTOEVENTO="Manual",$M46=$A$15),$M46&gt;(ROW(PLE.lastrow)-ROW(PLE.firstrow))),0,
           IF(OFFSET(PLE!$G$15,$M46-$A$15,CB$13)="",10^12,OFFSET(PLE!$G$15,$M46-$A$15,CB$13)))</f>
        <v>1000000000000</v>
      </c>
      <c r="CC46" s="172">
        <f t="array" aca="1" ref="CC46" ca="1">IF(OR($D46&lt;&gt;"Serviço",AND(AUTOEVENTO="Manual",$M46=$A$15),$M46&gt;(ROW(PLE.lastrow)-ROW(PLE.firstrow))),0,
           IF(OFFSET(PLE!$G$15,$M46-$A$15,CC$13)="",10^12,OFFSET(PLE!$G$15,$M46-$A$15,CC$13)))</f>
        <v>1000000000000</v>
      </c>
      <c r="CD46" s="172">
        <f t="array" aca="1" ref="CD46" ca="1">IF(OR($D46&lt;&gt;"Serviço",AND(AUTOEVENTO="Manual",$M46=$A$15),$M46&gt;(ROW(PLE.lastrow)-ROW(PLE.firstrow))),0,
           IF(OFFSET(PLE!$G$15,$M46-$A$15,CD$13)="",10^12,OFFSET(PLE!$G$15,$M46-$A$15,CD$13)))</f>
        <v>1000000000000</v>
      </c>
      <c r="CE46" s="172">
        <f t="array" aca="1" ref="CE46" ca="1">IF(OR($D46&lt;&gt;"Serviço",AND(AUTOEVENTO="Manual",$M46=$A$15),$M46&gt;(ROW(PLE.lastrow)-ROW(PLE.firstrow))),0,
           IF(OFFSET(PLE!$G$15,$M46-$A$15,CE$13)="",10^12,OFFSET(PLE!$G$15,$M46-$A$15,CE$13)))</f>
        <v>1000000000000</v>
      </c>
      <c r="CF46" s="172">
        <f t="array" aca="1" ref="CF46" ca="1">IF(OR($D46&lt;&gt;"Serviço",AND(AUTOEVENTO="Manual",$M46=$A$15),$M46&gt;(ROW(PLE.lastrow)-ROW(PLE.firstrow))),0,
           IF(OFFSET(PLE!$G$15,$M46-$A$15,CF$13)="",10^12,OFFSET(PLE!$G$15,$M46-$A$15,CF$13)))</f>
        <v>1000000000000</v>
      </c>
      <c r="CG46" s="172">
        <f t="array" aca="1" ref="CG46" ca="1">IF(OR($D46&lt;&gt;"Serviço",AND(AUTOEVENTO="Manual",$M46=$A$15),$M46&gt;(ROW(PLE.lastrow)-ROW(PLE.firstrow))),0,
           IF(OFFSET(PLE!$G$15,$M46-$A$15,CG$13)="",10^12,OFFSET(PLE!$G$15,$M46-$A$15,CG$13)))</f>
        <v>1000000000000</v>
      </c>
      <c r="CH46" s="172">
        <f t="array" aca="1" ref="CH46" ca="1">IF(OR($D46&lt;&gt;"Serviço",AND(AUTOEVENTO="Manual",$M46=$A$15),$M46&gt;(ROW(PLE.lastrow)-ROW(PLE.firstrow))),0,
           IF(OFFSET(PLE!$G$15,$M46-$A$15,CH$13)="",10^12,OFFSET(PLE!$G$15,$M46-$A$15,CH$13)))</f>
        <v>1000000000000</v>
      </c>
      <c r="CI46" s="172">
        <f t="array" aca="1" ref="CI46" ca="1">IF(OR($D46&lt;&gt;"Serviço",AND(AUTOEVENTO="Manual",$M46=$A$15),$M46&gt;(ROW(PLE.lastrow)-ROW(PLE.firstrow))),0,
           IF(OFFSET(PLE!$G$15,$M46-$A$15,CI$13)="",10^12,OFFSET(PLE!$G$15,$M46-$A$15,CI$13)))</f>
        <v>1000000000000</v>
      </c>
      <c r="CJ46" s="172">
        <f t="array" aca="1" ref="CJ46" ca="1">IF(OR($D46&lt;&gt;"Serviço",AND(AUTOEVENTO="Manual",$M46=$A$15),$M46&gt;(ROW(PLE.lastrow)-ROW(PLE.firstrow))),0,
           IF(OFFSET(PLE!$G$15,$M46-$A$15,CJ$13)="",10^12,OFFSET(PLE!$G$15,$M46-$A$15,CJ$13)))</f>
        <v>1000000000000</v>
      </c>
      <c r="CK46" s="172">
        <f t="array" aca="1" ref="CK46" ca="1">IF(OR($D46&lt;&gt;"Serviço",AND(AUTOEVENTO="Manual",$M46=$A$15),$M46&gt;(ROW(PLE.lastrow)-ROW(PLE.firstrow))),0,
           IF(OFFSET(PLE!$G$15,$M46-$A$15,CK$13)="",10^12,OFFSET(PLE!$G$15,$M46-$A$15,CK$13)))</f>
        <v>1000000000000</v>
      </c>
      <c r="CL46" s="172">
        <f t="array" aca="1" ref="CL46" ca="1">IF(OR($D46&lt;&gt;"Serviço",AND(AUTOEVENTO="Manual",$M46=$A$15),$M46&gt;(ROW(PLE.lastrow)-ROW(PLE.firstrow))),0,
           IF(OFFSET(PLE!$G$15,$M46-$A$15,CL$13)="",10^12,OFFSET(PLE!$G$15,$M46-$A$15,CL$13)))</f>
        <v>1000000000000</v>
      </c>
      <c r="CM46" s="172">
        <f t="array" aca="1" ref="CM46" ca="1">IF(OR($D46&lt;&gt;"Serviço",AND(AUTOEVENTO="Manual",$M46=$A$15),$M46&gt;(ROW(PLE.lastrow)-ROW(PLE.firstrow))),0,
           IF(OFFSET(PLE!$G$15,$M46-$A$15,CM$13)="",10^12,OFFSET(PLE!$G$15,$M46-$A$15,CM$13)))</f>
        <v>1000000000000</v>
      </c>
    </row>
    <row r="47" spans="1:91" s="696" customFormat="1" ht="51" x14ac:dyDescent="0.2">
      <c r="A47" s="694">
        <f t="shared" ca="1" si="10"/>
        <v>5</v>
      </c>
      <c r="B47" s="694" t="str">
        <f ca="1">OFFSET(ORÇAMENTO!C$15,$L47,0)</f>
        <v>S</v>
      </c>
      <c r="C47" s="694" t="str">
        <f ca="1">OFFSET(ORÇAMENTO!L$15,$L47,0)</f>
        <v>F</v>
      </c>
      <c r="D47" s="116" t="str">
        <f ca="1">OFFSET(ORÇAMENTO!N$15,$L47,0)</f>
        <v>Serviço</v>
      </c>
      <c r="E47" s="117" t="str">
        <f ca="1">OFFSET(ORÇAMENTO!O$15,$L47,0)</f>
        <v>1.5.5.</v>
      </c>
      <c r="F47" s="163" t="str">
        <f ca="1">OFFSET(ORÇAMENTO!R$15,$L47,0)</f>
        <v>ARMAÇÃO DE SAPATA ISOLADA, VIGA BALDRAME E SAPATA CORRIDA UTILIZANDO AÇO CA-50 DE 6,3 MM - MONTAGEM. AF_01/2024</v>
      </c>
      <c r="G47" s="164" t="str">
        <f ca="1">IF($D47&lt;&gt;"Serviço","",OFFSET(ORÇAMENTO!S$15,$L47,0))</f>
        <v>KG</v>
      </c>
      <c r="H47" s="122">
        <f t="array" aca="1" ref="H47" ca="1">IF($D47&lt;&gt;"Serviço",0,IF(ACOMPANHAMENTO="BM",ROUND(OFFSET(ORÇAMENTO!AJ$15,$L47,0),15-13*ORÇAMENTO!$AF$7),IF(IFERROR(CÁLCULO.FrentesPreenchidas,0)=0,0,SUM(ROUND(OFFSET($P47,0,1,1,CÁLCULO.FrentesPreenchidas),15-13*ORÇAMENTO!$AF$7)))))</f>
        <v>154</v>
      </c>
      <c r="I47" s="467" t="s">
        <v>1228</v>
      </c>
      <c r="J47" s="653" t="str">
        <f t="array" aca="1" ref="J47" ca="1">IF(OR(B47&lt;&gt;"S",CÁLCULO.FrentesPreenchidas=0),"",IF(AND(ACOMPANHAMENTO="PLE",AUTOEVENTO="Manual",OR(H47&gt;0,ORÇAMENTO!AC47="QUANT."),OR(K47="",M47=0,N47="")),"►E",IF(AND(ACOMPANHAMENTO="PLE",ORÇAMENTO!AC47="QUANT."),"►Q",IF(AND(ACOMPANHAMENTO="PLE",H47&lt;&gt;SUMPRODUCT(($Q$1:$AI$1=1)*ROUND(Q47:AI47,15))),"►S",IF(AND(COUNTIF($P$11:$AI$11,"▼")=0,H47&gt;0,I47=""),"◄M","")))))</f>
        <v/>
      </c>
      <c r="K47" s="654" t="s">
        <v>1384</v>
      </c>
      <c r="L47" s="165">
        <f t="shared" ca="1" si="11"/>
        <v>32</v>
      </c>
      <c r="M47" s="166">
        <f ca="1">IF($D47&lt;&gt;"Serviço","",
          IF(AUTOEVENTO="manual",$A47,
                IF(ISERROR(MATCH($A47,$A$15:OFFSET($A47,-1,0),0)),MAX($M$15:OFFSET(M47,-1,0))+1,
                      INDEX($M$15:OFFSET(M47,-1,0),MATCH($A47,$A$15:OFFSET($A47,-1,0),0)))))</f>
        <v>5</v>
      </c>
      <c r="N47" s="167" t="str">
        <f ca="1">IF($D47&lt;&gt;"Serviço","",
         IF(AUTOEVENTO="Manual",
                IF($A47=0,"&lt;-- defina o número do agrupador",
                       OFFSET(EVENTOS!$D$15,$A47-$A$15,0)),
                OFFSET($F$15,$A47,0)))</f>
        <v>BALDRAMES (ESCAVAÇÕES, FORMAS, AÇO, CONCRETAGEM)</v>
      </c>
      <c r="O47" s="168"/>
      <c r="Q47" s="169">
        <f>7.7*5</f>
        <v>38.5</v>
      </c>
      <c r="R47" s="169">
        <f t="shared" ref="R47:T47" si="24">7.7*5</f>
        <v>38.5</v>
      </c>
      <c r="S47" s="169">
        <f t="shared" si="24"/>
        <v>38.5</v>
      </c>
      <c r="T47" s="169">
        <f t="shared" si="24"/>
        <v>38.5</v>
      </c>
      <c r="U47" s="169"/>
      <c r="V47" s="169"/>
      <c r="W47" s="169"/>
      <c r="X47" s="169"/>
      <c r="Y47" s="169"/>
      <c r="Z47" s="170"/>
      <c r="AA47" s="169"/>
      <c r="AB47" s="169"/>
      <c r="AC47" s="169"/>
      <c r="AD47" s="169"/>
      <c r="AE47" s="169"/>
      <c r="AF47" s="169"/>
      <c r="AG47" s="169"/>
      <c r="AH47" s="170"/>
      <c r="AJ47" s="452">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681.07</v>
      </c>
      <c r="AK47" s="452">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681.07</v>
      </c>
      <c r="AL47" s="452">
        <f ca="1">IF(AND($D47="Serviço",AL$12&lt;&gt;0,$H47&gt;0,OR(AUTOEVENTO&lt;&gt;"manual",$M47&lt;&gt;$A$15)),
        IF(Import.TipoArredondamento&lt;&gt;"TransfereGOV",
              ROUND(OFFSET($P47,0,AL$13),15-13*ORÇAMENTO!$AF$7)/$H47*OFFSET(ORÇAMENTO!$X$15,ROW(AL47)-ROW(AL$15),0),
              ROUND(ROUND(OFFSET($P47,0,AL$13),15-13*ORÇAMENTO!$AF$7)*OFFSET(ORÇAMENTO!$W$15,ROW(AL47)-ROW(AL$15),0),15-13*ORÇAMENTO!$AF$11)),
         0)</f>
        <v>681.07</v>
      </c>
      <c r="AM47" s="452">
        <f ca="1">IF(AND($D47="Serviço",AM$12&lt;&gt;0,$H47&gt;0,OR(AUTOEVENTO&lt;&gt;"manual",$M47&lt;&gt;$A$15)),
        IF(Import.TipoArredondamento&lt;&gt;"TransfereGOV",
              ROUND(OFFSET($P47,0,AM$13),15-13*ORÇAMENTO!$AF$7)/$H47*OFFSET(ORÇAMENTO!$X$15,ROW(AM47)-ROW(AM$15),0),
              ROUND(ROUND(OFFSET($P47,0,AM$13),15-13*ORÇAMENTO!$AF$7)*OFFSET(ORÇAMENTO!$W$15,ROW(AM47)-ROW(AM$15),0),15-13*ORÇAMENTO!$AF$11)),
         0)</f>
        <v>681.07</v>
      </c>
      <c r="AN47" s="452">
        <f ca="1">IF(AND($D47="Serviço",AN$12&lt;&gt;0,$H47&gt;0,OR(AUTOEVENTO&lt;&gt;"manual",$M47&lt;&gt;$A$15)),
        IF(Import.TipoArredondamento&lt;&gt;"TransfereGOV",
              ROUND(OFFSET($P47,0,AN$13),15-13*ORÇAMENTO!$AF$7)/$H47*OFFSET(ORÇAMENTO!$X$15,ROW(AN47)-ROW(AN$15),0),
              ROUND(ROUND(OFFSET($P47,0,AN$13),15-13*ORÇAMENTO!$AF$7)*OFFSET(ORÇAMENTO!$W$15,ROW(AN47)-ROW(AN$15),0),15-13*ORÇAMENTO!$AF$11)),
         0)</f>
        <v>0</v>
      </c>
      <c r="AO47" s="452">
        <f ca="1">IF(AND($D47="Serviço",AO$12&lt;&gt;0,$H47&gt;0,OR(AUTOEVENTO&lt;&gt;"manual",$M47&lt;&gt;$A$15)),
        IF(Import.TipoArredondamento&lt;&gt;"TransfereGOV",
              ROUND(OFFSET($P47,0,AO$13),15-13*ORÇAMENTO!$AF$7)/$H47*OFFSET(ORÇAMENTO!$X$15,ROW(AO47)-ROW(AO$15),0),
              ROUND(ROUND(OFFSET($P47,0,AO$13),15-13*ORÇAMENTO!$AF$7)*OFFSET(ORÇAMENTO!$W$15,ROW(AO47)-ROW(AO$15),0),15-13*ORÇAMENTO!$AF$11)),
         0)</f>
        <v>0</v>
      </c>
      <c r="AP47" s="452">
        <f ca="1">IF(AND($D47="Serviço",AP$12&lt;&gt;0,$H47&gt;0,OR(AUTOEVENTO&lt;&gt;"manual",$M47&lt;&gt;$A$15)),
        IF(Import.TipoArredondamento&lt;&gt;"TransfereGOV",
              ROUND(OFFSET($P47,0,AP$13),15-13*ORÇAMENTO!$AF$7)/$H47*OFFSET(ORÇAMENTO!$X$15,ROW(AP47)-ROW(AP$15),0),
              ROUND(ROUND(OFFSET($P47,0,AP$13),15-13*ORÇAMENTO!$AF$7)*OFFSET(ORÇAMENTO!$W$15,ROW(AP47)-ROW(AP$15),0),15-13*ORÇAMENTO!$AF$11)),
         0)</f>
        <v>0</v>
      </c>
      <c r="AQ47" s="452">
        <f ca="1">IF(AND($D47="Serviço",AQ$12&lt;&gt;0,$H47&gt;0,OR(AUTOEVENTO&lt;&gt;"manual",$M47&lt;&gt;$A$15)),
        IF(Import.TipoArredondamento&lt;&gt;"TransfereGOV",
              ROUND(OFFSET($P47,0,AQ$13),15-13*ORÇAMENTO!$AF$7)/$H47*OFFSET(ORÇAMENTO!$X$15,ROW(AQ47)-ROW(AQ$15),0),
              ROUND(ROUND(OFFSET($P47,0,AQ$13),15-13*ORÇAMENTO!$AF$7)*OFFSET(ORÇAMENTO!$W$15,ROW(AQ47)-ROW(AQ$15),0),15-13*ORÇAMENTO!$AF$11)),
         0)</f>
        <v>0</v>
      </c>
      <c r="AR47" s="452">
        <f ca="1">IF(AND($D47="Serviço",AR$12&lt;&gt;0,$H47&gt;0,OR(AUTOEVENTO&lt;&gt;"manual",$M47&lt;&gt;$A$15)),
        IF(Import.TipoArredondamento&lt;&gt;"TransfereGOV",
              ROUND(OFFSET($P47,0,AR$13),15-13*ORÇAMENTO!$AF$7)/$H47*OFFSET(ORÇAMENTO!$X$15,ROW(AR47)-ROW(AR$15),0),
              ROUND(ROUND(OFFSET($P47,0,AR$13),15-13*ORÇAMENTO!$AF$7)*OFFSET(ORÇAMENTO!$W$15,ROW(AR47)-ROW(AR$15),0),15-13*ORÇAMENTO!$AF$11)),
         0)</f>
        <v>0</v>
      </c>
      <c r="AS47" s="452">
        <f ca="1">IF(AND($D47="Serviço",AS$12&lt;&gt;0,$H47&gt;0,OR(AUTOEVENTO&lt;&gt;"manual",$M47&lt;&gt;$A$15)),
        IF(Import.TipoArredondamento&lt;&gt;"TransfereGOV",
              ROUND(OFFSET($P47,0,AS$13),15-13*ORÇAMENTO!$AF$7)/$H47*OFFSET(ORÇAMENTO!$X$15,ROW(AS47)-ROW(AS$15),0),
              ROUND(ROUND(OFFSET($P47,0,AS$13),15-13*ORÇAMENTO!$AF$7)*OFFSET(ORÇAMENTO!$W$15,ROW(AS47)-ROW(AS$15),0),15-13*ORÇAMENTO!$AF$11)),
         0)</f>
        <v>0</v>
      </c>
      <c r="AT47" s="452">
        <f ca="1">IF(AND($D47="Serviço",AT$12&lt;&gt;0,$H47&gt;0,OR(AUTOEVENTO&lt;&gt;"manual",$M47&lt;&gt;$A$15)),
        IF(Import.TipoArredondamento&lt;&gt;"TransfereGOV",
              ROUND(OFFSET($P47,0,AT$13),15-13*ORÇAMENTO!$AF$7)/$H47*OFFSET(ORÇAMENTO!$X$15,ROW(AT47)-ROW(AT$15),0),
              ROUND(ROUND(OFFSET($P47,0,AT$13),15-13*ORÇAMENTO!$AF$7)*OFFSET(ORÇAMENTO!$W$15,ROW(AT47)-ROW(AT$15),0),15-13*ORÇAMENTO!$AF$11)),
         0)</f>
        <v>0</v>
      </c>
      <c r="AU47" s="452">
        <f ca="1">IF(AND($D47="Serviço",AU$12&lt;&gt;0,$H47&gt;0,OR(AUTOEVENTO&lt;&gt;"manual",$M47&lt;&gt;$A$15)),
        IF(Import.TipoArredondamento&lt;&gt;"TransfereGOV",
              ROUND(OFFSET($P47,0,AU$13),15-13*ORÇAMENTO!$AF$7)/$H47*OFFSET(ORÇAMENTO!$X$15,ROW(AU47)-ROW(AU$15),0),
              ROUND(ROUND(OFFSET($P47,0,AU$13),15-13*ORÇAMENTO!$AF$7)*OFFSET(ORÇAMENTO!$W$15,ROW(AU47)-ROW(AU$15),0),15-13*ORÇAMENTO!$AF$11)),
         0)</f>
        <v>0</v>
      </c>
      <c r="AV47" s="452">
        <f ca="1">IF(AND($D47="Serviço",AV$12&lt;&gt;0,$H47&gt;0,OR(AUTOEVENTO&lt;&gt;"manual",$M47&lt;&gt;$A$15)),
        IF(Import.TipoArredondamento&lt;&gt;"TransfereGOV",
              ROUND(OFFSET($P47,0,AV$13),15-13*ORÇAMENTO!$AF$7)/$H47*OFFSET(ORÇAMENTO!$X$15,ROW(AV47)-ROW(AV$15),0),
              ROUND(ROUND(OFFSET($P47,0,AV$13),15-13*ORÇAMENTO!$AF$7)*OFFSET(ORÇAMENTO!$W$15,ROW(AV47)-ROW(AV$15),0),15-13*ORÇAMENTO!$AF$11)),
         0)</f>
        <v>0</v>
      </c>
      <c r="AW47" s="452">
        <f ca="1">IF(AND($D47="Serviço",AW$12&lt;&gt;0,$H47&gt;0,OR(AUTOEVENTO&lt;&gt;"manual",$M47&lt;&gt;$A$15)),
        IF(Import.TipoArredondamento&lt;&gt;"TransfereGOV",
              ROUND(OFFSET($P47,0,AW$13),15-13*ORÇAMENTO!$AF$7)/$H47*OFFSET(ORÇAMENTO!$X$15,ROW(AW47)-ROW(AW$15),0),
              ROUND(ROUND(OFFSET($P47,0,AW$13),15-13*ORÇAMENTO!$AF$7)*OFFSET(ORÇAMENTO!$W$15,ROW(AW47)-ROW(AW$15),0),15-13*ORÇAMENTO!$AF$11)),
         0)</f>
        <v>0</v>
      </c>
      <c r="AX47" s="452">
        <f ca="1">IF(AND($D47="Serviço",AX$12&lt;&gt;0,$H47&gt;0,OR(AUTOEVENTO&lt;&gt;"manual",$M47&lt;&gt;$A$15)),
        IF(Import.TipoArredondamento&lt;&gt;"TransfereGOV",
              ROUND(OFFSET($P47,0,AX$13),15-13*ORÇAMENTO!$AF$7)/$H47*OFFSET(ORÇAMENTO!$X$15,ROW(AX47)-ROW(AX$15),0),
              ROUND(ROUND(OFFSET($P47,0,AX$13),15-13*ORÇAMENTO!$AF$7)*OFFSET(ORÇAMENTO!$W$15,ROW(AX47)-ROW(AX$15),0),15-13*ORÇAMENTO!$AF$11)),
         0)</f>
        <v>0</v>
      </c>
      <c r="AY47" s="452">
        <f ca="1">IF(AND($D47="Serviço",AY$12&lt;&gt;0,$H47&gt;0,OR(AUTOEVENTO&lt;&gt;"manual",$M47&lt;&gt;$A$15)),
        IF(Import.TipoArredondamento&lt;&gt;"TransfereGOV",
              ROUND(OFFSET($P47,0,AY$13),15-13*ORÇAMENTO!$AF$7)/$H47*OFFSET(ORÇAMENTO!$X$15,ROW(AY47)-ROW(AY$15),0),
              ROUND(ROUND(OFFSET($P47,0,AY$13),15-13*ORÇAMENTO!$AF$7)*OFFSET(ORÇAMENTO!$W$15,ROW(AY47)-ROW(AY$15),0),15-13*ORÇAMENTO!$AF$11)),
         0)</f>
        <v>0</v>
      </c>
      <c r="AZ47" s="452">
        <f ca="1">IF(AND($D47="Serviço",AZ$12&lt;&gt;0,$H47&gt;0,OR(AUTOEVENTO&lt;&gt;"manual",$M47&lt;&gt;$A$15)),
        IF(Import.TipoArredondamento&lt;&gt;"TransfereGOV",
              ROUND(OFFSET($P47,0,AZ$13),15-13*ORÇAMENTO!$AF$7)/$H47*OFFSET(ORÇAMENTO!$X$15,ROW(AZ47)-ROW(AZ$15),0),
              ROUND(ROUND(OFFSET($P47,0,AZ$13),15-13*ORÇAMENTO!$AF$7)*OFFSET(ORÇAMENTO!$W$15,ROW(AZ47)-ROW(AZ$15),0),15-13*ORÇAMENTO!$AF$11)),
         0)</f>
        <v>0</v>
      </c>
      <c r="BA47" s="452">
        <f ca="1">IF(AND($D47="Serviço",BA$12&lt;&gt;0,$H47&gt;0,OR(AUTOEVENTO&lt;&gt;"manual",$M47&lt;&gt;$A$15)),
        IF(Import.TipoArredondamento&lt;&gt;"TransfereGOV",
              ROUND(OFFSET($P47,0,BA$13),15-13*ORÇAMENTO!$AF$7)/$H47*OFFSET(ORÇAMENTO!$X$15,ROW(BA47)-ROW(BA$15),0),
              ROUND(ROUND(OFFSET($P47,0,BA$13),15-13*ORÇAMENTO!$AF$7)*OFFSET(ORÇAMENTO!$W$15,ROW(BA47)-ROW(BA$15),0),15-13*ORÇAMENTO!$AF$11)),
         0)</f>
        <v>0</v>
      </c>
      <c r="BC47" s="171">
        <f ca="1">IF(OR($D47&lt;&gt;"Serviço",AND(AUTOEVENTO="Manual",$M47=$A$15)),0,
         IF(OFFSET(CRONOPLE!$F$15,$M47-$A$15,BC$13)=0,10^12,OFFSET(CRONOPLE!$F$15,$M47-$A$15,BC$13)))</f>
        <v>2</v>
      </c>
      <c r="BD47" s="171">
        <f ca="1">IF(OR($D47&lt;&gt;"Serviço",AND(AUTOEVENTO="Manual",$M47=$A$15)),0,
         IF(OFFSET(CRONOPLE!$F$15,$M47-$A$15,BD$13)=0,10^12,OFFSET(CRONOPLE!$F$15,$M47-$A$15,BD$13)))</f>
        <v>2</v>
      </c>
      <c r="BE47" s="171">
        <f ca="1">IF(OR($D47&lt;&gt;"Serviço",AND(AUTOEVENTO="Manual",$M47=$A$15)),0,
         IF(OFFSET(CRONOPLE!$F$15,$M47-$A$15,BE$13)=0,10^12,OFFSET(CRONOPLE!$F$15,$M47-$A$15,BE$13)))</f>
        <v>3</v>
      </c>
      <c r="BF47" s="171">
        <f ca="1">IF(OR($D47&lt;&gt;"Serviço",AND(AUTOEVENTO="Manual",$M47=$A$15)),0,
         IF(OFFSET(CRONOPLE!$F$15,$M47-$A$15,BF$13)=0,10^12,OFFSET(CRONOPLE!$F$15,$M47-$A$15,BF$13)))</f>
        <v>4</v>
      </c>
      <c r="BG47" s="171">
        <f ca="1">IF(OR($D47&lt;&gt;"Serviço",AND(AUTOEVENTO="Manual",$M47=$A$15)),0,
         IF(OFFSET(CRONOPLE!$F$15,$M47-$A$15,BG$13)=0,10^12,OFFSET(CRONOPLE!$F$15,$M47-$A$15,BG$13)))</f>
        <v>4</v>
      </c>
      <c r="BH47" s="171">
        <f ca="1">IF(OR($D47&lt;&gt;"Serviço",AND(AUTOEVENTO="Manual",$M47=$A$15)),0,
         IF(OFFSET(CRONOPLE!$F$15,$M47-$A$15,BH$13)=0,10^12,OFFSET(CRONOPLE!$F$15,$M47-$A$15,BH$13)))</f>
        <v>1000000000000</v>
      </c>
      <c r="BI47" s="171">
        <f ca="1">IF(OR($D47&lt;&gt;"Serviço",AND(AUTOEVENTO="Manual",$M47=$A$15)),0,
         IF(OFFSET(CRONOPLE!$F$15,$M47-$A$15,BI$13)=0,10^12,OFFSET(CRONOPLE!$F$15,$M47-$A$15,BI$13)))</f>
        <v>1000000000000</v>
      </c>
      <c r="BJ47" s="171">
        <f ca="1">IF(OR($D47&lt;&gt;"Serviço",AND(AUTOEVENTO="Manual",$M47=$A$15)),0,
         IF(OFFSET(CRONOPLE!$F$15,$M47-$A$15,BJ$13)=0,10^12,OFFSET(CRONOPLE!$F$15,$M47-$A$15,BJ$13)))</f>
        <v>1000000000000</v>
      </c>
      <c r="BK47" s="171">
        <f ca="1">IF(OR($D47&lt;&gt;"Serviço",AND(AUTOEVENTO="Manual",$M47=$A$15)),0,
         IF(OFFSET(CRONOPLE!$F$15,$M47-$A$15,BK$13)=0,10^12,OFFSET(CRONOPLE!$F$15,$M47-$A$15,BK$13)))</f>
        <v>1000000000000</v>
      </c>
      <c r="BL47" s="171">
        <f ca="1">IF(OR($D47&lt;&gt;"Serviço",AND(AUTOEVENTO="Manual",$M47=$A$15)),0,
         IF(OFFSET(CRONOPLE!$F$15,$M47-$A$15,BL$13)=0,10^12,OFFSET(CRONOPLE!$F$15,$M47-$A$15,BL$13)))</f>
        <v>1000000000000</v>
      </c>
      <c r="BM47" s="171">
        <f ca="1">IF(OR($D47&lt;&gt;"Serviço",AND(AUTOEVENTO="Manual",$M47=$A$15)),0,
         IF(OFFSET(CRONOPLE!$F$15,$M47-$A$15,BM$13)=0,10^12,OFFSET(CRONOPLE!$F$15,$M47-$A$15,BM$13)))</f>
        <v>1000000000000</v>
      </c>
      <c r="BN47" s="171">
        <f ca="1">IF(OR($D47&lt;&gt;"Serviço",AND(AUTOEVENTO="Manual",$M47=$A$15)),0,
         IF(OFFSET(CRONOPLE!$F$15,$M47-$A$15,BN$13)=0,10^12,OFFSET(CRONOPLE!$F$15,$M47-$A$15,BN$13)))</f>
        <v>1000000000000</v>
      </c>
      <c r="BO47" s="171">
        <f ca="1">IF(OR($D47&lt;&gt;"Serviço",AND(AUTOEVENTO="Manual",$M47=$A$15)),0,
         IF(OFFSET(CRONOPLE!$F$15,$M47-$A$15,BO$13)=0,10^12,OFFSET(CRONOPLE!$F$15,$M47-$A$15,BO$13)))</f>
        <v>1000000000000</v>
      </c>
      <c r="BP47" s="171">
        <f ca="1">IF(OR($D47&lt;&gt;"Serviço",AND(AUTOEVENTO="Manual",$M47=$A$15)),0,
         IF(OFFSET(CRONOPLE!$F$15,$M47-$A$15,BP$13)=0,10^12,OFFSET(CRONOPLE!$F$15,$M47-$A$15,BP$13)))</f>
        <v>1000000000000</v>
      </c>
      <c r="BQ47" s="171">
        <f ca="1">IF(OR($D47&lt;&gt;"Serviço",AND(AUTOEVENTO="Manual",$M47=$A$15)),0,
         IF(OFFSET(CRONOPLE!$F$15,$M47-$A$15,BQ$13)=0,10^12,OFFSET(CRONOPLE!$F$15,$M47-$A$15,BQ$13)))</f>
        <v>1000000000000</v>
      </c>
      <c r="BR47" s="171">
        <f ca="1">IF(OR($D47&lt;&gt;"Serviço",AND(AUTOEVENTO="Manual",$M47=$A$15)),0,
         IF(OFFSET(CRONOPLE!$F$15,$M47-$A$15,BR$13)=0,10^12,OFFSET(CRONOPLE!$F$15,$M47-$A$15,BR$13)))</f>
        <v>1000000000000</v>
      </c>
      <c r="BS47" s="171">
        <f ca="1">IF(OR($D47&lt;&gt;"Serviço",AND(AUTOEVENTO="Manual",$M47=$A$15)),0,
         IF(OFFSET(CRONOPLE!$F$15,$M47-$A$15,BS$13)=0,10^12,OFFSET(CRONOPLE!$F$15,$M47-$A$15,BS$13)))</f>
        <v>1000000000000</v>
      </c>
      <c r="BT47" s="171">
        <f ca="1">IF(OR($D47&lt;&gt;"Serviço",AND(AUTOEVENTO="Manual",$M47=$A$15)),0,
         IF(OFFSET(CRONOPLE!$F$15,$M47-$A$15,BT$13)=0,10^12,OFFSET(CRONOPLE!$F$15,$M47-$A$15,BT$13)))</f>
        <v>1000000000000</v>
      </c>
      <c r="BV47" s="172">
        <f t="array" aca="1" ref="BV47" ca="1">IF(OR($D47&lt;&gt;"Serviço",AND(AUTOEVENTO="Manual",$M47=$A$15),$M47&gt;(ROW(PLE.lastrow)-ROW(PLE.firstrow))),0,
           IF(OFFSET(PLE!$G$15,$M47-$A$15,BV$13)="",10^12,OFFSET(PLE!$G$15,$M47-$A$15,BV$13)))</f>
        <v>1000000000000</v>
      </c>
      <c r="BW47" s="172">
        <f t="array" aca="1" ref="BW47" ca="1">IF(OR($D47&lt;&gt;"Serviço",AND(AUTOEVENTO="Manual",$M47=$A$15),$M47&gt;(ROW(PLE.lastrow)-ROW(PLE.firstrow))),0,
           IF(OFFSET(PLE!$G$15,$M47-$A$15,BW$13)="",10^12,OFFSET(PLE!$G$15,$M47-$A$15,BW$13)))</f>
        <v>1000000000000</v>
      </c>
      <c r="BX47" s="172">
        <f t="array" aca="1" ref="BX47" ca="1">IF(OR($D47&lt;&gt;"Serviço",AND(AUTOEVENTO="Manual",$M47=$A$15),$M47&gt;(ROW(PLE.lastrow)-ROW(PLE.firstrow))),0,
           IF(OFFSET(PLE!$G$15,$M47-$A$15,BX$13)="",10^12,OFFSET(PLE!$G$15,$M47-$A$15,BX$13)))</f>
        <v>1000000000000</v>
      </c>
      <c r="BY47" s="172">
        <f t="array" aca="1" ref="BY47" ca="1">IF(OR($D47&lt;&gt;"Serviço",AND(AUTOEVENTO="Manual",$M47=$A$15),$M47&gt;(ROW(PLE.lastrow)-ROW(PLE.firstrow))),0,
           IF(OFFSET(PLE!$G$15,$M47-$A$15,BY$13)="",10^12,OFFSET(PLE!$G$15,$M47-$A$15,BY$13)))</f>
        <v>1000000000000</v>
      </c>
      <c r="BZ47" s="172">
        <f t="array" aca="1" ref="BZ47" ca="1">IF(OR($D47&lt;&gt;"Serviço",AND(AUTOEVENTO="Manual",$M47=$A$15),$M47&gt;(ROW(PLE.lastrow)-ROW(PLE.firstrow))),0,
           IF(OFFSET(PLE!$G$15,$M47-$A$15,BZ$13)="",10^12,OFFSET(PLE!$G$15,$M47-$A$15,BZ$13)))</f>
        <v>1000000000000</v>
      </c>
      <c r="CA47" s="172">
        <f t="array" aca="1" ref="CA47" ca="1">IF(OR($D47&lt;&gt;"Serviço",AND(AUTOEVENTO="Manual",$M47=$A$15),$M47&gt;(ROW(PLE.lastrow)-ROW(PLE.firstrow))),0,
           IF(OFFSET(PLE!$G$15,$M47-$A$15,CA$13)="",10^12,OFFSET(PLE!$G$15,$M47-$A$15,CA$13)))</f>
        <v>1000000000000</v>
      </c>
      <c r="CB47" s="172">
        <f t="array" aca="1" ref="CB47" ca="1">IF(OR($D47&lt;&gt;"Serviço",AND(AUTOEVENTO="Manual",$M47=$A$15),$M47&gt;(ROW(PLE.lastrow)-ROW(PLE.firstrow))),0,
           IF(OFFSET(PLE!$G$15,$M47-$A$15,CB$13)="",10^12,OFFSET(PLE!$G$15,$M47-$A$15,CB$13)))</f>
        <v>1000000000000</v>
      </c>
      <c r="CC47" s="172">
        <f t="array" aca="1" ref="CC47" ca="1">IF(OR($D47&lt;&gt;"Serviço",AND(AUTOEVENTO="Manual",$M47=$A$15),$M47&gt;(ROW(PLE.lastrow)-ROW(PLE.firstrow))),0,
           IF(OFFSET(PLE!$G$15,$M47-$A$15,CC$13)="",10^12,OFFSET(PLE!$G$15,$M47-$A$15,CC$13)))</f>
        <v>1000000000000</v>
      </c>
      <c r="CD47" s="172">
        <f t="array" aca="1" ref="CD47" ca="1">IF(OR($D47&lt;&gt;"Serviço",AND(AUTOEVENTO="Manual",$M47=$A$15),$M47&gt;(ROW(PLE.lastrow)-ROW(PLE.firstrow))),0,
           IF(OFFSET(PLE!$G$15,$M47-$A$15,CD$13)="",10^12,OFFSET(PLE!$G$15,$M47-$A$15,CD$13)))</f>
        <v>1000000000000</v>
      </c>
      <c r="CE47" s="172">
        <f t="array" aca="1" ref="CE47" ca="1">IF(OR($D47&lt;&gt;"Serviço",AND(AUTOEVENTO="Manual",$M47=$A$15),$M47&gt;(ROW(PLE.lastrow)-ROW(PLE.firstrow))),0,
           IF(OFFSET(PLE!$G$15,$M47-$A$15,CE$13)="",10^12,OFFSET(PLE!$G$15,$M47-$A$15,CE$13)))</f>
        <v>1000000000000</v>
      </c>
      <c r="CF47" s="172">
        <f t="array" aca="1" ref="CF47" ca="1">IF(OR($D47&lt;&gt;"Serviço",AND(AUTOEVENTO="Manual",$M47=$A$15),$M47&gt;(ROW(PLE.lastrow)-ROW(PLE.firstrow))),0,
           IF(OFFSET(PLE!$G$15,$M47-$A$15,CF$13)="",10^12,OFFSET(PLE!$G$15,$M47-$A$15,CF$13)))</f>
        <v>1000000000000</v>
      </c>
      <c r="CG47" s="172">
        <f t="array" aca="1" ref="CG47" ca="1">IF(OR($D47&lt;&gt;"Serviço",AND(AUTOEVENTO="Manual",$M47=$A$15),$M47&gt;(ROW(PLE.lastrow)-ROW(PLE.firstrow))),0,
           IF(OFFSET(PLE!$G$15,$M47-$A$15,CG$13)="",10^12,OFFSET(PLE!$G$15,$M47-$A$15,CG$13)))</f>
        <v>1000000000000</v>
      </c>
      <c r="CH47" s="172">
        <f t="array" aca="1" ref="CH47" ca="1">IF(OR($D47&lt;&gt;"Serviço",AND(AUTOEVENTO="Manual",$M47=$A$15),$M47&gt;(ROW(PLE.lastrow)-ROW(PLE.firstrow))),0,
           IF(OFFSET(PLE!$G$15,$M47-$A$15,CH$13)="",10^12,OFFSET(PLE!$G$15,$M47-$A$15,CH$13)))</f>
        <v>1000000000000</v>
      </c>
      <c r="CI47" s="172">
        <f t="array" aca="1" ref="CI47" ca="1">IF(OR($D47&lt;&gt;"Serviço",AND(AUTOEVENTO="Manual",$M47=$A$15),$M47&gt;(ROW(PLE.lastrow)-ROW(PLE.firstrow))),0,
           IF(OFFSET(PLE!$G$15,$M47-$A$15,CI$13)="",10^12,OFFSET(PLE!$G$15,$M47-$A$15,CI$13)))</f>
        <v>1000000000000</v>
      </c>
      <c r="CJ47" s="172">
        <f t="array" aca="1" ref="CJ47" ca="1">IF(OR($D47&lt;&gt;"Serviço",AND(AUTOEVENTO="Manual",$M47=$A$15),$M47&gt;(ROW(PLE.lastrow)-ROW(PLE.firstrow))),0,
           IF(OFFSET(PLE!$G$15,$M47-$A$15,CJ$13)="",10^12,OFFSET(PLE!$G$15,$M47-$A$15,CJ$13)))</f>
        <v>1000000000000</v>
      </c>
      <c r="CK47" s="172">
        <f t="array" aca="1" ref="CK47" ca="1">IF(OR($D47&lt;&gt;"Serviço",AND(AUTOEVENTO="Manual",$M47=$A$15),$M47&gt;(ROW(PLE.lastrow)-ROW(PLE.firstrow))),0,
           IF(OFFSET(PLE!$G$15,$M47-$A$15,CK$13)="",10^12,OFFSET(PLE!$G$15,$M47-$A$15,CK$13)))</f>
        <v>1000000000000</v>
      </c>
      <c r="CL47" s="172">
        <f t="array" aca="1" ref="CL47" ca="1">IF(OR($D47&lt;&gt;"Serviço",AND(AUTOEVENTO="Manual",$M47=$A$15),$M47&gt;(ROW(PLE.lastrow)-ROW(PLE.firstrow))),0,
           IF(OFFSET(PLE!$G$15,$M47-$A$15,CL$13)="",10^12,OFFSET(PLE!$G$15,$M47-$A$15,CL$13)))</f>
        <v>1000000000000</v>
      </c>
      <c r="CM47" s="172">
        <f t="array" aca="1" ref="CM47" ca="1">IF(OR($D47&lt;&gt;"Serviço",AND(AUTOEVENTO="Manual",$M47=$A$15),$M47&gt;(ROW(PLE.lastrow)-ROW(PLE.firstrow))),0,
           IF(OFFSET(PLE!$G$15,$M47-$A$15,CM$13)="",10^12,OFFSET(PLE!$G$15,$M47-$A$15,CM$13)))</f>
        <v>1000000000000</v>
      </c>
    </row>
    <row r="48" spans="1:91" s="696" customFormat="1" ht="51" x14ac:dyDescent="0.2">
      <c r="A48" s="694">
        <f t="shared" ca="1" si="10"/>
        <v>5</v>
      </c>
      <c r="B48" s="694" t="str">
        <f ca="1">OFFSET(ORÇAMENTO!C$15,$L48,0)</f>
        <v>S</v>
      </c>
      <c r="C48" s="694" t="str">
        <f ca="1">OFFSET(ORÇAMENTO!L$15,$L48,0)</f>
        <v>F</v>
      </c>
      <c r="D48" s="116" t="str">
        <f ca="1">OFFSET(ORÇAMENTO!N$15,$L48,0)</f>
        <v>Serviço</v>
      </c>
      <c r="E48" s="117" t="str">
        <f ca="1">OFFSET(ORÇAMENTO!O$15,$L48,0)</f>
        <v>1.5.6.</v>
      </c>
      <c r="F48" s="163" t="str">
        <f ca="1">OFFSET(ORÇAMENTO!R$15,$L48,0)</f>
        <v>ARMAÇÃO DE SAPATA ISOLADA, VIGA BALDRAME E SAPATA CORRIDA UTILIZANDO AÇO CA-60 DE 5 MM - MONTAGEM. AF_01/2024</v>
      </c>
      <c r="G48" s="164" t="str">
        <f ca="1">IF($D48&lt;&gt;"Serviço","",OFFSET(ORÇAMENTO!S$15,$L48,0))</f>
        <v>KG</v>
      </c>
      <c r="H48" s="122">
        <f t="array" aca="1" ref="H48" ca="1">IF($D48&lt;&gt;"Serviço",0,IF(ACOMPANHAMENTO="BM",ROUND(OFFSET(ORÇAMENTO!AJ$15,$L48,0),15-13*ORÇAMENTO!$AF$7),IF(IFERROR(CÁLCULO.FrentesPreenchidas,0)=0,0,SUM(ROUND(OFFSET($P48,0,1,1,CÁLCULO.FrentesPreenchidas),15-13*ORÇAMENTO!$AF$7)))))</f>
        <v>780</v>
      </c>
      <c r="I48" s="467" t="s">
        <v>1227</v>
      </c>
      <c r="J48" s="653" t="str">
        <f t="array" aca="1" ref="J48" ca="1">IF(OR(B48&lt;&gt;"S",CÁLCULO.FrentesPreenchidas=0),"",IF(AND(ACOMPANHAMENTO="PLE",AUTOEVENTO="Manual",OR(H48&gt;0,ORÇAMENTO!AC48="QUANT."),OR(K48="",M48=0,N48="")),"►E",IF(AND(ACOMPANHAMENTO="PLE",ORÇAMENTO!AC48="QUANT."),"►Q",IF(AND(ACOMPANHAMENTO="PLE",H48&lt;&gt;SUMPRODUCT(($Q$1:$AI$1=1)*ROUND(Q48:AI48,15))),"►S",IF(AND(COUNTIF($P$11:$AI$11,"▼")=0,H48&gt;0,I48=""),"◄M","")))))</f>
        <v/>
      </c>
      <c r="K48" s="654" t="s">
        <v>1384</v>
      </c>
      <c r="L48" s="165">
        <f t="shared" ca="1" si="11"/>
        <v>33</v>
      </c>
      <c r="M48" s="166">
        <f ca="1">IF($D48&lt;&gt;"Serviço","",
          IF(AUTOEVENTO="manual",$A48,
                IF(ISERROR(MATCH($A48,$A$15:OFFSET($A48,-1,0),0)),MAX($M$15:OFFSET(M48,-1,0))+1,
                      INDEX($M$15:OFFSET(M48,-1,0),MATCH($A48,$A$15:OFFSET($A48,-1,0),0)))))</f>
        <v>5</v>
      </c>
      <c r="N48" s="167" t="str">
        <f ca="1">IF($D48&lt;&gt;"Serviço","",
         IF(AUTOEVENTO="Manual",
                IF($A48=0,"&lt;-- defina o número do agrupador",
                       OFFSET(EVENTOS!$D$15,$A48-$A$15,0)),
                OFFSET($F$15,$A48,0)))</f>
        <v>BALDRAMES (ESCAVAÇÕES, FORMAS, AÇO, CONCRETAGEM)</v>
      </c>
      <c r="O48" s="168"/>
      <c r="Q48" s="169">
        <f>39*5</f>
        <v>195</v>
      </c>
      <c r="R48" s="169">
        <f t="shared" ref="R48:T48" si="25">39*5</f>
        <v>195</v>
      </c>
      <c r="S48" s="169">
        <f t="shared" si="25"/>
        <v>195</v>
      </c>
      <c r="T48" s="169">
        <f t="shared" si="25"/>
        <v>195</v>
      </c>
      <c r="U48" s="169"/>
      <c r="V48" s="169"/>
      <c r="W48" s="169"/>
      <c r="X48" s="169"/>
      <c r="Y48" s="169"/>
      <c r="Z48" s="170"/>
      <c r="AA48" s="169"/>
      <c r="AB48" s="169"/>
      <c r="AC48" s="169"/>
      <c r="AD48" s="169"/>
      <c r="AE48" s="169"/>
      <c r="AF48" s="169"/>
      <c r="AG48" s="169"/>
      <c r="AH48" s="170"/>
      <c r="AJ48" s="452">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3786.9</v>
      </c>
      <c r="AK48" s="452">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3786.9</v>
      </c>
      <c r="AL48" s="452">
        <f ca="1">IF(AND($D48="Serviço",AL$12&lt;&gt;0,$H48&gt;0,OR(AUTOEVENTO&lt;&gt;"manual",$M48&lt;&gt;$A$15)),
        IF(Import.TipoArredondamento&lt;&gt;"TransfereGOV",
              ROUND(OFFSET($P48,0,AL$13),15-13*ORÇAMENTO!$AF$7)/$H48*OFFSET(ORÇAMENTO!$X$15,ROW(AL48)-ROW(AL$15),0),
              ROUND(ROUND(OFFSET($P48,0,AL$13),15-13*ORÇAMENTO!$AF$7)*OFFSET(ORÇAMENTO!$W$15,ROW(AL48)-ROW(AL$15),0),15-13*ORÇAMENTO!$AF$11)),
         0)</f>
        <v>3786.9</v>
      </c>
      <c r="AM48" s="452">
        <f ca="1">IF(AND($D48="Serviço",AM$12&lt;&gt;0,$H48&gt;0,OR(AUTOEVENTO&lt;&gt;"manual",$M48&lt;&gt;$A$15)),
        IF(Import.TipoArredondamento&lt;&gt;"TransfereGOV",
              ROUND(OFFSET($P48,0,AM$13),15-13*ORÇAMENTO!$AF$7)/$H48*OFFSET(ORÇAMENTO!$X$15,ROW(AM48)-ROW(AM$15),0),
              ROUND(ROUND(OFFSET($P48,0,AM$13),15-13*ORÇAMENTO!$AF$7)*OFFSET(ORÇAMENTO!$W$15,ROW(AM48)-ROW(AM$15),0),15-13*ORÇAMENTO!$AF$11)),
         0)</f>
        <v>3786.9</v>
      </c>
      <c r="AN48" s="452">
        <f ca="1">IF(AND($D48="Serviço",AN$12&lt;&gt;0,$H48&gt;0,OR(AUTOEVENTO&lt;&gt;"manual",$M48&lt;&gt;$A$15)),
        IF(Import.TipoArredondamento&lt;&gt;"TransfereGOV",
              ROUND(OFFSET($P48,0,AN$13),15-13*ORÇAMENTO!$AF$7)/$H48*OFFSET(ORÇAMENTO!$X$15,ROW(AN48)-ROW(AN$15),0),
              ROUND(ROUND(OFFSET($P48,0,AN$13),15-13*ORÇAMENTO!$AF$7)*OFFSET(ORÇAMENTO!$W$15,ROW(AN48)-ROW(AN$15),0),15-13*ORÇAMENTO!$AF$11)),
         0)</f>
        <v>0</v>
      </c>
      <c r="AO48" s="452">
        <f ca="1">IF(AND($D48="Serviço",AO$12&lt;&gt;0,$H48&gt;0,OR(AUTOEVENTO&lt;&gt;"manual",$M48&lt;&gt;$A$15)),
        IF(Import.TipoArredondamento&lt;&gt;"TransfereGOV",
              ROUND(OFFSET($P48,0,AO$13),15-13*ORÇAMENTO!$AF$7)/$H48*OFFSET(ORÇAMENTO!$X$15,ROW(AO48)-ROW(AO$15),0),
              ROUND(ROUND(OFFSET($P48,0,AO$13),15-13*ORÇAMENTO!$AF$7)*OFFSET(ORÇAMENTO!$W$15,ROW(AO48)-ROW(AO$15),0),15-13*ORÇAMENTO!$AF$11)),
         0)</f>
        <v>0</v>
      </c>
      <c r="AP48" s="452">
        <f ca="1">IF(AND($D48="Serviço",AP$12&lt;&gt;0,$H48&gt;0,OR(AUTOEVENTO&lt;&gt;"manual",$M48&lt;&gt;$A$15)),
        IF(Import.TipoArredondamento&lt;&gt;"TransfereGOV",
              ROUND(OFFSET($P48,0,AP$13),15-13*ORÇAMENTO!$AF$7)/$H48*OFFSET(ORÇAMENTO!$X$15,ROW(AP48)-ROW(AP$15),0),
              ROUND(ROUND(OFFSET($P48,0,AP$13),15-13*ORÇAMENTO!$AF$7)*OFFSET(ORÇAMENTO!$W$15,ROW(AP48)-ROW(AP$15),0),15-13*ORÇAMENTO!$AF$11)),
         0)</f>
        <v>0</v>
      </c>
      <c r="AQ48" s="452">
        <f ca="1">IF(AND($D48="Serviço",AQ$12&lt;&gt;0,$H48&gt;0,OR(AUTOEVENTO&lt;&gt;"manual",$M48&lt;&gt;$A$15)),
        IF(Import.TipoArredondamento&lt;&gt;"TransfereGOV",
              ROUND(OFFSET($P48,0,AQ$13),15-13*ORÇAMENTO!$AF$7)/$H48*OFFSET(ORÇAMENTO!$X$15,ROW(AQ48)-ROW(AQ$15),0),
              ROUND(ROUND(OFFSET($P48,0,AQ$13),15-13*ORÇAMENTO!$AF$7)*OFFSET(ORÇAMENTO!$W$15,ROW(AQ48)-ROW(AQ$15),0),15-13*ORÇAMENTO!$AF$11)),
         0)</f>
        <v>0</v>
      </c>
      <c r="AR48" s="452">
        <f ca="1">IF(AND($D48="Serviço",AR$12&lt;&gt;0,$H48&gt;0,OR(AUTOEVENTO&lt;&gt;"manual",$M48&lt;&gt;$A$15)),
        IF(Import.TipoArredondamento&lt;&gt;"TransfereGOV",
              ROUND(OFFSET($P48,0,AR$13),15-13*ORÇAMENTO!$AF$7)/$H48*OFFSET(ORÇAMENTO!$X$15,ROW(AR48)-ROW(AR$15),0),
              ROUND(ROUND(OFFSET($P48,0,AR$13),15-13*ORÇAMENTO!$AF$7)*OFFSET(ORÇAMENTO!$W$15,ROW(AR48)-ROW(AR$15),0),15-13*ORÇAMENTO!$AF$11)),
         0)</f>
        <v>0</v>
      </c>
      <c r="AS48" s="452">
        <f ca="1">IF(AND($D48="Serviço",AS$12&lt;&gt;0,$H48&gt;0,OR(AUTOEVENTO&lt;&gt;"manual",$M48&lt;&gt;$A$15)),
        IF(Import.TipoArredondamento&lt;&gt;"TransfereGOV",
              ROUND(OFFSET($P48,0,AS$13),15-13*ORÇAMENTO!$AF$7)/$H48*OFFSET(ORÇAMENTO!$X$15,ROW(AS48)-ROW(AS$15),0),
              ROUND(ROUND(OFFSET($P48,0,AS$13),15-13*ORÇAMENTO!$AF$7)*OFFSET(ORÇAMENTO!$W$15,ROW(AS48)-ROW(AS$15),0),15-13*ORÇAMENTO!$AF$11)),
         0)</f>
        <v>0</v>
      </c>
      <c r="AT48" s="452">
        <f ca="1">IF(AND($D48="Serviço",AT$12&lt;&gt;0,$H48&gt;0,OR(AUTOEVENTO&lt;&gt;"manual",$M48&lt;&gt;$A$15)),
        IF(Import.TipoArredondamento&lt;&gt;"TransfereGOV",
              ROUND(OFFSET($P48,0,AT$13),15-13*ORÇAMENTO!$AF$7)/$H48*OFFSET(ORÇAMENTO!$X$15,ROW(AT48)-ROW(AT$15),0),
              ROUND(ROUND(OFFSET($P48,0,AT$13),15-13*ORÇAMENTO!$AF$7)*OFFSET(ORÇAMENTO!$W$15,ROW(AT48)-ROW(AT$15),0),15-13*ORÇAMENTO!$AF$11)),
         0)</f>
        <v>0</v>
      </c>
      <c r="AU48" s="452">
        <f ca="1">IF(AND($D48="Serviço",AU$12&lt;&gt;0,$H48&gt;0,OR(AUTOEVENTO&lt;&gt;"manual",$M48&lt;&gt;$A$15)),
        IF(Import.TipoArredondamento&lt;&gt;"TransfereGOV",
              ROUND(OFFSET($P48,0,AU$13),15-13*ORÇAMENTO!$AF$7)/$H48*OFFSET(ORÇAMENTO!$X$15,ROW(AU48)-ROW(AU$15),0),
              ROUND(ROUND(OFFSET($P48,0,AU$13),15-13*ORÇAMENTO!$AF$7)*OFFSET(ORÇAMENTO!$W$15,ROW(AU48)-ROW(AU$15),0),15-13*ORÇAMENTO!$AF$11)),
         0)</f>
        <v>0</v>
      </c>
      <c r="AV48" s="452">
        <f ca="1">IF(AND($D48="Serviço",AV$12&lt;&gt;0,$H48&gt;0,OR(AUTOEVENTO&lt;&gt;"manual",$M48&lt;&gt;$A$15)),
        IF(Import.TipoArredondamento&lt;&gt;"TransfereGOV",
              ROUND(OFFSET($P48,0,AV$13),15-13*ORÇAMENTO!$AF$7)/$H48*OFFSET(ORÇAMENTO!$X$15,ROW(AV48)-ROW(AV$15),0),
              ROUND(ROUND(OFFSET($P48,0,AV$13),15-13*ORÇAMENTO!$AF$7)*OFFSET(ORÇAMENTO!$W$15,ROW(AV48)-ROW(AV$15),0),15-13*ORÇAMENTO!$AF$11)),
         0)</f>
        <v>0</v>
      </c>
      <c r="AW48" s="452">
        <f ca="1">IF(AND($D48="Serviço",AW$12&lt;&gt;0,$H48&gt;0,OR(AUTOEVENTO&lt;&gt;"manual",$M48&lt;&gt;$A$15)),
        IF(Import.TipoArredondamento&lt;&gt;"TransfereGOV",
              ROUND(OFFSET($P48,0,AW$13),15-13*ORÇAMENTO!$AF$7)/$H48*OFFSET(ORÇAMENTO!$X$15,ROW(AW48)-ROW(AW$15),0),
              ROUND(ROUND(OFFSET($P48,0,AW$13),15-13*ORÇAMENTO!$AF$7)*OFFSET(ORÇAMENTO!$W$15,ROW(AW48)-ROW(AW$15),0),15-13*ORÇAMENTO!$AF$11)),
         0)</f>
        <v>0</v>
      </c>
      <c r="AX48" s="452">
        <f ca="1">IF(AND($D48="Serviço",AX$12&lt;&gt;0,$H48&gt;0,OR(AUTOEVENTO&lt;&gt;"manual",$M48&lt;&gt;$A$15)),
        IF(Import.TipoArredondamento&lt;&gt;"TransfereGOV",
              ROUND(OFFSET($P48,0,AX$13),15-13*ORÇAMENTO!$AF$7)/$H48*OFFSET(ORÇAMENTO!$X$15,ROW(AX48)-ROW(AX$15),0),
              ROUND(ROUND(OFFSET($P48,0,AX$13),15-13*ORÇAMENTO!$AF$7)*OFFSET(ORÇAMENTO!$W$15,ROW(AX48)-ROW(AX$15),0),15-13*ORÇAMENTO!$AF$11)),
         0)</f>
        <v>0</v>
      </c>
      <c r="AY48" s="452">
        <f ca="1">IF(AND($D48="Serviço",AY$12&lt;&gt;0,$H48&gt;0,OR(AUTOEVENTO&lt;&gt;"manual",$M48&lt;&gt;$A$15)),
        IF(Import.TipoArredondamento&lt;&gt;"TransfereGOV",
              ROUND(OFFSET($P48,0,AY$13),15-13*ORÇAMENTO!$AF$7)/$H48*OFFSET(ORÇAMENTO!$X$15,ROW(AY48)-ROW(AY$15),0),
              ROUND(ROUND(OFFSET($P48,0,AY$13),15-13*ORÇAMENTO!$AF$7)*OFFSET(ORÇAMENTO!$W$15,ROW(AY48)-ROW(AY$15),0),15-13*ORÇAMENTO!$AF$11)),
         0)</f>
        <v>0</v>
      </c>
      <c r="AZ48" s="452">
        <f ca="1">IF(AND($D48="Serviço",AZ$12&lt;&gt;0,$H48&gt;0,OR(AUTOEVENTO&lt;&gt;"manual",$M48&lt;&gt;$A$15)),
        IF(Import.TipoArredondamento&lt;&gt;"TransfereGOV",
              ROUND(OFFSET($P48,0,AZ$13),15-13*ORÇAMENTO!$AF$7)/$H48*OFFSET(ORÇAMENTO!$X$15,ROW(AZ48)-ROW(AZ$15),0),
              ROUND(ROUND(OFFSET($P48,0,AZ$13),15-13*ORÇAMENTO!$AF$7)*OFFSET(ORÇAMENTO!$W$15,ROW(AZ48)-ROW(AZ$15),0),15-13*ORÇAMENTO!$AF$11)),
         0)</f>
        <v>0</v>
      </c>
      <c r="BA48" s="452">
        <f ca="1">IF(AND($D48="Serviço",BA$12&lt;&gt;0,$H48&gt;0,OR(AUTOEVENTO&lt;&gt;"manual",$M48&lt;&gt;$A$15)),
        IF(Import.TipoArredondamento&lt;&gt;"TransfereGOV",
              ROUND(OFFSET($P48,0,BA$13),15-13*ORÇAMENTO!$AF$7)/$H48*OFFSET(ORÇAMENTO!$X$15,ROW(BA48)-ROW(BA$15),0),
              ROUND(ROUND(OFFSET($P48,0,BA$13),15-13*ORÇAMENTO!$AF$7)*OFFSET(ORÇAMENTO!$W$15,ROW(BA48)-ROW(BA$15),0),15-13*ORÇAMENTO!$AF$11)),
         0)</f>
        <v>0</v>
      </c>
      <c r="BC48" s="171">
        <f ca="1">IF(OR($D48&lt;&gt;"Serviço",AND(AUTOEVENTO="Manual",$M48=$A$15)),0,
         IF(OFFSET(CRONOPLE!$F$15,$M48-$A$15,BC$13)=0,10^12,OFFSET(CRONOPLE!$F$15,$M48-$A$15,BC$13)))</f>
        <v>2</v>
      </c>
      <c r="BD48" s="171">
        <f ca="1">IF(OR($D48&lt;&gt;"Serviço",AND(AUTOEVENTO="Manual",$M48=$A$15)),0,
         IF(OFFSET(CRONOPLE!$F$15,$M48-$A$15,BD$13)=0,10^12,OFFSET(CRONOPLE!$F$15,$M48-$A$15,BD$13)))</f>
        <v>2</v>
      </c>
      <c r="BE48" s="171">
        <f ca="1">IF(OR($D48&lt;&gt;"Serviço",AND(AUTOEVENTO="Manual",$M48=$A$15)),0,
         IF(OFFSET(CRONOPLE!$F$15,$M48-$A$15,BE$13)=0,10^12,OFFSET(CRONOPLE!$F$15,$M48-$A$15,BE$13)))</f>
        <v>3</v>
      </c>
      <c r="BF48" s="171">
        <f ca="1">IF(OR($D48&lt;&gt;"Serviço",AND(AUTOEVENTO="Manual",$M48=$A$15)),0,
         IF(OFFSET(CRONOPLE!$F$15,$M48-$A$15,BF$13)=0,10^12,OFFSET(CRONOPLE!$F$15,$M48-$A$15,BF$13)))</f>
        <v>4</v>
      </c>
      <c r="BG48" s="171">
        <f ca="1">IF(OR($D48&lt;&gt;"Serviço",AND(AUTOEVENTO="Manual",$M48=$A$15)),0,
         IF(OFFSET(CRONOPLE!$F$15,$M48-$A$15,BG$13)=0,10^12,OFFSET(CRONOPLE!$F$15,$M48-$A$15,BG$13)))</f>
        <v>4</v>
      </c>
      <c r="BH48" s="171">
        <f ca="1">IF(OR($D48&lt;&gt;"Serviço",AND(AUTOEVENTO="Manual",$M48=$A$15)),0,
         IF(OFFSET(CRONOPLE!$F$15,$M48-$A$15,BH$13)=0,10^12,OFFSET(CRONOPLE!$F$15,$M48-$A$15,BH$13)))</f>
        <v>1000000000000</v>
      </c>
      <c r="BI48" s="171">
        <f ca="1">IF(OR($D48&lt;&gt;"Serviço",AND(AUTOEVENTO="Manual",$M48=$A$15)),0,
         IF(OFFSET(CRONOPLE!$F$15,$M48-$A$15,BI$13)=0,10^12,OFFSET(CRONOPLE!$F$15,$M48-$A$15,BI$13)))</f>
        <v>1000000000000</v>
      </c>
      <c r="BJ48" s="171">
        <f ca="1">IF(OR($D48&lt;&gt;"Serviço",AND(AUTOEVENTO="Manual",$M48=$A$15)),0,
         IF(OFFSET(CRONOPLE!$F$15,$M48-$A$15,BJ$13)=0,10^12,OFFSET(CRONOPLE!$F$15,$M48-$A$15,BJ$13)))</f>
        <v>1000000000000</v>
      </c>
      <c r="BK48" s="171">
        <f ca="1">IF(OR($D48&lt;&gt;"Serviço",AND(AUTOEVENTO="Manual",$M48=$A$15)),0,
         IF(OFFSET(CRONOPLE!$F$15,$M48-$A$15,BK$13)=0,10^12,OFFSET(CRONOPLE!$F$15,$M48-$A$15,BK$13)))</f>
        <v>1000000000000</v>
      </c>
      <c r="BL48" s="171">
        <f ca="1">IF(OR($D48&lt;&gt;"Serviço",AND(AUTOEVENTO="Manual",$M48=$A$15)),0,
         IF(OFFSET(CRONOPLE!$F$15,$M48-$A$15,BL$13)=0,10^12,OFFSET(CRONOPLE!$F$15,$M48-$A$15,BL$13)))</f>
        <v>1000000000000</v>
      </c>
      <c r="BM48" s="171">
        <f ca="1">IF(OR($D48&lt;&gt;"Serviço",AND(AUTOEVENTO="Manual",$M48=$A$15)),0,
         IF(OFFSET(CRONOPLE!$F$15,$M48-$A$15,BM$13)=0,10^12,OFFSET(CRONOPLE!$F$15,$M48-$A$15,BM$13)))</f>
        <v>1000000000000</v>
      </c>
      <c r="BN48" s="171">
        <f ca="1">IF(OR($D48&lt;&gt;"Serviço",AND(AUTOEVENTO="Manual",$M48=$A$15)),0,
         IF(OFFSET(CRONOPLE!$F$15,$M48-$A$15,BN$13)=0,10^12,OFFSET(CRONOPLE!$F$15,$M48-$A$15,BN$13)))</f>
        <v>1000000000000</v>
      </c>
      <c r="BO48" s="171">
        <f ca="1">IF(OR($D48&lt;&gt;"Serviço",AND(AUTOEVENTO="Manual",$M48=$A$15)),0,
         IF(OFFSET(CRONOPLE!$F$15,$M48-$A$15,BO$13)=0,10^12,OFFSET(CRONOPLE!$F$15,$M48-$A$15,BO$13)))</f>
        <v>1000000000000</v>
      </c>
      <c r="BP48" s="171">
        <f ca="1">IF(OR($D48&lt;&gt;"Serviço",AND(AUTOEVENTO="Manual",$M48=$A$15)),0,
         IF(OFFSET(CRONOPLE!$F$15,$M48-$A$15,BP$13)=0,10^12,OFFSET(CRONOPLE!$F$15,$M48-$A$15,BP$13)))</f>
        <v>1000000000000</v>
      </c>
      <c r="BQ48" s="171">
        <f ca="1">IF(OR($D48&lt;&gt;"Serviço",AND(AUTOEVENTO="Manual",$M48=$A$15)),0,
         IF(OFFSET(CRONOPLE!$F$15,$M48-$A$15,BQ$13)=0,10^12,OFFSET(CRONOPLE!$F$15,$M48-$A$15,BQ$13)))</f>
        <v>1000000000000</v>
      </c>
      <c r="BR48" s="171">
        <f ca="1">IF(OR($D48&lt;&gt;"Serviço",AND(AUTOEVENTO="Manual",$M48=$A$15)),0,
         IF(OFFSET(CRONOPLE!$F$15,$M48-$A$15,BR$13)=0,10^12,OFFSET(CRONOPLE!$F$15,$M48-$A$15,BR$13)))</f>
        <v>1000000000000</v>
      </c>
      <c r="BS48" s="171">
        <f ca="1">IF(OR($D48&lt;&gt;"Serviço",AND(AUTOEVENTO="Manual",$M48=$A$15)),0,
         IF(OFFSET(CRONOPLE!$F$15,$M48-$A$15,BS$13)=0,10^12,OFFSET(CRONOPLE!$F$15,$M48-$A$15,BS$13)))</f>
        <v>1000000000000</v>
      </c>
      <c r="BT48" s="171">
        <f ca="1">IF(OR($D48&lt;&gt;"Serviço",AND(AUTOEVENTO="Manual",$M48=$A$15)),0,
         IF(OFFSET(CRONOPLE!$F$15,$M48-$A$15,BT$13)=0,10^12,OFFSET(CRONOPLE!$F$15,$M48-$A$15,BT$13)))</f>
        <v>1000000000000</v>
      </c>
      <c r="BV48" s="172">
        <f t="array" aca="1" ref="BV48" ca="1">IF(OR($D48&lt;&gt;"Serviço",AND(AUTOEVENTO="Manual",$M48=$A$15),$M48&gt;(ROW(PLE.lastrow)-ROW(PLE.firstrow))),0,
           IF(OFFSET(PLE!$G$15,$M48-$A$15,BV$13)="",10^12,OFFSET(PLE!$G$15,$M48-$A$15,BV$13)))</f>
        <v>1000000000000</v>
      </c>
      <c r="BW48" s="172">
        <f t="array" aca="1" ref="BW48" ca="1">IF(OR($D48&lt;&gt;"Serviço",AND(AUTOEVENTO="Manual",$M48=$A$15),$M48&gt;(ROW(PLE.lastrow)-ROW(PLE.firstrow))),0,
           IF(OFFSET(PLE!$G$15,$M48-$A$15,BW$13)="",10^12,OFFSET(PLE!$G$15,$M48-$A$15,BW$13)))</f>
        <v>1000000000000</v>
      </c>
      <c r="BX48" s="172">
        <f t="array" aca="1" ref="BX48" ca="1">IF(OR($D48&lt;&gt;"Serviço",AND(AUTOEVENTO="Manual",$M48=$A$15),$M48&gt;(ROW(PLE.lastrow)-ROW(PLE.firstrow))),0,
           IF(OFFSET(PLE!$G$15,$M48-$A$15,BX$13)="",10^12,OFFSET(PLE!$G$15,$M48-$A$15,BX$13)))</f>
        <v>1000000000000</v>
      </c>
      <c r="BY48" s="172">
        <f t="array" aca="1" ref="BY48" ca="1">IF(OR($D48&lt;&gt;"Serviço",AND(AUTOEVENTO="Manual",$M48=$A$15),$M48&gt;(ROW(PLE.lastrow)-ROW(PLE.firstrow))),0,
           IF(OFFSET(PLE!$G$15,$M48-$A$15,BY$13)="",10^12,OFFSET(PLE!$G$15,$M48-$A$15,BY$13)))</f>
        <v>1000000000000</v>
      </c>
      <c r="BZ48" s="172">
        <f t="array" aca="1" ref="BZ48" ca="1">IF(OR($D48&lt;&gt;"Serviço",AND(AUTOEVENTO="Manual",$M48=$A$15),$M48&gt;(ROW(PLE.lastrow)-ROW(PLE.firstrow))),0,
           IF(OFFSET(PLE!$G$15,$M48-$A$15,BZ$13)="",10^12,OFFSET(PLE!$G$15,$M48-$A$15,BZ$13)))</f>
        <v>1000000000000</v>
      </c>
      <c r="CA48" s="172">
        <f t="array" aca="1" ref="CA48" ca="1">IF(OR($D48&lt;&gt;"Serviço",AND(AUTOEVENTO="Manual",$M48=$A$15),$M48&gt;(ROW(PLE.lastrow)-ROW(PLE.firstrow))),0,
           IF(OFFSET(PLE!$G$15,$M48-$A$15,CA$13)="",10^12,OFFSET(PLE!$G$15,$M48-$A$15,CA$13)))</f>
        <v>1000000000000</v>
      </c>
      <c r="CB48" s="172">
        <f t="array" aca="1" ref="CB48" ca="1">IF(OR($D48&lt;&gt;"Serviço",AND(AUTOEVENTO="Manual",$M48=$A$15),$M48&gt;(ROW(PLE.lastrow)-ROW(PLE.firstrow))),0,
           IF(OFFSET(PLE!$G$15,$M48-$A$15,CB$13)="",10^12,OFFSET(PLE!$G$15,$M48-$A$15,CB$13)))</f>
        <v>1000000000000</v>
      </c>
      <c r="CC48" s="172">
        <f t="array" aca="1" ref="CC48" ca="1">IF(OR($D48&lt;&gt;"Serviço",AND(AUTOEVENTO="Manual",$M48=$A$15),$M48&gt;(ROW(PLE.lastrow)-ROW(PLE.firstrow))),0,
           IF(OFFSET(PLE!$G$15,$M48-$A$15,CC$13)="",10^12,OFFSET(PLE!$G$15,$M48-$A$15,CC$13)))</f>
        <v>1000000000000</v>
      </c>
      <c r="CD48" s="172">
        <f t="array" aca="1" ref="CD48" ca="1">IF(OR($D48&lt;&gt;"Serviço",AND(AUTOEVENTO="Manual",$M48=$A$15),$M48&gt;(ROW(PLE.lastrow)-ROW(PLE.firstrow))),0,
           IF(OFFSET(PLE!$G$15,$M48-$A$15,CD$13)="",10^12,OFFSET(PLE!$G$15,$M48-$A$15,CD$13)))</f>
        <v>1000000000000</v>
      </c>
      <c r="CE48" s="172">
        <f t="array" aca="1" ref="CE48" ca="1">IF(OR($D48&lt;&gt;"Serviço",AND(AUTOEVENTO="Manual",$M48=$A$15),$M48&gt;(ROW(PLE.lastrow)-ROW(PLE.firstrow))),0,
           IF(OFFSET(PLE!$G$15,$M48-$A$15,CE$13)="",10^12,OFFSET(PLE!$G$15,$M48-$A$15,CE$13)))</f>
        <v>1000000000000</v>
      </c>
      <c r="CF48" s="172">
        <f t="array" aca="1" ref="CF48" ca="1">IF(OR($D48&lt;&gt;"Serviço",AND(AUTOEVENTO="Manual",$M48=$A$15),$M48&gt;(ROW(PLE.lastrow)-ROW(PLE.firstrow))),0,
           IF(OFFSET(PLE!$G$15,$M48-$A$15,CF$13)="",10^12,OFFSET(PLE!$G$15,$M48-$A$15,CF$13)))</f>
        <v>1000000000000</v>
      </c>
      <c r="CG48" s="172">
        <f t="array" aca="1" ref="CG48" ca="1">IF(OR($D48&lt;&gt;"Serviço",AND(AUTOEVENTO="Manual",$M48=$A$15),$M48&gt;(ROW(PLE.lastrow)-ROW(PLE.firstrow))),0,
           IF(OFFSET(PLE!$G$15,$M48-$A$15,CG$13)="",10^12,OFFSET(PLE!$G$15,$M48-$A$15,CG$13)))</f>
        <v>1000000000000</v>
      </c>
      <c r="CH48" s="172">
        <f t="array" aca="1" ref="CH48" ca="1">IF(OR($D48&lt;&gt;"Serviço",AND(AUTOEVENTO="Manual",$M48=$A$15),$M48&gt;(ROW(PLE.lastrow)-ROW(PLE.firstrow))),0,
           IF(OFFSET(PLE!$G$15,$M48-$A$15,CH$13)="",10^12,OFFSET(PLE!$G$15,$M48-$A$15,CH$13)))</f>
        <v>1000000000000</v>
      </c>
      <c r="CI48" s="172">
        <f t="array" aca="1" ref="CI48" ca="1">IF(OR($D48&lt;&gt;"Serviço",AND(AUTOEVENTO="Manual",$M48=$A$15),$M48&gt;(ROW(PLE.lastrow)-ROW(PLE.firstrow))),0,
           IF(OFFSET(PLE!$G$15,$M48-$A$15,CI$13)="",10^12,OFFSET(PLE!$G$15,$M48-$A$15,CI$13)))</f>
        <v>1000000000000</v>
      </c>
      <c r="CJ48" s="172">
        <f t="array" aca="1" ref="CJ48" ca="1">IF(OR($D48&lt;&gt;"Serviço",AND(AUTOEVENTO="Manual",$M48=$A$15),$M48&gt;(ROW(PLE.lastrow)-ROW(PLE.firstrow))),0,
           IF(OFFSET(PLE!$G$15,$M48-$A$15,CJ$13)="",10^12,OFFSET(PLE!$G$15,$M48-$A$15,CJ$13)))</f>
        <v>1000000000000</v>
      </c>
      <c r="CK48" s="172">
        <f t="array" aca="1" ref="CK48" ca="1">IF(OR($D48&lt;&gt;"Serviço",AND(AUTOEVENTO="Manual",$M48=$A$15),$M48&gt;(ROW(PLE.lastrow)-ROW(PLE.firstrow))),0,
           IF(OFFSET(PLE!$G$15,$M48-$A$15,CK$13)="",10^12,OFFSET(PLE!$G$15,$M48-$A$15,CK$13)))</f>
        <v>1000000000000</v>
      </c>
      <c r="CL48" s="172">
        <f t="array" aca="1" ref="CL48" ca="1">IF(OR($D48&lt;&gt;"Serviço",AND(AUTOEVENTO="Manual",$M48=$A$15),$M48&gt;(ROW(PLE.lastrow)-ROW(PLE.firstrow))),0,
           IF(OFFSET(PLE!$G$15,$M48-$A$15,CL$13)="",10^12,OFFSET(PLE!$G$15,$M48-$A$15,CL$13)))</f>
        <v>1000000000000</v>
      </c>
      <c r="CM48" s="172">
        <f t="array" aca="1" ref="CM48" ca="1">IF(OR($D48&lt;&gt;"Serviço",AND(AUTOEVENTO="Manual",$M48=$A$15),$M48&gt;(ROW(PLE.lastrow)-ROW(PLE.firstrow))),0,
           IF(OFFSET(PLE!$G$15,$M48-$A$15,CM$13)="",10^12,OFFSET(PLE!$G$15,$M48-$A$15,CM$13)))</f>
        <v>1000000000000</v>
      </c>
    </row>
    <row r="49" spans="1:91" s="696" customFormat="1" ht="51" x14ac:dyDescent="0.2">
      <c r="A49" s="694">
        <f t="shared" ca="1" si="10"/>
        <v>5</v>
      </c>
      <c r="B49" s="694" t="str">
        <f ca="1">OFFSET(ORÇAMENTO!C$15,$L49,0)</f>
        <v>S</v>
      </c>
      <c r="C49" s="694" t="str">
        <f ca="1">OFFSET(ORÇAMENTO!L$15,$L49,0)</f>
        <v>F</v>
      </c>
      <c r="D49" s="116" t="str">
        <f ca="1">OFFSET(ORÇAMENTO!N$15,$L49,0)</f>
        <v>Serviço</v>
      </c>
      <c r="E49" s="117" t="str">
        <f ca="1">OFFSET(ORÇAMENTO!O$15,$L49,0)</f>
        <v>1.5.7.</v>
      </c>
      <c r="F49" s="163" t="str">
        <f ca="1">OFFSET(ORÇAMENTO!R$15,$L49,0)</f>
        <v>CONCRETAGEM DE BLOCO DE COROAMENTO OU VIGA BALDRAME, FCK 20 MPA, COM USO DE JERICA - LANÇAMENTO, ADENSAMENTO E ACABAMENTO.</v>
      </c>
      <c r="G49" s="164" t="str">
        <f ca="1">IF($D49&lt;&gt;"Serviço","",OFFSET(ORÇAMENTO!S$15,$L49,0))</f>
        <v>M3</v>
      </c>
      <c r="H49" s="122">
        <f t="array" aca="1" ref="H49" ca="1">IF($D49&lt;&gt;"Serviço",0,IF(ACOMPANHAMENTO="BM",ROUND(OFFSET(ORÇAMENTO!AJ$15,$L49,0),15-13*ORÇAMENTO!$AF$7),IF(IFERROR(CÁLCULO.FrentesPreenchidas,0)=0,0,SUM(ROUND(OFFSET($P49,0,1,1,CÁLCULO.FrentesPreenchidas),15-13*ORÇAMENTO!$AF$7)))))</f>
        <v>38.200000000000003</v>
      </c>
      <c r="I49" s="467" t="s">
        <v>1229</v>
      </c>
      <c r="J49" s="653" t="str">
        <f t="array" aca="1" ref="J49" ca="1">IF(OR(B49&lt;&gt;"S",CÁLCULO.FrentesPreenchidas=0),"",IF(AND(ACOMPANHAMENTO="PLE",AUTOEVENTO="Manual",OR(H49&gt;0,ORÇAMENTO!AC49="QUANT."),OR(K49="",M49=0,N49="")),"►E",IF(AND(ACOMPANHAMENTO="PLE",ORÇAMENTO!AC49="QUANT."),"►Q",IF(AND(ACOMPANHAMENTO="PLE",H49&lt;&gt;SUMPRODUCT(($Q$1:$AI$1=1)*ROUND(Q49:AI49,15))),"►S",IF(AND(COUNTIF($P$11:$AI$11,"▼")=0,H49&gt;0,I49=""),"◄M","")))))</f>
        <v/>
      </c>
      <c r="K49" s="654" t="s">
        <v>1384</v>
      </c>
      <c r="L49" s="165">
        <f t="shared" ca="1" si="11"/>
        <v>34</v>
      </c>
      <c r="M49" s="166">
        <f ca="1">IF($D49&lt;&gt;"Serviço","",
          IF(AUTOEVENTO="manual",$A49,
                IF(ISERROR(MATCH($A49,$A$15:OFFSET($A49,-1,0),0)),MAX($M$15:OFFSET(M49,-1,0))+1,
                      INDEX($M$15:OFFSET(M49,-1,0),MATCH($A49,$A$15:OFFSET($A49,-1,0),0)))))</f>
        <v>5</v>
      </c>
      <c r="N49" s="167" t="str">
        <f ca="1">IF($D49&lt;&gt;"Serviço","",
         IF(AUTOEVENTO="Manual",
                IF($A49=0,"&lt;-- defina o número do agrupador",
                       OFFSET(EVENTOS!$D$15,$A49-$A$15,0)),
                OFFSET($F$15,$A49,0)))</f>
        <v>BALDRAMES (ESCAVAÇÕES, FORMAS, AÇO, CONCRETAGEM)</v>
      </c>
      <c r="O49" s="168"/>
      <c r="Q49" s="169">
        <f>1.91*5</f>
        <v>9.5499999999999989</v>
      </c>
      <c r="R49" s="169">
        <f t="shared" ref="R49:T49" si="26">1.91*5</f>
        <v>9.5499999999999989</v>
      </c>
      <c r="S49" s="169">
        <f t="shared" si="26"/>
        <v>9.5499999999999989</v>
      </c>
      <c r="T49" s="169">
        <f t="shared" si="26"/>
        <v>9.5499999999999989</v>
      </c>
      <c r="U49" s="169"/>
      <c r="V49" s="169"/>
      <c r="W49" s="169"/>
      <c r="X49" s="169"/>
      <c r="Y49" s="169"/>
      <c r="Z49" s="170"/>
      <c r="AA49" s="169"/>
      <c r="AB49" s="169"/>
      <c r="AC49" s="169"/>
      <c r="AD49" s="169"/>
      <c r="AE49" s="169"/>
      <c r="AF49" s="169"/>
      <c r="AG49" s="169"/>
      <c r="AH49" s="170"/>
      <c r="AJ49" s="452">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7119.72</v>
      </c>
      <c r="AK49" s="452">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7119.72</v>
      </c>
      <c r="AL49" s="452">
        <f ca="1">IF(AND($D49="Serviço",AL$12&lt;&gt;0,$H49&gt;0,OR(AUTOEVENTO&lt;&gt;"manual",$M49&lt;&gt;$A$15)),
        IF(Import.TipoArredondamento&lt;&gt;"TransfereGOV",
              ROUND(OFFSET($P49,0,AL$13),15-13*ORÇAMENTO!$AF$7)/$H49*OFFSET(ORÇAMENTO!$X$15,ROW(AL49)-ROW(AL$15),0),
              ROUND(ROUND(OFFSET($P49,0,AL$13),15-13*ORÇAMENTO!$AF$7)*OFFSET(ORÇAMENTO!$W$15,ROW(AL49)-ROW(AL$15),0),15-13*ORÇAMENTO!$AF$11)),
         0)</f>
        <v>7119.72</v>
      </c>
      <c r="AM49" s="452">
        <f ca="1">IF(AND($D49="Serviço",AM$12&lt;&gt;0,$H49&gt;0,OR(AUTOEVENTO&lt;&gt;"manual",$M49&lt;&gt;$A$15)),
        IF(Import.TipoArredondamento&lt;&gt;"TransfereGOV",
              ROUND(OFFSET($P49,0,AM$13),15-13*ORÇAMENTO!$AF$7)/$H49*OFFSET(ORÇAMENTO!$X$15,ROW(AM49)-ROW(AM$15),0),
              ROUND(ROUND(OFFSET($P49,0,AM$13),15-13*ORÇAMENTO!$AF$7)*OFFSET(ORÇAMENTO!$W$15,ROW(AM49)-ROW(AM$15),0),15-13*ORÇAMENTO!$AF$11)),
         0)</f>
        <v>7119.72</v>
      </c>
      <c r="AN49" s="452">
        <f ca="1">IF(AND($D49="Serviço",AN$12&lt;&gt;0,$H49&gt;0,OR(AUTOEVENTO&lt;&gt;"manual",$M49&lt;&gt;$A$15)),
        IF(Import.TipoArredondamento&lt;&gt;"TransfereGOV",
              ROUND(OFFSET($P49,0,AN$13),15-13*ORÇAMENTO!$AF$7)/$H49*OFFSET(ORÇAMENTO!$X$15,ROW(AN49)-ROW(AN$15),0),
              ROUND(ROUND(OFFSET($P49,0,AN$13),15-13*ORÇAMENTO!$AF$7)*OFFSET(ORÇAMENTO!$W$15,ROW(AN49)-ROW(AN$15),0),15-13*ORÇAMENTO!$AF$11)),
         0)</f>
        <v>0</v>
      </c>
      <c r="AO49" s="452">
        <f ca="1">IF(AND($D49="Serviço",AO$12&lt;&gt;0,$H49&gt;0,OR(AUTOEVENTO&lt;&gt;"manual",$M49&lt;&gt;$A$15)),
        IF(Import.TipoArredondamento&lt;&gt;"TransfereGOV",
              ROUND(OFFSET($P49,0,AO$13),15-13*ORÇAMENTO!$AF$7)/$H49*OFFSET(ORÇAMENTO!$X$15,ROW(AO49)-ROW(AO$15),0),
              ROUND(ROUND(OFFSET($P49,0,AO$13),15-13*ORÇAMENTO!$AF$7)*OFFSET(ORÇAMENTO!$W$15,ROW(AO49)-ROW(AO$15),0),15-13*ORÇAMENTO!$AF$11)),
         0)</f>
        <v>0</v>
      </c>
      <c r="AP49" s="452">
        <f ca="1">IF(AND($D49="Serviço",AP$12&lt;&gt;0,$H49&gt;0,OR(AUTOEVENTO&lt;&gt;"manual",$M49&lt;&gt;$A$15)),
        IF(Import.TipoArredondamento&lt;&gt;"TransfereGOV",
              ROUND(OFFSET($P49,0,AP$13),15-13*ORÇAMENTO!$AF$7)/$H49*OFFSET(ORÇAMENTO!$X$15,ROW(AP49)-ROW(AP$15),0),
              ROUND(ROUND(OFFSET($P49,0,AP$13),15-13*ORÇAMENTO!$AF$7)*OFFSET(ORÇAMENTO!$W$15,ROW(AP49)-ROW(AP$15),0),15-13*ORÇAMENTO!$AF$11)),
         0)</f>
        <v>0</v>
      </c>
      <c r="AQ49" s="452">
        <f ca="1">IF(AND($D49="Serviço",AQ$12&lt;&gt;0,$H49&gt;0,OR(AUTOEVENTO&lt;&gt;"manual",$M49&lt;&gt;$A$15)),
        IF(Import.TipoArredondamento&lt;&gt;"TransfereGOV",
              ROUND(OFFSET($P49,0,AQ$13),15-13*ORÇAMENTO!$AF$7)/$H49*OFFSET(ORÇAMENTO!$X$15,ROW(AQ49)-ROW(AQ$15),0),
              ROUND(ROUND(OFFSET($P49,0,AQ$13),15-13*ORÇAMENTO!$AF$7)*OFFSET(ORÇAMENTO!$W$15,ROW(AQ49)-ROW(AQ$15),0),15-13*ORÇAMENTO!$AF$11)),
         0)</f>
        <v>0</v>
      </c>
      <c r="AR49" s="452">
        <f ca="1">IF(AND($D49="Serviço",AR$12&lt;&gt;0,$H49&gt;0,OR(AUTOEVENTO&lt;&gt;"manual",$M49&lt;&gt;$A$15)),
        IF(Import.TipoArredondamento&lt;&gt;"TransfereGOV",
              ROUND(OFFSET($P49,0,AR$13),15-13*ORÇAMENTO!$AF$7)/$H49*OFFSET(ORÇAMENTO!$X$15,ROW(AR49)-ROW(AR$15),0),
              ROUND(ROUND(OFFSET($P49,0,AR$13),15-13*ORÇAMENTO!$AF$7)*OFFSET(ORÇAMENTO!$W$15,ROW(AR49)-ROW(AR$15),0),15-13*ORÇAMENTO!$AF$11)),
         0)</f>
        <v>0</v>
      </c>
      <c r="AS49" s="452">
        <f ca="1">IF(AND($D49="Serviço",AS$12&lt;&gt;0,$H49&gt;0,OR(AUTOEVENTO&lt;&gt;"manual",$M49&lt;&gt;$A$15)),
        IF(Import.TipoArredondamento&lt;&gt;"TransfereGOV",
              ROUND(OFFSET($P49,0,AS$13),15-13*ORÇAMENTO!$AF$7)/$H49*OFFSET(ORÇAMENTO!$X$15,ROW(AS49)-ROW(AS$15),0),
              ROUND(ROUND(OFFSET($P49,0,AS$13),15-13*ORÇAMENTO!$AF$7)*OFFSET(ORÇAMENTO!$W$15,ROW(AS49)-ROW(AS$15),0),15-13*ORÇAMENTO!$AF$11)),
         0)</f>
        <v>0</v>
      </c>
      <c r="AT49" s="452">
        <f ca="1">IF(AND($D49="Serviço",AT$12&lt;&gt;0,$H49&gt;0,OR(AUTOEVENTO&lt;&gt;"manual",$M49&lt;&gt;$A$15)),
        IF(Import.TipoArredondamento&lt;&gt;"TransfereGOV",
              ROUND(OFFSET($P49,0,AT$13),15-13*ORÇAMENTO!$AF$7)/$H49*OFFSET(ORÇAMENTO!$X$15,ROW(AT49)-ROW(AT$15),0),
              ROUND(ROUND(OFFSET($P49,0,AT$13),15-13*ORÇAMENTO!$AF$7)*OFFSET(ORÇAMENTO!$W$15,ROW(AT49)-ROW(AT$15),0),15-13*ORÇAMENTO!$AF$11)),
         0)</f>
        <v>0</v>
      </c>
      <c r="AU49" s="452">
        <f ca="1">IF(AND($D49="Serviço",AU$12&lt;&gt;0,$H49&gt;0,OR(AUTOEVENTO&lt;&gt;"manual",$M49&lt;&gt;$A$15)),
        IF(Import.TipoArredondamento&lt;&gt;"TransfereGOV",
              ROUND(OFFSET($P49,0,AU$13),15-13*ORÇAMENTO!$AF$7)/$H49*OFFSET(ORÇAMENTO!$X$15,ROW(AU49)-ROW(AU$15),0),
              ROUND(ROUND(OFFSET($P49,0,AU$13),15-13*ORÇAMENTO!$AF$7)*OFFSET(ORÇAMENTO!$W$15,ROW(AU49)-ROW(AU$15),0),15-13*ORÇAMENTO!$AF$11)),
         0)</f>
        <v>0</v>
      </c>
      <c r="AV49" s="452">
        <f ca="1">IF(AND($D49="Serviço",AV$12&lt;&gt;0,$H49&gt;0,OR(AUTOEVENTO&lt;&gt;"manual",$M49&lt;&gt;$A$15)),
        IF(Import.TipoArredondamento&lt;&gt;"TransfereGOV",
              ROUND(OFFSET($P49,0,AV$13),15-13*ORÇAMENTO!$AF$7)/$H49*OFFSET(ORÇAMENTO!$X$15,ROW(AV49)-ROW(AV$15),0),
              ROUND(ROUND(OFFSET($P49,0,AV$13),15-13*ORÇAMENTO!$AF$7)*OFFSET(ORÇAMENTO!$W$15,ROW(AV49)-ROW(AV$15),0),15-13*ORÇAMENTO!$AF$11)),
         0)</f>
        <v>0</v>
      </c>
      <c r="AW49" s="452">
        <f ca="1">IF(AND($D49="Serviço",AW$12&lt;&gt;0,$H49&gt;0,OR(AUTOEVENTO&lt;&gt;"manual",$M49&lt;&gt;$A$15)),
        IF(Import.TipoArredondamento&lt;&gt;"TransfereGOV",
              ROUND(OFFSET($P49,0,AW$13),15-13*ORÇAMENTO!$AF$7)/$H49*OFFSET(ORÇAMENTO!$X$15,ROW(AW49)-ROW(AW$15),0),
              ROUND(ROUND(OFFSET($P49,0,AW$13),15-13*ORÇAMENTO!$AF$7)*OFFSET(ORÇAMENTO!$W$15,ROW(AW49)-ROW(AW$15),0),15-13*ORÇAMENTO!$AF$11)),
         0)</f>
        <v>0</v>
      </c>
      <c r="AX49" s="452">
        <f ca="1">IF(AND($D49="Serviço",AX$12&lt;&gt;0,$H49&gt;0,OR(AUTOEVENTO&lt;&gt;"manual",$M49&lt;&gt;$A$15)),
        IF(Import.TipoArredondamento&lt;&gt;"TransfereGOV",
              ROUND(OFFSET($P49,0,AX$13),15-13*ORÇAMENTO!$AF$7)/$H49*OFFSET(ORÇAMENTO!$X$15,ROW(AX49)-ROW(AX$15),0),
              ROUND(ROUND(OFFSET($P49,0,AX$13),15-13*ORÇAMENTO!$AF$7)*OFFSET(ORÇAMENTO!$W$15,ROW(AX49)-ROW(AX$15),0),15-13*ORÇAMENTO!$AF$11)),
         0)</f>
        <v>0</v>
      </c>
      <c r="AY49" s="452">
        <f ca="1">IF(AND($D49="Serviço",AY$12&lt;&gt;0,$H49&gt;0,OR(AUTOEVENTO&lt;&gt;"manual",$M49&lt;&gt;$A$15)),
        IF(Import.TipoArredondamento&lt;&gt;"TransfereGOV",
              ROUND(OFFSET($P49,0,AY$13),15-13*ORÇAMENTO!$AF$7)/$H49*OFFSET(ORÇAMENTO!$X$15,ROW(AY49)-ROW(AY$15),0),
              ROUND(ROUND(OFFSET($P49,0,AY$13),15-13*ORÇAMENTO!$AF$7)*OFFSET(ORÇAMENTO!$W$15,ROW(AY49)-ROW(AY$15),0),15-13*ORÇAMENTO!$AF$11)),
         0)</f>
        <v>0</v>
      </c>
      <c r="AZ49" s="452">
        <f ca="1">IF(AND($D49="Serviço",AZ$12&lt;&gt;0,$H49&gt;0,OR(AUTOEVENTO&lt;&gt;"manual",$M49&lt;&gt;$A$15)),
        IF(Import.TipoArredondamento&lt;&gt;"TransfereGOV",
              ROUND(OFFSET($P49,0,AZ$13),15-13*ORÇAMENTO!$AF$7)/$H49*OFFSET(ORÇAMENTO!$X$15,ROW(AZ49)-ROW(AZ$15),0),
              ROUND(ROUND(OFFSET($P49,0,AZ$13),15-13*ORÇAMENTO!$AF$7)*OFFSET(ORÇAMENTO!$W$15,ROW(AZ49)-ROW(AZ$15),0),15-13*ORÇAMENTO!$AF$11)),
         0)</f>
        <v>0</v>
      </c>
      <c r="BA49" s="452">
        <f ca="1">IF(AND($D49="Serviço",BA$12&lt;&gt;0,$H49&gt;0,OR(AUTOEVENTO&lt;&gt;"manual",$M49&lt;&gt;$A$15)),
        IF(Import.TipoArredondamento&lt;&gt;"TransfereGOV",
              ROUND(OFFSET($P49,0,BA$13),15-13*ORÇAMENTO!$AF$7)/$H49*OFFSET(ORÇAMENTO!$X$15,ROW(BA49)-ROW(BA$15),0),
              ROUND(ROUND(OFFSET($P49,0,BA$13),15-13*ORÇAMENTO!$AF$7)*OFFSET(ORÇAMENTO!$W$15,ROW(BA49)-ROW(BA$15),0),15-13*ORÇAMENTO!$AF$11)),
         0)</f>
        <v>0</v>
      </c>
      <c r="BC49" s="171">
        <f ca="1">IF(OR($D49&lt;&gt;"Serviço",AND(AUTOEVENTO="Manual",$M49=$A$15)),0,
         IF(OFFSET(CRONOPLE!$F$15,$M49-$A$15,BC$13)=0,10^12,OFFSET(CRONOPLE!$F$15,$M49-$A$15,BC$13)))</f>
        <v>2</v>
      </c>
      <c r="BD49" s="171">
        <f ca="1">IF(OR($D49&lt;&gt;"Serviço",AND(AUTOEVENTO="Manual",$M49=$A$15)),0,
         IF(OFFSET(CRONOPLE!$F$15,$M49-$A$15,BD$13)=0,10^12,OFFSET(CRONOPLE!$F$15,$M49-$A$15,BD$13)))</f>
        <v>2</v>
      </c>
      <c r="BE49" s="171">
        <f ca="1">IF(OR($D49&lt;&gt;"Serviço",AND(AUTOEVENTO="Manual",$M49=$A$15)),0,
         IF(OFFSET(CRONOPLE!$F$15,$M49-$A$15,BE$13)=0,10^12,OFFSET(CRONOPLE!$F$15,$M49-$A$15,BE$13)))</f>
        <v>3</v>
      </c>
      <c r="BF49" s="171">
        <f ca="1">IF(OR($D49&lt;&gt;"Serviço",AND(AUTOEVENTO="Manual",$M49=$A$15)),0,
         IF(OFFSET(CRONOPLE!$F$15,$M49-$A$15,BF$13)=0,10^12,OFFSET(CRONOPLE!$F$15,$M49-$A$15,BF$13)))</f>
        <v>4</v>
      </c>
      <c r="BG49" s="171">
        <f ca="1">IF(OR($D49&lt;&gt;"Serviço",AND(AUTOEVENTO="Manual",$M49=$A$15)),0,
         IF(OFFSET(CRONOPLE!$F$15,$M49-$A$15,BG$13)=0,10^12,OFFSET(CRONOPLE!$F$15,$M49-$A$15,BG$13)))</f>
        <v>4</v>
      </c>
      <c r="BH49" s="171">
        <f ca="1">IF(OR($D49&lt;&gt;"Serviço",AND(AUTOEVENTO="Manual",$M49=$A$15)),0,
         IF(OFFSET(CRONOPLE!$F$15,$M49-$A$15,BH$13)=0,10^12,OFFSET(CRONOPLE!$F$15,$M49-$A$15,BH$13)))</f>
        <v>1000000000000</v>
      </c>
      <c r="BI49" s="171">
        <f ca="1">IF(OR($D49&lt;&gt;"Serviço",AND(AUTOEVENTO="Manual",$M49=$A$15)),0,
         IF(OFFSET(CRONOPLE!$F$15,$M49-$A$15,BI$13)=0,10^12,OFFSET(CRONOPLE!$F$15,$M49-$A$15,BI$13)))</f>
        <v>1000000000000</v>
      </c>
      <c r="BJ49" s="171">
        <f ca="1">IF(OR($D49&lt;&gt;"Serviço",AND(AUTOEVENTO="Manual",$M49=$A$15)),0,
         IF(OFFSET(CRONOPLE!$F$15,$M49-$A$15,BJ$13)=0,10^12,OFFSET(CRONOPLE!$F$15,$M49-$A$15,BJ$13)))</f>
        <v>1000000000000</v>
      </c>
      <c r="BK49" s="171">
        <f ca="1">IF(OR($D49&lt;&gt;"Serviço",AND(AUTOEVENTO="Manual",$M49=$A$15)),0,
         IF(OFFSET(CRONOPLE!$F$15,$M49-$A$15,BK$13)=0,10^12,OFFSET(CRONOPLE!$F$15,$M49-$A$15,BK$13)))</f>
        <v>1000000000000</v>
      </c>
      <c r="BL49" s="171">
        <f ca="1">IF(OR($D49&lt;&gt;"Serviço",AND(AUTOEVENTO="Manual",$M49=$A$15)),0,
         IF(OFFSET(CRONOPLE!$F$15,$M49-$A$15,BL$13)=0,10^12,OFFSET(CRONOPLE!$F$15,$M49-$A$15,BL$13)))</f>
        <v>1000000000000</v>
      </c>
      <c r="BM49" s="171">
        <f ca="1">IF(OR($D49&lt;&gt;"Serviço",AND(AUTOEVENTO="Manual",$M49=$A$15)),0,
         IF(OFFSET(CRONOPLE!$F$15,$M49-$A$15,BM$13)=0,10^12,OFFSET(CRONOPLE!$F$15,$M49-$A$15,BM$13)))</f>
        <v>1000000000000</v>
      </c>
      <c r="BN49" s="171">
        <f ca="1">IF(OR($D49&lt;&gt;"Serviço",AND(AUTOEVENTO="Manual",$M49=$A$15)),0,
         IF(OFFSET(CRONOPLE!$F$15,$M49-$A$15,BN$13)=0,10^12,OFFSET(CRONOPLE!$F$15,$M49-$A$15,BN$13)))</f>
        <v>1000000000000</v>
      </c>
      <c r="BO49" s="171">
        <f ca="1">IF(OR($D49&lt;&gt;"Serviço",AND(AUTOEVENTO="Manual",$M49=$A$15)),0,
         IF(OFFSET(CRONOPLE!$F$15,$M49-$A$15,BO$13)=0,10^12,OFFSET(CRONOPLE!$F$15,$M49-$A$15,BO$13)))</f>
        <v>1000000000000</v>
      </c>
      <c r="BP49" s="171">
        <f ca="1">IF(OR($D49&lt;&gt;"Serviço",AND(AUTOEVENTO="Manual",$M49=$A$15)),0,
         IF(OFFSET(CRONOPLE!$F$15,$M49-$A$15,BP$13)=0,10^12,OFFSET(CRONOPLE!$F$15,$M49-$A$15,BP$13)))</f>
        <v>1000000000000</v>
      </c>
      <c r="BQ49" s="171">
        <f ca="1">IF(OR($D49&lt;&gt;"Serviço",AND(AUTOEVENTO="Manual",$M49=$A$15)),0,
         IF(OFFSET(CRONOPLE!$F$15,$M49-$A$15,BQ$13)=0,10^12,OFFSET(CRONOPLE!$F$15,$M49-$A$15,BQ$13)))</f>
        <v>1000000000000</v>
      </c>
      <c r="BR49" s="171">
        <f ca="1">IF(OR($D49&lt;&gt;"Serviço",AND(AUTOEVENTO="Manual",$M49=$A$15)),0,
         IF(OFFSET(CRONOPLE!$F$15,$M49-$A$15,BR$13)=0,10^12,OFFSET(CRONOPLE!$F$15,$M49-$A$15,BR$13)))</f>
        <v>1000000000000</v>
      </c>
      <c r="BS49" s="171">
        <f ca="1">IF(OR($D49&lt;&gt;"Serviço",AND(AUTOEVENTO="Manual",$M49=$A$15)),0,
         IF(OFFSET(CRONOPLE!$F$15,$M49-$A$15,BS$13)=0,10^12,OFFSET(CRONOPLE!$F$15,$M49-$A$15,BS$13)))</f>
        <v>1000000000000</v>
      </c>
      <c r="BT49" s="171">
        <f ca="1">IF(OR($D49&lt;&gt;"Serviço",AND(AUTOEVENTO="Manual",$M49=$A$15)),0,
         IF(OFFSET(CRONOPLE!$F$15,$M49-$A$15,BT$13)=0,10^12,OFFSET(CRONOPLE!$F$15,$M49-$A$15,BT$13)))</f>
        <v>1000000000000</v>
      </c>
      <c r="BV49" s="172">
        <f t="array" aca="1" ref="BV49" ca="1">IF(OR($D49&lt;&gt;"Serviço",AND(AUTOEVENTO="Manual",$M49=$A$15),$M49&gt;(ROW(PLE.lastrow)-ROW(PLE.firstrow))),0,
           IF(OFFSET(PLE!$G$15,$M49-$A$15,BV$13)="",10^12,OFFSET(PLE!$G$15,$M49-$A$15,BV$13)))</f>
        <v>1000000000000</v>
      </c>
      <c r="BW49" s="172">
        <f t="array" aca="1" ref="BW49" ca="1">IF(OR($D49&lt;&gt;"Serviço",AND(AUTOEVENTO="Manual",$M49=$A$15),$M49&gt;(ROW(PLE.lastrow)-ROW(PLE.firstrow))),0,
           IF(OFFSET(PLE!$G$15,$M49-$A$15,BW$13)="",10^12,OFFSET(PLE!$G$15,$M49-$A$15,BW$13)))</f>
        <v>1000000000000</v>
      </c>
      <c r="BX49" s="172">
        <f t="array" aca="1" ref="BX49" ca="1">IF(OR($D49&lt;&gt;"Serviço",AND(AUTOEVENTO="Manual",$M49=$A$15),$M49&gt;(ROW(PLE.lastrow)-ROW(PLE.firstrow))),0,
           IF(OFFSET(PLE!$G$15,$M49-$A$15,BX$13)="",10^12,OFFSET(PLE!$G$15,$M49-$A$15,BX$13)))</f>
        <v>1000000000000</v>
      </c>
      <c r="BY49" s="172">
        <f t="array" aca="1" ref="BY49" ca="1">IF(OR($D49&lt;&gt;"Serviço",AND(AUTOEVENTO="Manual",$M49=$A$15),$M49&gt;(ROW(PLE.lastrow)-ROW(PLE.firstrow))),0,
           IF(OFFSET(PLE!$G$15,$M49-$A$15,BY$13)="",10^12,OFFSET(PLE!$G$15,$M49-$A$15,BY$13)))</f>
        <v>1000000000000</v>
      </c>
      <c r="BZ49" s="172">
        <f t="array" aca="1" ref="BZ49" ca="1">IF(OR($D49&lt;&gt;"Serviço",AND(AUTOEVENTO="Manual",$M49=$A$15),$M49&gt;(ROW(PLE.lastrow)-ROW(PLE.firstrow))),0,
           IF(OFFSET(PLE!$G$15,$M49-$A$15,BZ$13)="",10^12,OFFSET(PLE!$G$15,$M49-$A$15,BZ$13)))</f>
        <v>1000000000000</v>
      </c>
      <c r="CA49" s="172">
        <f t="array" aca="1" ref="CA49" ca="1">IF(OR($D49&lt;&gt;"Serviço",AND(AUTOEVENTO="Manual",$M49=$A$15),$M49&gt;(ROW(PLE.lastrow)-ROW(PLE.firstrow))),0,
           IF(OFFSET(PLE!$G$15,$M49-$A$15,CA$13)="",10^12,OFFSET(PLE!$G$15,$M49-$A$15,CA$13)))</f>
        <v>1000000000000</v>
      </c>
      <c r="CB49" s="172">
        <f t="array" aca="1" ref="CB49" ca="1">IF(OR($D49&lt;&gt;"Serviço",AND(AUTOEVENTO="Manual",$M49=$A$15),$M49&gt;(ROW(PLE.lastrow)-ROW(PLE.firstrow))),0,
           IF(OFFSET(PLE!$G$15,$M49-$A$15,CB$13)="",10^12,OFFSET(PLE!$G$15,$M49-$A$15,CB$13)))</f>
        <v>1000000000000</v>
      </c>
      <c r="CC49" s="172">
        <f t="array" aca="1" ref="CC49" ca="1">IF(OR($D49&lt;&gt;"Serviço",AND(AUTOEVENTO="Manual",$M49=$A$15),$M49&gt;(ROW(PLE.lastrow)-ROW(PLE.firstrow))),0,
           IF(OFFSET(PLE!$G$15,$M49-$A$15,CC$13)="",10^12,OFFSET(PLE!$G$15,$M49-$A$15,CC$13)))</f>
        <v>1000000000000</v>
      </c>
      <c r="CD49" s="172">
        <f t="array" aca="1" ref="CD49" ca="1">IF(OR($D49&lt;&gt;"Serviço",AND(AUTOEVENTO="Manual",$M49=$A$15),$M49&gt;(ROW(PLE.lastrow)-ROW(PLE.firstrow))),0,
           IF(OFFSET(PLE!$G$15,$M49-$A$15,CD$13)="",10^12,OFFSET(PLE!$G$15,$M49-$A$15,CD$13)))</f>
        <v>1000000000000</v>
      </c>
      <c r="CE49" s="172">
        <f t="array" aca="1" ref="CE49" ca="1">IF(OR($D49&lt;&gt;"Serviço",AND(AUTOEVENTO="Manual",$M49=$A$15),$M49&gt;(ROW(PLE.lastrow)-ROW(PLE.firstrow))),0,
           IF(OFFSET(PLE!$G$15,$M49-$A$15,CE$13)="",10^12,OFFSET(PLE!$G$15,$M49-$A$15,CE$13)))</f>
        <v>1000000000000</v>
      </c>
      <c r="CF49" s="172">
        <f t="array" aca="1" ref="CF49" ca="1">IF(OR($D49&lt;&gt;"Serviço",AND(AUTOEVENTO="Manual",$M49=$A$15),$M49&gt;(ROW(PLE.lastrow)-ROW(PLE.firstrow))),0,
           IF(OFFSET(PLE!$G$15,$M49-$A$15,CF$13)="",10^12,OFFSET(PLE!$G$15,$M49-$A$15,CF$13)))</f>
        <v>1000000000000</v>
      </c>
      <c r="CG49" s="172">
        <f t="array" aca="1" ref="CG49" ca="1">IF(OR($D49&lt;&gt;"Serviço",AND(AUTOEVENTO="Manual",$M49=$A$15),$M49&gt;(ROW(PLE.lastrow)-ROW(PLE.firstrow))),0,
           IF(OFFSET(PLE!$G$15,$M49-$A$15,CG$13)="",10^12,OFFSET(PLE!$G$15,$M49-$A$15,CG$13)))</f>
        <v>1000000000000</v>
      </c>
      <c r="CH49" s="172">
        <f t="array" aca="1" ref="CH49" ca="1">IF(OR($D49&lt;&gt;"Serviço",AND(AUTOEVENTO="Manual",$M49=$A$15),$M49&gt;(ROW(PLE.lastrow)-ROW(PLE.firstrow))),0,
           IF(OFFSET(PLE!$G$15,$M49-$A$15,CH$13)="",10^12,OFFSET(PLE!$G$15,$M49-$A$15,CH$13)))</f>
        <v>1000000000000</v>
      </c>
      <c r="CI49" s="172">
        <f t="array" aca="1" ref="CI49" ca="1">IF(OR($D49&lt;&gt;"Serviço",AND(AUTOEVENTO="Manual",$M49=$A$15),$M49&gt;(ROW(PLE.lastrow)-ROW(PLE.firstrow))),0,
           IF(OFFSET(PLE!$G$15,$M49-$A$15,CI$13)="",10^12,OFFSET(PLE!$G$15,$M49-$A$15,CI$13)))</f>
        <v>1000000000000</v>
      </c>
      <c r="CJ49" s="172">
        <f t="array" aca="1" ref="CJ49" ca="1">IF(OR($D49&lt;&gt;"Serviço",AND(AUTOEVENTO="Manual",$M49=$A$15),$M49&gt;(ROW(PLE.lastrow)-ROW(PLE.firstrow))),0,
           IF(OFFSET(PLE!$G$15,$M49-$A$15,CJ$13)="",10^12,OFFSET(PLE!$G$15,$M49-$A$15,CJ$13)))</f>
        <v>1000000000000</v>
      </c>
      <c r="CK49" s="172">
        <f t="array" aca="1" ref="CK49" ca="1">IF(OR($D49&lt;&gt;"Serviço",AND(AUTOEVENTO="Manual",$M49=$A$15),$M49&gt;(ROW(PLE.lastrow)-ROW(PLE.firstrow))),0,
           IF(OFFSET(PLE!$G$15,$M49-$A$15,CK$13)="",10^12,OFFSET(PLE!$G$15,$M49-$A$15,CK$13)))</f>
        <v>1000000000000</v>
      </c>
      <c r="CL49" s="172">
        <f t="array" aca="1" ref="CL49" ca="1">IF(OR($D49&lt;&gt;"Serviço",AND(AUTOEVENTO="Manual",$M49=$A$15),$M49&gt;(ROW(PLE.lastrow)-ROW(PLE.firstrow))),0,
           IF(OFFSET(PLE!$G$15,$M49-$A$15,CL$13)="",10^12,OFFSET(PLE!$G$15,$M49-$A$15,CL$13)))</f>
        <v>1000000000000</v>
      </c>
      <c r="CM49" s="172">
        <f t="array" aca="1" ref="CM49" ca="1">IF(OR($D49&lt;&gt;"Serviço",AND(AUTOEVENTO="Manual",$M49=$A$15),$M49&gt;(ROW(PLE.lastrow)-ROW(PLE.firstrow))),0,
           IF(OFFSET(PLE!$G$15,$M49-$A$15,CM$13)="",10^12,OFFSET(PLE!$G$15,$M49-$A$15,CM$13)))</f>
        <v>1000000000000</v>
      </c>
    </row>
    <row r="50" spans="1:91" s="712" customFormat="1" ht="25.5" x14ac:dyDescent="0.2">
      <c r="A50" s="710">
        <f ca="1">IFERROR(IF(AUTOEVENTO="Manual",IF(K50&lt;&gt;"",MIN(VALUE(LEFT(K50,FIND(".",K50)-1)),COUNTA(EVENTOS.Lista)),0),IF(OR($B50&gt;AUTOEVENTO,$B50="S",$B50=0),SUBSTITUTE(OFFSET($A50,-1,0),IF($D50="Serviço",".",""),""),$L50&amp;".")),0)</f>
        <v>5</v>
      </c>
      <c r="B50" s="710" t="str">
        <f ca="1">OFFSET(ORÇAMENTO!C$15,$L50,0)</f>
        <v>S</v>
      </c>
      <c r="C50" s="710" t="str">
        <f ca="1">OFFSET(ORÇAMENTO!L$15,$L50,0)</f>
        <v>F</v>
      </c>
      <c r="D50" s="116" t="str">
        <f ca="1">OFFSET(ORÇAMENTO!N$15,$L50,0)</f>
        <v>Serviço</v>
      </c>
      <c r="E50" s="117" t="str">
        <f ca="1">OFFSET(ORÇAMENTO!O$15,$L50,0)</f>
        <v>1.5.8.</v>
      </c>
      <c r="F50" s="163" t="str">
        <f ca="1">OFFSET(ORÇAMENTO!R$15,$L50,0)</f>
        <v>REATERRO MANUAL DE VALAS, COM COMPACTADOR DE SOLOS DE PERCUSSÃO. AF_08/2023</v>
      </c>
      <c r="G50" s="164" t="str">
        <f ca="1">IF($D50&lt;&gt;"Serviço","",OFFSET(ORÇAMENTO!S$15,$L50,0))</f>
        <v>M3</v>
      </c>
      <c r="H50" s="122">
        <f t="array" aca="1" ref="H50" ca="1">IF($D50&lt;&gt;"Serviço",0,IF(ACOMPANHAMENTO="BM",ROUND(OFFSET(ORÇAMENTO!AJ$15,$L50,0),15-13*ORÇAMENTO!$AF$7),IF(IFERROR(CÁLCULO.FrentesPreenchidas,0)=0,0,SUM(ROUND(OFFSET($P50,0,1,1,CÁLCULO.FrentesPreenchidas),15-13*ORÇAMENTO!$AF$7)))))</f>
        <v>64.2</v>
      </c>
      <c r="I50" s="467" t="s">
        <v>1461</v>
      </c>
      <c r="J50" s="653" t="str">
        <f t="array" aca="1" ref="J50" ca="1">IF(OR(B50&lt;&gt;"S",CÁLCULO.FrentesPreenchidas=0),"",IF(AND(ACOMPANHAMENTO="PLE",AUTOEVENTO="Manual",OR(H50&gt;0,ORÇAMENTO!AC50="QUANT."),OR(K50="",M50=0,N50="")),"►E",IF(AND(ACOMPANHAMENTO="PLE",ORÇAMENTO!AC50="QUANT."),"►Q",IF(AND(ACOMPANHAMENTO="PLE",H50&lt;&gt;SUMPRODUCT(($Q$1:$AI$1=1)*ROUND(Q50:AI50,15))),"►S",IF(AND(COUNTIF($P$11:$AI$11,"▼")=0,H50&gt;0,I50=""),"◄M","")))))</f>
        <v/>
      </c>
      <c r="K50" s="654" t="s">
        <v>1384</v>
      </c>
      <c r="L50" s="165">
        <f ca="1">OFFSET(L50,-1,0)+1</f>
        <v>35</v>
      </c>
      <c r="M50" s="166">
        <f ca="1">IF($D50&lt;&gt;"Serviço","",
          IF(AUTOEVENTO="manual",$A50,
                IF(ISERROR(MATCH($A50,$A$15:OFFSET($A50,-1,0),0)),MAX($M$15:OFFSET(M50,-1,0))+1,
                      INDEX($M$15:OFFSET(M50,-1,0),MATCH($A50,$A$15:OFFSET($A50,-1,0),0)))))</f>
        <v>5</v>
      </c>
      <c r="N50" s="167" t="str">
        <f ca="1">IF($D50&lt;&gt;"Serviço","",
         IF(AUTOEVENTO="Manual",
                IF($A50=0,"&lt;-- defina o número do agrupador",
                       OFFSET(EVENTOS!$D$15,$A50-$A$15,0)),
                OFFSET($F$15,$A50,0)))</f>
        <v>BALDRAMES (ESCAVAÇÕES, FORMAS, AÇO, CONCRETAGEM)</v>
      </c>
      <c r="O50" s="168"/>
      <c r="Q50" s="168">
        <f>3.21*5</f>
        <v>16.05</v>
      </c>
      <c r="R50" s="168">
        <f t="shared" ref="R50:T50" si="27">3.21*5</f>
        <v>16.05</v>
      </c>
      <c r="S50" s="168">
        <f t="shared" si="27"/>
        <v>16.05</v>
      </c>
      <c r="T50" s="168">
        <f t="shared" si="27"/>
        <v>16.05</v>
      </c>
      <c r="U50" s="169"/>
      <c r="V50" s="169"/>
      <c r="W50" s="169"/>
      <c r="X50" s="169"/>
      <c r="Y50" s="169"/>
      <c r="Z50" s="170"/>
      <c r="AA50" s="169"/>
      <c r="AB50" s="169"/>
      <c r="AC50" s="169"/>
      <c r="AD50" s="169"/>
      <c r="AE50" s="169"/>
      <c r="AF50" s="169"/>
      <c r="AG50" s="169"/>
      <c r="AH50" s="170"/>
      <c r="AJ50" s="452">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437.52</v>
      </c>
      <c r="AK50" s="452">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437.52</v>
      </c>
      <c r="AL50" s="452">
        <f ca="1">IF(AND($D50="Serviço",AL$12&lt;&gt;0,$H50&gt;0,OR(AUTOEVENTO&lt;&gt;"manual",$M50&lt;&gt;$A$15)),
        IF(Import.TipoArredondamento&lt;&gt;"TransfereGOV",
              ROUND(OFFSET($P50,0,AL$13),15-13*ORÇAMENTO!$AF$7)/$H50*OFFSET(ORÇAMENTO!$X$15,ROW(AL50)-ROW(AL$15),0),
              ROUND(ROUND(OFFSET($P50,0,AL$13),15-13*ORÇAMENTO!$AF$7)*OFFSET(ORÇAMENTO!$W$15,ROW(AL50)-ROW(AL$15),0),15-13*ORÇAMENTO!$AF$11)),
         0)</f>
        <v>437.52</v>
      </c>
      <c r="AM50" s="452">
        <f ca="1">IF(AND($D50="Serviço",AM$12&lt;&gt;0,$H50&gt;0,OR(AUTOEVENTO&lt;&gt;"manual",$M50&lt;&gt;$A$15)),
        IF(Import.TipoArredondamento&lt;&gt;"TransfereGOV",
              ROUND(OFFSET($P50,0,AM$13),15-13*ORÇAMENTO!$AF$7)/$H50*OFFSET(ORÇAMENTO!$X$15,ROW(AM50)-ROW(AM$15),0),
              ROUND(ROUND(OFFSET($P50,0,AM$13),15-13*ORÇAMENTO!$AF$7)*OFFSET(ORÇAMENTO!$W$15,ROW(AM50)-ROW(AM$15),0),15-13*ORÇAMENTO!$AF$11)),
         0)</f>
        <v>437.52</v>
      </c>
      <c r="AN50" s="452">
        <f ca="1">IF(AND($D50="Serviço",AN$12&lt;&gt;0,$H50&gt;0,OR(AUTOEVENTO&lt;&gt;"manual",$M50&lt;&gt;$A$15)),
        IF(Import.TipoArredondamento&lt;&gt;"TransfereGOV",
              ROUND(OFFSET($P50,0,AN$13),15-13*ORÇAMENTO!$AF$7)/$H50*OFFSET(ORÇAMENTO!$X$15,ROW(AN50)-ROW(AN$15),0),
              ROUND(ROUND(OFFSET($P50,0,AN$13),15-13*ORÇAMENTO!$AF$7)*OFFSET(ORÇAMENTO!$W$15,ROW(AN50)-ROW(AN$15),0),15-13*ORÇAMENTO!$AF$11)),
         0)</f>
        <v>0</v>
      </c>
      <c r="AO50" s="452">
        <f ca="1">IF(AND($D50="Serviço",AO$12&lt;&gt;0,$H50&gt;0,OR(AUTOEVENTO&lt;&gt;"manual",$M50&lt;&gt;$A$15)),
        IF(Import.TipoArredondamento&lt;&gt;"TransfereGOV",
              ROUND(OFFSET($P50,0,AO$13),15-13*ORÇAMENTO!$AF$7)/$H50*OFFSET(ORÇAMENTO!$X$15,ROW(AO50)-ROW(AO$15),0),
              ROUND(ROUND(OFFSET($P50,0,AO$13),15-13*ORÇAMENTO!$AF$7)*OFFSET(ORÇAMENTO!$W$15,ROW(AO50)-ROW(AO$15),0),15-13*ORÇAMENTO!$AF$11)),
         0)</f>
        <v>0</v>
      </c>
      <c r="AP50" s="452">
        <f ca="1">IF(AND($D50="Serviço",AP$12&lt;&gt;0,$H50&gt;0,OR(AUTOEVENTO&lt;&gt;"manual",$M50&lt;&gt;$A$15)),
        IF(Import.TipoArredondamento&lt;&gt;"TransfereGOV",
              ROUND(OFFSET($P50,0,AP$13),15-13*ORÇAMENTO!$AF$7)/$H50*OFFSET(ORÇAMENTO!$X$15,ROW(AP50)-ROW(AP$15),0),
              ROUND(ROUND(OFFSET($P50,0,AP$13),15-13*ORÇAMENTO!$AF$7)*OFFSET(ORÇAMENTO!$W$15,ROW(AP50)-ROW(AP$15),0),15-13*ORÇAMENTO!$AF$11)),
         0)</f>
        <v>0</v>
      </c>
      <c r="AQ50" s="452">
        <f ca="1">IF(AND($D50="Serviço",AQ$12&lt;&gt;0,$H50&gt;0,OR(AUTOEVENTO&lt;&gt;"manual",$M50&lt;&gt;$A$15)),
        IF(Import.TipoArredondamento&lt;&gt;"TransfereGOV",
              ROUND(OFFSET($P50,0,AQ$13),15-13*ORÇAMENTO!$AF$7)/$H50*OFFSET(ORÇAMENTO!$X$15,ROW(AQ50)-ROW(AQ$15),0),
              ROUND(ROUND(OFFSET($P50,0,AQ$13),15-13*ORÇAMENTO!$AF$7)*OFFSET(ORÇAMENTO!$W$15,ROW(AQ50)-ROW(AQ$15),0),15-13*ORÇAMENTO!$AF$11)),
         0)</f>
        <v>0</v>
      </c>
      <c r="AR50" s="452">
        <f ca="1">IF(AND($D50="Serviço",AR$12&lt;&gt;0,$H50&gt;0,OR(AUTOEVENTO&lt;&gt;"manual",$M50&lt;&gt;$A$15)),
        IF(Import.TipoArredondamento&lt;&gt;"TransfereGOV",
              ROUND(OFFSET($P50,0,AR$13),15-13*ORÇAMENTO!$AF$7)/$H50*OFFSET(ORÇAMENTO!$X$15,ROW(AR50)-ROW(AR$15),0),
              ROUND(ROUND(OFFSET($P50,0,AR$13),15-13*ORÇAMENTO!$AF$7)*OFFSET(ORÇAMENTO!$W$15,ROW(AR50)-ROW(AR$15),0),15-13*ORÇAMENTO!$AF$11)),
         0)</f>
        <v>0</v>
      </c>
      <c r="AS50" s="452">
        <f ca="1">IF(AND($D50="Serviço",AS$12&lt;&gt;0,$H50&gt;0,OR(AUTOEVENTO&lt;&gt;"manual",$M50&lt;&gt;$A$15)),
        IF(Import.TipoArredondamento&lt;&gt;"TransfereGOV",
              ROUND(OFFSET($P50,0,AS$13),15-13*ORÇAMENTO!$AF$7)/$H50*OFFSET(ORÇAMENTO!$X$15,ROW(AS50)-ROW(AS$15),0),
              ROUND(ROUND(OFFSET($P50,0,AS$13),15-13*ORÇAMENTO!$AF$7)*OFFSET(ORÇAMENTO!$W$15,ROW(AS50)-ROW(AS$15),0),15-13*ORÇAMENTO!$AF$11)),
         0)</f>
        <v>0</v>
      </c>
      <c r="AT50" s="452">
        <f ca="1">IF(AND($D50="Serviço",AT$12&lt;&gt;0,$H50&gt;0,OR(AUTOEVENTO&lt;&gt;"manual",$M50&lt;&gt;$A$15)),
        IF(Import.TipoArredondamento&lt;&gt;"TransfereGOV",
              ROUND(OFFSET($P50,0,AT$13),15-13*ORÇAMENTO!$AF$7)/$H50*OFFSET(ORÇAMENTO!$X$15,ROW(AT50)-ROW(AT$15),0),
              ROUND(ROUND(OFFSET($P50,0,AT$13),15-13*ORÇAMENTO!$AF$7)*OFFSET(ORÇAMENTO!$W$15,ROW(AT50)-ROW(AT$15),0),15-13*ORÇAMENTO!$AF$11)),
         0)</f>
        <v>0</v>
      </c>
      <c r="AU50" s="452">
        <f ca="1">IF(AND($D50="Serviço",AU$12&lt;&gt;0,$H50&gt;0,OR(AUTOEVENTO&lt;&gt;"manual",$M50&lt;&gt;$A$15)),
        IF(Import.TipoArredondamento&lt;&gt;"TransfereGOV",
              ROUND(OFFSET($P50,0,AU$13),15-13*ORÇAMENTO!$AF$7)/$H50*OFFSET(ORÇAMENTO!$X$15,ROW(AU50)-ROW(AU$15),0),
              ROUND(ROUND(OFFSET($P50,0,AU$13),15-13*ORÇAMENTO!$AF$7)*OFFSET(ORÇAMENTO!$W$15,ROW(AU50)-ROW(AU$15),0),15-13*ORÇAMENTO!$AF$11)),
         0)</f>
        <v>0</v>
      </c>
      <c r="AV50" s="452">
        <f ca="1">IF(AND($D50="Serviço",AV$12&lt;&gt;0,$H50&gt;0,OR(AUTOEVENTO&lt;&gt;"manual",$M50&lt;&gt;$A$15)),
        IF(Import.TipoArredondamento&lt;&gt;"TransfereGOV",
              ROUND(OFFSET($P50,0,AV$13),15-13*ORÇAMENTO!$AF$7)/$H50*OFFSET(ORÇAMENTO!$X$15,ROW(AV50)-ROW(AV$15),0),
              ROUND(ROUND(OFFSET($P50,0,AV$13),15-13*ORÇAMENTO!$AF$7)*OFFSET(ORÇAMENTO!$W$15,ROW(AV50)-ROW(AV$15),0),15-13*ORÇAMENTO!$AF$11)),
         0)</f>
        <v>0</v>
      </c>
      <c r="AW50" s="452">
        <f ca="1">IF(AND($D50="Serviço",AW$12&lt;&gt;0,$H50&gt;0,OR(AUTOEVENTO&lt;&gt;"manual",$M50&lt;&gt;$A$15)),
        IF(Import.TipoArredondamento&lt;&gt;"TransfereGOV",
              ROUND(OFFSET($P50,0,AW$13),15-13*ORÇAMENTO!$AF$7)/$H50*OFFSET(ORÇAMENTO!$X$15,ROW(AW50)-ROW(AW$15),0),
              ROUND(ROUND(OFFSET($P50,0,AW$13),15-13*ORÇAMENTO!$AF$7)*OFFSET(ORÇAMENTO!$W$15,ROW(AW50)-ROW(AW$15),0),15-13*ORÇAMENTO!$AF$11)),
         0)</f>
        <v>0</v>
      </c>
      <c r="AX50" s="452">
        <f ca="1">IF(AND($D50="Serviço",AX$12&lt;&gt;0,$H50&gt;0,OR(AUTOEVENTO&lt;&gt;"manual",$M50&lt;&gt;$A$15)),
        IF(Import.TipoArredondamento&lt;&gt;"TransfereGOV",
              ROUND(OFFSET($P50,0,AX$13),15-13*ORÇAMENTO!$AF$7)/$H50*OFFSET(ORÇAMENTO!$X$15,ROW(AX50)-ROW(AX$15),0),
              ROUND(ROUND(OFFSET($P50,0,AX$13),15-13*ORÇAMENTO!$AF$7)*OFFSET(ORÇAMENTO!$W$15,ROW(AX50)-ROW(AX$15),0),15-13*ORÇAMENTO!$AF$11)),
         0)</f>
        <v>0</v>
      </c>
      <c r="AY50" s="452">
        <f ca="1">IF(AND($D50="Serviço",AY$12&lt;&gt;0,$H50&gt;0,OR(AUTOEVENTO&lt;&gt;"manual",$M50&lt;&gt;$A$15)),
        IF(Import.TipoArredondamento&lt;&gt;"TransfereGOV",
              ROUND(OFFSET($P50,0,AY$13),15-13*ORÇAMENTO!$AF$7)/$H50*OFFSET(ORÇAMENTO!$X$15,ROW(AY50)-ROW(AY$15),0),
              ROUND(ROUND(OFFSET($P50,0,AY$13),15-13*ORÇAMENTO!$AF$7)*OFFSET(ORÇAMENTO!$W$15,ROW(AY50)-ROW(AY$15),0),15-13*ORÇAMENTO!$AF$11)),
         0)</f>
        <v>0</v>
      </c>
      <c r="AZ50" s="452">
        <f ca="1">IF(AND($D50="Serviço",AZ$12&lt;&gt;0,$H50&gt;0,OR(AUTOEVENTO&lt;&gt;"manual",$M50&lt;&gt;$A$15)),
        IF(Import.TipoArredondamento&lt;&gt;"TransfereGOV",
              ROUND(OFFSET($P50,0,AZ$13),15-13*ORÇAMENTO!$AF$7)/$H50*OFFSET(ORÇAMENTO!$X$15,ROW(AZ50)-ROW(AZ$15),0),
              ROUND(ROUND(OFFSET($P50,0,AZ$13),15-13*ORÇAMENTO!$AF$7)*OFFSET(ORÇAMENTO!$W$15,ROW(AZ50)-ROW(AZ$15),0),15-13*ORÇAMENTO!$AF$11)),
         0)</f>
        <v>0</v>
      </c>
      <c r="BA50" s="452">
        <f ca="1">IF(AND($D50="Serviço",BA$12&lt;&gt;0,$H50&gt;0,OR(AUTOEVENTO&lt;&gt;"manual",$M50&lt;&gt;$A$15)),
        IF(Import.TipoArredondamento&lt;&gt;"TransfereGOV",
              ROUND(OFFSET($P50,0,BA$13),15-13*ORÇAMENTO!$AF$7)/$H50*OFFSET(ORÇAMENTO!$X$15,ROW(BA50)-ROW(BA$15),0),
              ROUND(ROUND(OFFSET($P50,0,BA$13),15-13*ORÇAMENTO!$AF$7)*OFFSET(ORÇAMENTO!$W$15,ROW(BA50)-ROW(BA$15),0),15-13*ORÇAMENTO!$AF$11)),
         0)</f>
        <v>0</v>
      </c>
      <c r="BC50" s="171">
        <f ca="1">IF(OR($D50&lt;&gt;"Serviço",AND(AUTOEVENTO="Manual",$M50=$A$15)),0,
         IF(OFFSET(CRONOPLE!$F$15,$M50-$A$15,BC$13)=0,10^12,OFFSET(CRONOPLE!$F$15,$M50-$A$15,BC$13)))</f>
        <v>2</v>
      </c>
      <c r="BD50" s="171">
        <f ca="1">IF(OR($D50&lt;&gt;"Serviço",AND(AUTOEVENTO="Manual",$M50=$A$15)),0,
         IF(OFFSET(CRONOPLE!$F$15,$M50-$A$15,BD$13)=0,10^12,OFFSET(CRONOPLE!$F$15,$M50-$A$15,BD$13)))</f>
        <v>2</v>
      </c>
      <c r="BE50" s="171">
        <f ca="1">IF(OR($D50&lt;&gt;"Serviço",AND(AUTOEVENTO="Manual",$M50=$A$15)),0,
         IF(OFFSET(CRONOPLE!$F$15,$M50-$A$15,BE$13)=0,10^12,OFFSET(CRONOPLE!$F$15,$M50-$A$15,BE$13)))</f>
        <v>3</v>
      </c>
      <c r="BF50" s="171">
        <f ca="1">IF(OR($D50&lt;&gt;"Serviço",AND(AUTOEVENTO="Manual",$M50=$A$15)),0,
         IF(OFFSET(CRONOPLE!$F$15,$M50-$A$15,BF$13)=0,10^12,OFFSET(CRONOPLE!$F$15,$M50-$A$15,BF$13)))</f>
        <v>4</v>
      </c>
      <c r="BG50" s="171">
        <f ca="1">IF(OR($D50&lt;&gt;"Serviço",AND(AUTOEVENTO="Manual",$M50=$A$15)),0,
         IF(OFFSET(CRONOPLE!$F$15,$M50-$A$15,BG$13)=0,10^12,OFFSET(CRONOPLE!$F$15,$M50-$A$15,BG$13)))</f>
        <v>4</v>
      </c>
      <c r="BH50" s="171">
        <f ca="1">IF(OR($D50&lt;&gt;"Serviço",AND(AUTOEVENTO="Manual",$M50=$A$15)),0,
         IF(OFFSET(CRONOPLE!$F$15,$M50-$A$15,BH$13)=0,10^12,OFFSET(CRONOPLE!$F$15,$M50-$A$15,BH$13)))</f>
        <v>1000000000000</v>
      </c>
      <c r="BI50" s="171">
        <f ca="1">IF(OR($D50&lt;&gt;"Serviço",AND(AUTOEVENTO="Manual",$M50=$A$15)),0,
         IF(OFFSET(CRONOPLE!$F$15,$M50-$A$15,BI$13)=0,10^12,OFFSET(CRONOPLE!$F$15,$M50-$A$15,BI$13)))</f>
        <v>1000000000000</v>
      </c>
      <c r="BJ50" s="171">
        <f ca="1">IF(OR($D50&lt;&gt;"Serviço",AND(AUTOEVENTO="Manual",$M50=$A$15)),0,
         IF(OFFSET(CRONOPLE!$F$15,$M50-$A$15,BJ$13)=0,10^12,OFFSET(CRONOPLE!$F$15,$M50-$A$15,BJ$13)))</f>
        <v>1000000000000</v>
      </c>
      <c r="BK50" s="171">
        <f ca="1">IF(OR($D50&lt;&gt;"Serviço",AND(AUTOEVENTO="Manual",$M50=$A$15)),0,
         IF(OFFSET(CRONOPLE!$F$15,$M50-$A$15,BK$13)=0,10^12,OFFSET(CRONOPLE!$F$15,$M50-$A$15,BK$13)))</f>
        <v>1000000000000</v>
      </c>
      <c r="BL50" s="171">
        <f ca="1">IF(OR($D50&lt;&gt;"Serviço",AND(AUTOEVENTO="Manual",$M50=$A$15)),0,
         IF(OFFSET(CRONOPLE!$F$15,$M50-$A$15,BL$13)=0,10^12,OFFSET(CRONOPLE!$F$15,$M50-$A$15,BL$13)))</f>
        <v>1000000000000</v>
      </c>
      <c r="BM50" s="171">
        <f ca="1">IF(OR($D50&lt;&gt;"Serviço",AND(AUTOEVENTO="Manual",$M50=$A$15)),0,
         IF(OFFSET(CRONOPLE!$F$15,$M50-$A$15,BM$13)=0,10^12,OFFSET(CRONOPLE!$F$15,$M50-$A$15,BM$13)))</f>
        <v>1000000000000</v>
      </c>
      <c r="BN50" s="171">
        <f ca="1">IF(OR($D50&lt;&gt;"Serviço",AND(AUTOEVENTO="Manual",$M50=$A$15)),0,
         IF(OFFSET(CRONOPLE!$F$15,$M50-$A$15,BN$13)=0,10^12,OFFSET(CRONOPLE!$F$15,$M50-$A$15,BN$13)))</f>
        <v>1000000000000</v>
      </c>
      <c r="BO50" s="171">
        <f ca="1">IF(OR($D50&lt;&gt;"Serviço",AND(AUTOEVENTO="Manual",$M50=$A$15)),0,
         IF(OFFSET(CRONOPLE!$F$15,$M50-$A$15,BO$13)=0,10^12,OFFSET(CRONOPLE!$F$15,$M50-$A$15,BO$13)))</f>
        <v>1000000000000</v>
      </c>
      <c r="BP50" s="171">
        <f ca="1">IF(OR($D50&lt;&gt;"Serviço",AND(AUTOEVENTO="Manual",$M50=$A$15)),0,
         IF(OFFSET(CRONOPLE!$F$15,$M50-$A$15,BP$13)=0,10^12,OFFSET(CRONOPLE!$F$15,$M50-$A$15,BP$13)))</f>
        <v>1000000000000</v>
      </c>
      <c r="BQ50" s="171">
        <f ca="1">IF(OR($D50&lt;&gt;"Serviço",AND(AUTOEVENTO="Manual",$M50=$A$15)),0,
         IF(OFFSET(CRONOPLE!$F$15,$M50-$A$15,BQ$13)=0,10^12,OFFSET(CRONOPLE!$F$15,$M50-$A$15,BQ$13)))</f>
        <v>1000000000000</v>
      </c>
      <c r="BR50" s="171">
        <f ca="1">IF(OR($D50&lt;&gt;"Serviço",AND(AUTOEVENTO="Manual",$M50=$A$15)),0,
         IF(OFFSET(CRONOPLE!$F$15,$M50-$A$15,BR$13)=0,10^12,OFFSET(CRONOPLE!$F$15,$M50-$A$15,BR$13)))</f>
        <v>1000000000000</v>
      </c>
      <c r="BS50" s="171">
        <f ca="1">IF(OR($D50&lt;&gt;"Serviço",AND(AUTOEVENTO="Manual",$M50=$A$15)),0,
         IF(OFFSET(CRONOPLE!$F$15,$M50-$A$15,BS$13)=0,10^12,OFFSET(CRONOPLE!$F$15,$M50-$A$15,BS$13)))</f>
        <v>1000000000000</v>
      </c>
      <c r="BT50" s="171">
        <f ca="1">IF(OR($D50&lt;&gt;"Serviço",AND(AUTOEVENTO="Manual",$M50=$A$15)),0,
         IF(OFFSET(CRONOPLE!$F$15,$M50-$A$15,BT$13)=0,10^12,OFFSET(CRONOPLE!$F$15,$M50-$A$15,BT$13)))</f>
        <v>1000000000000</v>
      </c>
      <c r="BV50" s="172">
        <f t="array" aca="1" ref="BV50" ca="1">IF(OR($D50&lt;&gt;"Serviço",AND(AUTOEVENTO="Manual",$M50=$A$15),$M50&gt;(ROW(PLE.lastrow)-ROW(PLE.firstrow))),0,
           IF(OFFSET(PLE!$G$15,$M50-$A$15,BV$13)="",10^12,OFFSET(PLE!$G$15,$M50-$A$15,BV$13)))</f>
        <v>1000000000000</v>
      </c>
      <c r="BW50" s="172">
        <f t="array" aca="1" ref="BW50" ca="1">IF(OR($D50&lt;&gt;"Serviço",AND(AUTOEVENTO="Manual",$M50=$A$15),$M50&gt;(ROW(PLE.lastrow)-ROW(PLE.firstrow))),0,
           IF(OFFSET(PLE!$G$15,$M50-$A$15,BW$13)="",10^12,OFFSET(PLE!$G$15,$M50-$A$15,BW$13)))</f>
        <v>1000000000000</v>
      </c>
      <c r="BX50" s="172">
        <f t="array" aca="1" ref="BX50" ca="1">IF(OR($D50&lt;&gt;"Serviço",AND(AUTOEVENTO="Manual",$M50=$A$15),$M50&gt;(ROW(PLE.lastrow)-ROW(PLE.firstrow))),0,
           IF(OFFSET(PLE!$G$15,$M50-$A$15,BX$13)="",10^12,OFFSET(PLE!$G$15,$M50-$A$15,BX$13)))</f>
        <v>1000000000000</v>
      </c>
      <c r="BY50" s="172">
        <f t="array" aca="1" ref="BY50" ca="1">IF(OR($D50&lt;&gt;"Serviço",AND(AUTOEVENTO="Manual",$M50=$A$15),$M50&gt;(ROW(PLE.lastrow)-ROW(PLE.firstrow))),0,
           IF(OFFSET(PLE!$G$15,$M50-$A$15,BY$13)="",10^12,OFFSET(PLE!$G$15,$M50-$A$15,BY$13)))</f>
        <v>1000000000000</v>
      </c>
      <c r="BZ50" s="172">
        <f t="array" aca="1" ref="BZ50" ca="1">IF(OR($D50&lt;&gt;"Serviço",AND(AUTOEVENTO="Manual",$M50=$A$15),$M50&gt;(ROW(PLE.lastrow)-ROW(PLE.firstrow))),0,
           IF(OFFSET(PLE!$G$15,$M50-$A$15,BZ$13)="",10^12,OFFSET(PLE!$G$15,$M50-$A$15,BZ$13)))</f>
        <v>1000000000000</v>
      </c>
      <c r="CA50" s="172">
        <f t="array" aca="1" ref="CA50" ca="1">IF(OR($D50&lt;&gt;"Serviço",AND(AUTOEVENTO="Manual",$M50=$A$15),$M50&gt;(ROW(PLE.lastrow)-ROW(PLE.firstrow))),0,
           IF(OFFSET(PLE!$G$15,$M50-$A$15,CA$13)="",10^12,OFFSET(PLE!$G$15,$M50-$A$15,CA$13)))</f>
        <v>1000000000000</v>
      </c>
      <c r="CB50" s="172">
        <f t="array" aca="1" ref="CB50" ca="1">IF(OR($D50&lt;&gt;"Serviço",AND(AUTOEVENTO="Manual",$M50=$A$15),$M50&gt;(ROW(PLE.lastrow)-ROW(PLE.firstrow))),0,
           IF(OFFSET(PLE!$G$15,$M50-$A$15,CB$13)="",10^12,OFFSET(PLE!$G$15,$M50-$A$15,CB$13)))</f>
        <v>1000000000000</v>
      </c>
      <c r="CC50" s="172">
        <f t="array" aca="1" ref="CC50" ca="1">IF(OR($D50&lt;&gt;"Serviço",AND(AUTOEVENTO="Manual",$M50=$A$15),$M50&gt;(ROW(PLE.lastrow)-ROW(PLE.firstrow))),0,
           IF(OFFSET(PLE!$G$15,$M50-$A$15,CC$13)="",10^12,OFFSET(PLE!$G$15,$M50-$A$15,CC$13)))</f>
        <v>1000000000000</v>
      </c>
      <c r="CD50" s="172">
        <f t="array" aca="1" ref="CD50" ca="1">IF(OR($D50&lt;&gt;"Serviço",AND(AUTOEVENTO="Manual",$M50=$A$15),$M50&gt;(ROW(PLE.lastrow)-ROW(PLE.firstrow))),0,
           IF(OFFSET(PLE!$G$15,$M50-$A$15,CD$13)="",10^12,OFFSET(PLE!$G$15,$M50-$A$15,CD$13)))</f>
        <v>1000000000000</v>
      </c>
      <c r="CE50" s="172">
        <f t="array" aca="1" ref="CE50" ca="1">IF(OR($D50&lt;&gt;"Serviço",AND(AUTOEVENTO="Manual",$M50=$A$15),$M50&gt;(ROW(PLE.lastrow)-ROW(PLE.firstrow))),0,
           IF(OFFSET(PLE!$G$15,$M50-$A$15,CE$13)="",10^12,OFFSET(PLE!$G$15,$M50-$A$15,CE$13)))</f>
        <v>1000000000000</v>
      </c>
      <c r="CF50" s="172">
        <f t="array" aca="1" ref="CF50" ca="1">IF(OR($D50&lt;&gt;"Serviço",AND(AUTOEVENTO="Manual",$M50=$A$15),$M50&gt;(ROW(PLE.lastrow)-ROW(PLE.firstrow))),0,
           IF(OFFSET(PLE!$G$15,$M50-$A$15,CF$13)="",10^12,OFFSET(PLE!$G$15,$M50-$A$15,CF$13)))</f>
        <v>1000000000000</v>
      </c>
      <c r="CG50" s="172">
        <f t="array" aca="1" ref="CG50" ca="1">IF(OR($D50&lt;&gt;"Serviço",AND(AUTOEVENTO="Manual",$M50=$A$15),$M50&gt;(ROW(PLE.lastrow)-ROW(PLE.firstrow))),0,
           IF(OFFSET(PLE!$G$15,$M50-$A$15,CG$13)="",10^12,OFFSET(PLE!$G$15,$M50-$A$15,CG$13)))</f>
        <v>1000000000000</v>
      </c>
      <c r="CH50" s="172">
        <f t="array" aca="1" ref="CH50" ca="1">IF(OR($D50&lt;&gt;"Serviço",AND(AUTOEVENTO="Manual",$M50=$A$15),$M50&gt;(ROW(PLE.lastrow)-ROW(PLE.firstrow))),0,
           IF(OFFSET(PLE!$G$15,$M50-$A$15,CH$13)="",10^12,OFFSET(PLE!$G$15,$M50-$A$15,CH$13)))</f>
        <v>1000000000000</v>
      </c>
      <c r="CI50" s="172">
        <f t="array" aca="1" ref="CI50" ca="1">IF(OR($D50&lt;&gt;"Serviço",AND(AUTOEVENTO="Manual",$M50=$A$15),$M50&gt;(ROW(PLE.lastrow)-ROW(PLE.firstrow))),0,
           IF(OFFSET(PLE!$G$15,$M50-$A$15,CI$13)="",10^12,OFFSET(PLE!$G$15,$M50-$A$15,CI$13)))</f>
        <v>1000000000000</v>
      </c>
      <c r="CJ50" s="172">
        <f t="array" aca="1" ref="CJ50" ca="1">IF(OR($D50&lt;&gt;"Serviço",AND(AUTOEVENTO="Manual",$M50=$A$15),$M50&gt;(ROW(PLE.lastrow)-ROW(PLE.firstrow))),0,
           IF(OFFSET(PLE!$G$15,$M50-$A$15,CJ$13)="",10^12,OFFSET(PLE!$G$15,$M50-$A$15,CJ$13)))</f>
        <v>1000000000000</v>
      </c>
      <c r="CK50" s="172">
        <f t="array" aca="1" ref="CK50" ca="1">IF(OR($D50&lt;&gt;"Serviço",AND(AUTOEVENTO="Manual",$M50=$A$15),$M50&gt;(ROW(PLE.lastrow)-ROW(PLE.firstrow))),0,
           IF(OFFSET(PLE!$G$15,$M50-$A$15,CK$13)="",10^12,OFFSET(PLE!$G$15,$M50-$A$15,CK$13)))</f>
        <v>1000000000000</v>
      </c>
      <c r="CL50" s="172">
        <f t="array" aca="1" ref="CL50" ca="1">IF(OR($D50&lt;&gt;"Serviço",AND(AUTOEVENTO="Manual",$M50=$A$15),$M50&gt;(ROW(PLE.lastrow)-ROW(PLE.firstrow))),0,
           IF(OFFSET(PLE!$G$15,$M50-$A$15,CL$13)="",10^12,OFFSET(PLE!$G$15,$M50-$A$15,CL$13)))</f>
        <v>1000000000000</v>
      </c>
      <c r="CM50" s="172">
        <f t="array" aca="1" ref="CM50" ca="1">IF(OR($D50&lt;&gt;"Serviço",AND(AUTOEVENTO="Manual",$M50=$A$15),$M50&gt;(ROW(PLE.lastrow)-ROW(PLE.firstrow))),0,
           IF(OFFSET(PLE!$G$15,$M50-$A$15,CM$13)="",10^12,OFFSET(PLE!$G$15,$M50-$A$15,CM$13)))</f>
        <v>1000000000000</v>
      </c>
    </row>
    <row r="51" spans="1:91" s="696" customFormat="1" ht="12.75" x14ac:dyDescent="0.2">
      <c r="A51" s="694">
        <f t="shared" ca="1" si="10"/>
        <v>0</v>
      </c>
      <c r="B51" s="694">
        <f ca="1">OFFSET(ORÇAMENTO!C$15,$L51,0)</f>
        <v>2</v>
      </c>
      <c r="C51" s="694" t="str">
        <f ca="1">OFFSET(ORÇAMENTO!L$15,$L51,0)</f>
        <v>F</v>
      </c>
      <c r="D51" s="116" t="str">
        <f ca="1">OFFSET(ORÇAMENTO!N$15,$L51,0)</f>
        <v>Nível 2</v>
      </c>
      <c r="E51" s="117" t="str">
        <f ca="1">OFFSET(ORÇAMENTO!O$15,$L51,0)</f>
        <v>1.6.</v>
      </c>
      <c r="F51" s="163" t="str">
        <f ca="1">OFFSET(ORÇAMENTO!R$15,$L51,0)</f>
        <v>IMPERMEABILIZAÇÃO</v>
      </c>
      <c r="G51" s="164" t="str">
        <f ca="1">IF($D51&lt;&gt;"Serviço","",OFFSET(ORÇAMENTO!S$15,$L51,0))</f>
        <v/>
      </c>
      <c r="H51" s="122">
        <f t="array" aca="1" ref="H51" ca="1">IF($D51&lt;&gt;"Serviço",0,IF(ACOMPANHAMENTO="BM",ROUND(OFFSET(ORÇAMENTO!AJ$15,$L51,0),15-13*ORÇAMENTO!$AF$7),IF(IFERROR(CÁLCULO.FrentesPreenchidas,0)=0,0,SUM(ROUND(OFFSET($P51,0,1,1,CÁLCULO.FrentesPreenchidas),15-13*ORÇAMENTO!$AF$7)))))</f>
        <v>0</v>
      </c>
      <c r="I51" s="467"/>
      <c r="J51" s="653" t="str">
        <f t="array" aca="1" ref="J51" ca="1">IF(OR(B51&lt;&gt;"S",CÁLCULO.FrentesPreenchidas=0),"",IF(AND(ACOMPANHAMENTO="PLE",AUTOEVENTO="Manual",OR(H51&gt;0,ORÇAMENTO!AC51="QUANT."),OR(K51="",M51=0,N51="")),"►E",IF(AND(ACOMPANHAMENTO="PLE",ORÇAMENTO!AC51="QUANT."),"►Q",IF(AND(ACOMPANHAMENTO="PLE",H51&lt;&gt;SUMPRODUCT(($Q$1:$AI$1=1)*ROUND(Q51:AI51,15))),"►S",IF(AND(COUNTIF($P$11:$AI$11,"▼")=0,H51&gt;0,I51=""),"◄M","")))))</f>
        <v/>
      </c>
      <c r="K51" s="654"/>
      <c r="L51" s="165">
        <f t="shared" ca="1" si="11"/>
        <v>36</v>
      </c>
      <c r="M51" s="166" t="str">
        <f ca="1">IF($D51&lt;&gt;"Serviço","",
          IF(AUTOEVENTO="manual",$A51,
                IF(ISERROR(MATCH($A51,$A$15:OFFSET($A51,-1,0),0)),MAX($M$15:OFFSET(M51,-1,0))+1,
                      INDEX($M$15:OFFSET(M51,-1,0),MATCH($A51,$A$15:OFFSET($A51,-1,0),0)))))</f>
        <v/>
      </c>
      <c r="N51" s="167" t="str">
        <f ca="1">IF($D51&lt;&gt;"Serviço","",
         IF(AUTOEVENTO="Manual",
                IF($A51=0,"&lt;-- defina o número do agrupador",
                       OFFSET(EVENTOS!$D$15,$A51-$A$15,0)),
                OFFSET($F$15,$A51,0)))</f>
        <v/>
      </c>
      <c r="O51" s="168"/>
      <c r="Q51" s="169"/>
      <c r="R51" s="169"/>
      <c r="S51" s="169"/>
      <c r="T51" s="169"/>
      <c r="U51" s="169"/>
      <c r="V51" s="169"/>
      <c r="W51" s="169"/>
      <c r="X51" s="169"/>
      <c r="Y51" s="169"/>
      <c r="Z51" s="170"/>
      <c r="AA51" s="169"/>
      <c r="AB51" s="169"/>
      <c r="AC51" s="169"/>
      <c r="AD51" s="169"/>
      <c r="AE51" s="169"/>
      <c r="AF51" s="169"/>
      <c r="AG51" s="169"/>
      <c r="AH51" s="170"/>
      <c r="AJ51" s="452">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2">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L51" s="452">
        <f ca="1">IF(AND($D51="Serviço",AL$12&lt;&gt;0,$H51&gt;0,OR(AUTOEVENTO&lt;&gt;"manual",$M51&lt;&gt;$A$15)),
        IF(Import.TipoArredondamento&lt;&gt;"TransfereGOV",
              ROUND(OFFSET($P51,0,AL$13),15-13*ORÇAMENTO!$AF$7)/$H51*OFFSET(ORÇAMENTO!$X$15,ROW(AL51)-ROW(AL$15),0),
              ROUND(ROUND(OFFSET($P51,0,AL$13),15-13*ORÇAMENTO!$AF$7)*OFFSET(ORÇAMENTO!$W$15,ROW(AL51)-ROW(AL$15),0),15-13*ORÇAMENTO!$AF$11)),
         0)</f>
        <v>0</v>
      </c>
      <c r="AM51" s="452">
        <f ca="1">IF(AND($D51="Serviço",AM$12&lt;&gt;0,$H51&gt;0,OR(AUTOEVENTO&lt;&gt;"manual",$M51&lt;&gt;$A$15)),
        IF(Import.TipoArredondamento&lt;&gt;"TransfereGOV",
              ROUND(OFFSET($P51,0,AM$13),15-13*ORÇAMENTO!$AF$7)/$H51*OFFSET(ORÇAMENTO!$X$15,ROW(AM51)-ROW(AM$15),0),
              ROUND(ROUND(OFFSET($P51,0,AM$13),15-13*ORÇAMENTO!$AF$7)*OFFSET(ORÇAMENTO!$W$15,ROW(AM51)-ROW(AM$15),0),15-13*ORÇAMENTO!$AF$11)),
         0)</f>
        <v>0</v>
      </c>
      <c r="AN51" s="452">
        <f ca="1">IF(AND($D51="Serviço",AN$12&lt;&gt;0,$H51&gt;0,OR(AUTOEVENTO&lt;&gt;"manual",$M51&lt;&gt;$A$15)),
        IF(Import.TipoArredondamento&lt;&gt;"TransfereGOV",
              ROUND(OFFSET($P51,0,AN$13),15-13*ORÇAMENTO!$AF$7)/$H51*OFFSET(ORÇAMENTO!$X$15,ROW(AN51)-ROW(AN$15),0),
              ROUND(ROUND(OFFSET($P51,0,AN$13),15-13*ORÇAMENTO!$AF$7)*OFFSET(ORÇAMENTO!$W$15,ROW(AN51)-ROW(AN$15),0),15-13*ORÇAMENTO!$AF$11)),
         0)</f>
        <v>0</v>
      </c>
      <c r="AO51" s="452">
        <f ca="1">IF(AND($D51="Serviço",AO$12&lt;&gt;0,$H51&gt;0,OR(AUTOEVENTO&lt;&gt;"manual",$M51&lt;&gt;$A$15)),
        IF(Import.TipoArredondamento&lt;&gt;"TransfereGOV",
              ROUND(OFFSET($P51,0,AO$13),15-13*ORÇAMENTO!$AF$7)/$H51*OFFSET(ORÇAMENTO!$X$15,ROW(AO51)-ROW(AO$15),0),
              ROUND(ROUND(OFFSET($P51,0,AO$13),15-13*ORÇAMENTO!$AF$7)*OFFSET(ORÇAMENTO!$W$15,ROW(AO51)-ROW(AO$15),0),15-13*ORÇAMENTO!$AF$11)),
         0)</f>
        <v>0</v>
      </c>
      <c r="AP51" s="452">
        <f ca="1">IF(AND($D51="Serviço",AP$12&lt;&gt;0,$H51&gt;0,OR(AUTOEVENTO&lt;&gt;"manual",$M51&lt;&gt;$A$15)),
        IF(Import.TipoArredondamento&lt;&gt;"TransfereGOV",
              ROUND(OFFSET($P51,0,AP$13),15-13*ORÇAMENTO!$AF$7)/$H51*OFFSET(ORÇAMENTO!$X$15,ROW(AP51)-ROW(AP$15),0),
              ROUND(ROUND(OFFSET($P51,0,AP$13),15-13*ORÇAMENTO!$AF$7)*OFFSET(ORÇAMENTO!$W$15,ROW(AP51)-ROW(AP$15),0),15-13*ORÇAMENTO!$AF$11)),
         0)</f>
        <v>0</v>
      </c>
      <c r="AQ51" s="452">
        <f ca="1">IF(AND($D51="Serviço",AQ$12&lt;&gt;0,$H51&gt;0,OR(AUTOEVENTO&lt;&gt;"manual",$M51&lt;&gt;$A$15)),
        IF(Import.TipoArredondamento&lt;&gt;"TransfereGOV",
              ROUND(OFFSET($P51,0,AQ$13),15-13*ORÇAMENTO!$AF$7)/$H51*OFFSET(ORÇAMENTO!$X$15,ROW(AQ51)-ROW(AQ$15),0),
              ROUND(ROUND(OFFSET($P51,0,AQ$13),15-13*ORÇAMENTO!$AF$7)*OFFSET(ORÇAMENTO!$W$15,ROW(AQ51)-ROW(AQ$15),0),15-13*ORÇAMENTO!$AF$11)),
         0)</f>
        <v>0</v>
      </c>
      <c r="AR51" s="452">
        <f ca="1">IF(AND($D51="Serviço",AR$12&lt;&gt;0,$H51&gt;0,OR(AUTOEVENTO&lt;&gt;"manual",$M51&lt;&gt;$A$15)),
        IF(Import.TipoArredondamento&lt;&gt;"TransfereGOV",
              ROUND(OFFSET($P51,0,AR$13),15-13*ORÇAMENTO!$AF$7)/$H51*OFFSET(ORÇAMENTO!$X$15,ROW(AR51)-ROW(AR$15),0),
              ROUND(ROUND(OFFSET($P51,0,AR$13),15-13*ORÇAMENTO!$AF$7)*OFFSET(ORÇAMENTO!$W$15,ROW(AR51)-ROW(AR$15),0),15-13*ORÇAMENTO!$AF$11)),
         0)</f>
        <v>0</v>
      </c>
      <c r="AS51" s="452">
        <f ca="1">IF(AND($D51="Serviço",AS$12&lt;&gt;0,$H51&gt;0,OR(AUTOEVENTO&lt;&gt;"manual",$M51&lt;&gt;$A$15)),
        IF(Import.TipoArredondamento&lt;&gt;"TransfereGOV",
              ROUND(OFFSET($P51,0,AS$13),15-13*ORÇAMENTO!$AF$7)/$H51*OFFSET(ORÇAMENTO!$X$15,ROW(AS51)-ROW(AS$15),0),
              ROUND(ROUND(OFFSET($P51,0,AS$13),15-13*ORÇAMENTO!$AF$7)*OFFSET(ORÇAMENTO!$W$15,ROW(AS51)-ROW(AS$15),0),15-13*ORÇAMENTO!$AF$11)),
         0)</f>
        <v>0</v>
      </c>
      <c r="AT51" s="452">
        <f ca="1">IF(AND($D51="Serviço",AT$12&lt;&gt;0,$H51&gt;0,OR(AUTOEVENTO&lt;&gt;"manual",$M51&lt;&gt;$A$15)),
        IF(Import.TipoArredondamento&lt;&gt;"TransfereGOV",
              ROUND(OFFSET($P51,0,AT$13),15-13*ORÇAMENTO!$AF$7)/$H51*OFFSET(ORÇAMENTO!$X$15,ROW(AT51)-ROW(AT$15),0),
              ROUND(ROUND(OFFSET($P51,0,AT$13),15-13*ORÇAMENTO!$AF$7)*OFFSET(ORÇAMENTO!$W$15,ROW(AT51)-ROW(AT$15),0),15-13*ORÇAMENTO!$AF$11)),
         0)</f>
        <v>0</v>
      </c>
      <c r="AU51" s="452">
        <f ca="1">IF(AND($D51="Serviço",AU$12&lt;&gt;0,$H51&gt;0,OR(AUTOEVENTO&lt;&gt;"manual",$M51&lt;&gt;$A$15)),
        IF(Import.TipoArredondamento&lt;&gt;"TransfereGOV",
              ROUND(OFFSET($P51,0,AU$13),15-13*ORÇAMENTO!$AF$7)/$H51*OFFSET(ORÇAMENTO!$X$15,ROW(AU51)-ROW(AU$15),0),
              ROUND(ROUND(OFFSET($P51,0,AU$13),15-13*ORÇAMENTO!$AF$7)*OFFSET(ORÇAMENTO!$W$15,ROW(AU51)-ROW(AU$15),0),15-13*ORÇAMENTO!$AF$11)),
         0)</f>
        <v>0</v>
      </c>
      <c r="AV51" s="452">
        <f ca="1">IF(AND($D51="Serviço",AV$12&lt;&gt;0,$H51&gt;0,OR(AUTOEVENTO&lt;&gt;"manual",$M51&lt;&gt;$A$15)),
        IF(Import.TipoArredondamento&lt;&gt;"TransfereGOV",
              ROUND(OFFSET($P51,0,AV$13),15-13*ORÇAMENTO!$AF$7)/$H51*OFFSET(ORÇAMENTO!$X$15,ROW(AV51)-ROW(AV$15),0),
              ROUND(ROUND(OFFSET($P51,0,AV$13),15-13*ORÇAMENTO!$AF$7)*OFFSET(ORÇAMENTO!$W$15,ROW(AV51)-ROW(AV$15),0),15-13*ORÇAMENTO!$AF$11)),
         0)</f>
        <v>0</v>
      </c>
      <c r="AW51" s="452">
        <f ca="1">IF(AND($D51="Serviço",AW$12&lt;&gt;0,$H51&gt;0,OR(AUTOEVENTO&lt;&gt;"manual",$M51&lt;&gt;$A$15)),
        IF(Import.TipoArredondamento&lt;&gt;"TransfereGOV",
              ROUND(OFFSET($P51,0,AW$13),15-13*ORÇAMENTO!$AF$7)/$H51*OFFSET(ORÇAMENTO!$X$15,ROW(AW51)-ROW(AW$15),0),
              ROUND(ROUND(OFFSET($P51,0,AW$13),15-13*ORÇAMENTO!$AF$7)*OFFSET(ORÇAMENTO!$W$15,ROW(AW51)-ROW(AW$15),0),15-13*ORÇAMENTO!$AF$11)),
         0)</f>
        <v>0</v>
      </c>
      <c r="AX51" s="452">
        <f ca="1">IF(AND($D51="Serviço",AX$12&lt;&gt;0,$H51&gt;0,OR(AUTOEVENTO&lt;&gt;"manual",$M51&lt;&gt;$A$15)),
        IF(Import.TipoArredondamento&lt;&gt;"TransfereGOV",
              ROUND(OFFSET($P51,0,AX$13),15-13*ORÇAMENTO!$AF$7)/$H51*OFFSET(ORÇAMENTO!$X$15,ROW(AX51)-ROW(AX$15),0),
              ROUND(ROUND(OFFSET($P51,0,AX$13),15-13*ORÇAMENTO!$AF$7)*OFFSET(ORÇAMENTO!$W$15,ROW(AX51)-ROW(AX$15),0),15-13*ORÇAMENTO!$AF$11)),
         0)</f>
        <v>0</v>
      </c>
      <c r="AY51" s="452">
        <f ca="1">IF(AND($D51="Serviço",AY$12&lt;&gt;0,$H51&gt;0,OR(AUTOEVENTO&lt;&gt;"manual",$M51&lt;&gt;$A$15)),
        IF(Import.TipoArredondamento&lt;&gt;"TransfereGOV",
              ROUND(OFFSET($P51,0,AY$13),15-13*ORÇAMENTO!$AF$7)/$H51*OFFSET(ORÇAMENTO!$X$15,ROW(AY51)-ROW(AY$15),0),
              ROUND(ROUND(OFFSET($P51,0,AY$13),15-13*ORÇAMENTO!$AF$7)*OFFSET(ORÇAMENTO!$W$15,ROW(AY51)-ROW(AY$15),0),15-13*ORÇAMENTO!$AF$11)),
         0)</f>
        <v>0</v>
      </c>
      <c r="AZ51" s="452">
        <f ca="1">IF(AND($D51="Serviço",AZ$12&lt;&gt;0,$H51&gt;0,OR(AUTOEVENTO&lt;&gt;"manual",$M51&lt;&gt;$A$15)),
        IF(Import.TipoArredondamento&lt;&gt;"TransfereGOV",
              ROUND(OFFSET($P51,0,AZ$13),15-13*ORÇAMENTO!$AF$7)/$H51*OFFSET(ORÇAMENTO!$X$15,ROW(AZ51)-ROW(AZ$15),0),
              ROUND(ROUND(OFFSET($P51,0,AZ$13),15-13*ORÇAMENTO!$AF$7)*OFFSET(ORÇAMENTO!$W$15,ROW(AZ51)-ROW(AZ$15),0),15-13*ORÇAMENTO!$AF$11)),
         0)</f>
        <v>0</v>
      </c>
      <c r="BA51" s="452">
        <f ca="1">IF(AND($D51="Serviço",BA$12&lt;&gt;0,$H51&gt;0,OR(AUTOEVENTO&lt;&gt;"manual",$M51&lt;&gt;$A$15)),
        IF(Import.TipoArredondamento&lt;&gt;"TransfereGOV",
              ROUND(OFFSET($P51,0,BA$13),15-13*ORÇAMENTO!$AF$7)/$H51*OFFSET(ORÇAMENTO!$X$15,ROW(BA51)-ROW(BA$15),0),
              ROUND(ROUND(OFFSET($P51,0,BA$13),15-13*ORÇAMENTO!$AF$7)*OFFSET(ORÇAMENTO!$W$15,ROW(BA51)-ROW(BA$15),0),15-13*ORÇAMENTO!$AF$11)),
         0)</f>
        <v>0</v>
      </c>
      <c r="BC51" s="171">
        <f ca="1">IF(OR($D51&lt;&gt;"Serviço",AND(AUTOEVENTO="Manual",$M51=$A$15)),0,
         IF(OFFSET(CRONOPLE!$F$15,$M51-$A$15,BC$13)=0,10^12,OFFSET(CRONOPLE!$F$15,$M51-$A$15,BC$13)))</f>
        <v>0</v>
      </c>
      <c r="BD51" s="171">
        <f ca="1">IF(OR($D51&lt;&gt;"Serviço",AND(AUTOEVENTO="Manual",$M51=$A$15)),0,
         IF(OFFSET(CRONOPLE!$F$15,$M51-$A$15,BD$13)=0,10^12,OFFSET(CRONOPLE!$F$15,$M51-$A$15,BD$13)))</f>
        <v>0</v>
      </c>
      <c r="BE51" s="171">
        <f ca="1">IF(OR($D51&lt;&gt;"Serviço",AND(AUTOEVENTO="Manual",$M51=$A$15)),0,
         IF(OFFSET(CRONOPLE!$F$15,$M51-$A$15,BE$13)=0,10^12,OFFSET(CRONOPLE!$F$15,$M51-$A$15,BE$13)))</f>
        <v>0</v>
      </c>
      <c r="BF51" s="171">
        <f ca="1">IF(OR($D51&lt;&gt;"Serviço",AND(AUTOEVENTO="Manual",$M51=$A$15)),0,
         IF(OFFSET(CRONOPLE!$F$15,$M51-$A$15,BF$13)=0,10^12,OFFSET(CRONOPLE!$F$15,$M51-$A$15,BF$13)))</f>
        <v>0</v>
      </c>
      <c r="BG51" s="171">
        <f ca="1">IF(OR($D51&lt;&gt;"Serviço",AND(AUTOEVENTO="Manual",$M51=$A$15)),0,
         IF(OFFSET(CRONOPLE!$F$15,$M51-$A$15,BG$13)=0,10^12,OFFSET(CRONOPLE!$F$15,$M51-$A$15,BG$13)))</f>
        <v>0</v>
      </c>
      <c r="BH51" s="171">
        <f ca="1">IF(OR($D51&lt;&gt;"Serviço",AND(AUTOEVENTO="Manual",$M51=$A$15)),0,
         IF(OFFSET(CRONOPLE!$F$15,$M51-$A$15,BH$13)=0,10^12,OFFSET(CRONOPLE!$F$15,$M51-$A$15,BH$13)))</f>
        <v>0</v>
      </c>
      <c r="BI51" s="171">
        <f ca="1">IF(OR($D51&lt;&gt;"Serviço",AND(AUTOEVENTO="Manual",$M51=$A$15)),0,
         IF(OFFSET(CRONOPLE!$F$15,$M51-$A$15,BI$13)=0,10^12,OFFSET(CRONOPLE!$F$15,$M51-$A$15,BI$13)))</f>
        <v>0</v>
      </c>
      <c r="BJ51" s="171">
        <f ca="1">IF(OR($D51&lt;&gt;"Serviço",AND(AUTOEVENTO="Manual",$M51=$A$15)),0,
         IF(OFFSET(CRONOPLE!$F$15,$M51-$A$15,BJ$13)=0,10^12,OFFSET(CRONOPLE!$F$15,$M51-$A$15,BJ$13)))</f>
        <v>0</v>
      </c>
      <c r="BK51" s="171">
        <f ca="1">IF(OR($D51&lt;&gt;"Serviço",AND(AUTOEVENTO="Manual",$M51=$A$15)),0,
         IF(OFFSET(CRONOPLE!$F$15,$M51-$A$15,BK$13)=0,10^12,OFFSET(CRONOPLE!$F$15,$M51-$A$15,BK$13)))</f>
        <v>0</v>
      </c>
      <c r="BL51" s="171">
        <f ca="1">IF(OR($D51&lt;&gt;"Serviço",AND(AUTOEVENTO="Manual",$M51=$A$15)),0,
         IF(OFFSET(CRONOPLE!$F$15,$M51-$A$15,BL$13)=0,10^12,OFFSET(CRONOPLE!$F$15,$M51-$A$15,BL$13)))</f>
        <v>0</v>
      </c>
      <c r="BM51" s="171">
        <f ca="1">IF(OR($D51&lt;&gt;"Serviço",AND(AUTOEVENTO="Manual",$M51=$A$15)),0,
         IF(OFFSET(CRONOPLE!$F$15,$M51-$A$15,BM$13)=0,10^12,OFFSET(CRONOPLE!$F$15,$M51-$A$15,BM$13)))</f>
        <v>0</v>
      </c>
      <c r="BN51" s="171">
        <f ca="1">IF(OR($D51&lt;&gt;"Serviço",AND(AUTOEVENTO="Manual",$M51=$A$15)),0,
         IF(OFFSET(CRONOPLE!$F$15,$M51-$A$15,BN$13)=0,10^12,OFFSET(CRONOPLE!$F$15,$M51-$A$15,BN$13)))</f>
        <v>0</v>
      </c>
      <c r="BO51" s="171">
        <f ca="1">IF(OR($D51&lt;&gt;"Serviço",AND(AUTOEVENTO="Manual",$M51=$A$15)),0,
         IF(OFFSET(CRONOPLE!$F$15,$M51-$A$15,BO$13)=0,10^12,OFFSET(CRONOPLE!$F$15,$M51-$A$15,BO$13)))</f>
        <v>0</v>
      </c>
      <c r="BP51" s="171">
        <f ca="1">IF(OR($D51&lt;&gt;"Serviço",AND(AUTOEVENTO="Manual",$M51=$A$15)),0,
         IF(OFFSET(CRONOPLE!$F$15,$M51-$A$15,BP$13)=0,10^12,OFFSET(CRONOPLE!$F$15,$M51-$A$15,BP$13)))</f>
        <v>0</v>
      </c>
      <c r="BQ51" s="171">
        <f ca="1">IF(OR($D51&lt;&gt;"Serviço",AND(AUTOEVENTO="Manual",$M51=$A$15)),0,
         IF(OFFSET(CRONOPLE!$F$15,$M51-$A$15,BQ$13)=0,10^12,OFFSET(CRONOPLE!$F$15,$M51-$A$15,BQ$13)))</f>
        <v>0</v>
      </c>
      <c r="BR51" s="171">
        <f ca="1">IF(OR($D51&lt;&gt;"Serviço",AND(AUTOEVENTO="Manual",$M51=$A$15)),0,
         IF(OFFSET(CRONOPLE!$F$15,$M51-$A$15,BR$13)=0,10^12,OFFSET(CRONOPLE!$F$15,$M51-$A$15,BR$13)))</f>
        <v>0</v>
      </c>
      <c r="BS51" s="171">
        <f ca="1">IF(OR($D51&lt;&gt;"Serviço",AND(AUTOEVENTO="Manual",$M51=$A$15)),0,
         IF(OFFSET(CRONOPLE!$F$15,$M51-$A$15,BS$13)=0,10^12,OFFSET(CRONOPLE!$F$15,$M51-$A$15,BS$13)))</f>
        <v>0</v>
      </c>
      <c r="BT51" s="171">
        <f ca="1">IF(OR($D51&lt;&gt;"Serviço",AND(AUTOEVENTO="Manual",$M51=$A$15)),0,
         IF(OFFSET(CRONOPLE!$F$15,$M51-$A$15,BT$13)=0,10^12,OFFSET(CRONOPLE!$F$15,$M51-$A$15,BT$13)))</f>
        <v>0</v>
      </c>
      <c r="BV51" s="172">
        <f t="array" aca="1" ref="BV51" ca="1">IF(OR($D51&lt;&gt;"Serviço",AND(AUTOEVENTO="Manual",$M51=$A$15),$M51&gt;(ROW(PLE.lastrow)-ROW(PLE.firstrow))),0,
           IF(OFFSET(PLE!$G$15,$M51-$A$15,BV$13)="",10^12,OFFSET(PLE!$G$15,$M51-$A$15,BV$13)))</f>
        <v>0</v>
      </c>
      <c r="BW51" s="172">
        <f t="array" aca="1" ref="BW51" ca="1">IF(OR($D51&lt;&gt;"Serviço",AND(AUTOEVENTO="Manual",$M51=$A$15),$M51&gt;(ROW(PLE.lastrow)-ROW(PLE.firstrow))),0,
           IF(OFFSET(PLE!$G$15,$M51-$A$15,BW$13)="",10^12,OFFSET(PLE!$G$15,$M51-$A$15,BW$13)))</f>
        <v>0</v>
      </c>
      <c r="BX51" s="172">
        <f t="array" aca="1" ref="BX51" ca="1">IF(OR($D51&lt;&gt;"Serviço",AND(AUTOEVENTO="Manual",$M51=$A$15),$M51&gt;(ROW(PLE.lastrow)-ROW(PLE.firstrow))),0,
           IF(OFFSET(PLE!$G$15,$M51-$A$15,BX$13)="",10^12,OFFSET(PLE!$G$15,$M51-$A$15,BX$13)))</f>
        <v>0</v>
      </c>
      <c r="BY51" s="172">
        <f t="array" aca="1" ref="BY51" ca="1">IF(OR($D51&lt;&gt;"Serviço",AND(AUTOEVENTO="Manual",$M51=$A$15),$M51&gt;(ROW(PLE.lastrow)-ROW(PLE.firstrow))),0,
           IF(OFFSET(PLE!$G$15,$M51-$A$15,BY$13)="",10^12,OFFSET(PLE!$G$15,$M51-$A$15,BY$13)))</f>
        <v>0</v>
      </c>
      <c r="BZ51" s="172">
        <f t="array" aca="1" ref="BZ51" ca="1">IF(OR($D51&lt;&gt;"Serviço",AND(AUTOEVENTO="Manual",$M51=$A$15),$M51&gt;(ROW(PLE.lastrow)-ROW(PLE.firstrow))),0,
           IF(OFFSET(PLE!$G$15,$M51-$A$15,BZ$13)="",10^12,OFFSET(PLE!$G$15,$M51-$A$15,BZ$13)))</f>
        <v>0</v>
      </c>
      <c r="CA51" s="172">
        <f t="array" aca="1" ref="CA51" ca="1">IF(OR($D51&lt;&gt;"Serviço",AND(AUTOEVENTO="Manual",$M51=$A$15),$M51&gt;(ROW(PLE.lastrow)-ROW(PLE.firstrow))),0,
           IF(OFFSET(PLE!$G$15,$M51-$A$15,CA$13)="",10^12,OFFSET(PLE!$G$15,$M51-$A$15,CA$13)))</f>
        <v>0</v>
      </c>
      <c r="CB51" s="172">
        <f t="array" aca="1" ref="CB51" ca="1">IF(OR($D51&lt;&gt;"Serviço",AND(AUTOEVENTO="Manual",$M51=$A$15),$M51&gt;(ROW(PLE.lastrow)-ROW(PLE.firstrow))),0,
           IF(OFFSET(PLE!$G$15,$M51-$A$15,CB$13)="",10^12,OFFSET(PLE!$G$15,$M51-$A$15,CB$13)))</f>
        <v>0</v>
      </c>
      <c r="CC51" s="172">
        <f t="array" aca="1" ref="CC51" ca="1">IF(OR($D51&lt;&gt;"Serviço",AND(AUTOEVENTO="Manual",$M51=$A$15),$M51&gt;(ROW(PLE.lastrow)-ROW(PLE.firstrow))),0,
           IF(OFFSET(PLE!$G$15,$M51-$A$15,CC$13)="",10^12,OFFSET(PLE!$G$15,$M51-$A$15,CC$13)))</f>
        <v>0</v>
      </c>
      <c r="CD51" s="172">
        <f t="array" aca="1" ref="CD51" ca="1">IF(OR($D51&lt;&gt;"Serviço",AND(AUTOEVENTO="Manual",$M51=$A$15),$M51&gt;(ROW(PLE.lastrow)-ROW(PLE.firstrow))),0,
           IF(OFFSET(PLE!$G$15,$M51-$A$15,CD$13)="",10^12,OFFSET(PLE!$G$15,$M51-$A$15,CD$13)))</f>
        <v>0</v>
      </c>
      <c r="CE51" s="172">
        <f t="array" aca="1" ref="CE51" ca="1">IF(OR($D51&lt;&gt;"Serviço",AND(AUTOEVENTO="Manual",$M51=$A$15),$M51&gt;(ROW(PLE.lastrow)-ROW(PLE.firstrow))),0,
           IF(OFFSET(PLE!$G$15,$M51-$A$15,CE$13)="",10^12,OFFSET(PLE!$G$15,$M51-$A$15,CE$13)))</f>
        <v>0</v>
      </c>
      <c r="CF51" s="172">
        <f t="array" aca="1" ref="CF51" ca="1">IF(OR($D51&lt;&gt;"Serviço",AND(AUTOEVENTO="Manual",$M51=$A$15),$M51&gt;(ROW(PLE.lastrow)-ROW(PLE.firstrow))),0,
           IF(OFFSET(PLE!$G$15,$M51-$A$15,CF$13)="",10^12,OFFSET(PLE!$G$15,$M51-$A$15,CF$13)))</f>
        <v>0</v>
      </c>
      <c r="CG51" s="172">
        <f t="array" aca="1" ref="CG51" ca="1">IF(OR($D51&lt;&gt;"Serviço",AND(AUTOEVENTO="Manual",$M51=$A$15),$M51&gt;(ROW(PLE.lastrow)-ROW(PLE.firstrow))),0,
           IF(OFFSET(PLE!$G$15,$M51-$A$15,CG$13)="",10^12,OFFSET(PLE!$G$15,$M51-$A$15,CG$13)))</f>
        <v>0</v>
      </c>
      <c r="CH51" s="172">
        <f t="array" aca="1" ref="CH51" ca="1">IF(OR($D51&lt;&gt;"Serviço",AND(AUTOEVENTO="Manual",$M51=$A$15),$M51&gt;(ROW(PLE.lastrow)-ROW(PLE.firstrow))),0,
           IF(OFFSET(PLE!$G$15,$M51-$A$15,CH$13)="",10^12,OFFSET(PLE!$G$15,$M51-$A$15,CH$13)))</f>
        <v>0</v>
      </c>
      <c r="CI51" s="172">
        <f t="array" aca="1" ref="CI51" ca="1">IF(OR($D51&lt;&gt;"Serviço",AND(AUTOEVENTO="Manual",$M51=$A$15),$M51&gt;(ROW(PLE.lastrow)-ROW(PLE.firstrow))),0,
           IF(OFFSET(PLE!$G$15,$M51-$A$15,CI$13)="",10^12,OFFSET(PLE!$G$15,$M51-$A$15,CI$13)))</f>
        <v>0</v>
      </c>
      <c r="CJ51" s="172">
        <f t="array" aca="1" ref="CJ51" ca="1">IF(OR($D51&lt;&gt;"Serviço",AND(AUTOEVENTO="Manual",$M51=$A$15),$M51&gt;(ROW(PLE.lastrow)-ROW(PLE.firstrow))),0,
           IF(OFFSET(PLE!$G$15,$M51-$A$15,CJ$13)="",10^12,OFFSET(PLE!$G$15,$M51-$A$15,CJ$13)))</f>
        <v>0</v>
      </c>
      <c r="CK51" s="172">
        <f t="array" aca="1" ref="CK51" ca="1">IF(OR($D51&lt;&gt;"Serviço",AND(AUTOEVENTO="Manual",$M51=$A$15),$M51&gt;(ROW(PLE.lastrow)-ROW(PLE.firstrow))),0,
           IF(OFFSET(PLE!$G$15,$M51-$A$15,CK$13)="",10^12,OFFSET(PLE!$G$15,$M51-$A$15,CK$13)))</f>
        <v>0</v>
      </c>
      <c r="CL51" s="172">
        <f t="array" aca="1" ref="CL51" ca="1">IF(OR($D51&lt;&gt;"Serviço",AND(AUTOEVENTO="Manual",$M51=$A$15),$M51&gt;(ROW(PLE.lastrow)-ROW(PLE.firstrow))),0,
           IF(OFFSET(PLE!$G$15,$M51-$A$15,CL$13)="",10^12,OFFSET(PLE!$G$15,$M51-$A$15,CL$13)))</f>
        <v>0</v>
      </c>
      <c r="CM51" s="172">
        <f t="array" aca="1" ref="CM51" ca="1">IF(OR($D51&lt;&gt;"Serviço",AND(AUTOEVENTO="Manual",$M51=$A$15),$M51&gt;(ROW(PLE.lastrow)-ROW(PLE.firstrow))),0,
           IF(OFFSET(PLE!$G$15,$M51-$A$15,CM$13)="",10^12,OFFSET(PLE!$G$15,$M51-$A$15,CM$13)))</f>
        <v>0</v>
      </c>
    </row>
    <row r="52" spans="1:91" s="696" customFormat="1" ht="63.75" x14ac:dyDescent="0.2">
      <c r="A52" s="694">
        <f t="shared" ca="1" si="10"/>
        <v>6</v>
      </c>
      <c r="B52" s="694" t="str">
        <f ca="1">OFFSET(ORÇAMENTO!C$15,$L52,0)</f>
        <v>S</v>
      </c>
      <c r="C52" s="694" t="str">
        <f ca="1">OFFSET(ORÇAMENTO!L$15,$L52,0)</f>
        <v>F</v>
      </c>
      <c r="D52" s="116" t="str">
        <f ca="1">OFFSET(ORÇAMENTO!N$15,$L52,0)</f>
        <v>Serviço</v>
      </c>
      <c r="E52" s="117" t="str">
        <f ca="1">OFFSET(ORÇAMENTO!O$15,$L52,0)</f>
        <v>1.6.1.</v>
      </c>
      <c r="F52" s="163" t="str">
        <f ca="1">OFFSET(ORÇAMENTO!R$15,$L52,0)</f>
        <v>CHAPISCO APLICADO EM ALVENARIAS E ESTRUTURAS DE CONCRETO INTERNAS, COM COLHER DE PEDREIRO. ARGAMASSA TRAÇO 1:3 COM PREPARO MANUAL. AF_10/2022</v>
      </c>
      <c r="G52" s="164" t="str">
        <f ca="1">IF($D52&lt;&gt;"Serviço","",OFFSET(ORÇAMENTO!S$15,$L52,0))</f>
        <v>M2</v>
      </c>
      <c r="H52" s="122">
        <f t="array" aca="1" ref="H52" ca="1">IF($D52&lt;&gt;"Serviço",0,IF(ACOMPANHAMENTO="BM",ROUND(OFFSET(ORÇAMENTO!AJ$15,$L52,0),15-13*ORÇAMENTO!$AF$7),IF(IFERROR(CÁLCULO.FrentesPreenchidas,0)=0,0,SUM(ROUND(OFFSET($P52,0,1,1,CÁLCULO.FrentesPreenchidas),15-13*ORÇAMENTO!$AF$7)))))</f>
        <v>679</v>
      </c>
      <c r="I52" s="467" t="s">
        <v>1230</v>
      </c>
      <c r="J52" s="653" t="str">
        <f t="array" aca="1" ref="J52" ca="1">IF(OR(B52&lt;&gt;"S",CÁLCULO.FrentesPreenchidas=0),"",IF(AND(ACOMPANHAMENTO="PLE",AUTOEVENTO="Manual",OR(H52&gt;0,ORÇAMENTO!AC52="QUANT."),OR(K52="",M52=0,N52="")),"►E",IF(AND(ACOMPANHAMENTO="PLE",ORÇAMENTO!AC52="QUANT."),"►Q",IF(AND(ACOMPANHAMENTO="PLE",H52&lt;&gt;SUMPRODUCT(($Q$1:$AI$1=1)*ROUND(Q52:AI52,15))),"►S",IF(AND(COUNTIF($P$11:$AI$11,"▼")=0,H52&gt;0,I52=""),"◄M","")))))</f>
        <v/>
      </c>
      <c r="K52" s="654" t="s">
        <v>1385</v>
      </c>
      <c r="L52" s="165">
        <f t="shared" ca="1" si="11"/>
        <v>37</v>
      </c>
      <c r="M52" s="166">
        <f ca="1">IF($D52&lt;&gt;"Serviço","",
          IF(AUTOEVENTO="manual",$A52,
                IF(ISERROR(MATCH($A52,$A$15:OFFSET($A52,-1,0),0)),MAX($M$15:OFFSET(M52,-1,0))+1,
                      INDEX($M$15:OFFSET(M52,-1,0),MATCH($A52,$A$15:OFFSET($A52,-1,0),0)))))</f>
        <v>6</v>
      </c>
      <c r="N52" s="167" t="str">
        <f ca="1">IF($D52&lt;&gt;"Serviço","",
         IF(AUTOEVENTO="Manual",
                IF($A52=0,"&lt;-- defina o número do agrupador",
                       OFFSET(EVENTOS!$D$15,$A52-$A$15,0)),
                OFFSET($F$15,$A52,0)))</f>
        <v>IMPERMEABILIZAÇÕES DE ESTRUTURAS DE FUNDAÇÃO</v>
      </c>
      <c r="O52" s="168"/>
      <c r="Q52" s="169">
        <f>33.95*5</f>
        <v>169.75</v>
      </c>
      <c r="R52" s="169">
        <f t="shared" ref="R52:T54" si="28">33.95*5</f>
        <v>169.75</v>
      </c>
      <c r="S52" s="169">
        <f t="shared" si="28"/>
        <v>169.75</v>
      </c>
      <c r="T52" s="169">
        <f t="shared" si="28"/>
        <v>169.75</v>
      </c>
      <c r="U52" s="169"/>
      <c r="V52" s="169"/>
      <c r="W52" s="169"/>
      <c r="X52" s="169"/>
      <c r="Y52" s="169"/>
      <c r="Z52" s="170"/>
      <c r="AA52" s="169"/>
      <c r="AB52" s="169"/>
      <c r="AC52" s="169"/>
      <c r="AD52" s="169"/>
      <c r="AE52" s="169"/>
      <c r="AF52" s="169"/>
      <c r="AG52" s="169"/>
      <c r="AH52" s="170"/>
      <c r="AJ52" s="452">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1033.78</v>
      </c>
      <c r="AK52" s="452">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1033.78</v>
      </c>
      <c r="AL52" s="452">
        <f ca="1">IF(AND($D52="Serviço",AL$12&lt;&gt;0,$H52&gt;0,OR(AUTOEVENTO&lt;&gt;"manual",$M52&lt;&gt;$A$15)),
        IF(Import.TipoArredondamento&lt;&gt;"TransfereGOV",
              ROUND(OFFSET($P52,0,AL$13),15-13*ORÇAMENTO!$AF$7)/$H52*OFFSET(ORÇAMENTO!$X$15,ROW(AL52)-ROW(AL$15),0),
              ROUND(ROUND(OFFSET($P52,0,AL$13),15-13*ORÇAMENTO!$AF$7)*OFFSET(ORÇAMENTO!$W$15,ROW(AL52)-ROW(AL$15),0),15-13*ORÇAMENTO!$AF$11)),
         0)</f>
        <v>1033.78</v>
      </c>
      <c r="AM52" s="452">
        <f ca="1">IF(AND($D52="Serviço",AM$12&lt;&gt;0,$H52&gt;0,OR(AUTOEVENTO&lt;&gt;"manual",$M52&lt;&gt;$A$15)),
        IF(Import.TipoArredondamento&lt;&gt;"TransfereGOV",
              ROUND(OFFSET($P52,0,AM$13),15-13*ORÇAMENTO!$AF$7)/$H52*OFFSET(ORÇAMENTO!$X$15,ROW(AM52)-ROW(AM$15),0),
              ROUND(ROUND(OFFSET($P52,0,AM$13),15-13*ORÇAMENTO!$AF$7)*OFFSET(ORÇAMENTO!$W$15,ROW(AM52)-ROW(AM$15),0),15-13*ORÇAMENTO!$AF$11)),
         0)</f>
        <v>1033.78</v>
      </c>
      <c r="AN52" s="452">
        <f ca="1">IF(AND($D52="Serviço",AN$12&lt;&gt;0,$H52&gt;0,OR(AUTOEVENTO&lt;&gt;"manual",$M52&lt;&gt;$A$15)),
        IF(Import.TipoArredondamento&lt;&gt;"TransfereGOV",
              ROUND(OFFSET($P52,0,AN$13),15-13*ORÇAMENTO!$AF$7)/$H52*OFFSET(ORÇAMENTO!$X$15,ROW(AN52)-ROW(AN$15),0),
              ROUND(ROUND(OFFSET($P52,0,AN$13),15-13*ORÇAMENTO!$AF$7)*OFFSET(ORÇAMENTO!$W$15,ROW(AN52)-ROW(AN$15),0),15-13*ORÇAMENTO!$AF$11)),
         0)</f>
        <v>0</v>
      </c>
      <c r="AO52" s="452">
        <f ca="1">IF(AND($D52="Serviço",AO$12&lt;&gt;0,$H52&gt;0,OR(AUTOEVENTO&lt;&gt;"manual",$M52&lt;&gt;$A$15)),
        IF(Import.TipoArredondamento&lt;&gt;"TransfereGOV",
              ROUND(OFFSET($P52,0,AO$13),15-13*ORÇAMENTO!$AF$7)/$H52*OFFSET(ORÇAMENTO!$X$15,ROW(AO52)-ROW(AO$15),0),
              ROUND(ROUND(OFFSET($P52,0,AO$13),15-13*ORÇAMENTO!$AF$7)*OFFSET(ORÇAMENTO!$W$15,ROW(AO52)-ROW(AO$15),0),15-13*ORÇAMENTO!$AF$11)),
         0)</f>
        <v>0</v>
      </c>
      <c r="AP52" s="452">
        <f ca="1">IF(AND($D52="Serviço",AP$12&lt;&gt;0,$H52&gt;0,OR(AUTOEVENTO&lt;&gt;"manual",$M52&lt;&gt;$A$15)),
        IF(Import.TipoArredondamento&lt;&gt;"TransfereGOV",
              ROUND(OFFSET($P52,0,AP$13),15-13*ORÇAMENTO!$AF$7)/$H52*OFFSET(ORÇAMENTO!$X$15,ROW(AP52)-ROW(AP$15),0),
              ROUND(ROUND(OFFSET($P52,0,AP$13),15-13*ORÇAMENTO!$AF$7)*OFFSET(ORÇAMENTO!$W$15,ROW(AP52)-ROW(AP$15),0),15-13*ORÇAMENTO!$AF$11)),
         0)</f>
        <v>0</v>
      </c>
      <c r="AQ52" s="452">
        <f ca="1">IF(AND($D52="Serviço",AQ$12&lt;&gt;0,$H52&gt;0,OR(AUTOEVENTO&lt;&gt;"manual",$M52&lt;&gt;$A$15)),
        IF(Import.TipoArredondamento&lt;&gt;"TransfereGOV",
              ROUND(OFFSET($P52,0,AQ$13),15-13*ORÇAMENTO!$AF$7)/$H52*OFFSET(ORÇAMENTO!$X$15,ROW(AQ52)-ROW(AQ$15),0),
              ROUND(ROUND(OFFSET($P52,0,AQ$13),15-13*ORÇAMENTO!$AF$7)*OFFSET(ORÇAMENTO!$W$15,ROW(AQ52)-ROW(AQ$15),0),15-13*ORÇAMENTO!$AF$11)),
         0)</f>
        <v>0</v>
      </c>
      <c r="AR52" s="452">
        <f ca="1">IF(AND($D52="Serviço",AR$12&lt;&gt;0,$H52&gt;0,OR(AUTOEVENTO&lt;&gt;"manual",$M52&lt;&gt;$A$15)),
        IF(Import.TipoArredondamento&lt;&gt;"TransfereGOV",
              ROUND(OFFSET($P52,0,AR$13),15-13*ORÇAMENTO!$AF$7)/$H52*OFFSET(ORÇAMENTO!$X$15,ROW(AR52)-ROW(AR$15),0),
              ROUND(ROUND(OFFSET($P52,0,AR$13),15-13*ORÇAMENTO!$AF$7)*OFFSET(ORÇAMENTO!$W$15,ROW(AR52)-ROW(AR$15),0),15-13*ORÇAMENTO!$AF$11)),
         0)</f>
        <v>0</v>
      </c>
      <c r="AS52" s="452">
        <f ca="1">IF(AND($D52="Serviço",AS$12&lt;&gt;0,$H52&gt;0,OR(AUTOEVENTO&lt;&gt;"manual",$M52&lt;&gt;$A$15)),
        IF(Import.TipoArredondamento&lt;&gt;"TransfereGOV",
              ROUND(OFFSET($P52,0,AS$13),15-13*ORÇAMENTO!$AF$7)/$H52*OFFSET(ORÇAMENTO!$X$15,ROW(AS52)-ROW(AS$15),0),
              ROUND(ROUND(OFFSET($P52,0,AS$13),15-13*ORÇAMENTO!$AF$7)*OFFSET(ORÇAMENTO!$W$15,ROW(AS52)-ROW(AS$15),0),15-13*ORÇAMENTO!$AF$11)),
         0)</f>
        <v>0</v>
      </c>
      <c r="AT52" s="452">
        <f ca="1">IF(AND($D52="Serviço",AT$12&lt;&gt;0,$H52&gt;0,OR(AUTOEVENTO&lt;&gt;"manual",$M52&lt;&gt;$A$15)),
        IF(Import.TipoArredondamento&lt;&gt;"TransfereGOV",
              ROUND(OFFSET($P52,0,AT$13),15-13*ORÇAMENTO!$AF$7)/$H52*OFFSET(ORÇAMENTO!$X$15,ROW(AT52)-ROW(AT$15),0),
              ROUND(ROUND(OFFSET($P52,0,AT$13),15-13*ORÇAMENTO!$AF$7)*OFFSET(ORÇAMENTO!$W$15,ROW(AT52)-ROW(AT$15),0),15-13*ORÇAMENTO!$AF$11)),
         0)</f>
        <v>0</v>
      </c>
      <c r="AU52" s="452">
        <f ca="1">IF(AND($D52="Serviço",AU$12&lt;&gt;0,$H52&gt;0,OR(AUTOEVENTO&lt;&gt;"manual",$M52&lt;&gt;$A$15)),
        IF(Import.TipoArredondamento&lt;&gt;"TransfereGOV",
              ROUND(OFFSET($P52,0,AU$13),15-13*ORÇAMENTO!$AF$7)/$H52*OFFSET(ORÇAMENTO!$X$15,ROW(AU52)-ROW(AU$15),0),
              ROUND(ROUND(OFFSET($P52,0,AU$13),15-13*ORÇAMENTO!$AF$7)*OFFSET(ORÇAMENTO!$W$15,ROW(AU52)-ROW(AU$15),0),15-13*ORÇAMENTO!$AF$11)),
         0)</f>
        <v>0</v>
      </c>
      <c r="AV52" s="452">
        <f ca="1">IF(AND($D52="Serviço",AV$12&lt;&gt;0,$H52&gt;0,OR(AUTOEVENTO&lt;&gt;"manual",$M52&lt;&gt;$A$15)),
        IF(Import.TipoArredondamento&lt;&gt;"TransfereGOV",
              ROUND(OFFSET($P52,0,AV$13),15-13*ORÇAMENTO!$AF$7)/$H52*OFFSET(ORÇAMENTO!$X$15,ROW(AV52)-ROW(AV$15),0),
              ROUND(ROUND(OFFSET($P52,0,AV$13),15-13*ORÇAMENTO!$AF$7)*OFFSET(ORÇAMENTO!$W$15,ROW(AV52)-ROW(AV$15),0),15-13*ORÇAMENTO!$AF$11)),
         0)</f>
        <v>0</v>
      </c>
      <c r="AW52" s="452">
        <f ca="1">IF(AND($D52="Serviço",AW$12&lt;&gt;0,$H52&gt;0,OR(AUTOEVENTO&lt;&gt;"manual",$M52&lt;&gt;$A$15)),
        IF(Import.TipoArredondamento&lt;&gt;"TransfereGOV",
              ROUND(OFFSET($P52,0,AW$13),15-13*ORÇAMENTO!$AF$7)/$H52*OFFSET(ORÇAMENTO!$X$15,ROW(AW52)-ROW(AW$15),0),
              ROUND(ROUND(OFFSET($P52,0,AW$13),15-13*ORÇAMENTO!$AF$7)*OFFSET(ORÇAMENTO!$W$15,ROW(AW52)-ROW(AW$15),0),15-13*ORÇAMENTO!$AF$11)),
         0)</f>
        <v>0</v>
      </c>
      <c r="AX52" s="452">
        <f ca="1">IF(AND($D52="Serviço",AX$12&lt;&gt;0,$H52&gt;0,OR(AUTOEVENTO&lt;&gt;"manual",$M52&lt;&gt;$A$15)),
        IF(Import.TipoArredondamento&lt;&gt;"TransfereGOV",
              ROUND(OFFSET($P52,0,AX$13),15-13*ORÇAMENTO!$AF$7)/$H52*OFFSET(ORÇAMENTO!$X$15,ROW(AX52)-ROW(AX$15),0),
              ROUND(ROUND(OFFSET($P52,0,AX$13),15-13*ORÇAMENTO!$AF$7)*OFFSET(ORÇAMENTO!$W$15,ROW(AX52)-ROW(AX$15),0),15-13*ORÇAMENTO!$AF$11)),
         0)</f>
        <v>0</v>
      </c>
      <c r="AY52" s="452">
        <f ca="1">IF(AND($D52="Serviço",AY$12&lt;&gt;0,$H52&gt;0,OR(AUTOEVENTO&lt;&gt;"manual",$M52&lt;&gt;$A$15)),
        IF(Import.TipoArredondamento&lt;&gt;"TransfereGOV",
              ROUND(OFFSET($P52,0,AY$13),15-13*ORÇAMENTO!$AF$7)/$H52*OFFSET(ORÇAMENTO!$X$15,ROW(AY52)-ROW(AY$15),0),
              ROUND(ROUND(OFFSET($P52,0,AY$13),15-13*ORÇAMENTO!$AF$7)*OFFSET(ORÇAMENTO!$W$15,ROW(AY52)-ROW(AY$15),0),15-13*ORÇAMENTO!$AF$11)),
         0)</f>
        <v>0</v>
      </c>
      <c r="AZ52" s="452">
        <f ca="1">IF(AND($D52="Serviço",AZ$12&lt;&gt;0,$H52&gt;0,OR(AUTOEVENTO&lt;&gt;"manual",$M52&lt;&gt;$A$15)),
        IF(Import.TipoArredondamento&lt;&gt;"TransfereGOV",
              ROUND(OFFSET($P52,0,AZ$13),15-13*ORÇAMENTO!$AF$7)/$H52*OFFSET(ORÇAMENTO!$X$15,ROW(AZ52)-ROW(AZ$15),0),
              ROUND(ROUND(OFFSET($P52,0,AZ$13),15-13*ORÇAMENTO!$AF$7)*OFFSET(ORÇAMENTO!$W$15,ROW(AZ52)-ROW(AZ$15),0),15-13*ORÇAMENTO!$AF$11)),
         0)</f>
        <v>0</v>
      </c>
      <c r="BA52" s="452">
        <f ca="1">IF(AND($D52="Serviço",BA$12&lt;&gt;0,$H52&gt;0,OR(AUTOEVENTO&lt;&gt;"manual",$M52&lt;&gt;$A$15)),
        IF(Import.TipoArredondamento&lt;&gt;"TransfereGOV",
              ROUND(OFFSET($P52,0,BA$13),15-13*ORÇAMENTO!$AF$7)/$H52*OFFSET(ORÇAMENTO!$X$15,ROW(BA52)-ROW(BA$15),0),
              ROUND(ROUND(OFFSET($P52,0,BA$13),15-13*ORÇAMENTO!$AF$7)*OFFSET(ORÇAMENTO!$W$15,ROW(BA52)-ROW(BA$15),0),15-13*ORÇAMENTO!$AF$11)),
         0)</f>
        <v>0</v>
      </c>
      <c r="BC52" s="171">
        <f ca="1">IF(OR($D52&lt;&gt;"Serviço",AND(AUTOEVENTO="Manual",$M52=$A$15)),0,
         IF(OFFSET(CRONOPLE!$F$15,$M52-$A$15,BC$13)=0,10^12,OFFSET(CRONOPLE!$F$15,$M52-$A$15,BC$13)))</f>
        <v>2</v>
      </c>
      <c r="BD52" s="171">
        <f ca="1">IF(OR($D52&lt;&gt;"Serviço",AND(AUTOEVENTO="Manual",$M52=$A$15)),0,
         IF(OFFSET(CRONOPLE!$F$15,$M52-$A$15,BD$13)=0,10^12,OFFSET(CRONOPLE!$F$15,$M52-$A$15,BD$13)))</f>
        <v>2</v>
      </c>
      <c r="BE52" s="171">
        <f ca="1">IF(OR($D52&lt;&gt;"Serviço",AND(AUTOEVENTO="Manual",$M52=$A$15)),0,
         IF(OFFSET(CRONOPLE!$F$15,$M52-$A$15,BE$13)=0,10^12,OFFSET(CRONOPLE!$F$15,$M52-$A$15,BE$13)))</f>
        <v>4</v>
      </c>
      <c r="BF52" s="171">
        <f ca="1">IF(OR($D52&lt;&gt;"Serviço",AND(AUTOEVENTO="Manual",$M52=$A$15)),0,
         IF(OFFSET(CRONOPLE!$F$15,$M52-$A$15,BF$13)=0,10^12,OFFSET(CRONOPLE!$F$15,$M52-$A$15,BF$13)))</f>
        <v>4</v>
      </c>
      <c r="BG52" s="171">
        <f ca="1">IF(OR($D52&lt;&gt;"Serviço",AND(AUTOEVENTO="Manual",$M52=$A$15)),0,
         IF(OFFSET(CRONOPLE!$F$15,$M52-$A$15,BG$13)=0,10^12,OFFSET(CRONOPLE!$F$15,$M52-$A$15,BG$13)))</f>
        <v>4</v>
      </c>
      <c r="BH52" s="171">
        <f ca="1">IF(OR($D52&lt;&gt;"Serviço",AND(AUTOEVENTO="Manual",$M52=$A$15)),0,
         IF(OFFSET(CRONOPLE!$F$15,$M52-$A$15,BH$13)=0,10^12,OFFSET(CRONOPLE!$F$15,$M52-$A$15,BH$13)))</f>
        <v>1000000000000</v>
      </c>
      <c r="BI52" s="171">
        <f ca="1">IF(OR($D52&lt;&gt;"Serviço",AND(AUTOEVENTO="Manual",$M52=$A$15)),0,
         IF(OFFSET(CRONOPLE!$F$15,$M52-$A$15,BI$13)=0,10^12,OFFSET(CRONOPLE!$F$15,$M52-$A$15,BI$13)))</f>
        <v>1000000000000</v>
      </c>
      <c r="BJ52" s="171">
        <f ca="1">IF(OR($D52&lt;&gt;"Serviço",AND(AUTOEVENTO="Manual",$M52=$A$15)),0,
         IF(OFFSET(CRONOPLE!$F$15,$M52-$A$15,BJ$13)=0,10^12,OFFSET(CRONOPLE!$F$15,$M52-$A$15,BJ$13)))</f>
        <v>1000000000000</v>
      </c>
      <c r="BK52" s="171">
        <f ca="1">IF(OR($D52&lt;&gt;"Serviço",AND(AUTOEVENTO="Manual",$M52=$A$15)),0,
         IF(OFFSET(CRONOPLE!$F$15,$M52-$A$15,BK$13)=0,10^12,OFFSET(CRONOPLE!$F$15,$M52-$A$15,BK$13)))</f>
        <v>1000000000000</v>
      </c>
      <c r="BL52" s="171">
        <f ca="1">IF(OR($D52&lt;&gt;"Serviço",AND(AUTOEVENTO="Manual",$M52=$A$15)),0,
         IF(OFFSET(CRONOPLE!$F$15,$M52-$A$15,BL$13)=0,10^12,OFFSET(CRONOPLE!$F$15,$M52-$A$15,BL$13)))</f>
        <v>1000000000000</v>
      </c>
      <c r="BM52" s="171">
        <f ca="1">IF(OR($D52&lt;&gt;"Serviço",AND(AUTOEVENTO="Manual",$M52=$A$15)),0,
         IF(OFFSET(CRONOPLE!$F$15,$M52-$A$15,BM$13)=0,10^12,OFFSET(CRONOPLE!$F$15,$M52-$A$15,BM$13)))</f>
        <v>1000000000000</v>
      </c>
      <c r="BN52" s="171">
        <f ca="1">IF(OR($D52&lt;&gt;"Serviço",AND(AUTOEVENTO="Manual",$M52=$A$15)),0,
         IF(OFFSET(CRONOPLE!$F$15,$M52-$A$15,BN$13)=0,10^12,OFFSET(CRONOPLE!$F$15,$M52-$A$15,BN$13)))</f>
        <v>1000000000000</v>
      </c>
      <c r="BO52" s="171">
        <f ca="1">IF(OR($D52&lt;&gt;"Serviço",AND(AUTOEVENTO="Manual",$M52=$A$15)),0,
         IF(OFFSET(CRONOPLE!$F$15,$M52-$A$15,BO$13)=0,10^12,OFFSET(CRONOPLE!$F$15,$M52-$A$15,BO$13)))</f>
        <v>1000000000000</v>
      </c>
      <c r="BP52" s="171">
        <f ca="1">IF(OR($D52&lt;&gt;"Serviço",AND(AUTOEVENTO="Manual",$M52=$A$15)),0,
         IF(OFFSET(CRONOPLE!$F$15,$M52-$A$15,BP$13)=0,10^12,OFFSET(CRONOPLE!$F$15,$M52-$A$15,BP$13)))</f>
        <v>1000000000000</v>
      </c>
      <c r="BQ52" s="171">
        <f ca="1">IF(OR($D52&lt;&gt;"Serviço",AND(AUTOEVENTO="Manual",$M52=$A$15)),0,
         IF(OFFSET(CRONOPLE!$F$15,$M52-$A$15,BQ$13)=0,10^12,OFFSET(CRONOPLE!$F$15,$M52-$A$15,BQ$13)))</f>
        <v>1000000000000</v>
      </c>
      <c r="BR52" s="171">
        <f ca="1">IF(OR($D52&lt;&gt;"Serviço",AND(AUTOEVENTO="Manual",$M52=$A$15)),0,
         IF(OFFSET(CRONOPLE!$F$15,$M52-$A$15,BR$13)=0,10^12,OFFSET(CRONOPLE!$F$15,$M52-$A$15,BR$13)))</f>
        <v>1000000000000</v>
      </c>
      <c r="BS52" s="171">
        <f ca="1">IF(OR($D52&lt;&gt;"Serviço",AND(AUTOEVENTO="Manual",$M52=$A$15)),0,
         IF(OFFSET(CRONOPLE!$F$15,$M52-$A$15,BS$13)=0,10^12,OFFSET(CRONOPLE!$F$15,$M52-$A$15,BS$13)))</f>
        <v>1000000000000</v>
      </c>
      <c r="BT52" s="171">
        <f ca="1">IF(OR($D52&lt;&gt;"Serviço",AND(AUTOEVENTO="Manual",$M52=$A$15)),0,
         IF(OFFSET(CRONOPLE!$F$15,$M52-$A$15,BT$13)=0,10^12,OFFSET(CRONOPLE!$F$15,$M52-$A$15,BT$13)))</f>
        <v>1000000000000</v>
      </c>
      <c r="BV52" s="172">
        <f t="array" aca="1" ref="BV52" ca="1">IF(OR($D52&lt;&gt;"Serviço",AND(AUTOEVENTO="Manual",$M52=$A$15),$M52&gt;(ROW(PLE.lastrow)-ROW(PLE.firstrow))),0,
           IF(OFFSET(PLE!$G$15,$M52-$A$15,BV$13)="",10^12,OFFSET(PLE!$G$15,$M52-$A$15,BV$13)))</f>
        <v>1000000000000</v>
      </c>
      <c r="BW52" s="172">
        <f t="array" aca="1" ref="BW52" ca="1">IF(OR($D52&lt;&gt;"Serviço",AND(AUTOEVENTO="Manual",$M52=$A$15),$M52&gt;(ROW(PLE.lastrow)-ROW(PLE.firstrow))),0,
           IF(OFFSET(PLE!$G$15,$M52-$A$15,BW$13)="",10^12,OFFSET(PLE!$G$15,$M52-$A$15,BW$13)))</f>
        <v>1000000000000</v>
      </c>
      <c r="BX52" s="172">
        <f t="array" aca="1" ref="BX52" ca="1">IF(OR($D52&lt;&gt;"Serviço",AND(AUTOEVENTO="Manual",$M52=$A$15),$M52&gt;(ROW(PLE.lastrow)-ROW(PLE.firstrow))),0,
           IF(OFFSET(PLE!$G$15,$M52-$A$15,BX$13)="",10^12,OFFSET(PLE!$G$15,$M52-$A$15,BX$13)))</f>
        <v>1000000000000</v>
      </c>
      <c r="BY52" s="172">
        <f t="array" aca="1" ref="BY52" ca="1">IF(OR($D52&lt;&gt;"Serviço",AND(AUTOEVENTO="Manual",$M52=$A$15),$M52&gt;(ROW(PLE.lastrow)-ROW(PLE.firstrow))),0,
           IF(OFFSET(PLE!$G$15,$M52-$A$15,BY$13)="",10^12,OFFSET(PLE!$G$15,$M52-$A$15,BY$13)))</f>
        <v>1000000000000</v>
      </c>
      <c r="BZ52" s="172">
        <f t="array" aca="1" ref="BZ52" ca="1">IF(OR($D52&lt;&gt;"Serviço",AND(AUTOEVENTO="Manual",$M52=$A$15),$M52&gt;(ROW(PLE.lastrow)-ROW(PLE.firstrow))),0,
           IF(OFFSET(PLE!$G$15,$M52-$A$15,BZ$13)="",10^12,OFFSET(PLE!$G$15,$M52-$A$15,BZ$13)))</f>
        <v>1000000000000</v>
      </c>
      <c r="CA52" s="172">
        <f t="array" aca="1" ref="CA52" ca="1">IF(OR($D52&lt;&gt;"Serviço",AND(AUTOEVENTO="Manual",$M52=$A$15),$M52&gt;(ROW(PLE.lastrow)-ROW(PLE.firstrow))),0,
           IF(OFFSET(PLE!$G$15,$M52-$A$15,CA$13)="",10^12,OFFSET(PLE!$G$15,$M52-$A$15,CA$13)))</f>
        <v>1000000000000</v>
      </c>
      <c r="CB52" s="172">
        <f t="array" aca="1" ref="CB52" ca="1">IF(OR($D52&lt;&gt;"Serviço",AND(AUTOEVENTO="Manual",$M52=$A$15),$M52&gt;(ROW(PLE.lastrow)-ROW(PLE.firstrow))),0,
           IF(OFFSET(PLE!$G$15,$M52-$A$15,CB$13)="",10^12,OFFSET(PLE!$G$15,$M52-$A$15,CB$13)))</f>
        <v>1000000000000</v>
      </c>
      <c r="CC52" s="172">
        <f t="array" aca="1" ref="CC52" ca="1">IF(OR($D52&lt;&gt;"Serviço",AND(AUTOEVENTO="Manual",$M52=$A$15),$M52&gt;(ROW(PLE.lastrow)-ROW(PLE.firstrow))),0,
           IF(OFFSET(PLE!$G$15,$M52-$A$15,CC$13)="",10^12,OFFSET(PLE!$G$15,$M52-$A$15,CC$13)))</f>
        <v>1000000000000</v>
      </c>
      <c r="CD52" s="172">
        <f t="array" aca="1" ref="CD52" ca="1">IF(OR($D52&lt;&gt;"Serviço",AND(AUTOEVENTO="Manual",$M52=$A$15),$M52&gt;(ROW(PLE.lastrow)-ROW(PLE.firstrow))),0,
           IF(OFFSET(PLE!$G$15,$M52-$A$15,CD$13)="",10^12,OFFSET(PLE!$G$15,$M52-$A$15,CD$13)))</f>
        <v>1000000000000</v>
      </c>
      <c r="CE52" s="172">
        <f t="array" aca="1" ref="CE52" ca="1">IF(OR($D52&lt;&gt;"Serviço",AND(AUTOEVENTO="Manual",$M52=$A$15),$M52&gt;(ROW(PLE.lastrow)-ROW(PLE.firstrow))),0,
           IF(OFFSET(PLE!$G$15,$M52-$A$15,CE$13)="",10^12,OFFSET(PLE!$G$15,$M52-$A$15,CE$13)))</f>
        <v>1000000000000</v>
      </c>
      <c r="CF52" s="172">
        <f t="array" aca="1" ref="CF52" ca="1">IF(OR($D52&lt;&gt;"Serviço",AND(AUTOEVENTO="Manual",$M52=$A$15),$M52&gt;(ROW(PLE.lastrow)-ROW(PLE.firstrow))),0,
           IF(OFFSET(PLE!$G$15,$M52-$A$15,CF$13)="",10^12,OFFSET(PLE!$G$15,$M52-$A$15,CF$13)))</f>
        <v>1000000000000</v>
      </c>
      <c r="CG52" s="172">
        <f t="array" aca="1" ref="CG52" ca="1">IF(OR($D52&lt;&gt;"Serviço",AND(AUTOEVENTO="Manual",$M52=$A$15),$M52&gt;(ROW(PLE.lastrow)-ROW(PLE.firstrow))),0,
           IF(OFFSET(PLE!$G$15,$M52-$A$15,CG$13)="",10^12,OFFSET(PLE!$G$15,$M52-$A$15,CG$13)))</f>
        <v>1000000000000</v>
      </c>
      <c r="CH52" s="172">
        <f t="array" aca="1" ref="CH52" ca="1">IF(OR($D52&lt;&gt;"Serviço",AND(AUTOEVENTO="Manual",$M52=$A$15),$M52&gt;(ROW(PLE.lastrow)-ROW(PLE.firstrow))),0,
           IF(OFFSET(PLE!$G$15,$M52-$A$15,CH$13)="",10^12,OFFSET(PLE!$G$15,$M52-$A$15,CH$13)))</f>
        <v>1000000000000</v>
      </c>
      <c r="CI52" s="172">
        <f t="array" aca="1" ref="CI52" ca="1">IF(OR($D52&lt;&gt;"Serviço",AND(AUTOEVENTO="Manual",$M52=$A$15),$M52&gt;(ROW(PLE.lastrow)-ROW(PLE.firstrow))),0,
           IF(OFFSET(PLE!$G$15,$M52-$A$15,CI$13)="",10^12,OFFSET(PLE!$G$15,$M52-$A$15,CI$13)))</f>
        <v>1000000000000</v>
      </c>
      <c r="CJ52" s="172">
        <f t="array" aca="1" ref="CJ52" ca="1">IF(OR($D52&lt;&gt;"Serviço",AND(AUTOEVENTO="Manual",$M52=$A$15),$M52&gt;(ROW(PLE.lastrow)-ROW(PLE.firstrow))),0,
           IF(OFFSET(PLE!$G$15,$M52-$A$15,CJ$13)="",10^12,OFFSET(PLE!$G$15,$M52-$A$15,CJ$13)))</f>
        <v>1000000000000</v>
      </c>
      <c r="CK52" s="172">
        <f t="array" aca="1" ref="CK52" ca="1">IF(OR($D52&lt;&gt;"Serviço",AND(AUTOEVENTO="Manual",$M52=$A$15),$M52&gt;(ROW(PLE.lastrow)-ROW(PLE.firstrow))),0,
           IF(OFFSET(PLE!$G$15,$M52-$A$15,CK$13)="",10^12,OFFSET(PLE!$G$15,$M52-$A$15,CK$13)))</f>
        <v>1000000000000</v>
      </c>
      <c r="CL52" s="172">
        <f t="array" aca="1" ref="CL52" ca="1">IF(OR($D52&lt;&gt;"Serviço",AND(AUTOEVENTO="Manual",$M52=$A$15),$M52&gt;(ROW(PLE.lastrow)-ROW(PLE.firstrow))),0,
           IF(OFFSET(PLE!$G$15,$M52-$A$15,CL$13)="",10^12,OFFSET(PLE!$G$15,$M52-$A$15,CL$13)))</f>
        <v>1000000000000</v>
      </c>
      <c r="CM52" s="172">
        <f t="array" aca="1" ref="CM52" ca="1">IF(OR($D52&lt;&gt;"Serviço",AND(AUTOEVENTO="Manual",$M52=$A$15),$M52&gt;(ROW(PLE.lastrow)-ROW(PLE.firstrow))),0,
           IF(OFFSET(PLE!$G$15,$M52-$A$15,CM$13)="",10^12,OFFSET(PLE!$G$15,$M52-$A$15,CM$13)))</f>
        <v>1000000000000</v>
      </c>
    </row>
    <row r="53" spans="1:91" s="696" customFormat="1" ht="63.75" x14ac:dyDescent="0.2">
      <c r="A53" s="694">
        <f t="shared" ca="1" si="10"/>
        <v>6</v>
      </c>
      <c r="B53" s="694" t="str">
        <f ca="1">OFFSET(ORÇAMENTO!C$15,$L53,0)</f>
        <v>S</v>
      </c>
      <c r="C53" s="694" t="str">
        <f ca="1">OFFSET(ORÇAMENTO!L$15,$L53,0)</f>
        <v>F</v>
      </c>
      <c r="D53" s="116" t="str">
        <f ca="1">OFFSET(ORÇAMENTO!N$15,$L53,0)</f>
        <v>Serviço</v>
      </c>
      <c r="E53" s="117" t="str">
        <f ca="1">OFFSET(ORÇAMENTO!O$15,$L53,0)</f>
        <v>1.6.2.</v>
      </c>
      <c r="F53" s="163" t="str">
        <f ca="1">OFFSET(ORÇAMENTO!R$15,$L53,0)</f>
        <v>IMPERMEABILIZAÇÃO DE SUPERFÍCIE COM ARGAMASSA DE CIMENTO E AREIA, COM ADITIVO IMPERMEABILIZANTE, E = 1,5CM. AF_09/2023</v>
      </c>
      <c r="G53" s="164" t="str">
        <f ca="1">IF($D53&lt;&gt;"Serviço","",OFFSET(ORÇAMENTO!S$15,$L53,0))</f>
        <v>M2</v>
      </c>
      <c r="H53" s="122">
        <f t="array" aca="1" ref="H53" ca="1">IF($D53&lt;&gt;"Serviço",0,IF(ACOMPANHAMENTO="BM",ROUND(OFFSET(ORÇAMENTO!AJ$15,$L53,0),15-13*ORÇAMENTO!$AF$7),IF(IFERROR(CÁLCULO.FrentesPreenchidas,0)=0,0,SUM(ROUND(OFFSET($P53,0,1,1,CÁLCULO.FrentesPreenchidas),15-13*ORÇAMENTO!$AF$7)))))</f>
        <v>679</v>
      </c>
      <c r="I53" s="467" t="s">
        <v>1230</v>
      </c>
      <c r="J53" s="653" t="str">
        <f t="array" aca="1" ref="J53" ca="1">IF(OR(B53&lt;&gt;"S",CÁLCULO.FrentesPreenchidas=0),"",IF(AND(ACOMPANHAMENTO="PLE",AUTOEVENTO="Manual",OR(H53&gt;0,ORÇAMENTO!AC53="QUANT."),OR(K53="",M53=0,N53="")),"►E",IF(AND(ACOMPANHAMENTO="PLE",ORÇAMENTO!AC53="QUANT."),"►Q",IF(AND(ACOMPANHAMENTO="PLE",H53&lt;&gt;SUMPRODUCT(($Q$1:$AI$1=1)*ROUND(Q53:AI53,15))),"►S",IF(AND(COUNTIF($P$11:$AI$11,"▼")=0,H53&gt;0,I53=""),"◄M","")))))</f>
        <v/>
      </c>
      <c r="K53" s="654" t="s">
        <v>1385</v>
      </c>
      <c r="L53" s="165">
        <f t="shared" ca="1" si="11"/>
        <v>38</v>
      </c>
      <c r="M53" s="166">
        <f ca="1">IF($D53&lt;&gt;"Serviço","",
          IF(AUTOEVENTO="manual",$A53,
                IF(ISERROR(MATCH($A53,$A$15:OFFSET($A53,-1,0),0)),MAX($M$15:OFFSET(M53,-1,0))+1,
                      INDEX($M$15:OFFSET(M53,-1,0),MATCH($A53,$A$15:OFFSET($A53,-1,0),0)))))</f>
        <v>6</v>
      </c>
      <c r="N53" s="167" t="str">
        <f ca="1">IF($D53&lt;&gt;"Serviço","",
         IF(AUTOEVENTO="Manual",
                IF($A53=0,"&lt;-- defina o número do agrupador",
                       OFFSET(EVENTOS!$D$15,$A53-$A$15,0)),
                OFFSET($F$15,$A53,0)))</f>
        <v>IMPERMEABILIZAÇÕES DE ESTRUTURAS DE FUNDAÇÃO</v>
      </c>
      <c r="O53" s="168"/>
      <c r="Q53" s="169">
        <f>33.95*5</f>
        <v>169.75</v>
      </c>
      <c r="R53" s="169">
        <f t="shared" si="28"/>
        <v>169.75</v>
      </c>
      <c r="S53" s="169">
        <f t="shared" si="28"/>
        <v>169.75</v>
      </c>
      <c r="T53" s="169">
        <f t="shared" si="28"/>
        <v>169.75</v>
      </c>
      <c r="U53" s="169"/>
      <c r="V53" s="169"/>
      <c r="W53" s="169"/>
      <c r="X53" s="169"/>
      <c r="Y53" s="169"/>
      <c r="Z53" s="170"/>
      <c r="AA53" s="169"/>
      <c r="AB53" s="169"/>
      <c r="AC53" s="169"/>
      <c r="AD53" s="169"/>
      <c r="AE53" s="169"/>
      <c r="AF53" s="169"/>
      <c r="AG53" s="169"/>
      <c r="AH53" s="170"/>
      <c r="AJ53" s="452">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10412.469999999999</v>
      </c>
      <c r="AK53" s="452">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10412.469999999999</v>
      </c>
      <c r="AL53" s="452">
        <f ca="1">IF(AND($D53="Serviço",AL$12&lt;&gt;0,$H53&gt;0,OR(AUTOEVENTO&lt;&gt;"manual",$M53&lt;&gt;$A$15)),
        IF(Import.TipoArredondamento&lt;&gt;"TransfereGOV",
              ROUND(OFFSET($P53,0,AL$13),15-13*ORÇAMENTO!$AF$7)/$H53*OFFSET(ORÇAMENTO!$X$15,ROW(AL53)-ROW(AL$15),0),
              ROUND(ROUND(OFFSET($P53,0,AL$13),15-13*ORÇAMENTO!$AF$7)*OFFSET(ORÇAMENTO!$W$15,ROW(AL53)-ROW(AL$15),0),15-13*ORÇAMENTO!$AF$11)),
         0)</f>
        <v>10412.469999999999</v>
      </c>
      <c r="AM53" s="452">
        <f ca="1">IF(AND($D53="Serviço",AM$12&lt;&gt;0,$H53&gt;0,OR(AUTOEVENTO&lt;&gt;"manual",$M53&lt;&gt;$A$15)),
        IF(Import.TipoArredondamento&lt;&gt;"TransfereGOV",
              ROUND(OFFSET($P53,0,AM$13),15-13*ORÇAMENTO!$AF$7)/$H53*OFFSET(ORÇAMENTO!$X$15,ROW(AM53)-ROW(AM$15),0),
              ROUND(ROUND(OFFSET($P53,0,AM$13),15-13*ORÇAMENTO!$AF$7)*OFFSET(ORÇAMENTO!$W$15,ROW(AM53)-ROW(AM$15),0),15-13*ORÇAMENTO!$AF$11)),
         0)</f>
        <v>10412.469999999999</v>
      </c>
      <c r="AN53" s="452">
        <f ca="1">IF(AND($D53="Serviço",AN$12&lt;&gt;0,$H53&gt;0,OR(AUTOEVENTO&lt;&gt;"manual",$M53&lt;&gt;$A$15)),
        IF(Import.TipoArredondamento&lt;&gt;"TransfereGOV",
              ROUND(OFFSET($P53,0,AN$13),15-13*ORÇAMENTO!$AF$7)/$H53*OFFSET(ORÇAMENTO!$X$15,ROW(AN53)-ROW(AN$15),0),
              ROUND(ROUND(OFFSET($P53,0,AN$13),15-13*ORÇAMENTO!$AF$7)*OFFSET(ORÇAMENTO!$W$15,ROW(AN53)-ROW(AN$15),0),15-13*ORÇAMENTO!$AF$11)),
         0)</f>
        <v>0</v>
      </c>
      <c r="AO53" s="452">
        <f ca="1">IF(AND($D53="Serviço",AO$12&lt;&gt;0,$H53&gt;0,OR(AUTOEVENTO&lt;&gt;"manual",$M53&lt;&gt;$A$15)),
        IF(Import.TipoArredondamento&lt;&gt;"TransfereGOV",
              ROUND(OFFSET($P53,0,AO$13),15-13*ORÇAMENTO!$AF$7)/$H53*OFFSET(ORÇAMENTO!$X$15,ROW(AO53)-ROW(AO$15),0),
              ROUND(ROUND(OFFSET($P53,0,AO$13),15-13*ORÇAMENTO!$AF$7)*OFFSET(ORÇAMENTO!$W$15,ROW(AO53)-ROW(AO$15),0),15-13*ORÇAMENTO!$AF$11)),
         0)</f>
        <v>0</v>
      </c>
      <c r="AP53" s="452">
        <f ca="1">IF(AND($D53="Serviço",AP$12&lt;&gt;0,$H53&gt;0,OR(AUTOEVENTO&lt;&gt;"manual",$M53&lt;&gt;$A$15)),
        IF(Import.TipoArredondamento&lt;&gt;"TransfereGOV",
              ROUND(OFFSET($P53,0,AP$13),15-13*ORÇAMENTO!$AF$7)/$H53*OFFSET(ORÇAMENTO!$X$15,ROW(AP53)-ROW(AP$15),0),
              ROUND(ROUND(OFFSET($P53,0,AP$13),15-13*ORÇAMENTO!$AF$7)*OFFSET(ORÇAMENTO!$W$15,ROW(AP53)-ROW(AP$15),0),15-13*ORÇAMENTO!$AF$11)),
         0)</f>
        <v>0</v>
      </c>
      <c r="AQ53" s="452">
        <f ca="1">IF(AND($D53="Serviço",AQ$12&lt;&gt;0,$H53&gt;0,OR(AUTOEVENTO&lt;&gt;"manual",$M53&lt;&gt;$A$15)),
        IF(Import.TipoArredondamento&lt;&gt;"TransfereGOV",
              ROUND(OFFSET($P53,0,AQ$13),15-13*ORÇAMENTO!$AF$7)/$H53*OFFSET(ORÇAMENTO!$X$15,ROW(AQ53)-ROW(AQ$15),0),
              ROUND(ROUND(OFFSET($P53,0,AQ$13),15-13*ORÇAMENTO!$AF$7)*OFFSET(ORÇAMENTO!$W$15,ROW(AQ53)-ROW(AQ$15),0),15-13*ORÇAMENTO!$AF$11)),
         0)</f>
        <v>0</v>
      </c>
      <c r="AR53" s="452">
        <f ca="1">IF(AND($D53="Serviço",AR$12&lt;&gt;0,$H53&gt;0,OR(AUTOEVENTO&lt;&gt;"manual",$M53&lt;&gt;$A$15)),
        IF(Import.TipoArredondamento&lt;&gt;"TransfereGOV",
              ROUND(OFFSET($P53,0,AR$13),15-13*ORÇAMENTO!$AF$7)/$H53*OFFSET(ORÇAMENTO!$X$15,ROW(AR53)-ROW(AR$15),0),
              ROUND(ROUND(OFFSET($P53,0,AR$13),15-13*ORÇAMENTO!$AF$7)*OFFSET(ORÇAMENTO!$W$15,ROW(AR53)-ROW(AR$15),0),15-13*ORÇAMENTO!$AF$11)),
         0)</f>
        <v>0</v>
      </c>
      <c r="AS53" s="452">
        <f ca="1">IF(AND($D53="Serviço",AS$12&lt;&gt;0,$H53&gt;0,OR(AUTOEVENTO&lt;&gt;"manual",$M53&lt;&gt;$A$15)),
        IF(Import.TipoArredondamento&lt;&gt;"TransfereGOV",
              ROUND(OFFSET($P53,0,AS$13),15-13*ORÇAMENTO!$AF$7)/$H53*OFFSET(ORÇAMENTO!$X$15,ROW(AS53)-ROW(AS$15),0),
              ROUND(ROUND(OFFSET($P53,0,AS$13),15-13*ORÇAMENTO!$AF$7)*OFFSET(ORÇAMENTO!$W$15,ROW(AS53)-ROW(AS$15),0),15-13*ORÇAMENTO!$AF$11)),
         0)</f>
        <v>0</v>
      </c>
      <c r="AT53" s="452">
        <f ca="1">IF(AND($D53="Serviço",AT$12&lt;&gt;0,$H53&gt;0,OR(AUTOEVENTO&lt;&gt;"manual",$M53&lt;&gt;$A$15)),
        IF(Import.TipoArredondamento&lt;&gt;"TransfereGOV",
              ROUND(OFFSET($P53,0,AT$13),15-13*ORÇAMENTO!$AF$7)/$H53*OFFSET(ORÇAMENTO!$X$15,ROW(AT53)-ROW(AT$15),0),
              ROUND(ROUND(OFFSET($P53,0,AT$13),15-13*ORÇAMENTO!$AF$7)*OFFSET(ORÇAMENTO!$W$15,ROW(AT53)-ROW(AT$15),0),15-13*ORÇAMENTO!$AF$11)),
         0)</f>
        <v>0</v>
      </c>
      <c r="AU53" s="452">
        <f ca="1">IF(AND($D53="Serviço",AU$12&lt;&gt;0,$H53&gt;0,OR(AUTOEVENTO&lt;&gt;"manual",$M53&lt;&gt;$A$15)),
        IF(Import.TipoArredondamento&lt;&gt;"TransfereGOV",
              ROUND(OFFSET($P53,0,AU$13),15-13*ORÇAMENTO!$AF$7)/$H53*OFFSET(ORÇAMENTO!$X$15,ROW(AU53)-ROW(AU$15),0),
              ROUND(ROUND(OFFSET($P53,0,AU$13),15-13*ORÇAMENTO!$AF$7)*OFFSET(ORÇAMENTO!$W$15,ROW(AU53)-ROW(AU$15),0),15-13*ORÇAMENTO!$AF$11)),
         0)</f>
        <v>0</v>
      </c>
      <c r="AV53" s="452">
        <f ca="1">IF(AND($D53="Serviço",AV$12&lt;&gt;0,$H53&gt;0,OR(AUTOEVENTO&lt;&gt;"manual",$M53&lt;&gt;$A$15)),
        IF(Import.TipoArredondamento&lt;&gt;"TransfereGOV",
              ROUND(OFFSET($P53,0,AV$13),15-13*ORÇAMENTO!$AF$7)/$H53*OFFSET(ORÇAMENTO!$X$15,ROW(AV53)-ROW(AV$15),0),
              ROUND(ROUND(OFFSET($P53,0,AV$13),15-13*ORÇAMENTO!$AF$7)*OFFSET(ORÇAMENTO!$W$15,ROW(AV53)-ROW(AV$15),0),15-13*ORÇAMENTO!$AF$11)),
         0)</f>
        <v>0</v>
      </c>
      <c r="AW53" s="452">
        <f ca="1">IF(AND($D53="Serviço",AW$12&lt;&gt;0,$H53&gt;0,OR(AUTOEVENTO&lt;&gt;"manual",$M53&lt;&gt;$A$15)),
        IF(Import.TipoArredondamento&lt;&gt;"TransfereGOV",
              ROUND(OFFSET($P53,0,AW$13),15-13*ORÇAMENTO!$AF$7)/$H53*OFFSET(ORÇAMENTO!$X$15,ROW(AW53)-ROW(AW$15),0),
              ROUND(ROUND(OFFSET($P53,0,AW$13),15-13*ORÇAMENTO!$AF$7)*OFFSET(ORÇAMENTO!$W$15,ROW(AW53)-ROW(AW$15),0),15-13*ORÇAMENTO!$AF$11)),
         0)</f>
        <v>0</v>
      </c>
      <c r="AX53" s="452">
        <f ca="1">IF(AND($D53="Serviço",AX$12&lt;&gt;0,$H53&gt;0,OR(AUTOEVENTO&lt;&gt;"manual",$M53&lt;&gt;$A$15)),
        IF(Import.TipoArredondamento&lt;&gt;"TransfereGOV",
              ROUND(OFFSET($P53,0,AX$13),15-13*ORÇAMENTO!$AF$7)/$H53*OFFSET(ORÇAMENTO!$X$15,ROW(AX53)-ROW(AX$15),0),
              ROUND(ROUND(OFFSET($P53,0,AX$13),15-13*ORÇAMENTO!$AF$7)*OFFSET(ORÇAMENTO!$W$15,ROW(AX53)-ROW(AX$15),0),15-13*ORÇAMENTO!$AF$11)),
         0)</f>
        <v>0</v>
      </c>
      <c r="AY53" s="452">
        <f ca="1">IF(AND($D53="Serviço",AY$12&lt;&gt;0,$H53&gt;0,OR(AUTOEVENTO&lt;&gt;"manual",$M53&lt;&gt;$A$15)),
        IF(Import.TipoArredondamento&lt;&gt;"TransfereGOV",
              ROUND(OFFSET($P53,0,AY$13),15-13*ORÇAMENTO!$AF$7)/$H53*OFFSET(ORÇAMENTO!$X$15,ROW(AY53)-ROW(AY$15),0),
              ROUND(ROUND(OFFSET($P53,0,AY$13),15-13*ORÇAMENTO!$AF$7)*OFFSET(ORÇAMENTO!$W$15,ROW(AY53)-ROW(AY$15),0),15-13*ORÇAMENTO!$AF$11)),
         0)</f>
        <v>0</v>
      </c>
      <c r="AZ53" s="452">
        <f ca="1">IF(AND($D53="Serviço",AZ$12&lt;&gt;0,$H53&gt;0,OR(AUTOEVENTO&lt;&gt;"manual",$M53&lt;&gt;$A$15)),
        IF(Import.TipoArredondamento&lt;&gt;"TransfereGOV",
              ROUND(OFFSET($P53,0,AZ$13),15-13*ORÇAMENTO!$AF$7)/$H53*OFFSET(ORÇAMENTO!$X$15,ROW(AZ53)-ROW(AZ$15),0),
              ROUND(ROUND(OFFSET($P53,0,AZ$13),15-13*ORÇAMENTO!$AF$7)*OFFSET(ORÇAMENTO!$W$15,ROW(AZ53)-ROW(AZ$15),0),15-13*ORÇAMENTO!$AF$11)),
         0)</f>
        <v>0</v>
      </c>
      <c r="BA53" s="452">
        <f ca="1">IF(AND($D53="Serviço",BA$12&lt;&gt;0,$H53&gt;0,OR(AUTOEVENTO&lt;&gt;"manual",$M53&lt;&gt;$A$15)),
        IF(Import.TipoArredondamento&lt;&gt;"TransfereGOV",
              ROUND(OFFSET($P53,0,BA$13),15-13*ORÇAMENTO!$AF$7)/$H53*OFFSET(ORÇAMENTO!$X$15,ROW(BA53)-ROW(BA$15),0),
              ROUND(ROUND(OFFSET($P53,0,BA$13),15-13*ORÇAMENTO!$AF$7)*OFFSET(ORÇAMENTO!$W$15,ROW(BA53)-ROW(BA$15),0),15-13*ORÇAMENTO!$AF$11)),
         0)</f>
        <v>0</v>
      </c>
      <c r="BC53" s="171">
        <f ca="1">IF(OR($D53&lt;&gt;"Serviço",AND(AUTOEVENTO="Manual",$M53=$A$15)),0,
         IF(OFFSET(CRONOPLE!$F$15,$M53-$A$15,BC$13)=0,10^12,OFFSET(CRONOPLE!$F$15,$M53-$A$15,BC$13)))</f>
        <v>2</v>
      </c>
      <c r="BD53" s="171">
        <f ca="1">IF(OR($D53&lt;&gt;"Serviço",AND(AUTOEVENTO="Manual",$M53=$A$15)),0,
         IF(OFFSET(CRONOPLE!$F$15,$M53-$A$15,BD$13)=0,10^12,OFFSET(CRONOPLE!$F$15,$M53-$A$15,BD$13)))</f>
        <v>2</v>
      </c>
      <c r="BE53" s="171">
        <f ca="1">IF(OR($D53&lt;&gt;"Serviço",AND(AUTOEVENTO="Manual",$M53=$A$15)),0,
         IF(OFFSET(CRONOPLE!$F$15,$M53-$A$15,BE$13)=0,10^12,OFFSET(CRONOPLE!$F$15,$M53-$A$15,BE$13)))</f>
        <v>4</v>
      </c>
      <c r="BF53" s="171">
        <f ca="1">IF(OR($D53&lt;&gt;"Serviço",AND(AUTOEVENTO="Manual",$M53=$A$15)),0,
         IF(OFFSET(CRONOPLE!$F$15,$M53-$A$15,BF$13)=0,10^12,OFFSET(CRONOPLE!$F$15,$M53-$A$15,BF$13)))</f>
        <v>4</v>
      </c>
      <c r="BG53" s="171">
        <f ca="1">IF(OR($D53&lt;&gt;"Serviço",AND(AUTOEVENTO="Manual",$M53=$A$15)),0,
         IF(OFFSET(CRONOPLE!$F$15,$M53-$A$15,BG$13)=0,10^12,OFFSET(CRONOPLE!$F$15,$M53-$A$15,BG$13)))</f>
        <v>4</v>
      </c>
      <c r="BH53" s="171">
        <f ca="1">IF(OR($D53&lt;&gt;"Serviço",AND(AUTOEVENTO="Manual",$M53=$A$15)),0,
         IF(OFFSET(CRONOPLE!$F$15,$M53-$A$15,BH$13)=0,10^12,OFFSET(CRONOPLE!$F$15,$M53-$A$15,BH$13)))</f>
        <v>1000000000000</v>
      </c>
      <c r="BI53" s="171">
        <f ca="1">IF(OR($D53&lt;&gt;"Serviço",AND(AUTOEVENTO="Manual",$M53=$A$15)),0,
         IF(OFFSET(CRONOPLE!$F$15,$M53-$A$15,BI$13)=0,10^12,OFFSET(CRONOPLE!$F$15,$M53-$A$15,BI$13)))</f>
        <v>1000000000000</v>
      </c>
      <c r="BJ53" s="171">
        <f ca="1">IF(OR($D53&lt;&gt;"Serviço",AND(AUTOEVENTO="Manual",$M53=$A$15)),0,
         IF(OFFSET(CRONOPLE!$F$15,$M53-$A$15,BJ$13)=0,10^12,OFFSET(CRONOPLE!$F$15,$M53-$A$15,BJ$13)))</f>
        <v>1000000000000</v>
      </c>
      <c r="BK53" s="171">
        <f ca="1">IF(OR($D53&lt;&gt;"Serviço",AND(AUTOEVENTO="Manual",$M53=$A$15)),0,
         IF(OFFSET(CRONOPLE!$F$15,$M53-$A$15,BK$13)=0,10^12,OFFSET(CRONOPLE!$F$15,$M53-$A$15,BK$13)))</f>
        <v>1000000000000</v>
      </c>
      <c r="BL53" s="171">
        <f ca="1">IF(OR($D53&lt;&gt;"Serviço",AND(AUTOEVENTO="Manual",$M53=$A$15)),0,
         IF(OFFSET(CRONOPLE!$F$15,$M53-$A$15,BL$13)=0,10^12,OFFSET(CRONOPLE!$F$15,$M53-$A$15,BL$13)))</f>
        <v>1000000000000</v>
      </c>
      <c r="BM53" s="171">
        <f ca="1">IF(OR($D53&lt;&gt;"Serviço",AND(AUTOEVENTO="Manual",$M53=$A$15)),0,
         IF(OFFSET(CRONOPLE!$F$15,$M53-$A$15,BM$13)=0,10^12,OFFSET(CRONOPLE!$F$15,$M53-$A$15,BM$13)))</f>
        <v>1000000000000</v>
      </c>
      <c r="BN53" s="171">
        <f ca="1">IF(OR($D53&lt;&gt;"Serviço",AND(AUTOEVENTO="Manual",$M53=$A$15)),0,
         IF(OFFSET(CRONOPLE!$F$15,$M53-$A$15,BN$13)=0,10^12,OFFSET(CRONOPLE!$F$15,$M53-$A$15,BN$13)))</f>
        <v>1000000000000</v>
      </c>
      <c r="BO53" s="171">
        <f ca="1">IF(OR($D53&lt;&gt;"Serviço",AND(AUTOEVENTO="Manual",$M53=$A$15)),0,
         IF(OFFSET(CRONOPLE!$F$15,$M53-$A$15,BO$13)=0,10^12,OFFSET(CRONOPLE!$F$15,$M53-$A$15,BO$13)))</f>
        <v>1000000000000</v>
      </c>
      <c r="BP53" s="171">
        <f ca="1">IF(OR($D53&lt;&gt;"Serviço",AND(AUTOEVENTO="Manual",$M53=$A$15)),0,
         IF(OFFSET(CRONOPLE!$F$15,$M53-$A$15,BP$13)=0,10^12,OFFSET(CRONOPLE!$F$15,$M53-$A$15,BP$13)))</f>
        <v>1000000000000</v>
      </c>
      <c r="BQ53" s="171">
        <f ca="1">IF(OR($D53&lt;&gt;"Serviço",AND(AUTOEVENTO="Manual",$M53=$A$15)),0,
         IF(OFFSET(CRONOPLE!$F$15,$M53-$A$15,BQ$13)=0,10^12,OFFSET(CRONOPLE!$F$15,$M53-$A$15,BQ$13)))</f>
        <v>1000000000000</v>
      </c>
      <c r="BR53" s="171">
        <f ca="1">IF(OR($D53&lt;&gt;"Serviço",AND(AUTOEVENTO="Manual",$M53=$A$15)),0,
         IF(OFFSET(CRONOPLE!$F$15,$M53-$A$15,BR$13)=0,10^12,OFFSET(CRONOPLE!$F$15,$M53-$A$15,BR$13)))</f>
        <v>1000000000000</v>
      </c>
      <c r="BS53" s="171">
        <f ca="1">IF(OR($D53&lt;&gt;"Serviço",AND(AUTOEVENTO="Manual",$M53=$A$15)),0,
         IF(OFFSET(CRONOPLE!$F$15,$M53-$A$15,BS$13)=0,10^12,OFFSET(CRONOPLE!$F$15,$M53-$A$15,BS$13)))</f>
        <v>1000000000000</v>
      </c>
      <c r="BT53" s="171">
        <f ca="1">IF(OR($D53&lt;&gt;"Serviço",AND(AUTOEVENTO="Manual",$M53=$A$15)),0,
         IF(OFFSET(CRONOPLE!$F$15,$M53-$A$15,BT$13)=0,10^12,OFFSET(CRONOPLE!$F$15,$M53-$A$15,BT$13)))</f>
        <v>1000000000000</v>
      </c>
      <c r="BV53" s="172">
        <f t="array" aca="1" ref="BV53" ca="1">IF(OR($D53&lt;&gt;"Serviço",AND(AUTOEVENTO="Manual",$M53=$A$15),$M53&gt;(ROW(PLE.lastrow)-ROW(PLE.firstrow))),0,
           IF(OFFSET(PLE!$G$15,$M53-$A$15,BV$13)="",10^12,OFFSET(PLE!$G$15,$M53-$A$15,BV$13)))</f>
        <v>1000000000000</v>
      </c>
      <c r="BW53" s="172">
        <f t="array" aca="1" ref="BW53" ca="1">IF(OR($D53&lt;&gt;"Serviço",AND(AUTOEVENTO="Manual",$M53=$A$15),$M53&gt;(ROW(PLE.lastrow)-ROW(PLE.firstrow))),0,
           IF(OFFSET(PLE!$G$15,$M53-$A$15,BW$13)="",10^12,OFFSET(PLE!$G$15,$M53-$A$15,BW$13)))</f>
        <v>1000000000000</v>
      </c>
      <c r="BX53" s="172">
        <f t="array" aca="1" ref="BX53" ca="1">IF(OR($D53&lt;&gt;"Serviço",AND(AUTOEVENTO="Manual",$M53=$A$15),$M53&gt;(ROW(PLE.lastrow)-ROW(PLE.firstrow))),0,
           IF(OFFSET(PLE!$G$15,$M53-$A$15,BX$13)="",10^12,OFFSET(PLE!$G$15,$M53-$A$15,BX$13)))</f>
        <v>1000000000000</v>
      </c>
      <c r="BY53" s="172">
        <f t="array" aca="1" ref="BY53" ca="1">IF(OR($D53&lt;&gt;"Serviço",AND(AUTOEVENTO="Manual",$M53=$A$15),$M53&gt;(ROW(PLE.lastrow)-ROW(PLE.firstrow))),0,
           IF(OFFSET(PLE!$G$15,$M53-$A$15,BY$13)="",10^12,OFFSET(PLE!$G$15,$M53-$A$15,BY$13)))</f>
        <v>1000000000000</v>
      </c>
      <c r="BZ53" s="172">
        <f t="array" aca="1" ref="BZ53" ca="1">IF(OR($D53&lt;&gt;"Serviço",AND(AUTOEVENTO="Manual",$M53=$A$15),$M53&gt;(ROW(PLE.lastrow)-ROW(PLE.firstrow))),0,
           IF(OFFSET(PLE!$G$15,$M53-$A$15,BZ$13)="",10^12,OFFSET(PLE!$G$15,$M53-$A$15,BZ$13)))</f>
        <v>1000000000000</v>
      </c>
      <c r="CA53" s="172">
        <f t="array" aca="1" ref="CA53" ca="1">IF(OR($D53&lt;&gt;"Serviço",AND(AUTOEVENTO="Manual",$M53=$A$15),$M53&gt;(ROW(PLE.lastrow)-ROW(PLE.firstrow))),0,
           IF(OFFSET(PLE!$G$15,$M53-$A$15,CA$13)="",10^12,OFFSET(PLE!$G$15,$M53-$A$15,CA$13)))</f>
        <v>1000000000000</v>
      </c>
      <c r="CB53" s="172">
        <f t="array" aca="1" ref="CB53" ca="1">IF(OR($D53&lt;&gt;"Serviço",AND(AUTOEVENTO="Manual",$M53=$A$15),$M53&gt;(ROW(PLE.lastrow)-ROW(PLE.firstrow))),0,
           IF(OFFSET(PLE!$G$15,$M53-$A$15,CB$13)="",10^12,OFFSET(PLE!$G$15,$M53-$A$15,CB$13)))</f>
        <v>1000000000000</v>
      </c>
      <c r="CC53" s="172">
        <f t="array" aca="1" ref="CC53" ca="1">IF(OR($D53&lt;&gt;"Serviço",AND(AUTOEVENTO="Manual",$M53=$A$15),$M53&gt;(ROW(PLE.lastrow)-ROW(PLE.firstrow))),0,
           IF(OFFSET(PLE!$G$15,$M53-$A$15,CC$13)="",10^12,OFFSET(PLE!$G$15,$M53-$A$15,CC$13)))</f>
        <v>1000000000000</v>
      </c>
      <c r="CD53" s="172">
        <f t="array" aca="1" ref="CD53" ca="1">IF(OR($D53&lt;&gt;"Serviço",AND(AUTOEVENTO="Manual",$M53=$A$15),$M53&gt;(ROW(PLE.lastrow)-ROW(PLE.firstrow))),0,
           IF(OFFSET(PLE!$G$15,$M53-$A$15,CD$13)="",10^12,OFFSET(PLE!$G$15,$M53-$A$15,CD$13)))</f>
        <v>1000000000000</v>
      </c>
      <c r="CE53" s="172">
        <f t="array" aca="1" ref="CE53" ca="1">IF(OR($D53&lt;&gt;"Serviço",AND(AUTOEVENTO="Manual",$M53=$A$15),$M53&gt;(ROW(PLE.lastrow)-ROW(PLE.firstrow))),0,
           IF(OFFSET(PLE!$G$15,$M53-$A$15,CE$13)="",10^12,OFFSET(PLE!$G$15,$M53-$A$15,CE$13)))</f>
        <v>1000000000000</v>
      </c>
      <c r="CF53" s="172">
        <f t="array" aca="1" ref="CF53" ca="1">IF(OR($D53&lt;&gt;"Serviço",AND(AUTOEVENTO="Manual",$M53=$A$15),$M53&gt;(ROW(PLE.lastrow)-ROW(PLE.firstrow))),0,
           IF(OFFSET(PLE!$G$15,$M53-$A$15,CF$13)="",10^12,OFFSET(PLE!$G$15,$M53-$A$15,CF$13)))</f>
        <v>1000000000000</v>
      </c>
      <c r="CG53" s="172">
        <f t="array" aca="1" ref="CG53" ca="1">IF(OR($D53&lt;&gt;"Serviço",AND(AUTOEVENTO="Manual",$M53=$A$15),$M53&gt;(ROW(PLE.lastrow)-ROW(PLE.firstrow))),0,
           IF(OFFSET(PLE!$G$15,$M53-$A$15,CG$13)="",10^12,OFFSET(PLE!$G$15,$M53-$A$15,CG$13)))</f>
        <v>1000000000000</v>
      </c>
      <c r="CH53" s="172">
        <f t="array" aca="1" ref="CH53" ca="1">IF(OR($D53&lt;&gt;"Serviço",AND(AUTOEVENTO="Manual",$M53=$A$15),$M53&gt;(ROW(PLE.lastrow)-ROW(PLE.firstrow))),0,
           IF(OFFSET(PLE!$G$15,$M53-$A$15,CH$13)="",10^12,OFFSET(PLE!$G$15,$M53-$A$15,CH$13)))</f>
        <v>1000000000000</v>
      </c>
      <c r="CI53" s="172">
        <f t="array" aca="1" ref="CI53" ca="1">IF(OR($D53&lt;&gt;"Serviço",AND(AUTOEVENTO="Manual",$M53=$A$15),$M53&gt;(ROW(PLE.lastrow)-ROW(PLE.firstrow))),0,
           IF(OFFSET(PLE!$G$15,$M53-$A$15,CI$13)="",10^12,OFFSET(PLE!$G$15,$M53-$A$15,CI$13)))</f>
        <v>1000000000000</v>
      </c>
      <c r="CJ53" s="172">
        <f t="array" aca="1" ref="CJ53" ca="1">IF(OR($D53&lt;&gt;"Serviço",AND(AUTOEVENTO="Manual",$M53=$A$15),$M53&gt;(ROW(PLE.lastrow)-ROW(PLE.firstrow))),0,
           IF(OFFSET(PLE!$G$15,$M53-$A$15,CJ$13)="",10^12,OFFSET(PLE!$G$15,$M53-$A$15,CJ$13)))</f>
        <v>1000000000000</v>
      </c>
      <c r="CK53" s="172">
        <f t="array" aca="1" ref="CK53" ca="1">IF(OR($D53&lt;&gt;"Serviço",AND(AUTOEVENTO="Manual",$M53=$A$15),$M53&gt;(ROW(PLE.lastrow)-ROW(PLE.firstrow))),0,
           IF(OFFSET(PLE!$G$15,$M53-$A$15,CK$13)="",10^12,OFFSET(PLE!$G$15,$M53-$A$15,CK$13)))</f>
        <v>1000000000000</v>
      </c>
      <c r="CL53" s="172">
        <f t="array" aca="1" ref="CL53" ca="1">IF(OR($D53&lt;&gt;"Serviço",AND(AUTOEVENTO="Manual",$M53=$A$15),$M53&gt;(ROW(PLE.lastrow)-ROW(PLE.firstrow))),0,
           IF(OFFSET(PLE!$G$15,$M53-$A$15,CL$13)="",10^12,OFFSET(PLE!$G$15,$M53-$A$15,CL$13)))</f>
        <v>1000000000000</v>
      </c>
      <c r="CM53" s="172">
        <f t="array" aca="1" ref="CM53" ca="1">IF(OR($D53&lt;&gt;"Serviço",AND(AUTOEVENTO="Manual",$M53=$A$15),$M53&gt;(ROW(PLE.lastrow)-ROW(PLE.firstrow))),0,
           IF(OFFSET(PLE!$G$15,$M53-$A$15,CM$13)="",10^12,OFFSET(PLE!$G$15,$M53-$A$15,CM$13)))</f>
        <v>1000000000000</v>
      </c>
    </row>
    <row r="54" spans="1:91" s="696" customFormat="1" ht="63.75" x14ac:dyDescent="0.2">
      <c r="A54" s="694">
        <f t="shared" ca="1" si="10"/>
        <v>6</v>
      </c>
      <c r="B54" s="694" t="str">
        <f ca="1">OFFSET(ORÇAMENTO!C$15,$L54,0)</f>
        <v>S</v>
      </c>
      <c r="C54" s="694" t="str">
        <f ca="1">OFFSET(ORÇAMENTO!L$15,$L54,0)</f>
        <v>F</v>
      </c>
      <c r="D54" s="116" t="str">
        <f ca="1">OFFSET(ORÇAMENTO!N$15,$L54,0)</f>
        <v>Serviço</v>
      </c>
      <c r="E54" s="117" t="str">
        <f ca="1">OFFSET(ORÇAMENTO!O$15,$L54,0)</f>
        <v>1.6.3.</v>
      </c>
      <c r="F54" s="163" t="str">
        <f ca="1">OFFSET(ORÇAMENTO!R$15,$L54,0)</f>
        <v>IMPERMEABILIZAÇÃO DE SUPERFÍCIE COM EMULSÃO ASFÁLTICA, 2 DEMÃOS. AF_09/2023</v>
      </c>
      <c r="G54" s="164" t="str">
        <f ca="1">IF($D54&lt;&gt;"Serviço","",OFFSET(ORÇAMENTO!S$15,$L54,0))</f>
        <v>M2</v>
      </c>
      <c r="H54" s="122">
        <f t="array" aca="1" ref="H54" ca="1">IF($D54&lt;&gt;"Serviço",0,IF(ACOMPANHAMENTO="BM",ROUND(OFFSET(ORÇAMENTO!AJ$15,$L54,0),15-13*ORÇAMENTO!$AF$7),IF(IFERROR(CÁLCULO.FrentesPreenchidas,0)=0,0,SUM(ROUND(OFFSET($P54,0,1,1,CÁLCULO.FrentesPreenchidas),15-13*ORÇAMENTO!$AF$7)))))</f>
        <v>679</v>
      </c>
      <c r="I54" s="467" t="s">
        <v>1230</v>
      </c>
      <c r="J54" s="653" t="str">
        <f t="array" aca="1" ref="J54" ca="1">IF(OR(B54&lt;&gt;"S",CÁLCULO.FrentesPreenchidas=0),"",IF(AND(ACOMPANHAMENTO="PLE",AUTOEVENTO="Manual",OR(H54&gt;0,ORÇAMENTO!AC54="QUANT."),OR(K54="",M54=0,N54="")),"►E",IF(AND(ACOMPANHAMENTO="PLE",ORÇAMENTO!AC54="QUANT."),"►Q",IF(AND(ACOMPANHAMENTO="PLE",H54&lt;&gt;SUMPRODUCT(($Q$1:$AI$1=1)*ROUND(Q54:AI54,15))),"►S",IF(AND(COUNTIF($P$11:$AI$11,"▼")=0,H54&gt;0,I54=""),"◄M","")))))</f>
        <v/>
      </c>
      <c r="K54" s="654" t="s">
        <v>1385</v>
      </c>
      <c r="L54" s="165">
        <f t="shared" ca="1" si="11"/>
        <v>39</v>
      </c>
      <c r="M54" s="166">
        <f ca="1">IF($D54&lt;&gt;"Serviço","",
          IF(AUTOEVENTO="manual",$A54,
                IF(ISERROR(MATCH($A54,$A$15:OFFSET($A54,-1,0),0)),MAX($M$15:OFFSET(M54,-1,0))+1,
                      INDEX($M$15:OFFSET(M54,-1,0),MATCH($A54,$A$15:OFFSET($A54,-1,0),0)))))</f>
        <v>6</v>
      </c>
      <c r="N54" s="167" t="str">
        <f ca="1">IF($D54&lt;&gt;"Serviço","",
         IF(AUTOEVENTO="Manual",
                IF($A54=0,"&lt;-- defina o número do agrupador",
                       OFFSET(EVENTOS!$D$15,$A54-$A$15,0)),
                OFFSET($F$15,$A54,0)))</f>
        <v>IMPERMEABILIZAÇÕES DE ESTRUTURAS DE FUNDAÇÃO</v>
      </c>
      <c r="O54" s="168"/>
      <c r="Q54" s="169">
        <f>33.95*5</f>
        <v>169.75</v>
      </c>
      <c r="R54" s="169">
        <f t="shared" si="28"/>
        <v>169.75</v>
      </c>
      <c r="S54" s="169">
        <f t="shared" si="28"/>
        <v>169.75</v>
      </c>
      <c r="T54" s="169">
        <f t="shared" si="28"/>
        <v>169.75</v>
      </c>
      <c r="U54" s="169"/>
      <c r="V54" s="169"/>
      <c r="W54" s="169"/>
      <c r="X54" s="169"/>
      <c r="Y54" s="169"/>
      <c r="Z54" s="170"/>
      <c r="AA54" s="169"/>
      <c r="AB54" s="169"/>
      <c r="AC54" s="169"/>
      <c r="AD54" s="169"/>
      <c r="AE54" s="169"/>
      <c r="AF54" s="169"/>
      <c r="AG54" s="169"/>
      <c r="AH54" s="170"/>
      <c r="AJ54" s="452">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7864.52</v>
      </c>
      <c r="AK54" s="452">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7864.52</v>
      </c>
      <c r="AL54" s="452">
        <f ca="1">IF(AND($D54="Serviço",AL$12&lt;&gt;0,$H54&gt;0,OR(AUTOEVENTO&lt;&gt;"manual",$M54&lt;&gt;$A$15)),
        IF(Import.TipoArredondamento&lt;&gt;"TransfereGOV",
              ROUND(OFFSET($P54,0,AL$13),15-13*ORÇAMENTO!$AF$7)/$H54*OFFSET(ORÇAMENTO!$X$15,ROW(AL54)-ROW(AL$15),0),
              ROUND(ROUND(OFFSET($P54,0,AL$13),15-13*ORÇAMENTO!$AF$7)*OFFSET(ORÇAMENTO!$W$15,ROW(AL54)-ROW(AL$15),0),15-13*ORÇAMENTO!$AF$11)),
         0)</f>
        <v>7864.52</v>
      </c>
      <c r="AM54" s="452">
        <f ca="1">IF(AND($D54="Serviço",AM$12&lt;&gt;0,$H54&gt;0,OR(AUTOEVENTO&lt;&gt;"manual",$M54&lt;&gt;$A$15)),
        IF(Import.TipoArredondamento&lt;&gt;"TransfereGOV",
              ROUND(OFFSET($P54,0,AM$13),15-13*ORÇAMENTO!$AF$7)/$H54*OFFSET(ORÇAMENTO!$X$15,ROW(AM54)-ROW(AM$15),0),
              ROUND(ROUND(OFFSET($P54,0,AM$13),15-13*ORÇAMENTO!$AF$7)*OFFSET(ORÇAMENTO!$W$15,ROW(AM54)-ROW(AM$15),0),15-13*ORÇAMENTO!$AF$11)),
         0)</f>
        <v>7864.52</v>
      </c>
      <c r="AN54" s="452">
        <f ca="1">IF(AND($D54="Serviço",AN$12&lt;&gt;0,$H54&gt;0,OR(AUTOEVENTO&lt;&gt;"manual",$M54&lt;&gt;$A$15)),
        IF(Import.TipoArredondamento&lt;&gt;"TransfereGOV",
              ROUND(OFFSET($P54,0,AN$13),15-13*ORÇAMENTO!$AF$7)/$H54*OFFSET(ORÇAMENTO!$X$15,ROW(AN54)-ROW(AN$15),0),
              ROUND(ROUND(OFFSET($P54,0,AN$13),15-13*ORÇAMENTO!$AF$7)*OFFSET(ORÇAMENTO!$W$15,ROW(AN54)-ROW(AN$15),0),15-13*ORÇAMENTO!$AF$11)),
         0)</f>
        <v>0</v>
      </c>
      <c r="AO54" s="452">
        <f ca="1">IF(AND($D54="Serviço",AO$12&lt;&gt;0,$H54&gt;0,OR(AUTOEVENTO&lt;&gt;"manual",$M54&lt;&gt;$A$15)),
        IF(Import.TipoArredondamento&lt;&gt;"TransfereGOV",
              ROUND(OFFSET($P54,0,AO$13),15-13*ORÇAMENTO!$AF$7)/$H54*OFFSET(ORÇAMENTO!$X$15,ROW(AO54)-ROW(AO$15),0),
              ROUND(ROUND(OFFSET($P54,0,AO$13),15-13*ORÇAMENTO!$AF$7)*OFFSET(ORÇAMENTO!$W$15,ROW(AO54)-ROW(AO$15),0),15-13*ORÇAMENTO!$AF$11)),
         0)</f>
        <v>0</v>
      </c>
      <c r="AP54" s="452">
        <f ca="1">IF(AND($D54="Serviço",AP$12&lt;&gt;0,$H54&gt;0,OR(AUTOEVENTO&lt;&gt;"manual",$M54&lt;&gt;$A$15)),
        IF(Import.TipoArredondamento&lt;&gt;"TransfereGOV",
              ROUND(OFFSET($P54,0,AP$13),15-13*ORÇAMENTO!$AF$7)/$H54*OFFSET(ORÇAMENTO!$X$15,ROW(AP54)-ROW(AP$15),0),
              ROUND(ROUND(OFFSET($P54,0,AP$13),15-13*ORÇAMENTO!$AF$7)*OFFSET(ORÇAMENTO!$W$15,ROW(AP54)-ROW(AP$15),0),15-13*ORÇAMENTO!$AF$11)),
         0)</f>
        <v>0</v>
      </c>
      <c r="AQ54" s="452">
        <f ca="1">IF(AND($D54="Serviço",AQ$12&lt;&gt;0,$H54&gt;0,OR(AUTOEVENTO&lt;&gt;"manual",$M54&lt;&gt;$A$15)),
        IF(Import.TipoArredondamento&lt;&gt;"TransfereGOV",
              ROUND(OFFSET($P54,0,AQ$13),15-13*ORÇAMENTO!$AF$7)/$H54*OFFSET(ORÇAMENTO!$X$15,ROW(AQ54)-ROW(AQ$15),0),
              ROUND(ROUND(OFFSET($P54,0,AQ$13),15-13*ORÇAMENTO!$AF$7)*OFFSET(ORÇAMENTO!$W$15,ROW(AQ54)-ROW(AQ$15),0),15-13*ORÇAMENTO!$AF$11)),
         0)</f>
        <v>0</v>
      </c>
      <c r="AR54" s="452">
        <f ca="1">IF(AND($D54="Serviço",AR$12&lt;&gt;0,$H54&gt;0,OR(AUTOEVENTO&lt;&gt;"manual",$M54&lt;&gt;$A$15)),
        IF(Import.TipoArredondamento&lt;&gt;"TransfereGOV",
              ROUND(OFFSET($P54,0,AR$13),15-13*ORÇAMENTO!$AF$7)/$H54*OFFSET(ORÇAMENTO!$X$15,ROW(AR54)-ROW(AR$15),0),
              ROUND(ROUND(OFFSET($P54,0,AR$13),15-13*ORÇAMENTO!$AF$7)*OFFSET(ORÇAMENTO!$W$15,ROW(AR54)-ROW(AR$15),0),15-13*ORÇAMENTO!$AF$11)),
         0)</f>
        <v>0</v>
      </c>
      <c r="AS54" s="452">
        <f ca="1">IF(AND($D54="Serviço",AS$12&lt;&gt;0,$H54&gt;0,OR(AUTOEVENTO&lt;&gt;"manual",$M54&lt;&gt;$A$15)),
        IF(Import.TipoArredondamento&lt;&gt;"TransfereGOV",
              ROUND(OFFSET($P54,0,AS$13),15-13*ORÇAMENTO!$AF$7)/$H54*OFFSET(ORÇAMENTO!$X$15,ROW(AS54)-ROW(AS$15),0),
              ROUND(ROUND(OFFSET($P54,0,AS$13),15-13*ORÇAMENTO!$AF$7)*OFFSET(ORÇAMENTO!$W$15,ROW(AS54)-ROW(AS$15),0),15-13*ORÇAMENTO!$AF$11)),
         0)</f>
        <v>0</v>
      </c>
      <c r="AT54" s="452">
        <f ca="1">IF(AND($D54="Serviço",AT$12&lt;&gt;0,$H54&gt;0,OR(AUTOEVENTO&lt;&gt;"manual",$M54&lt;&gt;$A$15)),
        IF(Import.TipoArredondamento&lt;&gt;"TransfereGOV",
              ROUND(OFFSET($P54,0,AT$13),15-13*ORÇAMENTO!$AF$7)/$H54*OFFSET(ORÇAMENTO!$X$15,ROW(AT54)-ROW(AT$15),0),
              ROUND(ROUND(OFFSET($P54,0,AT$13),15-13*ORÇAMENTO!$AF$7)*OFFSET(ORÇAMENTO!$W$15,ROW(AT54)-ROW(AT$15),0),15-13*ORÇAMENTO!$AF$11)),
         0)</f>
        <v>0</v>
      </c>
      <c r="AU54" s="452">
        <f ca="1">IF(AND($D54="Serviço",AU$12&lt;&gt;0,$H54&gt;0,OR(AUTOEVENTO&lt;&gt;"manual",$M54&lt;&gt;$A$15)),
        IF(Import.TipoArredondamento&lt;&gt;"TransfereGOV",
              ROUND(OFFSET($P54,0,AU$13),15-13*ORÇAMENTO!$AF$7)/$H54*OFFSET(ORÇAMENTO!$X$15,ROW(AU54)-ROW(AU$15),0),
              ROUND(ROUND(OFFSET($P54,0,AU$13),15-13*ORÇAMENTO!$AF$7)*OFFSET(ORÇAMENTO!$W$15,ROW(AU54)-ROW(AU$15),0),15-13*ORÇAMENTO!$AF$11)),
         0)</f>
        <v>0</v>
      </c>
      <c r="AV54" s="452">
        <f ca="1">IF(AND($D54="Serviço",AV$12&lt;&gt;0,$H54&gt;0,OR(AUTOEVENTO&lt;&gt;"manual",$M54&lt;&gt;$A$15)),
        IF(Import.TipoArredondamento&lt;&gt;"TransfereGOV",
              ROUND(OFFSET($P54,0,AV$13),15-13*ORÇAMENTO!$AF$7)/$H54*OFFSET(ORÇAMENTO!$X$15,ROW(AV54)-ROW(AV$15),0),
              ROUND(ROUND(OFFSET($P54,0,AV$13),15-13*ORÇAMENTO!$AF$7)*OFFSET(ORÇAMENTO!$W$15,ROW(AV54)-ROW(AV$15),0),15-13*ORÇAMENTO!$AF$11)),
         0)</f>
        <v>0</v>
      </c>
      <c r="AW54" s="452">
        <f ca="1">IF(AND($D54="Serviço",AW$12&lt;&gt;0,$H54&gt;0,OR(AUTOEVENTO&lt;&gt;"manual",$M54&lt;&gt;$A$15)),
        IF(Import.TipoArredondamento&lt;&gt;"TransfereGOV",
              ROUND(OFFSET($P54,0,AW$13),15-13*ORÇAMENTO!$AF$7)/$H54*OFFSET(ORÇAMENTO!$X$15,ROW(AW54)-ROW(AW$15),0),
              ROUND(ROUND(OFFSET($P54,0,AW$13),15-13*ORÇAMENTO!$AF$7)*OFFSET(ORÇAMENTO!$W$15,ROW(AW54)-ROW(AW$15),0),15-13*ORÇAMENTO!$AF$11)),
         0)</f>
        <v>0</v>
      </c>
      <c r="AX54" s="452">
        <f ca="1">IF(AND($D54="Serviço",AX$12&lt;&gt;0,$H54&gt;0,OR(AUTOEVENTO&lt;&gt;"manual",$M54&lt;&gt;$A$15)),
        IF(Import.TipoArredondamento&lt;&gt;"TransfereGOV",
              ROUND(OFFSET($P54,0,AX$13),15-13*ORÇAMENTO!$AF$7)/$H54*OFFSET(ORÇAMENTO!$X$15,ROW(AX54)-ROW(AX$15),0),
              ROUND(ROUND(OFFSET($P54,0,AX$13),15-13*ORÇAMENTO!$AF$7)*OFFSET(ORÇAMENTO!$W$15,ROW(AX54)-ROW(AX$15),0),15-13*ORÇAMENTO!$AF$11)),
         0)</f>
        <v>0</v>
      </c>
      <c r="AY54" s="452">
        <f ca="1">IF(AND($D54="Serviço",AY$12&lt;&gt;0,$H54&gt;0,OR(AUTOEVENTO&lt;&gt;"manual",$M54&lt;&gt;$A$15)),
        IF(Import.TipoArredondamento&lt;&gt;"TransfereGOV",
              ROUND(OFFSET($P54,0,AY$13),15-13*ORÇAMENTO!$AF$7)/$H54*OFFSET(ORÇAMENTO!$X$15,ROW(AY54)-ROW(AY$15),0),
              ROUND(ROUND(OFFSET($P54,0,AY$13),15-13*ORÇAMENTO!$AF$7)*OFFSET(ORÇAMENTO!$W$15,ROW(AY54)-ROW(AY$15),0),15-13*ORÇAMENTO!$AF$11)),
         0)</f>
        <v>0</v>
      </c>
      <c r="AZ54" s="452">
        <f ca="1">IF(AND($D54="Serviço",AZ$12&lt;&gt;0,$H54&gt;0,OR(AUTOEVENTO&lt;&gt;"manual",$M54&lt;&gt;$A$15)),
        IF(Import.TipoArredondamento&lt;&gt;"TransfereGOV",
              ROUND(OFFSET($P54,0,AZ$13),15-13*ORÇAMENTO!$AF$7)/$H54*OFFSET(ORÇAMENTO!$X$15,ROW(AZ54)-ROW(AZ$15),0),
              ROUND(ROUND(OFFSET($P54,0,AZ$13),15-13*ORÇAMENTO!$AF$7)*OFFSET(ORÇAMENTO!$W$15,ROW(AZ54)-ROW(AZ$15),0),15-13*ORÇAMENTO!$AF$11)),
         0)</f>
        <v>0</v>
      </c>
      <c r="BA54" s="452">
        <f ca="1">IF(AND($D54="Serviço",BA$12&lt;&gt;0,$H54&gt;0,OR(AUTOEVENTO&lt;&gt;"manual",$M54&lt;&gt;$A$15)),
        IF(Import.TipoArredondamento&lt;&gt;"TransfereGOV",
              ROUND(OFFSET($P54,0,BA$13),15-13*ORÇAMENTO!$AF$7)/$H54*OFFSET(ORÇAMENTO!$X$15,ROW(BA54)-ROW(BA$15),0),
              ROUND(ROUND(OFFSET($P54,0,BA$13),15-13*ORÇAMENTO!$AF$7)*OFFSET(ORÇAMENTO!$W$15,ROW(BA54)-ROW(BA$15),0),15-13*ORÇAMENTO!$AF$11)),
         0)</f>
        <v>0</v>
      </c>
      <c r="BC54" s="171">
        <f ca="1">IF(OR($D54&lt;&gt;"Serviço",AND(AUTOEVENTO="Manual",$M54=$A$15)),0,
         IF(OFFSET(CRONOPLE!$F$15,$M54-$A$15,BC$13)=0,10^12,OFFSET(CRONOPLE!$F$15,$M54-$A$15,BC$13)))</f>
        <v>2</v>
      </c>
      <c r="BD54" s="171">
        <f ca="1">IF(OR($D54&lt;&gt;"Serviço",AND(AUTOEVENTO="Manual",$M54=$A$15)),0,
         IF(OFFSET(CRONOPLE!$F$15,$M54-$A$15,BD$13)=0,10^12,OFFSET(CRONOPLE!$F$15,$M54-$A$15,BD$13)))</f>
        <v>2</v>
      </c>
      <c r="BE54" s="171">
        <f ca="1">IF(OR($D54&lt;&gt;"Serviço",AND(AUTOEVENTO="Manual",$M54=$A$15)),0,
         IF(OFFSET(CRONOPLE!$F$15,$M54-$A$15,BE$13)=0,10^12,OFFSET(CRONOPLE!$F$15,$M54-$A$15,BE$13)))</f>
        <v>4</v>
      </c>
      <c r="BF54" s="171">
        <f ca="1">IF(OR($D54&lt;&gt;"Serviço",AND(AUTOEVENTO="Manual",$M54=$A$15)),0,
         IF(OFFSET(CRONOPLE!$F$15,$M54-$A$15,BF$13)=0,10^12,OFFSET(CRONOPLE!$F$15,$M54-$A$15,BF$13)))</f>
        <v>4</v>
      </c>
      <c r="BG54" s="171">
        <f ca="1">IF(OR($D54&lt;&gt;"Serviço",AND(AUTOEVENTO="Manual",$M54=$A$15)),0,
         IF(OFFSET(CRONOPLE!$F$15,$M54-$A$15,BG$13)=0,10^12,OFFSET(CRONOPLE!$F$15,$M54-$A$15,BG$13)))</f>
        <v>4</v>
      </c>
      <c r="BH54" s="171">
        <f ca="1">IF(OR($D54&lt;&gt;"Serviço",AND(AUTOEVENTO="Manual",$M54=$A$15)),0,
         IF(OFFSET(CRONOPLE!$F$15,$M54-$A$15,BH$13)=0,10^12,OFFSET(CRONOPLE!$F$15,$M54-$A$15,BH$13)))</f>
        <v>1000000000000</v>
      </c>
      <c r="BI54" s="171">
        <f ca="1">IF(OR($D54&lt;&gt;"Serviço",AND(AUTOEVENTO="Manual",$M54=$A$15)),0,
         IF(OFFSET(CRONOPLE!$F$15,$M54-$A$15,BI$13)=0,10^12,OFFSET(CRONOPLE!$F$15,$M54-$A$15,BI$13)))</f>
        <v>1000000000000</v>
      </c>
      <c r="BJ54" s="171">
        <f ca="1">IF(OR($D54&lt;&gt;"Serviço",AND(AUTOEVENTO="Manual",$M54=$A$15)),0,
         IF(OFFSET(CRONOPLE!$F$15,$M54-$A$15,BJ$13)=0,10^12,OFFSET(CRONOPLE!$F$15,$M54-$A$15,BJ$13)))</f>
        <v>1000000000000</v>
      </c>
      <c r="BK54" s="171">
        <f ca="1">IF(OR($D54&lt;&gt;"Serviço",AND(AUTOEVENTO="Manual",$M54=$A$15)),0,
         IF(OFFSET(CRONOPLE!$F$15,$M54-$A$15,BK$13)=0,10^12,OFFSET(CRONOPLE!$F$15,$M54-$A$15,BK$13)))</f>
        <v>1000000000000</v>
      </c>
      <c r="BL54" s="171">
        <f ca="1">IF(OR($D54&lt;&gt;"Serviço",AND(AUTOEVENTO="Manual",$M54=$A$15)),0,
         IF(OFFSET(CRONOPLE!$F$15,$M54-$A$15,BL$13)=0,10^12,OFFSET(CRONOPLE!$F$15,$M54-$A$15,BL$13)))</f>
        <v>1000000000000</v>
      </c>
      <c r="BM54" s="171">
        <f ca="1">IF(OR($D54&lt;&gt;"Serviço",AND(AUTOEVENTO="Manual",$M54=$A$15)),0,
         IF(OFFSET(CRONOPLE!$F$15,$M54-$A$15,BM$13)=0,10^12,OFFSET(CRONOPLE!$F$15,$M54-$A$15,BM$13)))</f>
        <v>1000000000000</v>
      </c>
      <c r="BN54" s="171">
        <f ca="1">IF(OR($D54&lt;&gt;"Serviço",AND(AUTOEVENTO="Manual",$M54=$A$15)),0,
         IF(OFFSET(CRONOPLE!$F$15,$M54-$A$15,BN$13)=0,10^12,OFFSET(CRONOPLE!$F$15,$M54-$A$15,BN$13)))</f>
        <v>1000000000000</v>
      </c>
      <c r="BO54" s="171">
        <f ca="1">IF(OR($D54&lt;&gt;"Serviço",AND(AUTOEVENTO="Manual",$M54=$A$15)),0,
         IF(OFFSET(CRONOPLE!$F$15,$M54-$A$15,BO$13)=0,10^12,OFFSET(CRONOPLE!$F$15,$M54-$A$15,BO$13)))</f>
        <v>1000000000000</v>
      </c>
      <c r="BP54" s="171">
        <f ca="1">IF(OR($D54&lt;&gt;"Serviço",AND(AUTOEVENTO="Manual",$M54=$A$15)),0,
         IF(OFFSET(CRONOPLE!$F$15,$M54-$A$15,BP$13)=0,10^12,OFFSET(CRONOPLE!$F$15,$M54-$A$15,BP$13)))</f>
        <v>1000000000000</v>
      </c>
      <c r="BQ54" s="171">
        <f ca="1">IF(OR($D54&lt;&gt;"Serviço",AND(AUTOEVENTO="Manual",$M54=$A$15)),0,
         IF(OFFSET(CRONOPLE!$F$15,$M54-$A$15,BQ$13)=0,10^12,OFFSET(CRONOPLE!$F$15,$M54-$A$15,BQ$13)))</f>
        <v>1000000000000</v>
      </c>
      <c r="BR54" s="171">
        <f ca="1">IF(OR($D54&lt;&gt;"Serviço",AND(AUTOEVENTO="Manual",$M54=$A$15)),0,
         IF(OFFSET(CRONOPLE!$F$15,$M54-$A$15,BR$13)=0,10^12,OFFSET(CRONOPLE!$F$15,$M54-$A$15,BR$13)))</f>
        <v>1000000000000</v>
      </c>
      <c r="BS54" s="171">
        <f ca="1">IF(OR($D54&lt;&gt;"Serviço",AND(AUTOEVENTO="Manual",$M54=$A$15)),0,
         IF(OFFSET(CRONOPLE!$F$15,$M54-$A$15,BS$13)=0,10^12,OFFSET(CRONOPLE!$F$15,$M54-$A$15,BS$13)))</f>
        <v>1000000000000</v>
      </c>
      <c r="BT54" s="171">
        <f ca="1">IF(OR($D54&lt;&gt;"Serviço",AND(AUTOEVENTO="Manual",$M54=$A$15)),0,
         IF(OFFSET(CRONOPLE!$F$15,$M54-$A$15,BT$13)=0,10^12,OFFSET(CRONOPLE!$F$15,$M54-$A$15,BT$13)))</f>
        <v>1000000000000</v>
      </c>
      <c r="BV54" s="172">
        <f t="array" aca="1" ref="BV54" ca="1">IF(OR($D54&lt;&gt;"Serviço",AND(AUTOEVENTO="Manual",$M54=$A$15),$M54&gt;(ROW(PLE.lastrow)-ROW(PLE.firstrow))),0,
           IF(OFFSET(PLE!$G$15,$M54-$A$15,BV$13)="",10^12,OFFSET(PLE!$G$15,$M54-$A$15,BV$13)))</f>
        <v>1000000000000</v>
      </c>
      <c r="BW54" s="172">
        <f t="array" aca="1" ref="BW54" ca="1">IF(OR($D54&lt;&gt;"Serviço",AND(AUTOEVENTO="Manual",$M54=$A$15),$M54&gt;(ROW(PLE.lastrow)-ROW(PLE.firstrow))),0,
           IF(OFFSET(PLE!$G$15,$M54-$A$15,BW$13)="",10^12,OFFSET(PLE!$G$15,$M54-$A$15,BW$13)))</f>
        <v>1000000000000</v>
      </c>
      <c r="BX54" s="172">
        <f t="array" aca="1" ref="BX54" ca="1">IF(OR($D54&lt;&gt;"Serviço",AND(AUTOEVENTO="Manual",$M54=$A$15),$M54&gt;(ROW(PLE.lastrow)-ROW(PLE.firstrow))),0,
           IF(OFFSET(PLE!$G$15,$M54-$A$15,BX$13)="",10^12,OFFSET(PLE!$G$15,$M54-$A$15,BX$13)))</f>
        <v>1000000000000</v>
      </c>
      <c r="BY54" s="172">
        <f t="array" aca="1" ref="BY54" ca="1">IF(OR($D54&lt;&gt;"Serviço",AND(AUTOEVENTO="Manual",$M54=$A$15),$M54&gt;(ROW(PLE.lastrow)-ROW(PLE.firstrow))),0,
           IF(OFFSET(PLE!$G$15,$M54-$A$15,BY$13)="",10^12,OFFSET(PLE!$G$15,$M54-$A$15,BY$13)))</f>
        <v>1000000000000</v>
      </c>
      <c r="BZ54" s="172">
        <f t="array" aca="1" ref="BZ54" ca="1">IF(OR($D54&lt;&gt;"Serviço",AND(AUTOEVENTO="Manual",$M54=$A$15),$M54&gt;(ROW(PLE.lastrow)-ROW(PLE.firstrow))),0,
           IF(OFFSET(PLE!$G$15,$M54-$A$15,BZ$13)="",10^12,OFFSET(PLE!$G$15,$M54-$A$15,BZ$13)))</f>
        <v>1000000000000</v>
      </c>
      <c r="CA54" s="172">
        <f t="array" aca="1" ref="CA54" ca="1">IF(OR($D54&lt;&gt;"Serviço",AND(AUTOEVENTO="Manual",$M54=$A$15),$M54&gt;(ROW(PLE.lastrow)-ROW(PLE.firstrow))),0,
           IF(OFFSET(PLE!$G$15,$M54-$A$15,CA$13)="",10^12,OFFSET(PLE!$G$15,$M54-$A$15,CA$13)))</f>
        <v>1000000000000</v>
      </c>
      <c r="CB54" s="172">
        <f t="array" aca="1" ref="CB54" ca="1">IF(OR($D54&lt;&gt;"Serviço",AND(AUTOEVENTO="Manual",$M54=$A$15),$M54&gt;(ROW(PLE.lastrow)-ROW(PLE.firstrow))),0,
           IF(OFFSET(PLE!$G$15,$M54-$A$15,CB$13)="",10^12,OFFSET(PLE!$G$15,$M54-$A$15,CB$13)))</f>
        <v>1000000000000</v>
      </c>
      <c r="CC54" s="172">
        <f t="array" aca="1" ref="CC54" ca="1">IF(OR($D54&lt;&gt;"Serviço",AND(AUTOEVENTO="Manual",$M54=$A$15),$M54&gt;(ROW(PLE.lastrow)-ROW(PLE.firstrow))),0,
           IF(OFFSET(PLE!$G$15,$M54-$A$15,CC$13)="",10^12,OFFSET(PLE!$G$15,$M54-$A$15,CC$13)))</f>
        <v>1000000000000</v>
      </c>
      <c r="CD54" s="172">
        <f t="array" aca="1" ref="CD54" ca="1">IF(OR($D54&lt;&gt;"Serviço",AND(AUTOEVENTO="Manual",$M54=$A$15),$M54&gt;(ROW(PLE.lastrow)-ROW(PLE.firstrow))),0,
           IF(OFFSET(PLE!$G$15,$M54-$A$15,CD$13)="",10^12,OFFSET(PLE!$G$15,$M54-$A$15,CD$13)))</f>
        <v>1000000000000</v>
      </c>
      <c r="CE54" s="172">
        <f t="array" aca="1" ref="CE54" ca="1">IF(OR($D54&lt;&gt;"Serviço",AND(AUTOEVENTO="Manual",$M54=$A$15),$M54&gt;(ROW(PLE.lastrow)-ROW(PLE.firstrow))),0,
           IF(OFFSET(PLE!$G$15,$M54-$A$15,CE$13)="",10^12,OFFSET(PLE!$G$15,$M54-$A$15,CE$13)))</f>
        <v>1000000000000</v>
      </c>
      <c r="CF54" s="172">
        <f t="array" aca="1" ref="CF54" ca="1">IF(OR($D54&lt;&gt;"Serviço",AND(AUTOEVENTO="Manual",$M54=$A$15),$M54&gt;(ROW(PLE.lastrow)-ROW(PLE.firstrow))),0,
           IF(OFFSET(PLE!$G$15,$M54-$A$15,CF$13)="",10^12,OFFSET(PLE!$G$15,$M54-$A$15,CF$13)))</f>
        <v>1000000000000</v>
      </c>
      <c r="CG54" s="172">
        <f t="array" aca="1" ref="CG54" ca="1">IF(OR($D54&lt;&gt;"Serviço",AND(AUTOEVENTO="Manual",$M54=$A$15),$M54&gt;(ROW(PLE.lastrow)-ROW(PLE.firstrow))),0,
           IF(OFFSET(PLE!$G$15,$M54-$A$15,CG$13)="",10^12,OFFSET(PLE!$G$15,$M54-$A$15,CG$13)))</f>
        <v>1000000000000</v>
      </c>
      <c r="CH54" s="172">
        <f t="array" aca="1" ref="CH54" ca="1">IF(OR($D54&lt;&gt;"Serviço",AND(AUTOEVENTO="Manual",$M54=$A$15),$M54&gt;(ROW(PLE.lastrow)-ROW(PLE.firstrow))),0,
           IF(OFFSET(PLE!$G$15,$M54-$A$15,CH$13)="",10^12,OFFSET(PLE!$G$15,$M54-$A$15,CH$13)))</f>
        <v>1000000000000</v>
      </c>
      <c r="CI54" s="172">
        <f t="array" aca="1" ref="CI54" ca="1">IF(OR($D54&lt;&gt;"Serviço",AND(AUTOEVENTO="Manual",$M54=$A$15),$M54&gt;(ROW(PLE.lastrow)-ROW(PLE.firstrow))),0,
           IF(OFFSET(PLE!$G$15,$M54-$A$15,CI$13)="",10^12,OFFSET(PLE!$G$15,$M54-$A$15,CI$13)))</f>
        <v>1000000000000</v>
      </c>
      <c r="CJ54" s="172">
        <f t="array" aca="1" ref="CJ54" ca="1">IF(OR($D54&lt;&gt;"Serviço",AND(AUTOEVENTO="Manual",$M54=$A$15),$M54&gt;(ROW(PLE.lastrow)-ROW(PLE.firstrow))),0,
           IF(OFFSET(PLE!$G$15,$M54-$A$15,CJ$13)="",10^12,OFFSET(PLE!$G$15,$M54-$A$15,CJ$13)))</f>
        <v>1000000000000</v>
      </c>
      <c r="CK54" s="172">
        <f t="array" aca="1" ref="CK54" ca="1">IF(OR($D54&lt;&gt;"Serviço",AND(AUTOEVENTO="Manual",$M54=$A$15),$M54&gt;(ROW(PLE.lastrow)-ROW(PLE.firstrow))),0,
           IF(OFFSET(PLE!$G$15,$M54-$A$15,CK$13)="",10^12,OFFSET(PLE!$G$15,$M54-$A$15,CK$13)))</f>
        <v>1000000000000</v>
      </c>
      <c r="CL54" s="172">
        <f t="array" aca="1" ref="CL54" ca="1">IF(OR($D54&lt;&gt;"Serviço",AND(AUTOEVENTO="Manual",$M54=$A$15),$M54&gt;(ROW(PLE.lastrow)-ROW(PLE.firstrow))),0,
           IF(OFFSET(PLE!$G$15,$M54-$A$15,CL$13)="",10^12,OFFSET(PLE!$G$15,$M54-$A$15,CL$13)))</f>
        <v>1000000000000</v>
      </c>
      <c r="CM54" s="172">
        <f t="array" aca="1" ref="CM54" ca="1">IF(OR($D54&lt;&gt;"Serviço",AND(AUTOEVENTO="Manual",$M54=$A$15),$M54&gt;(ROW(PLE.lastrow)-ROW(PLE.firstrow))),0,
           IF(OFFSET(PLE!$G$15,$M54-$A$15,CM$13)="",10^12,OFFSET(PLE!$G$15,$M54-$A$15,CM$13)))</f>
        <v>1000000000000</v>
      </c>
    </row>
    <row r="55" spans="1:91" s="696" customFormat="1" ht="12.75" x14ac:dyDescent="0.2">
      <c r="A55" s="694">
        <f t="shared" ca="1" si="10"/>
        <v>0</v>
      </c>
      <c r="B55" s="694">
        <f ca="1">OFFSET(ORÇAMENTO!C$15,$L55,0)</f>
        <v>2</v>
      </c>
      <c r="C55" s="694" t="str">
        <f ca="1">OFFSET(ORÇAMENTO!L$15,$L55,0)</f>
        <v>F</v>
      </c>
      <c r="D55" s="116" t="str">
        <f ca="1">OFFSET(ORÇAMENTO!N$15,$L55,0)</f>
        <v>Nível 2</v>
      </c>
      <c r="E55" s="117" t="str">
        <f ca="1">OFFSET(ORÇAMENTO!O$15,$L55,0)</f>
        <v>1.7.</v>
      </c>
      <c r="F55" s="163" t="str">
        <f ca="1">OFFSET(ORÇAMENTO!R$15,$L55,0)</f>
        <v>PILARES, VIGAS E LAJES</v>
      </c>
      <c r="G55" s="164" t="str">
        <f ca="1">IF($D55&lt;&gt;"Serviço","",OFFSET(ORÇAMENTO!S$15,$L55,0))</f>
        <v/>
      </c>
      <c r="H55" s="122">
        <f t="array" aca="1" ref="H55" ca="1">IF($D55&lt;&gt;"Serviço",0,IF(ACOMPANHAMENTO="BM",ROUND(OFFSET(ORÇAMENTO!AJ$15,$L55,0),15-13*ORÇAMENTO!$AF$7),IF(IFERROR(CÁLCULO.FrentesPreenchidas,0)=0,0,SUM(ROUND(OFFSET($P55,0,1,1,CÁLCULO.FrentesPreenchidas),15-13*ORÇAMENTO!$AF$7)))))</f>
        <v>0</v>
      </c>
      <c r="I55" s="467"/>
      <c r="J55" s="653" t="str">
        <f t="array" aca="1" ref="J55" ca="1">IF(OR(B55&lt;&gt;"S",CÁLCULO.FrentesPreenchidas=0),"",IF(AND(ACOMPANHAMENTO="PLE",AUTOEVENTO="Manual",OR(H55&gt;0,ORÇAMENTO!AC55="QUANT."),OR(K55="",M55=0,N55="")),"►E",IF(AND(ACOMPANHAMENTO="PLE",ORÇAMENTO!AC55="QUANT."),"►Q",IF(AND(ACOMPANHAMENTO="PLE",H55&lt;&gt;SUMPRODUCT(($Q$1:$AI$1=1)*ROUND(Q55:AI55,15))),"►S",IF(AND(COUNTIF($P$11:$AI$11,"▼")=0,H55&gt;0,I55=""),"◄M","")))))</f>
        <v/>
      </c>
      <c r="K55" s="654"/>
      <c r="L55" s="165">
        <f t="shared" ca="1" si="11"/>
        <v>40</v>
      </c>
      <c r="M55" s="166" t="str">
        <f ca="1">IF($D55&lt;&gt;"Serviço","",
          IF(AUTOEVENTO="manual",$A55,
                IF(ISERROR(MATCH($A55,$A$15:OFFSET($A55,-1,0),0)),MAX($M$15:OFFSET(M55,-1,0))+1,
                      INDEX($M$15:OFFSET(M55,-1,0),MATCH($A55,$A$15:OFFSET($A55,-1,0),0)))))</f>
        <v/>
      </c>
      <c r="N55" s="167" t="str">
        <f ca="1">IF($D55&lt;&gt;"Serviço","",
         IF(AUTOEVENTO="Manual",
                IF($A55=0,"&lt;-- defina o número do agrupador",
                       OFFSET(EVENTOS!$D$15,$A55-$A$15,0)),
                OFFSET($F$15,$A55,0)))</f>
        <v/>
      </c>
      <c r="O55" s="168"/>
      <c r="Q55" s="169"/>
      <c r="R55" s="169"/>
      <c r="S55" s="169"/>
      <c r="T55" s="169"/>
      <c r="U55" s="169"/>
      <c r="V55" s="169"/>
      <c r="W55" s="169"/>
      <c r="X55" s="169"/>
      <c r="Y55" s="169"/>
      <c r="Z55" s="170"/>
      <c r="AA55" s="169"/>
      <c r="AB55" s="169"/>
      <c r="AC55" s="169"/>
      <c r="AD55" s="169"/>
      <c r="AE55" s="169"/>
      <c r="AF55" s="169"/>
      <c r="AG55" s="169"/>
      <c r="AH55" s="170"/>
      <c r="AJ55" s="452">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2">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L55" s="452">
        <f ca="1">IF(AND($D55="Serviço",AL$12&lt;&gt;0,$H55&gt;0,OR(AUTOEVENTO&lt;&gt;"manual",$M55&lt;&gt;$A$15)),
        IF(Import.TipoArredondamento&lt;&gt;"TransfereGOV",
              ROUND(OFFSET($P55,0,AL$13),15-13*ORÇAMENTO!$AF$7)/$H55*OFFSET(ORÇAMENTO!$X$15,ROW(AL55)-ROW(AL$15),0),
              ROUND(ROUND(OFFSET($P55,0,AL$13),15-13*ORÇAMENTO!$AF$7)*OFFSET(ORÇAMENTO!$W$15,ROW(AL55)-ROW(AL$15),0),15-13*ORÇAMENTO!$AF$11)),
         0)</f>
        <v>0</v>
      </c>
      <c r="AM55" s="452">
        <f ca="1">IF(AND($D55="Serviço",AM$12&lt;&gt;0,$H55&gt;0,OR(AUTOEVENTO&lt;&gt;"manual",$M55&lt;&gt;$A$15)),
        IF(Import.TipoArredondamento&lt;&gt;"TransfereGOV",
              ROUND(OFFSET($P55,0,AM$13),15-13*ORÇAMENTO!$AF$7)/$H55*OFFSET(ORÇAMENTO!$X$15,ROW(AM55)-ROW(AM$15),0),
              ROUND(ROUND(OFFSET($P55,0,AM$13),15-13*ORÇAMENTO!$AF$7)*OFFSET(ORÇAMENTO!$W$15,ROW(AM55)-ROW(AM$15),0),15-13*ORÇAMENTO!$AF$11)),
         0)</f>
        <v>0</v>
      </c>
      <c r="AN55" s="452">
        <f ca="1">IF(AND($D55="Serviço",AN$12&lt;&gt;0,$H55&gt;0,OR(AUTOEVENTO&lt;&gt;"manual",$M55&lt;&gt;$A$15)),
        IF(Import.TipoArredondamento&lt;&gt;"TransfereGOV",
              ROUND(OFFSET($P55,0,AN$13),15-13*ORÇAMENTO!$AF$7)/$H55*OFFSET(ORÇAMENTO!$X$15,ROW(AN55)-ROW(AN$15),0),
              ROUND(ROUND(OFFSET($P55,0,AN$13),15-13*ORÇAMENTO!$AF$7)*OFFSET(ORÇAMENTO!$W$15,ROW(AN55)-ROW(AN$15),0),15-13*ORÇAMENTO!$AF$11)),
         0)</f>
        <v>0</v>
      </c>
      <c r="AO55" s="452">
        <f ca="1">IF(AND($D55="Serviço",AO$12&lt;&gt;0,$H55&gt;0,OR(AUTOEVENTO&lt;&gt;"manual",$M55&lt;&gt;$A$15)),
        IF(Import.TipoArredondamento&lt;&gt;"TransfereGOV",
              ROUND(OFFSET($P55,0,AO$13),15-13*ORÇAMENTO!$AF$7)/$H55*OFFSET(ORÇAMENTO!$X$15,ROW(AO55)-ROW(AO$15),0),
              ROUND(ROUND(OFFSET($P55,0,AO$13),15-13*ORÇAMENTO!$AF$7)*OFFSET(ORÇAMENTO!$W$15,ROW(AO55)-ROW(AO$15),0),15-13*ORÇAMENTO!$AF$11)),
         0)</f>
        <v>0</v>
      </c>
      <c r="AP55" s="452">
        <f ca="1">IF(AND($D55="Serviço",AP$12&lt;&gt;0,$H55&gt;0,OR(AUTOEVENTO&lt;&gt;"manual",$M55&lt;&gt;$A$15)),
        IF(Import.TipoArredondamento&lt;&gt;"TransfereGOV",
              ROUND(OFFSET($P55,0,AP$13),15-13*ORÇAMENTO!$AF$7)/$H55*OFFSET(ORÇAMENTO!$X$15,ROW(AP55)-ROW(AP$15),0),
              ROUND(ROUND(OFFSET($P55,0,AP$13),15-13*ORÇAMENTO!$AF$7)*OFFSET(ORÇAMENTO!$W$15,ROW(AP55)-ROW(AP$15),0),15-13*ORÇAMENTO!$AF$11)),
         0)</f>
        <v>0</v>
      </c>
      <c r="AQ55" s="452">
        <f ca="1">IF(AND($D55="Serviço",AQ$12&lt;&gt;0,$H55&gt;0,OR(AUTOEVENTO&lt;&gt;"manual",$M55&lt;&gt;$A$15)),
        IF(Import.TipoArredondamento&lt;&gt;"TransfereGOV",
              ROUND(OFFSET($P55,0,AQ$13),15-13*ORÇAMENTO!$AF$7)/$H55*OFFSET(ORÇAMENTO!$X$15,ROW(AQ55)-ROW(AQ$15),0),
              ROUND(ROUND(OFFSET($P55,0,AQ$13),15-13*ORÇAMENTO!$AF$7)*OFFSET(ORÇAMENTO!$W$15,ROW(AQ55)-ROW(AQ$15),0),15-13*ORÇAMENTO!$AF$11)),
         0)</f>
        <v>0</v>
      </c>
      <c r="AR55" s="452">
        <f ca="1">IF(AND($D55="Serviço",AR$12&lt;&gt;0,$H55&gt;0,OR(AUTOEVENTO&lt;&gt;"manual",$M55&lt;&gt;$A$15)),
        IF(Import.TipoArredondamento&lt;&gt;"TransfereGOV",
              ROUND(OFFSET($P55,0,AR$13),15-13*ORÇAMENTO!$AF$7)/$H55*OFFSET(ORÇAMENTO!$X$15,ROW(AR55)-ROW(AR$15),0),
              ROUND(ROUND(OFFSET($P55,0,AR$13),15-13*ORÇAMENTO!$AF$7)*OFFSET(ORÇAMENTO!$W$15,ROW(AR55)-ROW(AR$15),0),15-13*ORÇAMENTO!$AF$11)),
         0)</f>
        <v>0</v>
      </c>
      <c r="AS55" s="452">
        <f ca="1">IF(AND($D55="Serviço",AS$12&lt;&gt;0,$H55&gt;0,OR(AUTOEVENTO&lt;&gt;"manual",$M55&lt;&gt;$A$15)),
        IF(Import.TipoArredondamento&lt;&gt;"TransfereGOV",
              ROUND(OFFSET($P55,0,AS$13),15-13*ORÇAMENTO!$AF$7)/$H55*OFFSET(ORÇAMENTO!$X$15,ROW(AS55)-ROW(AS$15),0),
              ROUND(ROUND(OFFSET($P55,0,AS$13),15-13*ORÇAMENTO!$AF$7)*OFFSET(ORÇAMENTO!$W$15,ROW(AS55)-ROW(AS$15),0),15-13*ORÇAMENTO!$AF$11)),
         0)</f>
        <v>0</v>
      </c>
      <c r="AT55" s="452">
        <f ca="1">IF(AND($D55="Serviço",AT$12&lt;&gt;0,$H55&gt;0,OR(AUTOEVENTO&lt;&gt;"manual",$M55&lt;&gt;$A$15)),
        IF(Import.TipoArredondamento&lt;&gt;"TransfereGOV",
              ROUND(OFFSET($P55,0,AT$13),15-13*ORÇAMENTO!$AF$7)/$H55*OFFSET(ORÇAMENTO!$X$15,ROW(AT55)-ROW(AT$15),0),
              ROUND(ROUND(OFFSET($P55,0,AT$13),15-13*ORÇAMENTO!$AF$7)*OFFSET(ORÇAMENTO!$W$15,ROW(AT55)-ROW(AT$15),0),15-13*ORÇAMENTO!$AF$11)),
         0)</f>
        <v>0</v>
      </c>
      <c r="AU55" s="452">
        <f ca="1">IF(AND($D55="Serviço",AU$12&lt;&gt;0,$H55&gt;0,OR(AUTOEVENTO&lt;&gt;"manual",$M55&lt;&gt;$A$15)),
        IF(Import.TipoArredondamento&lt;&gt;"TransfereGOV",
              ROUND(OFFSET($P55,0,AU$13),15-13*ORÇAMENTO!$AF$7)/$H55*OFFSET(ORÇAMENTO!$X$15,ROW(AU55)-ROW(AU$15),0),
              ROUND(ROUND(OFFSET($P55,0,AU$13),15-13*ORÇAMENTO!$AF$7)*OFFSET(ORÇAMENTO!$W$15,ROW(AU55)-ROW(AU$15),0),15-13*ORÇAMENTO!$AF$11)),
         0)</f>
        <v>0</v>
      </c>
      <c r="AV55" s="452">
        <f ca="1">IF(AND($D55="Serviço",AV$12&lt;&gt;0,$H55&gt;0,OR(AUTOEVENTO&lt;&gt;"manual",$M55&lt;&gt;$A$15)),
        IF(Import.TipoArredondamento&lt;&gt;"TransfereGOV",
              ROUND(OFFSET($P55,0,AV$13),15-13*ORÇAMENTO!$AF$7)/$H55*OFFSET(ORÇAMENTO!$X$15,ROW(AV55)-ROW(AV$15),0),
              ROUND(ROUND(OFFSET($P55,0,AV$13),15-13*ORÇAMENTO!$AF$7)*OFFSET(ORÇAMENTO!$W$15,ROW(AV55)-ROW(AV$15),0),15-13*ORÇAMENTO!$AF$11)),
         0)</f>
        <v>0</v>
      </c>
      <c r="AW55" s="452">
        <f ca="1">IF(AND($D55="Serviço",AW$12&lt;&gt;0,$H55&gt;0,OR(AUTOEVENTO&lt;&gt;"manual",$M55&lt;&gt;$A$15)),
        IF(Import.TipoArredondamento&lt;&gt;"TransfereGOV",
              ROUND(OFFSET($P55,0,AW$13),15-13*ORÇAMENTO!$AF$7)/$H55*OFFSET(ORÇAMENTO!$X$15,ROW(AW55)-ROW(AW$15),0),
              ROUND(ROUND(OFFSET($P55,0,AW$13),15-13*ORÇAMENTO!$AF$7)*OFFSET(ORÇAMENTO!$W$15,ROW(AW55)-ROW(AW$15),0),15-13*ORÇAMENTO!$AF$11)),
         0)</f>
        <v>0</v>
      </c>
      <c r="AX55" s="452">
        <f ca="1">IF(AND($D55="Serviço",AX$12&lt;&gt;0,$H55&gt;0,OR(AUTOEVENTO&lt;&gt;"manual",$M55&lt;&gt;$A$15)),
        IF(Import.TipoArredondamento&lt;&gt;"TransfereGOV",
              ROUND(OFFSET($P55,0,AX$13),15-13*ORÇAMENTO!$AF$7)/$H55*OFFSET(ORÇAMENTO!$X$15,ROW(AX55)-ROW(AX$15),0),
              ROUND(ROUND(OFFSET($P55,0,AX$13),15-13*ORÇAMENTO!$AF$7)*OFFSET(ORÇAMENTO!$W$15,ROW(AX55)-ROW(AX$15),0),15-13*ORÇAMENTO!$AF$11)),
         0)</f>
        <v>0</v>
      </c>
      <c r="AY55" s="452">
        <f ca="1">IF(AND($D55="Serviço",AY$12&lt;&gt;0,$H55&gt;0,OR(AUTOEVENTO&lt;&gt;"manual",$M55&lt;&gt;$A$15)),
        IF(Import.TipoArredondamento&lt;&gt;"TransfereGOV",
              ROUND(OFFSET($P55,0,AY$13),15-13*ORÇAMENTO!$AF$7)/$H55*OFFSET(ORÇAMENTO!$X$15,ROW(AY55)-ROW(AY$15),0),
              ROUND(ROUND(OFFSET($P55,0,AY$13),15-13*ORÇAMENTO!$AF$7)*OFFSET(ORÇAMENTO!$W$15,ROW(AY55)-ROW(AY$15),0),15-13*ORÇAMENTO!$AF$11)),
         0)</f>
        <v>0</v>
      </c>
      <c r="AZ55" s="452">
        <f ca="1">IF(AND($D55="Serviço",AZ$12&lt;&gt;0,$H55&gt;0,OR(AUTOEVENTO&lt;&gt;"manual",$M55&lt;&gt;$A$15)),
        IF(Import.TipoArredondamento&lt;&gt;"TransfereGOV",
              ROUND(OFFSET($P55,0,AZ$13),15-13*ORÇAMENTO!$AF$7)/$H55*OFFSET(ORÇAMENTO!$X$15,ROW(AZ55)-ROW(AZ$15),0),
              ROUND(ROUND(OFFSET($P55,0,AZ$13),15-13*ORÇAMENTO!$AF$7)*OFFSET(ORÇAMENTO!$W$15,ROW(AZ55)-ROW(AZ$15),0),15-13*ORÇAMENTO!$AF$11)),
         0)</f>
        <v>0</v>
      </c>
      <c r="BA55" s="452">
        <f ca="1">IF(AND($D55="Serviço",BA$12&lt;&gt;0,$H55&gt;0,OR(AUTOEVENTO&lt;&gt;"manual",$M55&lt;&gt;$A$15)),
        IF(Import.TipoArredondamento&lt;&gt;"TransfereGOV",
              ROUND(OFFSET($P55,0,BA$13),15-13*ORÇAMENTO!$AF$7)/$H55*OFFSET(ORÇAMENTO!$X$15,ROW(BA55)-ROW(BA$15),0),
              ROUND(ROUND(OFFSET($P55,0,BA$13),15-13*ORÇAMENTO!$AF$7)*OFFSET(ORÇAMENTO!$W$15,ROW(BA55)-ROW(BA$15),0),15-13*ORÇAMENTO!$AF$11)),
         0)</f>
        <v>0</v>
      </c>
      <c r="BC55" s="171">
        <f ca="1">IF(OR($D55&lt;&gt;"Serviço",AND(AUTOEVENTO="Manual",$M55=$A$15)),0,
         IF(OFFSET(CRONOPLE!$F$15,$M55-$A$15,BC$13)=0,10^12,OFFSET(CRONOPLE!$F$15,$M55-$A$15,BC$13)))</f>
        <v>0</v>
      </c>
      <c r="BD55" s="171">
        <f ca="1">IF(OR($D55&lt;&gt;"Serviço",AND(AUTOEVENTO="Manual",$M55=$A$15)),0,
         IF(OFFSET(CRONOPLE!$F$15,$M55-$A$15,BD$13)=0,10^12,OFFSET(CRONOPLE!$F$15,$M55-$A$15,BD$13)))</f>
        <v>0</v>
      </c>
      <c r="BE55" s="171">
        <f ca="1">IF(OR($D55&lt;&gt;"Serviço",AND(AUTOEVENTO="Manual",$M55=$A$15)),0,
         IF(OFFSET(CRONOPLE!$F$15,$M55-$A$15,BE$13)=0,10^12,OFFSET(CRONOPLE!$F$15,$M55-$A$15,BE$13)))</f>
        <v>0</v>
      </c>
      <c r="BF55" s="171">
        <f ca="1">IF(OR($D55&lt;&gt;"Serviço",AND(AUTOEVENTO="Manual",$M55=$A$15)),0,
         IF(OFFSET(CRONOPLE!$F$15,$M55-$A$15,BF$13)=0,10^12,OFFSET(CRONOPLE!$F$15,$M55-$A$15,BF$13)))</f>
        <v>0</v>
      </c>
      <c r="BG55" s="171">
        <f ca="1">IF(OR($D55&lt;&gt;"Serviço",AND(AUTOEVENTO="Manual",$M55=$A$15)),0,
         IF(OFFSET(CRONOPLE!$F$15,$M55-$A$15,BG$13)=0,10^12,OFFSET(CRONOPLE!$F$15,$M55-$A$15,BG$13)))</f>
        <v>0</v>
      </c>
      <c r="BH55" s="171">
        <f ca="1">IF(OR($D55&lt;&gt;"Serviço",AND(AUTOEVENTO="Manual",$M55=$A$15)),0,
         IF(OFFSET(CRONOPLE!$F$15,$M55-$A$15,BH$13)=0,10^12,OFFSET(CRONOPLE!$F$15,$M55-$A$15,BH$13)))</f>
        <v>0</v>
      </c>
      <c r="BI55" s="171">
        <f ca="1">IF(OR($D55&lt;&gt;"Serviço",AND(AUTOEVENTO="Manual",$M55=$A$15)),0,
         IF(OFFSET(CRONOPLE!$F$15,$M55-$A$15,BI$13)=0,10^12,OFFSET(CRONOPLE!$F$15,$M55-$A$15,BI$13)))</f>
        <v>0</v>
      </c>
      <c r="BJ55" s="171">
        <f ca="1">IF(OR($D55&lt;&gt;"Serviço",AND(AUTOEVENTO="Manual",$M55=$A$15)),0,
         IF(OFFSET(CRONOPLE!$F$15,$M55-$A$15,BJ$13)=0,10^12,OFFSET(CRONOPLE!$F$15,$M55-$A$15,BJ$13)))</f>
        <v>0</v>
      </c>
      <c r="BK55" s="171">
        <f ca="1">IF(OR($D55&lt;&gt;"Serviço",AND(AUTOEVENTO="Manual",$M55=$A$15)),0,
         IF(OFFSET(CRONOPLE!$F$15,$M55-$A$15,BK$13)=0,10^12,OFFSET(CRONOPLE!$F$15,$M55-$A$15,BK$13)))</f>
        <v>0</v>
      </c>
      <c r="BL55" s="171">
        <f ca="1">IF(OR($D55&lt;&gt;"Serviço",AND(AUTOEVENTO="Manual",$M55=$A$15)),0,
         IF(OFFSET(CRONOPLE!$F$15,$M55-$A$15,BL$13)=0,10^12,OFFSET(CRONOPLE!$F$15,$M55-$A$15,BL$13)))</f>
        <v>0</v>
      </c>
      <c r="BM55" s="171">
        <f ca="1">IF(OR($D55&lt;&gt;"Serviço",AND(AUTOEVENTO="Manual",$M55=$A$15)),0,
         IF(OFFSET(CRONOPLE!$F$15,$M55-$A$15,BM$13)=0,10^12,OFFSET(CRONOPLE!$F$15,$M55-$A$15,BM$13)))</f>
        <v>0</v>
      </c>
      <c r="BN55" s="171">
        <f ca="1">IF(OR($D55&lt;&gt;"Serviço",AND(AUTOEVENTO="Manual",$M55=$A$15)),0,
         IF(OFFSET(CRONOPLE!$F$15,$M55-$A$15,BN$13)=0,10^12,OFFSET(CRONOPLE!$F$15,$M55-$A$15,BN$13)))</f>
        <v>0</v>
      </c>
      <c r="BO55" s="171">
        <f ca="1">IF(OR($D55&lt;&gt;"Serviço",AND(AUTOEVENTO="Manual",$M55=$A$15)),0,
         IF(OFFSET(CRONOPLE!$F$15,$M55-$A$15,BO$13)=0,10^12,OFFSET(CRONOPLE!$F$15,$M55-$A$15,BO$13)))</f>
        <v>0</v>
      </c>
      <c r="BP55" s="171">
        <f ca="1">IF(OR($D55&lt;&gt;"Serviço",AND(AUTOEVENTO="Manual",$M55=$A$15)),0,
         IF(OFFSET(CRONOPLE!$F$15,$M55-$A$15,BP$13)=0,10^12,OFFSET(CRONOPLE!$F$15,$M55-$A$15,BP$13)))</f>
        <v>0</v>
      </c>
      <c r="BQ55" s="171">
        <f ca="1">IF(OR($D55&lt;&gt;"Serviço",AND(AUTOEVENTO="Manual",$M55=$A$15)),0,
         IF(OFFSET(CRONOPLE!$F$15,$M55-$A$15,BQ$13)=0,10^12,OFFSET(CRONOPLE!$F$15,$M55-$A$15,BQ$13)))</f>
        <v>0</v>
      </c>
      <c r="BR55" s="171">
        <f ca="1">IF(OR($D55&lt;&gt;"Serviço",AND(AUTOEVENTO="Manual",$M55=$A$15)),0,
         IF(OFFSET(CRONOPLE!$F$15,$M55-$A$15,BR$13)=0,10^12,OFFSET(CRONOPLE!$F$15,$M55-$A$15,BR$13)))</f>
        <v>0</v>
      </c>
      <c r="BS55" s="171">
        <f ca="1">IF(OR($D55&lt;&gt;"Serviço",AND(AUTOEVENTO="Manual",$M55=$A$15)),0,
         IF(OFFSET(CRONOPLE!$F$15,$M55-$A$15,BS$13)=0,10^12,OFFSET(CRONOPLE!$F$15,$M55-$A$15,BS$13)))</f>
        <v>0</v>
      </c>
      <c r="BT55" s="171">
        <f ca="1">IF(OR($D55&lt;&gt;"Serviço",AND(AUTOEVENTO="Manual",$M55=$A$15)),0,
         IF(OFFSET(CRONOPLE!$F$15,$M55-$A$15,BT$13)=0,10^12,OFFSET(CRONOPLE!$F$15,$M55-$A$15,BT$13)))</f>
        <v>0</v>
      </c>
      <c r="BV55" s="172">
        <f t="array" aca="1" ref="BV55" ca="1">IF(OR($D55&lt;&gt;"Serviço",AND(AUTOEVENTO="Manual",$M55=$A$15),$M55&gt;(ROW(PLE.lastrow)-ROW(PLE.firstrow))),0,
           IF(OFFSET(PLE!$G$15,$M55-$A$15,BV$13)="",10^12,OFFSET(PLE!$G$15,$M55-$A$15,BV$13)))</f>
        <v>0</v>
      </c>
      <c r="BW55" s="172">
        <f t="array" aca="1" ref="BW55" ca="1">IF(OR($D55&lt;&gt;"Serviço",AND(AUTOEVENTO="Manual",$M55=$A$15),$M55&gt;(ROW(PLE.lastrow)-ROW(PLE.firstrow))),0,
           IF(OFFSET(PLE!$G$15,$M55-$A$15,BW$13)="",10^12,OFFSET(PLE!$G$15,$M55-$A$15,BW$13)))</f>
        <v>0</v>
      </c>
      <c r="BX55" s="172">
        <f t="array" aca="1" ref="BX55" ca="1">IF(OR($D55&lt;&gt;"Serviço",AND(AUTOEVENTO="Manual",$M55=$A$15),$M55&gt;(ROW(PLE.lastrow)-ROW(PLE.firstrow))),0,
           IF(OFFSET(PLE!$G$15,$M55-$A$15,BX$13)="",10^12,OFFSET(PLE!$G$15,$M55-$A$15,BX$13)))</f>
        <v>0</v>
      </c>
      <c r="BY55" s="172">
        <f t="array" aca="1" ref="BY55" ca="1">IF(OR($D55&lt;&gt;"Serviço",AND(AUTOEVENTO="Manual",$M55=$A$15),$M55&gt;(ROW(PLE.lastrow)-ROW(PLE.firstrow))),0,
           IF(OFFSET(PLE!$G$15,$M55-$A$15,BY$13)="",10^12,OFFSET(PLE!$G$15,$M55-$A$15,BY$13)))</f>
        <v>0</v>
      </c>
      <c r="BZ55" s="172">
        <f t="array" aca="1" ref="BZ55" ca="1">IF(OR($D55&lt;&gt;"Serviço",AND(AUTOEVENTO="Manual",$M55=$A$15),$M55&gt;(ROW(PLE.lastrow)-ROW(PLE.firstrow))),0,
           IF(OFFSET(PLE!$G$15,$M55-$A$15,BZ$13)="",10^12,OFFSET(PLE!$G$15,$M55-$A$15,BZ$13)))</f>
        <v>0</v>
      </c>
      <c r="CA55" s="172">
        <f t="array" aca="1" ref="CA55" ca="1">IF(OR($D55&lt;&gt;"Serviço",AND(AUTOEVENTO="Manual",$M55=$A$15),$M55&gt;(ROW(PLE.lastrow)-ROW(PLE.firstrow))),0,
           IF(OFFSET(PLE!$G$15,$M55-$A$15,CA$13)="",10^12,OFFSET(PLE!$G$15,$M55-$A$15,CA$13)))</f>
        <v>0</v>
      </c>
      <c r="CB55" s="172">
        <f t="array" aca="1" ref="CB55" ca="1">IF(OR($D55&lt;&gt;"Serviço",AND(AUTOEVENTO="Manual",$M55=$A$15),$M55&gt;(ROW(PLE.lastrow)-ROW(PLE.firstrow))),0,
           IF(OFFSET(PLE!$G$15,$M55-$A$15,CB$13)="",10^12,OFFSET(PLE!$G$15,$M55-$A$15,CB$13)))</f>
        <v>0</v>
      </c>
      <c r="CC55" s="172">
        <f t="array" aca="1" ref="CC55" ca="1">IF(OR($D55&lt;&gt;"Serviço",AND(AUTOEVENTO="Manual",$M55=$A$15),$M55&gt;(ROW(PLE.lastrow)-ROW(PLE.firstrow))),0,
           IF(OFFSET(PLE!$G$15,$M55-$A$15,CC$13)="",10^12,OFFSET(PLE!$G$15,$M55-$A$15,CC$13)))</f>
        <v>0</v>
      </c>
      <c r="CD55" s="172">
        <f t="array" aca="1" ref="CD55" ca="1">IF(OR($D55&lt;&gt;"Serviço",AND(AUTOEVENTO="Manual",$M55=$A$15),$M55&gt;(ROW(PLE.lastrow)-ROW(PLE.firstrow))),0,
           IF(OFFSET(PLE!$G$15,$M55-$A$15,CD$13)="",10^12,OFFSET(PLE!$G$15,$M55-$A$15,CD$13)))</f>
        <v>0</v>
      </c>
      <c r="CE55" s="172">
        <f t="array" aca="1" ref="CE55" ca="1">IF(OR($D55&lt;&gt;"Serviço",AND(AUTOEVENTO="Manual",$M55=$A$15),$M55&gt;(ROW(PLE.lastrow)-ROW(PLE.firstrow))),0,
           IF(OFFSET(PLE!$G$15,$M55-$A$15,CE$13)="",10^12,OFFSET(PLE!$G$15,$M55-$A$15,CE$13)))</f>
        <v>0</v>
      </c>
      <c r="CF55" s="172">
        <f t="array" aca="1" ref="CF55" ca="1">IF(OR($D55&lt;&gt;"Serviço",AND(AUTOEVENTO="Manual",$M55=$A$15),$M55&gt;(ROW(PLE.lastrow)-ROW(PLE.firstrow))),0,
           IF(OFFSET(PLE!$G$15,$M55-$A$15,CF$13)="",10^12,OFFSET(PLE!$G$15,$M55-$A$15,CF$13)))</f>
        <v>0</v>
      </c>
      <c r="CG55" s="172">
        <f t="array" aca="1" ref="CG55" ca="1">IF(OR($D55&lt;&gt;"Serviço",AND(AUTOEVENTO="Manual",$M55=$A$15),$M55&gt;(ROW(PLE.lastrow)-ROW(PLE.firstrow))),0,
           IF(OFFSET(PLE!$G$15,$M55-$A$15,CG$13)="",10^12,OFFSET(PLE!$G$15,$M55-$A$15,CG$13)))</f>
        <v>0</v>
      </c>
      <c r="CH55" s="172">
        <f t="array" aca="1" ref="CH55" ca="1">IF(OR($D55&lt;&gt;"Serviço",AND(AUTOEVENTO="Manual",$M55=$A$15),$M55&gt;(ROW(PLE.lastrow)-ROW(PLE.firstrow))),0,
           IF(OFFSET(PLE!$G$15,$M55-$A$15,CH$13)="",10^12,OFFSET(PLE!$G$15,$M55-$A$15,CH$13)))</f>
        <v>0</v>
      </c>
      <c r="CI55" s="172">
        <f t="array" aca="1" ref="CI55" ca="1">IF(OR($D55&lt;&gt;"Serviço",AND(AUTOEVENTO="Manual",$M55=$A$15),$M55&gt;(ROW(PLE.lastrow)-ROW(PLE.firstrow))),0,
           IF(OFFSET(PLE!$G$15,$M55-$A$15,CI$13)="",10^12,OFFSET(PLE!$G$15,$M55-$A$15,CI$13)))</f>
        <v>0</v>
      </c>
      <c r="CJ55" s="172">
        <f t="array" aca="1" ref="CJ55" ca="1">IF(OR($D55&lt;&gt;"Serviço",AND(AUTOEVENTO="Manual",$M55=$A$15),$M55&gt;(ROW(PLE.lastrow)-ROW(PLE.firstrow))),0,
           IF(OFFSET(PLE!$G$15,$M55-$A$15,CJ$13)="",10^12,OFFSET(PLE!$G$15,$M55-$A$15,CJ$13)))</f>
        <v>0</v>
      </c>
      <c r="CK55" s="172">
        <f t="array" aca="1" ref="CK55" ca="1">IF(OR($D55&lt;&gt;"Serviço",AND(AUTOEVENTO="Manual",$M55=$A$15),$M55&gt;(ROW(PLE.lastrow)-ROW(PLE.firstrow))),0,
           IF(OFFSET(PLE!$G$15,$M55-$A$15,CK$13)="",10^12,OFFSET(PLE!$G$15,$M55-$A$15,CK$13)))</f>
        <v>0</v>
      </c>
      <c r="CL55" s="172">
        <f t="array" aca="1" ref="CL55" ca="1">IF(OR($D55&lt;&gt;"Serviço",AND(AUTOEVENTO="Manual",$M55=$A$15),$M55&gt;(ROW(PLE.lastrow)-ROW(PLE.firstrow))),0,
           IF(OFFSET(PLE!$G$15,$M55-$A$15,CL$13)="",10^12,OFFSET(PLE!$G$15,$M55-$A$15,CL$13)))</f>
        <v>0</v>
      </c>
      <c r="CM55" s="172">
        <f t="array" aca="1" ref="CM55" ca="1">IF(OR($D55&lt;&gt;"Serviço",AND(AUTOEVENTO="Manual",$M55=$A$15),$M55&gt;(ROW(PLE.lastrow)-ROW(PLE.firstrow))),0,
           IF(OFFSET(PLE!$G$15,$M55-$A$15,CM$13)="",10^12,OFFSET(PLE!$G$15,$M55-$A$15,CM$13)))</f>
        <v>0</v>
      </c>
    </row>
    <row r="56" spans="1:91" s="696" customFormat="1" ht="51" x14ac:dyDescent="0.2">
      <c r="A56" s="694">
        <f t="shared" ca="1" si="10"/>
        <v>8</v>
      </c>
      <c r="B56" s="694" t="str">
        <f ca="1">OFFSET(ORÇAMENTO!C$15,$L56,0)</f>
        <v>S</v>
      </c>
      <c r="C56" s="694" t="str">
        <f ca="1">OFFSET(ORÇAMENTO!L$15,$L56,0)</f>
        <v>F</v>
      </c>
      <c r="D56" s="116" t="str">
        <f ca="1">OFFSET(ORÇAMENTO!N$15,$L56,0)</f>
        <v>Serviço</v>
      </c>
      <c r="E56" s="117" t="str">
        <f ca="1">OFFSET(ORÇAMENTO!O$15,$L56,0)</f>
        <v>1.7.1.</v>
      </c>
      <c r="F56" s="163" t="str">
        <f ca="1">OFFSET(ORÇAMENTO!R$15,$L56,0)</f>
        <v>MONTAGEM E DESMONTAGEM DE FÔRMA DE PILARES RETANGULARES E ESTRUTURAS SIMILARES, PÉ-DIREITO SIMPLES, EM CHAPA DE MADEIRA COMPENSADA RESINADA, 8 UTILIZAÇÕES. AF_09/2020</v>
      </c>
      <c r="G56" s="164" t="str">
        <f ca="1">IF($D56&lt;&gt;"Serviço","",OFFSET(ORÇAMENTO!S$15,$L56,0))</f>
        <v>M2</v>
      </c>
      <c r="H56" s="122">
        <f t="array" aca="1" ref="H56" ca="1">IF($D56&lt;&gt;"Serviço",0,IF(ACOMPANHAMENTO="BM",ROUND(OFFSET(ORÇAMENTO!AJ$15,$L56,0),15-13*ORÇAMENTO!$AF$7),IF(IFERROR(CÁLCULO.FrentesPreenchidas,0)=0,0,SUM(ROUND(OFFSET($P56,0,1,1,CÁLCULO.FrentesPreenchidas),15-13*ORÇAMENTO!$AF$7)))))</f>
        <v>287.8</v>
      </c>
      <c r="I56" s="467" t="s">
        <v>1231</v>
      </c>
      <c r="J56" s="653" t="str">
        <f t="array" aca="1" ref="J56" ca="1">IF(OR(B56&lt;&gt;"S",CÁLCULO.FrentesPreenchidas=0),"",IF(AND(ACOMPANHAMENTO="PLE",AUTOEVENTO="Manual",OR(H56&gt;0,ORÇAMENTO!AC56="QUANT."),OR(K56="",M56=0,N56="")),"►E",IF(AND(ACOMPANHAMENTO="PLE",ORÇAMENTO!AC56="QUANT."),"►Q",IF(AND(ACOMPANHAMENTO="PLE",H56&lt;&gt;SUMPRODUCT(($Q$1:$AI$1=1)*ROUND(Q56:AI56,15))),"►S",IF(AND(COUNTIF($P$11:$AI$11,"▼")=0,H56&gt;0,I56=""),"◄M","")))))</f>
        <v/>
      </c>
      <c r="K56" s="654" t="s">
        <v>1386</v>
      </c>
      <c r="L56" s="165">
        <f t="shared" ca="1" si="11"/>
        <v>41</v>
      </c>
      <c r="M56" s="166">
        <f ca="1">IF($D56&lt;&gt;"Serviço","",
          IF(AUTOEVENTO="manual",$A56,
                IF(ISERROR(MATCH($A56,$A$15:OFFSET($A56,-1,0),0)),MAX($M$15:OFFSET(M56,-1,0))+1,
                      INDEX($M$15:OFFSET(M56,-1,0),MATCH($A56,$A$15:OFFSET($A56,-1,0),0)))))</f>
        <v>8</v>
      </c>
      <c r="N56" s="167" t="str">
        <f ca="1">IF($D56&lt;&gt;"Serviço","",
         IF(AUTOEVENTO="Manual",
                IF($A56=0,"&lt;-- defina o número do agrupador",
                       OFFSET(EVENTOS!$D$15,$A56-$A$15,0)),
                OFFSET($F$15,$A56,0)))</f>
        <v>PILARES</v>
      </c>
      <c r="O56" s="168"/>
      <c r="Q56" s="169">
        <f>14.39*5</f>
        <v>71.95</v>
      </c>
      <c r="R56" s="169">
        <f t="shared" ref="R56:T56" si="29">14.39*5</f>
        <v>71.95</v>
      </c>
      <c r="S56" s="169">
        <f t="shared" si="29"/>
        <v>71.95</v>
      </c>
      <c r="T56" s="169">
        <f t="shared" si="29"/>
        <v>71.95</v>
      </c>
      <c r="U56" s="169"/>
      <c r="V56" s="169"/>
      <c r="W56" s="169"/>
      <c r="X56" s="169"/>
      <c r="Y56" s="169"/>
      <c r="Z56" s="170"/>
      <c r="AA56" s="169"/>
      <c r="AB56" s="169"/>
      <c r="AC56" s="169"/>
      <c r="AD56" s="169"/>
      <c r="AE56" s="169"/>
      <c r="AF56" s="169"/>
      <c r="AG56" s="169"/>
      <c r="AH56" s="170"/>
      <c r="AJ56" s="452">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5257.39</v>
      </c>
      <c r="AK56" s="452">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5257.39</v>
      </c>
      <c r="AL56" s="452">
        <f ca="1">IF(AND($D56="Serviço",AL$12&lt;&gt;0,$H56&gt;0,OR(AUTOEVENTO&lt;&gt;"manual",$M56&lt;&gt;$A$15)),
        IF(Import.TipoArredondamento&lt;&gt;"TransfereGOV",
              ROUND(OFFSET($P56,0,AL$13),15-13*ORÇAMENTO!$AF$7)/$H56*OFFSET(ORÇAMENTO!$X$15,ROW(AL56)-ROW(AL$15),0),
              ROUND(ROUND(OFFSET($P56,0,AL$13),15-13*ORÇAMENTO!$AF$7)*OFFSET(ORÇAMENTO!$W$15,ROW(AL56)-ROW(AL$15),0),15-13*ORÇAMENTO!$AF$11)),
         0)</f>
        <v>5257.39</v>
      </c>
      <c r="AM56" s="452">
        <f ca="1">IF(AND($D56="Serviço",AM$12&lt;&gt;0,$H56&gt;0,OR(AUTOEVENTO&lt;&gt;"manual",$M56&lt;&gt;$A$15)),
        IF(Import.TipoArredondamento&lt;&gt;"TransfereGOV",
              ROUND(OFFSET($P56,0,AM$13),15-13*ORÇAMENTO!$AF$7)/$H56*OFFSET(ORÇAMENTO!$X$15,ROW(AM56)-ROW(AM$15),0),
              ROUND(ROUND(OFFSET($P56,0,AM$13),15-13*ORÇAMENTO!$AF$7)*OFFSET(ORÇAMENTO!$W$15,ROW(AM56)-ROW(AM$15),0),15-13*ORÇAMENTO!$AF$11)),
         0)</f>
        <v>5257.39</v>
      </c>
      <c r="AN56" s="452">
        <f ca="1">IF(AND($D56="Serviço",AN$12&lt;&gt;0,$H56&gt;0,OR(AUTOEVENTO&lt;&gt;"manual",$M56&lt;&gt;$A$15)),
        IF(Import.TipoArredondamento&lt;&gt;"TransfereGOV",
              ROUND(OFFSET($P56,0,AN$13),15-13*ORÇAMENTO!$AF$7)/$H56*OFFSET(ORÇAMENTO!$X$15,ROW(AN56)-ROW(AN$15),0),
              ROUND(ROUND(OFFSET($P56,0,AN$13),15-13*ORÇAMENTO!$AF$7)*OFFSET(ORÇAMENTO!$W$15,ROW(AN56)-ROW(AN$15),0),15-13*ORÇAMENTO!$AF$11)),
         0)</f>
        <v>0</v>
      </c>
      <c r="AO56" s="452">
        <f ca="1">IF(AND($D56="Serviço",AO$12&lt;&gt;0,$H56&gt;0,OR(AUTOEVENTO&lt;&gt;"manual",$M56&lt;&gt;$A$15)),
        IF(Import.TipoArredondamento&lt;&gt;"TransfereGOV",
              ROUND(OFFSET($P56,0,AO$13),15-13*ORÇAMENTO!$AF$7)/$H56*OFFSET(ORÇAMENTO!$X$15,ROW(AO56)-ROW(AO$15),0),
              ROUND(ROUND(OFFSET($P56,0,AO$13),15-13*ORÇAMENTO!$AF$7)*OFFSET(ORÇAMENTO!$W$15,ROW(AO56)-ROW(AO$15),0),15-13*ORÇAMENTO!$AF$11)),
         0)</f>
        <v>0</v>
      </c>
      <c r="AP56" s="452">
        <f ca="1">IF(AND($D56="Serviço",AP$12&lt;&gt;0,$H56&gt;0,OR(AUTOEVENTO&lt;&gt;"manual",$M56&lt;&gt;$A$15)),
        IF(Import.TipoArredondamento&lt;&gt;"TransfereGOV",
              ROUND(OFFSET($P56,0,AP$13),15-13*ORÇAMENTO!$AF$7)/$H56*OFFSET(ORÇAMENTO!$X$15,ROW(AP56)-ROW(AP$15),0),
              ROUND(ROUND(OFFSET($P56,0,AP$13),15-13*ORÇAMENTO!$AF$7)*OFFSET(ORÇAMENTO!$W$15,ROW(AP56)-ROW(AP$15),0),15-13*ORÇAMENTO!$AF$11)),
         0)</f>
        <v>0</v>
      </c>
      <c r="AQ56" s="452">
        <f ca="1">IF(AND($D56="Serviço",AQ$12&lt;&gt;0,$H56&gt;0,OR(AUTOEVENTO&lt;&gt;"manual",$M56&lt;&gt;$A$15)),
        IF(Import.TipoArredondamento&lt;&gt;"TransfereGOV",
              ROUND(OFFSET($P56,0,AQ$13),15-13*ORÇAMENTO!$AF$7)/$H56*OFFSET(ORÇAMENTO!$X$15,ROW(AQ56)-ROW(AQ$15),0),
              ROUND(ROUND(OFFSET($P56,0,AQ$13),15-13*ORÇAMENTO!$AF$7)*OFFSET(ORÇAMENTO!$W$15,ROW(AQ56)-ROW(AQ$15),0),15-13*ORÇAMENTO!$AF$11)),
         0)</f>
        <v>0</v>
      </c>
      <c r="AR56" s="452">
        <f ca="1">IF(AND($D56="Serviço",AR$12&lt;&gt;0,$H56&gt;0,OR(AUTOEVENTO&lt;&gt;"manual",$M56&lt;&gt;$A$15)),
        IF(Import.TipoArredondamento&lt;&gt;"TransfereGOV",
              ROUND(OFFSET($P56,0,AR$13),15-13*ORÇAMENTO!$AF$7)/$H56*OFFSET(ORÇAMENTO!$X$15,ROW(AR56)-ROW(AR$15),0),
              ROUND(ROUND(OFFSET($P56,0,AR$13),15-13*ORÇAMENTO!$AF$7)*OFFSET(ORÇAMENTO!$W$15,ROW(AR56)-ROW(AR$15),0),15-13*ORÇAMENTO!$AF$11)),
         0)</f>
        <v>0</v>
      </c>
      <c r="AS56" s="452">
        <f ca="1">IF(AND($D56="Serviço",AS$12&lt;&gt;0,$H56&gt;0,OR(AUTOEVENTO&lt;&gt;"manual",$M56&lt;&gt;$A$15)),
        IF(Import.TipoArredondamento&lt;&gt;"TransfereGOV",
              ROUND(OFFSET($P56,0,AS$13),15-13*ORÇAMENTO!$AF$7)/$H56*OFFSET(ORÇAMENTO!$X$15,ROW(AS56)-ROW(AS$15),0),
              ROUND(ROUND(OFFSET($P56,0,AS$13),15-13*ORÇAMENTO!$AF$7)*OFFSET(ORÇAMENTO!$W$15,ROW(AS56)-ROW(AS$15),0),15-13*ORÇAMENTO!$AF$11)),
         0)</f>
        <v>0</v>
      </c>
      <c r="AT56" s="452">
        <f ca="1">IF(AND($D56="Serviço",AT$12&lt;&gt;0,$H56&gt;0,OR(AUTOEVENTO&lt;&gt;"manual",$M56&lt;&gt;$A$15)),
        IF(Import.TipoArredondamento&lt;&gt;"TransfereGOV",
              ROUND(OFFSET($P56,0,AT$13),15-13*ORÇAMENTO!$AF$7)/$H56*OFFSET(ORÇAMENTO!$X$15,ROW(AT56)-ROW(AT$15),0),
              ROUND(ROUND(OFFSET($P56,0,AT$13),15-13*ORÇAMENTO!$AF$7)*OFFSET(ORÇAMENTO!$W$15,ROW(AT56)-ROW(AT$15),0),15-13*ORÇAMENTO!$AF$11)),
         0)</f>
        <v>0</v>
      </c>
      <c r="AU56" s="452">
        <f ca="1">IF(AND($D56="Serviço",AU$12&lt;&gt;0,$H56&gt;0,OR(AUTOEVENTO&lt;&gt;"manual",$M56&lt;&gt;$A$15)),
        IF(Import.TipoArredondamento&lt;&gt;"TransfereGOV",
              ROUND(OFFSET($P56,0,AU$13),15-13*ORÇAMENTO!$AF$7)/$H56*OFFSET(ORÇAMENTO!$X$15,ROW(AU56)-ROW(AU$15),0),
              ROUND(ROUND(OFFSET($P56,0,AU$13),15-13*ORÇAMENTO!$AF$7)*OFFSET(ORÇAMENTO!$W$15,ROW(AU56)-ROW(AU$15),0),15-13*ORÇAMENTO!$AF$11)),
         0)</f>
        <v>0</v>
      </c>
      <c r="AV56" s="452">
        <f ca="1">IF(AND($D56="Serviço",AV$12&lt;&gt;0,$H56&gt;0,OR(AUTOEVENTO&lt;&gt;"manual",$M56&lt;&gt;$A$15)),
        IF(Import.TipoArredondamento&lt;&gt;"TransfereGOV",
              ROUND(OFFSET($P56,0,AV$13),15-13*ORÇAMENTO!$AF$7)/$H56*OFFSET(ORÇAMENTO!$X$15,ROW(AV56)-ROW(AV$15),0),
              ROUND(ROUND(OFFSET($P56,0,AV$13),15-13*ORÇAMENTO!$AF$7)*OFFSET(ORÇAMENTO!$W$15,ROW(AV56)-ROW(AV$15),0),15-13*ORÇAMENTO!$AF$11)),
         0)</f>
        <v>0</v>
      </c>
      <c r="AW56" s="452">
        <f ca="1">IF(AND($D56="Serviço",AW$12&lt;&gt;0,$H56&gt;0,OR(AUTOEVENTO&lt;&gt;"manual",$M56&lt;&gt;$A$15)),
        IF(Import.TipoArredondamento&lt;&gt;"TransfereGOV",
              ROUND(OFFSET($P56,0,AW$13),15-13*ORÇAMENTO!$AF$7)/$H56*OFFSET(ORÇAMENTO!$X$15,ROW(AW56)-ROW(AW$15),0),
              ROUND(ROUND(OFFSET($P56,0,AW$13),15-13*ORÇAMENTO!$AF$7)*OFFSET(ORÇAMENTO!$W$15,ROW(AW56)-ROW(AW$15),0),15-13*ORÇAMENTO!$AF$11)),
         0)</f>
        <v>0</v>
      </c>
      <c r="AX56" s="452">
        <f ca="1">IF(AND($D56="Serviço",AX$12&lt;&gt;0,$H56&gt;0,OR(AUTOEVENTO&lt;&gt;"manual",$M56&lt;&gt;$A$15)),
        IF(Import.TipoArredondamento&lt;&gt;"TransfereGOV",
              ROUND(OFFSET($P56,0,AX$13),15-13*ORÇAMENTO!$AF$7)/$H56*OFFSET(ORÇAMENTO!$X$15,ROW(AX56)-ROW(AX$15),0),
              ROUND(ROUND(OFFSET($P56,0,AX$13),15-13*ORÇAMENTO!$AF$7)*OFFSET(ORÇAMENTO!$W$15,ROW(AX56)-ROW(AX$15),0),15-13*ORÇAMENTO!$AF$11)),
         0)</f>
        <v>0</v>
      </c>
      <c r="AY56" s="452">
        <f ca="1">IF(AND($D56="Serviço",AY$12&lt;&gt;0,$H56&gt;0,OR(AUTOEVENTO&lt;&gt;"manual",$M56&lt;&gt;$A$15)),
        IF(Import.TipoArredondamento&lt;&gt;"TransfereGOV",
              ROUND(OFFSET($P56,0,AY$13),15-13*ORÇAMENTO!$AF$7)/$H56*OFFSET(ORÇAMENTO!$X$15,ROW(AY56)-ROW(AY$15),0),
              ROUND(ROUND(OFFSET($P56,0,AY$13),15-13*ORÇAMENTO!$AF$7)*OFFSET(ORÇAMENTO!$W$15,ROW(AY56)-ROW(AY$15),0),15-13*ORÇAMENTO!$AF$11)),
         0)</f>
        <v>0</v>
      </c>
      <c r="AZ56" s="452">
        <f ca="1">IF(AND($D56="Serviço",AZ$12&lt;&gt;0,$H56&gt;0,OR(AUTOEVENTO&lt;&gt;"manual",$M56&lt;&gt;$A$15)),
        IF(Import.TipoArredondamento&lt;&gt;"TransfereGOV",
              ROUND(OFFSET($P56,0,AZ$13),15-13*ORÇAMENTO!$AF$7)/$H56*OFFSET(ORÇAMENTO!$X$15,ROW(AZ56)-ROW(AZ$15),0),
              ROUND(ROUND(OFFSET($P56,0,AZ$13),15-13*ORÇAMENTO!$AF$7)*OFFSET(ORÇAMENTO!$W$15,ROW(AZ56)-ROW(AZ$15),0),15-13*ORÇAMENTO!$AF$11)),
         0)</f>
        <v>0</v>
      </c>
      <c r="BA56" s="452">
        <f ca="1">IF(AND($D56="Serviço",BA$12&lt;&gt;0,$H56&gt;0,OR(AUTOEVENTO&lt;&gt;"manual",$M56&lt;&gt;$A$15)),
        IF(Import.TipoArredondamento&lt;&gt;"TransfereGOV",
              ROUND(OFFSET($P56,0,BA$13),15-13*ORÇAMENTO!$AF$7)/$H56*OFFSET(ORÇAMENTO!$X$15,ROW(BA56)-ROW(BA$15),0),
              ROUND(ROUND(OFFSET($P56,0,BA$13),15-13*ORÇAMENTO!$AF$7)*OFFSET(ORÇAMENTO!$W$15,ROW(BA56)-ROW(BA$15),0),15-13*ORÇAMENTO!$AF$11)),
         0)</f>
        <v>0</v>
      </c>
      <c r="BC56" s="171">
        <f ca="1">IF(OR($D56&lt;&gt;"Serviço",AND(AUTOEVENTO="Manual",$M56=$A$15)),0,
         IF(OFFSET(CRONOPLE!$F$15,$M56-$A$15,BC$13)=0,10^12,OFFSET(CRONOPLE!$F$15,$M56-$A$15,BC$13)))</f>
        <v>3</v>
      </c>
      <c r="BD56" s="171">
        <f ca="1">IF(OR($D56&lt;&gt;"Serviço",AND(AUTOEVENTO="Manual",$M56=$A$15)),0,
         IF(OFFSET(CRONOPLE!$F$15,$M56-$A$15,BD$13)=0,10^12,OFFSET(CRONOPLE!$F$15,$M56-$A$15,BD$13)))</f>
        <v>3</v>
      </c>
      <c r="BE56" s="171">
        <f ca="1">IF(OR($D56&lt;&gt;"Serviço",AND(AUTOEVENTO="Manual",$M56=$A$15)),0,
         IF(OFFSET(CRONOPLE!$F$15,$M56-$A$15,BE$13)=0,10^12,OFFSET(CRONOPLE!$F$15,$M56-$A$15,BE$13)))</f>
        <v>4</v>
      </c>
      <c r="BF56" s="171">
        <f ca="1">IF(OR($D56&lt;&gt;"Serviço",AND(AUTOEVENTO="Manual",$M56=$A$15)),0,
         IF(OFFSET(CRONOPLE!$F$15,$M56-$A$15,BF$13)=0,10^12,OFFSET(CRONOPLE!$F$15,$M56-$A$15,BF$13)))</f>
        <v>4</v>
      </c>
      <c r="BG56" s="171">
        <f ca="1">IF(OR($D56&lt;&gt;"Serviço",AND(AUTOEVENTO="Manual",$M56=$A$15)),0,
         IF(OFFSET(CRONOPLE!$F$15,$M56-$A$15,BG$13)=0,10^12,OFFSET(CRONOPLE!$F$15,$M56-$A$15,BG$13)))</f>
        <v>4</v>
      </c>
      <c r="BH56" s="171">
        <f ca="1">IF(OR($D56&lt;&gt;"Serviço",AND(AUTOEVENTO="Manual",$M56=$A$15)),0,
         IF(OFFSET(CRONOPLE!$F$15,$M56-$A$15,BH$13)=0,10^12,OFFSET(CRONOPLE!$F$15,$M56-$A$15,BH$13)))</f>
        <v>1000000000000</v>
      </c>
      <c r="BI56" s="171">
        <f ca="1">IF(OR($D56&lt;&gt;"Serviço",AND(AUTOEVENTO="Manual",$M56=$A$15)),0,
         IF(OFFSET(CRONOPLE!$F$15,$M56-$A$15,BI$13)=0,10^12,OFFSET(CRONOPLE!$F$15,$M56-$A$15,BI$13)))</f>
        <v>1000000000000</v>
      </c>
      <c r="BJ56" s="171">
        <f ca="1">IF(OR($D56&lt;&gt;"Serviço",AND(AUTOEVENTO="Manual",$M56=$A$15)),0,
         IF(OFFSET(CRONOPLE!$F$15,$M56-$A$15,BJ$13)=0,10^12,OFFSET(CRONOPLE!$F$15,$M56-$A$15,BJ$13)))</f>
        <v>1000000000000</v>
      </c>
      <c r="BK56" s="171">
        <f ca="1">IF(OR($D56&lt;&gt;"Serviço",AND(AUTOEVENTO="Manual",$M56=$A$15)),0,
         IF(OFFSET(CRONOPLE!$F$15,$M56-$A$15,BK$13)=0,10^12,OFFSET(CRONOPLE!$F$15,$M56-$A$15,BK$13)))</f>
        <v>1000000000000</v>
      </c>
      <c r="BL56" s="171">
        <f ca="1">IF(OR($D56&lt;&gt;"Serviço",AND(AUTOEVENTO="Manual",$M56=$A$15)),0,
         IF(OFFSET(CRONOPLE!$F$15,$M56-$A$15,BL$13)=0,10^12,OFFSET(CRONOPLE!$F$15,$M56-$A$15,BL$13)))</f>
        <v>1000000000000</v>
      </c>
      <c r="BM56" s="171">
        <f ca="1">IF(OR($D56&lt;&gt;"Serviço",AND(AUTOEVENTO="Manual",$M56=$A$15)),0,
         IF(OFFSET(CRONOPLE!$F$15,$M56-$A$15,BM$13)=0,10^12,OFFSET(CRONOPLE!$F$15,$M56-$A$15,BM$13)))</f>
        <v>1000000000000</v>
      </c>
      <c r="BN56" s="171">
        <f ca="1">IF(OR($D56&lt;&gt;"Serviço",AND(AUTOEVENTO="Manual",$M56=$A$15)),0,
         IF(OFFSET(CRONOPLE!$F$15,$M56-$A$15,BN$13)=0,10^12,OFFSET(CRONOPLE!$F$15,$M56-$A$15,BN$13)))</f>
        <v>1000000000000</v>
      </c>
      <c r="BO56" s="171">
        <f ca="1">IF(OR($D56&lt;&gt;"Serviço",AND(AUTOEVENTO="Manual",$M56=$A$15)),0,
         IF(OFFSET(CRONOPLE!$F$15,$M56-$A$15,BO$13)=0,10^12,OFFSET(CRONOPLE!$F$15,$M56-$A$15,BO$13)))</f>
        <v>1000000000000</v>
      </c>
      <c r="BP56" s="171">
        <f ca="1">IF(OR($D56&lt;&gt;"Serviço",AND(AUTOEVENTO="Manual",$M56=$A$15)),0,
         IF(OFFSET(CRONOPLE!$F$15,$M56-$A$15,BP$13)=0,10^12,OFFSET(CRONOPLE!$F$15,$M56-$A$15,BP$13)))</f>
        <v>1000000000000</v>
      </c>
      <c r="BQ56" s="171">
        <f ca="1">IF(OR($D56&lt;&gt;"Serviço",AND(AUTOEVENTO="Manual",$M56=$A$15)),0,
         IF(OFFSET(CRONOPLE!$F$15,$M56-$A$15,BQ$13)=0,10^12,OFFSET(CRONOPLE!$F$15,$M56-$A$15,BQ$13)))</f>
        <v>1000000000000</v>
      </c>
      <c r="BR56" s="171">
        <f ca="1">IF(OR($D56&lt;&gt;"Serviço",AND(AUTOEVENTO="Manual",$M56=$A$15)),0,
         IF(OFFSET(CRONOPLE!$F$15,$M56-$A$15,BR$13)=0,10^12,OFFSET(CRONOPLE!$F$15,$M56-$A$15,BR$13)))</f>
        <v>1000000000000</v>
      </c>
      <c r="BS56" s="171">
        <f ca="1">IF(OR($D56&lt;&gt;"Serviço",AND(AUTOEVENTO="Manual",$M56=$A$15)),0,
         IF(OFFSET(CRONOPLE!$F$15,$M56-$A$15,BS$13)=0,10^12,OFFSET(CRONOPLE!$F$15,$M56-$A$15,BS$13)))</f>
        <v>1000000000000</v>
      </c>
      <c r="BT56" s="171">
        <f ca="1">IF(OR($D56&lt;&gt;"Serviço",AND(AUTOEVENTO="Manual",$M56=$A$15)),0,
         IF(OFFSET(CRONOPLE!$F$15,$M56-$A$15,BT$13)=0,10^12,OFFSET(CRONOPLE!$F$15,$M56-$A$15,BT$13)))</f>
        <v>1000000000000</v>
      </c>
      <c r="BV56" s="172">
        <f t="array" aca="1" ref="BV56" ca="1">IF(OR($D56&lt;&gt;"Serviço",AND(AUTOEVENTO="Manual",$M56=$A$15),$M56&gt;(ROW(PLE.lastrow)-ROW(PLE.firstrow))),0,
           IF(OFFSET(PLE!$G$15,$M56-$A$15,BV$13)="",10^12,OFFSET(PLE!$G$15,$M56-$A$15,BV$13)))</f>
        <v>1000000000000</v>
      </c>
      <c r="BW56" s="172">
        <f t="array" aca="1" ref="BW56" ca="1">IF(OR($D56&lt;&gt;"Serviço",AND(AUTOEVENTO="Manual",$M56=$A$15),$M56&gt;(ROW(PLE.lastrow)-ROW(PLE.firstrow))),0,
           IF(OFFSET(PLE!$G$15,$M56-$A$15,BW$13)="",10^12,OFFSET(PLE!$G$15,$M56-$A$15,BW$13)))</f>
        <v>1000000000000</v>
      </c>
      <c r="BX56" s="172">
        <f t="array" aca="1" ref="BX56" ca="1">IF(OR($D56&lt;&gt;"Serviço",AND(AUTOEVENTO="Manual",$M56=$A$15),$M56&gt;(ROW(PLE.lastrow)-ROW(PLE.firstrow))),0,
           IF(OFFSET(PLE!$G$15,$M56-$A$15,BX$13)="",10^12,OFFSET(PLE!$G$15,$M56-$A$15,BX$13)))</f>
        <v>1000000000000</v>
      </c>
      <c r="BY56" s="172">
        <f t="array" aca="1" ref="BY56" ca="1">IF(OR($D56&lt;&gt;"Serviço",AND(AUTOEVENTO="Manual",$M56=$A$15),$M56&gt;(ROW(PLE.lastrow)-ROW(PLE.firstrow))),0,
           IF(OFFSET(PLE!$G$15,$M56-$A$15,BY$13)="",10^12,OFFSET(PLE!$G$15,$M56-$A$15,BY$13)))</f>
        <v>1000000000000</v>
      </c>
      <c r="BZ56" s="172">
        <f t="array" aca="1" ref="BZ56" ca="1">IF(OR($D56&lt;&gt;"Serviço",AND(AUTOEVENTO="Manual",$M56=$A$15),$M56&gt;(ROW(PLE.lastrow)-ROW(PLE.firstrow))),0,
           IF(OFFSET(PLE!$G$15,$M56-$A$15,BZ$13)="",10^12,OFFSET(PLE!$G$15,$M56-$A$15,BZ$13)))</f>
        <v>1000000000000</v>
      </c>
      <c r="CA56" s="172">
        <f t="array" aca="1" ref="CA56" ca="1">IF(OR($D56&lt;&gt;"Serviço",AND(AUTOEVENTO="Manual",$M56=$A$15),$M56&gt;(ROW(PLE.lastrow)-ROW(PLE.firstrow))),0,
           IF(OFFSET(PLE!$G$15,$M56-$A$15,CA$13)="",10^12,OFFSET(PLE!$G$15,$M56-$A$15,CA$13)))</f>
        <v>1000000000000</v>
      </c>
      <c r="CB56" s="172">
        <f t="array" aca="1" ref="CB56" ca="1">IF(OR($D56&lt;&gt;"Serviço",AND(AUTOEVENTO="Manual",$M56=$A$15),$M56&gt;(ROW(PLE.lastrow)-ROW(PLE.firstrow))),0,
           IF(OFFSET(PLE!$G$15,$M56-$A$15,CB$13)="",10^12,OFFSET(PLE!$G$15,$M56-$A$15,CB$13)))</f>
        <v>1000000000000</v>
      </c>
      <c r="CC56" s="172">
        <f t="array" aca="1" ref="CC56" ca="1">IF(OR($D56&lt;&gt;"Serviço",AND(AUTOEVENTO="Manual",$M56=$A$15),$M56&gt;(ROW(PLE.lastrow)-ROW(PLE.firstrow))),0,
           IF(OFFSET(PLE!$G$15,$M56-$A$15,CC$13)="",10^12,OFFSET(PLE!$G$15,$M56-$A$15,CC$13)))</f>
        <v>1000000000000</v>
      </c>
      <c r="CD56" s="172">
        <f t="array" aca="1" ref="CD56" ca="1">IF(OR($D56&lt;&gt;"Serviço",AND(AUTOEVENTO="Manual",$M56=$A$15),$M56&gt;(ROW(PLE.lastrow)-ROW(PLE.firstrow))),0,
           IF(OFFSET(PLE!$G$15,$M56-$A$15,CD$13)="",10^12,OFFSET(PLE!$G$15,$M56-$A$15,CD$13)))</f>
        <v>1000000000000</v>
      </c>
      <c r="CE56" s="172">
        <f t="array" aca="1" ref="CE56" ca="1">IF(OR($D56&lt;&gt;"Serviço",AND(AUTOEVENTO="Manual",$M56=$A$15),$M56&gt;(ROW(PLE.lastrow)-ROW(PLE.firstrow))),0,
           IF(OFFSET(PLE!$G$15,$M56-$A$15,CE$13)="",10^12,OFFSET(PLE!$G$15,$M56-$A$15,CE$13)))</f>
        <v>1000000000000</v>
      </c>
      <c r="CF56" s="172">
        <f t="array" aca="1" ref="CF56" ca="1">IF(OR($D56&lt;&gt;"Serviço",AND(AUTOEVENTO="Manual",$M56=$A$15),$M56&gt;(ROW(PLE.lastrow)-ROW(PLE.firstrow))),0,
           IF(OFFSET(PLE!$G$15,$M56-$A$15,CF$13)="",10^12,OFFSET(PLE!$G$15,$M56-$A$15,CF$13)))</f>
        <v>1000000000000</v>
      </c>
      <c r="CG56" s="172">
        <f t="array" aca="1" ref="CG56" ca="1">IF(OR($D56&lt;&gt;"Serviço",AND(AUTOEVENTO="Manual",$M56=$A$15),$M56&gt;(ROW(PLE.lastrow)-ROW(PLE.firstrow))),0,
           IF(OFFSET(PLE!$G$15,$M56-$A$15,CG$13)="",10^12,OFFSET(PLE!$G$15,$M56-$A$15,CG$13)))</f>
        <v>1000000000000</v>
      </c>
      <c r="CH56" s="172">
        <f t="array" aca="1" ref="CH56" ca="1">IF(OR($D56&lt;&gt;"Serviço",AND(AUTOEVENTO="Manual",$M56=$A$15),$M56&gt;(ROW(PLE.lastrow)-ROW(PLE.firstrow))),0,
           IF(OFFSET(PLE!$G$15,$M56-$A$15,CH$13)="",10^12,OFFSET(PLE!$G$15,$M56-$A$15,CH$13)))</f>
        <v>1000000000000</v>
      </c>
      <c r="CI56" s="172">
        <f t="array" aca="1" ref="CI56" ca="1">IF(OR($D56&lt;&gt;"Serviço",AND(AUTOEVENTO="Manual",$M56=$A$15),$M56&gt;(ROW(PLE.lastrow)-ROW(PLE.firstrow))),0,
           IF(OFFSET(PLE!$G$15,$M56-$A$15,CI$13)="",10^12,OFFSET(PLE!$G$15,$M56-$A$15,CI$13)))</f>
        <v>1000000000000</v>
      </c>
      <c r="CJ56" s="172">
        <f t="array" aca="1" ref="CJ56" ca="1">IF(OR($D56&lt;&gt;"Serviço",AND(AUTOEVENTO="Manual",$M56=$A$15),$M56&gt;(ROW(PLE.lastrow)-ROW(PLE.firstrow))),0,
           IF(OFFSET(PLE!$G$15,$M56-$A$15,CJ$13)="",10^12,OFFSET(PLE!$G$15,$M56-$A$15,CJ$13)))</f>
        <v>1000000000000</v>
      </c>
      <c r="CK56" s="172">
        <f t="array" aca="1" ref="CK56" ca="1">IF(OR($D56&lt;&gt;"Serviço",AND(AUTOEVENTO="Manual",$M56=$A$15),$M56&gt;(ROW(PLE.lastrow)-ROW(PLE.firstrow))),0,
           IF(OFFSET(PLE!$G$15,$M56-$A$15,CK$13)="",10^12,OFFSET(PLE!$G$15,$M56-$A$15,CK$13)))</f>
        <v>1000000000000</v>
      </c>
      <c r="CL56" s="172">
        <f t="array" aca="1" ref="CL56" ca="1">IF(OR($D56&lt;&gt;"Serviço",AND(AUTOEVENTO="Manual",$M56=$A$15),$M56&gt;(ROW(PLE.lastrow)-ROW(PLE.firstrow))),0,
           IF(OFFSET(PLE!$G$15,$M56-$A$15,CL$13)="",10^12,OFFSET(PLE!$G$15,$M56-$A$15,CL$13)))</f>
        <v>1000000000000</v>
      </c>
      <c r="CM56" s="172">
        <f t="array" aca="1" ref="CM56" ca="1">IF(OR($D56&lt;&gt;"Serviço",AND(AUTOEVENTO="Manual",$M56=$A$15),$M56&gt;(ROW(PLE.lastrow)-ROW(PLE.firstrow))),0,
           IF(OFFSET(PLE!$G$15,$M56-$A$15,CM$13)="",10^12,OFFSET(PLE!$G$15,$M56-$A$15,CM$13)))</f>
        <v>1000000000000</v>
      </c>
    </row>
    <row r="57" spans="1:91" s="696" customFormat="1" ht="51" x14ac:dyDescent="0.2">
      <c r="A57" s="694">
        <f t="shared" ca="1" si="10"/>
        <v>7</v>
      </c>
      <c r="B57" s="694" t="str">
        <f ca="1">OFFSET(ORÇAMENTO!C$15,$L57,0)</f>
        <v>S</v>
      </c>
      <c r="C57" s="694" t="str">
        <f ca="1">OFFSET(ORÇAMENTO!L$15,$L57,0)</f>
        <v>F</v>
      </c>
      <c r="D57" s="116" t="str">
        <f ca="1">OFFSET(ORÇAMENTO!N$15,$L57,0)</f>
        <v>Serviço</v>
      </c>
      <c r="E57" s="117" t="str">
        <f ca="1">OFFSET(ORÇAMENTO!O$15,$L57,0)</f>
        <v>1.7.2.</v>
      </c>
      <c r="F57" s="163" t="str">
        <f ca="1">OFFSET(ORÇAMENTO!R$15,$L57,0)</f>
        <v xml:space="preserve">MONTAGEM E DESMONTAGEM DE FÔRMA DE VIGA, SEM ESCORAMENTO, PÉ-DIREITO SIMPLES, EM CHAPA DE MADEIRA RESINADA, 8 UTILIZAÇÕES. </v>
      </c>
      <c r="G57" s="164" t="str">
        <f ca="1">IF($D57&lt;&gt;"Serviço","",OFFSET(ORÇAMENTO!S$15,$L57,0))</f>
        <v>M2</v>
      </c>
      <c r="H57" s="122">
        <f t="array" aca="1" ref="H57" ca="1">IF($D57&lt;&gt;"Serviço",0,IF(ACOMPANHAMENTO="BM",ROUND(OFFSET(ORÇAMENTO!AJ$15,$L57,0),15-13*ORÇAMENTO!$AF$7),IF(IFERROR(CÁLCULO.FrentesPreenchidas,0)=0,0,SUM(ROUND(OFFSET($P57,0,1,1,CÁLCULO.FrentesPreenchidas),15-13*ORÇAMENTO!$AF$7)))))</f>
        <v>410.8</v>
      </c>
      <c r="I57" s="467" t="s">
        <v>1232</v>
      </c>
      <c r="J57" s="653" t="str">
        <f t="array" aca="1" ref="J57" ca="1">IF(OR(B57&lt;&gt;"S",CÁLCULO.FrentesPreenchidas=0),"",IF(AND(ACOMPANHAMENTO="PLE",AUTOEVENTO="Manual",OR(H57&gt;0,ORÇAMENTO!AC57="QUANT."),OR(K57="",M57=0,N57="")),"►E",IF(AND(ACOMPANHAMENTO="PLE",ORÇAMENTO!AC57="QUANT."),"►Q",IF(AND(ACOMPANHAMENTO="PLE",H57&lt;&gt;SUMPRODUCT(($Q$1:$AI$1=1)*ROUND(Q57:AI57,15))),"►S",IF(AND(COUNTIF($P$11:$AI$11,"▼")=0,H57&gt;0,I57=""),"◄M","")))))</f>
        <v/>
      </c>
      <c r="K57" s="654" t="s">
        <v>1387</v>
      </c>
      <c r="L57" s="165">
        <f t="shared" ca="1" si="11"/>
        <v>42</v>
      </c>
      <c r="M57" s="166">
        <f ca="1">IF($D57&lt;&gt;"Serviço","",
          IF(AUTOEVENTO="manual",$A57,
                IF(ISERROR(MATCH($A57,$A$15:OFFSET($A57,-1,0),0)),MAX($M$15:OFFSET(M57,-1,0))+1,
                      INDEX($M$15:OFFSET(M57,-1,0),MATCH($A57,$A$15:OFFSET($A57,-1,0),0)))))</f>
        <v>7</v>
      </c>
      <c r="N57" s="167" t="str">
        <f ca="1">IF($D57&lt;&gt;"Serviço","",
         IF(AUTOEVENTO="Manual",
                IF($A57=0,"&lt;-- defina o número do agrupador",
                       OFFSET(EVENTOS!$D$15,$A57-$A$15,0)),
                OFFSET($F$15,$A57,0)))</f>
        <v>VIGAS DE RESPALDO</v>
      </c>
      <c r="O57" s="168"/>
      <c r="Q57" s="169">
        <f>20.54*5</f>
        <v>102.69999999999999</v>
      </c>
      <c r="R57" s="169">
        <f t="shared" ref="R57:T57" si="30">20.54*5</f>
        <v>102.69999999999999</v>
      </c>
      <c r="S57" s="169">
        <f t="shared" si="30"/>
        <v>102.69999999999999</v>
      </c>
      <c r="T57" s="169">
        <f t="shared" si="30"/>
        <v>102.69999999999999</v>
      </c>
      <c r="U57" s="169"/>
      <c r="V57" s="169"/>
      <c r="W57" s="169"/>
      <c r="X57" s="169"/>
      <c r="Y57" s="169"/>
      <c r="Z57" s="170"/>
      <c r="AA57" s="169"/>
      <c r="AB57" s="169"/>
      <c r="AC57" s="169"/>
      <c r="AD57" s="169"/>
      <c r="AE57" s="169"/>
      <c r="AF57" s="169"/>
      <c r="AG57" s="169"/>
      <c r="AH57" s="170"/>
      <c r="AJ57" s="452">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7675.8</v>
      </c>
      <c r="AK57" s="452">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7675.8</v>
      </c>
      <c r="AL57" s="452">
        <f ca="1">IF(AND($D57="Serviço",AL$12&lt;&gt;0,$H57&gt;0,OR(AUTOEVENTO&lt;&gt;"manual",$M57&lt;&gt;$A$15)),
        IF(Import.TipoArredondamento&lt;&gt;"TransfereGOV",
              ROUND(OFFSET($P57,0,AL$13),15-13*ORÇAMENTO!$AF$7)/$H57*OFFSET(ORÇAMENTO!$X$15,ROW(AL57)-ROW(AL$15),0),
              ROUND(ROUND(OFFSET($P57,0,AL$13),15-13*ORÇAMENTO!$AF$7)*OFFSET(ORÇAMENTO!$W$15,ROW(AL57)-ROW(AL$15),0),15-13*ORÇAMENTO!$AF$11)),
         0)</f>
        <v>7675.8</v>
      </c>
      <c r="AM57" s="452">
        <f ca="1">IF(AND($D57="Serviço",AM$12&lt;&gt;0,$H57&gt;0,OR(AUTOEVENTO&lt;&gt;"manual",$M57&lt;&gt;$A$15)),
        IF(Import.TipoArredondamento&lt;&gt;"TransfereGOV",
              ROUND(OFFSET($P57,0,AM$13),15-13*ORÇAMENTO!$AF$7)/$H57*OFFSET(ORÇAMENTO!$X$15,ROW(AM57)-ROW(AM$15),0),
              ROUND(ROUND(OFFSET($P57,0,AM$13),15-13*ORÇAMENTO!$AF$7)*OFFSET(ORÇAMENTO!$W$15,ROW(AM57)-ROW(AM$15),0),15-13*ORÇAMENTO!$AF$11)),
         0)</f>
        <v>7675.8</v>
      </c>
      <c r="AN57" s="452">
        <f ca="1">IF(AND($D57="Serviço",AN$12&lt;&gt;0,$H57&gt;0,OR(AUTOEVENTO&lt;&gt;"manual",$M57&lt;&gt;$A$15)),
        IF(Import.TipoArredondamento&lt;&gt;"TransfereGOV",
              ROUND(OFFSET($P57,0,AN$13),15-13*ORÇAMENTO!$AF$7)/$H57*OFFSET(ORÇAMENTO!$X$15,ROW(AN57)-ROW(AN$15),0),
              ROUND(ROUND(OFFSET($P57,0,AN$13),15-13*ORÇAMENTO!$AF$7)*OFFSET(ORÇAMENTO!$W$15,ROW(AN57)-ROW(AN$15),0),15-13*ORÇAMENTO!$AF$11)),
         0)</f>
        <v>0</v>
      </c>
      <c r="AO57" s="452">
        <f ca="1">IF(AND($D57="Serviço",AO$12&lt;&gt;0,$H57&gt;0,OR(AUTOEVENTO&lt;&gt;"manual",$M57&lt;&gt;$A$15)),
        IF(Import.TipoArredondamento&lt;&gt;"TransfereGOV",
              ROUND(OFFSET($P57,0,AO$13),15-13*ORÇAMENTO!$AF$7)/$H57*OFFSET(ORÇAMENTO!$X$15,ROW(AO57)-ROW(AO$15),0),
              ROUND(ROUND(OFFSET($P57,0,AO$13),15-13*ORÇAMENTO!$AF$7)*OFFSET(ORÇAMENTO!$W$15,ROW(AO57)-ROW(AO$15),0),15-13*ORÇAMENTO!$AF$11)),
         0)</f>
        <v>0</v>
      </c>
      <c r="AP57" s="452">
        <f ca="1">IF(AND($D57="Serviço",AP$12&lt;&gt;0,$H57&gt;0,OR(AUTOEVENTO&lt;&gt;"manual",$M57&lt;&gt;$A$15)),
        IF(Import.TipoArredondamento&lt;&gt;"TransfereGOV",
              ROUND(OFFSET($P57,0,AP$13),15-13*ORÇAMENTO!$AF$7)/$H57*OFFSET(ORÇAMENTO!$X$15,ROW(AP57)-ROW(AP$15),0),
              ROUND(ROUND(OFFSET($P57,0,AP$13),15-13*ORÇAMENTO!$AF$7)*OFFSET(ORÇAMENTO!$W$15,ROW(AP57)-ROW(AP$15),0),15-13*ORÇAMENTO!$AF$11)),
         0)</f>
        <v>0</v>
      </c>
      <c r="AQ57" s="452">
        <f ca="1">IF(AND($D57="Serviço",AQ$12&lt;&gt;0,$H57&gt;0,OR(AUTOEVENTO&lt;&gt;"manual",$M57&lt;&gt;$A$15)),
        IF(Import.TipoArredondamento&lt;&gt;"TransfereGOV",
              ROUND(OFFSET($P57,0,AQ$13),15-13*ORÇAMENTO!$AF$7)/$H57*OFFSET(ORÇAMENTO!$X$15,ROW(AQ57)-ROW(AQ$15),0),
              ROUND(ROUND(OFFSET($P57,0,AQ$13),15-13*ORÇAMENTO!$AF$7)*OFFSET(ORÇAMENTO!$W$15,ROW(AQ57)-ROW(AQ$15),0),15-13*ORÇAMENTO!$AF$11)),
         0)</f>
        <v>0</v>
      </c>
      <c r="AR57" s="452">
        <f ca="1">IF(AND($D57="Serviço",AR$12&lt;&gt;0,$H57&gt;0,OR(AUTOEVENTO&lt;&gt;"manual",$M57&lt;&gt;$A$15)),
        IF(Import.TipoArredondamento&lt;&gt;"TransfereGOV",
              ROUND(OFFSET($P57,0,AR$13),15-13*ORÇAMENTO!$AF$7)/$H57*OFFSET(ORÇAMENTO!$X$15,ROW(AR57)-ROW(AR$15),0),
              ROUND(ROUND(OFFSET($P57,0,AR$13),15-13*ORÇAMENTO!$AF$7)*OFFSET(ORÇAMENTO!$W$15,ROW(AR57)-ROW(AR$15),0),15-13*ORÇAMENTO!$AF$11)),
         0)</f>
        <v>0</v>
      </c>
      <c r="AS57" s="452">
        <f ca="1">IF(AND($D57="Serviço",AS$12&lt;&gt;0,$H57&gt;0,OR(AUTOEVENTO&lt;&gt;"manual",$M57&lt;&gt;$A$15)),
        IF(Import.TipoArredondamento&lt;&gt;"TransfereGOV",
              ROUND(OFFSET($P57,0,AS$13),15-13*ORÇAMENTO!$AF$7)/$H57*OFFSET(ORÇAMENTO!$X$15,ROW(AS57)-ROW(AS$15),0),
              ROUND(ROUND(OFFSET($P57,0,AS$13),15-13*ORÇAMENTO!$AF$7)*OFFSET(ORÇAMENTO!$W$15,ROW(AS57)-ROW(AS$15),0),15-13*ORÇAMENTO!$AF$11)),
         0)</f>
        <v>0</v>
      </c>
      <c r="AT57" s="452">
        <f ca="1">IF(AND($D57="Serviço",AT$12&lt;&gt;0,$H57&gt;0,OR(AUTOEVENTO&lt;&gt;"manual",$M57&lt;&gt;$A$15)),
        IF(Import.TipoArredondamento&lt;&gt;"TransfereGOV",
              ROUND(OFFSET($P57,0,AT$13),15-13*ORÇAMENTO!$AF$7)/$H57*OFFSET(ORÇAMENTO!$X$15,ROW(AT57)-ROW(AT$15),0),
              ROUND(ROUND(OFFSET($P57,0,AT$13),15-13*ORÇAMENTO!$AF$7)*OFFSET(ORÇAMENTO!$W$15,ROW(AT57)-ROW(AT$15),0),15-13*ORÇAMENTO!$AF$11)),
         0)</f>
        <v>0</v>
      </c>
      <c r="AU57" s="452">
        <f ca="1">IF(AND($D57="Serviço",AU$12&lt;&gt;0,$H57&gt;0,OR(AUTOEVENTO&lt;&gt;"manual",$M57&lt;&gt;$A$15)),
        IF(Import.TipoArredondamento&lt;&gt;"TransfereGOV",
              ROUND(OFFSET($P57,0,AU$13),15-13*ORÇAMENTO!$AF$7)/$H57*OFFSET(ORÇAMENTO!$X$15,ROW(AU57)-ROW(AU$15),0),
              ROUND(ROUND(OFFSET($P57,0,AU$13),15-13*ORÇAMENTO!$AF$7)*OFFSET(ORÇAMENTO!$W$15,ROW(AU57)-ROW(AU$15),0),15-13*ORÇAMENTO!$AF$11)),
         0)</f>
        <v>0</v>
      </c>
      <c r="AV57" s="452">
        <f ca="1">IF(AND($D57="Serviço",AV$12&lt;&gt;0,$H57&gt;0,OR(AUTOEVENTO&lt;&gt;"manual",$M57&lt;&gt;$A$15)),
        IF(Import.TipoArredondamento&lt;&gt;"TransfereGOV",
              ROUND(OFFSET($P57,0,AV$13),15-13*ORÇAMENTO!$AF$7)/$H57*OFFSET(ORÇAMENTO!$X$15,ROW(AV57)-ROW(AV$15),0),
              ROUND(ROUND(OFFSET($P57,0,AV$13),15-13*ORÇAMENTO!$AF$7)*OFFSET(ORÇAMENTO!$W$15,ROW(AV57)-ROW(AV$15),0),15-13*ORÇAMENTO!$AF$11)),
         0)</f>
        <v>0</v>
      </c>
      <c r="AW57" s="452">
        <f ca="1">IF(AND($D57="Serviço",AW$12&lt;&gt;0,$H57&gt;0,OR(AUTOEVENTO&lt;&gt;"manual",$M57&lt;&gt;$A$15)),
        IF(Import.TipoArredondamento&lt;&gt;"TransfereGOV",
              ROUND(OFFSET($P57,0,AW$13),15-13*ORÇAMENTO!$AF$7)/$H57*OFFSET(ORÇAMENTO!$X$15,ROW(AW57)-ROW(AW$15),0),
              ROUND(ROUND(OFFSET($P57,0,AW$13),15-13*ORÇAMENTO!$AF$7)*OFFSET(ORÇAMENTO!$W$15,ROW(AW57)-ROW(AW$15),0),15-13*ORÇAMENTO!$AF$11)),
         0)</f>
        <v>0</v>
      </c>
      <c r="AX57" s="452">
        <f ca="1">IF(AND($D57="Serviço",AX$12&lt;&gt;0,$H57&gt;0,OR(AUTOEVENTO&lt;&gt;"manual",$M57&lt;&gt;$A$15)),
        IF(Import.TipoArredondamento&lt;&gt;"TransfereGOV",
              ROUND(OFFSET($P57,0,AX$13),15-13*ORÇAMENTO!$AF$7)/$H57*OFFSET(ORÇAMENTO!$X$15,ROW(AX57)-ROW(AX$15),0),
              ROUND(ROUND(OFFSET($P57,0,AX$13),15-13*ORÇAMENTO!$AF$7)*OFFSET(ORÇAMENTO!$W$15,ROW(AX57)-ROW(AX$15),0),15-13*ORÇAMENTO!$AF$11)),
         0)</f>
        <v>0</v>
      </c>
      <c r="AY57" s="452">
        <f ca="1">IF(AND($D57="Serviço",AY$12&lt;&gt;0,$H57&gt;0,OR(AUTOEVENTO&lt;&gt;"manual",$M57&lt;&gt;$A$15)),
        IF(Import.TipoArredondamento&lt;&gt;"TransfereGOV",
              ROUND(OFFSET($P57,0,AY$13),15-13*ORÇAMENTO!$AF$7)/$H57*OFFSET(ORÇAMENTO!$X$15,ROW(AY57)-ROW(AY$15),0),
              ROUND(ROUND(OFFSET($P57,0,AY$13),15-13*ORÇAMENTO!$AF$7)*OFFSET(ORÇAMENTO!$W$15,ROW(AY57)-ROW(AY$15),0),15-13*ORÇAMENTO!$AF$11)),
         0)</f>
        <v>0</v>
      </c>
      <c r="AZ57" s="452">
        <f ca="1">IF(AND($D57="Serviço",AZ$12&lt;&gt;0,$H57&gt;0,OR(AUTOEVENTO&lt;&gt;"manual",$M57&lt;&gt;$A$15)),
        IF(Import.TipoArredondamento&lt;&gt;"TransfereGOV",
              ROUND(OFFSET($P57,0,AZ$13),15-13*ORÇAMENTO!$AF$7)/$H57*OFFSET(ORÇAMENTO!$X$15,ROW(AZ57)-ROW(AZ$15),0),
              ROUND(ROUND(OFFSET($P57,0,AZ$13),15-13*ORÇAMENTO!$AF$7)*OFFSET(ORÇAMENTO!$W$15,ROW(AZ57)-ROW(AZ$15),0),15-13*ORÇAMENTO!$AF$11)),
         0)</f>
        <v>0</v>
      </c>
      <c r="BA57" s="452">
        <f ca="1">IF(AND($D57="Serviço",BA$12&lt;&gt;0,$H57&gt;0,OR(AUTOEVENTO&lt;&gt;"manual",$M57&lt;&gt;$A$15)),
        IF(Import.TipoArredondamento&lt;&gt;"TransfereGOV",
              ROUND(OFFSET($P57,0,BA$13),15-13*ORÇAMENTO!$AF$7)/$H57*OFFSET(ORÇAMENTO!$X$15,ROW(BA57)-ROW(BA$15),0),
              ROUND(ROUND(OFFSET($P57,0,BA$13),15-13*ORÇAMENTO!$AF$7)*OFFSET(ORÇAMENTO!$W$15,ROW(BA57)-ROW(BA$15),0),15-13*ORÇAMENTO!$AF$11)),
         0)</f>
        <v>0</v>
      </c>
      <c r="BC57" s="171">
        <f ca="1">IF(OR($D57&lt;&gt;"Serviço",AND(AUTOEVENTO="Manual",$M57=$A$15)),0,
         IF(OFFSET(CRONOPLE!$F$15,$M57-$A$15,BC$13)=0,10^12,OFFSET(CRONOPLE!$F$15,$M57-$A$15,BC$13)))</f>
        <v>3</v>
      </c>
      <c r="BD57" s="171">
        <f ca="1">IF(OR($D57&lt;&gt;"Serviço",AND(AUTOEVENTO="Manual",$M57=$A$15)),0,
         IF(OFFSET(CRONOPLE!$F$15,$M57-$A$15,BD$13)=0,10^12,OFFSET(CRONOPLE!$F$15,$M57-$A$15,BD$13)))</f>
        <v>4</v>
      </c>
      <c r="BE57" s="171">
        <f ca="1">IF(OR($D57&lt;&gt;"Serviço",AND(AUTOEVENTO="Manual",$M57=$A$15)),0,
         IF(OFFSET(CRONOPLE!$F$15,$M57-$A$15,BE$13)=0,10^12,OFFSET(CRONOPLE!$F$15,$M57-$A$15,BE$13)))</f>
        <v>5</v>
      </c>
      <c r="BF57" s="171">
        <f ca="1">IF(OR($D57&lt;&gt;"Serviço",AND(AUTOEVENTO="Manual",$M57=$A$15)),0,
         IF(OFFSET(CRONOPLE!$F$15,$M57-$A$15,BF$13)=0,10^12,OFFSET(CRONOPLE!$F$15,$M57-$A$15,BF$13)))</f>
        <v>5</v>
      </c>
      <c r="BG57" s="171">
        <f ca="1">IF(OR($D57&lt;&gt;"Serviço",AND(AUTOEVENTO="Manual",$M57=$A$15)),0,
         IF(OFFSET(CRONOPLE!$F$15,$M57-$A$15,BG$13)=0,10^12,OFFSET(CRONOPLE!$F$15,$M57-$A$15,BG$13)))</f>
        <v>5</v>
      </c>
      <c r="BH57" s="171">
        <f ca="1">IF(OR($D57&lt;&gt;"Serviço",AND(AUTOEVENTO="Manual",$M57=$A$15)),0,
         IF(OFFSET(CRONOPLE!$F$15,$M57-$A$15,BH$13)=0,10^12,OFFSET(CRONOPLE!$F$15,$M57-$A$15,BH$13)))</f>
        <v>1000000000000</v>
      </c>
      <c r="BI57" s="171">
        <f ca="1">IF(OR($D57&lt;&gt;"Serviço",AND(AUTOEVENTO="Manual",$M57=$A$15)),0,
         IF(OFFSET(CRONOPLE!$F$15,$M57-$A$15,BI$13)=0,10^12,OFFSET(CRONOPLE!$F$15,$M57-$A$15,BI$13)))</f>
        <v>1000000000000</v>
      </c>
      <c r="BJ57" s="171">
        <f ca="1">IF(OR($D57&lt;&gt;"Serviço",AND(AUTOEVENTO="Manual",$M57=$A$15)),0,
         IF(OFFSET(CRONOPLE!$F$15,$M57-$A$15,BJ$13)=0,10^12,OFFSET(CRONOPLE!$F$15,$M57-$A$15,BJ$13)))</f>
        <v>1000000000000</v>
      </c>
      <c r="BK57" s="171">
        <f ca="1">IF(OR($D57&lt;&gt;"Serviço",AND(AUTOEVENTO="Manual",$M57=$A$15)),0,
         IF(OFFSET(CRONOPLE!$F$15,$M57-$A$15,BK$13)=0,10^12,OFFSET(CRONOPLE!$F$15,$M57-$A$15,BK$13)))</f>
        <v>1000000000000</v>
      </c>
      <c r="BL57" s="171">
        <f ca="1">IF(OR($D57&lt;&gt;"Serviço",AND(AUTOEVENTO="Manual",$M57=$A$15)),0,
         IF(OFFSET(CRONOPLE!$F$15,$M57-$A$15,BL$13)=0,10^12,OFFSET(CRONOPLE!$F$15,$M57-$A$15,BL$13)))</f>
        <v>1000000000000</v>
      </c>
      <c r="BM57" s="171">
        <f ca="1">IF(OR($D57&lt;&gt;"Serviço",AND(AUTOEVENTO="Manual",$M57=$A$15)),0,
         IF(OFFSET(CRONOPLE!$F$15,$M57-$A$15,BM$13)=0,10^12,OFFSET(CRONOPLE!$F$15,$M57-$A$15,BM$13)))</f>
        <v>1000000000000</v>
      </c>
      <c r="BN57" s="171">
        <f ca="1">IF(OR($D57&lt;&gt;"Serviço",AND(AUTOEVENTO="Manual",$M57=$A$15)),0,
         IF(OFFSET(CRONOPLE!$F$15,$M57-$A$15,BN$13)=0,10^12,OFFSET(CRONOPLE!$F$15,$M57-$A$15,BN$13)))</f>
        <v>1000000000000</v>
      </c>
      <c r="BO57" s="171">
        <f ca="1">IF(OR($D57&lt;&gt;"Serviço",AND(AUTOEVENTO="Manual",$M57=$A$15)),0,
         IF(OFFSET(CRONOPLE!$F$15,$M57-$A$15,BO$13)=0,10^12,OFFSET(CRONOPLE!$F$15,$M57-$A$15,BO$13)))</f>
        <v>1000000000000</v>
      </c>
      <c r="BP57" s="171">
        <f ca="1">IF(OR($D57&lt;&gt;"Serviço",AND(AUTOEVENTO="Manual",$M57=$A$15)),0,
         IF(OFFSET(CRONOPLE!$F$15,$M57-$A$15,BP$13)=0,10^12,OFFSET(CRONOPLE!$F$15,$M57-$A$15,BP$13)))</f>
        <v>1000000000000</v>
      </c>
      <c r="BQ57" s="171">
        <f ca="1">IF(OR($D57&lt;&gt;"Serviço",AND(AUTOEVENTO="Manual",$M57=$A$15)),0,
         IF(OFFSET(CRONOPLE!$F$15,$M57-$A$15,BQ$13)=0,10^12,OFFSET(CRONOPLE!$F$15,$M57-$A$15,BQ$13)))</f>
        <v>1000000000000</v>
      </c>
      <c r="BR57" s="171">
        <f ca="1">IF(OR($D57&lt;&gt;"Serviço",AND(AUTOEVENTO="Manual",$M57=$A$15)),0,
         IF(OFFSET(CRONOPLE!$F$15,$M57-$A$15,BR$13)=0,10^12,OFFSET(CRONOPLE!$F$15,$M57-$A$15,BR$13)))</f>
        <v>1000000000000</v>
      </c>
      <c r="BS57" s="171">
        <f ca="1">IF(OR($D57&lt;&gt;"Serviço",AND(AUTOEVENTO="Manual",$M57=$A$15)),0,
         IF(OFFSET(CRONOPLE!$F$15,$M57-$A$15,BS$13)=0,10^12,OFFSET(CRONOPLE!$F$15,$M57-$A$15,BS$13)))</f>
        <v>1000000000000</v>
      </c>
      <c r="BT57" s="171">
        <f ca="1">IF(OR($D57&lt;&gt;"Serviço",AND(AUTOEVENTO="Manual",$M57=$A$15)),0,
         IF(OFFSET(CRONOPLE!$F$15,$M57-$A$15,BT$13)=0,10^12,OFFSET(CRONOPLE!$F$15,$M57-$A$15,BT$13)))</f>
        <v>1000000000000</v>
      </c>
      <c r="BV57" s="172">
        <f t="array" aca="1" ref="BV57" ca="1">IF(OR($D57&lt;&gt;"Serviço",AND(AUTOEVENTO="Manual",$M57=$A$15),$M57&gt;(ROW(PLE.lastrow)-ROW(PLE.firstrow))),0,
           IF(OFFSET(PLE!$G$15,$M57-$A$15,BV$13)="",10^12,OFFSET(PLE!$G$15,$M57-$A$15,BV$13)))</f>
        <v>1000000000000</v>
      </c>
      <c r="BW57" s="172">
        <f t="array" aca="1" ref="BW57" ca="1">IF(OR($D57&lt;&gt;"Serviço",AND(AUTOEVENTO="Manual",$M57=$A$15),$M57&gt;(ROW(PLE.lastrow)-ROW(PLE.firstrow))),0,
           IF(OFFSET(PLE!$G$15,$M57-$A$15,BW$13)="",10^12,OFFSET(PLE!$G$15,$M57-$A$15,BW$13)))</f>
        <v>1000000000000</v>
      </c>
      <c r="BX57" s="172">
        <f t="array" aca="1" ref="BX57" ca="1">IF(OR($D57&lt;&gt;"Serviço",AND(AUTOEVENTO="Manual",$M57=$A$15),$M57&gt;(ROW(PLE.lastrow)-ROW(PLE.firstrow))),0,
           IF(OFFSET(PLE!$G$15,$M57-$A$15,BX$13)="",10^12,OFFSET(PLE!$G$15,$M57-$A$15,BX$13)))</f>
        <v>1000000000000</v>
      </c>
      <c r="BY57" s="172">
        <f t="array" aca="1" ref="BY57" ca="1">IF(OR($D57&lt;&gt;"Serviço",AND(AUTOEVENTO="Manual",$M57=$A$15),$M57&gt;(ROW(PLE.lastrow)-ROW(PLE.firstrow))),0,
           IF(OFFSET(PLE!$G$15,$M57-$A$15,BY$13)="",10^12,OFFSET(PLE!$G$15,$M57-$A$15,BY$13)))</f>
        <v>1000000000000</v>
      </c>
      <c r="BZ57" s="172">
        <f t="array" aca="1" ref="BZ57" ca="1">IF(OR($D57&lt;&gt;"Serviço",AND(AUTOEVENTO="Manual",$M57=$A$15),$M57&gt;(ROW(PLE.lastrow)-ROW(PLE.firstrow))),0,
           IF(OFFSET(PLE!$G$15,$M57-$A$15,BZ$13)="",10^12,OFFSET(PLE!$G$15,$M57-$A$15,BZ$13)))</f>
        <v>1000000000000</v>
      </c>
      <c r="CA57" s="172">
        <f t="array" aca="1" ref="CA57" ca="1">IF(OR($D57&lt;&gt;"Serviço",AND(AUTOEVENTO="Manual",$M57=$A$15),$M57&gt;(ROW(PLE.lastrow)-ROW(PLE.firstrow))),0,
           IF(OFFSET(PLE!$G$15,$M57-$A$15,CA$13)="",10^12,OFFSET(PLE!$G$15,$M57-$A$15,CA$13)))</f>
        <v>1000000000000</v>
      </c>
      <c r="CB57" s="172">
        <f t="array" aca="1" ref="CB57" ca="1">IF(OR($D57&lt;&gt;"Serviço",AND(AUTOEVENTO="Manual",$M57=$A$15),$M57&gt;(ROW(PLE.lastrow)-ROW(PLE.firstrow))),0,
           IF(OFFSET(PLE!$G$15,$M57-$A$15,CB$13)="",10^12,OFFSET(PLE!$G$15,$M57-$A$15,CB$13)))</f>
        <v>1000000000000</v>
      </c>
      <c r="CC57" s="172">
        <f t="array" aca="1" ref="CC57" ca="1">IF(OR($D57&lt;&gt;"Serviço",AND(AUTOEVENTO="Manual",$M57=$A$15),$M57&gt;(ROW(PLE.lastrow)-ROW(PLE.firstrow))),0,
           IF(OFFSET(PLE!$G$15,$M57-$A$15,CC$13)="",10^12,OFFSET(PLE!$G$15,$M57-$A$15,CC$13)))</f>
        <v>1000000000000</v>
      </c>
      <c r="CD57" s="172">
        <f t="array" aca="1" ref="CD57" ca="1">IF(OR($D57&lt;&gt;"Serviço",AND(AUTOEVENTO="Manual",$M57=$A$15),$M57&gt;(ROW(PLE.lastrow)-ROW(PLE.firstrow))),0,
           IF(OFFSET(PLE!$G$15,$M57-$A$15,CD$13)="",10^12,OFFSET(PLE!$G$15,$M57-$A$15,CD$13)))</f>
        <v>1000000000000</v>
      </c>
      <c r="CE57" s="172">
        <f t="array" aca="1" ref="CE57" ca="1">IF(OR($D57&lt;&gt;"Serviço",AND(AUTOEVENTO="Manual",$M57=$A$15),$M57&gt;(ROW(PLE.lastrow)-ROW(PLE.firstrow))),0,
           IF(OFFSET(PLE!$G$15,$M57-$A$15,CE$13)="",10^12,OFFSET(PLE!$G$15,$M57-$A$15,CE$13)))</f>
        <v>1000000000000</v>
      </c>
      <c r="CF57" s="172">
        <f t="array" aca="1" ref="CF57" ca="1">IF(OR($D57&lt;&gt;"Serviço",AND(AUTOEVENTO="Manual",$M57=$A$15),$M57&gt;(ROW(PLE.lastrow)-ROW(PLE.firstrow))),0,
           IF(OFFSET(PLE!$G$15,$M57-$A$15,CF$13)="",10^12,OFFSET(PLE!$G$15,$M57-$A$15,CF$13)))</f>
        <v>1000000000000</v>
      </c>
      <c r="CG57" s="172">
        <f t="array" aca="1" ref="CG57" ca="1">IF(OR($D57&lt;&gt;"Serviço",AND(AUTOEVENTO="Manual",$M57=$A$15),$M57&gt;(ROW(PLE.lastrow)-ROW(PLE.firstrow))),0,
           IF(OFFSET(PLE!$G$15,$M57-$A$15,CG$13)="",10^12,OFFSET(PLE!$G$15,$M57-$A$15,CG$13)))</f>
        <v>1000000000000</v>
      </c>
      <c r="CH57" s="172">
        <f t="array" aca="1" ref="CH57" ca="1">IF(OR($D57&lt;&gt;"Serviço",AND(AUTOEVENTO="Manual",$M57=$A$15),$M57&gt;(ROW(PLE.lastrow)-ROW(PLE.firstrow))),0,
           IF(OFFSET(PLE!$G$15,$M57-$A$15,CH$13)="",10^12,OFFSET(PLE!$G$15,$M57-$A$15,CH$13)))</f>
        <v>1000000000000</v>
      </c>
      <c r="CI57" s="172">
        <f t="array" aca="1" ref="CI57" ca="1">IF(OR($D57&lt;&gt;"Serviço",AND(AUTOEVENTO="Manual",$M57=$A$15),$M57&gt;(ROW(PLE.lastrow)-ROW(PLE.firstrow))),0,
           IF(OFFSET(PLE!$G$15,$M57-$A$15,CI$13)="",10^12,OFFSET(PLE!$G$15,$M57-$A$15,CI$13)))</f>
        <v>1000000000000</v>
      </c>
      <c r="CJ57" s="172">
        <f t="array" aca="1" ref="CJ57" ca="1">IF(OR($D57&lt;&gt;"Serviço",AND(AUTOEVENTO="Manual",$M57=$A$15),$M57&gt;(ROW(PLE.lastrow)-ROW(PLE.firstrow))),0,
           IF(OFFSET(PLE!$G$15,$M57-$A$15,CJ$13)="",10^12,OFFSET(PLE!$G$15,$M57-$A$15,CJ$13)))</f>
        <v>1000000000000</v>
      </c>
      <c r="CK57" s="172">
        <f t="array" aca="1" ref="CK57" ca="1">IF(OR($D57&lt;&gt;"Serviço",AND(AUTOEVENTO="Manual",$M57=$A$15),$M57&gt;(ROW(PLE.lastrow)-ROW(PLE.firstrow))),0,
           IF(OFFSET(PLE!$G$15,$M57-$A$15,CK$13)="",10^12,OFFSET(PLE!$G$15,$M57-$A$15,CK$13)))</f>
        <v>1000000000000</v>
      </c>
      <c r="CL57" s="172">
        <f t="array" aca="1" ref="CL57" ca="1">IF(OR($D57&lt;&gt;"Serviço",AND(AUTOEVENTO="Manual",$M57=$A$15),$M57&gt;(ROW(PLE.lastrow)-ROW(PLE.firstrow))),0,
           IF(OFFSET(PLE!$G$15,$M57-$A$15,CL$13)="",10^12,OFFSET(PLE!$G$15,$M57-$A$15,CL$13)))</f>
        <v>1000000000000</v>
      </c>
      <c r="CM57" s="172">
        <f t="array" aca="1" ref="CM57" ca="1">IF(OR($D57&lt;&gt;"Serviço",AND(AUTOEVENTO="Manual",$M57=$A$15),$M57&gt;(ROW(PLE.lastrow)-ROW(PLE.firstrow))),0,
           IF(OFFSET(PLE!$G$15,$M57-$A$15,CM$13)="",10^12,OFFSET(PLE!$G$15,$M57-$A$15,CM$13)))</f>
        <v>1000000000000</v>
      </c>
    </row>
    <row r="58" spans="1:91" s="696" customFormat="1" ht="51" x14ac:dyDescent="0.2">
      <c r="A58" s="694">
        <f t="shared" ca="1" si="10"/>
        <v>7</v>
      </c>
      <c r="B58" s="694" t="str">
        <f ca="1">OFFSET(ORÇAMENTO!C$15,$L58,0)</f>
        <v>S</v>
      </c>
      <c r="C58" s="694" t="str">
        <f ca="1">OFFSET(ORÇAMENTO!L$15,$L58,0)</f>
        <v>F</v>
      </c>
      <c r="D58" s="116" t="str">
        <f ca="1">OFFSET(ORÇAMENTO!N$15,$L58,0)</f>
        <v>Serviço</v>
      </c>
      <c r="E58" s="117" t="str">
        <f ca="1">OFFSET(ORÇAMENTO!O$15,$L58,0)</f>
        <v>1.7.3.</v>
      </c>
      <c r="F58" s="163" t="str">
        <f ca="1">OFFSET(ORÇAMENTO!R$15,$L58,0)</f>
        <v>MONTAGEM E DESMONTAGEM DE FÔRMA DE VIGA, ESCORAMENTO COM GARFO DE MADEIRA, PÉ-DIREITO SIMPLES, EM CHAPA DE MADEIRA RESINADA, 8 UTILIZAÇÕES. AF_09/2020</v>
      </c>
      <c r="G58" s="164" t="str">
        <f ca="1">IF($D58&lt;&gt;"Serviço","",OFFSET(ORÇAMENTO!S$15,$L58,0))</f>
        <v>M2</v>
      </c>
      <c r="H58" s="122">
        <f t="array" aca="1" ref="H58" ca="1">IF($D58&lt;&gt;"Serviço",0,IF(ACOMPANHAMENTO="BM",ROUND(OFFSET(ORÇAMENTO!AJ$15,$L58,0),15-13*ORÇAMENTO!$AF$7),IF(IFERROR(CÁLCULO.FrentesPreenchidas,0)=0,0,SUM(ROUND(OFFSET($P58,0,1,1,CÁLCULO.FrentesPreenchidas),15-13*ORÇAMENTO!$AF$7)))))</f>
        <v>82.6</v>
      </c>
      <c r="I58" s="467" t="s">
        <v>1238</v>
      </c>
      <c r="J58" s="653" t="str">
        <f t="array" aca="1" ref="J58" ca="1">IF(OR(B58&lt;&gt;"S",CÁLCULO.FrentesPreenchidas=0),"",IF(AND(ACOMPANHAMENTO="PLE",AUTOEVENTO="Manual",OR(H58&gt;0,ORÇAMENTO!AC58="QUANT."),OR(K58="",M58=0,N58="")),"►E",IF(AND(ACOMPANHAMENTO="PLE",ORÇAMENTO!AC58="QUANT."),"►Q",IF(AND(ACOMPANHAMENTO="PLE",H58&lt;&gt;SUMPRODUCT(($Q$1:$AI$1=1)*ROUND(Q58:AI58,15))),"►S",IF(AND(COUNTIF($P$11:$AI$11,"▼")=0,H58&gt;0,I58=""),"◄M","")))))</f>
        <v/>
      </c>
      <c r="K58" s="654" t="s">
        <v>1387</v>
      </c>
      <c r="L58" s="165">
        <f t="shared" ca="1" si="11"/>
        <v>43</v>
      </c>
      <c r="M58" s="166">
        <f ca="1">IF($D58&lt;&gt;"Serviço","",
          IF(AUTOEVENTO="manual",$A58,
                IF(ISERROR(MATCH($A58,$A$15:OFFSET($A58,-1,0),0)),MAX($M$15:OFFSET(M58,-1,0))+1,
                      INDEX($M$15:OFFSET(M58,-1,0),MATCH($A58,$A$15:OFFSET($A58,-1,0),0)))))</f>
        <v>7</v>
      </c>
      <c r="N58" s="167" t="str">
        <f ca="1">IF($D58&lt;&gt;"Serviço","",
         IF(AUTOEVENTO="Manual",
                IF($A58=0,"&lt;-- defina o número do agrupador",
                       OFFSET(EVENTOS!$D$15,$A58-$A$15,0)),
                OFFSET($F$15,$A58,0)))</f>
        <v>VIGAS DE RESPALDO</v>
      </c>
      <c r="O58" s="168"/>
      <c r="Q58" s="169">
        <f>4.13*5</f>
        <v>20.65</v>
      </c>
      <c r="R58" s="169">
        <f t="shared" ref="R58:T58" si="31">4.13*5</f>
        <v>20.65</v>
      </c>
      <c r="S58" s="169">
        <f t="shared" si="31"/>
        <v>20.65</v>
      </c>
      <c r="T58" s="169">
        <f t="shared" si="31"/>
        <v>20.65</v>
      </c>
      <c r="U58" s="169"/>
      <c r="V58" s="169"/>
      <c r="W58" s="169"/>
      <c r="X58" s="169"/>
      <c r="Y58" s="169"/>
      <c r="Z58" s="170"/>
      <c r="AA58" s="169"/>
      <c r="AB58" s="169"/>
      <c r="AC58" s="169"/>
      <c r="AD58" s="169"/>
      <c r="AE58" s="169"/>
      <c r="AF58" s="169"/>
      <c r="AG58" s="169"/>
      <c r="AH58" s="170"/>
      <c r="AJ58" s="452">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2970.09</v>
      </c>
      <c r="AK58" s="452">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2970.09</v>
      </c>
      <c r="AL58" s="452">
        <f ca="1">IF(AND($D58="Serviço",AL$12&lt;&gt;0,$H58&gt;0,OR(AUTOEVENTO&lt;&gt;"manual",$M58&lt;&gt;$A$15)),
        IF(Import.TipoArredondamento&lt;&gt;"TransfereGOV",
              ROUND(OFFSET($P58,0,AL$13),15-13*ORÇAMENTO!$AF$7)/$H58*OFFSET(ORÇAMENTO!$X$15,ROW(AL58)-ROW(AL$15),0),
              ROUND(ROUND(OFFSET($P58,0,AL$13),15-13*ORÇAMENTO!$AF$7)*OFFSET(ORÇAMENTO!$W$15,ROW(AL58)-ROW(AL$15),0),15-13*ORÇAMENTO!$AF$11)),
         0)</f>
        <v>2970.09</v>
      </c>
      <c r="AM58" s="452">
        <f ca="1">IF(AND($D58="Serviço",AM$12&lt;&gt;0,$H58&gt;0,OR(AUTOEVENTO&lt;&gt;"manual",$M58&lt;&gt;$A$15)),
        IF(Import.TipoArredondamento&lt;&gt;"TransfereGOV",
              ROUND(OFFSET($P58,0,AM$13),15-13*ORÇAMENTO!$AF$7)/$H58*OFFSET(ORÇAMENTO!$X$15,ROW(AM58)-ROW(AM$15),0),
              ROUND(ROUND(OFFSET($P58,0,AM$13),15-13*ORÇAMENTO!$AF$7)*OFFSET(ORÇAMENTO!$W$15,ROW(AM58)-ROW(AM$15),0),15-13*ORÇAMENTO!$AF$11)),
         0)</f>
        <v>2970.09</v>
      </c>
      <c r="AN58" s="452">
        <f ca="1">IF(AND($D58="Serviço",AN$12&lt;&gt;0,$H58&gt;0,OR(AUTOEVENTO&lt;&gt;"manual",$M58&lt;&gt;$A$15)),
        IF(Import.TipoArredondamento&lt;&gt;"TransfereGOV",
              ROUND(OFFSET($P58,0,AN$13),15-13*ORÇAMENTO!$AF$7)/$H58*OFFSET(ORÇAMENTO!$X$15,ROW(AN58)-ROW(AN$15),0),
              ROUND(ROUND(OFFSET($P58,0,AN$13),15-13*ORÇAMENTO!$AF$7)*OFFSET(ORÇAMENTO!$W$15,ROW(AN58)-ROW(AN$15),0),15-13*ORÇAMENTO!$AF$11)),
         0)</f>
        <v>0</v>
      </c>
      <c r="AO58" s="452">
        <f ca="1">IF(AND($D58="Serviço",AO$12&lt;&gt;0,$H58&gt;0,OR(AUTOEVENTO&lt;&gt;"manual",$M58&lt;&gt;$A$15)),
        IF(Import.TipoArredondamento&lt;&gt;"TransfereGOV",
              ROUND(OFFSET($P58,0,AO$13),15-13*ORÇAMENTO!$AF$7)/$H58*OFFSET(ORÇAMENTO!$X$15,ROW(AO58)-ROW(AO$15),0),
              ROUND(ROUND(OFFSET($P58,0,AO$13),15-13*ORÇAMENTO!$AF$7)*OFFSET(ORÇAMENTO!$W$15,ROW(AO58)-ROW(AO$15),0),15-13*ORÇAMENTO!$AF$11)),
         0)</f>
        <v>0</v>
      </c>
      <c r="AP58" s="452">
        <f ca="1">IF(AND($D58="Serviço",AP$12&lt;&gt;0,$H58&gt;0,OR(AUTOEVENTO&lt;&gt;"manual",$M58&lt;&gt;$A$15)),
        IF(Import.TipoArredondamento&lt;&gt;"TransfereGOV",
              ROUND(OFFSET($P58,0,AP$13),15-13*ORÇAMENTO!$AF$7)/$H58*OFFSET(ORÇAMENTO!$X$15,ROW(AP58)-ROW(AP$15),0),
              ROUND(ROUND(OFFSET($P58,0,AP$13),15-13*ORÇAMENTO!$AF$7)*OFFSET(ORÇAMENTO!$W$15,ROW(AP58)-ROW(AP$15),0),15-13*ORÇAMENTO!$AF$11)),
         0)</f>
        <v>0</v>
      </c>
      <c r="AQ58" s="452">
        <f ca="1">IF(AND($D58="Serviço",AQ$12&lt;&gt;0,$H58&gt;0,OR(AUTOEVENTO&lt;&gt;"manual",$M58&lt;&gt;$A$15)),
        IF(Import.TipoArredondamento&lt;&gt;"TransfereGOV",
              ROUND(OFFSET($P58,0,AQ$13),15-13*ORÇAMENTO!$AF$7)/$H58*OFFSET(ORÇAMENTO!$X$15,ROW(AQ58)-ROW(AQ$15),0),
              ROUND(ROUND(OFFSET($P58,0,AQ$13),15-13*ORÇAMENTO!$AF$7)*OFFSET(ORÇAMENTO!$W$15,ROW(AQ58)-ROW(AQ$15),0),15-13*ORÇAMENTO!$AF$11)),
         0)</f>
        <v>0</v>
      </c>
      <c r="AR58" s="452">
        <f ca="1">IF(AND($D58="Serviço",AR$12&lt;&gt;0,$H58&gt;0,OR(AUTOEVENTO&lt;&gt;"manual",$M58&lt;&gt;$A$15)),
        IF(Import.TipoArredondamento&lt;&gt;"TransfereGOV",
              ROUND(OFFSET($P58,0,AR$13),15-13*ORÇAMENTO!$AF$7)/$H58*OFFSET(ORÇAMENTO!$X$15,ROW(AR58)-ROW(AR$15),0),
              ROUND(ROUND(OFFSET($P58,0,AR$13),15-13*ORÇAMENTO!$AF$7)*OFFSET(ORÇAMENTO!$W$15,ROW(AR58)-ROW(AR$15),0),15-13*ORÇAMENTO!$AF$11)),
         0)</f>
        <v>0</v>
      </c>
      <c r="AS58" s="452">
        <f ca="1">IF(AND($D58="Serviço",AS$12&lt;&gt;0,$H58&gt;0,OR(AUTOEVENTO&lt;&gt;"manual",$M58&lt;&gt;$A$15)),
        IF(Import.TipoArredondamento&lt;&gt;"TransfereGOV",
              ROUND(OFFSET($P58,0,AS$13),15-13*ORÇAMENTO!$AF$7)/$H58*OFFSET(ORÇAMENTO!$X$15,ROW(AS58)-ROW(AS$15),0),
              ROUND(ROUND(OFFSET($P58,0,AS$13),15-13*ORÇAMENTO!$AF$7)*OFFSET(ORÇAMENTO!$W$15,ROW(AS58)-ROW(AS$15),0),15-13*ORÇAMENTO!$AF$11)),
         0)</f>
        <v>0</v>
      </c>
      <c r="AT58" s="452">
        <f ca="1">IF(AND($D58="Serviço",AT$12&lt;&gt;0,$H58&gt;0,OR(AUTOEVENTO&lt;&gt;"manual",$M58&lt;&gt;$A$15)),
        IF(Import.TipoArredondamento&lt;&gt;"TransfereGOV",
              ROUND(OFFSET($P58,0,AT$13),15-13*ORÇAMENTO!$AF$7)/$H58*OFFSET(ORÇAMENTO!$X$15,ROW(AT58)-ROW(AT$15),0),
              ROUND(ROUND(OFFSET($P58,0,AT$13),15-13*ORÇAMENTO!$AF$7)*OFFSET(ORÇAMENTO!$W$15,ROW(AT58)-ROW(AT$15),0),15-13*ORÇAMENTO!$AF$11)),
         0)</f>
        <v>0</v>
      </c>
      <c r="AU58" s="452">
        <f ca="1">IF(AND($D58="Serviço",AU$12&lt;&gt;0,$H58&gt;0,OR(AUTOEVENTO&lt;&gt;"manual",$M58&lt;&gt;$A$15)),
        IF(Import.TipoArredondamento&lt;&gt;"TransfereGOV",
              ROUND(OFFSET($P58,0,AU$13),15-13*ORÇAMENTO!$AF$7)/$H58*OFFSET(ORÇAMENTO!$X$15,ROW(AU58)-ROW(AU$15),0),
              ROUND(ROUND(OFFSET($P58,0,AU$13),15-13*ORÇAMENTO!$AF$7)*OFFSET(ORÇAMENTO!$W$15,ROW(AU58)-ROW(AU$15),0),15-13*ORÇAMENTO!$AF$11)),
         0)</f>
        <v>0</v>
      </c>
      <c r="AV58" s="452">
        <f ca="1">IF(AND($D58="Serviço",AV$12&lt;&gt;0,$H58&gt;0,OR(AUTOEVENTO&lt;&gt;"manual",$M58&lt;&gt;$A$15)),
        IF(Import.TipoArredondamento&lt;&gt;"TransfereGOV",
              ROUND(OFFSET($P58,0,AV$13),15-13*ORÇAMENTO!$AF$7)/$H58*OFFSET(ORÇAMENTO!$X$15,ROW(AV58)-ROW(AV$15),0),
              ROUND(ROUND(OFFSET($P58,0,AV$13),15-13*ORÇAMENTO!$AF$7)*OFFSET(ORÇAMENTO!$W$15,ROW(AV58)-ROW(AV$15),0),15-13*ORÇAMENTO!$AF$11)),
         0)</f>
        <v>0</v>
      </c>
      <c r="AW58" s="452">
        <f ca="1">IF(AND($D58="Serviço",AW$12&lt;&gt;0,$H58&gt;0,OR(AUTOEVENTO&lt;&gt;"manual",$M58&lt;&gt;$A$15)),
        IF(Import.TipoArredondamento&lt;&gt;"TransfereGOV",
              ROUND(OFFSET($P58,0,AW$13),15-13*ORÇAMENTO!$AF$7)/$H58*OFFSET(ORÇAMENTO!$X$15,ROW(AW58)-ROW(AW$15),0),
              ROUND(ROUND(OFFSET($P58,0,AW$13),15-13*ORÇAMENTO!$AF$7)*OFFSET(ORÇAMENTO!$W$15,ROW(AW58)-ROW(AW$15),0),15-13*ORÇAMENTO!$AF$11)),
         0)</f>
        <v>0</v>
      </c>
      <c r="AX58" s="452">
        <f ca="1">IF(AND($D58="Serviço",AX$12&lt;&gt;0,$H58&gt;0,OR(AUTOEVENTO&lt;&gt;"manual",$M58&lt;&gt;$A$15)),
        IF(Import.TipoArredondamento&lt;&gt;"TransfereGOV",
              ROUND(OFFSET($P58,0,AX$13),15-13*ORÇAMENTO!$AF$7)/$H58*OFFSET(ORÇAMENTO!$X$15,ROW(AX58)-ROW(AX$15),0),
              ROUND(ROUND(OFFSET($P58,0,AX$13),15-13*ORÇAMENTO!$AF$7)*OFFSET(ORÇAMENTO!$W$15,ROW(AX58)-ROW(AX$15),0),15-13*ORÇAMENTO!$AF$11)),
         0)</f>
        <v>0</v>
      </c>
      <c r="AY58" s="452">
        <f ca="1">IF(AND($D58="Serviço",AY$12&lt;&gt;0,$H58&gt;0,OR(AUTOEVENTO&lt;&gt;"manual",$M58&lt;&gt;$A$15)),
        IF(Import.TipoArredondamento&lt;&gt;"TransfereGOV",
              ROUND(OFFSET($P58,0,AY$13),15-13*ORÇAMENTO!$AF$7)/$H58*OFFSET(ORÇAMENTO!$X$15,ROW(AY58)-ROW(AY$15),0),
              ROUND(ROUND(OFFSET($P58,0,AY$13),15-13*ORÇAMENTO!$AF$7)*OFFSET(ORÇAMENTO!$W$15,ROW(AY58)-ROW(AY$15),0),15-13*ORÇAMENTO!$AF$11)),
         0)</f>
        <v>0</v>
      </c>
      <c r="AZ58" s="452">
        <f ca="1">IF(AND($D58="Serviço",AZ$12&lt;&gt;0,$H58&gt;0,OR(AUTOEVENTO&lt;&gt;"manual",$M58&lt;&gt;$A$15)),
        IF(Import.TipoArredondamento&lt;&gt;"TransfereGOV",
              ROUND(OFFSET($P58,0,AZ$13),15-13*ORÇAMENTO!$AF$7)/$H58*OFFSET(ORÇAMENTO!$X$15,ROW(AZ58)-ROW(AZ$15),0),
              ROUND(ROUND(OFFSET($P58,0,AZ$13),15-13*ORÇAMENTO!$AF$7)*OFFSET(ORÇAMENTO!$W$15,ROW(AZ58)-ROW(AZ$15),0),15-13*ORÇAMENTO!$AF$11)),
         0)</f>
        <v>0</v>
      </c>
      <c r="BA58" s="452">
        <f ca="1">IF(AND($D58="Serviço",BA$12&lt;&gt;0,$H58&gt;0,OR(AUTOEVENTO&lt;&gt;"manual",$M58&lt;&gt;$A$15)),
        IF(Import.TipoArredondamento&lt;&gt;"TransfereGOV",
              ROUND(OFFSET($P58,0,BA$13),15-13*ORÇAMENTO!$AF$7)/$H58*OFFSET(ORÇAMENTO!$X$15,ROW(BA58)-ROW(BA$15),0),
              ROUND(ROUND(OFFSET($P58,0,BA$13),15-13*ORÇAMENTO!$AF$7)*OFFSET(ORÇAMENTO!$W$15,ROW(BA58)-ROW(BA$15),0),15-13*ORÇAMENTO!$AF$11)),
         0)</f>
        <v>0</v>
      </c>
      <c r="BC58" s="171">
        <f ca="1">IF(OR($D58&lt;&gt;"Serviço",AND(AUTOEVENTO="Manual",$M58=$A$15)),0,
         IF(OFFSET(CRONOPLE!$F$15,$M58-$A$15,BC$13)=0,10^12,OFFSET(CRONOPLE!$F$15,$M58-$A$15,BC$13)))</f>
        <v>3</v>
      </c>
      <c r="BD58" s="171">
        <f ca="1">IF(OR($D58&lt;&gt;"Serviço",AND(AUTOEVENTO="Manual",$M58=$A$15)),0,
         IF(OFFSET(CRONOPLE!$F$15,$M58-$A$15,BD$13)=0,10^12,OFFSET(CRONOPLE!$F$15,$M58-$A$15,BD$13)))</f>
        <v>4</v>
      </c>
      <c r="BE58" s="171">
        <f ca="1">IF(OR($D58&lt;&gt;"Serviço",AND(AUTOEVENTO="Manual",$M58=$A$15)),0,
         IF(OFFSET(CRONOPLE!$F$15,$M58-$A$15,BE$13)=0,10^12,OFFSET(CRONOPLE!$F$15,$M58-$A$15,BE$13)))</f>
        <v>5</v>
      </c>
      <c r="BF58" s="171">
        <f ca="1">IF(OR($D58&lt;&gt;"Serviço",AND(AUTOEVENTO="Manual",$M58=$A$15)),0,
         IF(OFFSET(CRONOPLE!$F$15,$M58-$A$15,BF$13)=0,10^12,OFFSET(CRONOPLE!$F$15,$M58-$A$15,BF$13)))</f>
        <v>5</v>
      </c>
      <c r="BG58" s="171">
        <f ca="1">IF(OR($D58&lt;&gt;"Serviço",AND(AUTOEVENTO="Manual",$M58=$A$15)),0,
         IF(OFFSET(CRONOPLE!$F$15,$M58-$A$15,BG$13)=0,10^12,OFFSET(CRONOPLE!$F$15,$M58-$A$15,BG$13)))</f>
        <v>5</v>
      </c>
      <c r="BH58" s="171">
        <f ca="1">IF(OR($D58&lt;&gt;"Serviço",AND(AUTOEVENTO="Manual",$M58=$A$15)),0,
         IF(OFFSET(CRONOPLE!$F$15,$M58-$A$15,BH$13)=0,10^12,OFFSET(CRONOPLE!$F$15,$M58-$A$15,BH$13)))</f>
        <v>1000000000000</v>
      </c>
      <c r="BI58" s="171">
        <f ca="1">IF(OR($D58&lt;&gt;"Serviço",AND(AUTOEVENTO="Manual",$M58=$A$15)),0,
         IF(OFFSET(CRONOPLE!$F$15,$M58-$A$15,BI$13)=0,10^12,OFFSET(CRONOPLE!$F$15,$M58-$A$15,BI$13)))</f>
        <v>1000000000000</v>
      </c>
      <c r="BJ58" s="171">
        <f ca="1">IF(OR($D58&lt;&gt;"Serviço",AND(AUTOEVENTO="Manual",$M58=$A$15)),0,
         IF(OFFSET(CRONOPLE!$F$15,$M58-$A$15,BJ$13)=0,10^12,OFFSET(CRONOPLE!$F$15,$M58-$A$15,BJ$13)))</f>
        <v>1000000000000</v>
      </c>
      <c r="BK58" s="171">
        <f ca="1">IF(OR($D58&lt;&gt;"Serviço",AND(AUTOEVENTO="Manual",$M58=$A$15)),0,
         IF(OFFSET(CRONOPLE!$F$15,$M58-$A$15,BK$13)=0,10^12,OFFSET(CRONOPLE!$F$15,$M58-$A$15,BK$13)))</f>
        <v>1000000000000</v>
      </c>
      <c r="BL58" s="171">
        <f ca="1">IF(OR($D58&lt;&gt;"Serviço",AND(AUTOEVENTO="Manual",$M58=$A$15)),0,
         IF(OFFSET(CRONOPLE!$F$15,$M58-$A$15,BL$13)=0,10^12,OFFSET(CRONOPLE!$F$15,$M58-$A$15,BL$13)))</f>
        <v>1000000000000</v>
      </c>
      <c r="BM58" s="171">
        <f ca="1">IF(OR($D58&lt;&gt;"Serviço",AND(AUTOEVENTO="Manual",$M58=$A$15)),0,
         IF(OFFSET(CRONOPLE!$F$15,$M58-$A$15,BM$13)=0,10^12,OFFSET(CRONOPLE!$F$15,$M58-$A$15,BM$13)))</f>
        <v>1000000000000</v>
      </c>
      <c r="BN58" s="171">
        <f ca="1">IF(OR($D58&lt;&gt;"Serviço",AND(AUTOEVENTO="Manual",$M58=$A$15)),0,
         IF(OFFSET(CRONOPLE!$F$15,$M58-$A$15,BN$13)=0,10^12,OFFSET(CRONOPLE!$F$15,$M58-$A$15,BN$13)))</f>
        <v>1000000000000</v>
      </c>
      <c r="BO58" s="171">
        <f ca="1">IF(OR($D58&lt;&gt;"Serviço",AND(AUTOEVENTO="Manual",$M58=$A$15)),0,
         IF(OFFSET(CRONOPLE!$F$15,$M58-$A$15,BO$13)=0,10^12,OFFSET(CRONOPLE!$F$15,$M58-$A$15,BO$13)))</f>
        <v>1000000000000</v>
      </c>
      <c r="BP58" s="171">
        <f ca="1">IF(OR($D58&lt;&gt;"Serviço",AND(AUTOEVENTO="Manual",$M58=$A$15)),0,
         IF(OFFSET(CRONOPLE!$F$15,$M58-$A$15,BP$13)=0,10^12,OFFSET(CRONOPLE!$F$15,$M58-$A$15,BP$13)))</f>
        <v>1000000000000</v>
      </c>
      <c r="BQ58" s="171">
        <f ca="1">IF(OR($D58&lt;&gt;"Serviço",AND(AUTOEVENTO="Manual",$M58=$A$15)),0,
         IF(OFFSET(CRONOPLE!$F$15,$M58-$A$15,BQ$13)=0,10^12,OFFSET(CRONOPLE!$F$15,$M58-$A$15,BQ$13)))</f>
        <v>1000000000000</v>
      </c>
      <c r="BR58" s="171">
        <f ca="1">IF(OR($D58&lt;&gt;"Serviço",AND(AUTOEVENTO="Manual",$M58=$A$15)),0,
         IF(OFFSET(CRONOPLE!$F$15,$M58-$A$15,BR$13)=0,10^12,OFFSET(CRONOPLE!$F$15,$M58-$A$15,BR$13)))</f>
        <v>1000000000000</v>
      </c>
      <c r="BS58" s="171">
        <f ca="1">IF(OR($D58&lt;&gt;"Serviço",AND(AUTOEVENTO="Manual",$M58=$A$15)),0,
         IF(OFFSET(CRONOPLE!$F$15,$M58-$A$15,BS$13)=0,10^12,OFFSET(CRONOPLE!$F$15,$M58-$A$15,BS$13)))</f>
        <v>1000000000000</v>
      </c>
      <c r="BT58" s="171">
        <f ca="1">IF(OR($D58&lt;&gt;"Serviço",AND(AUTOEVENTO="Manual",$M58=$A$15)),0,
         IF(OFFSET(CRONOPLE!$F$15,$M58-$A$15,BT$13)=0,10^12,OFFSET(CRONOPLE!$F$15,$M58-$A$15,BT$13)))</f>
        <v>1000000000000</v>
      </c>
      <c r="BV58" s="172">
        <f t="array" aca="1" ref="BV58" ca="1">IF(OR($D58&lt;&gt;"Serviço",AND(AUTOEVENTO="Manual",$M58=$A$15),$M58&gt;(ROW(PLE.lastrow)-ROW(PLE.firstrow))),0,
           IF(OFFSET(PLE!$G$15,$M58-$A$15,BV$13)="",10^12,OFFSET(PLE!$G$15,$M58-$A$15,BV$13)))</f>
        <v>1000000000000</v>
      </c>
      <c r="BW58" s="172">
        <f t="array" aca="1" ref="BW58" ca="1">IF(OR($D58&lt;&gt;"Serviço",AND(AUTOEVENTO="Manual",$M58=$A$15),$M58&gt;(ROW(PLE.lastrow)-ROW(PLE.firstrow))),0,
           IF(OFFSET(PLE!$G$15,$M58-$A$15,BW$13)="",10^12,OFFSET(PLE!$G$15,$M58-$A$15,BW$13)))</f>
        <v>1000000000000</v>
      </c>
      <c r="BX58" s="172">
        <f t="array" aca="1" ref="BX58" ca="1">IF(OR($D58&lt;&gt;"Serviço",AND(AUTOEVENTO="Manual",$M58=$A$15),$M58&gt;(ROW(PLE.lastrow)-ROW(PLE.firstrow))),0,
           IF(OFFSET(PLE!$G$15,$M58-$A$15,BX$13)="",10^12,OFFSET(PLE!$G$15,$M58-$A$15,BX$13)))</f>
        <v>1000000000000</v>
      </c>
      <c r="BY58" s="172">
        <f t="array" aca="1" ref="BY58" ca="1">IF(OR($D58&lt;&gt;"Serviço",AND(AUTOEVENTO="Manual",$M58=$A$15),$M58&gt;(ROW(PLE.lastrow)-ROW(PLE.firstrow))),0,
           IF(OFFSET(PLE!$G$15,$M58-$A$15,BY$13)="",10^12,OFFSET(PLE!$G$15,$M58-$A$15,BY$13)))</f>
        <v>1000000000000</v>
      </c>
      <c r="BZ58" s="172">
        <f t="array" aca="1" ref="BZ58" ca="1">IF(OR($D58&lt;&gt;"Serviço",AND(AUTOEVENTO="Manual",$M58=$A$15),$M58&gt;(ROW(PLE.lastrow)-ROW(PLE.firstrow))),0,
           IF(OFFSET(PLE!$G$15,$M58-$A$15,BZ$13)="",10^12,OFFSET(PLE!$G$15,$M58-$A$15,BZ$13)))</f>
        <v>1000000000000</v>
      </c>
      <c r="CA58" s="172">
        <f t="array" aca="1" ref="CA58" ca="1">IF(OR($D58&lt;&gt;"Serviço",AND(AUTOEVENTO="Manual",$M58=$A$15),$M58&gt;(ROW(PLE.lastrow)-ROW(PLE.firstrow))),0,
           IF(OFFSET(PLE!$G$15,$M58-$A$15,CA$13)="",10^12,OFFSET(PLE!$G$15,$M58-$A$15,CA$13)))</f>
        <v>1000000000000</v>
      </c>
      <c r="CB58" s="172">
        <f t="array" aca="1" ref="CB58" ca="1">IF(OR($D58&lt;&gt;"Serviço",AND(AUTOEVENTO="Manual",$M58=$A$15),$M58&gt;(ROW(PLE.lastrow)-ROW(PLE.firstrow))),0,
           IF(OFFSET(PLE!$G$15,$M58-$A$15,CB$13)="",10^12,OFFSET(PLE!$G$15,$M58-$A$15,CB$13)))</f>
        <v>1000000000000</v>
      </c>
      <c r="CC58" s="172">
        <f t="array" aca="1" ref="CC58" ca="1">IF(OR($D58&lt;&gt;"Serviço",AND(AUTOEVENTO="Manual",$M58=$A$15),$M58&gt;(ROW(PLE.lastrow)-ROW(PLE.firstrow))),0,
           IF(OFFSET(PLE!$G$15,$M58-$A$15,CC$13)="",10^12,OFFSET(PLE!$G$15,$M58-$A$15,CC$13)))</f>
        <v>1000000000000</v>
      </c>
      <c r="CD58" s="172">
        <f t="array" aca="1" ref="CD58" ca="1">IF(OR($D58&lt;&gt;"Serviço",AND(AUTOEVENTO="Manual",$M58=$A$15),$M58&gt;(ROW(PLE.lastrow)-ROW(PLE.firstrow))),0,
           IF(OFFSET(PLE!$G$15,$M58-$A$15,CD$13)="",10^12,OFFSET(PLE!$G$15,$M58-$A$15,CD$13)))</f>
        <v>1000000000000</v>
      </c>
      <c r="CE58" s="172">
        <f t="array" aca="1" ref="CE58" ca="1">IF(OR($D58&lt;&gt;"Serviço",AND(AUTOEVENTO="Manual",$M58=$A$15),$M58&gt;(ROW(PLE.lastrow)-ROW(PLE.firstrow))),0,
           IF(OFFSET(PLE!$G$15,$M58-$A$15,CE$13)="",10^12,OFFSET(PLE!$G$15,$M58-$A$15,CE$13)))</f>
        <v>1000000000000</v>
      </c>
      <c r="CF58" s="172">
        <f t="array" aca="1" ref="CF58" ca="1">IF(OR($D58&lt;&gt;"Serviço",AND(AUTOEVENTO="Manual",$M58=$A$15),$M58&gt;(ROW(PLE.lastrow)-ROW(PLE.firstrow))),0,
           IF(OFFSET(PLE!$G$15,$M58-$A$15,CF$13)="",10^12,OFFSET(PLE!$G$15,$M58-$A$15,CF$13)))</f>
        <v>1000000000000</v>
      </c>
      <c r="CG58" s="172">
        <f t="array" aca="1" ref="CG58" ca="1">IF(OR($D58&lt;&gt;"Serviço",AND(AUTOEVENTO="Manual",$M58=$A$15),$M58&gt;(ROW(PLE.lastrow)-ROW(PLE.firstrow))),0,
           IF(OFFSET(PLE!$G$15,$M58-$A$15,CG$13)="",10^12,OFFSET(PLE!$G$15,$M58-$A$15,CG$13)))</f>
        <v>1000000000000</v>
      </c>
      <c r="CH58" s="172">
        <f t="array" aca="1" ref="CH58" ca="1">IF(OR($D58&lt;&gt;"Serviço",AND(AUTOEVENTO="Manual",$M58=$A$15),$M58&gt;(ROW(PLE.lastrow)-ROW(PLE.firstrow))),0,
           IF(OFFSET(PLE!$G$15,$M58-$A$15,CH$13)="",10^12,OFFSET(PLE!$G$15,$M58-$A$15,CH$13)))</f>
        <v>1000000000000</v>
      </c>
      <c r="CI58" s="172">
        <f t="array" aca="1" ref="CI58" ca="1">IF(OR($D58&lt;&gt;"Serviço",AND(AUTOEVENTO="Manual",$M58=$A$15),$M58&gt;(ROW(PLE.lastrow)-ROW(PLE.firstrow))),0,
           IF(OFFSET(PLE!$G$15,$M58-$A$15,CI$13)="",10^12,OFFSET(PLE!$G$15,$M58-$A$15,CI$13)))</f>
        <v>1000000000000</v>
      </c>
      <c r="CJ58" s="172">
        <f t="array" aca="1" ref="CJ58" ca="1">IF(OR($D58&lt;&gt;"Serviço",AND(AUTOEVENTO="Manual",$M58=$A$15),$M58&gt;(ROW(PLE.lastrow)-ROW(PLE.firstrow))),0,
           IF(OFFSET(PLE!$G$15,$M58-$A$15,CJ$13)="",10^12,OFFSET(PLE!$G$15,$M58-$A$15,CJ$13)))</f>
        <v>1000000000000</v>
      </c>
      <c r="CK58" s="172">
        <f t="array" aca="1" ref="CK58" ca="1">IF(OR($D58&lt;&gt;"Serviço",AND(AUTOEVENTO="Manual",$M58=$A$15),$M58&gt;(ROW(PLE.lastrow)-ROW(PLE.firstrow))),0,
           IF(OFFSET(PLE!$G$15,$M58-$A$15,CK$13)="",10^12,OFFSET(PLE!$G$15,$M58-$A$15,CK$13)))</f>
        <v>1000000000000</v>
      </c>
      <c r="CL58" s="172">
        <f t="array" aca="1" ref="CL58" ca="1">IF(OR($D58&lt;&gt;"Serviço",AND(AUTOEVENTO="Manual",$M58=$A$15),$M58&gt;(ROW(PLE.lastrow)-ROW(PLE.firstrow))),0,
           IF(OFFSET(PLE!$G$15,$M58-$A$15,CL$13)="",10^12,OFFSET(PLE!$G$15,$M58-$A$15,CL$13)))</f>
        <v>1000000000000</v>
      </c>
      <c r="CM58" s="172">
        <f t="array" aca="1" ref="CM58" ca="1">IF(OR($D58&lt;&gt;"Serviço",AND(AUTOEVENTO="Manual",$M58=$A$15),$M58&gt;(ROW(PLE.lastrow)-ROW(PLE.firstrow))),0,
           IF(OFFSET(PLE!$G$15,$M58-$A$15,CM$13)="",10^12,OFFSET(PLE!$G$15,$M58-$A$15,CM$13)))</f>
        <v>1000000000000</v>
      </c>
    </row>
    <row r="59" spans="1:91" s="696" customFormat="1" ht="51" x14ac:dyDescent="0.2">
      <c r="A59" s="694">
        <f t="shared" ca="1" si="10"/>
        <v>7</v>
      </c>
      <c r="B59" s="694" t="str">
        <f ca="1">OFFSET(ORÇAMENTO!C$15,$L59,0)</f>
        <v>S</v>
      </c>
      <c r="C59" s="694" t="str">
        <f ca="1">OFFSET(ORÇAMENTO!L$15,$L59,0)</f>
        <v>F</v>
      </c>
      <c r="D59" s="116" t="str">
        <f ca="1">OFFSET(ORÇAMENTO!N$15,$L59,0)</f>
        <v>Serviço</v>
      </c>
      <c r="E59" s="117" t="str">
        <f ca="1">OFFSET(ORÇAMENTO!O$15,$L59,0)</f>
        <v>1.7.4.</v>
      </c>
      <c r="F59" s="163" t="str">
        <f ca="1">OFFSET(ORÇAMENTO!R$15,$L59,0)</f>
        <v>ARMAÇÃO DE PILAR OU VIGA DE ESTRUTURA CONVENCIONAL DE CONCRETO ARMADO UTILIZANDO AÇO CA-60 DE 5,0 MM - MONTAGEM. AF_06/2022</v>
      </c>
      <c r="G59" s="164" t="str">
        <f ca="1">IF($D59&lt;&gt;"Serviço","",OFFSET(ORÇAMENTO!S$15,$L59,0))</f>
        <v>KG</v>
      </c>
      <c r="H59" s="122">
        <f t="array" aca="1" ref="H59" ca="1">IF($D59&lt;&gt;"Serviço",0,IF(ACOMPANHAMENTO="BM",ROUND(OFFSET(ORÇAMENTO!AJ$15,$L59,0),15-13*ORÇAMENTO!$AF$7),IF(IFERROR(CÁLCULO.FrentesPreenchidas,0)=0,0,SUM(ROUND(OFFSET($P59,0,1,1,CÁLCULO.FrentesPreenchidas),15-13*ORÇAMENTO!$AF$7)))))</f>
        <v>1408</v>
      </c>
      <c r="I59" s="467" t="s">
        <v>1233</v>
      </c>
      <c r="J59" s="653" t="str">
        <f t="array" aca="1" ref="J59" ca="1">IF(OR(B59&lt;&gt;"S",CÁLCULO.FrentesPreenchidas=0),"",IF(AND(ACOMPANHAMENTO="PLE",AUTOEVENTO="Manual",OR(H59&gt;0,ORÇAMENTO!AC59="QUANT."),OR(K59="",M59=0,N59="")),"►E",IF(AND(ACOMPANHAMENTO="PLE",ORÇAMENTO!AC59="QUANT."),"►Q",IF(AND(ACOMPANHAMENTO="PLE",H59&lt;&gt;SUMPRODUCT(($Q$1:$AI$1=1)*ROUND(Q59:AI59,15))),"►S",IF(AND(COUNTIF($P$11:$AI$11,"▼")=0,H59&gt;0,I59=""),"◄M","")))))</f>
        <v/>
      </c>
      <c r="K59" s="654" t="s">
        <v>1387</v>
      </c>
      <c r="L59" s="165">
        <f t="shared" ca="1" si="11"/>
        <v>44</v>
      </c>
      <c r="M59" s="166">
        <f ca="1">IF($D59&lt;&gt;"Serviço","",
          IF(AUTOEVENTO="manual",$A59,
                IF(ISERROR(MATCH($A59,$A$15:OFFSET($A59,-1,0),0)),MAX($M$15:OFFSET(M59,-1,0))+1,
                      INDEX($M$15:OFFSET(M59,-1,0),MATCH($A59,$A$15:OFFSET($A59,-1,0),0)))))</f>
        <v>7</v>
      </c>
      <c r="N59" s="167" t="str">
        <f ca="1">IF($D59&lt;&gt;"Serviço","",
         IF(AUTOEVENTO="Manual",
                IF($A59=0,"&lt;-- defina o número do agrupador",
                       OFFSET(EVENTOS!$D$15,$A59-$A$15,0)),
                OFFSET($F$15,$A59,0)))</f>
        <v>VIGAS DE RESPALDO</v>
      </c>
      <c r="O59" s="168"/>
      <c r="Q59" s="169">
        <f>70.4*5</f>
        <v>352</v>
      </c>
      <c r="R59" s="169">
        <f t="shared" ref="R59:T59" si="32">70.4*5</f>
        <v>352</v>
      </c>
      <c r="S59" s="169">
        <f t="shared" si="32"/>
        <v>352</v>
      </c>
      <c r="T59" s="169">
        <f t="shared" si="32"/>
        <v>352</v>
      </c>
      <c r="U59" s="169"/>
      <c r="V59" s="169"/>
      <c r="W59" s="169"/>
      <c r="X59" s="169"/>
      <c r="Y59" s="169"/>
      <c r="Z59" s="170"/>
      <c r="AA59" s="169"/>
      <c r="AB59" s="169"/>
      <c r="AC59" s="169"/>
      <c r="AD59" s="169"/>
      <c r="AE59" s="169"/>
      <c r="AF59" s="169"/>
      <c r="AG59" s="169"/>
      <c r="AH59" s="170"/>
      <c r="AJ59" s="452">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5670.72</v>
      </c>
      <c r="AK59" s="452">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5670.72</v>
      </c>
      <c r="AL59" s="452">
        <f ca="1">IF(AND($D59="Serviço",AL$12&lt;&gt;0,$H59&gt;0,OR(AUTOEVENTO&lt;&gt;"manual",$M59&lt;&gt;$A$15)),
        IF(Import.TipoArredondamento&lt;&gt;"TransfereGOV",
              ROUND(OFFSET($P59,0,AL$13),15-13*ORÇAMENTO!$AF$7)/$H59*OFFSET(ORÇAMENTO!$X$15,ROW(AL59)-ROW(AL$15),0),
              ROUND(ROUND(OFFSET($P59,0,AL$13),15-13*ORÇAMENTO!$AF$7)*OFFSET(ORÇAMENTO!$W$15,ROW(AL59)-ROW(AL$15),0),15-13*ORÇAMENTO!$AF$11)),
         0)</f>
        <v>5670.72</v>
      </c>
      <c r="AM59" s="452">
        <f ca="1">IF(AND($D59="Serviço",AM$12&lt;&gt;0,$H59&gt;0,OR(AUTOEVENTO&lt;&gt;"manual",$M59&lt;&gt;$A$15)),
        IF(Import.TipoArredondamento&lt;&gt;"TransfereGOV",
              ROUND(OFFSET($P59,0,AM$13),15-13*ORÇAMENTO!$AF$7)/$H59*OFFSET(ORÇAMENTO!$X$15,ROW(AM59)-ROW(AM$15),0),
              ROUND(ROUND(OFFSET($P59,0,AM$13),15-13*ORÇAMENTO!$AF$7)*OFFSET(ORÇAMENTO!$W$15,ROW(AM59)-ROW(AM$15),0),15-13*ORÇAMENTO!$AF$11)),
         0)</f>
        <v>5670.72</v>
      </c>
      <c r="AN59" s="452">
        <f ca="1">IF(AND($D59="Serviço",AN$12&lt;&gt;0,$H59&gt;0,OR(AUTOEVENTO&lt;&gt;"manual",$M59&lt;&gt;$A$15)),
        IF(Import.TipoArredondamento&lt;&gt;"TransfereGOV",
              ROUND(OFFSET($P59,0,AN$13),15-13*ORÇAMENTO!$AF$7)/$H59*OFFSET(ORÇAMENTO!$X$15,ROW(AN59)-ROW(AN$15),0),
              ROUND(ROUND(OFFSET($P59,0,AN$13),15-13*ORÇAMENTO!$AF$7)*OFFSET(ORÇAMENTO!$W$15,ROW(AN59)-ROW(AN$15),0),15-13*ORÇAMENTO!$AF$11)),
         0)</f>
        <v>0</v>
      </c>
      <c r="AO59" s="452">
        <f ca="1">IF(AND($D59="Serviço",AO$12&lt;&gt;0,$H59&gt;0,OR(AUTOEVENTO&lt;&gt;"manual",$M59&lt;&gt;$A$15)),
        IF(Import.TipoArredondamento&lt;&gt;"TransfereGOV",
              ROUND(OFFSET($P59,0,AO$13),15-13*ORÇAMENTO!$AF$7)/$H59*OFFSET(ORÇAMENTO!$X$15,ROW(AO59)-ROW(AO$15),0),
              ROUND(ROUND(OFFSET($P59,0,AO$13),15-13*ORÇAMENTO!$AF$7)*OFFSET(ORÇAMENTO!$W$15,ROW(AO59)-ROW(AO$15),0),15-13*ORÇAMENTO!$AF$11)),
         0)</f>
        <v>0</v>
      </c>
      <c r="AP59" s="452">
        <f ca="1">IF(AND($D59="Serviço",AP$12&lt;&gt;0,$H59&gt;0,OR(AUTOEVENTO&lt;&gt;"manual",$M59&lt;&gt;$A$15)),
        IF(Import.TipoArredondamento&lt;&gt;"TransfereGOV",
              ROUND(OFFSET($P59,0,AP$13),15-13*ORÇAMENTO!$AF$7)/$H59*OFFSET(ORÇAMENTO!$X$15,ROW(AP59)-ROW(AP$15),0),
              ROUND(ROUND(OFFSET($P59,0,AP$13),15-13*ORÇAMENTO!$AF$7)*OFFSET(ORÇAMENTO!$W$15,ROW(AP59)-ROW(AP$15),0),15-13*ORÇAMENTO!$AF$11)),
         0)</f>
        <v>0</v>
      </c>
      <c r="AQ59" s="452">
        <f ca="1">IF(AND($D59="Serviço",AQ$12&lt;&gt;0,$H59&gt;0,OR(AUTOEVENTO&lt;&gt;"manual",$M59&lt;&gt;$A$15)),
        IF(Import.TipoArredondamento&lt;&gt;"TransfereGOV",
              ROUND(OFFSET($P59,0,AQ$13),15-13*ORÇAMENTO!$AF$7)/$H59*OFFSET(ORÇAMENTO!$X$15,ROW(AQ59)-ROW(AQ$15),0),
              ROUND(ROUND(OFFSET($P59,0,AQ$13),15-13*ORÇAMENTO!$AF$7)*OFFSET(ORÇAMENTO!$W$15,ROW(AQ59)-ROW(AQ$15),0),15-13*ORÇAMENTO!$AF$11)),
         0)</f>
        <v>0</v>
      </c>
      <c r="AR59" s="452">
        <f ca="1">IF(AND($D59="Serviço",AR$12&lt;&gt;0,$H59&gt;0,OR(AUTOEVENTO&lt;&gt;"manual",$M59&lt;&gt;$A$15)),
        IF(Import.TipoArredondamento&lt;&gt;"TransfereGOV",
              ROUND(OFFSET($P59,0,AR$13),15-13*ORÇAMENTO!$AF$7)/$H59*OFFSET(ORÇAMENTO!$X$15,ROW(AR59)-ROW(AR$15),0),
              ROUND(ROUND(OFFSET($P59,0,AR$13),15-13*ORÇAMENTO!$AF$7)*OFFSET(ORÇAMENTO!$W$15,ROW(AR59)-ROW(AR$15),0),15-13*ORÇAMENTO!$AF$11)),
         0)</f>
        <v>0</v>
      </c>
      <c r="AS59" s="452">
        <f ca="1">IF(AND($D59="Serviço",AS$12&lt;&gt;0,$H59&gt;0,OR(AUTOEVENTO&lt;&gt;"manual",$M59&lt;&gt;$A$15)),
        IF(Import.TipoArredondamento&lt;&gt;"TransfereGOV",
              ROUND(OFFSET($P59,0,AS$13),15-13*ORÇAMENTO!$AF$7)/$H59*OFFSET(ORÇAMENTO!$X$15,ROW(AS59)-ROW(AS$15),0),
              ROUND(ROUND(OFFSET($P59,0,AS$13),15-13*ORÇAMENTO!$AF$7)*OFFSET(ORÇAMENTO!$W$15,ROW(AS59)-ROW(AS$15),0),15-13*ORÇAMENTO!$AF$11)),
         0)</f>
        <v>0</v>
      </c>
      <c r="AT59" s="452">
        <f ca="1">IF(AND($D59="Serviço",AT$12&lt;&gt;0,$H59&gt;0,OR(AUTOEVENTO&lt;&gt;"manual",$M59&lt;&gt;$A$15)),
        IF(Import.TipoArredondamento&lt;&gt;"TransfereGOV",
              ROUND(OFFSET($P59,0,AT$13),15-13*ORÇAMENTO!$AF$7)/$H59*OFFSET(ORÇAMENTO!$X$15,ROW(AT59)-ROW(AT$15),0),
              ROUND(ROUND(OFFSET($P59,0,AT$13),15-13*ORÇAMENTO!$AF$7)*OFFSET(ORÇAMENTO!$W$15,ROW(AT59)-ROW(AT$15),0),15-13*ORÇAMENTO!$AF$11)),
         0)</f>
        <v>0</v>
      </c>
      <c r="AU59" s="452">
        <f ca="1">IF(AND($D59="Serviço",AU$12&lt;&gt;0,$H59&gt;0,OR(AUTOEVENTO&lt;&gt;"manual",$M59&lt;&gt;$A$15)),
        IF(Import.TipoArredondamento&lt;&gt;"TransfereGOV",
              ROUND(OFFSET($P59,0,AU$13),15-13*ORÇAMENTO!$AF$7)/$H59*OFFSET(ORÇAMENTO!$X$15,ROW(AU59)-ROW(AU$15),0),
              ROUND(ROUND(OFFSET($P59,0,AU$13),15-13*ORÇAMENTO!$AF$7)*OFFSET(ORÇAMENTO!$W$15,ROW(AU59)-ROW(AU$15),0),15-13*ORÇAMENTO!$AF$11)),
         0)</f>
        <v>0</v>
      </c>
      <c r="AV59" s="452">
        <f ca="1">IF(AND($D59="Serviço",AV$12&lt;&gt;0,$H59&gt;0,OR(AUTOEVENTO&lt;&gt;"manual",$M59&lt;&gt;$A$15)),
        IF(Import.TipoArredondamento&lt;&gt;"TransfereGOV",
              ROUND(OFFSET($P59,0,AV$13),15-13*ORÇAMENTO!$AF$7)/$H59*OFFSET(ORÇAMENTO!$X$15,ROW(AV59)-ROW(AV$15),0),
              ROUND(ROUND(OFFSET($P59,0,AV$13),15-13*ORÇAMENTO!$AF$7)*OFFSET(ORÇAMENTO!$W$15,ROW(AV59)-ROW(AV$15),0),15-13*ORÇAMENTO!$AF$11)),
         0)</f>
        <v>0</v>
      </c>
      <c r="AW59" s="452">
        <f ca="1">IF(AND($D59="Serviço",AW$12&lt;&gt;0,$H59&gt;0,OR(AUTOEVENTO&lt;&gt;"manual",$M59&lt;&gt;$A$15)),
        IF(Import.TipoArredondamento&lt;&gt;"TransfereGOV",
              ROUND(OFFSET($P59,0,AW$13),15-13*ORÇAMENTO!$AF$7)/$H59*OFFSET(ORÇAMENTO!$X$15,ROW(AW59)-ROW(AW$15),0),
              ROUND(ROUND(OFFSET($P59,0,AW$13),15-13*ORÇAMENTO!$AF$7)*OFFSET(ORÇAMENTO!$W$15,ROW(AW59)-ROW(AW$15),0),15-13*ORÇAMENTO!$AF$11)),
         0)</f>
        <v>0</v>
      </c>
      <c r="AX59" s="452">
        <f ca="1">IF(AND($D59="Serviço",AX$12&lt;&gt;0,$H59&gt;0,OR(AUTOEVENTO&lt;&gt;"manual",$M59&lt;&gt;$A$15)),
        IF(Import.TipoArredondamento&lt;&gt;"TransfereGOV",
              ROUND(OFFSET($P59,0,AX$13),15-13*ORÇAMENTO!$AF$7)/$H59*OFFSET(ORÇAMENTO!$X$15,ROW(AX59)-ROW(AX$15),0),
              ROUND(ROUND(OFFSET($P59,0,AX$13),15-13*ORÇAMENTO!$AF$7)*OFFSET(ORÇAMENTO!$W$15,ROW(AX59)-ROW(AX$15),0),15-13*ORÇAMENTO!$AF$11)),
         0)</f>
        <v>0</v>
      </c>
      <c r="AY59" s="452">
        <f ca="1">IF(AND($D59="Serviço",AY$12&lt;&gt;0,$H59&gt;0,OR(AUTOEVENTO&lt;&gt;"manual",$M59&lt;&gt;$A$15)),
        IF(Import.TipoArredondamento&lt;&gt;"TransfereGOV",
              ROUND(OFFSET($P59,0,AY$13),15-13*ORÇAMENTO!$AF$7)/$H59*OFFSET(ORÇAMENTO!$X$15,ROW(AY59)-ROW(AY$15),0),
              ROUND(ROUND(OFFSET($P59,0,AY$13),15-13*ORÇAMENTO!$AF$7)*OFFSET(ORÇAMENTO!$W$15,ROW(AY59)-ROW(AY$15),0),15-13*ORÇAMENTO!$AF$11)),
         0)</f>
        <v>0</v>
      </c>
      <c r="AZ59" s="452">
        <f ca="1">IF(AND($D59="Serviço",AZ$12&lt;&gt;0,$H59&gt;0,OR(AUTOEVENTO&lt;&gt;"manual",$M59&lt;&gt;$A$15)),
        IF(Import.TipoArredondamento&lt;&gt;"TransfereGOV",
              ROUND(OFFSET($P59,0,AZ$13),15-13*ORÇAMENTO!$AF$7)/$H59*OFFSET(ORÇAMENTO!$X$15,ROW(AZ59)-ROW(AZ$15),0),
              ROUND(ROUND(OFFSET($P59,0,AZ$13),15-13*ORÇAMENTO!$AF$7)*OFFSET(ORÇAMENTO!$W$15,ROW(AZ59)-ROW(AZ$15),0),15-13*ORÇAMENTO!$AF$11)),
         0)</f>
        <v>0</v>
      </c>
      <c r="BA59" s="452">
        <f ca="1">IF(AND($D59="Serviço",BA$12&lt;&gt;0,$H59&gt;0,OR(AUTOEVENTO&lt;&gt;"manual",$M59&lt;&gt;$A$15)),
        IF(Import.TipoArredondamento&lt;&gt;"TransfereGOV",
              ROUND(OFFSET($P59,0,BA$13),15-13*ORÇAMENTO!$AF$7)/$H59*OFFSET(ORÇAMENTO!$X$15,ROW(BA59)-ROW(BA$15),0),
              ROUND(ROUND(OFFSET($P59,0,BA$13),15-13*ORÇAMENTO!$AF$7)*OFFSET(ORÇAMENTO!$W$15,ROW(BA59)-ROW(BA$15),0),15-13*ORÇAMENTO!$AF$11)),
         0)</f>
        <v>0</v>
      </c>
      <c r="BC59" s="171">
        <f ca="1">IF(OR($D59&lt;&gt;"Serviço",AND(AUTOEVENTO="Manual",$M59=$A$15)),0,
         IF(OFFSET(CRONOPLE!$F$15,$M59-$A$15,BC$13)=0,10^12,OFFSET(CRONOPLE!$F$15,$M59-$A$15,BC$13)))</f>
        <v>3</v>
      </c>
      <c r="BD59" s="171">
        <f ca="1">IF(OR($D59&lt;&gt;"Serviço",AND(AUTOEVENTO="Manual",$M59=$A$15)),0,
         IF(OFFSET(CRONOPLE!$F$15,$M59-$A$15,BD$13)=0,10^12,OFFSET(CRONOPLE!$F$15,$M59-$A$15,BD$13)))</f>
        <v>4</v>
      </c>
      <c r="BE59" s="171">
        <f ca="1">IF(OR($D59&lt;&gt;"Serviço",AND(AUTOEVENTO="Manual",$M59=$A$15)),0,
         IF(OFFSET(CRONOPLE!$F$15,$M59-$A$15,BE$13)=0,10^12,OFFSET(CRONOPLE!$F$15,$M59-$A$15,BE$13)))</f>
        <v>5</v>
      </c>
      <c r="BF59" s="171">
        <f ca="1">IF(OR($D59&lt;&gt;"Serviço",AND(AUTOEVENTO="Manual",$M59=$A$15)),0,
         IF(OFFSET(CRONOPLE!$F$15,$M59-$A$15,BF$13)=0,10^12,OFFSET(CRONOPLE!$F$15,$M59-$A$15,BF$13)))</f>
        <v>5</v>
      </c>
      <c r="BG59" s="171">
        <f ca="1">IF(OR($D59&lt;&gt;"Serviço",AND(AUTOEVENTO="Manual",$M59=$A$15)),0,
         IF(OFFSET(CRONOPLE!$F$15,$M59-$A$15,BG$13)=0,10^12,OFFSET(CRONOPLE!$F$15,$M59-$A$15,BG$13)))</f>
        <v>5</v>
      </c>
      <c r="BH59" s="171">
        <f ca="1">IF(OR($D59&lt;&gt;"Serviço",AND(AUTOEVENTO="Manual",$M59=$A$15)),0,
         IF(OFFSET(CRONOPLE!$F$15,$M59-$A$15,BH$13)=0,10^12,OFFSET(CRONOPLE!$F$15,$M59-$A$15,BH$13)))</f>
        <v>1000000000000</v>
      </c>
      <c r="BI59" s="171">
        <f ca="1">IF(OR($D59&lt;&gt;"Serviço",AND(AUTOEVENTO="Manual",$M59=$A$15)),0,
         IF(OFFSET(CRONOPLE!$F$15,$M59-$A$15,BI$13)=0,10^12,OFFSET(CRONOPLE!$F$15,$M59-$A$15,BI$13)))</f>
        <v>1000000000000</v>
      </c>
      <c r="BJ59" s="171">
        <f ca="1">IF(OR($D59&lt;&gt;"Serviço",AND(AUTOEVENTO="Manual",$M59=$A$15)),0,
         IF(OFFSET(CRONOPLE!$F$15,$M59-$A$15,BJ$13)=0,10^12,OFFSET(CRONOPLE!$F$15,$M59-$A$15,BJ$13)))</f>
        <v>1000000000000</v>
      </c>
      <c r="BK59" s="171">
        <f ca="1">IF(OR($D59&lt;&gt;"Serviço",AND(AUTOEVENTO="Manual",$M59=$A$15)),0,
         IF(OFFSET(CRONOPLE!$F$15,$M59-$A$15,BK$13)=0,10^12,OFFSET(CRONOPLE!$F$15,$M59-$A$15,BK$13)))</f>
        <v>1000000000000</v>
      </c>
      <c r="BL59" s="171">
        <f ca="1">IF(OR($D59&lt;&gt;"Serviço",AND(AUTOEVENTO="Manual",$M59=$A$15)),0,
         IF(OFFSET(CRONOPLE!$F$15,$M59-$A$15,BL$13)=0,10^12,OFFSET(CRONOPLE!$F$15,$M59-$A$15,BL$13)))</f>
        <v>1000000000000</v>
      </c>
      <c r="BM59" s="171">
        <f ca="1">IF(OR($D59&lt;&gt;"Serviço",AND(AUTOEVENTO="Manual",$M59=$A$15)),0,
         IF(OFFSET(CRONOPLE!$F$15,$M59-$A$15,BM$13)=0,10^12,OFFSET(CRONOPLE!$F$15,$M59-$A$15,BM$13)))</f>
        <v>1000000000000</v>
      </c>
      <c r="BN59" s="171">
        <f ca="1">IF(OR($D59&lt;&gt;"Serviço",AND(AUTOEVENTO="Manual",$M59=$A$15)),0,
         IF(OFFSET(CRONOPLE!$F$15,$M59-$A$15,BN$13)=0,10^12,OFFSET(CRONOPLE!$F$15,$M59-$A$15,BN$13)))</f>
        <v>1000000000000</v>
      </c>
      <c r="BO59" s="171">
        <f ca="1">IF(OR($D59&lt;&gt;"Serviço",AND(AUTOEVENTO="Manual",$M59=$A$15)),0,
         IF(OFFSET(CRONOPLE!$F$15,$M59-$A$15,BO$13)=0,10^12,OFFSET(CRONOPLE!$F$15,$M59-$A$15,BO$13)))</f>
        <v>1000000000000</v>
      </c>
      <c r="BP59" s="171">
        <f ca="1">IF(OR($D59&lt;&gt;"Serviço",AND(AUTOEVENTO="Manual",$M59=$A$15)),0,
         IF(OFFSET(CRONOPLE!$F$15,$M59-$A$15,BP$13)=0,10^12,OFFSET(CRONOPLE!$F$15,$M59-$A$15,BP$13)))</f>
        <v>1000000000000</v>
      </c>
      <c r="BQ59" s="171">
        <f ca="1">IF(OR($D59&lt;&gt;"Serviço",AND(AUTOEVENTO="Manual",$M59=$A$15)),0,
         IF(OFFSET(CRONOPLE!$F$15,$M59-$A$15,BQ$13)=0,10^12,OFFSET(CRONOPLE!$F$15,$M59-$A$15,BQ$13)))</f>
        <v>1000000000000</v>
      </c>
      <c r="BR59" s="171">
        <f ca="1">IF(OR($D59&lt;&gt;"Serviço",AND(AUTOEVENTO="Manual",$M59=$A$15)),0,
         IF(OFFSET(CRONOPLE!$F$15,$M59-$A$15,BR$13)=0,10^12,OFFSET(CRONOPLE!$F$15,$M59-$A$15,BR$13)))</f>
        <v>1000000000000</v>
      </c>
      <c r="BS59" s="171">
        <f ca="1">IF(OR($D59&lt;&gt;"Serviço",AND(AUTOEVENTO="Manual",$M59=$A$15)),0,
         IF(OFFSET(CRONOPLE!$F$15,$M59-$A$15,BS$13)=0,10^12,OFFSET(CRONOPLE!$F$15,$M59-$A$15,BS$13)))</f>
        <v>1000000000000</v>
      </c>
      <c r="BT59" s="171">
        <f ca="1">IF(OR($D59&lt;&gt;"Serviço",AND(AUTOEVENTO="Manual",$M59=$A$15)),0,
         IF(OFFSET(CRONOPLE!$F$15,$M59-$A$15,BT$13)=0,10^12,OFFSET(CRONOPLE!$F$15,$M59-$A$15,BT$13)))</f>
        <v>1000000000000</v>
      </c>
      <c r="BV59" s="172">
        <f t="array" aca="1" ref="BV59" ca="1">IF(OR($D59&lt;&gt;"Serviço",AND(AUTOEVENTO="Manual",$M59=$A$15),$M59&gt;(ROW(PLE.lastrow)-ROW(PLE.firstrow))),0,
           IF(OFFSET(PLE!$G$15,$M59-$A$15,BV$13)="",10^12,OFFSET(PLE!$G$15,$M59-$A$15,BV$13)))</f>
        <v>1000000000000</v>
      </c>
      <c r="BW59" s="172">
        <f t="array" aca="1" ref="BW59" ca="1">IF(OR($D59&lt;&gt;"Serviço",AND(AUTOEVENTO="Manual",$M59=$A$15),$M59&gt;(ROW(PLE.lastrow)-ROW(PLE.firstrow))),0,
           IF(OFFSET(PLE!$G$15,$M59-$A$15,BW$13)="",10^12,OFFSET(PLE!$G$15,$M59-$A$15,BW$13)))</f>
        <v>1000000000000</v>
      </c>
      <c r="BX59" s="172">
        <f t="array" aca="1" ref="BX59" ca="1">IF(OR($D59&lt;&gt;"Serviço",AND(AUTOEVENTO="Manual",$M59=$A$15),$M59&gt;(ROW(PLE.lastrow)-ROW(PLE.firstrow))),0,
           IF(OFFSET(PLE!$G$15,$M59-$A$15,BX$13)="",10^12,OFFSET(PLE!$G$15,$M59-$A$15,BX$13)))</f>
        <v>1000000000000</v>
      </c>
      <c r="BY59" s="172">
        <f t="array" aca="1" ref="BY59" ca="1">IF(OR($D59&lt;&gt;"Serviço",AND(AUTOEVENTO="Manual",$M59=$A$15),$M59&gt;(ROW(PLE.lastrow)-ROW(PLE.firstrow))),0,
           IF(OFFSET(PLE!$G$15,$M59-$A$15,BY$13)="",10^12,OFFSET(PLE!$G$15,$M59-$A$15,BY$13)))</f>
        <v>1000000000000</v>
      </c>
      <c r="BZ59" s="172">
        <f t="array" aca="1" ref="BZ59" ca="1">IF(OR($D59&lt;&gt;"Serviço",AND(AUTOEVENTO="Manual",$M59=$A$15),$M59&gt;(ROW(PLE.lastrow)-ROW(PLE.firstrow))),0,
           IF(OFFSET(PLE!$G$15,$M59-$A$15,BZ$13)="",10^12,OFFSET(PLE!$G$15,$M59-$A$15,BZ$13)))</f>
        <v>1000000000000</v>
      </c>
      <c r="CA59" s="172">
        <f t="array" aca="1" ref="CA59" ca="1">IF(OR($D59&lt;&gt;"Serviço",AND(AUTOEVENTO="Manual",$M59=$A$15),$M59&gt;(ROW(PLE.lastrow)-ROW(PLE.firstrow))),0,
           IF(OFFSET(PLE!$G$15,$M59-$A$15,CA$13)="",10^12,OFFSET(PLE!$G$15,$M59-$A$15,CA$13)))</f>
        <v>1000000000000</v>
      </c>
      <c r="CB59" s="172">
        <f t="array" aca="1" ref="CB59" ca="1">IF(OR($D59&lt;&gt;"Serviço",AND(AUTOEVENTO="Manual",$M59=$A$15),$M59&gt;(ROW(PLE.lastrow)-ROW(PLE.firstrow))),0,
           IF(OFFSET(PLE!$G$15,$M59-$A$15,CB$13)="",10^12,OFFSET(PLE!$G$15,$M59-$A$15,CB$13)))</f>
        <v>1000000000000</v>
      </c>
      <c r="CC59" s="172">
        <f t="array" aca="1" ref="CC59" ca="1">IF(OR($D59&lt;&gt;"Serviço",AND(AUTOEVENTO="Manual",$M59=$A$15),$M59&gt;(ROW(PLE.lastrow)-ROW(PLE.firstrow))),0,
           IF(OFFSET(PLE!$G$15,$M59-$A$15,CC$13)="",10^12,OFFSET(PLE!$G$15,$M59-$A$15,CC$13)))</f>
        <v>1000000000000</v>
      </c>
      <c r="CD59" s="172">
        <f t="array" aca="1" ref="CD59" ca="1">IF(OR($D59&lt;&gt;"Serviço",AND(AUTOEVENTO="Manual",$M59=$A$15),$M59&gt;(ROW(PLE.lastrow)-ROW(PLE.firstrow))),0,
           IF(OFFSET(PLE!$G$15,$M59-$A$15,CD$13)="",10^12,OFFSET(PLE!$G$15,$M59-$A$15,CD$13)))</f>
        <v>1000000000000</v>
      </c>
      <c r="CE59" s="172">
        <f t="array" aca="1" ref="CE59" ca="1">IF(OR($D59&lt;&gt;"Serviço",AND(AUTOEVENTO="Manual",$M59=$A$15),$M59&gt;(ROW(PLE.lastrow)-ROW(PLE.firstrow))),0,
           IF(OFFSET(PLE!$G$15,$M59-$A$15,CE$13)="",10^12,OFFSET(PLE!$G$15,$M59-$A$15,CE$13)))</f>
        <v>1000000000000</v>
      </c>
      <c r="CF59" s="172">
        <f t="array" aca="1" ref="CF59" ca="1">IF(OR($D59&lt;&gt;"Serviço",AND(AUTOEVENTO="Manual",$M59=$A$15),$M59&gt;(ROW(PLE.lastrow)-ROW(PLE.firstrow))),0,
           IF(OFFSET(PLE!$G$15,$M59-$A$15,CF$13)="",10^12,OFFSET(PLE!$G$15,$M59-$A$15,CF$13)))</f>
        <v>1000000000000</v>
      </c>
      <c r="CG59" s="172">
        <f t="array" aca="1" ref="CG59" ca="1">IF(OR($D59&lt;&gt;"Serviço",AND(AUTOEVENTO="Manual",$M59=$A$15),$M59&gt;(ROW(PLE.lastrow)-ROW(PLE.firstrow))),0,
           IF(OFFSET(PLE!$G$15,$M59-$A$15,CG$13)="",10^12,OFFSET(PLE!$G$15,$M59-$A$15,CG$13)))</f>
        <v>1000000000000</v>
      </c>
      <c r="CH59" s="172">
        <f t="array" aca="1" ref="CH59" ca="1">IF(OR($D59&lt;&gt;"Serviço",AND(AUTOEVENTO="Manual",$M59=$A$15),$M59&gt;(ROW(PLE.lastrow)-ROW(PLE.firstrow))),0,
           IF(OFFSET(PLE!$G$15,$M59-$A$15,CH$13)="",10^12,OFFSET(PLE!$G$15,$M59-$A$15,CH$13)))</f>
        <v>1000000000000</v>
      </c>
      <c r="CI59" s="172">
        <f t="array" aca="1" ref="CI59" ca="1">IF(OR($D59&lt;&gt;"Serviço",AND(AUTOEVENTO="Manual",$M59=$A$15),$M59&gt;(ROW(PLE.lastrow)-ROW(PLE.firstrow))),0,
           IF(OFFSET(PLE!$G$15,$M59-$A$15,CI$13)="",10^12,OFFSET(PLE!$G$15,$M59-$A$15,CI$13)))</f>
        <v>1000000000000</v>
      </c>
      <c r="CJ59" s="172">
        <f t="array" aca="1" ref="CJ59" ca="1">IF(OR($D59&lt;&gt;"Serviço",AND(AUTOEVENTO="Manual",$M59=$A$15),$M59&gt;(ROW(PLE.lastrow)-ROW(PLE.firstrow))),0,
           IF(OFFSET(PLE!$G$15,$M59-$A$15,CJ$13)="",10^12,OFFSET(PLE!$G$15,$M59-$A$15,CJ$13)))</f>
        <v>1000000000000</v>
      </c>
      <c r="CK59" s="172">
        <f t="array" aca="1" ref="CK59" ca="1">IF(OR($D59&lt;&gt;"Serviço",AND(AUTOEVENTO="Manual",$M59=$A$15),$M59&gt;(ROW(PLE.lastrow)-ROW(PLE.firstrow))),0,
           IF(OFFSET(PLE!$G$15,$M59-$A$15,CK$13)="",10^12,OFFSET(PLE!$G$15,$M59-$A$15,CK$13)))</f>
        <v>1000000000000</v>
      </c>
      <c r="CL59" s="172">
        <f t="array" aca="1" ref="CL59" ca="1">IF(OR($D59&lt;&gt;"Serviço",AND(AUTOEVENTO="Manual",$M59=$A$15),$M59&gt;(ROW(PLE.lastrow)-ROW(PLE.firstrow))),0,
           IF(OFFSET(PLE!$G$15,$M59-$A$15,CL$13)="",10^12,OFFSET(PLE!$G$15,$M59-$A$15,CL$13)))</f>
        <v>1000000000000</v>
      </c>
      <c r="CM59" s="172">
        <f t="array" aca="1" ref="CM59" ca="1">IF(OR($D59&lt;&gt;"Serviço",AND(AUTOEVENTO="Manual",$M59=$A$15),$M59&gt;(ROW(PLE.lastrow)-ROW(PLE.firstrow))),0,
           IF(OFFSET(PLE!$G$15,$M59-$A$15,CM$13)="",10^12,OFFSET(PLE!$G$15,$M59-$A$15,CM$13)))</f>
        <v>1000000000000</v>
      </c>
    </row>
    <row r="60" spans="1:91" s="696" customFormat="1" ht="51" x14ac:dyDescent="0.2">
      <c r="A60" s="694">
        <f t="shared" ca="1" si="10"/>
        <v>8</v>
      </c>
      <c r="B60" s="694" t="str">
        <f ca="1">OFFSET(ORÇAMENTO!C$15,$L60,0)</f>
        <v>S</v>
      </c>
      <c r="C60" s="694" t="str">
        <f ca="1">OFFSET(ORÇAMENTO!L$15,$L60,0)</f>
        <v>F</v>
      </c>
      <c r="D60" s="116" t="str">
        <f ca="1">OFFSET(ORÇAMENTO!N$15,$L60,0)</f>
        <v>Serviço</v>
      </c>
      <c r="E60" s="117" t="str">
        <f ca="1">OFFSET(ORÇAMENTO!O$15,$L60,0)</f>
        <v>1.7.5.</v>
      </c>
      <c r="F60" s="163" t="str">
        <f ca="1">OFFSET(ORÇAMENTO!R$15,$L60,0)</f>
        <v>ARMAÇÃO DE PILAR OU VIGA DE ESTRUTURA CONVENCIONAL DE CONCRETO ARMADO UTILIZANDO AÇO CA-50 DE 6,3 MM - MONTAGEM. AF_06/2022</v>
      </c>
      <c r="G60" s="164" t="str">
        <f ca="1">IF($D60&lt;&gt;"Serviço","",OFFSET(ORÇAMENTO!S$15,$L60,0))</f>
        <v>KG</v>
      </c>
      <c r="H60" s="122">
        <f t="array" aca="1" ref="H60" ca="1">IF($D60&lt;&gt;"Serviço",0,IF(ACOMPANHAMENTO="BM",ROUND(OFFSET(ORÇAMENTO!AJ$15,$L60,0),15-13*ORÇAMENTO!$AF$7),IF(IFERROR(CÁLCULO.FrentesPreenchidas,0)=0,0,SUM(ROUND(OFFSET($P60,0,1,1,CÁLCULO.FrentesPreenchidas),15-13*ORÇAMENTO!$AF$7)))))</f>
        <v>300</v>
      </c>
      <c r="I60" s="467" t="s">
        <v>1234</v>
      </c>
      <c r="J60" s="653" t="str">
        <f t="array" aca="1" ref="J60" ca="1">IF(OR(B60&lt;&gt;"S",CÁLCULO.FrentesPreenchidas=0),"",IF(AND(ACOMPANHAMENTO="PLE",AUTOEVENTO="Manual",OR(H60&gt;0,ORÇAMENTO!AC60="QUANT."),OR(K60="",M60=0,N60="")),"►E",IF(AND(ACOMPANHAMENTO="PLE",ORÇAMENTO!AC60="QUANT."),"►Q",IF(AND(ACOMPANHAMENTO="PLE",H60&lt;&gt;SUMPRODUCT(($Q$1:$AI$1=1)*ROUND(Q60:AI60,15))),"►S",IF(AND(COUNTIF($P$11:$AI$11,"▼")=0,H60&gt;0,I60=""),"◄M","")))))</f>
        <v/>
      </c>
      <c r="K60" s="654" t="s">
        <v>1386</v>
      </c>
      <c r="L60" s="165">
        <f t="shared" ca="1" si="11"/>
        <v>45</v>
      </c>
      <c r="M60" s="166">
        <f ca="1">IF($D60&lt;&gt;"Serviço","",
          IF(AUTOEVENTO="manual",$A60,
                IF(ISERROR(MATCH($A60,$A$15:OFFSET($A60,-1,0),0)),MAX($M$15:OFFSET(M60,-1,0))+1,
                      INDEX($M$15:OFFSET(M60,-1,0),MATCH($A60,$A$15:OFFSET($A60,-1,0),0)))))</f>
        <v>8</v>
      </c>
      <c r="N60" s="167" t="str">
        <f ca="1">IF($D60&lt;&gt;"Serviço","",
         IF(AUTOEVENTO="Manual",
                IF($A60=0,"&lt;-- defina o número do agrupador",
                       OFFSET(EVENTOS!$D$15,$A60-$A$15,0)),
                OFFSET($F$15,$A60,0)))</f>
        <v>PILARES</v>
      </c>
      <c r="O60" s="168"/>
      <c r="Q60" s="169">
        <f>15*5</f>
        <v>75</v>
      </c>
      <c r="R60" s="169">
        <f t="shared" ref="R60:T60" si="33">15*5</f>
        <v>75</v>
      </c>
      <c r="S60" s="169">
        <f t="shared" si="33"/>
        <v>75</v>
      </c>
      <c r="T60" s="169">
        <f t="shared" si="33"/>
        <v>75</v>
      </c>
      <c r="U60" s="169"/>
      <c r="V60" s="169"/>
      <c r="W60" s="169"/>
      <c r="X60" s="169"/>
      <c r="Y60" s="169"/>
      <c r="Z60" s="170"/>
      <c r="AA60" s="169"/>
      <c r="AB60" s="169"/>
      <c r="AC60" s="169"/>
      <c r="AD60" s="169"/>
      <c r="AE60" s="169"/>
      <c r="AF60" s="169"/>
      <c r="AG60" s="169"/>
      <c r="AH60" s="170"/>
      <c r="AJ60" s="452">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1117.5</v>
      </c>
      <c r="AK60" s="452">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1117.5</v>
      </c>
      <c r="AL60" s="452">
        <f ca="1">IF(AND($D60="Serviço",AL$12&lt;&gt;0,$H60&gt;0,OR(AUTOEVENTO&lt;&gt;"manual",$M60&lt;&gt;$A$15)),
        IF(Import.TipoArredondamento&lt;&gt;"TransfereGOV",
              ROUND(OFFSET($P60,0,AL$13),15-13*ORÇAMENTO!$AF$7)/$H60*OFFSET(ORÇAMENTO!$X$15,ROW(AL60)-ROW(AL$15),0),
              ROUND(ROUND(OFFSET($P60,0,AL$13),15-13*ORÇAMENTO!$AF$7)*OFFSET(ORÇAMENTO!$W$15,ROW(AL60)-ROW(AL$15),0),15-13*ORÇAMENTO!$AF$11)),
         0)</f>
        <v>1117.5</v>
      </c>
      <c r="AM60" s="452">
        <f ca="1">IF(AND($D60="Serviço",AM$12&lt;&gt;0,$H60&gt;0,OR(AUTOEVENTO&lt;&gt;"manual",$M60&lt;&gt;$A$15)),
        IF(Import.TipoArredondamento&lt;&gt;"TransfereGOV",
              ROUND(OFFSET($P60,0,AM$13),15-13*ORÇAMENTO!$AF$7)/$H60*OFFSET(ORÇAMENTO!$X$15,ROW(AM60)-ROW(AM$15),0),
              ROUND(ROUND(OFFSET($P60,0,AM$13),15-13*ORÇAMENTO!$AF$7)*OFFSET(ORÇAMENTO!$W$15,ROW(AM60)-ROW(AM$15),0),15-13*ORÇAMENTO!$AF$11)),
         0)</f>
        <v>1117.5</v>
      </c>
      <c r="AN60" s="452">
        <f ca="1">IF(AND($D60="Serviço",AN$12&lt;&gt;0,$H60&gt;0,OR(AUTOEVENTO&lt;&gt;"manual",$M60&lt;&gt;$A$15)),
        IF(Import.TipoArredondamento&lt;&gt;"TransfereGOV",
              ROUND(OFFSET($P60,0,AN$13),15-13*ORÇAMENTO!$AF$7)/$H60*OFFSET(ORÇAMENTO!$X$15,ROW(AN60)-ROW(AN$15),0),
              ROUND(ROUND(OFFSET($P60,0,AN$13),15-13*ORÇAMENTO!$AF$7)*OFFSET(ORÇAMENTO!$W$15,ROW(AN60)-ROW(AN$15),0),15-13*ORÇAMENTO!$AF$11)),
         0)</f>
        <v>0</v>
      </c>
      <c r="AO60" s="452">
        <f ca="1">IF(AND($D60="Serviço",AO$12&lt;&gt;0,$H60&gt;0,OR(AUTOEVENTO&lt;&gt;"manual",$M60&lt;&gt;$A$15)),
        IF(Import.TipoArredondamento&lt;&gt;"TransfereGOV",
              ROUND(OFFSET($P60,0,AO$13),15-13*ORÇAMENTO!$AF$7)/$H60*OFFSET(ORÇAMENTO!$X$15,ROW(AO60)-ROW(AO$15),0),
              ROUND(ROUND(OFFSET($P60,0,AO$13),15-13*ORÇAMENTO!$AF$7)*OFFSET(ORÇAMENTO!$W$15,ROW(AO60)-ROW(AO$15),0),15-13*ORÇAMENTO!$AF$11)),
         0)</f>
        <v>0</v>
      </c>
      <c r="AP60" s="452">
        <f ca="1">IF(AND($D60="Serviço",AP$12&lt;&gt;0,$H60&gt;0,OR(AUTOEVENTO&lt;&gt;"manual",$M60&lt;&gt;$A$15)),
        IF(Import.TipoArredondamento&lt;&gt;"TransfereGOV",
              ROUND(OFFSET($P60,0,AP$13),15-13*ORÇAMENTO!$AF$7)/$H60*OFFSET(ORÇAMENTO!$X$15,ROW(AP60)-ROW(AP$15),0),
              ROUND(ROUND(OFFSET($P60,0,AP$13),15-13*ORÇAMENTO!$AF$7)*OFFSET(ORÇAMENTO!$W$15,ROW(AP60)-ROW(AP$15),0),15-13*ORÇAMENTO!$AF$11)),
         0)</f>
        <v>0</v>
      </c>
      <c r="AQ60" s="452">
        <f ca="1">IF(AND($D60="Serviço",AQ$12&lt;&gt;0,$H60&gt;0,OR(AUTOEVENTO&lt;&gt;"manual",$M60&lt;&gt;$A$15)),
        IF(Import.TipoArredondamento&lt;&gt;"TransfereGOV",
              ROUND(OFFSET($P60,0,AQ$13),15-13*ORÇAMENTO!$AF$7)/$H60*OFFSET(ORÇAMENTO!$X$15,ROW(AQ60)-ROW(AQ$15),0),
              ROUND(ROUND(OFFSET($P60,0,AQ$13),15-13*ORÇAMENTO!$AF$7)*OFFSET(ORÇAMENTO!$W$15,ROW(AQ60)-ROW(AQ$15),0),15-13*ORÇAMENTO!$AF$11)),
         0)</f>
        <v>0</v>
      </c>
      <c r="AR60" s="452">
        <f ca="1">IF(AND($D60="Serviço",AR$12&lt;&gt;0,$H60&gt;0,OR(AUTOEVENTO&lt;&gt;"manual",$M60&lt;&gt;$A$15)),
        IF(Import.TipoArredondamento&lt;&gt;"TransfereGOV",
              ROUND(OFFSET($P60,0,AR$13),15-13*ORÇAMENTO!$AF$7)/$H60*OFFSET(ORÇAMENTO!$X$15,ROW(AR60)-ROW(AR$15),0),
              ROUND(ROUND(OFFSET($P60,0,AR$13),15-13*ORÇAMENTO!$AF$7)*OFFSET(ORÇAMENTO!$W$15,ROW(AR60)-ROW(AR$15),0),15-13*ORÇAMENTO!$AF$11)),
         0)</f>
        <v>0</v>
      </c>
      <c r="AS60" s="452">
        <f ca="1">IF(AND($D60="Serviço",AS$12&lt;&gt;0,$H60&gt;0,OR(AUTOEVENTO&lt;&gt;"manual",$M60&lt;&gt;$A$15)),
        IF(Import.TipoArredondamento&lt;&gt;"TransfereGOV",
              ROUND(OFFSET($P60,0,AS$13),15-13*ORÇAMENTO!$AF$7)/$H60*OFFSET(ORÇAMENTO!$X$15,ROW(AS60)-ROW(AS$15),0),
              ROUND(ROUND(OFFSET($P60,0,AS$13),15-13*ORÇAMENTO!$AF$7)*OFFSET(ORÇAMENTO!$W$15,ROW(AS60)-ROW(AS$15),0),15-13*ORÇAMENTO!$AF$11)),
         0)</f>
        <v>0</v>
      </c>
      <c r="AT60" s="452">
        <f ca="1">IF(AND($D60="Serviço",AT$12&lt;&gt;0,$H60&gt;0,OR(AUTOEVENTO&lt;&gt;"manual",$M60&lt;&gt;$A$15)),
        IF(Import.TipoArredondamento&lt;&gt;"TransfereGOV",
              ROUND(OFFSET($P60,0,AT$13),15-13*ORÇAMENTO!$AF$7)/$H60*OFFSET(ORÇAMENTO!$X$15,ROW(AT60)-ROW(AT$15),0),
              ROUND(ROUND(OFFSET($P60,0,AT$13),15-13*ORÇAMENTO!$AF$7)*OFFSET(ORÇAMENTO!$W$15,ROW(AT60)-ROW(AT$15),0),15-13*ORÇAMENTO!$AF$11)),
         0)</f>
        <v>0</v>
      </c>
      <c r="AU60" s="452">
        <f ca="1">IF(AND($D60="Serviço",AU$12&lt;&gt;0,$H60&gt;0,OR(AUTOEVENTO&lt;&gt;"manual",$M60&lt;&gt;$A$15)),
        IF(Import.TipoArredondamento&lt;&gt;"TransfereGOV",
              ROUND(OFFSET($P60,0,AU$13),15-13*ORÇAMENTO!$AF$7)/$H60*OFFSET(ORÇAMENTO!$X$15,ROW(AU60)-ROW(AU$15),0),
              ROUND(ROUND(OFFSET($P60,0,AU$13),15-13*ORÇAMENTO!$AF$7)*OFFSET(ORÇAMENTO!$W$15,ROW(AU60)-ROW(AU$15),0),15-13*ORÇAMENTO!$AF$11)),
         0)</f>
        <v>0</v>
      </c>
      <c r="AV60" s="452">
        <f ca="1">IF(AND($D60="Serviço",AV$12&lt;&gt;0,$H60&gt;0,OR(AUTOEVENTO&lt;&gt;"manual",$M60&lt;&gt;$A$15)),
        IF(Import.TipoArredondamento&lt;&gt;"TransfereGOV",
              ROUND(OFFSET($P60,0,AV$13),15-13*ORÇAMENTO!$AF$7)/$H60*OFFSET(ORÇAMENTO!$X$15,ROW(AV60)-ROW(AV$15),0),
              ROUND(ROUND(OFFSET($P60,0,AV$13),15-13*ORÇAMENTO!$AF$7)*OFFSET(ORÇAMENTO!$W$15,ROW(AV60)-ROW(AV$15),0),15-13*ORÇAMENTO!$AF$11)),
         0)</f>
        <v>0</v>
      </c>
      <c r="AW60" s="452">
        <f ca="1">IF(AND($D60="Serviço",AW$12&lt;&gt;0,$H60&gt;0,OR(AUTOEVENTO&lt;&gt;"manual",$M60&lt;&gt;$A$15)),
        IF(Import.TipoArredondamento&lt;&gt;"TransfereGOV",
              ROUND(OFFSET($P60,0,AW$13),15-13*ORÇAMENTO!$AF$7)/$H60*OFFSET(ORÇAMENTO!$X$15,ROW(AW60)-ROW(AW$15),0),
              ROUND(ROUND(OFFSET($P60,0,AW$13),15-13*ORÇAMENTO!$AF$7)*OFFSET(ORÇAMENTO!$W$15,ROW(AW60)-ROW(AW$15),0),15-13*ORÇAMENTO!$AF$11)),
         0)</f>
        <v>0</v>
      </c>
      <c r="AX60" s="452">
        <f ca="1">IF(AND($D60="Serviço",AX$12&lt;&gt;0,$H60&gt;0,OR(AUTOEVENTO&lt;&gt;"manual",$M60&lt;&gt;$A$15)),
        IF(Import.TipoArredondamento&lt;&gt;"TransfereGOV",
              ROUND(OFFSET($P60,0,AX$13),15-13*ORÇAMENTO!$AF$7)/$H60*OFFSET(ORÇAMENTO!$X$15,ROW(AX60)-ROW(AX$15),0),
              ROUND(ROUND(OFFSET($P60,0,AX$13),15-13*ORÇAMENTO!$AF$7)*OFFSET(ORÇAMENTO!$W$15,ROW(AX60)-ROW(AX$15),0),15-13*ORÇAMENTO!$AF$11)),
         0)</f>
        <v>0</v>
      </c>
      <c r="AY60" s="452">
        <f ca="1">IF(AND($D60="Serviço",AY$12&lt;&gt;0,$H60&gt;0,OR(AUTOEVENTO&lt;&gt;"manual",$M60&lt;&gt;$A$15)),
        IF(Import.TipoArredondamento&lt;&gt;"TransfereGOV",
              ROUND(OFFSET($P60,0,AY$13),15-13*ORÇAMENTO!$AF$7)/$H60*OFFSET(ORÇAMENTO!$X$15,ROW(AY60)-ROW(AY$15),0),
              ROUND(ROUND(OFFSET($P60,0,AY$13),15-13*ORÇAMENTO!$AF$7)*OFFSET(ORÇAMENTO!$W$15,ROW(AY60)-ROW(AY$15),0),15-13*ORÇAMENTO!$AF$11)),
         0)</f>
        <v>0</v>
      </c>
      <c r="AZ60" s="452">
        <f ca="1">IF(AND($D60="Serviço",AZ$12&lt;&gt;0,$H60&gt;0,OR(AUTOEVENTO&lt;&gt;"manual",$M60&lt;&gt;$A$15)),
        IF(Import.TipoArredondamento&lt;&gt;"TransfereGOV",
              ROUND(OFFSET($P60,0,AZ$13),15-13*ORÇAMENTO!$AF$7)/$H60*OFFSET(ORÇAMENTO!$X$15,ROW(AZ60)-ROW(AZ$15),0),
              ROUND(ROUND(OFFSET($P60,0,AZ$13),15-13*ORÇAMENTO!$AF$7)*OFFSET(ORÇAMENTO!$W$15,ROW(AZ60)-ROW(AZ$15),0),15-13*ORÇAMENTO!$AF$11)),
         0)</f>
        <v>0</v>
      </c>
      <c r="BA60" s="452">
        <f ca="1">IF(AND($D60="Serviço",BA$12&lt;&gt;0,$H60&gt;0,OR(AUTOEVENTO&lt;&gt;"manual",$M60&lt;&gt;$A$15)),
        IF(Import.TipoArredondamento&lt;&gt;"TransfereGOV",
              ROUND(OFFSET($P60,0,BA$13),15-13*ORÇAMENTO!$AF$7)/$H60*OFFSET(ORÇAMENTO!$X$15,ROW(BA60)-ROW(BA$15),0),
              ROUND(ROUND(OFFSET($P60,0,BA$13),15-13*ORÇAMENTO!$AF$7)*OFFSET(ORÇAMENTO!$W$15,ROW(BA60)-ROW(BA$15),0),15-13*ORÇAMENTO!$AF$11)),
         0)</f>
        <v>0</v>
      </c>
      <c r="BC60" s="171">
        <f ca="1">IF(OR($D60&lt;&gt;"Serviço",AND(AUTOEVENTO="Manual",$M60=$A$15)),0,
         IF(OFFSET(CRONOPLE!$F$15,$M60-$A$15,BC$13)=0,10^12,OFFSET(CRONOPLE!$F$15,$M60-$A$15,BC$13)))</f>
        <v>3</v>
      </c>
      <c r="BD60" s="171">
        <f ca="1">IF(OR($D60&lt;&gt;"Serviço",AND(AUTOEVENTO="Manual",$M60=$A$15)),0,
         IF(OFFSET(CRONOPLE!$F$15,$M60-$A$15,BD$13)=0,10^12,OFFSET(CRONOPLE!$F$15,$M60-$A$15,BD$13)))</f>
        <v>3</v>
      </c>
      <c r="BE60" s="171">
        <f ca="1">IF(OR($D60&lt;&gt;"Serviço",AND(AUTOEVENTO="Manual",$M60=$A$15)),0,
         IF(OFFSET(CRONOPLE!$F$15,$M60-$A$15,BE$13)=0,10^12,OFFSET(CRONOPLE!$F$15,$M60-$A$15,BE$13)))</f>
        <v>4</v>
      </c>
      <c r="BF60" s="171">
        <f ca="1">IF(OR($D60&lt;&gt;"Serviço",AND(AUTOEVENTO="Manual",$M60=$A$15)),0,
         IF(OFFSET(CRONOPLE!$F$15,$M60-$A$15,BF$13)=0,10^12,OFFSET(CRONOPLE!$F$15,$M60-$A$15,BF$13)))</f>
        <v>4</v>
      </c>
      <c r="BG60" s="171">
        <f ca="1">IF(OR($D60&lt;&gt;"Serviço",AND(AUTOEVENTO="Manual",$M60=$A$15)),0,
         IF(OFFSET(CRONOPLE!$F$15,$M60-$A$15,BG$13)=0,10^12,OFFSET(CRONOPLE!$F$15,$M60-$A$15,BG$13)))</f>
        <v>4</v>
      </c>
      <c r="BH60" s="171">
        <f ca="1">IF(OR($D60&lt;&gt;"Serviço",AND(AUTOEVENTO="Manual",$M60=$A$15)),0,
         IF(OFFSET(CRONOPLE!$F$15,$M60-$A$15,BH$13)=0,10^12,OFFSET(CRONOPLE!$F$15,$M60-$A$15,BH$13)))</f>
        <v>1000000000000</v>
      </c>
      <c r="BI60" s="171">
        <f ca="1">IF(OR($D60&lt;&gt;"Serviço",AND(AUTOEVENTO="Manual",$M60=$A$15)),0,
         IF(OFFSET(CRONOPLE!$F$15,$M60-$A$15,BI$13)=0,10^12,OFFSET(CRONOPLE!$F$15,$M60-$A$15,BI$13)))</f>
        <v>1000000000000</v>
      </c>
      <c r="BJ60" s="171">
        <f ca="1">IF(OR($D60&lt;&gt;"Serviço",AND(AUTOEVENTO="Manual",$M60=$A$15)),0,
         IF(OFFSET(CRONOPLE!$F$15,$M60-$A$15,BJ$13)=0,10^12,OFFSET(CRONOPLE!$F$15,$M60-$A$15,BJ$13)))</f>
        <v>1000000000000</v>
      </c>
      <c r="BK60" s="171">
        <f ca="1">IF(OR($D60&lt;&gt;"Serviço",AND(AUTOEVENTO="Manual",$M60=$A$15)),0,
         IF(OFFSET(CRONOPLE!$F$15,$M60-$A$15,BK$13)=0,10^12,OFFSET(CRONOPLE!$F$15,$M60-$A$15,BK$13)))</f>
        <v>1000000000000</v>
      </c>
      <c r="BL60" s="171">
        <f ca="1">IF(OR($D60&lt;&gt;"Serviço",AND(AUTOEVENTO="Manual",$M60=$A$15)),0,
         IF(OFFSET(CRONOPLE!$F$15,$M60-$A$15,BL$13)=0,10^12,OFFSET(CRONOPLE!$F$15,$M60-$A$15,BL$13)))</f>
        <v>1000000000000</v>
      </c>
      <c r="BM60" s="171">
        <f ca="1">IF(OR($D60&lt;&gt;"Serviço",AND(AUTOEVENTO="Manual",$M60=$A$15)),0,
         IF(OFFSET(CRONOPLE!$F$15,$M60-$A$15,BM$13)=0,10^12,OFFSET(CRONOPLE!$F$15,$M60-$A$15,BM$13)))</f>
        <v>1000000000000</v>
      </c>
      <c r="BN60" s="171">
        <f ca="1">IF(OR($D60&lt;&gt;"Serviço",AND(AUTOEVENTO="Manual",$M60=$A$15)),0,
         IF(OFFSET(CRONOPLE!$F$15,$M60-$A$15,BN$13)=0,10^12,OFFSET(CRONOPLE!$F$15,$M60-$A$15,BN$13)))</f>
        <v>1000000000000</v>
      </c>
      <c r="BO60" s="171">
        <f ca="1">IF(OR($D60&lt;&gt;"Serviço",AND(AUTOEVENTO="Manual",$M60=$A$15)),0,
         IF(OFFSET(CRONOPLE!$F$15,$M60-$A$15,BO$13)=0,10^12,OFFSET(CRONOPLE!$F$15,$M60-$A$15,BO$13)))</f>
        <v>1000000000000</v>
      </c>
      <c r="BP60" s="171">
        <f ca="1">IF(OR($D60&lt;&gt;"Serviço",AND(AUTOEVENTO="Manual",$M60=$A$15)),0,
         IF(OFFSET(CRONOPLE!$F$15,$M60-$A$15,BP$13)=0,10^12,OFFSET(CRONOPLE!$F$15,$M60-$A$15,BP$13)))</f>
        <v>1000000000000</v>
      </c>
      <c r="BQ60" s="171">
        <f ca="1">IF(OR($D60&lt;&gt;"Serviço",AND(AUTOEVENTO="Manual",$M60=$A$15)),0,
         IF(OFFSET(CRONOPLE!$F$15,$M60-$A$15,BQ$13)=0,10^12,OFFSET(CRONOPLE!$F$15,$M60-$A$15,BQ$13)))</f>
        <v>1000000000000</v>
      </c>
      <c r="BR60" s="171">
        <f ca="1">IF(OR($D60&lt;&gt;"Serviço",AND(AUTOEVENTO="Manual",$M60=$A$15)),0,
         IF(OFFSET(CRONOPLE!$F$15,$M60-$A$15,BR$13)=0,10^12,OFFSET(CRONOPLE!$F$15,$M60-$A$15,BR$13)))</f>
        <v>1000000000000</v>
      </c>
      <c r="BS60" s="171">
        <f ca="1">IF(OR($D60&lt;&gt;"Serviço",AND(AUTOEVENTO="Manual",$M60=$A$15)),0,
         IF(OFFSET(CRONOPLE!$F$15,$M60-$A$15,BS$13)=0,10^12,OFFSET(CRONOPLE!$F$15,$M60-$A$15,BS$13)))</f>
        <v>1000000000000</v>
      </c>
      <c r="BT60" s="171">
        <f ca="1">IF(OR($D60&lt;&gt;"Serviço",AND(AUTOEVENTO="Manual",$M60=$A$15)),0,
         IF(OFFSET(CRONOPLE!$F$15,$M60-$A$15,BT$13)=0,10^12,OFFSET(CRONOPLE!$F$15,$M60-$A$15,BT$13)))</f>
        <v>1000000000000</v>
      </c>
      <c r="BV60" s="172">
        <f t="array" aca="1" ref="BV60" ca="1">IF(OR($D60&lt;&gt;"Serviço",AND(AUTOEVENTO="Manual",$M60=$A$15),$M60&gt;(ROW(PLE.lastrow)-ROW(PLE.firstrow))),0,
           IF(OFFSET(PLE!$G$15,$M60-$A$15,BV$13)="",10^12,OFFSET(PLE!$G$15,$M60-$A$15,BV$13)))</f>
        <v>1000000000000</v>
      </c>
      <c r="BW60" s="172">
        <f t="array" aca="1" ref="BW60" ca="1">IF(OR($D60&lt;&gt;"Serviço",AND(AUTOEVENTO="Manual",$M60=$A$15),$M60&gt;(ROW(PLE.lastrow)-ROW(PLE.firstrow))),0,
           IF(OFFSET(PLE!$G$15,$M60-$A$15,BW$13)="",10^12,OFFSET(PLE!$G$15,$M60-$A$15,BW$13)))</f>
        <v>1000000000000</v>
      </c>
      <c r="BX60" s="172">
        <f t="array" aca="1" ref="BX60" ca="1">IF(OR($D60&lt;&gt;"Serviço",AND(AUTOEVENTO="Manual",$M60=$A$15),$M60&gt;(ROW(PLE.lastrow)-ROW(PLE.firstrow))),0,
           IF(OFFSET(PLE!$G$15,$M60-$A$15,BX$13)="",10^12,OFFSET(PLE!$G$15,$M60-$A$15,BX$13)))</f>
        <v>1000000000000</v>
      </c>
      <c r="BY60" s="172">
        <f t="array" aca="1" ref="BY60" ca="1">IF(OR($D60&lt;&gt;"Serviço",AND(AUTOEVENTO="Manual",$M60=$A$15),$M60&gt;(ROW(PLE.lastrow)-ROW(PLE.firstrow))),0,
           IF(OFFSET(PLE!$G$15,$M60-$A$15,BY$13)="",10^12,OFFSET(PLE!$G$15,$M60-$A$15,BY$13)))</f>
        <v>1000000000000</v>
      </c>
      <c r="BZ60" s="172">
        <f t="array" aca="1" ref="BZ60" ca="1">IF(OR($D60&lt;&gt;"Serviço",AND(AUTOEVENTO="Manual",$M60=$A$15),$M60&gt;(ROW(PLE.lastrow)-ROW(PLE.firstrow))),0,
           IF(OFFSET(PLE!$G$15,$M60-$A$15,BZ$13)="",10^12,OFFSET(PLE!$G$15,$M60-$A$15,BZ$13)))</f>
        <v>1000000000000</v>
      </c>
      <c r="CA60" s="172">
        <f t="array" aca="1" ref="CA60" ca="1">IF(OR($D60&lt;&gt;"Serviço",AND(AUTOEVENTO="Manual",$M60=$A$15),$M60&gt;(ROW(PLE.lastrow)-ROW(PLE.firstrow))),0,
           IF(OFFSET(PLE!$G$15,$M60-$A$15,CA$13)="",10^12,OFFSET(PLE!$G$15,$M60-$A$15,CA$13)))</f>
        <v>1000000000000</v>
      </c>
      <c r="CB60" s="172">
        <f t="array" aca="1" ref="CB60" ca="1">IF(OR($D60&lt;&gt;"Serviço",AND(AUTOEVENTO="Manual",$M60=$A$15),$M60&gt;(ROW(PLE.lastrow)-ROW(PLE.firstrow))),0,
           IF(OFFSET(PLE!$G$15,$M60-$A$15,CB$13)="",10^12,OFFSET(PLE!$G$15,$M60-$A$15,CB$13)))</f>
        <v>1000000000000</v>
      </c>
      <c r="CC60" s="172">
        <f t="array" aca="1" ref="CC60" ca="1">IF(OR($D60&lt;&gt;"Serviço",AND(AUTOEVENTO="Manual",$M60=$A$15),$M60&gt;(ROW(PLE.lastrow)-ROW(PLE.firstrow))),0,
           IF(OFFSET(PLE!$G$15,$M60-$A$15,CC$13)="",10^12,OFFSET(PLE!$G$15,$M60-$A$15,CC$13)))</f>
        <v>1000000000000</v>
      </c>
      <c r="CD60" s="172">
        <f t="array" aca="1" ref="CD60" ca="1">IF(OR($D60&lt;&gt;"Serviço",AND(AUTOEVENTO="Manual",$M60=$A$15),$M60&gt;(ROW(PLE.lastrow)-ROW(PLE.firstrow))),0,
           IF(OFFSET(PLE!$G$15,$M60-$A$15,CD$13)="",10^12,OFFSET(PLE!$G$15,$M60-$A$15,CD$13)))</f>
        <v>1000000000000</v>
      </c>
      <c r="CE60" s="172">
        <f t="array" aca="1" ref="CE60" ca="1">IF(OR($D60&lt;&gt;"Serviço",AND(AUTOEVENTO="Manual",$M60=$A$15),$M60&gt;(ROW(PLE.lastrow)-ROW(PLE.firstrow))),0,
           IF(OFFSET(PLE!$G$15,$M60-$A$15,CE$13)="",10^12,OFFSET(PLE!$G$15,$M60-$A$15,CE$13)))</f>
        <v>1000000000000</v>
      </c>
      <c r="CF60" s="172">
        <f t="array" aca="1" ref="CF60" ca="1">IF(OR($D60&lt;&gt;"Serviço",AND(AUTOEVENTO="Manual",$M60=$A$15),$M60&gt;(ROW(PLE.lastrow)-ROW(PLE.firstrow))),0,
           IF(OFFSET(PLE!$G$15,$M60-$A$15,CF$13)="",10^12,OFFSET(PLE!$G$15,$M60-$A$15,CF$13)))</f>
        <v>1000000000000</v>
      </c>
      <c r="CG60" s="172">
        <f t="array" aca="1" ref="CG60" ca="1">IF(OR($D60&lt;&gt;"Serviço",AND(AUTOEVENTO="Manual",$M60=$A$15),$M60&gt;(ROW(PLE.lastrow)-ROW(PLE.firstrow))),0,
           IF(OFFSET(PLE!$G$15,$M60-$A$15,CG$13)="",10^12,OFFSET(PLE!$G$15,$M60-$A$15,CG$13)))</f>
        <v>1000000000000</v>
      </c>
      <c r="CH60" s="172">
        <f t="array" aca="1" ref="CH60" ca="1">IF(OR($D60&lt;&gt;"Serviço",AND(AUTOEVENTO="Manual",$M60=$A$15),$M60&gt;(ROW(PLE.lastrow)-ROW(PLE.firstrow))),0,
           IF(OFFSET(PLE!$G$15,$M60-$A$15,CH$13)="",10^12,OFFSET(PLE!$G$15,$M60-$A$15,CH$13)))</f>
        <v>1000000000000</v>
      </c>
      <c r="CI60" s="172">
        <f t="array" aca="1" ref="CI60" ca="1">IF(OR($D60&lt;&gt;"Serviço",AND(AUTOEVENTO="Manual",$M60=$A$15),$M60&gt;(ROW(PLE.lastrow)-ROW(PLE.firstrow))),0,
           IF(OFFSET(PLE!$G$15,$M60-$A$15,CI$13)="",10^12,OFFSET(PLE!$G$15,$M60-$A$15,CI$13)))</f>
        <v>1000000000000</v>
      </c>
      <c r="CJ60" s="172">
        <f t="array" aca="1" ref="CJ60" ca="1">IF(OR($D60&lt;&gt;"Serviço",AND(AUTOEVENTO="Manual",$M60=$A$15),$M60&gt;(ROW(PLE.lastrow)-ROW(PLE.firstrow))),0,
           IF(OFFSET(PLE!$G$15,$M60-$A$15,CJ$13)="",10^12,OFFSET(PLE!$G$15,$M60-$A$15,CJ$13)))</f>
        <v>1000000000000</v>
      </c>
      <c r="CK60" s="172">
        <f t="array" aca="1" ref="CK60" ca="1">IF(OR($D60&lt;&gt;"Serviço",AND(AUTOEVENTO="Manual",$M60=$A$15),$M60&gt;(ROW(PLE.lastrow)-ROW(PLE.firstrow))),0,
           IF(OFFSET(PLE!$G$15,$M60-$A$15,CK$13)="",10^12,OFFSET(PLE!$G$15,$M60-$A$15,CK$13)))</f>
        <v>1000000000000</v>
      </c>
      <c r="CL60" s="172">
        <f t="array" aca="1" ref="CL60" ca="1">IF(OR($D60&lt;&gt;"Serviço",AND(AUTOEVENTO="Manual",$M60=$A$15),$M60&gt;(ROW(PLE.lastrow)-ROW(PLE.firstrow))),0,
           IF(OFFSET(PLE!$G$15,$M60-$A$15,CL$13)="",10^12,OFFSET(PLE!$G$15,$M60-$A$15,CL$13)))</f>
        <v>1000000000000</v>
      </c>
      <c r="CM60" s="172">
        <f t="array" aca="1" ref="CM60" ca="1">IF(OR($D60&lt;&gt;"Serviço",AND(AUTOEVENTO="Manual",$M60=$A$15),$M60&gt;(ROW(PLE.lastrow)-ROW(PLE.firstrow))),0,
           IF(OFFSET(PLE!$G$15,$M60-$A$15,CM$13)="",10^12,OFFSET(PLE!$G$15,$M60-$A$15,CM$13)))</f>
        <v>1000000000000</v>
      </c>
    </row>
    <row r="61" spans="1:91" s="696" customFormat="1" ht="51" x14ac:dyDescent="0.2">
      <c r="A61" s="694">
        <f t="shared" ca="1" si="10"/>
        <v>7</v>
      </c>
      <c r="B61" s="694" t="str">
        <f ca="1">OFFSET(ORÇAMENTO!C$15,$L61,0)</f>
        <v>S</v>
      </c>
      <c r="C61" s="694" t="str">
        <f ca="1">OFFSET(ORÇAMENTO!L$15,$L61,0)</f>
        <v>F</v>
      </c>
      <c r="D61" s="116" t="str">
        <f ca="1">OFFSET(ORÇAMENTO!N$15,$L61,0)</f>
        <v>Serviço</v>
      </c>
      <c r="E61" s="117" t="str">
        <f ca="1">OFFSET(ORÇAMENTO!O$15,$L61,0)</f>
        <v>1.7.6.</v>
      </c>
      <c r="F61" s="163" t="str">
        <f ca="1">OFFSET(ORÇAMENTO!R$15,$L61,0)</f>
        <v>ARMAÇÃO DE PILAR OU VIGA DE ESTRUTURA CONVENCIONAL DE CONCRETO ARMADO UTILIZANDO AÇO CA-50 DE 8,0 MM - MONTAGEM. AF_06/2022</v>
      </c>
      <c r="G61" s="164" t="str">
        <f ca="1">IF($D61&lt;&gt;"Serviço","",OFFSET(ORÇAMENTO!S$15,$L61,0))</f>
        <v>KG</v>
      </c>
      <c r="H61" s="122">
        <f t="array" aca="1" ref="H61" ca="1">IF($D61&lt;&gt;"Serviço",0,IF(ACOMPANHAMENTO="BM",ROUND(OFFSET(ORÇAMENTO!AJ$15,$L61,0),15-13*ORÇAMENTO!$AF$7),IF(IFERROR(CÁLCULO.FrentesPreenchidas,0)=0,0,SUM(ROUND(OFFSET($P61,0,1,1,CÁLCULO.FrentesPreenchidas),15-13*ORÇAMENTO!$AF$7)))))</f>
        <v>1306</v>
      </c>
      <c r="I61" s="467" t="s">
        <v>1235</v>
      </c>
      <c r="J61" s="653" t="str">
        <f t="array" aca="1" ref="J61" ca="1">IF(OR(B61&lt;&gt;"S",CÁLCULO.FrentesPreenchidas=0),"",IF(AND(ACOMPANHAMENTO="PLE",AUTOEVENTO="Manual",OR(H61&gt;0,ORÇAMENTO!AC61="QUANT."),OR(K61="",M61=0,N61="")),"►E",IF(AND(ACOMPANHAMENTO="PLE",ORÇAMENTO!AC61="QUANT."),"►Q",IF(AND(ACOMPANHAMENTO="PLE",H61&lt;&gt;SUMPRODUCT(($Q$1:$AI$1=1)*ROUND(Q61:AI61,15))),"►S",IF(AND(COUNTIF($P$11:$AI$11,"▼")=0,H61&gt;0,I61=""),"◄M","")))))</f>
        <v/>
      </c>
      <c r="K61" s="654" t="s">
        <v>1387</v>
      </c>
      <c r="L61" s="165">
        <f t="shared" ca="1" si="11"/>
        <v>46</v>
      </c>
      <c r="M61" s="166">
        <f ca="1">IF($D61&lt;&gt;"Serviço","",
          IF(AUTOEVENTO="manual",$A61,
                IF(ISERROR(MATCH($A61,$A$15:OFFSET($A61,-1,0),0)),MAX($M$15:OFFSET(M61,-1,0))+1,
                      INDEX($M$15:OFFSET(M61,-1,0),MATCH($A61,$A$15:OFFSET($A61,-1,0),0)))))</f>
        <v>7</v>
      </c>
      <c r="N61" s="167" t="str">
        <f ca="1">IF($D61&lt;&gt;"Serviço","",
         IF(AUTOEVENTO="Manual",
                IF($A61=0,"&lt;-- defina o número do agrupador",
                       OFFSET(EVENTOS!$D$15,$A61-$A$15,0)),
                OFFSET($F$15,$A61,0)))</f>
        <v>VIGAS DE RESPALDO</v>
      </c>
      <c r="O61" s="168"/>
      <c r="Q61" s="169">
        <f>65.3*5</f>
        <v>326.5</v>
      </c>
      <c r="R61" s="169">
        <f t="shared" ref="R61:T61" si="34">65.3*5</f>
        <v>326.5</v>
      </c>
      <c r="S61" s="169">
        <f t="shared" si="34"/>
        <v>326.5</v>
      </c>
      <c r="T61" s="169">
        <f t="shared" si="34"/>
        <v>326.5</v>
      </c>
      <c r="U61" s="169"/>
      <c r="V61" s="169"/>
      <c r="W61" s="169"/>
      <c r="X61" s="169"/>
      <c r="Y61" s="169"/>
      <c r="Z61" s="170"/>
      <c r="AA61" s="169"/>
      <c r="AB61" s="169"/>
      <c r="AC61" s="169"/>
      <c r="AD61" s="169"/>
      <c r="AE61" s="169"/>
      <c r="AF61" s="169"/>
      <c r="AG61" s="169"/>
      <c r="AH61" s="170"/>
      <c r="AJ61" s="452">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4499.17</v>
      </c>
      <c r="AK61" s="452">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4499.17</v>
      </c>
      <c r="AL61" s="452">
        <f ca="1">IF(AND($D61="Serviço",AL$12&lt;&gt;0,$H61&gt;0,OR(AUTOEVENTO&lt;&gt;"manual",$M61&lt;&gt;$A$15)),
        IF(Import.TipoArredondamento&lt;&gt;"TransfereGOV",
              ROUND(OFFSET($P61,0,AL$13),15-13*ORÇAMENTO!$AF$7)/$H61*OFFSET(ORÇAMENTO!$X$15,ROW(AL61)-ROW(AL$15),0),
              ROUND(ROUND(OFFSET($P61,0,AL$13),15-13*ORÇAMENTO!$AF$7)*OFFSET(ORÇAMENTO!$W$15,ROW(AL61)-ROW(AL$15),0),15-13*ORÇAMENTO!$AF$11)),
         0)</f>
        <v>4499.17</v>
      </c>
      <c r="AM61" s="452">
        <f ca="1">IF(AND($D61="Serviço",AM$12&lt;&gt;0,$H61&gt;0,OR(AUTOEVENTO&lt;&gt;"manual",$M61&lt;&gt;$A$15)),
        IF(Import.TipoArredondamento&lt;&gt;"TransfereGOV",
              ROUND(OFFSET($P61,0,AM$13),15-13*ORÇAMENTO!$AF$7)/$H61*OFFSET(ORÇAMENTO!$X$15,ROW(AM61)-ROW(AM$15),0),
              ROUND(ROUND(OFFSET($P61,0,AM$13),15-13*ORÇAMENTO!$AF$7)*OFFSET(ORÇAMENTO!$W$15,ROW(AM61)-ROW(AM$15),0),15-13*ORÇAMENTO!$AF$11)),
         0)</f>
        <v>4499.17</v>
      </c>
      <c r="AN61" s="452">
        <f ca="1">IF(AND($D61="Serviço",AN$12&lt;&gt;0,$H61&gt;0,OR(AUTOEVENTO&lt;&gt;"manual",$M61&lt;&gt;$A$15)),
        IF(Import.TipoArredondamento&lt;&gt;"TransfereGOV",
              ROUND(OFFSET($P61,0,AN$13),15-13*ORÇAMENTO!$AF$7)/$H61*OFFSET(ORÇAMENTO!$X$15,ROW(AN61)-ROW(AN$15),0),
              ROUND(ROUND(OFFSET($P61,0,AN$13),15-13*ORÇAMENTO!$AF$7)*OFFSET(ORÇAMENTO!$W$15,ROW(AN61)-ROW(AN$15),0),15-13*ORÇAMENTO!$AF$11)),
         0)</f>
        <v>0</v>
      </c>
      <c r="AO61" s="452">
        <f ca="1">IF(AND($D61="Serviço",AO$12&lt;&gt;0,$H61&gt;0,OR(AUTOEVENTO&lt;&gt;"manual",$M61&lt;&gt;$A$15)),
        IF(Import.TipoArredondamento&lt;&gt;"TransfereGOV",
              ROUND(OFFSET($P61,0,AO$13),15-13*ORÇAMENTO!$AF$7)/$H61*OFFSET(ORÇAMENTO!$X$15,ROW(AO61)-ROW(AO$15),0),
              ROUND(ROUND(OFFSET($P61,0,AO$13),15-13*ORÇAMENTO!$AF$7)*OFFSET(ORÇAMENTO!$W$15,ROW(AO61)-ROW(AO$15),0),15-13*ORÇAMENTO!$AF$11)),
         0)</f>
        <v>0</v>
      </c>
      <c r="AP61" s="452">
        <f ca="1">IF(AND($D61="Serviço",AP$12&lt;&gt;0,$H61&gt;0,OR(AUTOEVENTO&lt;&gt;"manual",$M61&lt;&gt;$A$15)),
        IF(Import.TipoArredondamento&lt;&gt;"TransfereGOV",
              ROUND(OFFSET($P61,0,AP$13),15-13*ORÇAMENTO!$AF$7)/$H61*OFFSET(ORÇAMENTO!$X$15,ROW(AP61)-ROW(AP$15),0),
              ROUND(ROUND(OFFSET($P61,0,AP$13),15-13*ORÇAMENTO!$AF$7)*OFFSET(ORÇAMENTO!$W$15,ROW(AP61)-ROW(AP$15),0),15-13*ORÇAMENTO!$AF$11)),
         0)</f>
        <v>0</v>
      </c>
      <c r="AQ61" s="452">
        <f ca="1">IF(AND($D61="Serviço",AQ$12&lt;&gt;0,$H61&gt;0,OR(AUTOEVENTO&lt;&gt;"manual",$M61&lt;&gt;$A$15)),
        IF(Import.TipoArredondamento&lt;&gt;"TransfereGOV",
              ROUND(OFFSET($P61,0,AQ$13),15-13*ORÇAMENTO!$AF$7)/$H61*OFFSET(ORÇAMENTO!$X$15,ROW(AQ61)-ROW(AQ$15),0),
              ROUND(ROUND(OFFSET($P61,0,AQ$13),15-13*ORÇAMENTO!$AF$7)*OFFSET(ORÇAMENTO!$W$15,ROW(AQ61)-ROW(AQ$15),0),15-13*ORÇAMENTO!$AF$11)),
         0)</f>
        <v>0</v>
      </c>
      <c r="AR61" s="452">
        <f ca="1">IF(AND($D61="Serviço",AR$12&lt;&gt;0,$H61&gt;0,OR(AUTOEVENTO&lt;&gt;"manual",$M61&lt;&gt;$A$15)),
        IF(Import.TipoArredondamento&lt;&gt;"TransfereGOV",
              ROUND(OFFSET($P61,0,AR$13),15-13*ORÇAMENTO!$AF$7)/$H61*OFFSET(ORÇAMENTO!$X$15,ROW(AR61)-ROW(AR$15),0),
              ROUND(ROUND(OFFSET($P61,0,AR$13),15-13*ORÇAMENTO!$AF$7)*OFFSET(ORÇAMENTO!$W$15,ROW(AR61)-ROW(AR$15),0),15-13*ORÇAMENTO!$AF$11)),
         0)</f>
        <v>0</v>
      </c>
      <c r="AS61" s="452">
        <f ca="1">IF(AND($D61="Serviço",AS$12&lt;&gt;0,$H61&gt;0,OR(AUTOEVENTO&lt;&gt;"manual",$M61&lt;&gt;$A$15)),
        IF(Import.TipoArredondamento&lt;&gt;"TransfereGOV",
              ROUND(OFFSET($P61,0,AS$13),15-13*ORÇAMENTO!$AF$7)/$H61*OFFSET(ORÇAMENTO!$X$15,ROW(AS61)-ROW(AS$15),0),
              ROUND(ROUND(OFFSET($P61,0,AS$13),15-13*ORÇAMENTO!$AF$7)*OFFSET(ORÇAMENTO!$W$15,ROW(AS61)-ROW(AS$15),0),15-13*ORÇAMENTO!$AF$11)),
         0)</f>
        <v>0</v>
      </c>
      <c r="AT61" s="452">
        <f ca="1">IF(AND($D61="Serviço",AT$12&lt;&gt;0,$H61&gt;0,OR(AUTOEVENTO&lt;&gt;"manual",$M61&lt;&gt;$A$15)),
        IF(Import.TipoArredondamento&lt;&gt;"TransfereGOV",
              ROUND(OFFSET($P61,0,AT$13),15-13*ORÇAMENTO!$AF$7)/$H61*OFFSET(ORÇAMENTO!$X$15,ROW(AT61)-ROW(AT$15),0),
              ROUND(ROUND(OFFSET($P61,0,AT$13),15-13*ORÇAMENTO!$AF$7)*OFFSET(ORÇAMENTO!$W$15,ROW(AT61)-ROW(AT$15),0),15-13*ORÇAMENTO!$AF$11)),
         0)</f>
        <v>0</v>
      </c>
      <c r="AU61" s="452">
        <f ca="1">IF(AND($D61="Serviço",AU$12&lt;&gt;0,$H61&gt;0,OR(AUTOEVENTO&lt;&gt;"manual",$M61&lt;&gt;$A$15)),
        IF(Import.TipoArredondamento&lt;&gt;"TransfereGOV",
              ROUND(OFFSET($P61,0,AU$13),15-13*ORÇAMENTO!$AF$7)/$H61*OFFSET(ORÇAMENTO!$X$15,ROW(AU61)-ROW(AU$15),0),
              ROUND(ROUND(OFFSET($P61,0,AU$13),15-13*ORÇAMENTO!$AF$7)*OFFSET(ORÇAMENTO!$W$15,ROW(AU61)-ROW(AU$15),0),15-13*ORÇAMENTO!$AF$11)),
         0)</f>
        <v>0</v>
      </c>
      <c r="AV61" s="452">
        <f ca="1">IF(AND($D61="Serviço",AV$12&lt;&gt;0,$H61&gt;0,OR(AUTOEVENTO&lt;&gt;"manual",$M61&lt;&gt;$A$15)),
        IF(Import.TipoArredondamento&lt;&gt;"TransfereGOV",
              ROUND(OFFSET($P61,0,AV$13),15-13*ORÇAMENTO!$AF$7)/$H61*OFFSET(ORÇAMENTO!$X$15,ROW(AV61)-ROW(AV$15),0),
              ROUND(ROUND(OFFSET($P61,0,AV$13),15-13*ORÇAMENTO!$AF$7)*OFFSET(ORÇAMENTO!$W$15,ROW(AV61)-ROW(AV$15),0),15-13*ORÇAMENTO!$AF$11)),
         0)</f>
        <v>0</v>
      </c>
      <c r="AW61" s="452">
        <f ca="1">IF(AND($D61="Serviço",AW$12&lt;&gt;0,$H61&gt;0,OR(AUTOEVENTO&lt;&gt;"manual",$M61&lt;&gt;$A$15)),
        IF(Import.TipoArredondamento&lt;&gt;"TransfereGOV",
              ROUND(OFFSET($P61,0,AW$13),15-13*ORÇAMENTO!$AF$7)/$H61*OFFSET(ORÇAMENTO!$X$15,ROW(AW61)-ROW(AW$15),0),
              ROUND(ROUND(OFFSET($P61,0,AW$13),15-13*ORÇAMENTO!$AF$7)*OFFSET(ORÇAMENTO!$W$15,ROW(AW61)-ROW(AW$15),0),15-13*ORÇAMENTO!$AF$11)),
         0)</f>
        <v>0</v>
      </c>
      <c r="AX61" s="452">
        <f ca="1">IF(AND($D61="Serviço",AX$12&lt;&gt;0,$H61&gt;0,OR(AUTOEVENTO&lt;&gt;"manual",$M61&lt;&gt;$A$15)),
        IF(Import.TipoArredondamento&lt;&gt;"TransfereGOV",
              ROUND(OFFSET($P61,0,AX$13),15-13*ORÇAMENTO!$AF$7)/$H61*OFFSET(ORÇAMENTO!$X$15,ROW(AX61)-ROW(AX$15),0),
              ROUND(ROUND(OFFSET($P61,0,AX$13),15-13*ORÇAMENTO!$AF$7)*OFFSET(ORÇAMENTO!$W$15,ROW(AX61)-ROW(AX$15),0),15-13*ORÇAMENTO!$AF$11)),
         0)</f>
        <v>0</v>
      </c>
      <c r="AY61" s="452">
        <f ca="1">IF(AND($D61="Serviço",AY$12&lt;&gt;0,$H61&gt;0,OR(AUTOEVENTO&lt;&gt;"manual",$M61&lt;&gt;$A$15)),
        IF(Import.TipoArredondamento&lt;&gt;"TransfereGOV",
              ROUND(OFFSET($P61,0,AY$13),15-13*ORÇAMENTO!$AF$7)/$H61*OFFSET(ORÇAMENTO!$X$15,ROW(AY61)-ROW(AY$15),0),
              ROUND(ROUND(OFFSET($P61,0,AY$13),15-13*ORÇAMENTO!$AF$7)*OFFSET(ORÇAMENTO!$W$15,ROW(AY61)-ROW(AY$15),0),15-13*ORÇAMENTO!$AF$11)),
         0)</f>
        <v>0</v>
      </c>
      <c r="AZ61" s="452">
        <f ca="1">IF(AND($D61="Serviço",AZ$12&lt;&gt;0,$H61&gt;0,OR(AUTOEVENTO&lt;&gt;"manual",$M61&lt;&gt;$A$15)),
        IF(Import.TipoArredondamento&lt;&gt;"TransfereGOV",
              ROUND(OFFSET($P61,0,AZ$13),15-13*ORÇAMENTO!$AF$7)/$H61*OFFSET(ORÇAMENTO!$X$15,ROW(AZ61)-ROW(AZ$15),0),
              ROUND(ROUND(OFFSET($P61,0,AZ$13),15-13*ORÇAMENTO!$AF$7)*OFFSET(ORÇAMENTO!$W$15,ROW(AZ61)-ROW(AZ$15),0),15-13*ORÇAMENTO!$AF$11)),
         0)</f>
        <v>0</v>
      </c>
      <c r="BA61" s="452">
        <f ca="1">IF(AND($D61="Serviço",BA$12&lt;&gt;0,$H61&gt;0,OR(AUTOEVENTO&lt;&gt;"manual",$M61&lt;&gt;$A$15)),
        IF(Import.TipoArredondamento&lt;&gt;"TransfereGOV",
              ROUND(OFFSET($P61,0,BA$13),15-13*ORÇAMENTO!$AF$7)/$H61*OFFSET(ORÇAMENTO!$X$15,ROW(BA61)-ROW(BA$15),0),
              ROUND(ROUND(OFFSET($P61,0,BA$13),15-13*ORÇAMENTO!$AF$7)*OFFSET(ORÇAMENTO!$W$15,ROW(BA61)-ROW(BA$15),0),15-13*ORÇAMENTO!$AF$11)),
         0)</f>
        <v>0</v>
      </c>
      <c r="BC61" s="171">
        <f ca="1">IF(OR($D61&lt;&gt;"Serviço",AND(AUTOEVENTO="Manual",$M61=$A$15)),0,
         IF(OFFSET(CRONOPLE!$F$15,$M61-$A$15,BC$13)=0,10^12,OFFSET(CRONOPLE!$F$15,$M61-$A$15,BC$13)))</f>
        <v>3</v>
      </c>
      <c r="BD61" s="171">
        <f ca="1">IF(OR($D61&lt;&gt;"Serviço",AND(AUTOEVENTO="Manual",$M61=$A$15)),0,
         IF(OFFSET(CRONOPLE!$F$15,$M61-$A$15,BD$13)=0,10^12,OFFSET(CRONOPLE!$F$15,$M61-$A$15,BD$13)))</f>
        <v>4</v>
      </c>
      <c r="BE61" s="171">
        <f ca="1">IF(OR($D61&lt;&gt;"Serviço",AND(AUTOEVENTO="Manual",$M61=$A$15)),0,
         IF(OFFSET(CRONOPLE!$F$15,$M61-$A$15,BE$13)=0,10^12,OFFSET(CRONOPLE!$F$15,$M61-$A$15,BE$13)))</f>
        <v>5</v>
      </c>
      <c r="BF61" s="171">
        <f ca="1">IF(OR($D61&lt;&gt;"Serviço",AND(AUTOEVENTO="Manual",$M61=$A$15)),0,
         IF(OFFSET(CRONOPLE!$F$15,$M61-$A$15,BF$13)=0,10^12,OFFSET(CRONOPLE!$F$15,$M61-$A$15,BF$13)))</f>
        <v>5</v>
      </c>
      <c r="BG61" s="171">
        <f ca="1">IF(OR($D61&lt;&gt;"Serviço",AND(AUTOEVENTO="Manual",$M61=$A$15)),0,
         IF(OFFSET(CRONOPLE!$F$15,$M61-$A$15,BG$13)=0,10^12,OFFSET(CRONOPLE!$F$15,$M61-$A$15,BG$13)))</f>
        <v>5</v>
      </c>
      <c r="BH61" s="171">
        <f ca="1">IF(OR($D61&lt;&gt;"Serviço",AND(AUTOEVENTO="Manual",$M61=$A$15)),0,
         IF(OFFSET(CRONOPLE!$F$15,$M61-$A$15,BH$13)=0,10^12,OFFSET(CRONOPLE!$F$15,$M61-$A$15,BH$13)))</f>
        <v>1000000000000</v>
      </c>
      <c r="BI61" s="171">
        <f ca="1">IF(OR($D61&lt;&gt;"Serviço",AND(AUTOEVENTO="Manual",$M61=$A$15)),0,
         IF(OFFSET(CRONOPLE!$F$15,$M61-$A$15,BI$13)=0,10^12,OFFSET(CRONOPLE!$F$15,$M61-$A$15,BI$13)))</f>
        <v>1000000000000</v>
      </c>
      <c r="BJ61" s="171">
        <f ca="1">IF(OR($D61&lt;&gt;"Serviço",AND(AUTOEVENTO="Manual",$M61=$A$15)),0,
         IF(OFFSET(CRONOPLE!$F$15,$M61-$A$15,BJ$13)=0,10^12,OFFSET(CRONOPLE!$F$15,$M61-$A$15,BJ$13)))</f>
        <v>1000000000000</v>
      </c>
      <c r="BK61" s="171">
        <f ca="1">IF(OR($D61&lt;&gt;"Serviço",AND(AUTOEVENTO="Manual",$M61=$A$15)),0,
         IF(OFFSET(CRONOPLE!$F$15,$M61-$A$15,BK$13)=0,10^12,OFFSET(CRONOPLE!$F$15,$M61-$A$15,BK$13)))</f>
        <v>1000000000000</v>
      </c>
      <c r="BL61" s="171">
        <f ca="1">IF(OR($D61&lt;&gt;"Serviço",AND(AUTOEVENTO="Manual",$M61=$A$15)),0,
         IF(OFFSET(CRONOPLE!$F$15,$M61-$A$15,BL$13)=0,10^12,OFFSET(CRONOPLE!$F$15,$M61-$A$15,BL$13)))</f>
        <v>1000000000000</v>
      </c>
      <c r="BM61" s="171">
        <f ca="1">IF(OR($D61&lt;&gt;"Serviço",AND(AUTOEVENTO="Manual",$M61=$A$15)),0,
         IF(OFFSET(CRONOPLE!$F$15,$M61-$A$15,BM$13)=0,10^12,OFFSET(CRONOPLE!$F$15,$M61-$A$15,BM$13)))</f>
        <v>1000000000000</v>
      </c>
      <c r="BN61" s="171">
        <f ca="1">IF(OR($D61&lt;&gt;"Serviço",AND(AUTOEVENTO="Manual",$M61=$A$15)),0,
         IF(OFFSET(CRONOPLE!$F$15,$M61-$A$15,BN$13)=0,10^12,OFFSET(CRONOPLE!$F$15,$M61-$A$15,BN$13)))</f>
        <v>1000000000000</v>
      </c>
      <c r="BO61" s="171">
        <f ca="1">IF(OR($D61&lt;&gt;"Serviço",AND(AUTOEVENTO="Manual",$M61=$A$15)),0,
         IF(OFFSET(CRONOPLE!$F$15,$M61-$A$15,BO$13)=0,10^12,OFFSET(CRONOPLE!$F$15,$M61-$A$15,BO$13)))</f>
        <v>1000000000000</v>
      </c>
      <c r="BP61" s="171">
        <f ca="1">IF(OR($D61&lt;&gt;"Serviço",AND(AUTOEVENTO="Manual",$M61=$A$15)),0,
         IF(OFFSET(CRONOPLE!$F$15,$M61-$A$15,BP$13)=0,10^12,OFFSET(CRONOPLE!$F$15,$M61-$A$15,BP$13)))</f>
        <v>1000000000000</v>
      </c>
      <c r="BQ61" s="171">
        <f ca="1">IF(OR($D61&lt;&gt;"Serviço",AND(AUTOEVENTO="Manual",$M61=$A$15)),0,
         IF(OFFSET(CRONOPLE!$F$15,$M61-$A$15,BQ$13)=0,10^12,OFFSET(CRONOPLE!$F$15,$M61-$A$15,BQ$13)))</f>
        <v>1000000000000</v>
      </c>
      <c r="BR61" s="171">
        <f ca="1">IF(OR($D61&lt;&gt;"Serviço",AND(AUTOEVENTO="Manual",$M61=$A$15)),0,
         IF(OFFSET(CRONOPLE!$F$15,$M61-$A$15,BR$13)=0,10^12,OFFSET(CRONOPLE!$F$15,$M61-$A$15,BR$13)))</f>
        <v>1000000000000</v>
      </c>
      <c r="BS61" s="171">
        <f ca="1">IF(OR($D61&lt;&gt;"Serviço",AND(AUTOEVENTO="Manual",$M61=$A$15)),0,
         IF(OFFSET(CRONOPLE!$F$15,$M61-$A$15,BS$13)=0,10^12,OFFSET(CRONOPLE!$F$15,$M61-$A$15,BS$13)))</f>
        <v>1000000000000</v>
      </c>
      <c r="BT61" s="171">
        <f ca="1">IF(OR($D61&lt;&gt;"Serviço",AND(AUTOEVENTO="Manual",$M61=$A$15)),0,
         IF(OFFSET(CRONOPLE!$F$15,$M61-$A$15,BT$13)=0,10^12,OFFSET(CRONOPLE!$F$15,$M61-$A$15,BT$13)))</f>
        <v>1000000000000</v>
      </c>
      <c r="BV61" s="172">
        <f t="array" aca="1" ref="BV61" ca="1">IF(OR($D61&lt;&gt;"Serviço",AND(AUTOEVENTO="Manual",$M61=$A$15),$M61&gt;(ROW(PLE.lastrow)-ROW(PLE.firstrow))),0,
           IF(OFFSET(PLE!$G$15,$M61-$A$15,BV$13)="",10^12,OFFSET(PLE!$G$15,$M61-$A$15,BV$13)))</f>
        <v>1000000000000</v>
      </c>
      <c r="BW61" s="172">
        <f t="array" aca="1" ref="BW61" ca="1">IF(OR($D61&lt;&gt;"Serviço",AND(AUTOEVENTO="Manual",$M61=$A$15),$M61&gt;(ROW(PLE.lastrow)-ROW(PLE.firstrow))),0,
           IF(OFFSET(PLE!$G$15,$M61-$A$15,BW$13)="",10^12,OFFSET(PLE!$G$15,$M61-$A$15,BW$13)))</f>
        <v>1000000000000</v>
      </c>
      <c r="BX61" s="172">
        <f t="array" aca="1" ref="BX61" ca="1">IF(OR($D61&lt;&gt;"Serviço",AND(AUTOEVENTO="Manual",$M61=$A$15),$M61&gt;(ROW(PLE.lastrow)-ROW(PLE.firstrow))),0,
           IF(OFFSET(PLE!$G$15,$M61-$A$15,BX$13)="",10^12,OFFSET(PLE!$G$15,$M61-$A$15,BX$13)))</f>
        <v>1000000000000</v>
      </c>
      <c r="BY61" s="172">
        <f t="array" aca="1" ref="BY61" ca="1">IF(OR($D61&lt;&gt;"Serviço",AND(AUTOEVENTO="Manual",$M61=$A$15),$M61&gt;(ROW(PLE.lastrow)-ROW(PLE.firstrow))),0,
           IF(OFFSET(PLE!$G$15,$M61-$A$15,BY$13)="",10^12,OFFSET(PLE!$G$15,$M61-$A$15,BY$13)))</f>
        <v>1000000000000</v>
      </c>
      <c r="BZ61" s="172">
        <f t="array" aca="1" ref="BZ61" ca="1">IF(OR($D61&lt;&gt;"Serviço",AND(AUTOEVENTO="Manual",$M61=$A$15),$M61&gt;(ROW(PLE.lastrow)-ROW(PLE.firstrow))),0,
           IF(OFFSET(PLE!$G$15,$M61-$A$15,BZ$13)="",10^12,OFFSET(PLE!$G$15,$M61-$A$15,BZ$13)))</f>
        <v>1000000000000</v>
      </c>
      <c r="CA61" s="172">
        <f t="array" aca="1" ref="CA61" ca="1">IF(OR($D61&lt;&gt;"Serviço",AND(AUTOEVENTO="Manual",$M61=$A$15),$M61&gt;(ROW(PLE.lastrow)-ROW(PLE.firstrow))),0,
           IF(OFFSET(PLE!$G$15,$M61-$A$15,CA$13)="",10^12,OFFSET(PLE!$G$15,$M61-$A$15,CA$13)))</f>
        <v>1000000000000</v>
      </c>
      <c r="CB61" s="172">
        <f t="array" aca="1" ref="CB61" ca="1">IF(OR($D61&lt;&gt;"Serviço",AND(AUTOEVENTO="Manual",$M61=$A$15),$M61&gt;(ROW(PLE.lastrow)-ROW(PLE.firstrow))),0,
           IF(OFFSET(PLE!$G$15,$M61-$A$15,CB$13)="",10^12,OFFSET(PLE!$G$15,$M61-$A$15,CB$13)))</f>
        <v>1000000000000</v>
      </c>
      <c r="CC61" s="172">
        <f t="array" aca="1" ref="CC61" ca="1">IF(OR($D61&lt;&gt;"Serviço",AND(AUTOEVENTO="Manual",$M61=$A$15),$M61&gt;(ROW(PLE.lastrow)-ROW(PLE.firstrow))),0,
           IF(OFFSET(PLE!$G$15,$M61-$A$15,CC$13)="",10^12,OFFSET(PLE!$G$15,$M61-$A$15,CC$13)))</f>
        <v>1000000000000</v>
      </c>
      <c r="CD61" s="172">
        <f t="array" aca="1" ref="CD61" ca="1">IF(OR($D61&lt;&gt;"Serviço",AND(AUTOEVENTO="Manual",$M61=$A$15),$M61&gt;(ROW(PLE.lastrow)-ROW(PLE.firstrow))),0,
           IF(OFFSET(PLE!$G$15,$M61-$A$15,CD$13)="",10^12,OFFSET(PLE!$G$15,$M61-$A$15,CD$13)))</f>
        <v>1000000000000</v>
      </c>
      <c r="CE61" s="172">
        <f t="array" aca="1" ref="CE61" ca="1">IF(OR($D61&lt;&gt;"Serviço",AND(AUTOEVENTO="Manual",$M61=$A$15),$M61&gt;(ROW(PLE.lastrow)-ROW(PLE.firstrow))),0,
           IF(OFFSET(PLE!$G$15,$M61-$A$15,CE$13)="",10^12,OFFSET(PLE!$G$15,$M61-$A$15,CE$13)))</f>
        <v>1000000000000</v>
      </c>
      <c r="CF61" s="172">
        <f t="array" aca="1" ref="CF61" ca="1">IF(OR($D61&lt;&gt;"Serviço",AND(AUTOEVENTO="Manual",$M61=$A$15),$M61&gt;(ROW(PLE.lastrow)-ROW(PLE.firstrow))),0,
           IF(OFFSET(PLE!$G$15,$M61-$A$15,CF$13)="",10^12,OFFSET(PLE!$G$15,$M61-$A$15,CF$13)))</f>
        <v>1000000000000</v>
      </c>
      <c r="CG61" s="172">
        <f t="array" aca="1" ref="CG61" ca="1">IF(OR($D61&lt;&gt;"Serviço",AND(AUTOEVENTO="Manual",$M61=$A$15),$M61&gt;(ROW(PLE.lastrow)-ROW(PLE.firstrow))),0,
           IF(OFFSET(PLE!$G$15,$M61-$A$15,CG$13)="",10^12,OFFSET(PLE!$G$15,$M61-$A$15,CG$13)))</f>
        <v>1000000000000</v>
      </c>
      <c r="CH61" s="172">
        <f t="array" aca="1" ref="CH61" ca="1">IF(OR($D61&lt;&gt;"Serviço",AND(AUTOEVENTO="Manual",$M61=$A$15),$M61&gt;(ROW(PLE.lastrow)-ROW(PLE.firstrow))),0,
           IF(OFFSET(PLE!$G$15,$M61-$A$15,CH$13)="",10^12,OFFSET(PLE!$G$15,$M61-$A$15,CH$13)))</f>
        <v>1000000000000</v>
      </c>
      <c r="CI61" s="172">
        <f t="array" aca="1" ref="CI61" ca="1">IF(OR($D61&lt;&gt;"Serviço",AND(AUTOEVENTO="Manual",$M61=$A$15),$M61&gt;(ROW(PLE.lastrow)-ROW(PLE.firstrow))),0,
           IF(OFFSET(PLE!$G$15,$M61-$A$15,CI$13)="",10^12,OFFSET(PLE!$G$15,$M61-$A$15,CI$13)))</f>
        <v>1000000000000</v>
      </c>
      <c r="CJ61" s="172">
        <f t="array" aca="1" ref="CJ61" ca="1">IF(OR($D61&lt;&gt;"Serviço",AND(AUTOEVENTO="Manual",$M61=$A$15),$M61&gt;(ROW(PLE.lastrow)-ROW(PLE.firstrow))),0,
           IF(OFFSET(PLE!$G$15,$M61-$A$15,CJ$13)="",10^12,OFFSET(PLE!$G$15,$M61-$A$15,CJ$13)))</f>
        <v>1000000000000</v>
      </c>
      <c r="CK61" s="172">
        <f t="array" aca="1" ref="CK61" ca="1">IF(OR($D61&lt;&gt;"Serviço",AND(AUTOEVENTO="Manual",$M61=$A$15),$M61&gt;(ROW(PLE.lastrow)-ROW(PLE.firstrow))),0,
           IF(OFFSET(PLE!$G$15,$M61-$A$15,CK$13)="",10^12,OFFSET(PLE!$G$15,$M61-$A$15,CK$13)))</f>
        <v>1000000000000</v>
      </c>
      <c r="CL61" s="172">
        <f t="array" aca="1" ref="CL61" ca="1">IF(OR($D61&lt;&gt;"Serviço",AND(AUTOEVENTO="Manual",$M61=$A$15),$M61&gt;(ROW(PLE.lastrow)-ROW(PLE.firstrow))),0,
           IF(OFFSET(PLE!$G$15,$M61-$A$15,CL$13)="",10^12,OFFSET(PLE!$G$15,$M61-$A$15,CL$13)))</f>
        <v>1000000000000</v>
      </c>
      <c r="CM61" s="172">
        <f t="array" aca="1" ref="CM61" ca="1">IF(OR($D61&lt;&gt;"Serviço",AND(AUTOEVENTO="Manual",$M61=$A$15),$M61&gt;(ROW(PLE.lastrow)-ROW(PLE.firstrow))),0,
           IF(OFFSET(PLE!$G$15,$M61-$A$15,CM$13)="",10^12,OFFSET(PLE!$G$15,$M61-$A$15,CM$13)))</f>
        <v>1000000000000</v>
      </c>
    </row>
    <row r="62" spans="1:91" s="696" customFormat="1" ht="51" x14ac:dyDescent="0.2">
      <c r="A62" s="694">
        <f t="shared" ca="1" si="10"/>
        <v>8</v>
      </c>
      <c r="B62" s="694" t="str">
        <f ca="1">OFFSET(ORÇAMENTO!C$15,$L62,0)</f>
        <v>S</v>
      </c>
      <c r="C62" s="694" t="str">
        <f ca="1">OFFSET(ORÇAMENTO!L$15,$L62,0)</f>
        <v>F</v>
      </c>
      <c r="D62" s="116" t="str">
        <f ca="1">OFFSET(ORÇAMENTO!N$15,$L62,0)</f>
        <v>Serviço</v>
      </c>
      <c r="E62" s="117" t="str">
        <f ca="1">OFFSET(ORÇAMENTO!O$15,$L62,0)</f>
        <v>1.7.7.</v>
      </c>
      <c r="F62" s="163" t="str">
        <f ca="1">OFFSET(ORÇAMENTO!R$15,$L62,0)</f>
        <v>ARMAÇÃO DE PILAR OU VIGA DE ESTRUTURA CONVENCIONAL DE CONCRETO ARMADO UTILIZANDO AÇO CA-50 DE 10,0 MM - MONTAGEM. AF_06/2022</v>
      </c>
      <c r="G62" s="164" t="str">
        <f ca="1">IF($D62&lt;&gt;"Serviço","",OFFSET(ORÇAMENTO!S$15,$L62,0))</f>
        <v>KG</v>
      </c>
      <c r="H62" s="122">
        <f t="array" aca="1" ref="H62" ca="1">IF($D62&lt;&gt;"Serviço",0,IF(ACOMPANHAMENTO="BM",ROUND(OFFSET(ORÇAMENTO!AJ$15,$L62,0),15-13*ORÇAMENTO!$AF$7),IF(IFERROR(CÁLCULO.FrentesPreenchidas,0)=0,0,SUM(ROUND(OFFSET($P62,0,1,1,CÁLCULO.FrentesPreenchidas),15-13*ORÇAMENTO!$AF$7)))))</f>
        <v>1712</v>
      </c>
      <c r="I62" s="467" t="s">
        <v>1236</v>
      </c>
      <c r="J62" s="653" t="str">
        <f t="array" aca="1" ref="J62" ca="1">IF(OR(B62&lt;&gt;"S",CÁLCULO.FrentesPreenchidas=0),"",IF(AND(ACOMPANHAMENTO="PLE",AUTOEVENTO="Manual",OR(H62&gt;0,ORÇAMENTO!AC62="QUANT."),OR(K62="",M62=0,N62="")),"►E",IF(AND(ACOMPANHAMENTO="PLE",ORÇAMENTO!AC62="QUANT."),"►Q",IF(AND(ACOMPANHAMENTO="PLE",H62&lt;&gt;SUMPRODUCT(($Q$1:$AI$1=1)*ROUND(Q62:AI62,15))),"►S",IF(AND(COUNTIF($P$11:$AI$11,"▼")=0,H62&gt;0,I62=""),"◄M","")))))</f>
        <v/>
      </c>
      <c r="K62" s="654" t="s">
        <v>1386</v>
      </c>
      <c r="L62" s="165">
        <f t="shared" ca="1" si="11"/>
        <v>47</v>
      </c>
      <c r="M62" s="166">
        <f ca="1">IF($D62&lt;&gt;"Serviço","",
          IF(AUTOEVENTO="manual",$A62,
                IF(ISERROR(MATCH($A62,$A$15:OFFSET($A62,-1,0),0)),MAX($M$15:OFFSET(M62,-1,0))+1,
                      INDEX($M$15:OFFSET(M62,-1,0),MATCH($A62,$A$15:OFFSET($A62,-1,0),0)))))</f>
        <v>8</v>
      </c>
      <c r="N62" s="167" t="str">
        <f ca="1">IF($D62&lt;&gt;"Serviço","",
         IF(AUTOEVENTO="Manual",
                IF($A62=0,"&lt;-- defina o número do agrupador",
                       OFFSET(EVENTOS!$D$15,$A62-$A$15,0)),
                OFFSET($F$15,$A62,0)))</f>
        <v>PILARES</v>
      </c>
      <c r="O62" s="168"/>
      <c r="Q62" s="169">
        <f>85.6*5</f>
        <v>428</v>
      </c>
      <c r="R62" s="169">
        <f t="shared" ref="R62:T62" si="35">85.6*5</f>
        <v>428</v>
      </c>
      <c r="S62" s="169">
        <f t="shared" si="35"/>
        <v>428</v>
      </c>
      <c r="T62" s="169">
        <f t="shared" si="35"/>
        <v>428</v>
      </c>
      <c r="U62" s="169"/>
      <c r="V62" s="169"/>
      <c r="W62" s="169"/>
      <c r="X62" s="169"/>
      <c r="Y62" s="169"/>
      <c r="Z62" s="170"/>
      <c r="AA62" s="169"/>
      <c r="AB62" s="169"/>
      <c r="AC62" s="169"/>
      <c r="AD62" s="169"/>
      <c r="AE62" s="169"/>
      <c r="AF62" s="169"/>
      <c r="AG62" s="169"/>
      <c r="AH62" s="170"/>
      <c r="AJ62" s="452">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5213.04</v>
      </c>
      <c r="AK62" s="452">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5213.04</v>
      </c>
      <c r="AL62" s="452">
        <f ca="1">IF(AND($D62="Serviço",AL$12&lt;&gt;0,$H62&gt;0,OR(AUTOEVENTO&lt;&gt;"manual",$M62&lt;&gt;$A$15)),
        IF(Import.TipoArredondamento&lt;&gt;"TransfereGOV",
              ROUND(OFFSET($P62,0,AL$13),15-13*ORÇAMENTO!$AF$7)/$H62*OFFSET(ORÇAMENTO!$X$15,ROW(AL62)-ROW(AL$15),0),
              ROUND(ROUND(OFFSET($P62,0,AL$13),15-13*ORÇAMENTO!$AF$7)*OFFSET(ORÇAMENTO!$W$15,ROW(AL62)-ROW(AL$15),0),15-13*ORÇAMENTO!$AF$11)),
         0)</f>
        <v>5213.04</v>
      </c>
      <c r="AM62" s="452">
        <f ca="1">IF(AND($D62="Serviço",AM$12&lt;&gt;0,$H62&gt;0,OR(AUTOEVENTO&lt;&gt;"manual",$M62&lt;&gt;$A$15)),
        IF(Import.TipoArredondamento&lt;&gt;"TransfereGOV",
              ROUND(OFFSET($P62,0,AM$13),15-13*ORÇAMENTO!$AF$7)/$H62*OFFSET(ORÇAMENTO!$X$15,ROW(AM62)-ROW(AM$15),0),
              ROUND(ROUND(OFFSET($P62,0,AM$13),15-13*ORÇAMENTO!$AF$7)*OFFSET(ORÇAMENTO!$W$15,ROW(AM62)-ROW(AM$15),0),15-13*ORÇAMENTO!$AF$11)),
         0)</f>
        <v>5213.04</v>
      </c>
      <c r="AN62" s="452">
        <f ca="1">IF(AND($D62="Serviço",AN$12&lt;&gt;0,$H62&gt;0,OR(AUTOEVENTO&lt;&gt;"manual",$M62&lt;&gt;$A$15)),
        IF(Import.TipoArredondamento&lt;&gt;"TransfereGOV",
              ROUND(OFFSET($P62,0,AN$13),15-13*ORÇAMENTO!$AF$7)/$H62*OFFSET(ORÇAMENTO!$X$15,ROW(AN62)-ROW(AN$15),0),
              ROUND(ROUND(OFFSET($P62,0,AN$13),15-13*ORÇAMENTO!$AF$7)*OFFSET(ORÇAMENTO!$W$15,ROW(AN62)-ROW(AN$15),0),15-13*ORÇAMENTO!$AF$11)),
         0)</f>
        <v>0</v>
      </c>
      <c r="AO62" s="452">
        <f ca="1">IF(AND($D62="Serviço",AO$12&lt;&gt;0,$H62&gt;0,OR(AUTOEVENTO&lt;&gt;"manual",$M62&lt;&gt;$A$15)),
        IF(Import.TipoArredondamento&lt;&gt;"TransfereGOV",
              ROUND(OFFSET($P62,0,AO$13),15-13*ORÇAMENTO!$AF$7)/$H62*OFFSET(ORÇAMENTO!$X$15,ROW(AO62)-ROW(AO$15),0),
              ROUND(ROUND(OFFSET($P62,0,AO$13),15-13*ORÇAMENTO!$AF$7)*OFFSET(ORÇAMENTO!$W$15,ROW(AO62)-ROW(AO$15),0),15-13*ORÇAMENTO!$AF$11)),
         0)</f>
        <v>0</v>
      </c>
      <c r="AP62" s="452">
        <f ca="1">IF(AND($D62="Serviço",AP$12&lt;&gt;0,$H62&gt;0,OR(AUTOEVENTO&lt;&gt;"manual",$M62&lt;&gt;$A$15)),
        IF(Import.TipoArredondamento&lt;&gt;"TransfereGOV",
              ROUND(OFFSET($P62,0,AP$13),15-13*ORÇAMENTO!$AF$7)/$H62*OFFSET(ORÇAMENTO!$X$15,ROW(AP62)-ROW(AP$15),0),
              ROUND(ROUND(OFFSET($P62,0,AP$13),15-13*ORÇAMENTO!$AF$7)*OFFSET(ORÇAMENTO!$W$15,ROW(AP62)-ROW(AP$15),0),15-13*ORÇAMENTO!$AF$11)),
         0)</f>
        <v>0</v>
      </c>
      <c r="AQ62" s="452">
        <f ca="1">IF(AND($D62="Serviço",AQ$12&lt;&gt;0,$H62&gt;0,OR(AUTOEVENTO&lt;&gt;"manual",$M62&lt;&gt;$A$15)),
        IF(Import.TipoArredondamento&lt;&gt;"TransfereGOV",
              ROUND(OFFSET($P62,0,AQ$13),15-13*ORÇAMENTO!$AF$7)/$H62*OFFSET(ORÇAMENTO!$X$15,ROW(AQ62)-ROW(AQ$15),0),
              ROUND(ROUND(OFFSET($P62,0,AQ$13),15-13*ORÇAMENTO!$AF$7)*OFFSET(ORÇAMENTO!$W$15,ROW(AQ62)-ROW(AQ$15),0),15-13*ORÇAMENTO!$AF$11)),
         0)</f>
        <v>0</v>
      </c>
      <c r="AR62" s="452">
        <f ca="1">IF(AND($D62="Serviço",AR$12&lt;&gt;0,$H62&gt;0,OR(AUTOEVENTO&lt;&gt;"manual",$M62&lt;&gt;$A$15)),
        IF(Import.TipoArredondamento&lt;&gt;"TransfereGOV",
              ROUND(OFFSET($P62,0,AR$13),15-13*ORÇAMENTO!$AF$7)/$H62*OFFSET(ORÇAMENTO!$X$15,ROW(AR62)-ROW(AR$15),0),
              ROUND(ROUND(OFFSET($P62,0,AR$13),15-13*ORÇAMENTO!$AF$7)*OFFSET(ORÇAMENTO!$W$15,ROW(AR62)-ROW(AR$15),0),15-13*ORÇAMENTO!$AF$11)),
         0)</f>
        <v>0</v>
      </c>
      <c r="AS62" s="452">
        <f ca="1">IF(AND($D62="Serviço",AS$12&lt;&gt;0,$H62&gt;0,OR(AUTOEVENTO&lt;&gt;"manual",$M62&lt;&gt;$A$15)),
        IF(Import.TipoArredondamento&lt;&gt;"TransfereGOV",
              ROUND(OFFSET($P62,0,AS$13),15-13*ORÇAMENTO!$AF$7)/$H62*OFFSET(ORÇAMENTO!$X$15,ROW(AS62)-ROW(AS$15),0),
              ROUND(ROUND(OFFSET($P62,0,AS$13),15-13*ORÇAMENTO!$AF$7)*OFFSET(ORÇAMENTO!$W$15,ROW(AS62)-ROW(AS$15),0),15-13*ORÇAMENTO!$AF$11)),
         0)</f>
        <v>0</v>
      </c>
      <c r="AT62" s="452">
        <f ca="1">IF(AND($D62="Serviço",AT$12&lt;&gt;0,$H62&gt;0,OR(AUTOEVENTO&lt;&gt;"manual",$M62&lt;&gt;$A$15)),
        IF(Import.TipoArredondamento&lt;&gt;"TransfereGOV",
              ROUND(OFFSET($P62,0,AT$13),15-13*ORÇAMENTO!$AF$7)/$H62*OFFSET(ORÇAMENTO!$X$15,ROW(AT62)-ROW(AT$15),0),
              ROUND(ROUND(OFFSET($P62,0,AT$13),15-13*ORÇAMENTO!$AF$7)*OFFSET(ORÇAMENTO!$W$15,ROW(AT62)-ROW(AT$15),0),15-13*ORÇAMENTO!$AF$11)),
         0)</f>
        <v>0</v>
      </c>
      <c r="AU62" s="452">
        <f ca="1">IF(AND($D62="Serviço",AU$12&lt;&gt;0,$H62&gt;0,OR(AUTOEVENTO&lt;&gt;"manual",$M62&lt;&gt;$A$15)),
        IF(Import.TipoArredondamento&lt;&gt;"TransfereGOV",
              ROUND(OFFSET($P62,0,AU$13),15-13*ORÇAMENTO!$AF$7)/$H62*OFFSET(ORÇAMENTO!$X$15,ROW(AU62)-ROW(AU$15),0),
              ROUND(ROUND(OFFSET($P62,0,AU$13),15-13*ORÇAMENTO!$AF$7)*OFFSET(ORÇAMENTO!$W$15,ROW(AU62)-ROW(AU$15),0),15-13*ORÇAMENTO!$AF$11)),
         0)</f>
        <v>0</v>
      </c>
      <c r="AV62" s="452">
        <f ca="1">IF(AND($D62="Serviço",AV$12&lt;&gt;0,$H62&gt;0,OR(AUTOEVENTO&lt;&gt;"manual",$M62&lt;&gt;$A$15)),
        IF(Import.TipoArredondamento&lt;&gt;"TransfereGOV",
              ROUND(OFFSET($P62,0,AV$13),15-13*ORÇAMENTO!$AF$7)/$H62*OFFSET(ORÇAMENTO!$X$15,ROW(AV62)-ROW(AV$15),0),
              ROUND(ROUND(OFFSET($P62,0,AV$13),15-13*ORÇAMENTO!$AF$7)*OFFSET(ORÇAMENTO!$W$15,ROW(AV62)-ROW(AV$15),0),15-13*ORÇAMENTO!$AF$11)),
         0)</f>
        <v>0</v>
      </c>
      <c r="AW62" s="452">
        <f ca="1">IF(AND($D62="Serviço",AW$12&lt;&gt;0,$H62&gt;0,OR(AUTOEVENTO&lt;&gt;"manual",$M62&lt;&gt;$A$15)),
        IF(Import.TipoArredondamento&lt;&gt;"TransfereGOV",
              ROUND(OFFSET($P62,0,AW$13),15-13*ORÇAMENTO!$AF$7)/$H62*OFFSET(ORÇAMENTO!$X$15,ROW(AW62)-ROW(AW$15),0),
              ROUND(ROUND(OFFSET($P62,0,AW$13),15-13*ORÇAMENTO!$AF$7)*OFFSET(ORÇAMENTO!$W$15,ROW(AW62)-ROW(AW$15),0),15-13*ORÇAMENTO!$AF$11)),
         0)</f>
        <v>0</v>
      </c>
      <c r="AX62" s="452">
        <f ca="1">IF(AND($D62="Serviço",AX$12&lt;&gt;0,$H62&gt;0,OR(AUTOEVENTO&lt;&gt;"manual",$M62&lt;&gt;$A$15)),
        IF(Import.TipoArredondamento&lt;&gt;"TransfereGOV",
              ROUND(OFFSET($P62,0,AX$13),15-13*ORÇAMENTO!$AF$7)/$H62*OFFSET(ORÇAMENTO!$X$15,ROW(AX62)-ROW(AX$15),0),
              ROUND(ROUND(OFFSET($P62,0,AX$13),15-13*ORÇAMENTO!$AF$7)*OFFSET(ORÇAMENTO!$W$15,ROW(AX62)-ROW(AX$15),0),15-13*ORÇAMENTO!$AF$11)),
         0)</f>
        <v>0</v>
      </c>
      <c r="AY62" s="452">
        <f ca="1">IF(AND($D62="Serviço",AY$12&lt;&gt;0,$H62&gt;0,OR(AUTOEVENTO&lt;&gt;"manual",$M62&lt;&gt;$A$15)),
        IF(Import.TipoArredondamento&lt;&gt;"TransfereGOV",
              ROUND(OFFSET($P62,0,AY$13),15-13*ORÇAMENTO!$AF$7)/$H62*OFFSET(ORÇAMENTO!$X$15,ROW(AY62)-ROW(AY$15),0),
              ROUND(ROUND(OFFSET($P62,0,AY$13),15-13*ORÇAMENTO!$AF$7)*OFFSET(ORÇAMENTO!$W$15,ROW(AY62)-ROW(AY$15),0),15-13*ORÇAMENTO!$AF$11)),
         0)</f>
        <v>0</v>
      </c>
      <c r="AZ62" s="452">
        <f ca="1">IF(AND($D62="Serviço",AZ$12&lt;&gt;0,$H62&gt;0,OR(AUTOEVENTO&lt;&gt;"manual",$M62&lt;&gt;$A$15)),
        IF(Import.TipoArredondamento&lt;&gt;"TransfereGOV",
              ROUND(OFFSET($P62,0,AZ$13),15-13*ORÇAMENTO!$AF$7)/$H62*OFFSET(ORÇAMENTO!$X$15,ROW(AZ62)-ROW(AZ$15),0),
              ROUND(ROUND(OFFSET($P62,0,AZ$13),15-13*ORÇAMENTO!$AF$7)*OFFSET(ORÇAMENTO!$W$15,ROW(AZ62)-ROW(AZ$15),0),15-13*ORÇAMENTO!$AF$11)),
         0)</f>
        <v>0</v>
      </c>
      <c r="BA62" s="452">
        <f ca="1">IF(AND($D62="Serviço",BA$12&lt;&gt;0,$H62&gt;0,OR(AUTOEVENTO&lt;&gt;"manual",$M62&lt;&gt;$A$15)),
        IF(Import.TipoArredondamento&lt;&gt;"TransfereGOV",
              ROUND(OFFSET($P62,0,BA$13),15-13*ORÇAMENTO!$AF$7)/$H62*OFFSET(ORÇAMENTO!$X$15,ROW(BA62)-ROW(BA$15),0),
              ROUND(ROUND(OFFSET($P62,0,BA$13),15-13*ORÇAMENTO!$AF$7)*OFFSET(ORÇAMENTO!$W$15,ROW(BA62)-ROW(BA$15),0),15-13*ORÇAMENTO!$AF$11)),
         0)</f>
        <v>0</v>
      </c>
      <c r="BC62" s="171">
        <f ca="1">IF(OR($D62&lt;&gt;"Serviço",AND(AUTOEVENTO="Manual",$M62=$A$15)),0,
         IF(OFFSET(CRONOPLE!$F$15,$M62-$A$15,BC$13)=0,10^12,OFFSET(CRONOPLE!$F$15,$M62-$A$15,BC$13)))</f>
        <v>3</v>
      </c>
      <c r="BD62" s="171">
        <f ca="1">IF(OR($D62&lt;&gt;"Serviço",AND(AUTOEVENTO="Manual",$M62=$A$15)),0,
         IF(OFFSET(CRONOPLE!$F$15,$M62-$A$15,BD$13)=0,10^12,OFFSET(CRONOPLE!$F$15,$M62-$A$15,BD$13)))</f>
        <v>3</v>
      </c>
      <c r="BE62" s="171">
        <f ca="1">IF(OR($D62&lt;&gt;"Serviço",AND(AUTOEVENTO="Manual",$M62=$A$15)),0,
         IF(OFFSET(CRONOPLE!$F$15,$M62-$A$15,BE$13)=0,10^12,OFFSET(CRONOPLE!$F$15,$M62-$A$15,BE$13)))</f>
        <v>4</v>
      </c>
      <c r="BF62" s="171">
        <f ca="1">IF(OR($D62&lt;&gt;"Serviço",AND(AUTOEVENTO="Manual",$M62=$A$15)),0,
         IF(OFFSET(CRONOPLE!$F$15,$M62-$A$15,BF$13)=0,10^12,OFFSET(CRONOPLE!$F$15,$M62-$A$15,BF$13)))</f>
        <v>4</v>
      </c>
      <c r="BG62" s="171">
        <f ca="1">IF(OR($D62&lt;&gt;"Serviço",AND(AUTOEVENTO="Manual",$M62=$A$15)),0,
         IF(OFFSET(CRONOPLE!$F$15,$M62-$A$15,BG$13)=0,10^12,OFFSET(CRONOPLE!$F$15,$M62-$A$15,BG$13)))</f>
        <v>4</v>
      </c>
      <c r="BH62" s="171">
        <f ca="1">IF(OR($D62&lt;&gt;"Serviço",AND(AUTOEVENTO="Manual",$M62=$A$15)),0,
         IF(OFFSET(CRONOPLE!$F$15,$M62-$A$15,BH$13)=0,10^12,OFFSET(CRONOPLE!$F$15,$M62-$A$15,BH$13)))</f>
        <v>1000000000000</v>
      </c>
      <c r="BI62" s="171">
        <f ca="1">IF(OR($D62&lt;&gt;"Serviço",AND(AUTOEVENTO="Manual",$M62=$A$15)),0,
         IF(OFFSET(CRONOPLE!$F$15,$M62-$A$15,BI$13)=0,10^12,OFFSET(CRONOPLE!$F$15,$M62-$A$15,BI$13)))</f>
        <v>1000000000000</v>
      </c>
      <c r="BJ62" s="171">
        <f ca="1">IF(OR($D62&lt;&gt;"Serviço",AND(AUTOEVENTO="Manual",$M62=$A$15)),0,
         IF(OFFSET(CRONOPLE!$F$15,$M62-$A$15,BJ$13)=0,10^12,OFFSET(CRONOPLE!$F$15,$M62-$A$15,BJ$13)))</f>
        <v>1000000000000</v>
      </c>
      <c r="BK62" s="171">
        <f ca="1">IF(OR($D62&lt;&gt;"Serviço",AND(AUTOEVENTO="Manual",$M62=$A$15)),0,
         IF(OFFSET(CRONOPLE!$F$15,$M62-$A$15,BK$13)=0,10^12,OFFSET(CRONOPLE!$F$15,$M62-$A$15,BK$13)))</f>
        <v>1000000000000</v>
      </c>
      <c r="BL62" s="171">
        <f ca="1">IF(OR($D62&lt;&gt;"Serviço",AND(AUTOEVENTO="Manual",$M62=$A$15)),0,
         IF(OFFSET(CRONOPLE!$F$15,$M62-$A$15,BL$13)=0,10^12,OFFSET(CRONOPLE!$F$15,$M62-$A$15,BL$13)))</f>
        <v>1000000000000</v>
      </c>
      <c r="BM62" s="171">
        <f ca="1">IF(OR($D62&lt;&gt;"Serviço",AND(AUTOEVENTO="Manual",$M62=$A$15)),0,
         IF(OFFSET(CRONOPLE!$F$15,$M62-$A$15,BM$13)=0,10^12,OFFSET(CRONOPLE!$F$15,$M62-$A$15,BM$13)))</f>
        <v>1000000000000</v>
      </c>
      <c r="BN62" s="171">
        <f ca="1">IF(OR($D62&lt;&gt;"Serviço",AND(AUTOEVENTO="Manual",$M62=$A$15)),0,
         IF(OFFSET(CRONOPLE!$F$15,$M62-$A$15,BN$13)=0,10^12,OFFSET(CRONOPLE!$F$15,$M62-$A$15,BN$13)))</f>
        <v>1000000000000</v>
      </c>
      <c r="BO62" s="171">
        <f ca="1">IF(OR($D62&lt;&gt;"Serviço",AND(AUTOEVENTO="Manual",$M62=$A$15)),0,
         IF(OFFSET(CRONOPLE!$F$15,$M62-$A$15,BO$13)=0,10^12,OFFSET(CRONOPLE!$F$15,$M62-$A$15,BO$13)))</f>
        <v>1000000000000</v>
      </c>
      <c r="BP62" s="171">
        <f ca="1">IF(OR($D62&lt;&gt;"Serviço",AND(AUTOEVENTO="Manual",$M62=$A$15)),0,
         IF(OFFSET(CRONOPLE!$F$15,$M62-$A$15,BP$13)=0,10^12,OFFSET(CRONOPLE!$F$15,$M62-$A$15,BP$13)))</f>
        <v>1000000000000</v>
      </c>
      <c r="BQ62" s="171">
        <f ca="1">IF(OR($D62&lt;&gt;"Serviço",AND(AUTOEVENTO="Manual",$M62=$A$15)),0,
         IF(OFFSET(CRONOPLE!$F$15,$M62-$A$15,BQ$13)=0,10^12,OFFSET(CRONOPLE!$F$15,$M62-$A$15,BQ$13)))</f>
        <v>1000000000000</v>
      </c>
      <c r="BR62" s="171">
        <f ca="1">IF(OR($D62&lt;&gt;"Serviço",AND(AUTOEVENTO="Manual",$M62=$A$15)),0,
         IF(OFFSET(CRONOPLE!$F$15,$M62-$A$15,BR$13)=0,10^12,OFFSET(CRONOPLE!$F$15,$M62-$A$15,BR$13)))</f>
        <v>1000000000000</v>
      </c>
      <c r="BS62" s="171">
        <f ca="1">IF(OR($D62&lt;&gt;"Serviço",AND(AUTOEVENTO="Manual",$M62=$A$15)),0,
         IF(OFFSET(CRONOPLE!$F$15,$M62-$A$15,BS$13)=0,10^12,OFFSET(CRONOPLE!$F$15,$M62-$A$15,BS$13)))</f>
        <v>1000000000000</v>
      </c>
      <c r="BT62" s="171">
        <f ca="1">IF(OR($D62&lt;&gt;"Serviço",AND(AUTOEVENTO="Manual",$M62=$A$15)),0,
         IF(OFFSET(CRONOPLE!$F$15,$M62-$A$15,BT$13)=0,10^12,OFFSET(CRONOPLE!$F$15,$M62-$A$15,BT$13)))</f>
        <v>1000000000000</v>
      </c>
      <c r="BV62" s="172">
        <f t="array" aca="1" ref="BV62" ca="1">IF(OR($D62&lt;&gt;"Serviço",AND(AUTOEVENTO="Manual",$M62=$A$15),$M62&gt;(ROW(PLE.lastrow)-ROW(PLE.firstrow))),0,
           IF(OFFSET(PLE!$G$15,$M62-$A$15,BV$13)="",10^12,OFFSET(PLE!$G$15,$M62-$A$15,BV$13)))</f>
        <v>1000000000000</v>
      </c>
      <c r="BW62" s="172">
        <f t="array" aca="1" ref="BW62" ca="1">IF(OR($D62&lt;&gt;"Serviço",AND(AUTOEVENTO="Manual",$M62=$A$15),$M62&gt;(ROW(PLE.lastrow)-ROW(PLE.firstrow))),0,
           IF(OFFSET(PLE!$G$15,$M62-$A$15,BW$13)="",10^12,OFFSET(PLE!$G$15,$M62-$A$15,BW$13)))</f>
        <v>1000000000000</v>
      </c>
      <c r="BX62" s="172">
        <f t="array" aca="1" ref="BX62" ca="1">IF(OR($D62&lt;&gt;"Serviço",AND(AUTOEVENTO="Manual",$M62=$A$15),$M62&gt;(ROW(PLE.lastrow)-ROW(PLE.firstrow))),0,
           IF(OFFSET(PLE!$G$15,$M62-$A$15,BX$13)="",10^12,OFFSET(PLE!$G$15,$M62-$A$15,BX$13)))</f>
        <v>1000000000000</v>
      </c>
      <c r="BY62" s="172">
        <f t="array" aca="1" ref="BY62" ca="1">IF(OR($D62&lt;&gt;"Serviço",AND(AUTOEVENTO="Manual",$M62=$A$15),$M62&gt;(ROW(PLE.lastrow)-ROW(PLE.firstrow))),0,
           IF(OFFSET(PLE!$G$15,$M62-$A$15,BY$13)="",10^12,OFFSET(PLE!$G$15,$M62-$A$15,BY$13)))</f>
        <v>1000000000000</v>
      </c>
      <c r="BZ62" s="172">
        <f t="array" aca="1" ref="BZ62" ca="1">IF(OR($D62&lt;&gt;"Serviço",AND(AUTOEVENTO="Manual",$M62=$A$15),$M62&gt;(ROW(PLE.lastrow)-ROW(PLE.firstrow))),0,
           IF(OFFSET(PLE!$G$15,$M62-$A$15,BZ$13)="",10^12,OFFSET(PLE!$G$15,$M62-$A$15,BZ$13)))</f>
        <v>1000000000000</v>
      </c>
      <c r="CA62" s="172">
        <f t="array" aca="1" ref="CA62" ca="1">IF(OR($D62&lt;&gt;"Serviço",AND(AUTOEVENTO="Manual",$M62=$A$15),$M62&gt;(ROW(PLE.lastrow)-ROW(PLE.firstrow))),0,
           IF(OFFSET(PLE!$G$15,$M62-$A$15,CA$13)="",10^12,OFFSET(PLE!$G$15,$M62-$A$15,CA$13)))</f>
        <v>1000000000000</v>
      </c>
      <c r="CB62" s="172">
        <f t="array" aca="1" ref="CB62" ca="1">IF(OR($D62&lt;&gt;"Serviço",AND(AUTOEVENTO="Manual",$M62=$A$15),$M62&gt;(ROW(PLE.lastrow)-ROW(PLE.firstrow))),0,
           IF(OFFSET(PLE!$G$15,$M62-$A$15,CB$13)="",10^12,OFFSET(PLE!$G$15,$M62-$A$15,CB$13)))</f>
        <v>1000000000000</v>
      </c>
      <c r="CC62" s="172">
        <f t="array" aca="1" ref="CC62" ca="1">IF(OR($D62&lt;&gt;"Serviço",AND(AUTOEVENTO="Manual",$M62=$A$15),$M62&gt;(ROW(PLE.lastrow)-ROW(PLE.firstrow))),0,
           IF(OFFSET(PLE!$G$15,$M62-$A$15,CC$13)="",10^12,OFFSET(PLE!$G$15,$M62-$A$15,CC$13)))</f>
        <v>1000000000000</v>
      </c>
      <c r="CD62" s="172">
        <f t="array" aca="1" ref="CD62" ca="1">IF(OR($D62&lt;&gt;"Serviço",AND(AUTOEVENTO="Manual",$M62=$A$15),$M62&gt;(ROW(PLE.lastrow)-ROW(PLE.firstrow))),0,
           IF(OFFSET(PLE!$G$15,$M62-$A$15,CD$13)="",10^12,OFFSET(PLE!$G$15,$M62-$A$15,CD$13)))</f>
        <v>1000000000000</v>
      </c>
      <c r="CE62" s="172">
        <f t="array" aca="1" ref="CE62" ca="1">IF(OR($D62&lt;&gt;"Serviço",AND(AUTOEVENTO="Manual",$M62=$A$15),$M62&gt;(ROW(PLE.lastrow)-ROW(PLE.firstrow))),0,
           IF(OFFSET(PLE!$G$15,$M62-$A$15,CE$13)="",10^12,OFFSET(PLE!$G$15,$M62-$A$15,CE$13)))</f>
        <v>1000000000000</v>
      </c>
      <c r="CF62" s="172">
        <f t="array" aca="1" ref="CF62" ca="1">IF(OR($D62&lt;&gt;"Serviço",AND(AUTOEVENTO="Manual",$M62=$A$15),$M62&gt;(ROW(PLE.lastrow)-ROW(PLE.firstrow))),0,
           IF(OFFSET(PLE!$G$15,$M62-$A$15,CF$13)="",10^12,OFFSET(PLE!$G$15,$M62-$A$15,CF$13)))</f>
        <v>1000000000000</v>
      </c>
      <c r="CG62" s="172">
        <f t="array" aca="1" ref="CG62" ca="1">IF(OR($D62&lt;&gt;"Serviço",AND(AUTOEVENTO="Manual",$M62=$A$15),$M62&gt;(ROW(PLE.lastrow)-ROW(PLE.firstrow))),0,
           IF(OFFSET(PLE!$G$15,$M62-$A$15,CG$13)="",10^12,OFFSET(PLE!$G$15,$M62-$A$15,CG$13)))</f>
        <v>1000000000000</v>
      </c>
      <c r="CH62" s="172">
        <f t="array" aca="1" ref="CH62" ca="1">IF(OR($D62&lt;&gt;"Serviço",AND(AUTOEVENTO="Manual",$M62=$A$15),$M62&gt;(ROW(PLE.lastrow)-ROW(PLE.firstrow))),0,
           IF(OFFSET(PLE!$G$15,$M62-$A$15,CH$13)="",10^12,OFFSET(PLE!$G$15,$M62-$A$15,CH$13)))</f>
        <v>1000000000000</v>
      </c>
      <c r="CI62" s="172">
        <f t="array" aca="1" ref="CI62" ca="1">IF(OR($D62&lt;&gt;"Serviço",AND(AUTOEVENTO="Manual",$M62=$A$15),$M62&gt;(ROW(PLE.lastrow)-ROW(PLE.firstrow))),0,
           IF(OFFSET(PLE!$G$15,$M62-$A$15,CI$13)="",10^12,OFFSET(PLE!$G$15,$M62-$A$15,CI$13)))</f>
        <v>1000000000000</v>
      </c>
      <c r="CJ62" s="172">
        <f t="array" aca="1" ref="CJ62" ca="1">IF(OR($D62&lt;&gt;"Serviço",AND(AUTOEVENTO="Manual",$M62=$A$15),$M62&gt;(ROW(PLE.lastrow)-ROW(PLE.firstrow))),0,
           IF(OFFSET(PLE!$G$15,$M62-$A$15,CJ$13)="",10^12,OFFSET(PLE!$G$15,$M62-$A$15,CJ$13)))</f>
        <v>1000000000000</v>
      </c>
      <c r="CK62" s="172">
        <f t="array" aca="1" ref="CK62" ca="1">IF(OR($D62&lt;&gt;"Serviço",AND(AUTOEVENTO="Manual",$M62=$A$15),$M62&gt;(ROW(PLE.lastrow)-ROW(PLE.firstrow))),0,
           IF(OFFSET(PLE!$G$15,$M62-$A$15,CK$13)="",10^12,OFFSET(PLE!$G$15,$M62-$A$15,CK$13)))</f>
        <v>1000000000000</v>
      </c>
      <c r="CL62" s="172">
        <f t="array" aca="1" ref="CL62" ca="1">IF(OR($D62&lt;&gt;"Serviço",AND(AUTOEVENTO="Manual",$M62=$A$15),$M62&gt;(ROW(PLE.lastrow)-ROW(PLE.firstrow))),0,
           IF(OFFSET(PLE!$G$15,$M62-$A$15,CL$13)="",10^12,OFFSET(PLE!$G$15,$M62-$A$15,CL$13)))</f>
        <v>1000000000000</v>
      </c>
      <c r="CM62" s="172">
        <f t="array" aca="1" ref="CM62" ca="1">IF(OR($D62&lt;&gt;"Serviço",AND(AUTOEVENTO="Manual",$M62=$A$15),$M62&gt;(ROW(PLE.lastrow)-ROW(PLE.firstrow))),0,
           IF(OFFSET(PLE!$G$15,$M62-$A$15,CM$13)="",10^12,OFFSET(PLE!$G$15,$M62-$A$15,CM$13)))</f>
        <v>1000000000000</v>
      </c>
    </row>
    <row r="63" spans="1:91" s="696" customFormat="1" ht="51" x14ac:dyDescent="0.2">
      <c r="A63" s="694">
        <f t="shared" ca="1" si="10"/>
        <v>9</v>
      </c>
      <c r="B63" s="694" t="str">
        <f ca="1">OFFSET(ORÇAMENTO!C$15,$L63,0)</f>
        <v>S</v>
      </c>
      <c r="C63" s="694" t="str">
        <f ca="1">OFFSET(ORÇAMENTO!L$15,$L63,0)</f>
        <v>F</v>
      </c>
      <c r="D63" s="116" t="str">
        <f ca="1">OFFSET(ORÇAMENTO!N$15,$L63,0)</f>
        <v>Serviço</v>
      </c>
      <c r="E63" s="117" t="str">
        <f ca="1">OFFSET(ORÇAMENTO!O$15,$L63,0)</f>
        <v>1.7.8.</v>
      </c>
      <c r="F63" s="163" t="str">
        <f ca="1">OFFSET(ORÇAMENTO!R$15,$L63,0)</f>
        <v>LAJE PRÉ-MOLDADA UNIDIRECIONAL, BIAPOIADA, PARA PISO, ENCHIMENTO EM CERÂMICA, VIGOTA CONVENCIONAL, ALTURA TOTAL DA LAJE "LT" = 12 CM (ENCHIMENTO+CAPA) = (8+4). AF_08/2025</v>
      </c>
      <c r="G63" s="164" t="str">
        <f ca="1">IF($D63&lt;&gt;"Serviço","",OFFSET(ORÇAMENTO!S$15,$L63,0))</f>
        <v>M2</v>
      </c>
      <c r="H63" s="122">
        <f t="array" aca="1" ref="H63" ca="1">IF($D63&lt;&gt;"Serviço",0,IF(ACOMPANHAMENTO="BM",ROUND(OFFSET(ORÇAMENTO!AJ$15,$L63,0),15-13*ORÇAMENTO!$AF$7),IF(IFERROR(CÁLCULO.FrentesPreenchidas,0)=0,0,SUM(ROUND(OFFSET($P63,0,1,1,CÁLCULO.FrentesPreenchidas),15-13*ORÇAMENTO!$AF$7)))))</f>
        <v>115.4</v>
      </c>
      <c r="I63" s="467" t="s">
        <v>1237</v>
      </c>
      <c r="J63" s="653" t="str">
        <f t="array" aca="1" ref="J63" ca="1">IF(OR(B63&lt;&gt;"S",CÁLCULO.FrentesPreenchidas=0),"",IF(AND(ACOMPANHAMENTO="PLE",AUTOEVENTO="Manual",OR(H63&gt;0,ORÇAMENTO!AC63="QUANT."),OR(K63="",M63=0,N63="")),"►E",IF(AND(ACOMPANHAMENTO="PLE",ORÇAMENTO!AC63="QUANT."),"►Q",IF(AND(ACOMPANHAMENTO="PLE",H63&lt;&gt;SUMPRODUCT(($Q$1:$AI$1=1)*ROUND(Q63:AI63,15))),"►S",IF(AND(COUNTIF($P$11:$AI$11,"▼")=0,H63&gt;0,I63=""),"◄M","")))))</f>
        <v/>
      </c>
      <c r="K63" s="654" t="s">
        <v>1388</v>
      </c>
      <c r="L63" s="165">
        <f t="shared" ca="1" si="11"/>
        <v>48</v>
      </c>
      <c r="M63" s="166">
        <f ca="1">IF($D63&lt;&gt;"Serviço","",
          IF(AUTOEVENTO="manual",$A63,
                IF(ISERROR(MATCH($A63,$A$15:OFFSET($A63,-1,0),0)),MAX($M$15:OFFSET(M63,-1,0))+1,
                      INDEX($M$15:OFFSET(M63,-1,0),MATCH($A63,$A$15:OFFSET($A63,-1,0),0)))))</f>
        <v>9</v>
      </c>
      <c r="N63" s="167" t="str">
        <f ca="1">IF($D63&lt;&gt;"Serviço","",
         IF(AUTOEVENTO="Manual",
                IF($A63=0,"&lt;-- defina o número do agrupador",
                       OFFSET(EVENTOS!$D$15,$A63-$A$15,0)),
                OFFSET($F$15,$A63,0)))</f>
        <v>LAJES</v>
      </c>
      <c r="O63" s="168"/>
      <c r="Q63" s="169">
        <f>5.77*5</f>
        <v>28.849999999999998</v>
      </c>
      <c r="R63" s="169">
        <f t="shared" ref="R63:T63" si="36">5.77*5</f>
        <v>28.849999999999998</v>
      </c>
      <c r="S63" s="169">
        <f t="shared" si="36"/>
        <v>28.849999999999998</v>
      </c>
      <c r="T63" s="169">
        <f t="shared" si="36"/>
        <v>28.849999999999998</v>
      </c>
      <c r="U63" s="169"/>
      <c r="V63" s="169"/>
      <c r="W63" s="169"/>
      <c r="X63" s="169"/>
      <c r="Y63" s="169"/>
      <c r="Z63" s="170"/>
      <c r="AA63" s="169"/>
      <c r="AB63" s="169"/>
      <c r="AC63" s="169"/>
      <c r="AD63" s="169"/>
      <c r="AE63" s="169"/>
      <c r="AF63" s="169"/>
      <c r="AG63" s="169"/>
      <c r="AH63" s="170"/>
      <c r="AJ63" s="452">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7473.02</v>
      </c>
      <c r="AK63" s="452">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7473.02</v>
      </c>
      <c r="AL63" s="452">
        <f ca="1">IF(AND($D63="Serviço",AL$12&lt;&gt;0,$H63&gt;0,OR(AUTOEVENTO&lt;&gt;"manual",$M63&lt;&gt;$A$15)),
        IF(Import.TipoArredondamento&lt;&gt;"TransfereGOV",
              ROUND(OFFSET($P63,0,AL$13),15-13*ORÇAMENTO!$AF$7)/$H63*OFFSET(ORÇAMENTO!$X$15,ROW(AL63)-ROW(AL$15),0),
              ROUND(ROUND(OFFSET($P63,0,AL$13),15-13*ORÇAMENTO!$AF$7)*OFFSET(ORÇAMENTO!$W$15,ROW(AL63)-ROW(AL$15),0),15-13*ORÇAMENTO!$AF$11)),
         0)</f>
        <v>7473.02</v>
      </c>
      <c r="AM63" s="452">
        <f ca="1">IF(AND($D63="Serviço",AM$12&lt;&gt;0,$H63&gt;0,OR(AUTOEVENTO&lt;&gt;"manual",$M63&lt;&gt;$A$15)),
        IF(Import.TipoArredondamento&lt;&gt;"TransfereGOV",
              ROUND(OFFSET($P63,0,AM$13),15-13*ORÇAMENTO!$AF$7)/$H63*OFFSET(ORÇAMENTO!$X$15,ROW(AM63)-ROW(AM$15),0),
              ROUND(ROUND(OFFSET($P63,0,AM$13),15-13*ORÇAMENTO!$AF$7)*OFFSET(ORÇAMENTO!$W$15,ROW(AM63)-ROW(AM$15),0),15-13*ORÇAMENTO!$AF$11)),
         0)</f>
        <v>7473.02</v>
      </c>
      <c r="AN63" s="452">
        <f ca="1">IF(AND($D63="Serviço",AN$12&lt;&gt;0,$H63&gt;0,OR(AUTOEVENTO&lt;&gt;"manual",$M63&lt;&gt;$A$15)),
        IF(Import.TipoArredondamento&lt;&gt;"TransfereGOV",
              ROUND(OFFSET($P63,0,AN$13),15-13*ORÇAMENTO!$AF$7)/$H63*OFFSET(ORÇAMENTO!$X$15,ROW(AN63)-ROW(AN$15),0),
              ROUND(ROUND(OFFSET($P63,0,AN$13),15-13*ORÇAMENTO!$AF$7)*OFFSET(ORÇAMENTO!$W$15,ROW(AN63)-ROW(AN$15),0),15-13*ORÇAMENTO!$AF$11)),
         0)</f>
        <v>0</v>
      </c>
      <c r="AO63" s="452">
        <f ca="1">IF(AND($D63="Serviço",AO$12&lt;&gt;0,$H63&gt;0,OR(AUTOEVENTO&lt;&gt;"manual",$M63&lt;&gt;$A$15)),
        IF(Import.TipoArredondamento&lt;&gt;"TransfereGOV",
              ROUND(OFFSET($P63,0,AO$13),15-13*ORÇAMENTO!$AF$7)/$H63*OFFSET(ORÇAMENTO!$X$15,ROW(AO63)-ROW(AO$15),0),
              ROUND(ROUND(OFFSET($P63,0,AO$13),15-13*ORÇAMENTO!$AF$7)*OFFSET(ORÇAMENTO!$W$15,ROW(AO63)-ROW(AO$15),0),15-13*ORÇAMENTO!$AF$11)),
         0)</f>
        <v>0</v>
      </c>
      <c r="AP63" s="452">
        <f ca="1">IF(AND($D63="Serviço",AP$12&lt;&gt;0,$H63&gt;0,OR(AUTOEVENTO&lt;&gt;"manual",$M63&lt;&gt;$A$15)),
        IF(Import.TipoArredondamento&lt;&gt;"TransfereGOV",
              ROUND(OFFSET($P63,0,AP$13),15-13*ORÇAMENTO!$AF$7)/$H63*OFFSET(ORÇAMENTO!$X$15,ROW(AP63)-ROW(AP$15),0),
              ROUND(ROUND(OFFSET($P63,0,AP$13),15-13*ORÇAMENTO!$AF$7)*OFFSET(ORÇAMENTO!$W$15,ROW(AP63)-ROW(AP$15),0),15-13*ORÇAMENTO!$AF$11)),
         0)</f>
        <v>0</v>
      </c>
      <c r="AQ63" s="452">
        <f ca="1">IF(AND($D63="Serviço",AQ$12&lt;&gt;0,$H63&gt;0,OR(AUTOEVENTO&lt;&gt;"manual",$M63&lt;&gt;$A$15)),
        IF(Import.TipoArredondamento&lt;&gt;"TransfereGOV",
              ROUND(OFFSET($P63,0,AQ$13),15-13*ORÇAMENTO!$AF$7)/$H63*OFFSET(ORÇAMENTO!$X$15,ROW(AQ63)-ROW(AQ$15),0),
              ROUND(ROUND(OFFSET($P63,0,AQ$13),15-13*ORÇAMENTO!$AF$7)*OFFSET(ORÇAMENTO!$W$15,ROW(AQ63)-ROW(AQ$15),0),15-13*ORÇAMENTO!$AF$11)),
         0)</f>
        <v>0</v>
      </c>
      <c r="AR63" s="452">
        <f ca="1">IF(AND($D63="Serviço",AR$12&lt;&gt;0,$H63&gt;0,OR(AUTOEVENTO&lt;&gt;"manual",$M63&lt;&gt;$A$15)),
        IF(Import.TipoArredondamento&lt;&gt;"TransfereGOV",
              ROUND(OFFSET($P63,0,AR$13),15-13*ORÇAMENTO!$AF$7)/$H63*OFFSET(ORÇAMENTO!$X$15,ROW(AR63)-ROW(AR$15),0),
              ROUND(ROUND(OFFSET($P63,0,AR$13),15-13*ORÇAMENTO!$AF$7)*OFFSET(ORÇAMENTO!$W$15,ROW(AR63)-ROW(AR$15),0),15-13*ORÇAMENTO!$AF$11)),
         0)</f>
        <v>0</v>
      </c>
      <c r="AS63" s="452">
        <f ca="1">IF(AND($D63="Serviço",AS$12&lt;&gt;0,$H63&gt;0,OR(AUTOEVENTO&lt;&gt;"manual",$M63&lt;&gt;$A$15)),
        IF(Import.TipoArredondamento&lt;&gt;"TransfereGOV",
              ROUND(OFFSET($P63,0,AS$13),15-13*ORÇAMENTO!$AF$7)/$H63*OFFSET(ORÇAMENTO!$X$15,ROW(AS63)-ROW(AS$15),0),
              ROUND(ROUND(OFFSET($P63,0,AS$13),15-13*ORÇAMENTO!$AF$7)*OFFSET(ORÇAMENTO!$W$15,ROW(AS63)-ROW(AS$15),0),15-13*ORÇAMENTO!$AF$11)),
         0)</f>
        <v>0</v>
      </c>
      <c r="AT63" s="452">
        <f ca="1">IF(AND($D63="Serviço",AT$12&lt;&gt;0,$H63&gt;0,OR(AUTOEVENTO&lt;&gt;"manual",$M63&lt;&gt;$A$15)),
        IF(Import.TipoArredondamento&lt;&gt;"TransfereGOV",
              ROUND(OFFSET($P63,0,AT$13),15-13*ORÇAMENTO!$AF$7)/$H63*OFFSET(ORÇAMENTO!$X$15,ROW(AT63)-ROW(AT$15),0),
              ROUND(ROUND(OFFSET($P63,0,AT$13),15-13*ORÇAMENTO!$AF$7)*OFFSET(ORÇAMENTO!$W$15,ROW(AT63)-ROW(AT$15),0),15-13*ORÇAMENTO!$AF$11)),
         0)</f>
        <v>0</v>
      </c>
      <c r="AU63" s="452">
        <f ca="1">IF(AND($D63="Serviço",AU$12&lt;&gt;0,$H63&gt;0,OR(AUTOEVENTO&lt;&gt;"manual",$M63&lt;&gt;$A$15)),
        IF(Import.TipoArredondamento&lt;&gt;"TransfereGOV",
              ROUND(OFFSET($P63,0,AU$13),15-13*ORÇAMENTO!$AF$7)/$H63*OFFSET(ORÇAMENTO!$X$15,ROW(AU63)-ROW(AU$15),0),
              ROUND(ROUND(OFFSET($P63,0,AU$13),15-13*ORÇAMENTO!$AF$7)*OFFSET(ORÇAMENTO!$W$15,ROW(AU63)-ROW(AU$15),0),15-13*ORÇAMENTO!$AF$11)),
         0)</f>
        <v>0</v>
      </c>
      <c r="AV63" s="452">
        <f ca="1">IF(AND($D63="Serviço",AV$12&lt;&gt;0,$H63&gt;0,OR(AUTOEVENTO&lt;&gt;"manual",$M63&lt;&gt;$A$15)),
        IF(Import.TipoArredondamento&lt;&gt;"TransfereGOV",
              ROUND(OFFSET($P63,0,AV$13),15-13*ORÇAMENTO!$AF$7)/$H63*OFFSET(ORÇAMENTO!$X$15,ROW(AV63)-ROW(AV$15),0),
              ROUND(ROUND(OFFSET($P63,0,AV$13),15-13*ORÇAMENTO!$AF$7)*OFFSET(ORÇAMENTO!$W$15,ROW(AV63)-ROW(AV$15),0),15-13*ORÇAMENTO!$AF$11)),
         0)</f>
        <v>0</v>
      </c>
      <c r="AW63" s="452">
        <f ca="1">IF(AND($D63="Serviço",AW$12&lt;&gt;0,$H63&gt;0,OR(AUTOEVENTO&lt;&gt;"manual",$M63&lt;&gt;$A$15)),
        IF(Import.TipoArredondamento&lt;&gt;"TransfereGOV",
              ROUND(OFFSET($P63,0,AW$13),15-13*ORÇAMENTO!$AF$7)/$H63*OFFSET(ORÇAMENTO!$X$15,ROW(AW63)-ROW(AW$15),0),
              ROUND(ROUND(OFFSET($P63,0,AW$13),15-13*ORÇAMENTO!$AF$7)*OFFSET(ORÇAMENTO!$W$15,ROW(AW63)-ROW(AW$15),0),15-13*ORÇAMENTO!$AF$11)),
         0)</f>
        <v>0</v>
      </c>
      <c r="AX63" s="452">
        <f ca="1">IF(AND($D63="Serviço",AX$12&lt;&gt;0,$H63&gt;0,OR(AUTOEVENTO&lt;&gt;"manual",$M63&lt;&gt;$A$15)),
        IF(Import.TipoArredondamento&lt;&gt;"TransfereGOV",
              ROUND(OFFSET($P63,0,AX$13),15-13*ORÇAMENTO!$AF$7)/$H63*OFFSET(ORÇAMENTO!$X$15,ROW(AX63)-ROW(AX$15),0),
              ROUND(ROUND(OFFSET($P63,0,AX$13),15-13*ORÇAMENTO!$AF$7)*OFFSET(ORÇAMENTO!$W$15,ROW(AX63)-ROW(AX$15),0),15-13*ORÇAMENTO!$AF$11)),
         0)</f>
        <v>0</v>
      </c>
      <c r="AY63" s="452">
        <f ca="1">IF(AND($D63="Serviço",AY$12&lt;&gt;0,$H63&gt;0,OR(AUTOEVENTO&lt;&gt;"manual",$M63&lt;&gt;$A$15)),
        IF(Import.TipoArredondamento&lt;&gt;"TransfereGOV",
              ROUND(OFFSET($P63,0,AY$13),15-13*ORÇAMENTO!$AF$7)/$H63*OFFSET(ORÇAMENTO!$X$15,ROW(AY63)-ROW(AY$15),0),
              ROUND(ROUND(OFFSET($P63,0,AY$13),15-13*ORÇAMENTO!$AF$7)*OFFSET(ORÇAMENTO!$W$15,ROW(AY63)-ROW(AY$15),0),15-13*ORÇAMENTO!$AF$11)),
         0)</f>
        <v>0</v>
      </c>
      <c r="AZ63" s="452">
        <f ca="1">IF(AND($D63="Serviço",AZ$12&lt;&gt;0,$H63&gt;0,OR(AUTOEVENTO&lt;&gt;"manual",$M63&lt;&gt;$A$15)),
        IF(Import.TipoArredondamento&lt;&gt;"TransfereGOV",
              ROUND(OFFSET($P63,0,AZ$13),15-13*ORÇAMENTO!$AF$7)/$H63*OFFSET(ORÇAMENTO!$X$15,ROW(AZ63)-ROW(AZ$15),0),
              ROUND(ROUND(OFFSET($P63,0,AZ$13),15-13*ORÇAMENTO!$AF$7)*OFFSET(ORÇAMENTO!$W$15,ROW(AZ63)-ROW(AZ$15),0),15-13*ORÇAMENTO!$AF$11)),
         0)</f>
        <v>0</v>
      </c>
      <c r="BA63" s="452">
        <f ca="1">IF(AND($D63="Serviço",BA$12&lt;&gt;0,$H63&gt;0,OR(AUTOEVENTO&lt;&gt;"manual",$M63&lt;&gt;$A$15)),
        IF(Import.TipoArredondamento&lt;&gt;"TransfereGOV",
              ROUND(OFFSET($P63,0,BA$13),15-13*ORÇAMENTO!$AF$7)/$H63*OFFSET(ORÇAMENTO!$X$15,ROW(BA63)-ROW(BA$15),0),
              ROUND(ROUND(OFFSET($P63,0,BA$13),15-13*ORÇAMENTO!$AF$7)*OFFSET(ORÇAMENTO!$W$15,ROW(BA63)-ROW(BA$15),0),15-13*ORÇAMENTO!$AF$11)),
         0)</f>
        <v>0</v>
      </c>
      <c r="BC63" s="171">
        <f ca="1">IF(OR($D63&lt;&gt;"Serviço",AND(AUTOEVENTO="Manual",$M63=$A$15)),0,
         IF(OFFSET(CRONOPLE!$F$15,$M63-$A$15,BC$13)=0,10^12,OFFSET(CRONOPLE!$F$15,$M63-$A$15,BC$13)))</f>
        <v>3</v>
      </c>
      <c r="BD63" s="171">
        <f ca="1">IF(OR($D63&lt;&gt;"Serviço",AND(AUTOEVENTO="Manual",$M63=$A$15)),0,
         IF(OFFSET(CRONOPLE!$F$15,$M63-$A$15,BD$13)=0,10^12,OFFSET(CRONOPLE!$F$15,$M63-$A$15,BD$13)))</f>
        <v>4</v>
      </c>
      <c r="BE63" s="171">
        <f ca="1">IF(OR($D63&lt;&gt;"Serviço",AND(AUTOEVENTO="Manual",$M63=$A$15)),0,
         IF(OFFSET(CRONOPLE!$F$15,$M63-$A$15,BE$13)=0,10^12,OFFSET(CRONOPLE!$F$15,$M63-$A$15,BE$13)))</f>
        <v>5</v>
      </c>
      <c r="BF63" s="171">
        <f ca="1">IF(OR($D63&lt;&gt;"Serviço",AND(AUTOEVENTO="Manual",$M63=$A$15)),0,
         IF(OFFSET(CRONOPLE!$F$15,$M63-$A$15,BF$13)=0,10^12,OFFSET(CRONOPLE!$F$15,$M63-$A$15,BF$13)))</f>
        <v>5</v>
      </c>
      <c r="BG63" s="171">
        <f ca="1">IF(OR($D63&lt;&gt;"Serviço",AND(AUTOEVENTO="Manual",$M63=$A$15)),0,
         IF(OFFSET(CRONOPLE!$F$15,$M63-$A$15,BG$13)=0,10^12,OFFSET(CRONOPLE!$F$15,$M63-$A$15,BG$13)))</f>
        <v>5</v>
      </c>
      <c r="BH63" s="171">
        <f ca="1">IF(OR($D63&lt;&gt;"Serviço",AND(AUTOEVENTO="Manual",$M63=$A$15)),0,
         IF(OFFSET(CRONOPLE!$F$15,$M63-$A$15,BH$13)=0,10^12,OFFSET(CRONOPLE!$F$15,$M63-$A$15,BH$13)))</f>
        <v>6</v>
      </c>
      <c r="BI63" s="171">
        <f ca="1">IF(OR($D63&lt;&gt;"Serviço",AND(AUTOEVENTO="Manual",$M63=$A$15)),0,
         IF(OFFSET(CRONOPLE!$F$15,$M63-$A$15,BI$13)=0,10^12,OFFSET(CRONOPLE!$F$15,$M63-$A$15,BI$13)))</f>
        <v>7</v>
      </c>
      <c r="BJ63" s="171">
        <f ca="1">IF(OR($D63&lt;&gt;"Serviço",AND(AUTOEVENTO="Manual",$M63=$A$15)),0,
         IF(OFFSET(CRONOPLE!$F$15,$M63-$A$15,BJ$13)=0,10^12,OFFSET(CRONOPLE!$F$15,$M63-$A$15,BJ$13)))</f>
        <v>8</v>
      </c>
      <c r="BK63" s="171">
        <f ca="1">IF(OR($D63&lt;&gt;"Serviço",AND(AUTOEVENTO="Manual",$M63=$A$15)),0,
         IF(OFFSET(CRONOPLE!$F$15,$M63-$A$15,BK$13)=0,10^12,OFFSET(CRONOPLE!$F$15,$M63-$A$15,BK$13)))</f>
        <v>9</v>
      </c>
      <c r="BL63" s="171">
        <f ca="1">IF(OR($D63&lt;&gt;"Serviço",AND(AUTOEVENTO="Manual",$M63=$A$15)),0,
         IF(OFFSET(CRONOPLE!$F$15,$M63-$A$15,BL$13)=0,10^12,OFFSET(CRONOPLE!$F$15,$M63-$A$15,BL$13)))</f>
        <v>1000000000000</v>
      </c>
      <c r="BM63" s="171">
        <f ca="1">IF(OR($D63&lt;&gt;"Serviço",AND(AUTOEVENTO="Manual",$M63=$A$15)),0,
         IF(OFFSET(CRONOPLE!$F$15,$M63-$A$15,BM$13)=0,10^12,OFFSET(CRONOPLE!$F$15,$M63-$A$15,BM$13)))</f>
        <v>1000000000000</v>
      </c>
      <c r="BN63" s="171">
        <f ca="1">IF(OR($D63&lt;&gt;"Serviço",AND(AUTOEVENTO="Manual",$M63=$A$15)),0,
         IF(OFFSET(CRONOPLE!$F$15,$M63-$A$15,BN$13)=0,10^12,OFFSET(CRONOPLE!$F$15,$M63-$A$15,BN$13)))</f>
        <v>1000000000000</v>
      </c>
      <c r="BO63" s="171">
        <f ca="1">IF(OR($D63&lt;&gt;"Serviço",AND(AUTOEVENTO="Manual",$M63=$A$15)),0,
         IF(OFFSET(CRONOPLE!$F$15,$M63-$A$15,BO$13)=0,10^12,OFFSET(CRONOPLE!$F$15,$M63-$A$15,BO$13)))</f>
        <v>1000000000000</v>
      </c>
      <c r="BP63" s="171">
        <f ca="1">IF(OR($D63&lt;&gt;"Serviço",AND(AUTOEVENTO="Manual",$M63=$A$15)),0,
         IF(OFFSET(CRONOPLE!$F$15,$M63-$A$15,BP$13)=0,10^12,OFFSET(CRONOPLE!$F$15,$M63-$A$15,BP$13)))</f>
        <v>1000000000000</v>
      </c>
      <c r="BQ63" s="171">
        <f ca="1">IF(OR($D63&lt;&gt;"Serviço",AND(AUTOEVENTO="Manual",$M63=$A$15)),0,
         IF(OFFSET(CRONOPLE!$F$15,$M63-$A$15,BQ$13)=0,10^12,OFFSET(CRONOPLE!$F$15,$M63-$A$15,BQ$13)))</f>
        <v>1000000000000</v>
      </c>
      <c r="BR63" s="171">
        <f ca="1">IF(OR($D63&lt;&gt;"Serviço",AND(AUTOEVENTO="Manual",$M63=$A$15)),0,
         IF(OFFSET(CRONOPLE!$F$15,$M63-$A$15,BR$13)=0,10^12,OFFSET(CRONOPLE!$F$15,$M63-$A$15,BR$13)))</f>
        <v>1000000000000</v>
      </c>
      <c r="BS63" s="171">
        <f ca="1">IF(OR($D63&lt;&gt;"Serviço",AND(AUTOEVENTO="Manual",$M63=$A$15)),0,
         IF(OFFSET(CRONOPLE!$F$15,$M63-$A$15,BS$13)=0,10^12,OFFSET(CRONOPLE!$F$15,$M63-$A$15,BS$13)))</f>
        <v>1000000000000</v>
      </c>
      <c r="BT63" s="171">
        <f ca="1">IF(OR($D63&lt;&gt;"Serviço",AND(AUTOEVENTO="Manual",$M63=$A$15)),0,
         IF(OFFSET(CRONOPLE!$F$15,$M63-$A$15,BT$13)=0,10^12,OFFSET(CRONOPLE!$F$15,$M63-$A$15,BT$13)))</f>
        <v>1000000000000</v>
      </c>
      <c r="BV63" s="172">
        <f t="array" aca="1" ref="BV63" ca="1">IF(OR($D63&lt;&gt;"Serviço",AND(AUTOEVENTO="Manual",$M63=$A$15),$M63&gt;(ROW(PLE.lastrow)-ROW(PLE.firstrow))),0,
           IF(OFFSET(PLE!$G$15,$M63-$A$15,BV$13)="",10^12,OFFSET(PLE!$G$15,$M63-$A$15,BV$13)))</f>
        <v>1000000000000</v>
      </c>
      <c r="BW63" s="172">
        <f t="array" aca="1" ref="BW63" ca="1">IF(OR($D63&lt;&gt;"Serviço",AND(AUTOEVENTO="Manual",$M63=$A$15),$M63&gt;(ROW(PLE.lastrow)-ROW(PLE.firstrow))),0,
           IF(OFFSET(PLE!$G$15,$M63-$A$15,BW$13)="",10^12,OFFSET(PLE!$G$15,$M63-$A$15,BW$13)))</f>
        <v>1000000000000</v>
      </c>
      <c r="BX63" s="172">
        <f t="array" aca="1" ref="BX63" ca="1">IF(OR($D63&lt;&gt;"Serviço",AND(AUTOEVENTO="Manual",$M63=$A$15),$M63&gt;(ROW(PLE.lastrow)-ROW(PLE.firstrow))),0,
           IF(OFFSET(PLE!$G$15,$M63-$A$15,BX$13)="",10^12,OFFSET(PLE!$G$15,$M63-$A$15,BX$13)))</f>
        <v>1000000000000</v>
      </c>
      <c r="BY63" s="172">
        <f t="array" aca="1" ref="BY63" ca="1">IF(OR($D63&lt;&gt;"Serviço",AND(AUTOEVENTO="Manual",$M63=$A$15),$M63&gt;(ROW(PLE.lastrow)-ROW(PLE.firstrow))),0,
           IF(OFFSET(PLE!$G$15,$M63-$A$15,BY$13)="",10^12,OFFSET(PLE!$G$15,$M63-$A$15,BY$13)))</f>
        <v>1000000000000</v>
      </c>
      <c r="BZ63" s="172">
        <f t="array" aca="1" ref="BZ63" ca="1">IF(OR($D63&lt;&gt;"Serviço",AND(AUTOEVENTO="Manual",$M63=$A$15),$M63&gt;(ROW(PLE.lastrow)-ROW(PLE.firstrow))),0,
           IF(OFFSET(PLE!$G$15,$M63-$A$15,BZ$13)="",10^12,OFFSET(PLE!$G$15,$M63-$A$15,BZ$13)))</f>
        <v>1000000000000</v>
      </c>
      <c r="CA63" s="172">
        <f t="array" aca="1" ref="CA63" ca="1">IF(OR($D63&lt;&gt;"Serviço",AND(AUTOEVENTO="Manual",$M63=$A$15),$M63&gt;(ROW(PLE.lastrow)-ROW(PLE.firstrow))),0,
           IF(OFFSET(PLE!$G$15,$M63-$A$15,CA$13)="",10^12,OFFSET(PLE!$G$15,$M63-$A$15,CA$13)))</f>
        <v>1000000000000</v>
      </c>
      <c r="CB63" s="172">
        <f t="array" aca="1" ref="CB63" ca="1">IF(OR($D63&lt;&gt;"Serviço",AND(AUTOEVENTO="Manual",$M63=$A$15),$M63&gt;(ROW(PLE.lastrow)-ROW(PLE.firstrow))),0,
           IF(OFFSET(PLE!$G$15,$M63-$A$15,CB$13)="",10^12,OFFSET(PLE!$G$15,$M63-$A$15,CB$13)))</f>
        <v>1000000000000</v>
      </c>
      <c r="CC63" s="172">
        <f t="array" aca="1" ref="CC63" ca="1">IF(OR($D63&lt;&gt;"Serviço",AND(AUTOEVENTO="Manual",$M63=$A$15),$M63&gt;(ROW(PLE.lastrow)-ROW(PLE.firstrow))),0,
           IF(OFFSET(PLE!$G$15,$M63-$A$15,CC$13)="",10^12,OFFSET(PLE!$G$15,$M63-$A$15,CC$13)))</f>
        <v>1000000000000</v>
      </c>
      <c r="CD63" s="172">
        <f t="array" aca="1" ref="CD63" ca="1">IF(OR($D63&lt;&gt;"Serviço",AND(AUTOEVENTO="Manual",$M63=$A$15),$M63&gt;(ROW(PLE.lastrow)-ROW(PLE.firstrow))),0,
           IF(OFFSET(PLE!$G$15,$M63-$A$15,CD$13)="",10^12,OFFSET(PLE!$G$15,$M63-$A$15,CD$13)))</f>
        <v>1000000000000</v>
      </c>
      <c r="CE63" s="172">
        <f t="array" aca="1" ref="CE63" ca="1">IF(OR($D63&lt;&gt;"Serviço",AND(AUTOEVENTO="Manual",$M63=$A$15),$M63&gt;(ROW(PLE.lastrow)-ROW(PLE.firstrow))),0,
           IF(OFFSET(PLE!$G$15,$M63-$A$15,CE$13)="",10^12,OFFSET(PLE!$G$15,$M63-$A$15,CE$13)))</f>
        <v>1000000000000</v>
      </c>
      <c r="CF63" s="172">
        <f t="array" aca="1" ref="CF63" ca="1">IF(OR($D63&lt;&gt;"Serviço",AND(AUTOEVENTO="Manual",$M63=$A$15),$M63&gt;(ROW(PLE.lastrow)-ROW(PLE.firstrow))),0,
           IF(OFFSET(PLE!$G$15,$M63-$A$15,CF$13)="",10^12,OFFSET(PLE!$G$15,$M63-$A$15,CF$13)))</f>
        <v>1000000000000</v>
      </c>
      <c r="CG63" s="172">
        <f t="array" aca="1" ref="CG63" ca="1">IF(OR($D63&lt;&gt;"Serviço",AND(AUTOEVENTO="Manual",$M63=$A$15),$M63&gt;(ROW(PLE.lastrow)-ROW(PLE.firstrow))),0,
           IF(OFFSET(PLE!$G$15,$M63-$A$15,CG$13)="",10^12,OFFSET(PLE!$G$15,$M63-$A$15,CG$13)))</f>
        <v>1000000000000</v>
      </c>
      <c r="CH63" s="172">
        <f t="array" aca="1" ref="CH63" ca="1">IF(OR($D63&lt;&gt;"Serviço",AND(AUTOEVENTO="Manual",$M63=$A$15),$M63&gt;(ROW(PLE.lastrow)-ROW(PLE.firstrow))),0,
           IF(OFFSET(PLE!$G$15,$M63-$A$15,CH$13)="",10^12,OFFSET(PLE!$G$15,$M63-$A$15,CH$13)))</f>
        <v>1000000000000</v>
      </c>
      <c r="CI63" s="172">
        <f t="array" aca="1" ref="CI63" ca="1">IF(OR($D63&lt;&gt;"Serviço",AND(AUTOEVENTO="Manual",$M63=$A$15),$M63&gt;(ROW(PLE.lastrow)-ROW(PLE.firstrow))),0,
           IF(OFFSET(PLE!$G$15,$M63-$A$15,CI$13)="",10^12,OFFSET(PLE!$G$15,$M63-$A$15,CI$13)))</f>
        <v>1000000000000</v>
      </c>
      <c r="CJ63" s="172">
        <f t="array" aca="1" ref="CJ63" ca="1">IF(OR($D63&lt;&gt;"Serviço",AND(AUTOEVENTO="Manual",$M63=$A$15),$M63&gt;(ROW(PLE.lastrow)-ROW(PLE.firstrow))),0,
           IF(OFFSET(PLE!$G$15,$M63-$A$15,CJ$13)="",10^12,OFFSET(PLE!$G$15,$M63-$A$15,CJ$13)))</f>
        <v>1000000000000</v>
      </c>
      <c r="CK63" s="172">
        <f t="array" aca="1" ref="CK63" ca="1">IF(OR($D63&lt;&gt;"Serviço",AND(AUTOEVENTO="Manual",$M63=$A$15),$M63&gt;(ROW(PLE.lastrow)-ROW(PLE.firstrow))),0,
           IF(OFFSET(PLE!$G$15,$M63-$A$15,CK$13)="",10^12,OFFSET(PLE!$G$15,$M63-$A$15,CK$13)))</f>
        <v>1000000000000</v>
      </c>
      <c r="CL63" s="172">
        <f t="array" aca="1" ref="CL63" ca="1">IF(OR($D63&lt;&gt;"Serviço",AND(AUTOEVENTO="Manual",$M63=$A$15),$M63&gt;(ROW(PLE.lastrow)-ROW(PLE.firstrow))),0,
           IF(OFFSET(PLE!$G$15,$M63-$A$15,CL$13)="",10^12,OFFSET(PLE!$G$15,$M63-$A$15,CL$13)))</f>
        <v>1000000000000</v>
      </c>
      <c r="CM63" s="172">
        <f t="array" aca="1" ref="CM63" ca="1">IF(OR($D63&lt;&gt;"Serviço",AND(AUTOEVENTO="Manual",$M63=$A$15),$M63&gt;(ROW(PLE.lastrow)-ROW(PLE.firstrow))),0,
           IF(OFFSET(PLE!$G$15,$M63-$A$15,CM$13)="",10^12,OFFSET(PLE!$G$15,$M63-$A$15,CM$13)))</f>
        <v>1000000000000</v>
      </c>
    </row>
    <row r="64" spans="1:91" s="696" customFormat="1" ht="51" x14ac:dyDescent="0.2">
      <c r="A64" s="694">
        <f t="shared" ca="1" si="10"/>
        <v>8</v>
      </c>
      <c r="B64" s="694" t="str">
        <f ca="1">OFFSET(ORÇAMENTO!C$15,$L64,0)</f>
        <v>S</v>
      </c>
      <c r="C64" s="694" t="str">
        <f ca="1">OFFSET(ORÇAMENTO!L$15,$L64,0)</f>
        <v>F</v>
      </c>
      <c r="D64" s="116" t="str">
        <f ca="1">OFFSET(ORÇAMENTO!N$15,$L64,0)</f>
        <v>Serviço</v>
      </c>
      <c r="E64" s="117" t="str">
        <f ca="1">OFFSET(ORÇAMENTO!O$15,$L64,0)</f>
        <v>1.7.9.</v>
      </c>
      <c r="F64" s="163" t="str">
        <f ca="1">OFFSET(ORÇAMENTO!R$15,$L64,0)</f>
        <v>CONCRETAGEM DE PILARES, FCK = 20 MPA,  COM USO DE BALDES - LANÇAMENTO, ADENSAMENTO E ACABAMENTO.</v>
      </c>
      <c r="G64" s="164" t="str">
        <f ca="1">IF($D64&lt;&gt;"Serviço","",OFFSET(ORÇAMENTO!S$15,$L64,0))</f>
        <v>M3</v>
      </c>
      <c r="H64" s="122">
        <f t="array" aca="1" ref="H64" ca="1">IF($D64&lt;&gt;"Serviço",0,IF(ACOMPANHAMENTO="BM",ROUND(OFFSET(ORÇAMENTO!AJ$15,$L64,0),15-13*ORÇAMENTO!$AF$7),IF(IFERROR(CÁLCULO.FrentesPreenchidas,0)=0,0,SUM(ROUND(OFFSET($P64,0,1,1,CÁLCULO.FrentesPreenchidas),15-13*ORÇAMENTO!$AF$7)))))</f>
        <v>25.6</v>
      </c>
      <c r="I64" s="467" t="s">
        <v>1239</v>
      </c>
      <c r="J64" s="653" t="str">
        <f t="array" aca="1" ref="J64" ca="1">IF(OR(B64&lt;&gt;"S",CÁLCULO.FrentesPreenchidas=0),"",IF(AND(ACOMPANHAMENTO="PLE",AUTOEVENTO="Manual",OR(H64&gt;0,ORÇAMENTO!AC64="QUANT."),OR(K64="",M64=0,N64="")),"►E",IF(AND(ACOMPANHAMENTO="PLE",ORÇAMENTO!AC64="QUANT."),"►Q",IF(AND(ACOMPANHAMENTO="PLE",H64&lt;&gt;SUMPRODUCT(($Q$1:$AI$1=1)*ROUND(Q64:AI64,15))),"►S",IF(AND(COUNTIF($P$11:$AI$11,"▼")=0,H64&gt;0,I64=""),"◄M","")))))</f>
        <v/>
      </c>
      <c r="K64" s="654" t="s">
        <v>1386</v>
      </c>
      <c r="L64" s="165">
        <f t="shared" ca="1" si="11"/>
        <v>49</v>
      </c>
      <c r="M64" s="166">
        <f ca="1">IF($D64&lt;&gt;"Serviço","",
          IF(AUTOEVENTO="manual",$A64,
                IF(ISERROR(MATCH($A64,$A$15:OFFSET($A64,-1,0),0)),MAX($M$15:OFFSET(M64,-1,0))+1,
                      INDEX($M$15:OFFSET(M64,-1,0),MATCH($A64,$A$15:OFFSET($A64,-1,0),0)))))</f>
        <v>8</v>
      </c>
      <c r="N64" s="167" t="str">
        <f ca="1">IF($D64&lt;&gt;"Serviço","",
         IF(AUTOEVENTO="Manual",
                IF($A64=0,"&lt;-- defina o número do agrupador",
                       OFFSET(EVENTOS!$D$15,$A64-$A$15,0)),
                OFFSET($F$15,$A64,0)))</f>
        <v>PILARES</v>
      </c>
      <c r="O64" s="168"/>
      <c r="Q64" s="169">
        <f>5*1.28</f>
        <v>6.4</v>
      </c>
      <c r="R64" s="169">
        <f t="shared" ref="R64:T64" si="37">5*1.28</f>
        <v>6.4</v>
      </c>
      <c r="S64" s="169">
        <f t="shared" si="37"/>
        <v>6.4</v>
      </c>
      <c r="T64" s="169">
        <f t="shared" si="37"/>
        <v>6.4</v>
      </c>
      <c r="U64" s="169"/>
      <c r="V64" s="169"/>
      <c r="W64" s="169"/>
      <c r="X64" s="169"/>
      <c r="Y64" s="169"/>
      <c r="Z64" s="170"/>
      <c r="AA64" s="169"/>
      <c r="AB64" s="169"/>
      <c r="AC64" s="169"/>
      <c r="AD64" s="169"/>
      <c r="AE64" s="169"/>
      <c r="AF64" s="169"/>
      <c r="AG64" s="169"/>
      <c r="AH64" s="170"/>
      <c r="AJ64" s="452">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6363.52</v>
      </c>
      <c r="AK64" s="452">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6363.52</v>
      </c>
      <c r="AL64" s="452">
        <f ca="1">IF(AND($D64="Serviço",AL$12&lt;&gt;0,$H64&gt;0,OR(AUTOEVENTO&lt;&gt;"manual",$M64&lt;&gt;$A$15)),
        IF(Import.TipoArredondamento&lt;&gt;"TransfereGOV",
              ROUND(OFFSET($P64,0,AL$13),15-13*ORÇAMENTO!$AF$7)/$H64*OFFSET(ORÇAMENTO!$X$15,ROW(AL64)-ROW(AL$15),0),
              ROUND(ROUND(OFFSET($P64,0,AL$13),15-13*ORÇAMENTO!$AF$7)*OFFSET(ORÇAMENTO!$W$15,ROW(AL64)-ROW(AL$15),0),15-13*ORÇAMENTO!$AF$11)),
         0)</f>
        <v>6363.52</v>
      </c>
      <c r="AM64" s="452">
        <f ca="1">IF(AND($D64="Serviço",AM$12&lt;&gt;0,$H64&gt;0,OR(AUTOEVENTO&lt;&gt;"manual",$M64&lt;&gt;$A$15)),
        IF(Import.TipoArredondamento&lt;&gt;"TransfereGOV",
              ROUND(OFFSET($P64,0,AM$13),15-13*ORÇAMENTO!$AF$7)/$H64*OFFSET(ORÇAMENTO!$X$15,ROW(AM64)-ROW(AM$15),0),
              ROUND(ROUND(OFFSET($P64,0,AM$13),15-13*ORÇAMENTO!$AF$7)*OFFSET(ORÇAMENTO!$W$15,ROW(AM64)-ROW(AM$15),0),15-13*ORÇAMENTO!$AF$11)),
         0)</f>
        <v>6363.52</v>
      </c>
      <c r="AN64" s="452">
        <f ca="1">IF(AND($D64="Serviço",AN$12&lt;&gt;0,$H64&gt;0,OR(AUTOEVENTO&lt;&gt;"manual",$M64&lt;&gt;$A$15)),
        IF(Import.TipoArredondamento&lt;&gt;"TransfereGOV",
              ROUND(OFFSET($P64,0,AN$13),15-13*ORÇAMENTO!$AF$7)/$H64*OFFSET(ORÇAMENTO!$X$15,ROW(AN64)-ROW(AN$15),0),
              ROUND(ROUND(OFFSET($P64,0,AN$13),15-13*ORÇAMENTO!$AF$7)*OFFSET(ORÇAMENTO!$W$15,ROW(AN64)-ROW(AN$15),0),15-13*ORÇAMENTO!$AF$11)),
         0)</f>
        <v>0</v>
      </c>
      <c r="AO64" s="452">
        <f ca="1">IF(AND($D64="Serviço",AO$12&lt;&gt;0,$H64&gt;0,OR(AUTOEVENTO&lt;&gt;"manual",$M64&lt;&gt;$A$15)),
        IF(Import.TipoArredondamento&lt;&gt;"TransfereGOV",
              ROUND(OFFSET($P64,0,AO$13),15-13*ORÇAMENTO!$AF$7)/$H64*OFFSET(ORÇAMENTO!$X$15,ROW(AO64)-ROW(AO$15),0),
              ROUND(ROUND(OFFSET($P64,0,AO$13),15-13*ORÇAMENTO!$AF$7)*OFFSET(ORÇAMENTO!$W$15,ROW(AO64)-ROW(AO$15),0),15-13*ORÇAMENTO!$AF$11)),
         0)</f>
        <v>0</v>
      </c>
      <c r="AP64" s="452">
        <f ca="1">IF(AND($D64="Serviço",AP$12&lt;&gt;0,$H64&gt;0,OR(AUTOEVENTO&lt;&gt;"manual",$M64&lt;&gt;$A$15)),
        IF(Import.TipoArredondamento&lt;&gt;"TransfereGOV",
              ROUND(OFFSET($P64,0,AP$13),15-13*ORÇAMENTO!$AF$7)/$H64*OFFSET(ORÇAMENTO!$X$15,ROW(AP64)-ROW(AP$15),0),
              ROUND(ROUND(OFFSET($P64,0,AP$13),15-13*ORÇAMENTO!$AF$7)*OFFSET(ORÇAMENTO!$W$15,ROW(AP64)-ROW(AP$15),0),15-13*ORÇAMENTO!$AF$11)),
         0)</f>
        <v>0</v>
      </c>
      <c r="AQ64" s="452">
        <f ca="1">IF(AND($D64="Serviço",AQ$12&lt;&gt;0,$H64&gt;0,OR(AUTOEVENTO&lt;&gt;"manual",$M64&lt;&gt;$A$15)),
        IF(Import.TipoArredondamento&lt;&gt;"TransfereGOV",
              ROUND(OFFSET($P64,0,AQ$13),15-13*ORÇAMENTO!$AF$7)/$H64*OFFSET(ORÇAMENTO!$X$15,ROW(AQ64)-ROW(AQ$15),0),
              ROUND(ROUND(OFFSET($P64,0,AQ$13),15-13*ORÇAMENTO!$AF$7)*OFFSET(ORÇAMENTO!$W$15,ROW(AQ64)-ROW(AQ$15),0),15-13*ORÇAMENTO!$AF$11)),
         0)</f>
        <v>0</v>
      </c>
      <c r="AR64" s="452">
        <f ca="1">IF(AND($D64="Serviço",AR$12&lt;&gt;0,$H64&gt;0,OR(AUTOEVENTO&lt;&gt;"manual",$M64&lt;&gt;$A$15)),
        IF(Import.TipoArredondamento&lt;&gt;"TransfereGOV",
              ROUND(OFFSET($P64,0,AR$13),15-13*ORÇAMENTO!$AF$7)/$H64*OFFSET(ORÇAMENTO!$X$15,ROW(AR64)-ROW(AR$15),0),
              ROUND(ROUND(OFFSET($P64,0,AR$13),15-13*ORÇAMENTO!$AF$7)*OFFSET(ORÇAMENTO!$W$15,ROW(AR64)-ROW(AR$15),0),15-13*ORÇAMENTO!$AF$11)),
         0)</f>
        <v>0</v>
      </c>
      <c r="AS64" s="452">
        <f ca="1">IF(AND($D64="Serviço",AS$12&lt;&gt;0,$H64&gt;0,OR(AUTOEVENTO&lt;&gt;"manual",$M64&lt;&gt;$A$15)),
        IF(Import.TipoArredondamento&lt;&gt;"TransfereGOV",
              ROUND(OFFSET($P64,0,AS$13),15-13*ORÇAMENTO!$AF$7)/$H64*OFFSET(ORÇAMENTO!$X$15,ROW(AS64)-ROW(AS$15),0),
              ROUND(ROUND(OFFSET($P64,0,AS$13),15-13*ORÇAMENTO!$AF$7)*OFFSET(ORÇAMENTO!$W$15,ROW(AS64)-ROW(AS$15),0),15-13*ORÇAMENTO!$AF$11)),
         0)</f>
        <v>0</v>
      </c>
      <c r="AT64" s="452">
        <f ca="1">IF(AND($D64="Serviço",AT$12&lt;&gt;0,$H64&gt;0,OR(AUTOEVENTO&lt;&gt;"manual",$M64&lt;&gt;$A$15)),
        IF(Import.TipoArredondamento&lt;&gt;"TransfereGOV",
              ROUND(OFFSET($P64,0,AT$13),15-13*ORÇAMENTO!$AF$7)/$H64*OFFSET(ORÇAMENTO!$X$15,ROW(AT64)-ROW(AT$15),0),
              ROUND(ROUND(OFFSET($P64,0,AT$13),15-13*ORÇAMENTO!$AF$7)*OFFSET(ORÇAMENTO!$W$15,ROW(AT64)-ROW(AT$15),0),15-13*ORÇAMENTO!$AF$11)),
         0)</f>
        <v>0</v>
      </c>
      <c r="AU64" s="452">
        <f ca="1">IF(AND($D64="Serviço",AU$12&lt;&gt;0,$H64&gt;0,OR(AUTOEVENTO&lt;&gt;"manual",$M64&lt;&gt;$A$15)),
        IF(Import.TipoArredondamento&lt;&gt;"TransfereGOV",
              ROUND(OFFSET($P64,0,AU$13),15-13*ORÇAMENTO!$AF$7)/$H64*OFFSET(ORÇAMENTO!$X$15,ROW(AU64)-ROW(AU$15),0),
              ROUND(ROUND(OFFSET($P64,0,AU$13),15-13*ORÇAMENTO!$AF$7)*OFFSET(ORÇAMENTO!$W$15,ROW(AU64)-ROW(AU$15),0),15-13*ORÇAMENTO!$AF$11)),
         0)</f>
        <v>0</v>
      </c>
      <c r="AV64" s="452">
        <f ca="1">IF(AND($D64="Serviço",AV$12&lt;&gt;0,$H64&gt;0,OR(AUTOEVENTO&lt;&gt;"manual",$M64&lt;&gt;$A$15)),
        IF(Import.TipoArredondamento&lt;&gt;"TransfereGOV",
              ROUND(OFFSET($P64,0,AV$13),15-13*ORÇAMENTO!$AF$7)/$H64*OFFSET(ORÇAMENTO!$X$15,ROW(AV64)-ROW(AV$15),0),
              ROUND(ROUND(OFFSET($P64,0,AV$13),15-13*ORÇAMENTO!$AF$7)*OFFSET(ORÇAMENTO!$W$15,ROW(AV64)-ROW(AV$15),0),15-13*ORÇAMENTO!$AF$11)),
         0)</f>
        <v>0</v>
      </c>
      <c r="AW64" s="452">
        <f ca="1">IF(AND($D64="Serviço",AW$12&lt;&gt;0,$H64&gt;0,OR(AUTOEVENTO&lt;&gt;"manual",$M64&lt;&gt;$A$15)),
        IF(Import.TipoArredondamento&lt;&gt;"TransfereGOV",
              ROUND(OFFSET($P64,0,AW$13),15-13*ORÇAMENTO!$AF$7)/$H64*OFFSET(ORÇAMENTO!$X$15,ROW(AW64)-ROW(AW$15),0),
              ROUND(ROUND(OFFSET($P64,0,AW$13),15-13*ORÇAMENTO!$AF$7)*OFFSET(ORÇAMENTO!$W$15,ROW(AW64)-ROW(AW$15),0),15-13*ORÇAMENTO!$AF$11)),
         0)</f>
        <v>0</v>
      </c>
      <c r="AX64" s="452">
        <f ca="1">IF(AND($D64="Serviço",AX$12&lt;&gt;0,$H64&gt;0,OR(AUTOEVENTO&lt;&gt;"manual",$M64&lt;&gt;$A$15)),
        IF(Import.TipoArredondamento&lt;&gt;"TransfereGOV",
              ROUND(OFFSET($P64,0,AX$13),15-13*ORÇAMENTO!$AF$7)/$H64*OFFSET(ORÇAMENTO!$X$15,ROW(AX64)-ROW(AX$15),0),
              ROUND(ROUND(OFFSET($P64,0,AX$13),15-13*ORÇAMENTO!$AF$7)*OFFSET(ORÇAMENTO!$W$15,ROW(AX64)-ROW(AX$15),0),15-13*ORÇAMENTO!$AF$11)),
         0)</f>
        <v>0</v>
      </c>
      <c r="AY64" s="452">
        <f ca="1">IF(AND($D64="Serviço",AY$12&lt;&gt;0,$H64&gt;0,OR(AUTOEVENTO&lt;&gt;"manual",$M64&lt;&gt;$A$15)),
        IF(Import.TipoArredondamento&lt;&gt;"TransfereGOV",
              ROUND(OFFSET($P64,0,AY$13),15-13*ORÇAMENTO!$AF$7)/$H64*OFFSET(ORÇAMENTO!$X$15,ROW(AY64)-ROW(AY$15),0),
              ROUND(ROUND(OFFSET($P64,0,AY$13),15-13*ORÇAMENTO!$AF$7)*OFFSET(ORÇAMENTO!$W$15,ROW(AY64)-ROW(AY$15),0),15-13*ORÇAMENTO!$AF$11)),
         0)</f>
        <v>0</v>
      </c>
      <c r="AZ64" s="452">
        <f ca="1">IF(AND($D64="Serviço",AZ$12&lt;&gt;0,$H64&gt;0,OR(AUTOEVENTO&lt;&gt;"manual",$M64&lt;&gt;$A$15)),
        IF(Import.TipoArredondamento&lt;&gt;"TransfereGOV",
              ROUND(OFFSET($P64,0,AZ$13),15-13*ORÇAMENTO!$AF$7)/$H64*OFFSET(ORÇAMENTO!$X$15,ROW(AZ64)-ROW(AZ$15),0),
              ROUND(ROUND(OFFSET($P64,0,AZ$13),15-13*ORÇAMENTO!$AF$7)*OFFSET(ORÇAMENTO!$W$15,ROW(AZ64)-ROW(AZ$15),0),15-13*ORÇAMENTO!$AF$11)),
         0)</f>
        <v>0</v>
      </c>
      <c r="BA64" s="452">
        <f ca="1">IF(AND($D64="Serviço",BA$12&lt;&gt;0,$H64&gt;0,OR(AUTOEVENTO&lt;&gt;"manual",$M64&lt;&gt;$A$15)),
        IF(Import.TipoArredondamento&lt;&gt;"TransfereGOV",
              ROUND(OFFSET($P64,0,BA$13),15-13*ORÇAMENTO!$AF$7)/$H64*OFFSET(ORÇAMENTO!$X$15,ROW(BA64)-ROW(BA$15),0),
              ROUND(ROUND(OFFSET($P64,0,BA$13),15-13*ORÇAMENTO!$AF$7)*OFFSET(ORÇAMENTO!$W$15,ROW(BA64)-ROW(BA$15),0),15-13*ORÇAMENTO!$AF$11)),
         0)</f>
        <v>0</v>
      </c>
      <c r="BC64" s="171">
        <f ca="1">IF(OR($D64&lt;&gt;"Serviço",AND(AUTOEVENTO="Manual",$M64=$A$15)),0,
         IF(OFFSET(CRONOPLE!$F$15,$M64-$A$15,BC$13)=0,10^12,OFFSET(CRONOPLE!$F$15,$M64-$A$15,BC$13)))</f>
        <v>3</v>
      </c>
      <c r="BD64" s="171">
        <f ca="1">IF(OR($D64&lt;&gt;"Serviço",AND(AUTOEVENTO="Manual",$M64=$A$15)),0,
         IF(OFFSET(CRONOPLE!$F$15,$M64-$A$15,BD$13)=0,10^12,OFFSET(CRONOPLE!$F$15,$M64-$A$15,BD$13)))</f>
        <v>3</v>
      </c>
      <c r="BE64" s="171">
        <f ca="1">IF(OR($D64&lt;&gt;"Serviço",AND(AUTOEVENTO="Manual",$M64=$A$15)),0,
         IF(OFFSET(CRONOPLE!$F$15,$M64-$A$15,BE$13)=0,10^12,OFFSET(CRONOPLE!$F$15,$M64-$A$15,BE$13)))</f>
        <v>4</v>
      </c>
      <c r="BF64" s="171">
        <f ca="1">IF(OR($D64&lt;&gt;"Serviço",AND(AUTOEVENTO="Manual",$M64=$A$15)),0,
         IF(OFFSET(CRONOPLE!$F$15,$M64-$A$15,BF$13)=0,10^12,OFFSET(CRONOPLE!$F$15,$M64-$A$15,BF$13)))</f>
        <v>4</v>
      </c>
      <c r="BG64" s="171">
        <f ca="1">IF(OR($D64&lt;&gt;"Serviço",AND(AUTOEVENTO="Manual",$M64=$A$15)),0,
         IF(OFFSET(CRONOPLE!$F$15,$M64-$A$15,BG$13)=0,10^12,OFFSET(CRONOPLE!$F$15,$M64-$A$15,BG$13)))</f>
        <v>4</v>
      </c>
      <c r="BH64" s="171">
        <f ca="1">IF(OR($D64&lt;&gt;"Serviço",AND(AUTOEVENTO="Manual",$M64=$A$15)),0,
         IF(OFFSET(CRONOPLE!$F$15,$M64-$A$15,BH$13)=0,10^12,OFFSET(CRONOPLE!$F$15,$M64-$A$15,BH$13)))</f>
        <v>1000000000000</v>
      </c>
      <c r="BI64" s="171">
        <f ca="1">IF(OR($D64&lt;&gt;"Serviço",AND(AUTOEVENTO="Manual",$M64=$A$15)),0,
         IF(OFFSET(CRONOPLE!$F$15,$M64-$A$15,BI$13)=0,10^12,OFFSET(CRONOPLE!$F$15,$M64-$A$15,BI$13)))</f>
        <v>1000000000000</v>
      </c>
      <c r="BJ64" s="171">
        <f ca="1">IF(OR($D64&lt;&gt;"Serviço",AND(AUTOEVENTO="Manual",$M64=$A$15)),0,
         IF(OFFSET(CRONOPLE!$F$15,$M64-$A$15,BJ$13)=0,10^12,OFFSET(CRONOPLE!$F$15,$M64-$A$15,BJ$13)))</f>
        <v>1000000000000</v>
      </c>
      <c r="BK64" s="171">
        <f ca="1">IF(OR($D64&lt;&gt;"Serviço",AND(AUTOEVENTO="Manual",$M64=$A$15)),0,
         IF(OFFSET(CRONOPLE!$F$15,$M64-$A$15,BK$13)=0,10^12,OFFSET(CRONOPLE!$F$15,$M64-$A$15,BK$13)))</f>
        <v>1000000000000</v>
      </c>
      <c r="BL64" s="171">
        <f ca="1">IF(OR($D64&lt;&gt;"Serviço",AND(AUTOEVENTO="Manual",$M64=$A$15)),0,
         IF(OFFSET(CRONOPLE!$F$15,$M64-$A$15,BL$13)=0,10^12,OFFSET(CRONOPLE!$F$15,$M64-$A$15,BL$13)))</f>
        <v>1000000000000</v>
      </c>
      <c r="BM64" s="171">
        <f ca="1">IF(OR($D64&lt;&gt;"Serviço",AND(AUTOEVENTO="Manual",$M64=$A$15)),0,
         IF(OFFSET(CRONOPLE!$F$15,$M64-$A$15,BM$13)=0,10^12,OFFSET(CRONOPLE!$F$15,$M64-$A$15,BM$13)))</f>
        <v>1000000000000</v>
      </c>
      <c r="BN64" s="171">
        <f ca="1">IF(OR($D64&lt;&gt;"Serviço",AND(AUTOEVENTO="Manual",$M64=$A$15)),0,
         IF(OFFSET(CRONOPLE!$F$15,$M64-$A$15,BN$13)=0,10^12,OFFSET(CRONOPLE!$F$15,$M64-$A$15,BN$13)))</f>
        <v>1000000000000</v>
      </c>
      <c r="BO64" s="171">
        <f ca="1">IF(OR($D64&lt;&gt;"Serviço",AND(AUTOEVENTO="Manual",$M64=$A$15)),0,
         IF(OFFSET(CRONOPLE!$F$15,$M64-$A$15,BO$13)=0,10^12,OFFSET(CRONOPLE!$F$15,$M64-$A$15,BO$13)))</f>
        <v>1000000000000</v>
      </c>
      <c r="BP64" s="171">
        <f ca="1">IF(OR($D64&lt;&gt;"Serviço",AND(AUTOEVENTO="Manual",$M64=$A$15)),0,
         IF(OFFSET(CRONOPLE!$F$15,$M64-$A$15,BP$13)=0,10^12,OFFSET(CRONOPLE!$F$15,$M64-$A$15,BP$13)))</f>
        <v>1000000000000</v>
      </c>
      <c r="BQ64" s="171">
        <f ca="1">IF(OR($D64&lt;&gt;"Serviço",AND(AUTOEVENTO="Manual",$M64=$A$15)),0,
         IF(OFFSET(CRONOPLE!$F$15,$M64-$A$15,BQ$13)=0,10^12,OFFSET(CRONOPLE!$F$15,$M64-$A$15,BQ$13)))</f>
        <v>1000000000000</v>
      </c>
      <c r="BR64" s="171">
        <f ca="1">IF(OR($D64&lt;&gt;"Serviço",AND(AUTOEVENTO="Manual",$M64=$A$15)),0,
         IF(OFFSET(CRONOPLE!$F$15,$M64-$A$15,BR$13)=0,10^12,OFFSET(CRONOPLE!$F$15,$M64-$A$15,BR$13)))</f>
        <v>1000000000000</v>
      </c>
      <c r="BS64" s="171">
        <f ca="1">IF(OR($D64&lt;&gt;"Serviço",AND(AUTOEVENTO="Manual",$M64=$A$15)),0,
         IF(OFFSET(CRONOPLE!$F$15,$M64-$A$15,BS$13)=0,10^12,OFFSET(CRONOPLE!$F$15,$M64-$A$15,BS$13)))</f>
        <v>1000000000000</v>
      </c>
      <c r="BT64" s="171">
        <f ca="1">IF(OR($D64&lt;&gt;"Serviço",AND(AUTOEVENTO="Manual",$M64=$A$15)),0,
         IF(OFFSET(CRONOPLE!$F$15,$M64-$A$15,BT$13)=0,10^12,OFFSET(CRONOPLE!$F$15,$M64-$A$15,BT$13)))</f>
        <v>1000000000000</v>
      </c>
      <c r="BV64" s="172">
        <f t="array" aca="1" ref="BV64" ca="1">IF(OR($D64&lt;&gt;"Serviço",AND(AUTOEVENTO="Manual",$M64=$A$15),$M64&gt;(ROW(PLE.lastrow)-ROW(PLE.firstrow))),0,
           IF(OFFSET(PLE!$G$15,$M64-$A$15,BV$13)="",10^12,OFFSET(PLE!$G$15,$M64-$A$15,BV$13)))</f>
        <v>1000000000000</v>
      </c>
      <c r="BW64" s="172">
        <f t="array" aca="1" ref="BW64" ca="1">IF(OR($D64&lt;&gt;"Serviço",AND(AUTOEVENTO="Manual",$M64=$A$15),$M64&gt;(ROW(PLE.lastrow)-ROW(PLE.firstrow))),0,
           IF(OFFSET(PLE!$G$15,$M64-$A$15,BW$13)="",10^12,OFFSET(PLE!$G$15,$M64-$A$15,BW$13)))</f>
        <v>1000000000000</v>
      </c>
      <c r="BX64" s="172">
        <f t="array" aca="1" ref="BX64" ca="1">IF(OR($D64&lt;&gt;"Serviço",AND(AUTOEVENTO="Manual",$M64=$A$15),$M64&gt;(ROW(PLE.lastrow)-ROW(PLE.firstrow))),0,
           IF(OFFSET(PLE!$G$15,$M64-$A$15,BX$13)="",10^12,OFFSET(PLE!$G$15,$M64-$A$15,BX$13)))</f>
        <v>1000000000000</v>
      </c>
      <c r="BY64" s="172">
        <f t="array" aca="1" ref="BY64" ca="1">IF(OR($D64&lt;&gt;"Serviço",AND(AUTOEVENTO="Manual",$M64=$A$15),$M64&gt;(ROW(PLE.lastrow)-ROW(PLE.firstrow))),0,
           IF(OFFSET(PLE!$G$15,$M64-$A$15,BY$13)="",10^12,OFFSET(PLE!$G$15,$M64-$A$15,BY$13)))</f>
        <v>1000000000000</v>
      </c>
      <c r="BZ64" s="172">
        <f t="array" aca="1" ref="BZ64" ca="1">IF(OR($D64&lt;&gt;"Serviço",AND(AUTOEVENTO="Manual",$M64=$A$15),$M64&gt;(ROW(PLE.lastrow)-ROW(PLE.firstrow))),0,
           IF(OFFSET(PLE!$G$15,$M64-$A$15,BZ$13)="",10^12,OFFSET(PLE!$G$15,$M64-$A$15,BZ$13)))</f>
        <v>1000000000000</v>
      </c>
      <c r="CA64" s="172">
        <f t="array" aca="1" ref="CA64" ca="1">IF(OR($D64&lt;&gt;"Serviço",AND(AUTOEVENTO="Manual",$M64=$A$15),$M64&gt;(ROW(PLE.lastrow)-ROW(PLE.firstrow))),0,
           IF(OFFSET(PLE!$G$15,$M64-$A$15,CA$13)="",10^12,OFFSET(PLE!$G$15,$M64-$A$15,CA$13)))</f>
        <v>1000000000000</v>
      </c>
      <c r="CB64" s="172">
        <f t="array" aca="1" ref="CB64" ca="1">IF(OR($D64&lt;&gt;"Serviço",AND(AUTOEVENTO="Manual",$M64=$A$15),$M64&gt;(ROW(PLE.lastrow)-ROW(PLE.firstrow))),0,
           IF(OFFSET(PLE!$G$15,$M64-$A$15,CB$13)="",10^12,OFFSET(PLE!$G$15,$M64-$A$15,CB$13)))</f>
        <v>1000000000000</v>
      </c>
      <c r="CC64" s="172">
        <f t="array" aca="1" ref="CC64" ca="1">IF(OR($D64&lt;&gt;"Serviço",AND(AUTOEVENTO="Manual",$M64=$A$15),$M64&gt;(ROW(PLE.lastrow)-ROW(PLE.firstrow))),0,
           IF(OFFSET(PLE!$G$15,$M64-$A$15,CC$13)="",10^12,OFFSET(PLE!$G$15,$M64-$A$15,CC$13)))</f>
        <v>1000000000000</v>
      </c>
      <c r="CD64" s="172">
        <f t="array" aca="1" ref="CD64" ca="1">IF(OR($D64&lt;&gt;"Serviço",AND(AUTOEVENTO="Manual",$M64=$A$15),$M64&gt;(ROW(PLE.lastrow)-ROW(PLE.firstrow))),0,
           IF(OFFSET(PLE!$G$15,$M64-$A$15,CD$13)="",10^12,OFFSET(PLE!$G$15,$M64-$A$15,CD$13)))</f>
        <v>1000000000000</v>
      </c>
      <c r="CE64" s="172">
        <f t="array" aca="1" ref="CE64" ca="1">IF(OR($D64&lt;&gt;"Serviço",AND(AUTOEVENTO="Manual",$M64=$A$15),$M64&gt;(ROW(PLE.lastrow)-ROW(PLE.firstrow))),0,
           IF(OFFSET(PLE!$G$15,$M64-$A$15,CE$13)="",10^12,OFFSET(PLE!$G$15,$M64-$A$15,CE$13)))</f>
        <v>1000000000000</v>
      </c>
      <c r="CF64" s="172">
        <f t="array" aca="1" ref="CF64" ca="1">IF(OR($D64&lt;&gt;"Serviço",AND(AUTOEVENTO="Manual",$M64=$A$15),$M64&gt;(ROW(PLE.lastrow)-ROW(PLE.firstrow))),0,
           IF(OFFSET(PLE!$G$15,$M64-$A$15,CF$13)="",10^12,OFFSET(PLE!$G$15,$M64-$A$15,CF$13)))</f>
        <v>1000000000000</v>
      </c>
      <c r="CG64" s="172">
        <f t="array" aca="1" ref="CG64" ca="1">IF(OR($D64&lt;&gt;"Serviço",AND(AUTOEVENTO="Manual",$M64=$A$15),$M64&gt;(ROW(PLE.lastrow)-ROW(PLE.firstrow))),0,
           IF(OFFSET(PLE!$G$15,$M64-$A$15,CG$13)="",10^12,OFFSET(PLE!$G$15,$M64-$A$15,CG$13)))</f>
        <v>1000000000000</v>
      </c>
      <c r="CH64" s="172">
        <f t="array" aca="1" ref="CH64" ca="1">IF(OR($D64&lt;&gt;"Serviço",AND(AUTOEVENTO="Manual",$M64=$A$15),$M64&gt;(ROW(PLE.lastrow)-ROW(PLE.firstrow))),0,
           IF(OFFSET(PLE!$G$15,$M64-$A$15,CH$13)="",10^12,OFFSET(PLE!$G$15,$M64-$A$15,CH$13)))</f>
        <v>1000000000000</v>
      </c>
      <c r="CI64" s="172">
        <f t="array" aca="1" ref="CI64" ca="1">IF(OR($D64&lt;&gt;"Serviço",AND(AUTOEVENTO="Manual",$M64=$A$15),$M64&gt;(ROW(PLE.lastrow)-ROW(PLE.firstrow))),0,
           IF(OFFSET(PLE!$G$15,$M64-$A$15,CI$13)="",10^12,OFFSET(PLE!$G$15,$M64-$A$15,CI$13)))</f>
        <v>1000000000000</v>
      </c>
      <c r="CJ64" s="172">
        <f t="array" aca="1" ref="CJ64" ca="1">IF(OR($D64&lt;&gt;"Serviço",AND(AUTOEVENTO="Manual",$M64=$A$15),$M64&gt;(ROW(PLE.lastrow)-ROW(PLE.firstrow))),0,
           IF(OFFSET(PLE!$G$15,$M64-$A$15,CJ$13)="",10^12,OFFSET(PLE!$G$15,$M64-$A$15,CJ$13)))</f>
        <v>1000000000000</v>
      </c>
      <c r="CK64" s="172">
        <f t="array" aca="1" ref="CK64" ca="1">IF(OR($D64&lt;&gt;"Serviço",AND(AUTOEVENTO="Manual",$M64=$A$15),$M64&gt;(ROW(PLE.lastrow)-ROW(PLE.firstrow))),0,
           IF(OFFSET(PLE!$G$15,$M64-$A$15,CK$13)="",10^12,OFFSET(PLE!$G$15,$M64-$A$15,CK$13)))</f>
        <v>1000000000000</v>
      </c>
      <c r="CL64" s="172">
        <f t="array" aca="1" ref="CL64" ca="1">IF(OR($D64&lt;&gt;"Serviço",AND(AUTOEVENTO="Manual",$M64=$A$15),$M64&gt;(ROW(PLE.lastrow)-ROW(PLE.firstrow))),0,
           IF(OFFSET(PLE!$G$15,$M64-$A$15,CL$13)="",10^12,OFFSET(PLE!$G$15,$M64-$A$15,CL$13)))</f>
        <v>1000000000000</v>
      </c>
      <c r="CM64" s="172">
        <f t="array" aca="1" ref="CM64" ca="1">IF(OR($D64&lt;&gt;"Serviço",AND(AUTOEVENTO="Manual",$M64=$A$15),$M64&gt;(ROW(PLE.lastrow)-ROW(PLE.firstrow))),0,
           IF(OFFSET(PLE!$G$15,$M64-$A$15,CM$13)="",10^12,OFFSET(PLE!$G$15,$M64-$A$15,CM$13)))</f>
        <v>1000000000000</v>
      </c>
    </row>
    <row r="65" spans="1:91" s="696" customFormat="1" ht="51" x14ac:dyDescent="0.2">
      <c r="A65" s="694">
        <f t="shared" ca="1" si="10"/>
        <v>7</v>
      </c>
      <c r="B65" s="694" t="str">
        <f ca="1">OFFSET(ORÇAMENTO!C$15,$L65,0)</f>
        <v>S</v>
      </c>
      <c r="C65" s="694" t="str">
        <f ca="1">OFFSET(ORÇAMENTO!L$15,$L65,0)</f>
        <v>F</v>
      </c>
      <c r="D65" s="116" t="str">
        <f ca="1">OFFSET(ORÇAMENTO!N$15,$L65,0)</f>
        <v>Serviço</v>
      </c>
      <c r="E65" s="117" t="str">
        <f ca="1">OFFSET(ORÇAMENTO!O$15,$L65,0)</f>
        <v>1.7.10.</v>
      </c>
      <c r="F65" s="163" t="str">
        <f ca="1">OFFSET(ORÇAMENTO!R$15,$L65,0)</f>
        <v xml:space="preserve">CONCRETAGEM DE VIGAS E LAJES, FCK=20 MPA, PARA QUALQUER TIPO DE LAJE COM BALDES EM EDIFICAÇÃO TÉRREA - LANÇAMENTO, ADENSAMENTO E ACABAMENTO. </v>
      </c>
      <c r="G65" s="164" t="str">
        <f ca="1">IF($D65&lt;&gt;"Serviço","",OFFSET(ORÇAMENTO!S$15,$L65,0))</f>
        <v>M3</v>
      </c>
      <c r="H65" s="122">
        <f t="array" aca="1" ref="H65" ca="1">IF($D65&lt;&gt;"Serviço",0,IF(ACOMPANHAMENTO="BM",ROUND(OFFSET(ORÇAMENTO!AJ$15,$L65,0),15-13*ORÇAMENTO!$AF$7),IF(IFERROR(CÁLCULO.FrentesPreenchidas,0)=0,0,SUM(ROUND(OFFSET($P65,0,1,1,CÁLCULO.FrentesPreenchidas),15-13*ORÇAMENTO!$AF$7)))))</f>
        <v>35.6</v>
      </c>
      <c r="I65" s="467" t="s">
        <v>1389</v>
      </c>
      <c r="J65" s="653" t="str">
        <f t="array" aca="1" ref="J65" ca="1">IF(OR(B65&lt;&gt;"S",CÁLCULO.FrentesPreenchidas=0),"",IF(AND(ACOMPANHAMENTO="PLE",AUTOEVENTO="Manual",OR(H65&gt;0,ORÇAMENTO!AC65="QUANT."),OR(K65="",M65=0,N65="")),"►E",IF(AND(ACOMPANHAMENTO="PLE",ORÇAMENTO!AC65="QUANT."),"►Q",IF(AND(ACOMPANHAMENTO="PLE",H65&lt;&gt;SUMPRODUCT(($Q$1:$AI$1=1)*ROUND(Q65:AI65,15))),"►S",IF(AND(COUNTIF($P$11:$AI$11,"▼")=0,H65&gt;0,I65=""),"◄M","")))))</f>
        <v/>
      </c>
      <c r="K65" s="654" t="s">
        <v>1387</v>
      </c>
      <c r="L65" s="165">
        <f t="shared" ca="1" si="11"/>
        <v>50</v>
      </c>
      <c r="M65" s="166">
        <f ca="1">IF($D65&lt;&gt;"Serviço","",
          IF(AUTOEVENTO="manual",$A65,
                IF(ISERROR(MATCH($A65,$A$15:OFFSET($A65,-1,0),0)),MAX($M$15:OFFSET(M65,-1,0))+1,
                      INDEX($M$15:OFFSET(M65,-1,0),MATCH($A65,$A$15:OFFSET($A65,-1,0),0)))))</f>
        <v>7</v>
      </c>
      <c r="N65" s="167" t="str">
        <f ca="1">IF($D65&lt;&gt;"Serviço","",
         IF(AUTOEVENTO="Manual",
                IF($A65=0,"&lt;-- defina o número do agrupador",
                       OFFSET(EVENTOS!$D$15,$A65-$A$15,0)),
                OFFSET($F$15,$A65,0)))</f>
        <v>VIGAS DE RESPALDO</v>
      </c>
      <c r="O65" s="168"/>
      <c r="Q65" s="169">
        <f>1.78*5</f>
        <v>8.9</v>
      </c>
      <c r="R65" s="169">
        <f t="shared" ref="R65:T65" si="38">1.78*5</f>
        <v>8.9</v>
      </c>
      <c r="S65" s="169">
        <f t="shared" si="38"/>
        <v>8.9</v>
      </c>
      <c r="T65" s="169">
        <f t="shared" si="38"/>
        <v>8.9</v>
      </c>
      <c r="U65" s="169"/>
      <c r="V65" s="169"/>
      <c r="W65" s="169"/>
      <c r="X65" s="169"/>
      <c r="Y65" s="169"/>
      <c r="Z65" s="170"/>
      <c r="AA65" s="169"/>
      <c r="AB65" s="169"/>
      <c r="AC65" s="169"/>
      <c r="AD65" s="169"/>
      <c r="AE65" s="169"/>
      <c r="AF65" s="169"/>
      <c r="AG65" s="169"/>
      <c r="AH65" s="170"/>
      <c r="AJ65" s="452">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9018.2800000000007</v>
      </c>
      <c r="AK65" s="452">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9018.2800000000007</v>
      </c>
      <c r="AL65" s="452">
        <f ca="1">IF(AND($D65="Serviço",AL$12&lt;&gt;0,$H65&gt;0,OR(AUTOEVENTO&lt;&gt;"manual",$M65&lt;&gt;$A$15)),
        IF(Import.TipoArredondamento&lt;&gt;"TransfereGOV",
              ROUND(OFFSET($P65,0,AL$13),15-13*ORÇAMENTO!$AF$7)/$H65*OFFSET(ORÇAMENTO!$X$15,ROW(AL65)-ROW(AL$15),0),
              ROUND(ROUND(OFFSET($P65,0,AL$13),15-13*ORÇAMENTO!$AF$7)*OFFSET(ORÇAMENTO!$W$15,ROW(AL65)-ROW(AL$15),0),15-13*ORÇAMENTO!$AF$11)),
         0)</f>
        <v>9018.2800000000007</v>
      </c>
      <c r="AM65" s="452">
        <f ca="1">IF(AND($D65="Serviço",AM$12&lt;&gt;0,$H65&gt;0,OR(AUTOEVENTO&lt;&gt;"manual",$M65&lt;&gt;$A$15)),
        IF(Import.TipoArredondamento&lt;&gt;"TransfereGOV",
              ROUND(OFFSET($P65,0,AM$13),15-13*ORÇAMENTO!$AF$7)/$H65*OFFSET(ORÇAMENTO!$X$15,ROW(AM65)-ROW(AM$15),0),
              ROUND(ROUND(OFFSET($P65,0,AM$13),15-13*ORÇAMENTO!$AF$7)*OFFSET(ORÇAMENTO!$W$15,ROW(AM65)-ROW(AM$15),0),15-13*ORÇAMENTO!$AF$11)),
         0)</f>
        <v>9018.2800000000007</v>
      </c>
      <c r="AN65" s="452">
        <f ca="1">IF(AND($D65="Serviço",AN$12&lt;&gt;0,$H65&gt;0,OR(AUTOEVENTO&lt;&gt;"manual",$M65&lt;&gt;$A$15)),
        IF(Import.TipoArredondamento&lt;&gt;"TransfereGOV",
              ROUND(OFFSET($P65,0,AN$13),15-13*ORÇAMENTO!$AF$7)/$H65*OFFSET(ORÇAMENTO!$X$15,ROW(AN65)-ROW(AN$15),0),
              ROUND(ROUND(OFFSET($P65,0,AN$13),15-13*ORÇAMENTO!$AF$7)*OFFSET(ORÇAMENTO!$W$15,ROW(AN65)-ROW(AN$15),0),15-13*ORÇAMENTO!$AF$11)),
         0)</f>
        <v>0</v>
      </c>
      <c r="AO65" s="452">
        <f ca="1">IF(AND($D65="Serviço",AO$12&lt;&gt;0,$H65&gt;0,OR(AUTOEVENTO&lt;&gt;"manual",$M65&lt;&gt;$A$15)),
        IF(Import.TipoArredondamento&lt;&gt;"TransfereGOV",
              ROUND(OFFSET($P65,0,AO$13),15-13*ORÇAMENTO!$AF$7)/$H65*OFFSET(ORÇAMENTO!$X$15,ROW(AO65)-ROW(AO$15),0),
              ROUND(ROUND(OFFSET($P65,0,AO$13),15-13*ORÇAMENTO!$AF$7)*OFFSET(ORÇAMENTO!$W$15,ROW(AO65)-ROW(AO$15),0),15-13*ORÇAMENTO!$AF$11)),
         0)</f>
        <v>0</v>
      </c>
      <c r="AP65" s="452">
        <f ca="1">IF(AND($D65="Serviço",AP$12&lt;&gt;0,$H65&gt;0,OR(AUTOEVENTO&lt;&gt;"manual",$M65&lt;&gt;$A$15)),
        IF(Import.TipoArredondamento&lt;&gt;"TransfereGOV",
              ROUND(OFFSET($P65,0,AP$13),15-13*ORÇAMENTO!$AF$7)/$H65*OFFSET(ORÇAMENTO!$X$15,ROW(AP65)-ROW(AP$15),0),
              ROUND(ROUND(OFFSET($P65,0,AP$13),15-13*ORÇAMENTO!$AF$7)*OFFSET(ORÇAMENTO!$W$15,ROW(AP65)-ROW(AP$15),0),15-13*ORÇAMENTO!$AF$11)),
         0)</f>
        <v>0</v>
      </c>
      <c r="AQ65" s="452">
        <f ca="1">IF(AND($D65="Serviço",AQ$12&lt;&gt;0,$H65&gt;0,OR(AUTOEVENTO&lt;&gt;"manual",$M65&lt;&gt;$A$15)),
        IF(Import.TipoArredondamento&lt;&gt;"TransfereGOV",
              ROUND(OFFSET($P65,0,AQ$13),15-13*ORÇAMENTO!$AF$7)/$H65*OFFSET(ORÇAMENTO!$X$15,ROW(AQ65)-ROW(AQ$15),0),
              ROUND(ROUND(OFFSET($P65,0,AQ$13),15-13*ORÇAMENTO!$AF$7)*OFFSET(ORÇAMENTO!$W$15,ROW(AQ65)-ROW(AQ$15),0),15-13*ORÇAMENTO!$AF$11)),
         0)</f>
        <v>0</v>
      </c>
      <c r="AR65" s="452">
        <f ca="1">IF(AND($D65="Serviço",AR$12&lt;&gt;0,$H65&gt;0,OR(AUTOEVENTO&lt;&gt;"manual",$M65&lt;&gt;$A$15)),
        IF(Import.TipoArredondamento&lt;&gt;"TransfereGOV",
              ROUND(OFFSET($P65,0,AR$13),15-13*ORÇAMENTO!$AF$7)/$H65*OFFSET(ORÇAMENTO!$X$15,ROW(AR65)-ROW(AR$15),0),
              ROUND(ROUND(OFFSET($P65,0,AR$13),15-13*ORÇAMENTO!$AF$7)*OFFSET(ORÇAMENTO!$W$15,ROW(AR65)-ROW(AR$15),0),15-13*ORÇAMENTO!$AF$11)),
         0)</f>
        <v>0</v>
      </c>
      <c r="AS65" s="452">
        <f ca="1">IF(AND($D65="Serviço",AS$12&lt;&gt;0,$H65&gt;0,OR(AUTOEVENTO&lt;&gt;"manual",$M65&lt;&gt;$A$15)),
        IF(Import.TipoArredondamento&lt;&gt;"TransfereGOV",
              ROUND(OFFSET($P65,0,AS$13),15-13*ORÇAMENTO!$AF$7)/$H65*OFFSET(ORÇAMENTO!$X$15,ROW(AS65)-ROW(AS$15),0),
              ROUND(ROUND(OFFSET($P65,0,AS$13),15-13*ORÇAMENTO!$AF$7)*OFFSET(ORÇAMENTO!$W$15,ROW(AS65)-ROW(AS$15),0),15-13*ORÇAMENTO!$AF$11)),
         0)</f>
        <v>0</v>
      </c>
      <c r="AT65" s="452">
        <f ca="1">IF(AND($D65="Serviço",AT$12&lt;&gt;0,$H65&gt;0,OR(AUTOEVENTO&lt;&gt;"manual",$M65&lt;&gt;$A$15)),
        IF(Import.TipoArredondamento&lt;&gt;"TransfereGOV",
              ROUND(OFFSET($P65,0,AT$13),15-13*ORÇAMENTO!$AF$7)/$H65*OFFSET(ORÇAMENTO!$X$15,ROW(AT65)-ROW(AT$15),0),
              ROUND(ROUND(OFFSET($P65,0,AT$13),15-13*ORÇAMENTO!$AF$7)*OFFSET(ORÇAMENTO!$W$15,ROW(AT65)-ROW(AT$15),0),15-13*ORÇAMENTO!$AF$11)),
         0)</f>
        <v>0</v>
      </c>
      <c r="AU65" s="452">
        <f ca="1">IF(AND($D65="Serviço",AU$12&lt;&gt;0,$H65&gt;0,OR(AUTOEVENTO&lt;&gt;"manual",$M65&lt;&gt;$A$15)),
        IF(Import.TipoArredondamento&lt;&gt;"TransfereGOV",
              ROUND(OFFSET($P65,0,AU$13),15-13*ORÇAMENTO!$AF$7)/$H65*OFFSET(ORÇAMENTO!$X$15,ROW(AU65)-ROW(AU$15),0),
              ROUND(ROUND(OFFSET($P65,0,AU$13),15-13*ORÇAMENTO!$AF$7)*OFFSET(ORÇAMENTO!$W$15,ROW(AU65)-ROW(AU$15),0),15-13*ORÇAMENTO!$AF$11)),
         0)</f>
        <v>0</v>
      </c>
      <c r="AV65" s="452">
        <f ca="1">IF(AND($D65="Serviço",AV$12&lt;&gt;0,$H65&gt;0,OR(AUTOEVENTO&lt;&gt;"manual",$M65&lt;&gt;$A$15)),
        IF(Import.TipoArredondamento&lt;&gt;"TransfereGOV",
              ROUND(OFFSET($P65,0,AV$13),15-13*ORÇAMENTO!$AF$7)/$H65*OFFSET(ORÇAMENTO!$X$15,ROW(AV65)-ROW(AV$15),0),
              ROUND(ROUND(OFFSET($P65,0,AV$13),15-13*ORÇAMENTO!$AF$7)*OFFSET(ORÇAMENTO!$W$15,ROW(AV65)-ROW(AV$15),0),15-13*ORÇAMENTO!$AF$11)),
         0)</f>
        <v>0</v>
      </c>
      <c r="AW65" s="452">
        <f ca="1">IF(AND($D65="Serviço",AW$12&lt;&gt;0,$H65&gt;0,OR(AUTOEVENTO&lt;&gt;"manual",$M65&lt;&gt;$A$15)),
        IF(Import.TipoArredondamento&lt;&gt;"TransfereGOV",
              ROUND(OFFSET($P65,0,AW$13),15-13*ORÇAMENTO!$AF$7)/$H65*OFFSET(ORÇAMENTO!$X$15,ROW(AW65)-ROW(AW$15),0),
              ROUND(ROUND(OFFSET($P65,0,AW$13),15-13*ORÇAMENTO!$AF$7)*OFFSET(ORÇAMENTO!$W$15,ROW(AW65)-ROW(AW$15),0),15-13*ORÇAMENTO!$AF$11)),
         0)</f>
        <v>0</v>
      </c>
      <c r="AX65" s="452">
        <f ca="1">IF(AND($D65="Serviço",AX$12&lt;&gt;0,$H65&gt;0,OR(AUTOEVENTO&lt;&gt;"manual",$M65&lt;&gt;$A$15)),
        IF(Import.TipoArredondamento&lt;&gt;"TransfereGOV",
              ROUND(OFFSET($P65,0,AX$13),15-13*ORÇAMENTO!$AF$7)/$H65*OFFSET(ORÇAMENTO!$X$15,ROW(AX65)-ROW(AX$15),0),
              ROUND(ROUND(OFFSET($P65,0,AX$13),15-13*ORÇAMENTO!$AF$7)*OFFSET(ORÇAMENTO!$W$15,ROW(AX65)-ROW(AX$15),0),15-13*ORÇAMENTO!$AF$11)),
         0)</f>
        <v>0</v>
      </c>
      <c r="AY65" s="452">
        <f ca="1">IF(AND($D65="Serviço",AY$12&lt;&gt;0,$H65&gt;0,OR(AUTOEVENTO&lt;&gt;"manual",$M65&lt;&gt;$A$15)),
        IF(Import.TipoArredondamento&lt;&gt;"TransfereGOV",
              ROUND(OFFSET($P65,0,AY$13),15-13*ORÇAMENTO!$AF$7)/$H65*OFFSET(ORÇAMENTO!$X$15,ROW(AY65)-ROW(AY$15),0),
              ROUND(ROUND(OFFSET($P65,0,AY$13),15-13*ORÇAMENTO!$AF$7)*OFFSET(ORÇAMENTO!$W$15,ROW(AY65)-ROW(AY$15),0),15-13*ORÇAMENTO!$AF$11)),
         0)</f>
        <v>0</v>
      </c>
      <c r="AZ65" s="452">
        <f ca="1">IF(AND($D65="Serviço",AZ$12&lt;&gt;0,$H65&gt;0,OR(AUTOEVENTO&lt;&gt;"manual",$M65&lt;&gt;$A$15)),
        IF(Import.TipoArredondamento&lt;&gt;"TransfereGOV",
              ROUND(OFFSET($P65,0,AZ$13),15-13*ORÇAMENTO!$AF$7)/$H65*OFFSET(ORÇAMENTO!$X$15,ROW(AZ65)-ROW(AZ$15),0),
              ROUND(ROUND(OFFSET($P65,0,AZ$13),15-13*ORÇAMENTO!$AF$7)*OFFSET(ORÇAMENTO!$W$15,ROW(AZ65)-ROW(AZ$15),0),15-13*ORÇAMENTO!$AF$11)),
         0)</f>
        <v>0</v>
      </c>
      <c r="BA65" s="452">
        <f ca="1">IF(AND($D65="Serviço",BA$12&lt;&gt;0,$H65&gt;0,OR(AUTOEVENTO&lt;&gt;"manual",$M65&lt;&gt;$A$15)),
        IF(Import.TipoArredondamento&lt;&gt;"TransfereGOV",
              ROUND(OFFSET($P65,0,BA$13),15-13*ORÇAMENTO!$AF$7)/$H65*OFFSET(ORÇAMENTO!$X$15,ROW(BA65)-ROW(BA$15),0),
              ROUND(ROUND(OFFSET($P65,0,BA$13),15-13*ORÇAMENTO!$AF$7)*OFFSET(ORÇAMENTO!$W$15,ROW(BA65)-ROW(BA$15),0),15-13*ORÇAMENTO!$AF$11)),
         0)</f>
        <v>0</v>
      </c>
      <c r="BC65" s="171">
        <f ca="1">IF(OR($D65&lt;&gt;"Serviço",AND(AUTOEVENTO="Manual",$M65=$A$15)),0,
         IF(OFFSET(CRONOPLE!$F$15,$M65-$A$15,BC$13)=0,10^12,OFFSET(CRONOPLE!$F$15,$M65-$A$15,BC$13)))</f>
        <v>3</v>
      </c>
      <c r="BD65" s="171">
        <f ca="1">IF(OR($D65&lt;&gt;"Serviço",AND(AUTOEVENTO="Manual",$M65=$A$15)),0,
         IF(OFFSET(CRONOPLE!$F$15,$M65-$A$15,BD$13)=0,10^12,OFFSET(CRONOPLE!$F$15,$M65-$A$15,BD$13)))</f>
        <v>4</v>
      </c>
      <c r="BE65" s="171">
        <f ca="1">IF(OR($D65&lt;&gt;"Serviço",AND(AUTOEVENTO="Manual",$M65=$A$15)),0,
         IF(OFFSET(CRONOPLE!$F$15,$M65-$A$15,BE$13)=0,10^12,OFFSET(CRONOPLE!$F$15,$M65-$A$15,BE$13)))</f>
        <v>5</v>
      </c>
      <c r="BF65" s="171">
        <f ca="1">IF(OR($D65&lt;&gt;"Serviço",AND(AUTOEVENTO="Manual",$M65=$A$15)),0,
         IF(OFFSET(CRONOPLE!$F$15,$M65-$A$15,BF$13)=0,10^12,OFFSET(CRONOPLE!$F$15,$M65-$A$15,BF$13)))</f>
        <v>5</v>
      </c>
      <c r="BG65" s="171">
        <f ca="1">IF(OR($D65&lt;&gt;"Serviço",AND(AUTOEVENTO="Manual",$M65=$A$15)),0,
         IF(OFFSET(CRONOPLE!$F$15,$M65-$A$15,BG$13)=0,10^12,OFFSET(CRONOPLE!$F$15,$M65-$A$15,BG$13)))</f>
        <v>5</v>
      </c>
      <c r="BH65" s="171">
        <f ca="1">IF(OR($D65&lt;&gt;"Serviço",AND(AUTOEVENTO="Manual",$M65=$A$15)),0,
         IF(OFFSET(CRONOPLE!$F$15,$M65-$A$15,BH$13)=0,10^12,OFFSET(CRONOPLE!$F$15,$M65-$A$15,BH$13)))</f>
        <v>1000000000000</v>
      </c>
      <c r="BI65" s="171">
        <f ca="1">IF(OR($D65&lt;&gt;"Serviço",AND(AUTOEVENTO="Manual",$M65=$A$15)),0,
         IF(OFFSET(CRONOPLE!$F$15,$M65-$A$15,BI$13)=0,10^12,OFFSET(CRONOPLE!$F$15,$M65-$A$15,BI$13)))</f>
        <v>1000000000000</v>
      </c>
      <c r="BJ65" s="171">
        <f ca="1">IF(OR($D65&lt;&gt;"Serviço",AND(AUTOEVENTO="Manual",$M65=$A$15)),0,
         IF(OFFSET(CRONOPLE!$F$15,$M65-$A$15,BJ$13)=0,10^12,OFFSET(CRONOPLE!$F$15,$M65-$A$15,BJ$13)))</f>
        <v>1000000000000</v>
      </c>
      <c r="BK65" s="171">
        <f ca="1">IF(OR($D65&lt;&gt;"Serviço",AND(AUTOEVENTO="Manual",$M65=$A$15)),0,
         IF(OFFSET(CRONOPLE!$F$15,$M65-$A$15,BK$13)=0,10^12,OFFSET(CRONOPLE!$F$15,$M65-$A$15,BK$13)))</f>
        <v>1000000000000</v>
      </c>
      <c r="BL65" s="171">
        <f ca="1">IF(OR($D65&lt;&gt;"Serviço",AND(AUTOEVENTO="Manual",$M65=$A$15)),0,
         IF(OFFSET(CRONOPLE!$F$15,$M65-$A$15,BL$13)=0,10^12,OFFSET(CRONOPLE!$F$15,$M65-$A$15,BL$13)))</f>
        <v>1000000000000</v>
      </c>
      <c r="BM65" s="171">
        <f ca="1">IF(OR($D65&lt;&gt;"Serviço",AND(AUTOEVENTO="Manual",$M65=$A$15)),0,
         IF(OFFSET(CRONOPLE!$F$15,$M65-$A$15,BM$13)=0,10^12,OFFSET(CRONOPLE!$F$15,$M65-$A$15,BM$13)))</f>
        <v>1000000000000</v>
      </c>
      <c r="BN65" s="171">
        <f ca="1">IF(OR($D65&lt;&gt;"Serviço",AND(AUTOEVENTO="Manual",$M65=$A$15)),0,
         IF(OFFSET(CRONOPLE!$F$15,$M65-$A$15,BN$13)=0,10^12,OFFSET(CRONOPLE!$F$15,$M65-$A$15,BN$13)))</f>
        <v>1000000000000</v>
      </c>
      <c r="BO65" s="171">
        <f ca="1">IF(OR($D65&lt;&gt;"Serviço",AND(AUTOEVENTO="Manual",$M65=$A$15)),0,
         IF(OFFSET(CRONOPLE!$F$15,$M65-$A$15,BO$13)=0,10^12,OFFSET(CRONOPLE!$F$15,$M65-$A$15,BO$13)))</f>
        <v>1000000000000</v>
      </c>
      <c r="BP65" s="171">
        <f ca="1">IF(OR($D65&lt;&gt;"Serviço",AND(AUTOEVENTO="Manual",$M65=$A$15)),0,
         IF(OFFSET(CRONOPLE!$F$15,$M65-$A$15,BP$13)=0,10^12,OFFSET(CRONOPLE!$F$15,$M65-$A$15,BP$13)))</f>
        <v>1000000000000</v>
      </c>
      <c r="BQ65" s="171">
        <f ca="1">IF(OR($D65&lt;&gt;"Serviço",AND(AUTOEVENTO="Manual",$M65=$A$15)),0,
         IF(OFFSET(CRONOPLE!$F$15,$M65-$A$15,BQ$13)=0,10^12,OFFSET(CRONOPLE!$F$15,$M65-$A$15,BQ$13)))</f>
        <v>1000000000000</v>
      </c>
      <c r="BR65" s="171">
        <f ca="1">IF(OR($D65&lt;&gt;"Serviço",AND(AUTOEVENTO="Manual",$M65=$A$15)),0,
         IF(OFFSET(CRONOPLE!$F$15,$M65-$A$15,BR$13)=0,10^12,OFFSET(CRONOPLE!$F$15,$M65-$A$15,BR$13)))</f>
        <v>1000000000000</v>
      </c>
      <c r="BS65" s="171">
        <f ca="1">IF(OR($D65&lt;&gt;"Serviço",AND(AUTOEVENTO="Manual",$M65=$A$15)),0,
         IF(OFFSET(CRONOPLE!$F$15,$M65-$A$15,BS$13)=0,10^12,OFFSET(CRONOPLE!$F$15,$M65-$A$15,BS$13)))</f>
        <v>1000000000000</v>
      </c>
      <c r="BT65" s="171">
        <f ca="1">IF(OR($D65&lt;&gt;"Serviço",AND(AUTOEVENTO="Manual",$M65=$A$15)),0,
         IF(OFFSET(CRONOPLE!$F$15,$M65-$A$15,BT$13)=0,10^12,OFFSET(CRONOPLE!$F$15,$M65-$A$15,BT$13)))</f>
        <v>1000000000000</v>
      </c>
      <c r="BV65" s="172">
        <f t="array" aca="1" ref="BV65" ca="1">IF(OR($D65&lt;&gt;"Serviço",AND(AUTOEVENTO="Manual",$M65=$A$15),$M65&gt;(ROW(PLE.lastrow)-ROW(PLE.firstrow))),0,
           IF(OFFSET(PLE!$G$15,$M65-$A$15,BV$13)="",10^12,OFFSET(PLE!$G$15,$M65-$A$15,BV$13)))</f>
        <v>1000000000000</v>
      </c>
      <c r="BW65" s="172">
        <f t="array" aca="1" ref="BW65" ca="1">IF(OR($D65&lt;&gt;"Serviço",AND(AUTOEVENTO="Manual",$M65=$A$15),$M65&gt;(ROW(PLE.lastrow)-ROW(PLE.firstrow))),0,
           IF(OFFSET(PLE!$G$15,$M65-$A$15,BW$13)="",10^12,OFFSET(PLE!$G$15,$M65-$A$15,BW$13)))</f>
        <v>1000000000000</v>
      </c>
      <c r="BX65" s="172">
        <f t="array" aca="1" ref="BX65" ca="1">IF(OR($D65&lt;&gt;"Serviço",AND(AUTOEVENTO="Manual",$M65=$A$15),$M65&gt;(ROW(PLE.lastrow)-ROW(PLE.firstrow))),0,
           IF(OFFSET(PLE!$G$15,$M65-$A$15,BX$13)="",10^12,OFFSET(PLE!$G$15,$M65-$A$15,BX$13)))</f>
        <v>1000000000000</v>
      </c>
      <c r="BY65" s="172">
        <f t="array" aca="1" ref="BY65" ca="1">IF(OR($D65&lt;&gt;"Serviço",AND(AUTOEVENTO="Manual",$M65=$A$15),$M65&gt;(ROW(PLE.lastrow)-ROW(PLE.firstrow))),0,
           IF(OFFSET(PLE!$G$15,$M65-$A$15,BY$13)="",10^12,OFFSET(PLE!$G$15,$M65-$A$15,BY$13)))</f>
        <v>1000000000000</v>
      </c>
      <c r="BZ65" s="172">
        <f t="array" aca="1" ref="BZ65" ca="1">IF(OR($D65&lt;&gt;"Serviço",AND(AUTOEVENTO="Manual",$M65=$A$15),$M65&gt;(ROW(PLE.lastrow)-ROW(PLE.firstrow))),0,
           IF(OFFSET(PLE!$G$15,$M65-$A$15,BZ$13)="",10^12,OFFSET(PLE!$G$15,$M65-$A$15,BZ$13)))</f>
        <v>1000000000000</v>
      </c>
      <c r="CA65" s="172">
        <f t="array" aca="1" ref="CA65" ca="1">IF(OR($D65&lt;&gt;"Serviço",AND(AUTOEVENTO="Manual",$M65=$A$15),$M65&gt;(ROW(PLE.lastrow)-ROW(PLE.firstrow))),0,
           IF(OFFSET(PLE!$G$15,$M65-$A$15,CA$13)="",10^12,OFFSET(PLE!$G$15,$M65-$A$15,CA$13)))</f>
        <v>1000000000000</v>
      </c>
      <c r="CB65" s="172">
        <f t="array" aca="1" ref="CB65" ca="1">IF(OR($D65&lt;&gt;"Serviço",AND(AUTOEVENTO="Manual",$M65=$A$15),$M65&gt;(ROW(PLE.lastrow)-ROW(PLE.firstrow))),0,
           IF(OFFSET(PLE!$G$15,$M65-$A$15,CB$13)="",10^12,OFFSET(PLE!$G$15,$M65-$A$15,CB$13)))</f>
        <v>1000000000000</v>
      </c>
      <c r="CC65" s="172">
        <f t="array" aca="1" ref="CC65" ca="1">IF(OR($D65&lt;&gt;"Serviço",AND(AUTOEVENTO="Manual",$M65=$A$15),$M65&gt;(ROW(PLE.lastrow)-ROW(PLE.firstrow))),0,
           IF(OFFSET(PLE!$G$15,$M65-$A$15,CC$13)="",10^12,OFFSET(PLE!$G$15,$M65-$A$15,CC$13)))</f>
        <v>1000000000000</v>
      </c>
      <c r="CD65" s="172">
        <f t="array" aca="1" ref="CD65" ca="1">IF(OR($D65&lt;&gt;"Serviço",AND(AUTOEVENTO="Manual",$M65=$A$15),$M65&gt;(ROW(PLE.lastrow)-ROW(PLE.firstrow))),0,
           IF(OFFSET(PLE!$G$15,$M65-$A$15,CD$13)="",10^12,OFFSET(PLE!$G$15,$M65-$A$15,CD$13)))</f>
        <v>1000000000000</v>
      </c>
      <c r="CE65" s="172">
        <f t="array" aca="1" ref="CE65" ca="1">IF(OR($D65&lt;&gt;"Serviço",AND(AUTOEVENTO="Manual",$M65=$A$15),$M65&gt;(ROW(PLE.lastrow)-ROW(PLE.firstrow))),0,
           IF(OFFSET(PLE!$G$15,$M65-$A$15,CE$13)="",10^12,OFFSET(PLE!$G$15,$M65-$A$15,CE$13)))</f>
        <v>1000000000000</v>
      </c>
      <c r="CF65" s="172">
        <f t="array" aca="1" ref="CF65" ca="1">IF(OR($D65&lt;&gt;"Serviço",AND(AUTOEVENTO="Manual",$M65=$A$15),$M65&gt;(ROW(PLE.lastrow)-ROW(PLE.firstrow))),0,
           IF(OFFSET(PLE!$G$15,$M65-$A$15,CF$13)="",10^12,OFFSET(PLE!$G$15,$M65-$A$15,CF$13)))</f>
        <v>1000000000000</v>
      </c>
      <c r="CG65" s="172">
        <f t="array" aca="1" ref="CG65" ca="1">IF(OR($D65&lt;&gt;"Serviço",AND(AUTOEVENTO="Manual",$M65=$A$15),$M65&gt;(ROW(PLE.lastrow)-ROW(PLE.firstrow))),0,
           IF(OFFSET(PLE!$G$15,$M65-$A$15,CG$13)="",10^12,OFFSET(PLE!$G$15,$M65-$A$15,CG$13)))</f>
        <v>1000000000000</v>
      </c>
      <c r="CH65" s="172">
        <f t="array" aca="1" ref="CH65" ca="1">IF(OR($D65&lt;&gt;"Serviço",AND(AUTOEVENTO="Manual",$M65=$A$15),$M65&gt;(ROW(PLE.lastrow)-ROW(PLE.firstrow))),0,
           IF(OFFSET(PLE!$G$15,$M65-$A$15,CH$13)="",10^12,OFFSET(PLE!$G$15,$M65-$A$15,CH$13)))</f>
        <v>1000000000000</v>
      </c>
      <c r="CI65" s="172">
        <f t="array" aca="1" ref="CI65" ca="1">IF(OR($D65&lt;&gt;"Serviço",AND(AUTOEVENTO="Manual",$M65=$A$15),$M65&gt;(ROW(PLE.lastrow)-ROW(PLE.firstrow))),0,
           IF(OFFSET(PLE!$G$15,$M65-$A$15,CI$13)="",10^12,OFFSET(PLE!$G$15,$M65-$A$15,CI$13)))</f>
        <v>1000000000000</v>
      </c>
      <c r="CJ65" s="172">
        <f t="array" aca="1" ref="CJ65" ca="1">IF(OR($D65&lt;&gt;"Serviço",AND(AUTOEVENTO="Manual",$M65=$A$15),$M65&gt;(ROW(PLE.lastrow)-ROW(PLE.firstrow))),0,
           IF(OFFSET(PLE!$G$15,$M65-$A$15,CJ$13)="",10^12,OFFSET(PLE!$G$15,$M65-$A$15,CJ$13)))</f>
        <v>1000000000000</v>
      </c>
      <c r="CK65" s="172">
        <f t="array" aca="1" ref="CK65" ca="1">IF(OR($D65&lt;&gt;"Serviço",AND(AUTOEVENTO="Manual",$M65=$A$15),$M65&gt;(ROW(PLE.lastrow)-ROW(PLE.firstrow))),0,
           IF(OFFSET(PLE!$G$15,$M65-$A$15,CK$13)="",10^12,OFFSET(PLE!$G$15,$M65-$A$15,CK$13)))</f>
        <v>1000000000000</v>
      </c>
      <c r="CL65" s="172">
        <f t="array" aca="1" ref="CL65" ca="1">IF(OR($D65&lt;&gt;"Serviço",AND(AUTOEVENTO="Manual",$M65=$A$15),$M65&gt;(ROW(PLE.lastrow)-ROW(PLE.firstrow))),0,
           IF(OFFSET(PLE!$G$15,$M65-$A$15,CL$13)="",10^12,OFFSET(PLE!$G$15,$M65-$A$15,CL$13)))</f>
        <v>1000000000000</v>
      </c>
      <c r="CM65" s="172">
        <f t="array" aca="1" ref="CM65" ca="1">IF(OR($D65&lt;&gt;"Serviço",AND(AUTOEVENTO="Manual",$M65=$A$15),$M65&gt;(ROW(PLE.lastrow)-ROW(PLE.firstrow))),0,
           IF(OFFSET(PLE!$G$15,$M65-$A$15,CM$13)="",10^12,OFFSET(PLE!$G$15,$M65-$A$15,CM$13)))</f>
        <v>1000000000000</v>
      </c>
    </row>
    <row r="66" spans="1:91" s="696" customFormat="1" ht="12.75" x14ac:dyDescent="0.2">
      <c r="A66" s="694">
        <f t="shared" ca="1" si="10"/>
        <v>0</v>
      </c>
      <c r="B66" s="694">
        <f ca="1">OFFSET(ORÇAMENTO!C$15,$L66,0)</f>
        <v>2</v>
      </c>
      <c r="C66" s="694" t="str">
        <f ca="1">OFFSET(ORÇAMENTO!L$15,$L66,0)</f>
        <v>F</v>
      </c>
      <c r="D66" s="116" t="str">
        <f ca="1">OFFSET(ORÇAMENTO!N$15,$L66,0)</f>
        <v>Nível 2</v>
      </c>
      <c r="E66" s="117" t="str">
        <f ca="1">OFFSET(ORÇAMENTO!O$15,$L66,0)</f>
        <v>1.8.</v>
      </c>
      <c r="F66" s="163" t="str">
        <f ca="1">OFFSET(ORÇAMENTO!R$15,$L66,0)</f>
        <v>ALVENARIA</v>
      </c>
      <c r="G66" s="164" t="str">
        <f ca="1">IF($D66&lt;&gt;"Serviço","",OFFSET(ORÇAMENTO!S$15,$L66,0))</f>
        <v/>
      </c>
      <c r="H66" s="122">
        <f t="array" aca="1" ref="H66" ca="1">IF($D66&lt;&gt;"Serviço",0,IF(ACOMPANHAMENTO="BM",ROUND(OFFSET(ORÇAMENTO!AJ$15,$L66,0),15-13*ORÇAMENTO!$AF$7),IF(IFERROR(CÁLCULO.FrentesPreenchidas,0)=0,0,SUM(ROUND(OFFSET($P66,0,1,1,CÁLCULO.FrentesPreenchidas),15-13*ORÇAMENTO!$AF$7)))))</f>
        <v>0</v>
      </c>
      <c r="I66" s="467"/>
      <c r="J66" s="653" t="str">
        <f t="array" aca="1" ref="J66" ca="1">IF(OR(B66&lt;&gt;"S",CÁLCULO.FrentesPreenchidas=0),"",IF(AND(ACOMPANHAMENTO="PLE",AUTOEVENTO="Manual",OR(H66&gt;0,ORÇAMENTO!AC66="QUANT."),OR(K66="",M66=0,N66="")),"►E",IF(AND(ACOMPANHAMENTO="PLE",ORÇAMENTO!AC66="QUANT."),"►Q",IF(AND(ACOMPANHAMENTO="PLE",H66&lt;&gt;SUMPRODUCT(($Q$1:$AI$1=1)*ROUND(Q66:AI66,15))),"►S",IF(AND(COUNTIF($P$11:$AI$11,"▼")=0,H66&gt;0,I66=""),"◄M","")))))</f>
        <v/>
      </c>
      <c r="K66" s="654"/>
      <c r="L66" s="165">
        <f t="shared" ca="1" si="11"/>
        <v>51</v>
      </c>
      <c r="M66" s="166" t="str">
        <f ca="1">IF($D66&lt;&gt;"Serviço","",
          IF(AUTOEVENTO="manual",$A66,
                IF(ISERROR(MATCH($A66,$A$15:OFFSET($A66,-1,0),0)),MAX($M$15:OFFSET(M66,-1,0))+1,
                      INDEX($M$15:OFFSET(M66,-1,0),MATCH($A66,$A$15:OFFSET($A66,-1,0),0)))))</f>
        <v/>
      </c>
      <c r="N66" s="167" t="str">
        <f ca="1">IF($D66&lt;&gt;"Serviço","",
         IF(AUTOEVENTO="Manual",
                IF($A66=0,"&lt;-- defina o número do agrupador",
                       OFFSET(EVENTOS!$D$15,$A66-$A$15,0)),
                OFFSET($F$15,$A66,0)))</f>
        <v/>
      </c>
      <c r="O66" s="168"/>
      <c r="Q66" s="169"/>
      <c r="R66" s="169"/>
      <c r="S66" s="169"/>
      <c r="T66" s="169"/>
      <c r="U66" s="169"/>
      <c r="V66" s="169"/>
      <c r="W66" s="169"/>
      <c r="X66" s="169"/>
      <c r="Y66" s="169"/>
      <c r="Z66" s="170"/>
      <c r="AA66" s="169"/>
      <c r="AB66" s="169"/>
      <c r="AC66" s="169"/>
      <c r="AD66" s="169"/>
      <c r="AE66" s="169"/>
      <c r="AF66" s="169"/>
      <c r="AG66" s="169"/>
      <c r="AH66" s="170"/>
      <c r="AJ66" s="452">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2">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L66" s="452">
        <f ca="1">IF(AND($D66="Serviço",AL$12&lt;&gt;0,$H66&gt;0,OR(AUTOEVENTO&lt;&gt;"manual",$M66&lt;&gt;$A$15)),
        IF(Import.TipoArredondamento&lt;&gt;"TransfereGOV",
              ROUND(OFFSET($P66,0,AL$13),15-13*ORÇAMENTO!$AF$7)/$H66*OFFSET(ORÇAMENTO!$X$15,ROW(AL66)-ROW(AL$15),0),
              ROUND(ROUND(OFFSET($P66,0,AL$13),15-13*ORÇAMENTO!$AF$7)*OFFSET(ORÇAMENTO!$W$15,ROW(AL66)-ROW(AL$15),0),15-13*ORÇAMENTO!$AF$11)),
         0)</f>
        <v>0</v>
      </c>
      <c r="AM66" s="452">
        <f ca="1">IF(AND($D66="Serviço",AM$12&lt;&gt;0,$H66&gt;0,OR(AUTOEVENTO&lt;&gt;"manual",$M66&lt;&gt;$A$15)),
        IF(Import.TipoArredondamento&lt;&gt;"TransfereGOV",
              ROUND(OFFSET($P66,0,AM$13),15-13*ORÇAMENTO!$AF$7)/$H66*OFFSET(ORÇAMENTO!$X$15,ROW(AM66)-ROW(AM$15),0),
              ROUND(ROUND(OFFSET($P66,0,AM$13),15-13*ORÇAMENTO!$AF$7)*OFFSET(ORÇAMENTO!$W$15,ROW(AM66)-ROW(AM$15),0),15-13*ORÇAMENTO!$AF$11)),
         0)</f>
        <v>0</v>
      </c>
      <c r="AN66" s="452">
        <f ca="1">IF(AND($D66="Serviço",AN$12&lt;&gt;0,$H66&gt;0,OR(AUTOEVENTO&lt;&gt;"manual",$M66&lt;&gt;$A$15)),
        IF(Import.TipoArredondamento&lt;&gt;"TransfereGOV",
              ROUND(OFFSET($P66,0,AN$13),15-13*ORÇAMENTO!$AF$7)/$H66*OFFSET(ORÇAMENTO!$X$15,ROW(AN66)-ROW(AN$15),0),
              ROUND(ROUND(OFFSET($P66,0,AN$13),15-13*ORÇAMENTO!$AF$7)*OFFSET(ORÇAMENTO!$W$15,ROW(AN66)-ROW(AN$15),0),15-13*ORÇAMENTO!$AF$11)),
         0)</f>
        <v>0</v>
      </c>
      <c r="AO66" s="452">
        <f ca="1">IF(AND($D66="Serviço",AO$12&lt;&gt;0,$H66&gt;0,OR(AUTOEVENTO&lt;&gt;"manual",$M66&lt;&gt;$A$15)),
        IF(Import.TipoArredondamento&lt;&gt;"TransfereGOV",
              ROUND(OFFSET($P66,0,AO$13),15-13*ORÇAMENTO!$AF$7)/$H66*OFFSET(ORÇAMENTO!$X$15,ROW(AO66)-ROW(AO$15),0),
              ROUND(ROUND(OFFSET($P66,0,AO$13),15-13*ORÇAMENTO!$AF$7)*OFFSET(ORÇAMENTO!$W$15,ROW(AO66)-ROW(AO$15),0),15-13*ORÇAMENTO!$AF$11)),
         0)</f>
        <v>0</v>
      </c>
      <c r="AP66" s="452">
        <f ca="1">IF(AND($D66="Serviço",AP$12&lt;&gt;0,$H66&gt;0,OR(AUTOEVENTO&lt;&gt;"manual",$M66&lt;&gt;$A$15)),
        IF(Import.TipoArredondamento&lt;&gt;"TransfereGOV",
              ROUND(OFFSET($P66,0,AP$13),15-13*ORÇAMENTO!$AF$7)/$H66*OFFSET(ORÇAMENTO!$X$15,ROW(AP66)-ROW(AP$15),0),
              ROUND(ROUND(OFFSET($P66,0,AP$13),15-13*ORÇAMENTO!$AF$7)*OFFSET(ORÇAMENTO!$W$15,ROW(AP66)-ROW(AP$15),0),15-13*ORÇAMENTO!$AF$11)),
         0)</f>
        <v>0</v>
      </c>
      <c r="AQ66" s="452">
        <f ca="1">IF(AND($D66="Serviço",AQ$12&lt;&gt;0,$H66&gt;0,OR(AUTOEVENTO&lt;&gt;"manual",$M66&lt;&gt;$A$15)),
        IF(Import.TipoArredondamento&lt;&gt;"TransfereGOV",
              ROUND(OFFSET($P66,0,AQ$13),15-13*ORÇAMENTO!$AF$7)/$H66*OFFSET(ORÇAMENTO!$X$15,ROW(AQ66)-ROW(AQ$15),0),
              ROUND(ROUND(OFFSET($P66,0,AQ$13),15-13*ORÇAMENTO!$AF$7)*OFFSET(ORÇAMENTO!$W$15,ROW(AQ66)-ROW(AQ$15),0),15-13*ORÇAMENTO!$AF$11)),
         0)</f>
        <v>0</v>
      </c>
      <c r="AR66" s="452">
        <f ca="1">IF(AND($D66="Serviço",AR$12&lt;&gt;0,$H66&gt;0,OR(AUTOEVENTO&lt;&gt;"manual",$M66&lt;&gt;$A$15)),
        IF(Import.TipoArredondamento&lt;&gt;"TransfereGOV",
              ROUND(OFFSET($P66,0,AR$13),15-13*ORÇAMENTO!$AF$7)/$H66*OFFSET(ORÇAMENTO!$X$15,ROW(AR66)-ROW(AR$15),0),
              ROUND(ROUND(OFFSET($P66,0,AR$13),15-13*ORÇAMENTO!$AF$7)*OFFSET(ORÇAMENTO!$W$15,ROW(AR66)-ROW(AR$15),0),15-13*ORÇAMENTO!$AF$11)),
         0)</f>
        <v>0</v>
      </c>
      <c r="AS66" s="452">
        <f ca="1">IF(AND($D66="Serviço",AS$12&lt;&gt;0,$H66&gt;0,OR(AUTOEVENTO&lt;&gt;"manual",$M66&lt;&gt;$A$15)),
        IF(Import.TipoArredondamento&lt;&gt;"TransfereGOV",
              ROUND(OFFSET($P66,0,AS$13),15-13*ORÇAMENTO!$AF$7)/$H66*OFFSET(ORÇAMENTO!$X$15,ROW(AS66)-ROW(AS$15),0),
              ROUND(ROUND(OFFSET($P66,0,AS$13),15-13*ORÇAMENTO!$AF$7)*OFFSET(ORÇAMENTO!$W$15,ROW(AS66)-ROW(AS$15),0),15-13*ORÇAMENTO!$AF$11)),
         0)</f>
        <v>0</v>
      </c>
      <c r="AT66" s="452">
        <f ca="1">IF(AND($D66="Serviço",AT$12&lt;&gt;0,$H66&gt;0,OR(AUTOEVENTO&lt;&gt;"manual",$M66&lt;&gt;$A$15)),
        IF(Import.TipoArredondamento&lt;&gt;"TransfereGOV",
              ROUND(OFFSET($P66,0,AT$13),15-13*ORÇAMENTO!$AF$7)/$H66*OFFSET(ORÇAMENTO!$X$15,ROW(AT66)-ROW(AT$15),0),
              ROUND(ROUND(OFFSET($P66,0,AT$13),15-13*ORÇAMENTO!$AF$7)*OFFSET(ORÇAMENTO!$W$15,ROW(AT66)-ROW(AT$15),0),15-13*ORÇAMENTO!$AF$11)),
         0)</f>
        <v>0</v>
      </c>
      <c r="AU66" s="452">
        <f ca="1">IF(AND($D66="Serviço",AU$12&lt;&gt;0,$H66&gt;0,OR(AUTOEVENTO&lt;&gt;"manual",$M66&lt;&gt;$A$15)),
        IF(Import.TipoArredondamento&lt;&gt;"TransfereGOV",
              ROUND(OFFSET($P66,0,AU$13),15-13*ORÇAMENTO!$AF$7)/$H66*OFFSET(ORÇAMENTO!$X$15,ROW(AU66)-ROW(AU$15),0),
              ROUND(ROUND(OFFSET($P66,0,AU$13),15-13*ORÇAMENTO!$AF$7)*OFFSET(ORÇAMENTO!$W$15,ROW(AU66)-ROW(AU$15),0),15-13*ORÇAMENTO!$AF$11)),
         0)</f>
        <v>0</v>
      </c>
      <c r="AV66" s="452">
        <f ca="1">IF(AND($D66="Serviço",AV$12&lt;&gt;0,$H66&gt;0,OR(AUTOEVENTO&lt;&gt;"manual",$M66&lt;&gt;$A$15)),
        IF(Import.TipoArredondamento&lt;&gt;"TransfereGOV",
              ROUND(OFFSET($P66,0,AV$13),15-13*ORÇAMENTO!$AF$7)/$H66*OFFSET(ORÇAMENTO!$X$15,ROW(AV66)-ROW(AV$15),0),
              ROUND(ROUND(OFFSET($P66,0,AV$13),15-13*ORÇAMENTO!$AF$7)*OFFSET(ORÇAMENTO!$W$15,ROW(AV66)-ROW(AV$15),0),15-13*ORÇAMENTO!$AF$11)),
         0)</f>
        <v>0</v>
      </c>
      <c r="AW66" s="452">
        <f ca="1">IF(AND($D66="Serviço",AW$12&lt;&gt;0,$H66&gt;0,OR(AUTOEVENTO&lt;&gt;"manual",$M66&lt;&gt;$A$15)),
        IF(Import.TipoArredondamento&lt;&gt;"TransfereGOV",
              ROUND(OFFSET($P66,0,AW$13),15-13*ORÇAMENTO!$AF$7)/$H66*OFFSET(ORÇAMENTO!$X$15,ROW(AW66)-ROW(AW$15),0),
              ROUND(ROUND(OFFSET($P66,0,AW$13),15-13*ORÇAMENTO!$AF$7)*OFFSET(ORÇAMENTO!$W$15,ROW(AW66)-ROW(AW$15),0),15-13*ORÇAMENTO!$AF$11)),
         0)</f>
        <v>0</v>
      </c>
      <c r="AX66" s="452">
        <f ca="1">IF(AND($D66="Serviço",AX$12&lt;&gt;0,$H66&gt;0,OR(AUTOEVENTO&lt;&gt;"manual",$M66&lt;&gt;$A$15)),
        IF(Import.TipoArredondamento&lt;&gt;"TransfereGOV",
              ROUND(OFFSET($P66,0,AX$13),15-13*ORÇAMENTO!$AF$7)/$H66*OFFSET(ORÇAMENTO!$X$15,ROW(AX66)-ROW(AX$15),0),
              ROUND(ROUND(OFFSET($P66,0,AX$13),15-13*ORÇAMENTO!$AF$7)*OFFSET(ORÇAMENTO!$W$15,ROW(AX66)-ROW(AX$15),0),15-13*ORÇAMENTO!$AF$11)),
         0)</f>
        <v>0</v>
      </c>
      <c r="AY66" s="452">
        <f ca="1">IF(AND($D66="Serviço",AY$12&lt;&gt;0,$H66&gt;0,OR(AUTOEVENTO&lt;&gt;"manual",$M66&lt;&gt;$A$15)),
        IF(Import.TipoArredondamento&lt;&gt;"TransfereGOV",
              ROUND(OFFSET($P66,0,AY$13),15-13*ORÇAMENTO!$AF$7)/$H66*OFFSET(ORÇAMENTO!$X$15,ROW(AY66)-ROW(AY$15),0),
              ROUND(ROUND(OFFSET($P66,0,AY$13),15-13*ORÇAMENTO!$AF$7)*OFFSET(ORÇAMENTO!$W$15,ROW(AY66)-ROW(AY$15),0),15-13*ORÇAMENTO!$AF$11)),
         0)</f>
        <v>0</v>
      </c>
      <c r="AZ66" s="452">
        <f ca="1">IF(AND($D66="Serviço",AZ$12&lt;&gt;0,$H66&gt;0,OR(AUTOEVENTO&lt;&gt;"manual",$M66&lt;&gt;$A$15)),
        IF(Import.TipoArredondamento&lt;&gt;"TransfereGOV",
              ROUND(OFFSET($P66,0,AZ$13),15-13*ORÇAMENTO!$AF$7)/$H66*OFFSET(ORÇAMENTO!$X$15,ROW(AZ66)-ROW(AZ$15),0),
              ROUND(ROUND(OFFSET($P66,0,AZ$13),15-13*ORÇAMENTO!$AF$7)*OFFSET(ORÇAMENTO!$W$15,ROW(AZ66)-ROW(AZ$15),0),15-13*ORÇAMENTO!$AF$11)),
         0)</f>
        <v>0</v>
      </c>
      <c r="BA66" s="452">
        <f ca="1">IF(AND($D66="Serviço",BA$12&lt;&gt;0,$H66&gt;0,OR(AUTOEVENTO&lt;&gt;"manual",$M66&lt;&gt;$A$15)),
        IF(Import.TipoArredondamento&lt;&gt;"TransfereGOV",
              ROUND(OFFSET($P66,0,BA$13),15-13*ORÇAMENTO!$AF$7)/$H66*OFFSET(ORÇAMENTO!$X$15,ROW(BA66)-ROW(BA$15),0),
              ROUND(ROUND(OFFSET($P66,0,BA$13),15-13*ORÇAMENTO!$AF$7)*OFFSET(ORÇAMENTO!$W$15,ROW(BA66)-ROW(BA$15),0),15-13*ORÇAMENTO!$AF$11)),
         0)</f>
        <v>0</v>
      </c>
      <c r="BC66" s="171">
        <f ca="1">IF(OR($D66&lt;&gt;"Serviço",AND(AUTOEVENTO="Manual",$M66=$A$15)),0,
         IF(OFFSET(CRONOPLE!$F$15,$M66-$A$15,BC$13)=0,10^12,OFFSET(CRONOPLE!$F$15,$M66-$A$15,BC$13)))</f>
        <v>0</v>
      </c>
      <c r="BD66" s="171">
        <f ca="1">IF(OR($D66&lt;&gt;"Serviço",AND(AUTOEVENTO="Manual",$M66=$A$15)),0,
         IF(OFFSET(CRONOPLE!$F$15,$M66-$A$15,BD$13)=0,10^12,OFFSET(CRONOPLE!$F$15,$M66-$A$15,BD$13)))</f>
        <v>0</v>
      </c>
      <c r="BE66" s="171">
        <f ca="1">IF(OR($D66&lt;&gt;"Serviço",AND(AUTOEVENTO="Manual",$M66=$A$15)),0,
         IF(OFFSET(CRONOPLE!$F$15,$M66-$A$15,BE$13)=0,10^12,OFFSET(CRONOPLE!$F$15,$M66-$A$15,BE$13)))</f>
        <v>0</v>
      </c>
      <c r="BF66" s="171">
        <f ca="1">IF(OR($D66&lt;&gt;"Serviço",AND(AUTOEVENTO="Manual",$M66=$A$15)),0,
         IF(OFFSET(CRONOPLE!$F$15,$M66-$A$15,BF$13)=0,10^12,OFFSET(CRONOPLE!$F$15,$M66-$A$15,BF$13)))</f>
        <v>0</v>
      </c>
      <c r="BG66" s="171">
        <f ca="1">IF(OR($D66&lt;&gt;"Serviço",AND(AUTOEVENTO="Manual",$M66=$A$15)),0,
         IF(OFFSET(CRONOPLE!$F$15,$M66-$A$15,BG$13)=0,10^12,OFFSET(CRONOPLE!$F$15,$M66-$A$15,BG$13)))</f>
        <v>0</v>
      </c>
      <c r="BH66" s="171">
        <f ca="1">IF(OR($D66&lt;&gt;"Serviço",AND(AUTOEVENTO="Manual",$M66=$A$15)),0,
         IF(OFFSET(CRONOPLE!$F$15,$M66-$A$15,BH$13)=0,10^12,OFFSET(CRONOPLE!$F$15,$M66-$A$15,BH$13)))</f>
        <v>0</v>
      </c>
      <c r="BI66" s="171">
        <f ca="1">IF(OR($D66&lt;&gt;"Serviço",AND(AUTOEVENTO="Manual",$M66=$A$15)),0,
         IF(OFFSET(CRONOPLE!$F$15,$M66-$A$15,BI$13)=0,10^12,OFFSET(CRONOPLE!$F$15,$M66-$A$15,BI$13)))</f>
        <v>0</v>
      </c>
      <c r="BJ66" s="171">
        <f ca="1">IF(OR($D66&lt;&gt;"Serviço",AND(AUTOEVENTO="Manual",$M66=$A$15)),0,
         IF(OFFSET(CRONOPLE!$F$15,$M66-$A$15,BJ$13)=0,10^12,OFFSET(CRONOPLE!$F$15,$M66-$A$15,BJ$13)))</f>
        <v>0</v>
      </c>
      <c r="BK66" s="171">
        <f ca="1">IF(OR($D66&lt;&gt;"Serviço",AND(AUTOEVENTO="Manual",$M66=$A$15)),0,
         IF(OFFSET(CRONOPLE!$F$15,$M66-$A$15,BK$13)=0,10^12,OFFSET(CRONOPLE!$F$15,$M66-$A$15,BK$13)))</f>
        <v>0</v>
      </c>
      <c r="BL66" s="171">
        <f ca="1">IF(OR($D66&lt;&gt;"Serviço",AND(AUTOEVENTO="Manual",$M66=$A$15)),0,
         IF(OFFSET(CRONOPLE!$F$15,$M66-$A$15,BL$13)=0,10^12,OFFSET(CRONOPLE!$F$15,$M66-$A$15,BL$13)))</f>
        <v>0</v>
      </c>
      <c r="BM66" s="171">
        <f ca="1">IF(OR($D66&lt;&gt;"Serviço",AND(AUTOEVENTO="Manual",$M66=$A$15)),0,
         IF(OFFSET(CRONOPLE!$F$15,$M66-$A$15,BM$13)=0,10^12,OFFSET(CRONOPLE!$F$15,$M66-$A$15,BM$13)))</f>
        <v>0</v>
      </c>
      <c r="BN66" s="171">
        <f ca="1">IF(OR($D66&lt;&gt;"Serviço",AND(AUTOEVENTO="Manual",$M66=$A$15)),0,
         IF(OFFSET(CRONOPLE!$F$15,$M66-$A$15,BN$13)=0,10^12,OFFSET(CRONOPLE!$F$15,$M66-$A$15,BN$13)))</f>
        <v>0</v>
      </c>
      <c r="BO66" s="171">
        <f ca="1">IF(OR($D66&lt;&gt;"Serviço",AND(AUTOEVENTO="Manual",$M66=$A$15)),0,
         IF(OFFSET(CRONOPLE!$F$15,$M66-$A$15,BO$13)=0,10^12,OFFSET(CRONOPLE!$F$15,$M66-$A$15,BO$13)))</f>
        <v>0</v>
      </c>
      <c r="BP66" s="171">
        <f ca="1">IF(OR($D66&lt;&gt;"Serviço",AND(AUTOEVENTO="Manual",$M66=$A$15)),0,
         IF(OFFSET(CRONOPLE!$F$15,$M66-$A$15,BP$13)=0,10^12,OFFSET(CRONOPLE!$F$15,$M66-$A$15,BP$13)))</f>
        <v>0</v>
      </c>
      <c r="BQ66" s="171">
        <f ca="1">IF(OR($D66&lt;&gt;"Serviço",AND(AUTOEVENTO="Manual",$M66=$A$15)),0,
         IF(OFFSET(CRONOPLE!$F$15,$M66-$A$15,BQ$13)=0,10^12,OFFSET(CRONOPLE!$F$15,$M66-$A$15,BQ$13)))</f>
        <v>0</v>
      </c>
      <c r="BR66" s="171">
        <f ca="1">IF(OR($D66&lt;&gt;"Serviço",AND(AUTOEVENTO="Manual",$M66=$A$15)),0,
         IF(OFFSET(CRONOPLE!$F$15,$M66-$A$15,BR$13)=0,10^12,OFFSET(CRONOPLE!$F$15,$M66-$A$15,BR$13)))</f>
        <v>0</v>
      </c>
      <c r="BS66" s="171">
        <f ca="1">IF(OR($D66&lt;&gt;"Serviço",AND(AUTOEVENTO="Manual",$M66=$A$15)),0,
         IF(OFFSET(CRONOPLE!$F$15,$M66-$A$15,BS$13)=0,10^12,OFFSET(CRONOPLE!$F$15,$M66-$A$15,BS$13)))</f>
        <v>0</v>
      </c>
      <c r="BT66" s="171">
        <f ca="1">IF(OR($D66&lt;&gt;"Serviço",AND(AUTOEVENTO="Manual",$M66=$A$15)),0,
         IF(OFFSET(CRONOPLE!$F$15,$M66-$A$15,BT$13)=0,10^12,OFFSET(CRONOPLE!$F$15,$M66-$A$15,BT$13)))</f>
        <v>0</v>
      </c>
      <c r="BV66" s="172">
        <f t="array" aca="1" ref="BV66" ca="1">IF(OR($D66&lt;&gt;"Serviço",AND(AUTOEVENTO="Manual",$M66=$A$15),$M66&gt;(ROW(PLE.lastrow)-ROW(PLE.firstrow))),0,
           IF(OFFSET(PLE!$G$15,$M66-$A$15,BV$13)="",10^12,OFFSET(PLE!$G$15,$M66-$A$15,BV$13)))</f>
        <v>0</v>
      </c>
      <c r="BW66" s="172">
        <f t="array" aca="1" ref="BW66" ca="1">IF(OR($D66&lt;&gt;"Serviço",AND(AUTOEVENTO="Manual",$M66=$A$15),$M66&gt;(ROW(PLE.lastrow)-ROW(PLE.firstrow))),0,
           IF(OFFSET(PLE!$G$15,$M66-$A$15,BW$13)="",10^12,OFFSET(PLE!$G$15,$M66-$A$15,BW$13)))</f>
        <v>0</v>
      </c>
      <c r="BX66" s="172">
        <f t="array" aca="1" ref="BX66" ca="1">IF(OR($D66&lt;&gt;"Serviço",AND(AUTOEVENTO="Manual",$M66=$A$15),$M66&gt;(ROW(PLE.lastrow)-ROW(PLE.firstrow))),0,
           IF(OFFSET(PLE!$G$15,$M66-$A$15,BX$13)="",10^12,OFFSET(PLE!$G$15,$M66-$A$15,BX$13)))</f>
        <v>0</v>
      </c>
      <c r="BY66" s="172">
        <f t="array" aca="1" ref="BY66" ca="1">IF(OR($D66&lt;&gt;"Serviço",AND(AUTOEVENTO="Manual",$M66=$A$15),$M66&gt;(ROW(PLE.lastrow)-ROW(PLE.firstrow))),0,
           IF(OFFSET(PLE!$G$15,$M66-$A$15,BY$13)="",10^12,OFFSET(PLE!$G$15,$M66-$A$15,BY$13)))</f>
        <v>0</v>
      </c>
      <c r="BZ66" s="172">
        <f t="array" aca="1" ref="BZ66" ca="1">IF(OR($D66&lt;&gt;"Serviço",AND(AUTOEVENTO="Manual",$M66=$A$15),$M66&gt;(ROW(PLE.lastrow)-ROW(PLE.firstrow))),0,
           IF(OFFSET(PLE!$G$15,$M66-$A$15,BZ$13)="",10^12,OFFSET(PLE!$G$15,$M66-$A$15,BZ$13)))</f>
        <v>0</v>
      </c>
      <c r="CA66" s="172">
        <f t="array" aca="1" ref="CA66" ca="1">IF(OR($D66&lt;&gt;"Serviço",AND(AUTOEVENTO="Manual",$M66=$A$15),$M66&gt;(ROW(PLE.lastrow)-ROW(PLE.firstrow))),0,
           IF(OFFSET(PLE!$G$15,$M66-$A$15,CA$13)="",10^12,OFFSET(PLE!$G$15,$M66-$A$15,CA$13)))</f>
        <v>0</v>
      </c>
      <c r="CB66" s="172">
        <f t="array" aca="1" ref="CB66" ca="1">IF(OR($D66&lt;&gt;"Serviço",AND(AUTOEVENTO="Manual",$M66=$A$15),$M66&gt;(ROW(PLE.lastrow)-ROW(PLE.firstrow))),0,
           IF(OFFSET(PLE!$G$15,$M66-$A$15,CB$13)="",10^12,OFFSET(PLE!$G$15,$M66-$A$15,CB$13)))</f>
        <v>0</v>
      </c>
      <c r="CC66" s="172">
        <f t="array" aca="1" ref="CC66" ca="1">IF(OR($D66&lt;&gt;"Serviço",AND(AUTOEVENTO="Manual",$M66=$A$15),$M66&gt;(ROW(PLE.lastrow)-ROW(PLE.firstrow))),0,
           IF(OFFSET(PLE!$G$15,$M66-$A$15,CC$13)="",10^12,OFFSET(PLE!$G$15,$M66-$A$15,CC$13)))</f>
        <v>0</v>
      </c>
      <c r="CD66" s="172">
        <f t="array" aca="1" ref="CD66" ca="1">IF(OR($D66&lt;&gt;"Serviço",AND(AUTOEVENTO="Manual",$M66=$A$15),$M66&gt;(ROW(PLE.lastrow)-ROW(PLE.firstrow))),0,
           IF(OFFSET(PLE!$G$15,$M66-$A$15,CD$13)="",10^12,OFFSET(PLE!$G$15,$M66-$A$15,CD$13)))</f>
        <v>0</v>
      </c>
      <c r="CE66" s="172">
        <f t="array" aca="1" ref="CE66" ca="1">IF(OR($D66&lt;&gt;"Serviço",AND(AUTOEVENTO="Manual",$M66=$A$15),$M66&gt;(ROW(PLE.lastrow)-ROW(PLE.firstrow))),0,
           IF(OFFSET(PLE!$G$15,$M66-$A$15,CE$13)="",10^12,OFFSET(PLE!$G$15,$M66-$A$15,CE$13)))</f>
        <v>0</v>
      </c>
      <c r="CF66" s="172">
        <f t="array" aca="1" ref="CF66" ca="1">IF(OR($D66&lt;&gt;"Serviço",AND(AUTOEVENTO="Manual",$M66=$A$15),$M66&gt;(ROW(PLE.lastrow)-ROW(PLE.firstrow))),0,
           IF(OFFSET(PLE!$G$15,$M66-$A$15,CF$13)="",10^12,OFFSET(PLE!$G$15,$M66-$A$15,CF$13)))</f>
        <v>0</v>
      </c>
      <c r="CG66" s="172">
        <f t="array" aca="1" ref="CG66" ca="1">IF(OR($D66&lt;&gt;"Serviço",AND(AUTOEVENTO="Manual",$M66=$A$15),$M66&gt;(ROW(PLE.lastrow)-ROW(PLE.firstrow))),0,
           IF(OFFSET(PLE!$G$15,$M66-$A$15,CG$13)="",10^12,OFFSET(PLE!$G$15,$M66-$A$15,CG$13)))</f>
        <v>0</v>
      </c>
      <c r="CH66" s="172">
        <f t="array" aca="1" ref="CH66" ca="1">IF(OR($D66&lt;&gt;"Serviço",AND(AUTOEVENTO="Manual",$M66=$A$15),$M66&gt;(ROW(PLE.lastrow)-ROW(PLE.firstrow))),0,
           IF(OFFSET(PLE!$G$15,$M66-$A$15,CH$13)="",10^12,OFFSET(PLE!$G$15,$M66-$A$15,CH$13)))</f>
        <v>0</v>
      </c>
      <c r="CI66" s="172">
        <f t="array" aca="1" ref="CI66" ca="1">IF(OR($D66&lt;&gt;"Serviço",AND(AUTOEVENTO="Manual",$M66=$A$15),$M66&gt;(ROW(PLE.lastrow)-ROW(PLE.firstrow))),0,
           IF(OFFSET(PLE!$G$15,$M66-$A$15,CI$13)="",10^12,OFFSET(PLE!$G$15,$M66-$A$15,CI$13)))</f>
        <v>0</v>
      </c>
      <c r="CJ66" s="172">
        <f t="array" aca="1" ref="CJ66" ca="1">IF(OR($D66&lt;&gt;"Serviço",AND(AUTOEVENTO="Manual",$M66=$A$15),$M66&gt;(ROW(PLE.lastrow)-ROW(PLE.firstrow))),0,
           IF(OFFSET(PLE!$G$15,$M66-$A$15,CJ$13)="",10^12,OFFSET(PLE!$G$15,$M66-$A$15,CJ$13)))</f>
        <v>0</v>
      </c>
      <c r="CK66" s="172">
        <f t="array" aca="1" ref="CK66" ca="1">IF(OR($D66&lt;&gt;"Serviço",AND(AUTOEVENTO="Manual",$M66=$A$15),$M66&gt;(ROW(PLE.lastrow)-ROW(PLE.firstrow))),0,
           IF(OFFSET(PLE!$G$15,$M66-$A$15,CK$13)="",10^12,OFFSET(PLE!$G$15,$M66-$A$15,CK$13)))</f>
        <v>0</v>
      </c>
      <c r="CL66" s="172">
        <f t="array" aca="1" ref="CL66" ca="1">IF(OR($D66&lt;&gt;"Serviço",AND(AUTOEVENTO="Manual",$M66=$A$15),$M66&gt;(ROW(PLE.lastrow)-ROW(PLE.firstrow))),0,
           IF(OFFSET(PLE!$G$15,$M66-$A$15,CL$13)="",10^12,OFFSET(PLE!$G$15,$M66-$A$15,CL$13)))</f>
        <v>0</v>
      </c>
      <c r="CM66" s="172">
        <f t="array" aca="1" ref="CM66" ca="1">IF(OR($D66&lt;&gt;"Serviço",AND(AUTOEVENTO="Manual",$M66=$A$15),$M66&gt;(ROW(PLE.lastrow)-ROW(PLE.firstrow))),0,
           IF(OFFSET(PLE!$G$15,$M66-$A$15,CM$13)="",10^12,OFFSET(PLE!$G$15,$M66-$A$15,CM$13)))</f>
        <v>0</v>
      </c>
    </row>
    <row r="67" spans="1:91" s="696" customFormat="1" ht="63.75" x14ac:dyDescent="0.2">
      <c r="A67" s="694">
        <f t="shared" ca="1" si="10"/>
        <v>10</v>
      </c>
      <c r="B67" s="694" t="str">
        <f ca="1">OFFSET(ORÇAMENTO!C$15,$L67,0)</f>
        <v>S</v>
      </c>
      <c r="C67" s="694" t="str">
        <f ca="1">OFFSET(ORÇAMENTO!L$15,$L67,0)</f>
        <v>F</v>
      </c>
      <c r="D67" s="116" t="str">
        <f ca="1">OFFSET(ORÇAMENTO!N$15,$L67,0)</f>
        <v>Serviço</v>
      </c>
      <c r="E67" s="117" t="str">
        <f ca="1">OFFSET(ORÇAMENTO!O$15,$L67,0)</f>
        <v>1.8.1.</v>
      </c>
      <c r="F67" s="163" t="str">
        <f ca="1">OFFSET(ORÇAMENTO!R$15,$L67,0)</f>
        <v>ALVENARIA DE VEDAÇÃO DE BLOCOS CERÂMICOS FURADOS NA HORIZONTAL DE 9X19X19 CM (ESPESSURA 9 CM) E ARGAMASSA DE ASSENTAMENTO COM PREPARO EM BETONEIRA. AF_12/2021</v>
      </c>
      <c r="G67" s="164" t="str">
        <f ca="1">IF($D67&lt;&gt;"Serviço","",OFFSET(ORÇAMENTO!S$15,$L67,0))</f>
        <v>M2</v>
      </c>
      <c r="H67" s="122">
        <f t="array" aca="1" ref="H67" ca="1">IF($D67&lt;&gt;"Serviço",0,IF(ACOMPANHAMENTO="BM",ROUND(OFFSET(ORÇAMENTO!AJ$15,$L67,0),15-13*ORÇAMENTO!$AF$7),IF(IFERROR(CÁLCULO.FrentesPreenchidas,0)=0,0,SUM(ROUND(OFFSET($P67,0,1,1,CÁLCULO.FrentesPreenchidas),15-13*ORÇAMENTO!$AF$7)))))</f>
        <v>1730</v>
      </c>
      <c r="I67" s="467" t="s">
        <v>1241</v>
      </c>
      <c r="J67" s="653" t="str">
        <f t="array" aca="1" ref="J67" ca="1">IF(OR(B67&lt;&gt;"S",CÁLCULO.FrentesPreenchidas=0),"",IF(AND(ACOMPANHAMENTO="PLE",AUTOEVENTO="Manual",OR(H67&gt;0,ORÇAMENTO!AC67="QUANT."),OR(K67="",M67=0,N67="")),"►E",IF(AND(ACOMPANHAMENTO="PLE",ORÇAMENTO!AC67="QUANT."),"►Q",IF(AND(ACOMPANHAMENTO="PLE",H67&lt;&gt;SUMPRODUCT(($Q$1:$AI$1=1)*ROUND(Q67:AI67,15))),"►S",IF(AND(COUNTIF($P$11:$AI$11,"▼")=0,H67&gt;0,I67=""),"◄M","")))))</f>
        <v/>
      </c>
      <c r="K67" s="654" t="s">
        <v>1390</v>
      </c>
      <c r="L67" s="165">
        <f t="shared" ca="1" si="11"/>
        <v>52</v>
      </c>
      <c r="M67" s="166">
        <f ca="1">IF($D67&lt;&gt;"Serviço","",
          IF(AUTOEVENTO="manual",$A67,
                IF(ISERROR(MATCH($A67,$A$15:OFFSET($A67,-1,0),0)),MAX($M$15:OFFSET(M67,-1,0))+1,
                      INDEX($M$15:OFFSET(M67,-1,0),MATCH($A67,$A$15:OFFSET($A67,-1,0),0)))))</f>
        <v>10</v>
      </c>
      <c r="N67" s="167" t="str">
        <f ca="1">IF($D67&lt;&gt;"Serviço","",
         IF(AUTOEVENTO="Manual",
                IF($A67=0,"&lt;-- defina o número do agrupador",
                       OFFSET(EVENTOS!$D$15,$A67-$A$15,0)),
                OFFSET($F$15,$A67,0)))</f>
        <v>ALVENARIAS</v>
      </c>
      <c r="O67" s="168"/>
      <c r="Q67" s="169">
        <f>86.5*5</f>
        <v>432.5</v>
      </c>
      <c r="R67" s="169">
        <f t="shared" ref="R67:T67" si="39">86.5*5</f>
        <v>432.5</v>
      </c>
      <c r="S67" s="169">
        <f t="shared" si="39"/>
        <v>432.5</v>
      </c>
      <c r="T67" s="169">
        <f t="shared" si="39"/>
        <v>432.5</v>
      </c>
      <c r="U67" s="169"/>
      <c r="V67" s="169"/>
      <c r="W67" s="169"/>
      <c r="X67" s="169"/>
      <c r="Y67" s="169"/>
      <c r="Z67" s="170"/>
      <c r="AA67" s="169"/>
      <c r="AB67" s="169"/>
      <c r="AC67" s="169"/>
      <c r="AD67" s="169"/>
      <c r="AE67" s="169"/>
      <c r="AF67" s="169"/>
      <c r="AG67" s="169"/>
      <c r="AH67" s="170"/>
      <c r="AJ67" s="452">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48959</v>
      </c>
      <c r="AK67" s="452">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48959</v>
      </c>
      <c r="AL67" s="452">
        <f ca="1">IF(AND($D67="Serviço",AL$12&lt;&gt;0,$H67&gt;0,OR(AUTOEVENTO&lt;&gt;"manual",$M67&lt;&gt;$A$15)),
        IF(Import.TipoArredondamento&lt;&gt;"TransfereGOV",
              ROUND(OFFSET($P67,0,AL$13),15-13*ORÇAMENTO!$AF$7)/$H67*OFFSET(ORÇAMENTO!$X$15,ROW(AL67)-ROW(AL$15),0),
              ROUND(ROUND(OFFSET($P67,0,AL$13),15-13*ORÇAMENTO!$AF$7)*OFFSET(ORÇAMENTO!$W$15,ROW(AL67)-ROW(AL$15),0),15-13*ORÇAMENTO!$AF$11)),
         0)</f>
        <v>48959</v>
      </c>
      <c r="AM67" s="452">
        <f ca="1">IF(AND($D67="Serviço",AM$12&lt;&gt;0,$H67&gt;0,OR(AUTOEVENTO&lt;&gt;"manual",$M67&lt;&gt;$A$15)),
        IF(Import.TipoArredondamento&lt;&gt;"TransfereGOV",
              ROUND(OFFSET($P67,0,AM$13),15-13*ORÇAMENTO!$AF$7)/$H67*OFFSET(ORÇAMENTO!$X$15,ROW(AM67)-ROW(AM$15),0),
              ROUND(ROUND(OFFSET($P67,0,AM$13),15-13*ORÇAMENTO!$AF$7)*OFFSET(ORÇAMENTO!$W$15,ROW(AM67)-ROW(AM$15),0),15-13*ORÇAMENTO!$AF$11)),
         0)</f>
        <v>48959</v>
      </c>
      <c r="AN67" s="452">
        <f ca="1">IF(AND($D67="Serviço",AN$12&lt;&gt;0,$H67&gt;0,OR(AUTOEVENTO&lt;&gt;"manual",$M67&lt;&gt;$A$15)),
        IF(Import.TipoArredondamento&lt;&gt;"TransfereGOV",
              ROUND(OFFSET($P67,0,AN$13),15-13*ORÇAMENTO!$AF$7)/$H67*OFFSET(ORÇAMENTO!$X$15,ROW(AN67)-ROW(AN$15),0),
              ROUND(ROUND(OFFSET($P67,0,AN$13),15-13*ORÇAMENTO!$AF$7)*OFFSET(ORÇAMENTO!$W$15,ROW(AN67)-ROW(AN$15),0),15-13*ORÇAMENTO!$AF$11)),
         0)</f>
        <v>0</v>
      </c>
      <c r="AO67" s="452">
        <f ca="1">IF(AND($D67="Serviço",AO$12&lt;&gt;0,$H67&gt;0,OR(AUTOEVENTO&lt;&gt;"manual",$M67&lt;&gt;$A$15)),
        IF(Import.TipoArredondamento&lt;&gt;"TransfereGOV",
              ROUND(OFFSET($P67,0,AO$13),15-13*ORÇAMENTO!$AF$7)/$H67*OFFSET(ORÇAMENTO!$X$15,ROW(AO67)-ROW(AO$15),0),
              ROUND(ROUND(OFFSET($P67,0,AO$13),15-13*ORÇAMENTO!$AF$7)*OFFSET(ORÇAMENTO!$W$15,ROW(AO67)-ROW(AO$15),0),15-13*ORÇAMENTO!$AF$11)),
         0)</f>
        <v>0</v>
      </c>
      <c r="AP67" s="452">
        <f ca="1">IF(AND($D67="Serviço",AP$12&lt;&gt;0,$H67&gt;0,OR(AUTOEVENTO&lt;&gt;"manual",$M67&lt;&gt;$A$15)),
        IF(Import.TipoArredondamento&lt;&gt;"TransfereGOV",
              ROUND(OFFSET($P67,0,AP$13),15-13*ORÇAMENTO!$AF$7)/$H67*OFFSET(ORÇAMENTO!$X$15,ROW(AP67)-ROW(AP$15),0),
              ROUND(ROUND(OFFSET($P67,0,AP$13),15-13*ORÇAMENTO!$AF$7)*OFFSET(ORÇAMENTO!$W$15,ROW(AP67)-ROW(AP$15),0),15-13*ORÇAMENTO!$AF$11)),
         0)</f>
        <v>0</v>
      </c>
      <c r="AQ67" s="452">
        <f ca="1">IF(AND($D67="Serviço",AQ$12&lt;&gt;0,$H67&gt;0,OR(AUTOEVENTO&lt;&gt;"manual",$M67&lt;&gt;$A$15)),
        IF(Import.TipoArredondamento&lt;&gt;"TransfereGOV",
              ROUND(OFFSET($P67,0,AQ$13),15-13*ORÇAMENTO!$AF$7)/$H67*OFFSET(ORÇAMENTO!$X$15,ROW(AQ67)-ROW(AQ$15),0),
              ROUND(ROUND(OFFSET($P67,0,AQ$13),15-13*ORÇAMENTO!$AF$7)*OFFSET(ORÇAMENTO!$W$15,ROW(AQ67)-ROW(AQ$15),0),15-13*ORÇAMENTO!$AF$11)),
         0)</f>
        <v>0</v>
      </c>
      <c r="AR67" s="452">
        <f ca="1">IF(AND($D67="Serviço",AR$12&lt;&gt;0,$H67&gt;0,OR(AUTOEVENTO&lt;&gt;"manual",$M67&lt;&gt;$A$15)),
        IF(Import.TipoArredondamento&lt;&gt;"TransfereGOV",
              ROUND(OFFSET($P67,0,AR$13),15-13*ORÇAMENTO!$AF$7)/$H67*OFFSET(ORÇAMENTO!$X$15,ROW(AR67)-ROW(AR$15),0),
              ROUND(ROUND(OFFSET($P67,0,AR$13),15-13*ORÇAMENTO!$AF$7)*OFFSET(ORÇAMENTO!$W$15,ROW(AR67)-ROW(AR$15),0),15-13*ORÇAMENTO!$AF$11)),
         0)</f>
        <v>0</v>
      </c>
      <c r="AS67" s="452">
        <f ca="1">IF(AND($D67="Serviço",AS$12&lt;&gt;0,$H67&gt;0,OR(AUTOEVENTO&lt;&gt;"manual",$M67&lt;&gt;$A$15)),
        IF(Import.TipoArredondamento&lt;&gt;"TransfereGOV",
              ROUND(OFFSET($P67,0,AS$13),15-13*ORÇAMENTO!$AF$7)/$H67*OFFSET(ORÇAMENTO!$X$15,ROW(AS67)-ROW(AS$15),0),
              ROUND(ROUND(OFFSET($P67,0,AS$13),15-13*ORÇAMENTO!$AF$7)*OFFSET(ORÇAMENTO!$W$15,ROW(AS67)-ROW(AS$15),0),15-13*ORÇAMENTO!$AF$11)),
         0)</f>
        <v>0</v>
      </c>
      <c r="AT67" s="452">
        <f ca="1">IF(AND($D67="Serviço",AT$12&lt;&gt;0,$H67&gt;0,OR(AUTOEVENTO&lt;&gt;"manual",$M67&lt;&gt;$A$15)),
        IF(Import.TipoArredondamento&lt;&gt;"TransfereGOV",
              ROUND(OFFSET($P67,0,AT$13),15-13*ORÇAMENTO!$AF$7)/$H67*OFFSET(ORÇAMENTO!$X$15,ROW(AT67)-ROW(AT$15),0),
              ROUND(ROUND(OFFSET($P67,0,AT$13),15-13*ORÇAMENTO!$AF$7)*OFFSET(ORÇAMENTO!$W$15,ROW(AT67)-ROW(AT$15),0),15-13*ORÇAMENTO!$AF$11)),
         0)</f>
        <v>0</v>
      </c>
      <c r="AU67" s="452">
        <f ca="1">IF(AND($D67="Serviço",AU$12&lt;&gt;0,$H67&gt;0,OR(AUTOEVENTO&lt;&gt;"manual",$M67&lt;&gt;$A$15)),
        IF(Import.TipoArredondamento&lt;&gt;"TransfereGOV",
              ROUND(OFFSET($P67,0,AU$13),15-13*ORÇAMENTO!$AF$7)/$H67*OFFSET(ORÇAMENTO!$X$15,ROW(AU67)-ROW(AU$15),0),
              ROUND(ROUND(OFFSET($P67,0,AU$13),15-13*ORÇAMENTO!$AF$7)*OFFSET(ORÇAMENTO!$W$15,ROW(AU67)-ROW(AU$15),0),15-13*ORÇAMENTO!$AF$11)),
         0)</f>
        <v>0</v>
      </c>
      <c r="AV67" s="452">
        <f ca="1">IF(AND($D67="Serviço",AV$12&lt;&gt;0,$H67&gt;0,OR(AUTOEVENTO&lt;&gt;"manual",$M67&lt;&gt;$A$15)),
        IF(Import.TipoArredondamento&lt;&gt;"TransfereGOV",
              ROUND(OFFSET($P67,0,AV$13),15-13*ORÇAMENTO!$AF$7)/$H67*OFFSET(ORÇAMENTO!$X$15,ROW(AV67)-ROW(AV$15),0),
              ROUND(ROUND(OFFSET($P67,0,AV$13),15-13*ORÇAMENTO!$AF$7)*OFFSET(ORÇAMENTO!$W$15,ROW(AV67)-ROW(AV$15),0),15-13*ORÇAMENTO!$AF$11)),
         0)</f>
        <v>0</v>
      </c>
      <c r="AW67" s="452">
        <f ca="1">IF(AND($D67="Serviço",AW$12&lt;&gt;0,$H67&gt;0,OR(AUTOEVENTO&lt;&gt;"manual",$M67&lt;&gt;$A$15)),
        IF(Import.TipoArredondamento&lt;&gt;"TransfereGOV",
              ROUND(OFFSET($P67,0,AW$13),15-13*ORÇAMENTO!$AF$7)/$H67*OFFSET(ORÇAMENTO!$X$15,ROW(AW67)-ROW(AW$15),0),
              ROUND(ROUND(OFFSET($P67,0,AW$13),15-13*ORÇAMENTO!$AF$7)*OFFSET(ORÇAMENTO!$W$15,ROW(AW67)-ROW(AW$15),0),15-13*ORÇAMENTO!$AF$11)),
         0)</f>
        <v>0</v>
      </c>
      <c r="AX67" s="452">
        <f ca="1">IF(AND($D67="Serviço",AX$12&lt;&gt;0,$H67&gt;0,OR(AUTOEVENTO&lt;&gt;"manual",$M67&lt;&gt;$A$15)),
        IF(Import.TipoArredondamento&lt;&gt;"TransfereGOV",
              ROUND(OFFSET($P67,0,AX$13),15-13*ORÇAMENTO!$AF$7)/$H67*OFFSET(ORÇAMENTO!$X$15,ROW(AX67)-ROW(AX$15),0),
              ROUND(ROUND(OFFSET($P67,0,AX$13),15-13*ORÇAMENTO!$AF$7)*OFFSET(ORÇAMENTO!$W$15,ROW(AX67)-ROW(AX$15),0),15-13*ORÇAMENTO!$AF$11)),
         0)</f>
        <v>0</v>
      </c>
      <c r="AY67" s="452">
        <f ca="1">IF(AND($D67="Serviço",AY$12&lt;&gt;0,$H67&gt;0,OR(AUTOEVENTO&lt;&gt;"manual",$M67&lt;&gt;$A$15)),
        IF(Import.TipoArredondamento&lt;&gt;"TransfereGOV",
              ROUND(OFFSET($P67,0,AY$13),15-13*ORÇAMENTO!$AF$7)/$H67*OFFSET(ORÇAMENTO!$X$15,ROW(AY67)-ROW(AY$15),0),
              ROUND(ROUND(OFFSET($P67,0,AY$13),15-13*ORÇAMENTO!$AF$7)*OFFSET(ORÇAMENTO!$W$15,ROW(AY67)-ROW(AY$15),0),15-13*ORÇAMENTO!$AF$11)),
         0)</f>
        <v>0</v>
      </c>
      <c r="AZ67" s="452">
        <f ca="1">IF(AND($D67="Serviço",AZ$12&lt;&gt;0,$H67&gt;0,OR(AUTOEVENTO&lt;&gt;"manual",$M67&lt;&gt;$A$15)),
        IF(Import.TipoArredondamento&lt;&gt;"TransfereGOV",
              ROUND(OFFSET($P67,0,AZ$13),15-13*ORÇAMENTO!$AF$7)/$H67*OFFSET(ORÇAMENTO!$X$15,ROW(AZ67)-ROW(AZ$15),0),
              ROUND(ROUND(OFFSET($P67,0,AZ$13),15-13*ORÇAMENTO!$AF$7)*OFFSET(ORÇAMENTO!$W$15,ROW(AZ67)-ROW(AZ$15),0),15-13*ORÇAMENTO!$AF$11)),
         0)</f>
        <v>0</v>
      </c>
      <c r="BA67" s="452">
        <f ca="1">IF(AND($D67="Serviço",BA$12&lt;&gt;0,$H67&gt;0,OR(AUTOEVENTO&lt;&gt;"manual",$M67&lt;&gt;$A$15)),
        IF(Import.TipoArredondamento&lt;&gt;"TransfereGOV",
              ROUND(OFFSET($P67,0,BA$13),15-13*ORÇAMENTO!$AF$7)/$H67*OFFSET(ORÇAMENTO!$X$15,ROW(BA67)-ROW(BA$15),0),
              ROUND(ROUND(OFFSET($P67,0,BA$13),15-13*ORÇAMENTO!$AF$7)*OFFSET(ORÇAMENTO!$W$15,ROW(BA67)-ROW(BA$15),0),15-13*ORÇAMENTO!$AF$11)),
         0)</f>
        <v>0</v>
      </c>
      <c r="BC67" s="171">
        <f ca="1">IF(OR($D67&lt;&gt;"Serviço",AND(AUTOEVENTO="Manual",$M67=$A$15)),0,
         IF(OFFSET(CRONOPLE!$F$15,$M67-$A$15,BC$13)=0,10^12,OFFSET(CRONOPLE!$F$15,$M67-$A$15,BC$13)))</f>
        <v>3</v>
      </c>
      <c r="BD67" s="171">
        <f ca="1">IF(OR($D67&lt;&gt;"Serviço",AND(AUTOEVENTO="Manual",$M67=$A$15)),0,
         IF(OFFSET(CRONOPLE!$F$15,$M67-$A$15,BD$13)=0,10^12,OFFSET(CRONOPLE!$F$15,$M67-$A$15,BD$13)))</f>
        <v>3</v>
      </c>
      <c r="BE67" s="171">
        <f ca="1">IF(OR($D67&lt;&gt;"Serviço",AND(AUTOEVENTO="Manual",$M67=$A$15)),0,
         IF(OFFSET(CRONOPLE!$F$15,$M67-$A$15,BE$13)=0,10^12,OFFSET(CRONOPLE!$F$15,$M67-$A$15,BE$13)))</f>
        <v>4</v>
      </c>
      <c r="BF67" s="171">
        <f ca="1">IF(OR($D67&lt;&gt;"Serviço",AND(AUTOEVENTO="Manual",$M67=$A$15)),0,
         IF(OFFSET(CRONOPLE!$F$15,$M67-$A$15,BF$13)=0,10^12,OFFSET(CRONOPLE!$F$15,$M67-$A$15,BF$13)))</f>
        <v>4</v>
      </c>
      <c r="BG67" s="171">
        <f ca="1">IF(OR($D67&lt;&gt;"Serviço",AND(AUTOEVENTO="Manual",$M67=$A$15)),0,
         IF(OFFSET(CRONOPLE!$F$15,$M67-$A$15,BG$13)=0,10^12,OFFSET(CRONOPLE!$F$15,$M67-$A$15,BG$13)))</f>
        <v>4</v>
      </c>
      <c r="BH67" s="171">
        <f ca="1">IF(OR($D67&lt;&gt;"Serviço",AND(AUTOEVENTO="Manual",$M67=$A$15)),0,
         IF(OFFSET(CRONOPLE!$F$15,$M67-$A$15,BH$13)=0,10^12,OFFSET(CRONOPLE!$F$15,$M67-$A$15,BH$13)))</f>
        <v>1000000000000</v>
      </c>
      <c r="BI67" s="171">
        <f ca="1">IF(OR($D67&lt;&gt;"Serviço",AND(AUTOEVENTO="Manual",$M67=$A$15)),0,
         IF(OFFSET(CRONOPLE!$F$15,$M67-$A$15,BI$13)=0,10^12,OFFSET(CRONOPLE!$F$15,$M67-$A$15,BI$13)))</f>
        <v>7</v>
      </c>
      <c r="BJ67" s="171">
        <f ca="1">IF(OR($D67&lt;&gt;"Serviço",AND(AUTOEVENTO="Manual",$M67=$A$15)),0,
         IF(OFFSET(CRONOPLE!$F$15,$M67-$A$15,BJ$13)=0,10^12,OFFSET(CRONOPLE!$F$15,$M67-$A$15,BJ$13)))</f>
        <v>8</v>
      </c>
      <c r="BK67" s="171">
        <f ca="1">IF(OR($D67&lt;&gt;"Serviço",AND(AUTOEVENTO="Manual",$M67=$A$15)),0,
         IF(OFFSET(CRONOPLE!$F$15,$M67-$A$15,BK$13)=0,10^12,OFFSET(CRONOPLE!$F$15,$M67-$A$15,BK$13)))</f>
        <v>1000000000000</v>
      </c>
      <c r="BL67" s="171">
        <f ca="1">IF(OR($D67&lt;&gt;"Serviço",AND(AUTOEVENTO="Manual",$M67=$A$15)),0,
         IF(OFFSET(CRONOPLE!$F$15,$M67-$A$15,BL$13)=0,10^12,OFFSET(CRONOPLE!$F$15,$M67-$A$15,BL$13)))</f>
        <v>1000000000000</v>
      </c>
      <c r="BM67" s="171">
        <f ca="1">IF(OR($D67&lt;&gt;"Serviço",AND(AUTOEVENTO="Manual",$M67=$A$15)),0,
         IF(OFFSET(CRONOPLE!$F$15,$M67-$A$15,BM$13)=0,10^12,OFFSET(CRONOPLE!$F$15,$M67-$A$15,BM$13)))</f>
        <v>1000000000000</v>
      </c>
      <c r="BN67" s="171">
        <f ca="1">IF(OR($D67&lt;&gt;"Serviço",AND(AUTOEVENTO="Manual",$M67=$A$15)),0,
         IF(OFFSET(CRONOPLE!$F$15,$M67-$A$15,BN$13)=0,10^12,OFFSET(CRONOPLE!$F$15,$M67-$A$15,BN$13)))</f>
        <v>1000000000000</v>
      </c>
      <c r="BO67" s="171">
        <f ca="1">IF(OR($D67&lt;&gt;"Serviço",AND(AUTOEVENTO="Manual",$M67=$A$15)),0,
         IF(OFFSET(CRONOPLE!$F$15,$M67-$A$15,BO$13)=0,10^12,OFFSET(CRONOPLE!$F$15,$M67-$A$15,BO$13)))</f>
        <v>1000000000000</v>
      </c>
      <c r="BP67" s="171">
        <f ca="1">IF(OR($D67&lt;&gt;"Serviço",AND(AUTOEVENTO="Manual",$M67=$A$15)),0,
         IF(OFFSET(CRONOPLE!$F$15,$M67-$A$15,BP$13)=0,10^12,OFFSET(CRONOPLE!$F$15,$M67-$A$15,BP$13)))</f>
        <v>1000000000000</v>
      </c>
      <c r="BQ67" s="171">
        <f ca="1">IF(OR($D67&lt;&gt;"Serviço",AND(AUTOEVENTO="Manual",$M67=$A$15)),0,
         IF(OFFSET(CRONOPLE!$F$15,$M67-$A$15,BQ$13)=0,10^12,OFFSET(CRONOPLE!$F$15,$M67-$A$15,BQ$13)))</f>
        <v>1000000000000</v>
      </c>
      <c r="BR67" s="171">
        <f ca="1">IF(OR($D67&lt;&gt;"Serviço",AND(AUTOEVENTO="Manual",$M67=$A$15)),0,
         IF(OFFSET(CRONOPLE!$F$15,$M67-$A$15,BR$13)=0,10^12,OFFSET(CRONOPLE!$F$15,$M67-$A$15,BR$13)))</f>
        <v>1000000000000</v>
      </c>
      <c r="BS67" s="171">
        <f ca="1">IF(OR($D67&lt;&gt;"Serviço",AND(AUTOEVENTO="Manual",$M67=$A$15)),0,
         IF(OFFSET(CRONOPLE!$F$15,$M67-$A$15,BS$13)=0,10^12,OFFSET(CRONOPLE!$F$15,$M67-$A$15,BS$13)))</f>
        <v>1000000000000</v>
      </c>
      <c r="BT67" s="171">
        <f ca="1">IF(OR($D67&lt;&gt;"Serviço",AND(AUTOEVENTO="Manual",$M67=$A$15)),0,
         IF(OFFSET(CRONOPLE!$F$15,$M67-$A$15,BT$13)=0,10^12,OFFSET(CRONOPLE!$F$15,$M67-$A$15,BT$13)))</f>
        <v>1000000000000</v>
      </c>
      <c r="BV67" s="172">
        <f t="array" aca="1" ref="BV67" ca="1">IF(OR($D67&lt;&gt;"Serviço",AND(AUTOEVENTO="Manual",$M67=$A$15),$M67&gt;(ROW(PLE.lastrow)-ROW(PLE.firstrow))),0,
           IF(OFFSET(PLE!$G$15,$M67-$A$15,BV$13)="",10^12,OFFSET(PLE!$G$15,$M67-$A$15,BV$13)))</f>
        <v>1000000000000</v>
      </c>
      <c r="BW67" s="172">
        <f t="array" aca="1" ref="BW67" ca="1">IF(OR($D67&lt;&gt;"Serviço",AND(AUTOEVENTO="Manual",$M67=$A$15),$M67&gt;(ROW(PLE.lastrow)-ROW(PLE.firstrow))),0,
           IF(OFFSET(PLE!$G$15,$M67-$A$15,BW$13)="",10^12,OFFSET(PLE!$G$15,$M67-$A$15,BW$13)))</f>
        <v>1000000000000</v>
      </c>
      <c r="BX67" s="172">
        <f t="array" aca="1" ref="BX67" ca="1">IF(OR($D67&lt;&gt;"Serviço",AND(AUTOEVENTO="Manual",$M67=$A$15),$M67&gt;(ROW(PLE.lastrow)-ROW(PLE.firstrow))),0,
           IF(OFFSET(PLE!$G$15,$M67-$A$15,BX$13)="",10^12,OFFSET(PLE!$G$15,$M67-$A$15,BX$13)))</f>
        <v>1000000000000</v>
      </c>
      <c r="BY67" s="172">
        <f t="array" aca="1" ref="BY67" ca="1">IF(OR($D67&lt;&gt;"Serviço",AND(AUTOEVENTO="Manual",$M67=$A$15),$M67&gt;(ROW(PLE.lastrow)-ROW(PLE.firstrow))),0,
           IF(OFFSET(PLE!$G$15,$M67-$A$15,BY$13)="",10^12,OFFSET(PLE!$G$15,$M67-$A$15,BY$13)))</f>
        <v>1000000000000</v>
      </c>
      <c r="BZ67" s="172">
        <f t="array" aca="1" ref="BZ67" ca="1">IF(OR($D67&lt;&gt;"Serviço",AND(AUTOEVENTO="Manual",$M67=$A$15),$M67&gt;(ROW(PLE.lastrow)-ROW(PLE.firstrow))),0,
           IF(OFFSET(PLE!$G$15,$M67-$A$15,BZ$13)="",10^12,OFFSET(PLE!$G$15,$M67-$A$15,BZ$13)))</f>
        <v>1000000000000</v>
      </c>
      <c r="CA67" s="172">
        <f t="array" aca="1" ref="CA67" ca="1">IF(OR($D67&lt;&gt;"Serviço",AND(AUTOEVENTO="Manual",$M67=$A$15),$M67&gt;(ROW(PLE.lastrow)-ROW(PLE.firstrow))),0,
           IF(OFFSET(PLE!$G$15,$M67-$A$15,CA$13)="",10^12,OFFSET(PLE!$G$15,$M67-$A$15,CA$13)))</f>
        <v>1000000000000</v>
      </c>
      <c r="CB67" s="172">
        <f t="array" aca="1" ref="CB67" ca="1">IF(OR($D67&lt;&gt;"Serviço",AND(AUTOEVENTO="Manual",$M67=$A$15),$M67&gt;(ROW(PLE.lastrow)-ROW(PLE.firstrow))),0,
           IF(OFFSET(PLE!$G$15,$M67-$A$15,CB$13)="",10^12,OFFSET(PLE!$G$15,$M67-$A$15,CB$13)))</f>
        <v>1000000000000</v>
      </c>
      <c r="CC67" s="172">
        <f t="array" aca="1" ref="CC67" ca="1">IF(OR($D67&lt;&gt;"Serviço",AND(AUTOEVENTO="Manual",$M67=$A$15),$M67&gt;(ROW(PLE.lastrow)-ROW(PLE.firstrow))),0,
           IF(OFFSET(PLE!$G$15,$M67-$A$15,CC$13)="",10^12,OFFSET(PLE!$G$15,$M67-$A$15,CC$13)))</f>
        <v>1000000000000</v>
      </c>
      <c r="CD67" s="172">
        <f t="array" aca="1" ref="CD67" ca="1">IF(OR($D67&lt;&gt;"Serviço",AND(AUTOEVENTO="Manual",$M67=$A$15),$M67&gt;(ROW(PLE.lastrow)-ROW(PLE.firstrow))),0,
           IF(OFFSET(PLE!$G$15,$M67-$A$15,CD$13)="",10^12,OFFSET(PLE!$G$15,$M67-$A$15,CD$13)))</f>
        <v>1000000000000</v>
      </c>
      <c r="CE67" s="172">
        <f t="array" aca="1" ref="CE67" ca="1">IF(OR($D67&lt;&gt;"Serviço",AND(AUTOEVENTO="Manual",$M67=$A$15),$M67&gt;(ROW(PLE.lastrow)-ROW(PLE.firstrow))),0,
           IF(OFFSET(PLE!$G$15,$M67-$A$15,CE$13)="",10^12,OFFSET(PLE!$G$15,$M67-$A$15,CE$13)))</f>
        <v>1000000000000</v>
      </c>
      <c r="CF67" s="172">
        <f t="array" aca="1" ref="CF67" ca="1">IF(OR($D67&lt;&gt;"Serviço",AND(AUTOEVENTO="Manual",$M67=$A$15),$M67&gt;(ROW(PLE.lastrow)-ROW(PLE.firstrow))),0,
           IF(OFFSET(PLE!$G$15,$M67-$A$15,CF$13)="",10^12,OFFSET(PLE!$G$15,$M67-$A$15,CF$13)))</f>
        <v>1000000000000</v>
      </c>
      <c r="CG67" s="172">
        <f t="array" aca="1" ref="CG67" ca="1">IF(OR($D67&lt;&gt;"Serviço",AND(AUTOEVENTO="Manual",$M67=$A$15),$M67&gt;(ROW(PLE.lastrow)-ROW(PLE.firstrow))),0,
           IF(OFFSET(PLE!$G$15,$M67-$A$15,CG$13)="",10^12,OFFSET(PLE!$G$15,$M67-$A$15,CG$13)))</f>
        <v>1000000000000</v>
      </c>
      <c r="CH67" s="172">
        <f t="array" aca="1" ref="CH67" ca="1">IF(OR($D67&lt;&gt;"Serviço",AND(AUTOEVENTO="Manual",$M67=$A$15),$M67&gt;(ROW(PLE.lastrow)-ROW(PLE.firstrow))),0,
           IF(OFFSET(PLE!$G$15,$M67-$A$15,CH$13)="",10^12,OFFSET(PLE!$G$15,$M67-$A$15,CH$13)))</f>
        <v>1000000000000</v>
      </c>
      <c r="CI67" s="172">
        <f t="array" aca="1" ref="CI67" ca="1">IF(OR($D67&lt;&gt;"Serviço",AND(AUTOEVENTO="Manual",$M67=$A$15),$M67&gt;(ROW(PLE.lastrow)-ROW(PLE.firstrow))),0,
           IF(OFFSET(PLE!$G$15,$M67-$A$15,CI$13)="",10^12,OFFSET(PLE!$G$15,$M67-$A$15,CI$13)))</f>
        <v>1000000000000</v>
      </c>
      <c r="CJ67" s="172">
        <f t="array" aca="1" ref="CJ67" ca="1">IF(OR($D67&lt;&gt;"Serviço",AND(AUTOEVENTO="Manual",$M67=$A$15),$M67&gt;(ROW(PLE.lastrow)-ROW(PLE.firstrow))),0,
           IF(OFFSET(PLE!$G$15,$M67-$A$15,CJ$13)="",10^12,OFFSET(PLE!$G$15,$M67-$A$15,CJ$13)))</f>
        <v>1000000000000</v>
      </c>
      <c r="CK67" s="172">
        <f t="array" aca="1" ref="CK67" ca="1">IF(OR($D67&lt;&gt;"Serviço",AND(AUTOEVENTO="Manual",$M67=$A$15),$M67&gt;(ROW(PLE.lastrow)-ROW(PLE.firstrow))),0,
           IF(OFFSET(PLE!$G$15,$M67-$A$15,CK$13)="",10^12,OFFSET(PLE!$G$15,$M67-$A$15,CK$13)))</f>
        <v>1000000000000</v>
      </c>
      <c r="CL67" s="172">
        <f t="array" aca="1" ref="CL67" ca="1">IF(OR($D67&lt;&gt;"Serviço",AND(AUTOEVENTO="Manual",$M67=$A$15),$M67&gt;(ROW(PLE.lastrow)-ROW(PLE.firstrow))),0,
           IF(OFFSET(PLE!$G$15,$M67-$A$15,CL$13)="",10^12,OFFSET(PLE!$G$15,$M67-$A$15,CL$13)))</f>
        <v>1000000000000</v>
      </c>
      <c r="CM67" s="172">
        <f t="array" aca="1" ref="CM67" ca="1">IF(OR($D67&lt;&gt;"Serviço",AND(AUTOEVENTO="Manual",$M67=$A$15),$M67&gt;(ROW(PLE.lastrow)-ROW(PLE.firstrow))),0,
           IF(OFFSET(PLE!$G$15,$M67-$A$15,CM$13)="",10^12,OFFSET(PLE!$G$15,$M67-$A$15,CM$13)))</f>
        <v>1000000000000</v>
      </c>
    </row>
    <row r="68" spans="1:91" s="696" customFormat="1" ht="12.75" x14ac:dyDescent="0.2">
      <c r="A68" s="694">
        <f t="shared" ca="1" si="10"/>
        <v>0</v>
      </c>
      <c r="B68" s="694">
        <f ca="1">OFFSET(ORÇAMENTO!C$15,$L68,0)</f>
        <v>2</v>
      </c>
      <c r="C68" s="694" t="str">
        <f ca="1">OFFSET(ORÇAMENTO!L$15,$L68,0)</f>
        <v>F</v>
      </c>
      <c r="D68" s="116" t="str">
        <f ca="1">OFFSET(ORÇAMENTO!N$15,$L68,0)</f>
        <v>Nível 2</v>
      </c>
      <c r="E68" s="117" t="str">
        <f ca="1">OFFSET(ORÇAMENTO!O$15,$L68,0)</f>
        <v>1.9.</v>
      </c>
      <c r="F68" s="163" t="str">
        <f ca="1">OFFSET(ORÇAMENTO!R$15,$L68,0)</f>
        <v>VERGAS E CONTRAVERGAS</v>
      </c>
      <c r="G68" s="164" t="str">
        <f ca="1">IF($D68&lt;&gt;"Serviço","",OFFSET(ORÇAMENTO!S$15,$L68,0))</f>
        <v/>
      </c>
      <c r="H68" s="122">
        <f t="array" aca="1" ref="H68" ca="1">IF($D68&lt;&gt;"Serviço",0,IF(ACOMPANHAMENTO="BM",ROUND(OFFSET(ORÇAMENTO!AJ$15,$L68,0),15-13*ORÇAMENTO!$AF$7),IF(IFERROR(CÁLCULO.FrentesPreenchidas,0)=0,0,SUM(ROUND(OFFSET($P68,0,1,1,CÁLCULO.FrentesPreenchidas),15-13*ORÇAMENTO!$AF$7)))))</f>
        <v>0</v>
      </c>
      <c r="I68" s="467"/>
      <c r="J68" s="653" t="str">
        <f t="array" aca="1" ref="J68" ca="1">IF(OR(B68&lt;&gt;"S",CÁLCULO.FrentesPreenchidas=0),"",IF(AND(ACOMPANHAMENTO="PLE",AUTOEVENTO="Manual",OR(H68&gt;0,ORÇAMENTO!AC68="QUANT."),OR(K68="",M68=0,N68="")),"►E",IF(AND(ACOMPANHAMENTO="PLE",ORÇAMENTO!AC68="QUANT."),"►Q",IF(AND(ACOMPANHAMENTO="PLE",H68&lt;&gt;SUMPRODUCT(($Q$1:$AI$1=1)*ROUND(Q68:AI68,15))),"►S",IF(AND(COUNTIF($P$11:$AI$11,"▼")=0,H68&gt;0,I68=""),"◄M","")))))</f>
        <v/>
      </c>
      <c r="K68" s="654"/>
      <c r="L68" s="165">
        <f t="shared" ca="1" si="11"/>
        <v>53</v>
      </c>
      <c r="M68" s="166" t="str">
        <f ca="1">IF($D68&lt;&gt;"Serviço","",
          IF(AUTOEVENTO="manual",$A68,
                IF(ISERROR(MATCH($A68,$A$15:OFFSET($A68,-1,0),0)),MAX($M$15:OFFSET(M68,-1,0))+1,
                      INDEX($M$15:OFFSET(M68,-1,0),MATCH($A68,$A$15:OFFSET($A68,-1,0),0)))))</f>
        <v/>
      </c>
      <c r="N68" s="167" t="str">
        <f ca="1">IF($D68&lt;&gt;"Serviço","",
         IF(AUTOEVENTO="Manual",
                IF($A68=0,"&lt;-- defina o número do agrupador",
                       OFFSET(EVENTOS!$D$15,$A68-$A$15,0)),
                OFFSET($F$15,$A68,0)))</f>
        <v/>
      </c>
      <c r="O68" s="168"/>
      <c r="Q68" s="169"/>
      <c r="R68" s="169"/>
      <c r="S68" s="169"/>
      <c r="T68" s="169"/>
      <c r="U68" s="169"/>
      <c r="V68" s="169"/>
      <c r="W68" s="169"/>
      <c r="X68" s="169"/>
      <c r="Y68" s="169"/>
      <c r="Z68" s="170"/>
      <c r="AA68" s="169"/>
      <c r="AB68" s="169"/>
      <c r="AC68" s="169"/>
      <c r="AD68" s="169"/>
      <c r="AE68" s="169"/>
      <c r="AF68" s="169"/>
      <c r="AG68" s="169"/>
      <c r="AH68" s="170"/>
      <c r="AJ68" s="452">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2">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L68" s="452">
        <f ca="1">IF(AND($D68="Serviço",AL$12&lt;&gt;0,$H68&gt;0,OR(AUTOEVENTO&lt;&gt;"manual",$M68&lt;&gt;$A$15)),
        IF(Import.TipoArredondamento&lt;&gt;"TransfereGOV",
              ROUND(OFFSET($P68,0,AL$13),15-13*ORÇAMENTO!$AF$7)/$H68*OFFSET(ORÇAMENTO!$X$15,ROW(AL68)-ROW(AL$15),0),
              ROUND(ROUND(OFFSET($P68,0,AL$13),15-13*ORÇAMENTO!$AF$7)*OFFSET(ORÇAMENTO!$W$15,ROW(AL68)-ROW(AL$15),0),15-13*ORÇAMENTO!$AF$11)),
         0)</f>
        <v>0</v>
      </c>
      <c r="AM68" s="452">
        <f ca="1">IF(AND($D68="Serviço",AM$12&lt;&gt;0,$H68&gt;0,OR(AUTOEVENTO&lt;&gt;"manual",$M68&lt;&gt;$A$15)),
        IF(Import.TipoArredondamento&lt;&gt;"TransfereGOV",
              ROUND(OFFSET($P68,0,AM$13),15-13*ORÇAMENTO!$AF$7)/$H68*OFFSET(ORÇAMENTO!$X$15,ROW(AM68)-ROW(AM$15),0),
              ROUND(ROUND(OFFSET($P68,0,AM$13),15-13*ORÇAMENTO!$AF$7)*OFFSET(ORÇAMENTO!$W$15,ROW(AM68)-ROW(AM$15),0),15-13*ORÇAMENTO!$AF$11)),
         0)</f>
        <v>0</v>
      </c>
      <c r="AN68" s="452">
        <f ca="1">IF(AND($D68="Serviço",AN$12&lt;&gt;0,$H68&gt;0,OR(AUTOEVENTO&lt;&gt;"manual",$M68&lt;&gt;$A$15)),
        IF(Import.TipoArredondamento&lt;&gt;"TransfereGOV",
              ROUND(OFFSET($P68,0,AN$13),15-13*ORÇAMENTO!$AF$7)/$H68*OFFSET(ORÇAMENTO!$X$15,ROW(AN68)-ROW(AN$15),0),
              ROUND(ROUND(OFFSET($P68,0,AN$13),15-13*ORÇAMENTO!$AF$7)*OFFSET(ORÇAMENTO!$W$15,ROW(AN68)-ROW(AN$15),0),15-13*ORÇAMENTO!$AF$11)),
         0)</f>
        <v>0</v>
      </c>
      <c r="AO68" s="452">
        <f ca="1">IF(AND($D68="Serviço",AO$12&lt;&gt;0,$H68&gt;0,OR(AUTOEVENTO&lt;&gt;"manual",$M68&lt;&gt;$A$15)),
        IF(Import.TipoArredondamento&lt;&gt;"TransfereGOV",
              ROUND(OFFSET($P68,0,AO$13),15-13*ORÇAMENTO!$AF$7)/$H68*OFFSET(ORÇAMENTO!$X$15,ROW(AO68)-ROW(AO$15),0),
              ROUND(ROUND(OFFSET($P68,0,AO$13),15-13*ORÇAMENTO!$AF$7)*OFFSET(ORÇAMENTO!$W$15,ROW(AO68)-ROW(AO$15),0),15-13*ORÇAMENTO!$AF$11)),
         0)</f>
        <v>0</v>
      </c>
      <c r="AP68" s="452">
        <f ca="1">IF(AND($D68="Serviço",AP$12&lt;&gt;0,$H68&gt;0,OR(AUTOEVENTO&lt;&gt;"manual",$M68&lt;&gt;$A$15)),
        IF(Import.TipoArredondamento&lt;&gt;"TransfereGOV",
              ROUND(OFFSET($P68,0,AP$13),15-13*ORÇAMENTO!$AF$7)/$H68*OFFSET(ORÇAMENTO!$X$15,ROW(AP68)-ROW(AP$15),0),
              ROUND(ROUND(OFFSET($P68,0,AP$13),15-13*ORÇAMENTO!$AF$7)*OFFSET(ORÇAMENTO!$W$15,ROW(AP68)-ROW(AP$15),0),15-13*ORÇAMENTO!$AF$11)),
         0)</f>
        <v>0</v>
      </c>
      <c r="AQ68" s="452">
        <f ca="1">IF(AND($D68="Serviço",AQ$12&lt;&gt;0,$H68&gt;0,OR(AUTOEVENTO&lt;&gt;"manual",$M68&lt;&gt;$A$15)),
        IF(Import.TipoArredondamento&lt;&gt;"TransfereGOV",
              ROUND(OFFSET($P68,0,AQ$13),15-13*ORÇAMENTO!$AF$7)/$H68*OFFSET(ORÇAMENTO!$X$15,ROW(AQ68)-ROW(AQ$15),0),
              ROUND(ROUND(OFFSET($P68,0,AQ$13),15-13*ORÇAMENTO!$AF$7)*OFFSET(ORÇAMENTO!$W$15,ROW(AQ68)-ROW(AQ$15),0),15-13*ORÇAMENTO!$AF$11)),
         0)</f>
        <v>0</v>
      </c>
      <c r="AR68" s="452">
        <f ca="1">IF(AND($D68="Serviço",AR$12&lt;&gt;0,$H68&gt;0,OR(AUTOEVENTO&lt;&gt;"manual",$M68&lt;&gt;$A$15)),
        IF(Import.TipoArredondamento&lt;&gt;"TransfereGOV",
              ROUND(OFFSET($P68,0,AR$13),15-13*ORÇAMENTO!$AF$7)/$H68*OFFSET(ORÇAMENTO!$X$15,ROW(AR68)-ROW(AR$15),0),
              ROUND(ROUND(OFFSET($P68,0,AR$13),15-13*ORÇAMENTO!$AF$7)*OFFSET(ORÇAMENTO!$W$15,ROW(AR68)-ROW(AR$15),0),15-13*ORÇAMENTO!$AF$11)),
         0)</f>
        <v>0</v>
      </c>
      <c r="AS68" s="452">
        <f ca="1">IF(AND($D68="Serviço",AS$12&lt;&gt;0,$H68&gt;0,OR(AUTOEVENTO&lt;&gt;"manual",$M68&lt;&gt;$A$15)),
        IF(Import.TipoArredondamento&lt;&gt;"TransfereGOV",
              ROUND(OFFSET($P68,0,AS$13),15-13*ORÇAMENTO!$AF$7)/$H68*OFFSET(ORÇAMENTO!$X$15,ROW(AS68)-ROW(AS$15),0),
              ROUND(ROUND(OFFSET($P68,0,AS$13),15-13*ORÇAMENTO!$AF$7)*OFFSET(ORÇAMENTO!$W$15,ROW(AS68)-ROW(AS$15),0),15-13*ORÇAMENTO!$AF$11)),
         0)</f>
        <v>0</v>
      </c>
      <c r="AT68" s="452">
        <f ca="1">IF(AND($D68="Serviço",AT$12&lt;&gt;0,$H68&gt;0,OR(AUTOEVENTO&lt;&gt;"manual",$M68&lt;&gt;$A$15)),
        IF(Import.TipoArredondamento&lt;&gt;"TransfereGOV",
              ROUND(OFFSET($P68,0,AT$13),15-13*ORÇAMENTO!$AF$7)/$H68*OFFSET(ORÇAMENTO!$X$15,ROW(AT68)-ROW(AT$15),0),
              ROUND(ROUND(OFFSET($P68,0,AT$13),15-13*ORÇAMENTO!$AF$7)*OFFSET(ORÇAMENTO!$W$15,ROW(AT68)-ROW(AT$15),0),15-13*ORÇAMENTO!$AF$11)),
         0)</f>
        <v>0</v>
      </c>
      <c r="AU68" s="452">
        <f ca="1">IF(AND($D68="Serviço",AU$12&lt;&gt;0,$H68&gt;0,OR(AUTOEVENTO&lt;&gt;"manual",$M68&lt;&gt;$A$15)),
        IF(Import.TipoArredondamento&lt;&gt;"TransfereGOV",
              ROUND(OFFSET($P68,0,AU$13),15-13*ORÇAMENTO!$AF$7)/$H68*OFFSET(ORÇAMENTO!$X$15,ROW(AU68)-ROW(AU$15),0),
              ROUND(ROUND(OFFSET($P68,0,AU$13),15-13*ORÇAMENTO!$AF$7)*OFFSET(ORÇAMENTO!$W$15,ROW(AU68)-ROW(AU$15),0),15-13*ORÇAMENTO!$AF$11)),
         0)</f>
        <v>0</v>
      </c>
      <c r="AV68" s="452">
        <f ca="1">IF(AND($D68="Serviço",AV$12&lt;&gt;0,$H68&gt;0,OR(AUTOEVENTO&lt;&gt;"manual",$M68&lt;&gt;$A$15)),
        IF(Import.TipoArredondamento&lt;&gt;"TransfereGOV",
              ROUND(OFFSET($P68,0,AV$13),15-13*ORÇAMENTO!$AF$7)/$H68*OFFSET(ORÇAMENTO!$X$15,ROW(AV68)-ROW(AV$15),0),
              ROUND(ROUND(OFFSET($P68,0,AV$13),15-13*ORÇAMENTO!$AF$7)*OFFSET(ORÇAMENTO!$W$15,ROW(AV68)-ROW(AV$15),0),15-13*ORÇAMENTO!$AF$11)),
         0)</f>
        <v>0</v>
      </c>
      <c r="AW68" s="452">
        <f ca="1">IF(AND($D68="Serviço",AW$12&lt;&gt;0,$H68&gt;0,OR(AUTOEVENTO&lt;&gt;"manual",$M68&lt;&gt;$A$15)),
        IF(Import.TipoArredondamento&lt;&gt;"TransfereGOV",
              ROUND(OFFSET($P68,0,AW$13),15-13*ORÇAMENTO!$AF$7)/$H68*OFFSET(ORÇAMENTO!$X$15,ROW(AW68)-ROW(AW$15),0),
              ROUND(ROUND(OFFSET($P68,0,AW$13),15-13*ORÇAMENTO!$AF$7)*OFFSET(ORÇAMENTO!$W$15,ROW(AW68)-ROW(AW$15),0),15-13*ORÇAMENTO!$AF$11)),
         0)</f>
        <v>0</v>
      </c>
      <c r="AX68" s="452">
        <f ca="1">IF(AND($D68="Serviço",AX$12&lt;&gt;0,$H68&gt;0,OR(AUTOEVENTO&lt;&gt;"manual",$M68&lt;&gt;$A$15)),
        IF(Import.TipoArredondamento&lt;&gt;"TransfereGOV",
              ROUND(OFFSET($P68,0,AX$13),15-13*ORÇAMENTO!$AF$7)/$H68*OFFSET(ORÇAMENTO!$X$15,ROW(AX68)-ROW(AX$15),0),
              ROUND(ROUND(OFFSET($P68,0,AX$13),15-13*ORÇAMENTO!$AF$7)*OFFSET(ORÇAMENTO!$W$15,ROW(AX68)-ROW(AX$15),0),15-13*ORÇAMENTO!$AF$11)),
         0)</f>
        <v>0</v>
      </c>
      <c r="AY68" s="452">
        <f ca="1">IF(AND($D68="Serviço",AY$12&lt;&gt;0,$H68&gt;0,OR(AUTOEVENTO&lt;&gt;"manual",$M68&lt;&gt;$A$15)),
        IF(Import.TipoArredondamento&lt;&gt;"TransfereGOV",
              ROUND(OFFSET($P68,0,AY$13),15-13*ORÇAMENTO!$AF$7)/$H68*OFFSET(ORÇAMENTO!$X$15,ROW(AY68)-ROW(AY$15),0),
              ROUND(ROUND(OFFSET($P68,0,AY$13),15-13*ORÇAMENTO!$AF$7)*OFFSET(ORÇAMENTO!$W$15,ROW(AY68)-ROW(AY$15),0),15-13*ORÇAMENTO!$AF$11)),
         0)</f>
        <v>0</v>
      </c>
      <c r="AZ68" s="452">
        <f ca="1">IF(AND($D68="Serviço",AZ$12&lt;&gt;0,$H68&gt;0,OR(AUTOEVENTO&lt;&gt;"manual",$M68&lt;&gt;$A$15)),
        IF(Import.TipoArredondamento&lt;&gt;"TransfereGOV",
              ROUND(OFFSET($P68,0,AZ$13),15-13*ORÇAMENTO!$AF$7)/$H68*OFFSET(ORÇAMENTO!$X$15,ROW(AZ68)-ROW(AZ$15),0),
              ROUND(ROUND(OFFSET($P68,0,AZ$13),15-13*ORÇAMENTO!$AF$7)*OFFSET(ORÇAMENTO!$W$15,ROW(AZ68)-ROW(AZ$15),0),15-13*ORÇAMENTO!$AF$11)),
         0)</f>
        <v>0</v>
      </c>
      <c r="BA68" s="452">
        <f ca="1">IF(AND($D68="Serviço",BA$12&lt;&gt;0,$H68&gt;0,OR(AUTOEVENTO&lt;&gt;"manual",$M68&lt;&gt;$A$15)),
        IF(Import.TipoArredondamento&lt;&gt;"TransfereGOV",
              ROUND(OFFSET($P68,0,BA$13),15-13*ORÇAMENTO!$AF$7)/$H68*OFFSET(ORÇAMENTO!$X$15,ROW(BA68)-ROW(BA$15),0),
              ROUND(ROUND(OFFSET($P68,0,BA$13),15-13*ORÇAMENTO!$AF$7)*OFFSET(ORÇAMENTO!$W$15,ROW(BA68)-ROW(BA$15),0),15-13*ORÇAMENTO!$AF$11)),
         0)</f>
        <v>0</v>
      </c>
      <c r="BC68" s="171">
        <f ca="1">IF(OR($D68&lt;&gt;"Serviço",AND(AUTOEVENTO="Manual",$M68=$A$15)),0,
         IF(OFFSET(CRONOPLE!$F$15,$M68-$A$15,BC$13)=0,10^12,OFFSET(CRONOPLE!$F$15,$M68-$A$15,BC$13)))</f>
        <v>0</v>
      </c>
      <c r="BD68" s="171">
        <f ca="1">IF(OR($D68&lt;&gt;"Serviço",AND(AUTOEVENTO="Manual",$M68=$A$15)),0,
         IF(OFFSET(CRONOPLE!$F$15,$M68-$A$15,BD$13)=0,10^12,OFFSET(CRONOPLE!$F$15,$M68-$A$15,BD$13)))</f>
        <v>0</v>
      </c>
      <c r="BE68" s="171">
        <f ca="1">IF(OR($D68&lt;&gt;"Serviço",AND(AUTOEVENTO="Manual",$M68=$A$15)),0,
         IF(OFFSET(CRONOPLE!$F$15,$M68-$A$15,BE$13)=0,10^12,OFFSET(CRONOPLE!$F$15,$M68-$A$15,BE$13)))</f>
        <v>0</v>
      </c>
      <c r="BF68" s="171">
        <f ca="1">IF(OR($D68&lt;&gt;"Serviço",AND(AUTOEVENTO="Manual",$M68=$A$15)),0,
         IF(OFFSET(CRONOPLE!$F$15,$M68-$A$15,BF$13)=0,10^12,OFFSET(CRONOPLE!$F$15,$M68-$A$15,BF$13)))</f>
        <v>0</v>
      </c>
      <c r="BG68" s="171">
        <f ca="1">IF(OR($D68&lt;&gt;"Serviço",AND(AUTOEVENTO="Manual",$M68=$A$15)),0,
         IF(OFFSET(CRONOPLE!$F$15,$M68-$A$15,BG$13)=0,10^12,OFFSET(CRONOPLE!$F$15,$M68-$A$15,BG$13)))</f>
        <v>0</v>
      </c>
      <c r="BH68" s="171">
        <f ca="1">IF(OR($D68&lt;&gt;"Serviço",AND(AUTOEVENTO="Manual",$M68=$A$15)),0,
         IF(OFFSET(CRONOPLE!$F$15,$M68-$A$15,BH$13)=0,10^12,OFFSET(CRONOPLE!$F$15,$M68-$A$15,BH$13)))</f>
        <v>0</v>
      </c>
      <c r="BI68" s="171">
        <f ca="1">IF(OR($D68&lt;&gt;"Serviço",AND(AUTOEVENTO="Manual",$M68=$A$15)),0,
         IF(OFFSET(CRONOPLE!$F$15,$M68-$A$15,BI$13)=0,10^12,OFFSET(CRONOPLE!$F$15,$M68-$A$15,BI$13)))</f>
        <v>0</v>
      </c>
      <c r="BJ68" s="171">
        <f ca="1">IF(OR($D68&lt;&gt;"Serviço",AND(AUTOEVENTO="Manual",$M68=$A$15)),0,
         IF(OFFSET(CRONOPLE!$F$15,$M68-$A$15,BJ$13)=0,10^12,OFFSET(CRONOPLE!$F$15,$M68-$A$15,BJ$13)))</f>
        <v>0</v>
      </c>
      <c r="BK68" s="171">
        <f ca="1">IF(OR($D68&lt;&gt;"Serviço",AND(AUTOEVENTO="Manual",$M68=$A$15)),0,
         IF(OFFSET(CRONOPLE!$F$15,$M68-$A$15,BK$13)=0,10^12,OFFSET(CRONOPLE!$F$15,$M68-$A$15,BK$13)))</f>
        <v>0</v>
      </c>
      <c r="BL68" s="171">
        <f ca="1">IF(OR($D68&lt;&gt;"Serviço",AND(AUTOEVENTO="Manual",$M68=$A$15)),0,
         IF(OFFSET(CRONOPLE!$F$15,$M68-$A$15,BL$13)=0,10^12,OFFSET(CRONOPLE!$F$15,$M68-$A$15,BL$13)))</f>
        <v>0</v>
      </c>
      <c r="BM68" s="171">
        <f ca="1">IF(OR($D68&lt;&gt;"Serviço",AND(AUTOEVENTO="Manual",$M68=$A$15)),0,
         IF(OFFSET(CRONOPLE!$F$15,$M68-$A$15,BM$13)=0,10^12,OFFSET(CRONOPLE!$F$15,$M68-$A$15,BM$13)))</f>
        <v>0</v>
      </c>
      <c r="BN68" s="171">
        <f ca="1">IF(OR($D68&lt;&gt;"Serviço",AND(AUTOEVENTO="Manual",$M68=$A$15)),0,
         IF(OFFSET(CRONOPLE!$F$15,$M68-$A$15,BN$13)=0,10^12,OFFSET(CRONOPLE!$F$15,$M68-$A$15,BN$13)))</f>
        <v>0</v>
      </c>
      <c r="BO68" s="171">
        <f ca="1">IF(OR($D68&lt;&gt;"Serviço",AND(AUTOEVENTO="Manual",$M68=$A$15)),0,
         IF(OFFSET(CRONOPLE!$F$15,$M68-$A$15,BO$13)=0,10^12,OFFSET(CRONOPLE!$F$15,$M68-$A$15,BO$13)))</f>
        <v>0</v>
      </c>
      <c r="BP68" s="171">
        <f ca="1">IF(OR($D68&lt;&gt;"Serviço",AND(AUTOEVENTO="Manual",$M68=$A$15)),0,
         IF(OFFSET(CRONOPLE!$F$15,$M68-$A$15,BP$13)=0,10^12,OFFSET(CRONOPLE!$F$15,$M68-$A$15,BP$13)))</f>
        <v>0</v>
      </c>
      <c r="BQ68" s="171">
        <f ca="1">IF(OR($D68&lt;&gt;"Serviço",AND(AUTOEVENTO="Manual",$M68=$A$15)),0,
         IF(OFFSET(CRONOPLE!$F$15,$M68-$A$15,BQ$13)=0,10^12,OFFSET(CRONOPLE!$F$15,$M68-$A$15,BQ$13)))</f>
        <v>0</v>
      </c>
      <c r="BR68" s="171">
        <f ca="1">IF(OR($D68&lt;&gt;"Serviço",AND(AUTOEVENTO="Manual",$M68=$A$15)),0,
         IF(OFFSET(CRONOPLE!$F$15,$M68-$A$15,BR$13)=0,10^12,OFFSET(CRONOPLE!$F$15,$M68-$A$15,BR$13)))</f>
        <v>0</v>
      </c>
      <c r="BS68" s="171">
        <f ca="1">IF(OR($D68&lt;&gt;"Serviço",AND(AUTOEVENTO="Manual",$M68=$A$15)),0,
         IF(OFFSET(CRONOPLE!$F$15,$M68-$A$15,BS$13)=0,10^12,OFFSET(CRONOPLE!$F$15,$M68-$A$15,BS$13)))</f>
        <v>0</v>
      </c>
      <c r="BT68" s="171">
        <f ca="1">IF(OR($D68&lt;&gt;"Serviço",AND(AUTOEVENTO="Manual",$M68=$A$15)),0,
         IF(OFFSET(CRONOPLE!$F$15,$M68-$A$15,BT$13)=0,10^12,OFFSET(CRONOPLE!$F$15,$M68-$A$15,BT$13)))</f>
        <v>0</v>
      </c>
      <c r="BV68" s="172">
        <f t="array" aca="1" ref="BV68" ca="1">IF(OR($D68&lt;&gt;"Serviço",AND(AUTOEVENTO="Manual",$M68=$A$15),$M68&gt;(ROW(PLE.lastrow)-ROW(PLE.firstrow))),0,
           IF(OFFSET(PLE!$G$15,$M68-$A$15,BV$13)="",10^12,OFFSET(PLE!$G$15,$M68-$A$15,BV$13)))</f>
        <v>0</v>
      </c>
      <c r="BW68" s="172">
        <f t="array" aca="1" ref="BW68" ca="1">IF(OR($D68&lt;&gt;"Serviço",AND(AUTOEVENTO="Manual",$M68=$A$15),$M68&gt;(ROW(PLE.lastrow)-ROW(PLE.firstrow))),0,
           IF(OFFSET(PLE!$G$15,$M68-$A$15,BW$13)="",10^12,OFFSET(PLE!$G$15,$M68-$A$15,BW$13)))</f>
        <v>0</v>
      </c>
      <c r="BX68" s="172">
        <f t="array" aca="1" ref="BX68" ca="1">IF(OR($D68&lt;&gt;"Serviço",AND(AUTOEVENTO="Manual",$M68=$A$15),$M68&gt;(ROW(PLE.lastrow)-ROW(PLE.firstrow))),0,
           IF(OFFSET(PLE!$G$15,$M68-$A$15,BX$13)="",10^12,OFFSET(PLE!$G$15,$M68-$A$15,BX$13)))</f>
        <v>0</v>
      </c>
      <c r="BY68" s="172">
        <f t="array" aca="1" ref="BY68" ca="1">IF(OR($D68&lt;&gt;"Serviço",AND(AUTOEVENTO="Manual",$M68=$A$15),$M68&gt;(ROW(PLE.lastrow)-ROW(PLE.firstrow))),0,
           IF(OFFSET(PLE!$G$15,$M68-$A$15,BY$13)="",10^12,OFFSET(PLE!$G$15,$M68-$A$15,BY$13)))</f>
        <v>0</v>
      </c>
      <c r="BZ68" s="172">
        <f t="array" aca="1" ref="BZ68" ca="1">IF(OR($D68&lt;&gt;"Serviço",AND(AUTOEVENTO="Manual",$M68=$A$15),$M68&gt;(ROW(PLE.lastrow)-ROW(PLE.firstrow))),0,
           IF(OFFSET(PLE!$G$15,$M68-$A$15,BZ$13)="",10^12,OFFSET(PLE!$G$15,$M68-$A$15,BZ$13)))</f>
        <v>0</v>
      </c>
      <c r="CA68" s="172">
        <f t="array" aca="1" ref="CA68" ca="1">IF(OR($D68&lt;&gt;"Serviço",AND(AUTOEVENTO="Manual",$M68=$A$15),$M68&gt;(ROW(PLE.lastrow)-ROW(PLE.firstrow))),0,
           IF(OFFSET(PLE!$G$15,$M68-$A$15,CA$13)="",10^12,OFFSET(PLE!$G$15,$M68-$A$15,CA$13)))</f>
        <v>0</v>
      </c>
      <c r="CB68" s="172">
        <f t="array" aca="1" ref="CB68" ca="1">IF(OR($D68&lt;&gt;"Serviço",AND(AUTOEVENTO="Manual",$M68=$A$15),$M68&gt;(ROW(PLE.lastrow)-ROW(PLE.firstrow))),0,
           IF(OFFSET(PLE!$G$15,$M68-$A$15,CB$13)="",10^12,OFFSET(PLE!$G$15,$M68-$A$15,CB$13)))</f>
        <v>0</v>
      </c>
      <c r="CC68" s="172">
        <f t="array" aca="1" ref="CC68" ca="1">IF(OR($D68&lt;&gt;"Serviço",AND(AUTOEVENTO="Manual",$M68=$A$15),$M68&gt;(ROW(PLE.lastrow)-ROW(PLE.firstrow))),0,
           IF(OFFSET(PLE!$G$15,$M68-$A$15,CC$13)="",10^12,OFFSET(PLE!$G$15,$M68-$A$15,CC$13)))</f>
        <v>0</v>
      </c>
      <c r="CD68" s="172">
        <f t="array" aca="1" ref="CD68" ca="1">IF(OR($D68&lt;&gt;"Serviço",AND(AUTOEVENTO="Manual",$M68=$A$15),$M68&gt;(ROW(PLE.lastrow)-ROW(PLE.firstrow))),0,
           IF(OFFSET(PLE!$G$15,$M68-$A$15,CD$13)="",10^12,OFFSET(PLE!$G$15,$M68-$A$15,CD$13)))</f>
        <v>0</v>
      </c>
      <c r="CE68" s="172">
        <f t="array" aca="1" ref="CE68" ca="1">IF(OR($D68&lt;&gt;"Serviço",AND(AUTOEVENTO="Manual",$M68=$A$15),$M68&gt;(ROW(PLE.lastrow)-ROW(PLE.firstrow))),0,
           IF(OFFSET(PLE!$G$15,$M68-$A$15,CE$13)="",10^12,OFFSET(PLE!$G$15,$M68-$A$15,CE$13)))</f>
        <v>0</v>
      </c>
      <c r="CF68" s="172">
        <f t="array" aca="1" ref="CF68" ca="1">IF(OR($D68&lt;&gt;"Serviço",AND(AUTOEVENTO="Manual",$M68=$A$15),$M68&gt;(ROW(PLE.lastrow)-ROW(PLE.firstrow))),0,
           IF(OFFSET(PLE!$G$15,$M68-$A$15,CF$13)="",10^12,OFFSET(PLE!$G$15,$M68-$A$15,CF$13)))</f>
        <v>0</v>
      </c>
      <c r="CG68" s="172">
        <f t="array" aca="1" ref="CG68" ca="1">IF(OR($D68&lt;&gt;"Serviço",AND(AUTOEVENTO="Manual",$M68=$A$15),$M68&gt;(ROW(PLE.lastrow)-ROW(PLE.firstrow))),0,
           IF(OFFSET(PLE!$G$15,$M68-$A$15,CG$13)="",10^12,OFFSET(PLE!$G$15,$M68-$A$15,CG$13)))</f>
        <v>0</v>
      </c>
      <c r="CH68" s="172">
        <f t="array" aca="1" ref="CH68" ca="1">IF(OR($D68&lt;&gt;"Serviço",AND(AUTOEVENTO="Manual",$M68=$A$15),$M68&gt;(ROW(PLE.lastrow)-ROW(PLE.firstrow))),0,
           IF(OFFSET(PLE!$G$15,$M68-$A$15,CH$13)="",10^12,OFFSET(PLE!$G$15,$M68-$A$15,CH$13)))</f>
        <v>0</v>
      </c>
      <c r="CI68" s="172">
        <f t="array" aca="1" ref="CI68" ca="1">IF(OR($D68&lt;&gt;"Serviço",AND(AUTOEVENTO="Manual",$M68=$A$15),$M68&gt;(ROW(PLE.lastrow)-ROW(PLE.firstrow))),0,
           IF(OFFSET(PLE!$G$15,$M68-$A$15,CI$13)="",10^12,OFFSET(PLE!$G$15,$M68-$A$15,CI$13)))</f>
        <v>0</v>
      </c>
      <c r="CJ68" s="172">
        <f t="array" aca="1" ref="CJ68" ca="1">IF(OR($D68&lt;&gt;"Serviço",AND(AUTOEVENTO="Manual",$M68=$A$15),$M68&gt;(ROW(PLE.lastrow)-ROW(PLE.firstrow))),0,
           IF(OFFSET(PLE!$G$15,$M68-$A$15,CJ$13)="",10^12,OFFSET(PLE!$G$15,$M68-$A$15,CJ$13)))</f>
        <v>0</v>
      </c>
      <c r="CK68" s="172">
        <f t="array" aca="1" ref="CK68" ca="1">IF(OR($D68&lt;&gt;"Serviço",AND(AUTOEVENTO="Manual",$M68=$A$15),$M68&gt;(ROW(PLE.lastrow)-ROW(PLE.firstrow))),0,
           IF(OFFSET(PLE!$G$15,$M68-$A$15,CK$13)="",10^12,OFFSET(PLE!$G$15,$M68-$A$15,CK$13)))</f>
        <v>0</v>
      </c>
      <c r="CL68" s="172">
        <f t="array" aca="1" ref="CL68" ca="1">IF(OR($D68&lt;&gt;"Serviço",AND(AUTOEVENTO="Manual",$M68=$A$15),$M68&gt;(ROW(PLE.lastrow)-ROW(PLE.firstrow))),0,
           IF(OFFSET(PLE!$G$15,$M68-$A$15,CL$13)="",10^12,OFFSET(PLE!$G$15,$M68-$A$15,CL$13)))</f>
        <v>0</v>
      </c>
      <c r="CM68" s="172">
        <f t="array" aca="1" ref="CM68" ca="1">IF(OR($D68&lt;&gt;"Serviço",AND(AUTOEVENTO="Manual",$M68=$A$15),$M68&gt;(ROW(PLE.lastrow)-ROW(PLE.firstrow))),0,
           IF(OFFSET(PLE!$G$15,$M68-$A$15,CM$13)="",10^12,OFFSET(PLE!$G$15,$M68-$A$15,CM$13)))</f>
        <v>0</v>
      </c>
    </row>
    <row r="69" spans="1:91" s="696" customFormat="1" ht="51" x14ac:dyDescent="0.2">
      <c r="A69" s="694">
        <f t="shared" ca="1" si="10"/>
        <v>10</v>
      </c>
      <c r="B69" s="694" t="str">
        <f ca="1">OFFSET(ORÇAMENTO!C$15,$L69,0)</f>
        <v>S</v>
      </c>
      <c r="C69" s="694" t="str">
        <f ca="1">OFFSET(ORÇAMENTO!L$15,$L69,0)</f>
        <v>F</v>
      </c>
      <c r="D69" s="116" t="str">
        <f ca="1">OFFSET(ORÇAMENTO!N$15,$L69,0)</f>
        <v>Serviço</v>
      </c>
      <c r="E69" s="117" t="str">
        <f ca="1">OFFSET(ORÇAMENTO!O$15,$L69,0)</f>
        <v>1.9.1.</v>
      </c>
      <c r="F69" s="163" t="str">
        <f ca="1">OFFSET(ORÇAMENTO!R$15,$L69,0)</f>
        <v>VERGA PRÉ-MOLDADA COM ATÉ 1,5 M DE VÃO, ESPESSURA DE *10* CM. AF_03/2024</v>
      </c>
      <c r="G69" s="164" t="str">
        <f ca="1">IF($D69&lt;&gt;"Serviço","",OFFSET(ORÇAMENTO!S$15,$L69,0))</f>
        <v>M</v>
      </c>
      <c r="H69" s="122">
        <f t="array" aca="1" ref="H69" ca="1">IF($D69&lt;&gt;"Serviço",0,IF(ACOMPANHAMENTO="BM",ROUND(OFFSET(ORÇAMENTO!AJ$15,$L69,0),15-13*ORÇAMENTO!$AF$7),IF(IFERROR(CÁLCULO.FrentesPreenchidas,0)=0,0,SUM(ROUND(OFFSET($P69,0,1,1,CÁLCULO.FrentesPreenchidas),15-13*ORÇAMENTO!$AF$7)))))</f>
        <v>324</v>
      </c>
      <c r="I69" s="467" t="s">
        <v>1240</v>
      </c>
      <c r="J69" s="653" t="str">
        <f t="array" aca="1" ref="J69" ca="1">IF(OR(B69&lt;&gt;"S",CÁLCULO.FrentesPreenchidas=0),"",IF(AND(ACOMPANHAMENTO="PLE",AUTOEVENTO="Manual",OR(H69&gt;0,ORÇAMENTO!AC69="QUANT."),OR(K69="",M69=0,N69="")),"►E",IF(AND(ACOMPANHAMENTO="PLE",ORÇAMENTO!AC69="QUANT."),"►Q",IF(AND(ACOMPANHAMENTO="PLE",H69&lt;&gt;SUMPRODUCT(($Q$1:$AI$1=1)*ROUND(Q69:AI69,15))),"►S",IF(AND(COUNTIF($P$11:$AI$11,"▼")=0,H69&gt;0,I69=""),"◄M","")))))</f>
        <v/>
      </c>
      <c r="K69" s="654" t="s">
        <v>1390</v>
      </c>
      <c r="L69" s="165">
        <f t="shared" ca="1" si="11"/>
        <v>54</v>
      </c>
      <c r="M69" s="166">
        <f ca="1">IF($D69&lt;&gt;"Serviço","",
          IF(AUTOEVENTO="manual",$A69,
                IF(ISERROR(MATCH($A69,$A$15:OFFSET($A69,-1,0),0)),MAX($M$15:OFFSET(M69,-1,0))+1,
                      INDEX($M$15:OFFSET(M69,-1,0),MATCH($A69,$A$15:OFFSET($A69,-1,0),0)))))</f>
        <v>10</v>
      </c>
      <c r="N69" s="167" t="str">
        <f ca="1">IF($D69&lt;&gt;"Serviço","",
         IF(AUTOEVENTO="Manual",
                IF($A69=0,"&lt;-- defina o número do agrupador",
                       OFFSET(EVENTOS!$D$15,$A69-$A$15,0)),
                OFFSET($F$15,$A69,0)))</f>
        <v>ALVENARIAS</v>
      </c>
      <c r="O69" s="168"/>
      <c r="Q69" s="169">
        <f>16.2*5</f>
        <v>81</v>
      </c>
      <c r="R69" s="169">
        <f t="shared" ref="R69:T69" si="40">16.2*5</f>
        <v>81</v>
      </c>
      <c r="S69" s="169">
        <f t="shared" si="40"/>
        <v>81</v>
      </c>
      <c r="T69" s="169">
        <f t="shared" si="40"/>
        <v>81</v>
      </c>
      <c r="U69" s="169"/>
      <c r="V69" s="169"/>
      <c r="W69" s="169"/>
      <c r="X69" s="169"/>
      <c r="Y69" s="169"/>
      <c r="Z69" s="170"/>
      <c r="AA69" s="169"/>
      <c r="AB69" s="169"/>
      <c r="AC69" s="169"/>
      <c r="AD69" s="169"/>
      <c r="AE69" s="169"/>
      <c r="AF69" s="169"/>
      <c r="AG69" s="169"/>
      <c r="AH69" s="170"/>
      <c r="AJ69" s="452">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2196.7199999999998</v>
      </c>
      <c r="AK69" s="452">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2196.7199999999998</v>
      </c>
      <c r="AL69" s="452">
        <f ca="1">IF(AND($D69="Serviço",AL$12&lt;&gt;0,$H69&gt;0,OR(AUTOEVENTO&lt;&gt;"manual",$M69&lt;&gt;$A$15)),
        IF(Import.TipoArredondamento&lt;&gt;"TransfereGOV",
              ROUND(OFFSET($P69,0,AL$13),15-13*ORÇAMENTO!$AF$7)/$H69*OFFSET(ORÇAMENTO!$X$15,ROW(AL69)-ROW(AL$15),0),
              ROUND(ROUND(OFFSET($P69,0,AL$13),15-13*ORÇAMENTO!$AF$7)*OFFSET(ORÇAMENTO!$W$15,ROW(AL69)-ROW(AL$15),0),15-13*ORÇAMENTO!$AF$11)),
         0)</f>
        <v>2196.7199999999998</v>
      </c>
      <c r="AM69" s="452">
        <f ca="1">IF(AND($D69="Serviço",AM$12&lt;&gt;0,$H69&gt;0,OR(AUTOEVENTO&lt;&gt;"manual",$M69&lt;&gt;$A$15)),
        IF(Import.TipoArredondamento&lt;&gt;"TransfereGOV",
              ROUND(OFFSET($P69,0,AM$13),15-13*ORÇAMENTO!$AF$7)/$H69*OFFSET(ORÇAMENTO!$X$15,ROW(AM69)-ROW(AM$15),0),
              ROUND(ROUND(OFFSET($P69,0,AM$13),15-13*ORÇAMENTO!$AF$7)*OFFSET(ORÇAMENTO!$W$15,ROW(AM69)-ROW(AM$15),0),15-13*ORÇAMENTO!$AF$11)),
         0)</f>
        <v>2196.7199999999998</v>
      </c>
      <c r="AN69" s="452">
        <f ca="1">IF(AND($D69="Serviço",AN$12&lt;&gt;0,$H69&gt;0,OR(AUTOEVENTO&lt;&gt;"manual",$M69&lt;&gt;$A$15)),
        IF(Import.TipoArredondamento&lt;&gt;"TransfereGOV",
              ROUND(OFFSET($P69,0,AN$13),15-13*ORÇAMENTO!$AF$7)/$H69*OFFSET(ORÇAMENTO!$X$15,ROW(AN69)-ROW(AN$15),0),
              ROUND(ROUND(OFFSET($P69,0,AN$13),15-13*ORÇAMENTO!$AF$7)*OFFSET(ORÇAMENTO!$W$15,ROW(AN69)-ROW(AN$15),0),15-13*ORÇAMENTO!$AF$11)),
         0)</f>
        <v>0</v>
      </c>
      <c r="AO69" s="452">
        <f ca="1">IF(AND($D69="Serviço",AO$12&lt;&gt;0,$H69&gt;0,OR(AUTOEVENTO&lt;&gt;"manual",$M69&lt;&gt;$A$15)),
        IF(Import.TipoArredondamento&lt;&gt;"TransfereGOV",
              ROUND(OFFSET($P69,0,AO$13),15-13*ORÇAMENTO!$AF$7)/$H69*OFFSET(ORÇAMENTO!$X$15,ROW(AO69)-ROW(AO$15),0),
              ROUND(ROUND(OFFSET($P69,0,AO$13),15-13*ORÇAMENTO!$AF$7)*OFFSET(ORÇAMENTO!$W$15,ROW(AO69)-ROW(AO$15),0),15-13*ORÇAMENTO!$AF$11)),
         0)</f>
        <v>0</v>
      </c>
      <c r="AP69" s="452">
        <f ca="1">IF(AND($D69="Serviço",AP$12&lt;&gt;0,$H69&gt;0,OR(AUTOEVENTO&lt;&gt;"manual",$M69&lt;&gt;$A$15)),
        IF(Import.TipoArredondamento&lt;&gt;"TransfereGOV",
              ROUND(OFFSET($P69,0,AP$13),15-13*ORÇAMENTO!$AF$7)/$H69*OFFSET(ORÇAMENTO!$X$15,ROW(AP69)-ROW(AP$15),0),
              ROUND(ROUND(OFFSET($P69,0,AP$13),15-13*ORÇAMENTO!$AF$7)*OFFSET(ORÇAMENTO!$W$15,ROW(AP69)-ROW(AP$15),0),15-13*ORÇAMENTO!$AF$11)),
         0)</f>
        <v>0</v>
      </c>
      <c r="AQ69" s="452">
        <f ca="1">IF(AND($D69="Serviço",AQ$12&lt;&gt;0,$H69&gt;0,OR(AUTOEVENTO&lt;&gt;"manual",$M69&lt;&gt;$A$15)),
        IF(Import.TipoArredondamento&lt;&gt;"TransfereGOV",
              ROUND(OFFSET($P69,0,AQ$13),15-13*ORÇAMENTO!$AF$7)/$H69*OFFSET(ORÇAMENTO!$X$15,ROW(AQ69)-ROW(AQ$15),0),
              ROUND(ROUND(OFFSET($P69,0,AQ$13),15-13*ORÇAMENTO!$AF$7)*OFFSET(ORÇAMENTO!$W$15,ROW(AQ69)-ROW(AQ$15),0),15-13*ORÇAMENTO!$AF$11)),
         0)</f>
        <v>0</v>
      </c>
      <c r="AR69" s="452">
        <f ca="1">IF(AND($D69="Serviço",AR$12&lt;&gt;0,$H69&gt;0,OR(AUTOEVENTO&lt;&gt;"manual",$M69&lt;&gt;$A$15)),
        IF(Import.TipoArredondamento&lt;&gt;"TransfereGOV",
              ROUND(OFFSET($P69,0,AR$13),15-13*ORÇAMENTO!$AF$7)/$H69*OFFSET(ORÇAMENTO!$X$15,ROW(AR69)-ROW(AR$15),0),
              ROUND(ROUND(OFFSET($P69,0,AR$13),15-13*ORÇAMENTO!$AF$7)*OFFSET(ORÇAMENTO!$W$15,ROW(AR69)-ROW(AR$15),0),15-13*ORÇAMENTO!$AF$11)),
         0)</f>
        <v>0</v>
      </c>
      <c r="AS69" s="452">
        <f ca="1">IF(AND($D69="Serviço",AS$12&lt;&gt;0,$H69&gt;0,OR(AUTOEVENTO&lt;&gt;"manual",$M69&lt;&gt;$A$15)),
        IF(Import.TipoArredondamento&lt;&gt;"TransfereGOV",
              ROUND(OFFSET($P69,0,AS$13),15-13*ORÇAMENTO!$AF$7)/$H69*OFFSET(ORÇAMENTO!$X$15,ROW(AS69)-ROW(AS$15),0),
              ROUND(ROUND(OFFSET($P69,0,AS$13),15-13*ORÇAMENTO!$AF$7)*OFFSET(ORÇAMENTO!$W$15,ROW(AS69)-ROW(AS$15),0),15-13*ORÇAMENTO!$AF$11)),
         0)</f>
        <v>0</v>
      </c>
      <c r="AT69" s="452">
        <f ca="1">IF(AND($D69="Serviço",AT$12&lt;&gt;0,$H69&gt;0,OR(AUTOEVENTO&lt;&gt;"manual",$M69&lt;&gt;$A$15)),
        IF(Import.TipoArredondamento&lt;&gt;"TransfereGOV",
              ROUND(OFFSET($P69,0,AT$13),15-13*ORÇAMENTO!$AF$7)/$H69*OFFSET(ORÇAMENTO!$X$15,ROW(AT69)-ROW(AT$15),0),
              ROUND(ROUND(OFFSET($P69,0,AT$13),15-13*ORÇAMENTO!$AF$7)*OFFSET(ORÇAMENTO!$W$15,ROW(AT69)-ROW(AT$15),0),15-13*ORÇAMENTO!$AF$11)),
         0)</f>
        <v>0</v>
      </c>
      <c r="AU69" s="452">
        <f ca="1">IF(AND($D69="Serviço",AU$12&lt;&gt;0,$H69&gt;0,OR(AUTOEVENTO&lt;&gt;"manual",$M69&lt;&gt;$A$15)),
        IF(Import.TipoArredondamento&lt;&gt;"TransfereGOV",
              ROUND(OFFSET($P69,0,AU$13),15-13*ORÇAMENTO!$AF$7)/$H69*OFFSET(ORÇAMENTO!$X$15,ROW(AU69)-ROW(AU$15),0),
              ROUND(ROUND(OFFSET($P69,0,AU$13),15-13*ORÇAMENTO!$AF$7)*OFFSET(ORÇAMENTO!$W$15,ROW(AU69)-ROW(AU$15),0),15-13*ORÇAMENTO!$AF$11)),
         0)</f>
        <v>0</v>
      </c>
      <c r="AV69" s="452">
        <f ca="1">IF(AND($D69="Serviço",AV$12&lt;&gt;0,$H69&gt;0,OR(AUTOEVENTO&lt;&gt;"manual",$M69&lt;&gt;$A$15)),
        IF(Import.TipoArredondamento&lt;&gt;"TransfereGOV",
              ROUND(OFFSET($P69,0,AV$13),15-13*ORÇAMENTO!$AF$7)/$H69*OFFSET(ORÇAMENTO!$X$15,ROW(AV69)-ROW(AV$15),0),
              ROUND(ROUND(OFFSET($P69,0,AV$13),15-13*ORÇAMENTO!$AF$7)*OFFSET(ORÇAMENTO!$W$15,ROW(AV69)-ROW(AV$15),0),15-13*ORÇAMENTO!$AF$11)),
         0)</f>
        <v>0</v>
      </c>
      <c r="AW69" s="452">
        <f ca="1">IF(AND($D69="Serviço",AW$12&lt;&gt;0,$H69&gt;0,OR(AUTOEVENTO&lt;&gt;"manual",$M69&lt;&gt;$A$15)),
        IF(Import.TipoArredondamento&lt;&gt;"TransfereGOV",
              ROUND(OFFSET($P69,0,AW$13),15-13*ORÇAMENTO!$AF$7)/$H69*OFFSET(ORÇAMENTO!$X$15,ROW(AW69)-ROW(AW$15),0),
              ROUND(ROUND(OFFSET($P69,0,AW$13),15-13*ORÇAMENTO!$AF$7)*OFFSET(ORÇAMENTO!$W$15,ROW(AW69)-ROW(AW$15),0),15-13*ORÇAMENTO!$AF$11)),
         0)</f>
        <v>0</v>
      </c>
      <c r="AX69" s="452">
        <f ca="1">IF(AND($D69="Serviço",AX$12&lt;&gt;0,$H69&gt;0,OR(AUTOEVENTO&lt;&gt;"manual",$M69&lt;&gt;$A$15)),
        IF(Import.TipoArredondamento&lt;&gt;"TransfereGOV",
              ROUND(OFFSET($P69,0,AX$13),15-13*ORÇAMENTO!$AF$7)/$H69*OFFSET(ORÇAMENTO!$X$15,ROW(AX69)-ROW(AX$15),0),
              ROUND(ROUND(OFFSET($P69,0,AX$13),15-13*ORÇAMENTO!$AF$7)*OFFSET(ORÇAMENTO!$W$15,ROW(AX69)-ROW(AX$15),0),15-13*ORÇAMENTO!$AF$11)),
         0)</f>
        <v>0</v>
      </c>
      <c r="AY69" s="452">
        <f ca="1">IF(AND($D69="Serviço",AY$12&lt;&gt;0,$H69&gt;0,OR(AUTOEVENTO&lt;&gt;"manual",$M69&lt;&gt;$A$15)),
        IF(Import.TipoArredondamento&lt;&gt;"TransfereGOV",
              ROUND(OFFSET($P69,0,AY$13),15-13*ORÇAMENTO!$AF$7)/$H69*OFFSET(ORÇAMENTO!$X$15,ROW(AY69)-ROW(AY$15),0),
              ROUND(ROUND(OFFSET($P69,0,AY$13),15-13*ORÇAMENTO!$AF$7)*OFFSET(ORÇAMENTO!$W$15,ROW(AY69)-ROW(AY$15),0),15-13*ORÇAMENTO!$AF$11)),
         0)</f>
        <v>0</v>
      </c>
      <c r="AZ69" s="452">
        <f ca="1">IF(AND($D69="Serviço",AZ$12&lt;&gt;0,$H69&gt;0,OR(AUTOEVENTO&lt;&gt;"manual",$M69&lt;&gt;$A$15)),
        IF(Import.TipoArredondamento&lt;&gt;"TransfereGOV",
              ROUND(OFFSET($P69,0,AZ$13),15-13*ORÇAMENTO!$AF$7)/$H69*OFFSET(ORÇAMENTO!$X$15,ROW(AZ69)-ROW(AZ$15),0),
              ROUND(ROUND(OFFSET($P69,0,AZ$13),15-13*ORÇAMENTO!$AF$7)*OFFSET(ORÇAMENTO!$W$15,ROW(AZ69)-ROW(AZ$15),0),15-13*ORÇAMENTO!$AF$11)),
         0)</f>
        <v>0</v>
      </c>
      <c r="BA69" s="452">
        <f ca="1">IF(AND($D69="Serviço",BA$12&lt;&gt;0,$H69&gt;0,OR(AUTOEVENTO&lt;&gt;"manual",$M69&lt;&gt;$A$15)),
        IF(Import.TipoArredondamento&lt;&gt;"TransfereGOV",
              ROUND(OFFSET($P69,0,BA$13),15-13*ORÇAMENTO!$AF$7)/$H69*OFFSET(ORÇAMENTO!$X$15,ROW(BA69)-ROW(BA$15),0),
              ROUND(ROUND(OFFSET($P69,0,BA$13),15-13*ORÇAMENTO!$AF$7)*OFFSET(ORÇAMENTO!$W$15,ROW(BA69)-ROW(BA$15),0),15-13*ORÇAMENTO!$AF$11)),
         0)</f>
        <v>0</v>
      </c>
      <c r="BC69" s="171">
        <f ca="1">IF(OR($D69&lt;&gt;"Serviço",AND(AUTOEVENTO="Manual",$M69=$A$15)),0,
         IF(OFFSET(CRONOPLE!$F$15,$M69-$A$15,BC$13)=0,10^12,OFFSET(CRONOPLE!$F$15,$M69-$A$15,BC$13)))</f>
        <v>3</v>
      </c>
      <c r="BD69" s="171">
        <f ca="1">IF(OR($D69&lt;&gt;"Serviço",AND(AUTOEVENTO="Manual",$M69=$A$15)),0,
         IF(OFFSET(CRONOPLE!$F$15,$M69-$A$15,BD$13)=0,10^12,OFFSET(CRONOPLE!$F$15,$M69-$A$15,BD$13)))</f>
        <v>3</v>
      </c>
      <c r="BE69" s="171">
        <f ca="1">IF(OR($D69&lt;&gt;"Serviço",AND(AUTOEVENTO="Manual",$M69=$A$15)),0,
         IF(OFFSET(CRONOPLE!$F$15,$M69-$A$15,BE$13)=0,10^12,OFFSET(CRONOPLE!$F$15,$M69-$A$15,BE$13)))</f>
        <v>4</v>
      </c>
      <c r="BF69" s="171">
        <f ca="1">IF(OR($D69&lt;&gt;"Serviço",AND(AUTOEVENTO="Manual",$M69=$A$15)),0,
         IF(OFFSET(CRONOPLE!$F$15,$M69-$A$15,BF$13)=0,10^12,OFFSET(CRONOPLE!$F$15,$M69-$A$15,BF$13)))</f>
        <v>4</v>
      </c>
      <c r="BG69" s="171">
        <f ca="1">IF(OR($D69&lt;&gt;"Serviço",AND(AUTOEVENTO="Manual",$M69=$A$15)),0,
         IF(OFFSET(CRONOPLE!$F$15,$M69-$A$15,BG$13)=0,10^12,OFFSET(CRONOPLE!$F$15,$M69-$A$15,BG$13)))</f>
        <v>4</v>
      </c>
      <c r="BH69" s="171">
        <f ca="1">IF(OR($D69&lt;&gt;"Serviço",AND(AUTOEVENTO="Manual",$M69=$A$15)),0,
         IF(OFFSET(CRONOPLE!$F$15,$M69-$A$15,BH$13)=0,10^12,OFFSET(CRONOPLE!$F$15,$M69-$A$15,BH$13)))</f>
        <v>1000000000000</v>
      </c>
      <c r="BI69" s="171">
        <f ca="1">IF(OR($D69&lt;&gt;"Serviço",AND(AUTOEVENTO="Manual",$M69=$A$15)),0,
         IF(OFFSET(CRONOPLE!$F$15,$M69-$A$15,BI$13)=0,10^12,OFFSET(CRONOPLE!$F$15,$M69-$A$15,BI$13)))</f>
        <v>7</v>
      </c>
      <c r="BJ69" s="171">
        <f ca="1">IF(OR($D69&lt;&gt;"Serviço",AND(AUTOEVENTO="Manual",$M69=$A$15)),0,
         IF(OFFSET(CRONOPLE!$F$15,$M69-$A$15,BJ$13)=0,10^12,OFFSET(CRONOPLE!$F$15,$M69-$A$15,BJ$13)))</f>
        <v>8</v>
      </c>
      <c r="BK69" s="171">
        <f ca="1">IF(OR($D69&lt;&gt;"Serviço",AND(AUTOEVENTO="Manual",$M69=$A$15)),0,
         IF(OFFSET(CRONOPLE!$F$15,$M69-$A$15,BK$13)=0,10^12,OFFSET(CRONOPLE!$F$15,$M69-$A$15,BK$13)))</f>
        <v>1000000000000</v>
      </c>
      <c r="BL69" s="171">
        <f ca="1">IF(OR($D69&lt;&gt;"Serviço",AND(AUTOEVENTO="Manual",$M69=$A$15)),0,
         IF(OFFSET(CRONOPLE!$F$15,$M69-$A$15,BL$13)=0,10^12,OFFSET(CRONOPLE!$F$15,$M69-$A$15,BL$13)))</f>
        <v>1000000000000</v>
      </c>
      <c r="BM69" s="171">
        <f ca="1">IF(OR($D69&lt;&gt;"Serviço",AND(AUTOEVENTO="Manual",$M69=$A$15)),0,
         IF(OFFSET(CRONOPLE!$F$15,$M69-$A$15,BM$13)=0,10^12,OFFSET(CRONOPLE!$F$15,$M69-$A$15,BM$13)))</f>
        <v>1000000000000</v>
      </c>
      <c r="BN69" s="171">
        <f ca="1">IF(OR($D69&lt;&gt;"Serviço",AND(AUTOEVENTO="Manual",$M69=$A$15)),0,
         IF(OFFSET(CRONOPLE!$F$15,$M69-$A$15,BN$13)=0,10^12,OFFSET(CRONOPLE!$F$15,$M69-$A$15,BN$13)))</f>
        <v>1000000000000</v>
      </c>
      <c r="BO69" s="171">
        <f ca="1">IF(OR($D69&lt;&gt;"Serviço",AND(AUTOEVENTO="Manual",$M69=$A$15)),0,
         IF(OFFSET(CRONOPLE!$F$15,$M69-$A$15,BO$13)=0,10^12,OFFSET(CRONOPLE!$F$15,$M69-$A$15,BO$13)))</f>
        <v>1000000000000</v>
      </c>
      <c r="BP69" s="171">
        <f ca="1">IF(OR($D69&lt;&gt;"Serviço",AND(AUTOEVENTO="Manual",$M69=$A$15)),0,
         IF(OFFSET(CRONOPLE!$F$15,$M69-$A$15,BP$13)=0,10^12,OFFSET(CRONOPLE!$F$15,$M69-$A$15,BP$13)))</f>
        <v>1000000000000</v>
      </c>
      <c r="BQ69" s="171">
        <f ca="1">IF(OR($D69&lt;&gt;"Serviço",AND(AUTOEVENTO="Manual",$M69=$A$15)),0,
         IF(OFFSET(CRONOPLE!$F$15,$M69-$A$15,BQ$13)=0,10^12,OFFSET(CRONOPLE!$F$15,$M69-$A$15,BQ$13)))</f>
        <v>1000000000000</v>
      </c>
      <c r="BR69" s="171">
        <f ca="1">IF(OR($D69&lt;&gt;"Serviço",AND(AUTOEVENTO="Manual",$M69=$A$15)),0,
         IF(OFFSET(CRONOPLE!$F$15,$M69-$A$15,BR$13)=0,10^12,OFFSET(CRONOPLE!$F$15,$M69-$A$15,BR$13)))</f>
        <v>1000000000000</v>
      </c>
      <c r="BS69" s="171">
        <f ca="1">IF(OR($D69&lt;&gt;"Serviço",AND(AUTOEVENTO="Manual",$M69=$A$15)),0,
         IF(OFFSET(CRONOPLE!$F$15,$M69-$A$15,BS$13)=0,10^12,OFFSET(CRONOPLE!$F$15,$M69-$A$15,BS$13)))</f>
        <v>1000000000000</v>
      </c>
      <c r="BT69" s="171">
        <f ca="1">IF(OR($D69&lt;&gt;"Serviço",AND(AUTOEVENTO="Manual",$M69=$A$15)),0,
         IF(OFFSET(CRONOPLE!$F$15,$M69-$A$15,BT$13)=0,10^12,OFFSET(CRONOPLE!$F$15,$M69-$A$15,BT$13)))</f>
        <v>1000000000000</v>
      </c>
      <c r="BV69" s="172">
        <f t="array" aca="1" ref="BV69" ca="1">IF(OR($D69&lt;&gt;"Serviço",AND(AUTOEVENTO="Manual",$M69=$A$15),$M69&gt;(ROW(PLE.lastrow)-ROW(PLE.firstrow))),0,
           IF(OFFSET(PLE!$G$15,$M69-$A$15,BV$13)="",10^12,OFFSET(PLE!$G$15,$M69-$A$15,BV$13)))</f>
        <v>1000000000000</v>
      </c>
      <c r="BW69" s="172">
        <f t="array" aca="1" ref="BW69" ca="1">IF(OR($D69&lt;&gt;"Serviço",AND(AUTOEVENTO="Manual",$M69=$A$15),$M69&gt;(ROW(PLE.lastrow)-ROW(PLE.firstrow))),0,
           IF(OFFSET(PLE!$G$15,$M69-$A$15,BW$13)="",10^12,OFFSET(PLE!$G$15,$M69-$A$15,BW$13)))</f>
        <v>1000000000000</v>
      </c>
      <c r="BX69" s="172">
        <f t="array" aca="1" ref="BX69" ca="1">IF(OR($D69&lt;&gt;"Serviço",AND(AUTOEVENTO="Manual",$M69=$A$15),$M69&gt;(ROW(PLE.lastrow)-ROW(PLE.firstrow))),0,
           IF(OFFSET(PLE!$G$15,$M69-$A$15,BX$13)="",10^12,OFFSET(PLE!$G$15,$M69-$A$15,BX$13)))</f>
        <v>1000000000000</v>
      </c>
      <c r="BY69" s="172">
        <f t="array" aca="1" ref="BY69" ca="1">IF(OR($D69&lt;&gt;"Serviço",AND(AUTOEVENTO="Manual",$M69=$A$15),$M69&gt;(ROW(PLE.lastrow)-ROW(PLE.firstrow))),0,
           IF(OFFSET(PLE!$G$15,$M69-$A$15,BY$13)="",10^12,OFFSET(PLE!$G$15,$M69-$A$15,BY$13)))</f>
        <v>1000000000000</v>
      </c>
      <c r="BZ69" s="172">
        <f t="array" aca="1" ref="BZ69" ca="1">IF(OR($D69&lt;&gt;"Serviço",AND(AUTOEVENTO="Manual",$M69=$A$15),$M69&gt;(ROW(PLE.lastrow)-ROW(PLE.firstrow))),0,
           IF(OFFSET(PLE!$G$15,$M69-$A$15,BZ$13)="",10^12,OFFSET(PLE!$G$15,$M69-$A$15,BZ$13)))</f>
        <v>1000000000000</v>
      </c>
      <c r="CA69" s="172">
        <f t="array" aca="1" ref="CA69" ca="1">IF(OR($D69&lt;&gt;"Serviço",AND(AUTOEVENTO="Manual",$M69=$A$15),$M69&gt;(ROW(PLE.lastrow)-ROW(PLE.firstrow))),0,
           IF(OFFSET(PLE!$G$15,$M69-$A$15,CA$13)="",10^12,OFFSET(PLE!$G$15,$M69-$A$15,CA$13)))</f>
        <v>1000000000000</v>
      </c>
      <c r="CB69" s="172">
        <f t="array" aca="1" ref="CB69" ca="1">IF(OR($D69&lt;&gt;"Serviço",AND(AUTOEVENTO="Manual",$M69=$A$15),$M69&gt;(ROW(PLE.lastrow)-ROW(PLE.firstrow))),0,
           IF(OFFSET(PLE!$G$15,$M69-$A$15,CB$13)="",10^12,OFFSET(PLE!$G$15,$M69-$A$15,CB$13)))</f>
        <v>1000000000000</v>
      </c>
      <c r="CC69" s="172">
        <f t="array" aca="1" ref="CC69" ca="1">IF(OR($D69&lt;&gt;"Serviço",AND(AUTOEVENTO="Manual",$M69=$A$15),$M69&gt;(ROW(PLE.lastrow)-ROW(PLE.firstrow))),0,
           IF(OFFSET(PLE!$G$15,$M69-$A$15,CC$13)="",10^12,OFFSET(PLE!$G$15,$M69-$A$15,CC$13)))</f>
        <v>1000000000000</v>
      </c>
      <c r="CD69" s="172">
        <f t="array" aca="1" ref="CD69" ca="1">IF(OR($D69&lt;&gt;"Serviço",AND(AUTOEVENTO="Manual",$M69=$A$15),$M69&gt;(ROW(PLE.lastrow)-ROW(PLE.firstrow))),0,
           IF(OFFSET(PLE!$G$15,$M69-$A$15,CD$13)="",10^12,OFFSET(PLE!$G$15,$M69-$A$15,CD$13)))</f>
        <v>1000000000000</v>
      </c>
      <c r="CE69" s="172">
        <f t="array" aca="1" ref="CE69" ca="1">IF(OR($D69&lt;&gt;"Serviço",AND(AUTOEVENTO="Manual",$M69=$A$15),$M69&gt;(ROW(PLE.lastrow)-ROW(PLE.firstrow))),0,
           IF(OFFSET(PLE!$G$15,$M69-$A$15,CE$13)="",10^12,OFFSET(PLE!$G$15,$M69-$A$15,CE$13)))</f>
        <v>1000000000000</v>
      </c>
      <c r="CF69" s="172">
        <f t="array" aca="1" ref="CF69" ca="1">IF(OR($D69&lt;&gt;"Serviço",AND(AUTOEVENTO="Manual",$M69=$A$15),$M69&gt;(ROW(PLE.lastrow)-ROW(PLE.firstrow))),0,
           IF(OFFSET(PLE!$G$15,$M69-$A$15,CF$13)="",10^12,OFFSET(PLE!$G$15,$M69-$A$15,CF$13)))</f>
        <v>1000000000000</v>
      </c>
      <c r="CG69" s="172">
        <f t="array" aca="1" ref="CG69" ca="1">IF(OR($D69&lt;&gt;"Serviço",AND(AUTOEVENTO="Manual",$M69=$A$15),$M69&gt;(ROW(PLE.lastrow)-ROW(PLE.firstrow))),0,
           IF(OFFSET(PLE!$G$15,$M69-$A$15,CG$13)="",10^12,OFFSET(PLE!$G$15,$M69-$A$15,CG$13)))</f>
        <v>1000000000000</v>
      </c>
      <c r="CH69" s="172">
        <f t="array" aca="1" ref="CH69" ca="1">IF(OR($D69&lt;&gt;"Serviço",AND(AUTOEVENTO="Manual",$M69=$A$15),$M69&gt;(ROW(PLE.lastrow)-ROW(PLE.firstrow))),0,
           IF(OFFSET(PLE!$G$15,$M69-$A$15,CH$13)="",10^12,OFFSET(PLE!$G$15,$M69-$A$15,CH$13)))</f>
        <v>1000000000000</v>
      </c>
      <c r="CI69" s="172">
        <f t="array" aca="1" ref="CI69" ca="1">IF(OR($D69&lt;&gt;"Serviço",AND(AUTOEVENTO="Manual",$M69=$A$15),$M69&gt;(ROW(PLE.lastrow)-ROW(PLE.firstrow))),0,
           IF(OFFSET(PLE!$G$15,$M69-$A$15,CI$13)="",10^12,OFFSET(PLE!$G$15,$M69-$A$15,CI$13)))</f>
        <v>1000000000000</v>
      </c>
      <c r="CJ69" s="172">
        <f t="array" aca="1" ref="CJ69" ca="1">IF(OR($D69&lt;&gt;"Serviço",AND(AUTOEVENTO="Manual",$M69=$A$15),$M69&gt;(ROW(PLE.lastrow)-ROW(PLE.firstrow))),0,
           IF(OFFSET(PLE!$G$15,$M69-$A$15,CJ$13)="",10^12,OFFSET(PLE!$G$15,$M69-$A$15,CJ$13)))</f>
        <v>1000000000000</v>
      </c>
      <c r="CK69" s="172">
        <f t="array" aca="1" ref="CK69" ca="1">IF(OR($D69&lt;&gt;"Serviço",AND(AUTOEVENTO="Manual",$M69=$A$15),$M69&gt;(ROW(PLE.lastrow)-ROW(PLE.firstrow))),0,
           IF(OFFSET(PLE!$G$15,$M69-$A$15,CK$13)="",10^12,OFFSET(PLE!$G$15,$M69-$A$15,CK$13)))</f>
        <v>1000000000000</v>
      </c>
      <c r="CL69" s="172">
        <f t="array" aca="1" ref="CL69" ca="1">IF(OR($D69&lt;&gt;"Serviço",AND(AUTOEVENTO="Manual",$M69=$A$15),$M69&gt;(ROW(PLE.lastrow)-ROW(PLE.firstrow))),0,
           IF(OFFSET(PLE!$G$15,$M69-$A$15,CL$13)="",10^12,OFFSET(PLE!$G$15,$M69-$A$15,CL$13)))</f>
        <v>1000000000000</v>
      </c>
      <c r="CM69" s="172">
        <f t="array" aca="1" ref="CM69" ca="1">IF(OR($D69&lt;&gt;"Serviço",AND(AUTOEVENTO="Manual",$M69=$A$15),$M69&gt;(ROW(PLE.lastrow)-ROW(PLE.firstrow))),0,
           IF(OFFSET(PLE!$G$15,$M69-$A$15,CM$13)="",10^12,OFFSET(PLE!$G$15,$M69-$A$15,CM$13)))</f>
        <v>1000000000000</v>
      </c>
    </row>
    <row r="70" spans="1:91" s="696" customFormat="1" ht="51" x14ac:dyDescent="0.2">
      <c r="A70" s="694">
        <f t="shared" ca="1" si="10"/>
        <v>10</v>
      </c>
      <c r="B70" s="694" t="str">
        <f ca="1">OFFSET(ORÇAMENTO!C$15,$L70,0)</f>
        <v>S</v>
      </c>
      <c r="C70" s="694" t="str">
        <f ca="1">OFFSET(ORÇAMENTO!L$15,$L70,0)</f>
        <v>F</v>
      </c>
      <c r="D70" s="116" t="str">
        <f ca="1">OFFSET(ORÇAMENTO!N$15,$L70,0)</f>
        <v>Serviço</v>
      </c>
      <c r="E70" s="117" t="str">
        <f ca="1">OFFSET(ORÇAMENTO!O$15,$L70,0)</f>
        <v>1.9.2.</v>
      </c>
      <c r="F70" s="163" t="str">
        <f ca="1">OFFSET(ORÇAMENTO!R$15,$L70,0)</f>
        <v>CONTRAVERGA MOLDADA IN LOCO EM CONCRETO, ESPESSURA DE *10* CM. AF_03/2024</v>
      </c>
      <c r="G70" s="164" t="str">
        <f ca="1">IF($D70&lt;&gt;"Serviço","",OFFSET(ORÇAMENTO!S$15,$L70,0))</f>
        <v>M</v>
      </c>
      <c r="H70" s="122">
        <f t="array" aca="1" ref="H70" ca="1">IF($D70&lt;&gt;"Serviço",0,IF(ACOMPANHAMENTO="BM",ROUND(OFFSET(ORÇAMENTO!AJ$15,$L70,0),15-13*ORÇAMENTO!$AF$7),IF(IFERROR(CÁLCULO.FrentesPreenchidas,0)=0,0,SUM(ROUND(OFFSET($P70,0,1,1,CÁLCULO.FrentesPreenchidas),15-13*ORÇAMENTO!$AF$7)))))</f>
        <v>184</v>
      </c>
      <c r="I70" s="467" t="s">
        <v>1242</v>
      </c>
      <c r="J70" s="653" t="str">
        <f t="array" aca="1" ref="J70" ca="1">IF(OR(B70&lt;&gt;"S",CÁLCULO.FrentesPreenchidas=0),"",IF(AND(ACOMPANHAMENTO="PLE",AUTOEVENTO="Manual",OR(H70&gt;0,ORÇAMENTO!AC70="QUANT."),OR(K70="",M70=0,N70="")),"►E",IF(AND(ACOMPANHAMENTO="PLE",ORÇAMENTO!AC70="QUANT."),"►Q",IF(AND(ACOMPANHAMENTO="PLE",H70&lt;&gt;SUMPRODUCT(($Q$1:$AI$1=1)*ROUND(Q70:AI70,15))),"►S",IF(AND(COUNTIF($P$11:$AI$11,"▼")=0,H70&gt;0,I70=""),"◄M","")))))</f>
        <v/>
      </c>
      <c r="K70" s="654" t="s">
        <v>1390</v>
      </c>
      <c r="L70" s="165">
        <f t="shared" ca="1" si="11"/>
        <v>55</v>
      </c>
      <c r="M70" s="166">
        <f ca="1">IF($D70&lt;&gt;"Serviço","",
          IF(AUTOEVENTO="manual",$A70,
                IF(ISERROR(MATCH($A70,$A$15:OFFSET($A70,-1,0),0)),MAX($M$15:OFFSET(M70,-1,0))+1,
                      INDEX($M$15:OFFSET(M70,-1,0),MATCH($A70,$A$15:OFFSET($A70,-1,0),0)))))</f>
        <v>10</v>
      </c>
      <c r="N70" s="167" t="str">
        <f ca="1">IF($D70&lt;&gt;"Serviço","",
         IF(AUTOEVENTO="Manual",
                IF($A70=0,"&lt;-- defina o número do agrupador",
                       OFFSET(EVENTOS!$D$15,$A70-$A$15,0)),
                OFFSET($F$15,$A70,0)))</f>
        <v>ALVENARIAS</v>
      </c>
      <c r="O70" s="168"/>
      <c r="Q70" s="169">
        <f>9.2*5</f>
        <v>46</v>
      </c>
      <c r="R70" s="169">
        <f t="shared" ref="R70:T70" si="41">9.2*5</f>
        <v>46</v>
      </c>
      <c r="S70" s="169">
        <f t="shared" si="41"/>
        <v>46</v>
      </c>
      <c r="T70" s="169">
        <f t="shared" si="41"/>
        <v>46</v>
      </c>
      <c r="U70" s="169"/>
      <c r="V70" s="169"/>
      <c r="W70" s="169"/>
      <c r="X70" s="169"/>
      <c r="Y70" s="169"/>
      <c r="Z70" s="170"/>
      <c r="AA70" s="169"/>
      <c r="AB70" s="169"/>
      <c r="AC70" s="169"/>
      <c r="AD70" s="169"/>
      <c r="AE70" s="169"/>
      <c r="AF70" s="169"/>
      <c r="AG70" s="169"/>
      <c r="AH70" s="170"/>
      <c r="AJ70" s="452">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2395.2199999999998</v>
      </c>
      <c r="AK70" s="452">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2395.2199999999998</v>
      </c>
      <c r="AL70" s="452">
        <f ca="1">IF(AND($D70="Serviço",AL$12&lt;&gt;0,$H70&gt;0,OR(AUTOEVENTO&lt;&gt;"manual",$M70&lt;&gt;$A$15)),
        IF(Import.TipoArredondamento&lt;&gt;"TransfereGOV",
              ROUND(OFFSET($P70,0,AL$13),15-13*ORÇAMENTO!$AF$7)/$H70*OFFSET(ORÇAMENTO!$X$15,ROW(AL70)-ROW(AL$15),0),
              ROUND(ROUND(OFFSET($P70,0,AL$13),15-13*ORÇAMENTO!$AF$7)*OFFSET(ORÇAMENTO!$W$15,ROW(AL70)-ROW(AL$15),0),15-13*ORÇAMENTO!$AF$11)),
         0)</f>
        <v>2395.2199999999998</v>
      </c>
      <c r="AM70" s="452">
        <f ca="1">IF(AND($D70="Serviço",AM$12&lt;&gt;0,$H70&gt;0,OR(AUTOEVENTO&lt;&gt;"manual",$M70&lt;&gt;$A$15)),
        IF(Import.TipoArredondamento&lt;&gt;"TransfereGOV",
              ROUND(OFFSET($P70,0,AM$13),15-13*ORÇAMENTO!$AF$7)/$H70*OFFSET(ORÇAMENTO!$X$15,ROW(AM70)-ROW(AM$15),0),
              ROUND(ROUND(OFFSET($P70,0,AM$13),15-13*ORÇAMENTO!$AF$7)*OFFSET(ORÇAMENTO!$W$15,ROW(AM70)-ROW(AM$15),0),15-13*ORÇAMENTO!$AF$11)),
         0)</f>
        <v>2395.2199999999998</v>
      </c>
      <c r="AN70" s="452">
        <f ca="1">IF(AND($D70="Serviço",AN$12&lt;&gt;0,$H70&gt;0,OR(AUTOEVENTO&lt;&gt;"manual",$M70&lt;&gt;$A$15)),
        IF(Import.TipoArredondamento&lt;&gt;"TransfereGOV",
              ROUND(OFFSET($P70,0,AN$13),15-13*ORÇAMENTO!$AF$7)/$H70*OFFSET(ORÇAMENTO!$X$15,ROW(AN70)-ROW(AN$15),0),
              ROUND(ROUND(OFFSET($P70,0,AN$13),15-13*ORÇAMENTO!$AF$7)*OFFSET(ORÇAMENTO!$W$15,ROW(AN70)-ROW(AN$15),0),15-13*ORÇAMENTO!$AF$11)),
         0)</f>
        <v>0</v>
      </c>
      <c r="AO70" s="452">
        <f ca="1">IF(AND($D70="Serviço",AO$12&lt;&gt;0,$H70&gt;0,OR(AUTOEVENTO&lt;&gt;"manual",$M70&lt;&gt;$A$15)),
        IF(Import.TipoArredondamento&lt;&gt;"TransfereGOV",
              ROUND(OFFSET($P70,0,AO$13),15-13*ORÇAMENTO!$AF$7)/$H70*OFFSET(ORÇAMENTO!$X$15,ROW(AO70)-ROW(AO$15),0),
              ROUND(ROUND(OFFSET($P70,0,AO$13),15-13*ORÇAMENTO!$AF$7)*OFFSET(ORÇAMENTO!$W$15,ROW(AO70)-ROW(AO$15),0),15-13*ORÇAMENTO!$AF$11)),
         0)</f>
        <v>0</v>
      </c>
      <c r="AP70" s="452">
        <f ca="1">IF(AND($D70="Serviço",AP$12&lt;&gt;0,$H70&gt;0,OR(AUTOEVENTO&lt;&gt;"manual",$M70&lt;&gt;$A$15)),
        IF(Import.TipoArredondamento&lt;&gt;"TransfereGOV",
              ROUND(OFFSET($P70,0,AP$13),15-13*ORÇAMENTO!$AF$7)/$H70*OFFSET(ORÇAMENTO!$X$15,ROW(AP70)-ROW(AP$15),0),
              ROUND(ROUND(OFFSET($P70,0,AP$13),15-13*ORÇAMENTO!$AF$7)*OFFSET(ORÇAMENTO!$W$15,ROW(AP70)-ROW(AP$15),0),15-13*ORÇAMENTO!$AF$11)),
         0)</f>
        <v>0</v>
      </c>
      <c r="AQ70" s="452">
        <f ca="1">IF(AND($D70="Serviço",AQ$12&lt;&gt;0,$H70&gt;0,OR(AUTOEVENTO&lt;&gt;"manual",$M70&lt;&gt;$A$15)),
        IF(Import.TipoArredondamento&lt;&gt;"TransfereGOV",
              ROUND(OFFSET($P70,0,AQ$13),15-13*ORÇAMENTO!$AF$7)/$H70*OFFSET(ORÇAMENTO!$X$15,ROW(AQ70)-ROW(AQ$15),0),
              ROUND(ROUND(OFFSET($P70,0,AQ$13),15-13*ORÇAMENTO!$AF$7)*OFFSET(ORÇAMENTO!$W$15,ROW(AQ70)-ROW(AQ$15),0),15-13*ORÇAMENTO!$AF$11)),
         0)</f>
        <v>0</v>
      </c>
      <c r="AR70" s="452">
        <f ca="1">IF(AND($D70="Serviço",AR$12&lt;&gt;0,$H70&gt;0,OR(AUTOEVENTO&lt;&gt;"manual",$M70&lt;&gt;$A$15)),
        IF(Import.TipoArredondamento&lt;&gt;"TransfereGOV",
              ROUND(OFFSET($P70,0,AR$13),15-13*ORÇAMENTO!$AF$7)/$H70*OFFSET(ORÇAMENTO!$X$15,ROW(AR70)-ROW(AR$15),0),
              ROUND(ROUND(OFFSET($P70,0,AR$13),15-13*ORÇAMENTO!$AF$7)*OFFSET(ORÇAMENTO!$W$15,ROW(AR70)-ROW(AR$15),0),15-13*ORÇAMENTO!$AF$11)),
         0)</f>
        <v>0</v>
      </c>
      <c r="AS70" s="452">
        <f ca="1">IF(AND($D70="Serviço",AS$12&lt;&gt;0,$H70&gt;0,OR(AUTOEVENTO&lt;&gt;"manual",$M70&lt;&gt;$A$15)),
        IF(Import.TipoArredondamento&lt;&gt;"TransfereGOV",
              ROUND(OFFSET($P70,0,AS$13),15-13*ORÇAMENTO!$AF$7)/$H70*OFFSET(ORÇAMENTO!$X$15,ROW(AS70)-ROW(AS$15),0),
              ROUND(ROUND(OFFSET($P70,0,AS$13),15-13*ORÇAMENTO!$AF$7)*OFFSET(ORÇAMENTO!$W$15,ROW(AS70)-ROW(AS$15),0),15-13*ORÇAMENTO!$AF$11)),
         0)</f>
        <v>0</v>
      </c>
      <c r="AT70" s="452">
        <f ca="1">IF(AND($D70="Serviço",AT$12&lt;&gt;0,$H70&gt;0,OR(AUTOEVENTO&lt;&gt;"manual",$M70&lt;&gt;$A$15)),
        IF(Import.TipoArredondamento&lt;&gt;"TransfereGOV",
              ROUND(OFFSET($P70,0,AT$13),15-13*ORÇAMENTO!$AF$7)/$H70*OFFSET(ORÇAMENTO!$X$15,ROW(AT70)-ROW(AT$15),0),
              ROUND(ROUND(OFFSET($P70,0,AT$13),15-13*ORÇAMENTO!$AF$7)*OFFSET(ORÇAMENTO!$W$15,ROW(AT70)-ROW(AT$15),0),15-13*ORÇAMENTO!$AF$11)),
         0)</f>
        <v>0</v>
      </c>
      <c r="AU70" s="452">
        <f ca="1">IF(AND($D70="Serviço",AU$12&lt;&gt;0,$H70&gt;0,OR(AUTOEVENTO&lt;&gt;"manual",$M70&lt;&gt;$A$15)),
        IF(Import.TipoArredondamento&lt;&gt;"TransfereGOV",
              ROUND(OFFSET($P70,0,AU$13),15-13*ORÇAMENTO!$AF$7)/$H70*OFFSET(ORÇAMENTO!$X$15,ROW(AU70)-ROW(AU$15),0),
              ROUND(ROUND(OFFSET($P70,0,AU$13),15-13*ORÇAMENTO!$AF$7)*OFFSET(ORÇAMENTO!$W$15,ROW(AU70)-ROW(AU$15),0),15-13*ORÇAMENTO!$AF$11)),
         0)</f>
        <v>0</v>
      </c>
      <c r="AV70" s="452">
        <f ca="1">IF(AND($D70="Serviço",AV$12&lt;&gt;0,$H70&gt;0,OR(AUTOEVENTO&lt;&gt;"manual",$M70&lt;&gt;$A$15)),
        IF(Import.TipoArredondamento&lt;&gt;"TransfereGOV",
              ROUND(OFFSET($P70,0,AV$13),15-13*ORÇAMENTO!$AF$7)/$H70*OFFSET(ORÇAMENTO!$X$15,ROW(AV70)-ROW(AV$15),0),
              ROUND(ROUND(OFFSET($P70,0,AV$13),15-13*ORÇAMENTO!$AF$7)*OFFSET(ORÇAMENTO!$W$15,ROW(AV70)-ROW(AV$15),0),15-13*ORÇAMENTO!$AF$11)),
         0)</f>
        <v>0</v>
      </c>
      <c r="AW70" s="452">
        <f ca="1">IF(AND($D70="Serviço",AW$12&lt;&gt;0,$H70&gt;0,OR(AUTOEVENTO&lt;&gt;"manual",$M70&lt;&gt;$A$15)),
        IF(Import.TipoArredondamento&lt;&gt;"TransfereGOV",
              ROUND(OFFSET($P70,0,AW$13),15-13*ORÇAMENTO!$AF$7)/$H70*OFFSET(ORÇAMENTO!$X$15,ROW(AW70)-ROW(AW$15),0),
              ROUND(ROUND(OFFSET($P70,0,AW$13),15-13*ORÇAMENTO!$AF$7)*OFFSET(ORÇAMENTO!$W$15,ROW(AW70)-ROW(AW$15),0),15-13*ORÇAMENTO!$AF$11)),
         0)</f>
        <v>0</v>
      </c>
      <c r="AX70" s="452">
        <f ca="1">IF(AND($D70="Serviço",AX$12&lt;&gt;0,$H70&gt;0,OR(AUTOEVENTO&lt;&gt;"manual",$M70&lt;&gt;$A$15)),
        IF(Import.TipoArredondamento&lt;&gt;"TransfereGOV",
              ROUND(OFFSET($P70,0,AX$13),15-13*ORÇAMENTO!$AF$7)/$H70*OFFSET(ORÇAMENTO!$X$15,ROW(AX70)-ROW(AX$15),0),
              ROUND(ROUND(OFFSET($P70,0,AX$13),15-13*ORÇAMENTO!$AF$7)*OFFSET(ORÇAMENTO!$W$15,ROW(AX70)-ROW(AX$15),0),15-13*ORÇAMENTO!$AF$11)),
         0)</f>
        <v>0</v>
      </c>
      <c r="AY70" s="452">
        <f ca="1">IF(AND($D70="Serviço",AY$12&lt;&gt;0,$H70&gt;0,OR(AUTOEVENTO&lt;&gt;"manual",$M70&lt;&gt;$A$15)),
        IF(Import.TipoArredondamento&lt;&gt;"TransfereGOV",
              ROUND(OFFSET($P70,0,AY$13),15-13*ORÇAMENTO!$AF$7)/$H70*OFFSET(ORÇAMENTO!$X$15,ROW(AY70)-ROW(AY$15),0),
              ROUND(ROUND(OFFSET($P70,0,AY$13),15-13*ORÇAMENTO!$AF$7)*OFFSET(ORÇAMENTO!$W$15,ROW(AY70)-ROW(AY$15),0),15-13*ORÇAMENTO!$AF$11)),
         0)</f>
        <v>0</v>
      </c>
      <c r="AZ70" s="452">
        <f ca="1">IF(AND($D70="Serviço",AZ$12&lt;&gt;0,$H70&gt;0,OR(AUTOEVENTO&lt;&gt;"manual",$M70&lt;&gt;$A$15)),
        IF(Import.TipoArredondamento&lt;&gt;"TransfereGOV",
              ROUND(OFFSET($P70,0,AZ$13),15-13*ORÇAMENTO!$AF$7)/$H70*OFFSET(ORÇAMENTO!$X$15,ROW(AZ70)-ROW(AZ$15),0),
              ROUND(ROUND(OFFSET($P70,0,AZ$13),15-13*ORÇAMENTO!$AF$7)*OFFSET(ORÇAMENTO!$W$15,ROW(AZ70)-ROW(AZ$15),0),15-13*ORÇAMENTO!$AF$11)),
         0)</f>
        <v>0</v>
      </c>
      <c r="BA70" s="452">
        <f ca="1">IF(AND($D70="Serviço",BA$12&lt;&gt;0,$H70&gt;0,OR(AUTOEVENTO&lt;&gt;"manual",$M70&lt;&gt;$A$15)),
        IF(Import.TipoArredondamento&lt;&gt;"TransfereGOV",
              ROUND(OFFSET($P70,0,BA$13),15-13*ORÇAMENTO!$AF$7)/$H70*OFFSET(ORÇAMENTO!$X$15,ROW(BA70)-ROW(BA$15),0),
              ROUND(ROUND(OFFSET($P70,0,BA$13),15-13*ORÇAMENTO!$AF$7)*OFFSET(ORÇAMENTO!$W$15,ROW(BA70)-ROW(BA$15),0),15-13*ORÇAMENTO!$AF$11)),
         0)</f>
        <v>0</v>
      </c>
      <c r="BC70" s="171">
        <f ca="1">IF(OR($D70&lt;&gt;"Serviço",AND(AUTOEVENTO="Manual",$M70=$A$15)),0,
         IF(OFFSET(CRONOPLE!$F$15,$M70-$A$15,BC$13)=0,10^12,OFFSET(CRONOPLE!$F$15,$M70-$A$15,BC$13)))</f>
        <v>3</v>
      </c>
      <c r="BD70" s="171">
        <f ca="1">IF(OR($D70&lt;&gt;"Serviço",AND(AUTOEVENTO="Manual",$M70=$A$15)),0,
         IF(OFFSET(CRONOPLE!$F$15,$M70-$A$15,BD$13)=0,10^12,OFFSET(CRONOPLE!$F$15,$M70-$A$15,BD$13)))</f>
        <v>3</v>
      </c>
      <c r="BE70" s="171">
        <f ca="1">IF(OR($D70&lt;&gt;"Serviço",AND(AUTOEVENTO="Manual",$M70=$A$15)),0,
         IF(OFFSET(CRONOPLE!$F$15,$M70-$A$15,BE$13)=0,10^12,OFFSET(CRONOPLE!$F$15,$M70-$A$15,BE$13)))</f>
        <v>4</v>
      </c>
      <c r="BF70" s="171">
        <f ca="1">IF(OR($D70&lt;&gt;"Serviço",AND(AUTOEVENTO="Manual",$M70=$A$15)),0,
         IF(OFFSET(CRONOPLE!$F$15,$M70-$A$15,BF$13)=0,10^12,OFFSET(CRONOPLE!$F$15,$M70-$A$15,BF$13)))</f>
        <v>4</v>
      </c>
      <c r="BG70" s="171">
        <f ca="1">IF(OR($D70&lt;&gt;"Serviço",AND(AUTOEVENTO="Manual",$M70=$A$15)),0,
         IF(OFFSET(CRONOPLE!$F$15,$M70-$A$15,BG$13)=0,10^12,OFFSET(CRONOPLE!$F$15,$M70-$A$15,BG$13)))</f>
        <v>4</v>
      </c>
      <c r="BH70" s="171">
        <f ca="1">IF(OR($D70&lt;&gt;"Serviço",AND(AUTOEVENTO="Manual",$M70=$A$15)),0,
         IF(OFFSET(CRONOPLE!$F$15,$M70-$A$15,BH$13)=0,10^12,OFFSET(CRONOPLE!$F$15,$M70-$A$15,BH$13)))</f>
        <v>1000000000000</v>
      </c>
      <c r="BI70" s="171">
        <f ca="1">IF(OR($D70&lt;&gt;"Serviço",AND(AUTOEVENTO="Manual",$M70=$A$15)),0,
         IF(OFFSET(CRONOPLE!$F$15,$M70-$A$15,BI$13)=0,10^12,OFFSET(CRONOPLE!$F$15,$M70-$A$15,BI$13)))</f>
        <v>7</v>
      </c>
      <c r="BJ70" s="171">
        <f ca="1">IF(OR($D70&lt;&gt;"Serviço",AND(AUTOEVENTO="Manual",$M70=$A$15)),0,
         IF(OFFSET(CRONOPLE!$F$15,$M70-$A$15,BJ$13)=0,10^12,OFFSET(CRONOPLE!$F$15,$M70-$A$15,BJ$13)))</f>
        <v>8</v>
      </c>
      <c r="BK70" s="171">
        <f ca="1">IF(OR($D70&lt;&gt;"Serviço",AND(AUTOEVENTO="Manual",$M70=$A$15)),0,
         IF(OFFSET(CRONOPLE!$F$15,$M70-$A$15,BK$13)=0,10^12,OFFSET(CRONOPLE!$F$15,$M70-$A$15,BK$13)))</f>
        <v>1000000000000</v>
      </c>
      <c r="BL70" s="171">
        <f ca="1">IF(OR($D70&lt;&gt;"Serviço",AND(AUTOEVENTO="Manual",$M70=$A$15)),0,
         IF(OFFSET(CRONOPLE!$F$15,$M70-$A$15,BL$13)=0,10^12,OFFSET(CRONOPLE!$F$15,$M70-$A$15,BL$13)))</f>
        <v>1000000000000</v>
      </c>
      <c r="BM70" s="171">
        <f ca="1">IF(OR($D70&lt;&gt;"Serviço",AND(AUTOEVENTO="Manual",$M70=$A$15)),0,
         IF(OFFSET(CRONOPLE!$F$15,$M70-$A$15,BM$13)=0,10^12,OFFSET(CRONOPLE!$F$15,$M70-$A$15,BM$13)))</f>
        <v>1000000000000</v>
      </c>
      <c r="BN70" s="171">
        <f ca="1">IF(OR($D70&lt;&gt;"Serviço",AND(AUTOEVENTO="Manual",$M70=$A$15)),0,
         IF(OFFSET(CRONOPLE!$F$15,$M70-$A$15,BN$13)=0,10^12,OFFSET(CRONOPLE!$F$15,$M70-$A$15,BN$13)))</f>
        <v>1000000000000</v>
      </c>
      <c r="BO70" s="171">
        <f ca="1">IF(OR($D70&lt;&gt;"Serviço",AND(AUTOEVENTO="Manual",$M70=$A$15)),0,
         IF(OFFSET(CRONOPLE!$F$15,$M70-$A$15,BO$13)=0,10^12,OFFSET(CRONOPLE!$F$15,$M70-$A$15,BO$13)))</f>
        <v>1000000000000</v>
      </c>
      <c r="BP70" s="171">
        <f ca="1">IF(OR($D70&lt;&gt;"Serviço",AND(AUTOEVENTO="Manual",$M70=$A$15)),0,
         IF(OFFSET(CRONOPLE!$F$15,$M70-$A$15,BP$13)=0,10^12,OFFSET(CRONOPLE!$F$15,$M70-$A$15,BP$13)))</f>
        <v>1000000000000</v>
      </c>
      <c r="BQ70" s="171">
        <f ca="1">IF(OR($D70&lt;&gt;"Serviço",AND(AUTOEVENTO="Manual",$M70=$A$15)),0,
         IF(OFFSET(CRONOPLE!$F$15,$M70-$A$15,BQ$13)=0,10^12,OFFSET(CRONOPLE!$F$15,$M70-$A$15,BQ$13)))</f>
        <v>1000000000000</v>
      </c>
      <c r="BR70" s="171">
        <f ca="1">IF(OR($D70&lt;&gt;"Serviço",AND(AUTOEVENTO="Manual",$M70=$A$15)),0,
         IF(OFFSET(CRONOPLE!$F$15,$M70-$A$15,BR$13)=0,10^12,OFFSET(CRONOPLE!$F$15,$M70-$A$15,BR$13)))</f>
        <v>1000000000000</v>
      </c>
      <c r="BS70" s="171">
        <f ca="1">IF(OR($D70&lt;&gt;"Serviço",AND(AUTOEVENTO="Manual",$M70=$A$15)),0,
         IF(OFFSET(CRONOPLE!$F$15,$M70-$A$15,BS$13)=0,10^12,OFFSET(CRONOPLE!$F$15,$M70-$A$15,BS$13)))</f>
        <v>1000000000000</v>
      </c>
      <c r="BT70" s="171">
        <f ca="1">IF(OR($D70&lt;&gt;"Serviço",AND(AUTOEVENTO="Manual",$M70=$A$15)),0,
         IF(OFFSET(CRONOPLE!$F$15,$M70-$A$15,BT$13)=0,10^12,OFFSET(CRONOPLE!$F$15,$M70-$A$15,BT$13)))</f>
        <v>1000000000000</v>
      </c>
      <c r="BV70" s="172">
        <f t="array" aca="1" ref="BV70" ca="1">IF(OR($D70&lt;&gt;"Serviço",AND(AUTOEVENTO="Manual",$M70=$A$15),$M70&gt;(ROW(PLE.lastrow)-ROW(PLE.firstrow))),0,
           IF(OFFSET(PLE!$G$15,$M70-$A$15,BV$13)="",10^12,OFFSET(PLE!$G$15,$M70-$A$15,BV$13)))</f>
        <v>1000000000000</v>
      </c>
      <c r="BW70" s="172">
        <f t="array" aca="1" ref="BW70" ca="1">IF(OR($D70&lt;&gt;"Serviço",AND(AUTOEVENTO="Manual",$M70=$A$15),$M70&gt;(ROW(PLE.lastrow)-ROW(PLE.firstrow))),0,
           IF(OFFSET(PLE!$G$15,$M70-$A$15,BW$13)="",10^12,OFFSET(PLE!$G$15,$M70-$A$15,BW$13)))</f>
        <v>1000000000000</v>
      </c>
      <c r="BX70" s="172">
        <f t="array" aca="1" ref="BX70" ca="1">IF(OR($D70&lt;&gt;"Serviço",AND(AUTOEVENTO="Manual",$M70=$A$15),$M70&gt;(ROW(PLE.lastrow)-ROW(PLE.firstrow))),0,
           IF(OFFSET(PLE!$G$15,$M70-$A$15,BX$13)="",10^12,OFFSET(PLE!$G$15,$M70-$A$15,BX$13)))</f>
        <v>1000000000000</v>
      </c>
      <c r="BY70" s="172">
        <f t="array" aca="1" ref="BY70" ca="1">IF(OR($D70&lt;&gt;"Serviço",AND(AUTOEVENTO="Manual",$M70=$A$15),$M70&gt;(ROW(PLE.lastrow)-ROW(PLE.firstrow))),0,
           IF(OFFSET(PLE!$G$15,$M70-$A$15,BY$13)="",10^12,OFFSET(PLE!$G$15,$M70-$A$15,BY$13)))</f>
        <v>1000000000000</v>
      </c>
      <c r="BZ70" s="172">
        <f t="array" aca="1" ref="BZ70" ca="1">IF(OR($D70&lt;&gt;"Serviço",AND(AUTOEVENTO="Manual",$M70=$A$15),$M70&gt;(ROW(PLE.lastrow)-ROW(PLE.firstrow))),0,
           IF(OFFSET(PLE!$G$15,$M70-$A$15,BZ$13)="",10^12,OFFSET(PLE!$G$15,$M70-$A$15,BZ$13)))</f>
        <v>1000000000000</v>
      </c>
      <c r="CA70" s="172">
        <f t="array" aca="1" ref="CA70" ca="1">IF(OR($D70&lt;&gt;"Serviço",AND(AUTOEVENTO="Manual",$M70=$A$15),$M70&gt;(ROW(PLE.lastrow)-ROW(PLE.firstrow))),0,
           IF(OFFSET(PLE!$G$15,$M70-$A$15,CA$13)="",10^12,OFFSET(PLE!$G$15,$M70-$A$15,CA$13)))</f>
        <v>1000000000000</v>
      </c>
      <c r="CB70" s="172">
        <f t="array" aca="1" ref="CB70" ca="1">IF(OR($D70&lt;&gt;"Serviço",AND(AUTOEVENTO="Manual",$M70=$A$15),$M70&gt;(ROW(PLE.lastrow)-ROW(PLE.firstrow))),0,
           IF(OFFSET(PLE!$G$15,$M70-$A$15,CB$13)="",10^12,OFFSET(PLE!$G$15,$M70-$A$15,CB$13)))</f>
        <v>1000000000000</v>
      </c>
      <c r="CC70" s="172">
        <f t="array" aca="1" ref="CC70" ca="1">IF(OR($D70&lt;&gt;"Serviço",AND(AUTOEVENTO="Manual",$M70=$A$15),$M70&gt;(ROW(PLE.lastrow)-ROW(PLE.firstrow))),0,
           IF(OFFSET(PLE!$G$15,$M70-$A$15,CC$13)="",10^12,OFFSET(PLE!$G$15,$M70-$A$15,CC$13)))</f>
        <v>1000000000000</v>
      </c>
      <c r="CD70" s="172">
        <f t="array" aca="1" ref="CD70" ca="1">IF(OR($D70&lt;&gt;"Serviço",AND(AUTOEVENTO="Manual",$M70=$A$15),$M70&gt;(ROW(PLE.lastrow)-ROW(PLE.firstrow))),0,
           IF(OFFSET(PLE!$G$15,$M70-$A$15,CD$13)="",10^12,OFFSET(PLE!$G$15,$M70-$A$15,CD$13)))</f>
        <v>1000000000000</v>
      </c>
      <c r="CE70" s="172">
        <f t="array" aca="1" ref="CE70" ca="1">IF(OR($D70&lt;&gt;"Serviço",AND(AUTOEVENTO="Manual",$M70=$A$15),$M70&gt;(ROW(PLE.lastrow)-ROW(PLE.firstrow))),0,
           IF(OFFSET(PLE!$G$15,$M70-$A$15,CE$13)="",10^12,OFFSET(PLE!$G$15,$M70-$A$15,CE$13)))</f>
        <v>1000000000000</v>
      </c>
      <c r="CF70" s="172">
        <f t="array" aca="1" ref="CF70" ca="1">IF(OR($D70&lt;&gt;"Serviço",AND(AUTOEVENTO="Manual",$M70=$A$15),$M70&gt;(ROW(PLE.lastrow)-ROW(PLE.firstrow))),0,
           IF(OFFSET(PLE!$G$15,$M70-$A$15,CF$13)="",10^12,OFFSET(PLE!$G$15,$M70-$A$15,CF$13)))</f>
        <v>1000000000000</v>
      </c>
      <c r="CG70" s="172">
        <f t="array" aca="1" ref="CG70" ca="1">IF(OR($D70&lt;&gt;"Serviço",AND(AUTOEVENTO="Manual",$M70=$A$15),$M70&gt;(ROW(PLE.lastrow)-ROW(PLE.firstrow))),0,
           IF(OFFSET(PLE!$G$15,$M70-$A$15,CG$13)="",10^12,OFFSET(PLE!$G$15,$M70-$A$15,CG$13)))</f>
        <v>1000000000000</v>
      </c>
      <c r="CH70" s="172">
        <f t="array" aca="1" ref="CH70" ca="1">IF(OR($D70&lt;&gt;"Serviço",AND(AUTOEVENTO="Manual",$M70=$A$15),$M70&gt;(ROW(PLE.lastrow)-ROW(PLE.firstrow))),0,
           IF(OFFSET(PLE!$G$15,$M70-$A$15,CH$13)="",10^12,OFFSET(PLE!$G$15,$M70-$A$15,CH$13)))</f>
        <v>1000000000000</v>
      </c>
      <c r="CI70" s="172">
        <f t="array" aca="1" ref="CI70" ca="1">IF(OR($D70&lt;&gt;"Serviço",AND(AUTOEVENTO="Manual",$M70=$A$15),$M70&gt;(ROW(PLE.lastrow)-ROW(PLE.firstrow))),0,
           IF(OFFSET(PLE!$G$15,$M70-$A$15,CI$13)="",10^12,OFFSET(PLE!$G$15,$M70-$A$15,CI$13)))</f>
        <v>1000000000000</v>
      </c>
      <c r="CJ70" s="172">
        <f t="array" aca="1" ref="CJ70" ca="1">IF(OR($D70&lt;&gt;"Serviço",AND(AUTOEVENTO="Manual",$M70=$A$15),$M70&gt;(ROW(PLE.lastrow)-ROW(PLE.firstrow))),0,
           IF(OFFSET(PLE!$G$15,$M70-$A$15,CJ$13)="",10^12,OFFSET(PLE!$G$15,$M70-$A$15,CJ$13)))</f>
        <v>1000000000000</v>
      </c>
      <c r="CK70" s="172">
        <f t="array" aca="1" ref="CK70" ca="1">IF(OR($D70&lt;&gt;"Serviço",AND(AUTOEVENTO="Manual",$M70=$A$15),$M70&gt;(ROW(PLE.lastrow)-ROW(PLE.firstrow))),0,
           IF(OFFSET(PLE!$G$15,$M70-$A$15,CK$13)="",10^12,OFFSET(PLE!$G$15,$M70-$A$15,CK$13)))</f>
        <v>1000000000000</v>
      </c>
      <c r="CL70" s="172">
        <f t="array" aca="1" ref="CL70" ca="1">IF(OR($D70&lt;&gt;"Serviço",AND(AUTOEVENTO="Manual",$M70=$A$15),$M70&gt;(ROW(PLE.lastrow)-ROW(PLE.firstrow))),0,
           IF(OFFSET(PLE!$G$15,$M70-$A$15,CL$13)="",10^12,OFFSET(PLE!$G$15,$M70-$A$15,CL$13)))</f>
        <v>1000000000000</v>
      </c>
      <c r="CM70" s="172">
        <f t="array" aca="1" ref="CM70" ca="1">IF(OR($D70&lt;&gt;"Serviço",AND(AUTOEVENTO="Manual",$M70=$A$15),$M70&gt;(ROW(PLE.lastrow)-ROW(PLE.firstrow))),0,
           IF(OFFSET(PLE!$G$15,$M70-$A$15,CM$13)="",10^12,OFFSET(PLE!$G$15,$M70-$A$15,CM$13)))</f>
        <v>1000000000000</v>
      </c>
    </row>
    <row r="71" spans="1:91" s="696" customFormat="1" ht="12.75" x14ac:dyDescent="0.2">
      <c r="A71" s="694">
        <f t="shared" ca="1" si="10"/>
        <v>0</v>
      </c>
      <c r="B71" s="694">
        <f ca="1">OFFSET(ORÇAMENTO!C$15,$L71,0)</f>
        <v>2</v>
      </c>
      <c r="C71" s="694" t="str">
        <f ca="1">OFFSET(ORÇAMENTO!L$15,$L71,0)</f>
        <v>F</v>
      </c>
      <c r="D71" s="116" t="str">
        <f ca="1">OFFSET(ORÇAMENTO!N$15,$L71,0)</f>
        <v>Nível 2</v>
      </c>
      <c r="E71" s="117" t="str">
        <f ca="1">OFFSET(ORÇAMENTO!O$15,$L71,0)</f>
        <v>1.10.</v>
      </c>
      <c r="F71" s="163" t="str">
        <f ca="1">OFFSET(ORÇAMENTO!R$15,$L71,0)</f>
        <v>ESQUADRIAS METÁLICAS</v>
      </c>
      <c r="G71" s="164" t="str">
        <f ca="1">IF($D71&lt;&gt;"Serviço","",OFFSET(ORÇAMENTO!S$15,$L71,0))</f>
        <v/>
      </c>
      <c r="H71" s="122">
        <f t="array" aca="1" ref="H71" ca="1">IF($D71&lt;&gt;"Serviço",0,IF(ACOMPANHAMENTO="BM",ROUND(OFFSET(ORÇAMENTO!AJ$15,$L71,0),15-13*ORÇAMENTO!$AF$7),IF(IFERROR(CÁLCULO.FrentesPreenchidas,0)=0,0,SUM(ROUND(OFFSET($P71,0,1,1,CÁLCULO.FrentesPreenchidas),15-13*ORÇAMENTO!$AF$7)))))</f>
        <v>0</v>
      </c>
      <c r="I71" s="467"/>
      <c r="J71" s="653" t="str">
        <f t="array" aca="1" ref="J71" ca="1">IF(OR(B71&lt;&gt;"S",CÁLCULO.FrentesPreenchidas=0),"",IF(AND(ACOMPANHAMENTO="PLE",AUTOEVENTO="Manual",OR(H71&gt;0,ORÇAMENTO!AC71="QUANT."),OR(K71="",M71=0,N71="")),"►E",IF(AND(ACOMPANHAMENTO="PLE",ORÇAMENTO!AC71="QUANT."),"►Q",IF(AND(ACOMPANHAMENTO="PLE",H71&lt;&gt;SUMPRODUCT(($Q$1:$AI$1=1)*ROUND(Q71:AI71,15))),"►S",IF(AND(COUNTIF($P$11:$AI$11,"▼")=0,H71&gt;0,I71=""),"◄M","")))))</f>
        <v/>
      </c>
      <c r="K71" s="654"/>
      <c r="L71" s="165">
        <f t="shared" ca="1" si="11"/>
        <v>56</v>
      </c>
      <c r="M71" s="166" t="str">
        <f ca="1">IF($D71&lt;&gt;"Serviço","",
          IF(AUTOEVENTO="manual",$A71,
                IF(ISERROR(MATCH($A71,$A$15:OFFSET($A71,-1,0),0)),MAX($M$15:OFFSET(M71,-1,0))+1,
                      INDEX($M$15:OFFSET(M71,-1,0),MATCH($A71,$A$15:OFFSET($A71,-1,0),0)))))</f>
        <v/>
      </c>
      <c r="N71" s="167" t="str">
        <f ca="1">IF($D71&lt;&gt;"Serviço","",
         IF(AUTOEVENTO="Manual",
                IF($A71=0,"&lt;-- defina o número do agrupador",
                       OFFSET(EVENTOS!$D$15,$A71-$A$15,0)),
                OFFSET($F$15,$A71,0)))</f>
        <v/>
      </c>
      <c r="O71" s="168"/>
      <c r="Q71" s="169"/>
      <c r="R71" s="169"/>
      <c r="S71" s="169"/>
      <c r="T71" s="169"/>
      <c r="U71" s="169"/>
      <c r="V71" s="169"/>
      <c r="W71" s="169"/>
      <c r="X71" s="169"/>
      <c r="Y71" s="169"/>
      <c r="Z71" s="170"/>
      <c r="AA71" s="169"/>
      <c r="AB71" s="169"/>
      <c r="AC71" s="169"/>
      <c r="AD71" s="169"/>
      <c r="AE71" s="169"/>
      <c r="AF71" s="169"/>
      <c r="AG71" s="169"/>
      <c r="AH71" s="170"/>
      <c r="AJ71" s="452">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2">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L71" s="452">
        <f ca="1">IF(AND($D71="Serviço",AL$12&lt;&gt;0,$H71&gt;0,OR(AUTOEVENTO&lt;&gt;"manual",$M71&lt;&gt;$A$15)),
        IF(Import.TipoArredondamento&lt;&gt;"TransfereGOV",
              ROUND(OFFSET($P71,0,AL$13),15-13*ORÇAMENTO!$AF$7)/$H71*OFFSET(ORÇAMENTO!$X$15,ROW(AL71)-ROW(AL$15),0),
              ROUND(ROUND(OFFSET($P71,0,AL$13),15-13*ORÇAMENTO!$AF$7)*OFFSET(ORÇAMENTO!$W$15,ROW(AL71)-ROW(AL$15),0),15-13*ORÇAMENTO!$AF$11)),
         0)</f>
        <v>0</v>
      </c>
      <c r="AM71" s="452">
        <f ca="1">IF(AND($D71="Serviço",AM$12&lt;&gt;0,$H71&gt;0,OR(AUTOEVENTO&lt;&gt;"manual",$M71&lt;&gt;$A$15)),
        IF(Import.TipoArredondamento&lt;&gt;"TransfereGOV",
              ROUND(OFFSET($P71,0,AM$13),15-13*ORÇAMENTO!$AF$7)/$H71*OFFSET(ORÇAMENTO!$X$15,ROW(AM71)-ROW(AM$15),0),
              ROUND(ROUND(OFFSET($P71,0,AM$13),15-13*ORÇAMENTO!$AF$7)*OFFSET(ORÇAMENTO!$W$15,ROW(AM71)-ROW(AM$15),0),15-13*ORÇAMENTO!$AF$11)),
         0)</f>
        <v>0</v>
      </c>
      <c r="AN71" s="452">
        <f ca="1">IF(AND($D71="Serviço",AN$12&lt;&gt;0,$H71&gt;0,OR(AUTOEVENTO&lt;&gt;"manual",$M71&lt;&gt;$A$15)),
        IF(Import.TipoArredondamento&lt;&gt;"TransfereGOV",
              ROUND(OFFSET($P71,0,AN$13),15-13*ORÇAMENTO!$AF$7)/$H71*OFFSET(ORÇAMENTO!$X$15,ROW(AN71)-ROW(AN$15),0),
              ROUND(ROUND(OFFSET($P71,0,AN$13),15-13*ORÇAMENTO!$AF$7)*OFFSET(ORÇAMENTO!$W$15,ROW(AN71)-ROW(AN$15),0),15-13*ORÇAMENTO!$AF$11)),
         0)</f>
        <v>0</v>
      </c>
      <c r="AO71" s="452">
        <f ca="1">IF(AND($D71="Serviço",AO$12&lt;&gt;0,$H71&gt;0,OR(AUTOEVENTO&lt;&gt;"manual",$M71&lt;&gt;$A$15)),
        IF(Import.TipoArredondamento&lt;&gt;"TransfereGOV",
              ROUND(OFFSET($P71,0,AO$13),15-13*ORÇAMENTO!$AF$7)/$H71*OFFSET(ORÇAMENTO!$X$15,ROW(AO71)-ROW(AO$15),0),
              ROUND(ROUND(OFFSET($P71,0,AO$13),15-13*ORÇAMENTO!$AF$7)*OFFSET(ORÇAMENTO!$W$15,ROW(AO71)-ROW(AO$15),0),15-13*ORÇAMENTO!$AF$11)),
         0)</f>
        <v>0</v>
      </c>
      <c r="AP71" s="452">
        <f ca="1">IF(AND($D71="Serviço",AP$12&lt;&gt;0,$H71&gt;0,OR(AUTOEVENTO&lt;&gt;"manual",$M71&lt;&gt;$A$15)),
        IF(Import.TipoArredondamento&lt;&gt;"TransfereGOV",
              ROUND(OFFSET($P71,0,AP$13),15-13*ORÇAMENTO!$AF$7)/$H71*OFFSET(ORÇAMENTO!$X$15,ROW(AP71)-ROW(AP$15),0),
              ROUND(ROUND(OFFSET($P71,0,AP$13),15-13*ORÇAMENTO!$AF$7)*OFFSET(ORÇAMENTO!$W$15,ROW(AP71)-ROW(AP$15),0),15-13*ORÇAMENTO!$AF$11)),
         0)</f>
        <v>0</v>
      </c>
      <c r="AQ71" s="452">
        <f ca="1">IF(AND($D71="Serviço",AQ$12&lt;&gt;0,$H71&gt;0,OR(AUTOEVENTO&lt;&gt;"manual",$M71&lt;&gt;$A$15)),
        IF(Import.TipoArredondamento&lt;&gt;"TransfereGOV",
              ROUND(OFFSET($P71,0,AQ$13),15-13*ORÇAMENTO!$AF$7)/$H71*OFFSET(ORÇAMENTO!$X$15,ROW(AQ71)-ROW(AQ$15),0),
              ROUND(ROUND(OFFSET($P71,0,AQ$13),15-13*ORÇAMENTO!$AF$7)*OFFSET(ORÇAMENTO!$W$15,ROW(AQ71)-ROW(AQ$15),0),15-13*ORÇAMENTO!$AF$11)),
         0)</f>
        <v>0</v>
      </c>
      <c r="AR71" s="452">
        <f ca="1">IF(AND($D71="Serviço",AR$12&lt;&gt;0,$H71&gt;0,OR(AUTOEVENTO&lt;&gt;"manual",$M71&lt;&gt;$A$15)),
        IF(Import.TipoArredondamento&lt;&gt;"TransfereGOV",
              ROUND(OFFSET($P71,0,AR$13),15-13*ORÇAMENTO!$AF$7)/$H71*OFFSET(ORÇAMENTO!$X$15,ROW(AR71)-ROW(AR$15),0),
              ROUND(ROUND(OFFSET($P71,0,AR$13),15-13*ORÇAMENTO!$AF$7)*OFFSET(ORÇAMENTO!$W$15,ROW(AR71)-ROW(AR$15),0),15-13*ORÇAMENTO!$AF$11)),
         0)</f>
        <v>0</v>
      </c>
      <c r="AS71" s="452">
        <f ca="1">IF(AND($D71="Serviço",AS$12&lt;&gt;0,$H71&gt;0,OR(AUTOEVENTO&lt;&gt;"manual",$M71&lt;&gt;$A$15)),
        IF(Import.TipoArredondamento&lt;&gt;"TransfereGOV",
              ROUND(OFFSET($P71,0,AS$13),15-13*ORÇAMENTO!$AF$7)/$H71*OFFSET(ORÇAMENTO!$X$15,ROW(AS71)-ROW(AS$15),0),
              ROUND(ROUND(OFFSET($P71,0,AS$13),15-13*ORÇAMENTO!$AF$7)*OFFSET(ORÇAMENTO!$W$15,ROW(AS71)-ROW(AS$15),0),15-13*ORÇAMENTO!$AF$11)),
         0)</f>
        <v>0</v>
      </c>
      <c r="AT71" s="452">
        <f ca="1">IF(AND($D71="Serviço",AT$12&lt;&gt;0,$H71&gt;0,OR(AUTOEVENTO&lt;&gt;"manual",$M71&lt;&gt;$A$15)),
        IF(Import.TipoArredondamento&lt;&gt;"TransfereGOV",
              ROUND(OFFSET($P71,0,AT$13),15-13*ORÇAMENTO!$AF$7)/$H71*OFFSET(ORÇAMENTO!$X$15,ROW(AT71)-ROW(AT$15),0),
              ROUND(ROUND(OFFSET($P71,0,AT$13),15-13*ORÇAMENTO!$AF$7)*OFFSET(ORÇAMENTO!$W$15,ROW(AT71)-ROW(AT$15),0),15-13*ORÇAMENTO!$AF$11)),
         0)</f>
        <v>0</v>
      </c>
      <c r="AU71" s="452">
        <f ca="1">IF(AND($D71="Serviço",AU$12&lt;&gt;0,$H71&gt;0,OR(AUTOEVENTO&lt;&gt;"manual",$M71&lt;&gt;$A$15)),
        IF(Import.TipoArredondamento&lt;&gt;"TransfereGOV",
              ROUND(OFFSET($P71,0,AU$13),15-13*ORÇAMENTO!$AF$7)/$H71*OFFSET(ORÇAMENTO!$X$15,ROW(AU71)-ROW(AU$15),0),
              ROUND(ROUND(OFFSET($P71,0,AU$13),15-13*ORÇAMENTO!$AF$7)*OFFSET(ORÇAMENTO!$W$15,ROW(AU71)-ROW(AU$15),0),15-13*ORÇAMENTO!$AF$11)),
         0)</f>
        <v>0</v>
      </c>
      <c r="AV71" s="452">
        <f ca="1">IF(AND($D71="Serviço",AV$12&lt;&gt;0,$H71&gt;0,OR(AUTOEVENTO&lt;&gt;"manual",$M71&lt;&gt;$A$15)),
        IF(Import.TipoArredondamento&lt;&gt;"TransfereGOV",
              ROUND(OFFSET($P71,0,AV$13),15-13*ORÇAMENTO!$AF$7)/$H71*OFFSET(ORÇAMENTO!$X$15,ROW(AV71)-ROW(AV$15),0),
              ROUND(ROUND(OFFSET($P71,0,AV$13),15-13*ORÇAMENTO!$AF$7)*OFFSET(ORÇAMENTO!$W$15,ROW(AV71)-ROW(AV$15),0),15-13*ORÇAMENTO!$AF$11)),
         0)</f>
        <v>0</v>
      </c>
      <c r="AW71" s="452">
        <f ca="1">IF(AND($D71="Serviço",AW$12&lt;&gt;0,$H71&gt;0,OR(AUTOEVENTO&lt;&gt;"manual",$M71&lt;&gt;$A$15)),
        IF(Import.TipoArredondamento&lt;&gt;"TransfereGOV",
              ROUND(OFFSET($P71,0,AW$13),15-13*ORÇAMENTO!$AF$7)/$H71*OFFSET(ORÇAMENTO!$X$15,ROW(AW71)-ROW(AW$15),0),
              ROUND(ROUND(OFFSET($P71,0,AW$13),15-13*ORÇAMENTO!$AF$7)*OFFSET(ORÇAMENTO!$W$15,ROW(AW71)-ROW(AW$15),0),15-13*ORÇAMENTO!$AF$11)),
         0)</f>
        <v>0</v>
      </c>
      <c r="AX71" s="452">
        <f ca="1">IF(AND($D71="Serviço",AX$12&lt;&gt;0,$H71&gt;0,OR(AUTOEVENTO&lt;&gt;"manual",$M71&lt;&gt;$A$15)),
        IF(Import.TipoArredondamento&lt;&gt;"TransfereGOV",
              ROUND(OFFSET($P71,0,AX$13),15-13*ORÇAMENTO!$AF$7)/$H71*OFFSET(ORÇAMENTO!$X$15,ROW(AX71)-ROW(AX$15),0),
              ROUND(ROUND(OFFSET($P71,0,AX$13),15-13*ORÇAMENTO!$AF$7)*OFFSET(ORÇAMENTO!$W$15,ROW(AX71)-ROW(AX$15),0),15-13*ORÇAMENTO!$AF$11)),
         0)</f>
        <v>0</v>
      </c>
      <c r="AY71" s="452">
        <f ca="1">IF(AND($D71="Serviço",AY$12&lt;&gt;0,$H71&gt;0,OR(AUTOEVENTO&lt;&gt;"manual",$M71&lt;&gt;$A$15)),
        IF(Import.TipoArredondamento&lt;&gt;"TransfereGOV",
              ROUND(OFFSET($P71,0,AY$13),15-13*ORÇAMENTO!$AF$7)/$H71*OFFSET(ORÇAMENTO!$X$15,ROW(AY71)-ROW(AY$15),0),
              ROUND(ROUND(OFFSET($P71,0,AY$13),15-13*ORÇAMENTO!$AF$7)*OFFSET(ORÇAMENTO!$W$15,ROW(AY71)-ROW(AY$15),0),15-13*ORÇAMENTO!$AF$11)),
         0)</f>
        <v>0</v>
      </c>
      <c r="AZ71" s="452">
        <f ca="1">IF(AND($D71="Serviço",AZ$12&lt;&gt;0,$H71&gt;0,OR(AUTOEVENTO&lt;&gt;"manual",$M71&lt;&gt;$A$15)),
        IF(Import.TipoArredondamento&lt;&gt;"TransfereGOV",
              ROUND(OFFSET($P71,0,AZ$13),15-13*ORÇAMENTO!$AF$7)/$H71*OFFSET(ORÇAMENTO!$X$15,ROW(AZ71)-ROW(AZ$15),0),
              ROUND(ROUND(OFFSET($P71,0,AZ$13),15-13*ORÇAMENTO!$AF$7)*OFFSET(ORÇAMENTO!$W$15,ROW(AZ71)-ROW(AZ$15),0),15-13*ORÇAMENTO!$AF$11)),
         0)</f>
        <v>0</v>
      </c>
      <c r="BA71" s="452">
        <f ca="1">IF(AND($D71="Serviço",BA$12&lt;&gt;0,$H71&gt;0,OR(AUTOEVENTO&lt;&gt;"manual",$M71&lt;&gt;$A$15)),
        IF(Import.TipoArredondamento&lt;&gt;"TransfereGOV",
              ROUND(OFFSET($P71,0,BA$13),15-13*ORÇAMENTO!$AF$7)/$H71*OFFSET(ORÇAMENTO!$X$15,ROW(BA71)-ROW(BA$15),0),
              ROUND(ROUND(OFFSET($P71,0,BA$13),15-13*ORÇAMENTO!$AF$7)*OFFSET(ORÇAMENTO!$W$15,ROW(BA71)-ROW(BA$15),0),15-13*ORÇAMENTO!$AF$11)),
         0)</f>
        <v>0</v>
      </c>
      <c r="BC71" s="171">
        <f ca="1">IF(OR($D71&lt;&gt;"Serviço",AND(AUTOEVENTO="Manual",$M71=$A$15)),0,
         IF(OFFSET(CRONOPLE!$F$15,$M71-$A$15,BC$13)=0,10^12,OFFSET(CRONOPLE!$F$15,$M71-$A$15,BC$13)))</f>
        <v>0</v>
      </c>
      <c r="BD71" s="171">
        <f ca="1">IF(OR($D71&lt;&gt;"Serviço",AND(AUTOEVENTO="Manual",$M71=$A$15)),0,
         IF(OFFSET(CRONOPLE!$F$15,$M71-$A$15,BD$13)=0,10^12,OFFSET(CRONOPLE!$F$15,$M71-$A$15,BD$13)))</f>
        <v>0</v>
      </c>
      <c r="BE71" s="171">
        <f ca="1">IF(OR($D71&lt;&gt;"Serviço",AND(AUTOEVENTO="Manual",$M71=$A$15)),0,
         IF(OFFSET(CRONOPLE!$F$15,$M71-$A$15,BE$13)=0,10^12,OFFSET(CRONOPLE!$F$15,$M71-$A$15,BE$13)))</f>
        <v>0</v>
      </c>
      <c r="BF71" s="171">
        <f ca="1">IF(OR($D71&lt;&gt;"Serviço",AND(AUTOEVENTO="Manual",$M71=$A$15)),0,
         IF(OFFSET(CRONOPLE!$F$15,$M71-$A$15,BF$13)=0,10^12,OFFSET(CRONOPLE!$F$15,$M71-$A$15,BF$13)))</f>
        <v>0</v>
      </c>
      <c r="BG71" s="171">
        <f ca="1">IF(OR($D71&lt;&gt;"Serviço",AND(AUTOEVENTO="Manual",$M71=$A$15)),0,
         IF(OFFSET(CRONOPLE!$F$15,$M71-$A$15,BG$13)=0,10^12,OFFSET(CRONOPLE!$F$15,$M71-$A$15,BG$13)))</f>
        <v>0</v>
      </c>
      <c r="BH71" s="171">
        <f ca="1">IF(OR($D71&lt;&gt;"Serviço",AND(AUTOEVENTO="Manual",$M71=$A$15)),0,
         IF(OFFSET(CRONOPLE!$F$15,$M71-$A$15,BH$13)=0,10^12,OFFSET(CRONOPLE!$F$15,$M71-$A$15,BH$13)))</f>
        <v>0</v>
      </c>
      <c r="BI71" s="171">
        <f ca="1">IF(OR($D71&lt;&gt;"Serviço",AND(AUTOEVENTO="Manual",$M71=$A$15)),0,
         IF(OFFSET(CRONOPLE!$F$15,$M71-$A$15,BI$13)=0,10^12,OFFSET(CRONOPLE!$F$15,$M71-$A$15,BI$13)))</f>
        <v>0</v>
      </c>
      <c r="BJ71" s="171">
        <f ca="1">IF(OR($D71&lt;&gt;"Serviço",AND(AUTOEVENTO="Manual",$M71=$A$15)),0,
         IF(OFFSET(CRONOPLE!$F$15,$M71-$A$15,BJ$13)=0,10^12,OFFSET(CRONOPLE!$F$15,$M71-$A$15,BJ$13)))</f>
        <v>0</v>
      </c>
      <c r="BK71" s="171">
        <f ca="1">IF(OR($D71&lt;&gt;"Serviço",AND(AUTOEVENTO="Manual",$M71=$A$15)),0,
         IF(OFFSET(CRONOPLE!$F$15,$M71-$A$15,BK$13)=0,10^12,OFFSET(CRONOPLE!$F$15,$M71-$A$15,BK$13)))</f>
        <v>0</v>
      </c>
      <c r="BL71" s="171">
        <f ca="1">IF(OR($D71&lt;&gt;"Serviço",AND(AUTOEVENTO="Manual",$M71=$A$15)),0,
         IF(OFFSET(CRONOPLE!$F$15,$M71-$A$15,BL$13)=0,10^12,OFFSET(CRONOPLE!$F$15,$M71-$A$15,BL$13)))</f>
        <v>0</v>
      </c>
      <c r="BM71" s="171">
        <f ca="1">IF(OR($D71&lt;&gt;"Serviço",AND(AUTOEVENTO="Manual",$M71=$A$15)),0,
         IF(OFFSET(CRONOPLE!$F$15,$M71-$A$15,BM$13)=0,10^12,OFFSET(CRONOPLE!$F$15,$M71-$A$15,BM$13)))</f>
        <v>0</v>
      </c>
      <c r="BN71" s="171">
        <f ca="1">IF(OR($D71&lt;&gt;"Serviço",AND(AUTOEVENTO="Manual",$M71=$A$15)),0,
         IF(OFFSET(CRONOPLE!$F$15,$M71-$A$15,BN$13)=0,10^12,OFFSET(CRONOPLE!$F$15,$M71-$A$15,BN$13)))</f>
        <v>0</v>
      </c>
      <c r="BO71" s="171">
        <f ca="1">IF(OR($D71&lt;&gt;"Serviço",AND(AUTOEVENTO="Manual",$M71=$A$15)),0,
         IF(OFFSET(CRONOPLE!$F$15,$M71-$A$15,BO$13)=0,10^12,OFFSET(CRONOPLE!$F$15,$M71-$A$15,BO$13)))</f>
        <v>0</v>
      </c>
      <c r="BP71" s="171">
        <f ca="1">IF(OR($D71&lt;&gt;"Serviço",AND(AUTOEVENTO="Manual",$M71=$A$15)),0,
         IF(OFFSET(CRONOPLE!$F$15,$M71-$A$15,BP$13)=0,10^12,OFFSET(CRONOPLE!$F$15,$M71-$A$15,BP$13)))</f>
        <v>0</v>
      </c>
      <c r="BQ71" s="171">
        <f ca="1">IF(OR($D71&lt;&gt;"Serviço",AND(AUTOEVENTO="Manual",$M71=$A$15)),0,
         IF(OFFSET(CRONOPLE!$F$15,$M71-$A$15,BQ$13)=0,10^12,OFFSET(CRONOPLE!$F$15,$M71-$A$15,BQ$13)))</f>
        <v>0</v>
      </c>
      <c r="BR71" s="171">
        <f ca="1">IF(OR($D71&lt;&gt;"Serviço",AND(AUTOEVENTO="Manual",$M71=$A$15)),0,
         IF(OFFSET(CRONOPLE!$F$15,$M71-$A$15,BR$13)=0,10^12,OFFSET(CRONOPLE!$F$15,$M71-$A$15,BR$13)))</f>
        <v>0</v>
      </c>
      <c r="BS71" s="171">
        <f ca="1">IF(OR($D71&lt;&gt;"Serviço",AND(AUTOEVENTO="Manual",$M71=$A$15)),0,
         IF(OFFSET(CRONOPLE!$F$15,$M71-$A$15,BS$13)=0,10^12,OFFSET(CRONOPLE!$F$15,$M71-$A$15,BS$13)))</f>
        <v>0</v>
      </c>
      <c r="BT71" s="171">
        <f ca="1">IF(OR($D71&lt;&gt;"Serviço",AND(AUTOEVENTO="Manual",$M71=$A$15)),0,
         IF(OFFSET(CRONOPLE!$F$15,$M71-$A$15,BT$13)=0,10^12,OFFSET(CRONOPLE!$F$15,$M71-$A$15,BT$13)))</f>
        <v>0</v>
      </c>
      <c r="BV71" s="172">
        <f t="array" aca="1" ref="BV71" ca="1">IF(OR($D71&lt;&gt;"Serviço",AND(AUTOEVENTO="Manual",$M71=$A$15),$M71&gt;(ROW(PLE.lastrow)-ROW(PLE.firstrow))),0,
           IF(OFFSET(PLE!$G$15,$M71-$A$15,BV$13)="",10^12,OFFSET(PLE!$G$15,$M71-$A$15,BV$13)))</f>
        <v>0</v>
      </c>
      <c r="BW71" s="172">
        <f t="array" aca="1" ref="BW71" ca="1">IF(OR($D71&lt;&gt;"Serviço",AND(AUTOEVENTO="Manual",$M71=$A$15),$M71&gt;(ROW(PLE.lastrow)-ROW(PLE.firstrow))),0,
           IF(OFFSET(PLE!$G$15,$M71-$A$15,BW$13)="",10^12,OFFSET(PLE!$G$15,$M71-$A$15,BW$13)))</f>
        <v>0</v>
      </c>
      <c r="BX71" s="172">
        <f t="array" aca="1" ref="BX71" ca="1">IF(OR($D71&lt;&gt;"Serviço",AND(AUTOEVENTO="Manual",$M71=$A$15),$M71&gt;(ROW(PLE.lastrow)-ROW(PLE.firstrow))),0,
           IF(OFFSET(PLE!$G$15,$M71-$A$15,BX$13)="",10^12,OFFSET(PLE!$G$15,$M71-$A$15,BX$13)))</f>
        <v>0</v>
      </c>
      <c r="BY71" s="172">
        <f t="array" aca="1" ref="BY71" ca="1">IF(OR($D71&lt;&gt;"Serviço",AND(AUTOEVENTO="Manual",$M71=$A$15),$M71&gt;(ROW(PLE.lastrow)-ROW(PLE.firstrow))),0,
           IF(OFFSET(PLE!$G$15,$M71-$A$15,BY$13)="",10^12,OFFSET(PLE!$G$15,$M71-$A$15,BY$13)))</f>
        <v>0</v>
      </c>
      <c r="BZ71" s="172">
        <f t="array" aca="1" ref="BZ71" ca="1">IF(OR($D71&lt;&gt;"Serviço",AND(AUTOEVENTO="Manual",$M71=$A$15),$M71&gt;(ROW(PLE.lastrow)-ROW(PLE.firstrow))),0,
           IF(OFFSET(PLE!$G$15,$M71-$A$15,BZ$13)="",10^12,OFFSET(PLE!$G$15,$M71-$A$15,BZ$13)))</f>
        <v>0</v>
      </c>
      <c r="CA71" s="172">
        <f t="array" aca="1" ref="CA71" ca="1">IF(OR($D71&lt;&gt;"Serviço",AND(AUTOEVENTO="Manual",$M71=$A$15),$M71&gt;(ROW(PLE.lastrow)-ROW(PLE.firstrow))),0,
           IF(OFFSET(PLE!$G$15,$M71-$A$15,CA$13)="",10^12,OFFSET(PLE!$G$15,$M71-$A$15,CA$13)))</f>
        <v>0</v>
      </c>
      <c r="CB71" s="172">
        <f t="array" aca="1" ref="CB71" ca="1">IF(OR($D71&lt;&gt;"Serviço",AND(AUTOEVENTO="Manual",$M71=$A$15),$M71&gt;(ROW(PLE.lastrow)-ROW(PLE.firstrow))),0,
           IF(OFFSET(PLE!$G$15,$M71-$A$15,CB$13)="",10^12,OFFSET(PLE!$G$15,$M71-$A$15,CB$13)))</f>
        <v>0</v>
      </c>
      <c r="CC71" s="172">
        <f t="array" aca="1" ref="CC71" ca="1">IF(OR($D71&lt;&gt;"Serviço",AND(AUTOEVENTO="Manual",$M71=$A$15),$M71&gt;(ROW(PLE.lastrow)-ROW(PLE.firstrow))),0,
           IF(OFFSET(PLE!$G$15,$M71-$A$15,CC$13)="",10^12,OFFSET(PLE!$G$15,$M71-$A$15,CC$13)))</f>
        <v>0</v>
      </c>
      <c r="CD71" s="172">
        <f t="array" aca="1" ref="CD71" ca="1">IF(OR($D71&lt;&gt;"Serviço",AND(AUTOEVENTO="Manual",$M71=$A$15),$M71&gt;(ROW(PLE.lastrow)-ROW(PLE.firstrow))),0,
           IF(OFFSET(PLE!$G$15,$M71-$A$15,CD$13)="",10^12,OFFSET(PLE!$G$15,$M71-$A$15,CD$13)))</f>
        <v>0</v>
      </c>
      <c r="CE71" s="172">
        <f t="array" aca="1" ref="CE71" ca="1">IF(OR($D71&lt;&gt;"Serviço",AND(AUTOEVENTO="Manual",$M71=$A$15),$M71&gt;(ROW(PLE.lastrow)-ROW(PLE.firstrow))),0,
           IF(OFFSET(PLE!$G$15,$M71-$A$15,CE$13)="",10^12,OFFSET(PLE!$G$15,$M71-$A$15,CE$13)))</f>
        <v>0</v>
      </c>
      <c r="CF71" s="172">
        <f t="array" aca="1" ref="CF71" ca="1">IF(OR($D71&lt;&gt;"Serviço",AND(AUTOEVENTO="Manual",$M71=$A$15),$M71&gt;(ROW(PLE.lastrow)-ROW(PLE.firstrow))),0,
           IF(OFFSET(PLE!$G$15,$M71-$A$15,CF$13)="",10^12,OFFSET(PLE!$G$15,$M71-$A$15,CF$13)))</f>
        <v>0</v>
      </c>
      <c r="CG71" s="172">
        <f t="array" aca="1" ref="CG71" ca="1">IF(OR($D71&lt;&gt;"Serviço",AND(AUTOEVENTO="Manual",$M71=$A$15),$M71&gt;(ROW(PLE.lastrow)-ROW(PLE.firstrow))),0,
           IF(OFFSET(PLE!$G$15,$M71-$A$15,CG$13)="",10^12,OFFSET(PLE!$G$15,$M71-$A$15,CG$13)))</f>
        <v>0</v>
      </c>
      <c r="CH71" s="172">
        <f t="array" aca="1" ref="CH71" ca="1">IF(OR($D71&lt;&gt;"Serviço",AND(AUTOEVENTO="Manual",$M71=$A$15),$M71&gt;(ROW(PLE.lastrow)-ROW(PLE.firstrow))),0,
           IF(OFFSET(PLE!$G$15,$M71-$A$15,CH$13)="",10^12,OFFSET(PLE!$G$15,$M71-$A$15,CH$13)))</f>
        <v>0</v>
      </c>
      <c r="CI71" s="172">
        <f t="array" aca="1" ref="CI71" ca="1">IF(OR($D71&lt;&gt;"Serviço",AND(AUTOEVENTO="Manual",$M71=$A$15),$M71&gt;(ROW(PLE.lastrow)-ROW(PLE.firstrow))),0,
           IF(OFFSET(PLE!$G$15,$M71-$A$15,CI$13)="",10^12,OFFSET(PLE!$G$15,$M71-$A$15,CI$13)))</f>
        <v>0</v>
      </c>
      <c r="CJ71" s="172">
        <f t="array" aca="1" ref="CJ71" ca="1">IF(OR($D71&lt;&gt;"Serviço",AND(AUTOEVENTO="Manual",$M71=$A$15),$M71&gt;(ROW(PLE.lastrow)-ROW(PLE.firstrow))),0,
           IF(OFFSET(PLE!$G$15,$M71-$A$15,CJ$13)="",10^12,OFFSET(PLE!$G$15,$M71-$A$15,CJ$13)))</f>
        <v>0</v>
      </c>
      <c r="CK71" s="172">
        <f t="array" aca="1" ref="CK71" ca="1">IF(OR($D71&lt;&gt;"Serviço",AND(AUTOEVENTO="Manual",$M71=$A$15),$M71&gt;(ROW(PLE.lastrow)-ROW(PLE.firstrow))),0,
           IF(OFFSET(PLE!$G$15,$M71-$A$15,CK$13)="",10^12,OFFSET(PLE!$G$15,$M71-$A$15,CK$13)))</f>
        <v>0</v>
      </c>
      <c r="CL71" s="172">
        <f t="array" aca="1" ref="CL71" ca="1">IF(OR($D71&lt;&gt;"Serviço",AND(AUTOEVENTO="Manual",$M71=$A$15),$M71&gt;(ROW(PLE.lastrow)-ROW(PLE.firstrow))),0,
           IF(OFFSET(PLE!$G$15,$M71-$A$15,CL$13)="",10^12,OFFSET(PLE!$G$15,$M71-$A$15,CL$13)))</f>
        <v>0</v>
      </c>
      <c r="CM71" s="172">
        <f t="array" aca="1" ref="CM71" ca="1">IF(OR($D71&lt;&gt;"Serviço",AND(AUTOEVENTO="Manual",$M71=$A$15),$M71&gt;(ROW(PLE.lastrow)-ROW(PLE.firstrow))),0,
           IF(OFFSET(PLE!$G$15,$M71-$A$15,CM$13)="",10^12,OFFSET(PLE!$G$15,$M71-$A$15,CM$13)))</f>
        <v>0</v>
      </c>
    </row>
    <row r="72" spans="1:91" s="696" customFormat="1" ht="38.25" x14ac:dyDescent="0.2">
      <c r="A72" s="694">
        <f t="shared" ca="1" si="10"/>
        <v>11</v>
      </c>
      <c r="B72" s="694" t="str">
        <f ca="1">OFFSET(ORÇAMENTO!C$15,$L72,0)</f>
        <v>S</v>
      </c>
      <c r="C72" s="694" t="str">
        <f ca="1">OFFSET(ORÇAMENTO!L$15,$L72,0)</f>
        <v>F</v>
      </c>
      <c r="D72" s="116" t="str">
        <f ca="1">OFFSET(ORÇAMENTO!N$15,$L72,0)</f>
        <v>Serviço</v>
      </c>
      <c r="E72" s="117" t="str">
        <f ca="1">OFFSET(ORÇAMENTO!O$15,$L72,0)</f>
        <v>1.10.1.</v>
      </c>
      <c r="F72" s="163" t="str">
        <f ca="1">OFFSET(ORÇAMENTO!R$15,$L72,0)</f>
        <v>PORTA DE ALUMÍNIO DE ABRIR COM LAMBRI, COM GUARNIÇÃO, FIXAÇÃO COM PARAFUSOS - FORNECIMENTO E INSTALAÇÃO. AF_12/2019</v>
      </c>
      <c r="G72" s="164" t="str">
        <f ca="1">IF($D72&lt;&gt;"Serviço","",OFFSET(ORÇAMENTO!S$15,$L72,0))</f>
        <v>M2</v>
      </c>
      <c r="H72" s="122">
        <f t="array" aca="1" ref="H72" ca="1">IF($D72&lt;&gt;"Serviço",0,IF(ACOMPANHAMENTO="BM",ROUND(OFFSET(ORÇAMENTO!AJ$15,$L72,0),15-13*ORÇAMENTO!$AF$7),IF(IFERROR(CÁLCULO.FrentesPreenchidas,0)=0,0,SUM(ROUND(OFFSET($P72,0,1,1,CÁLCULO.FrentesPreenchidas),15-13*ORÇAMENTO!$AF$7)))))</f>
        <v>67.2</v>
      </c>
      <c r="I72" s="467" t="s">
        <v>1243</v>
      </c>
      <c r="J72" s="653" t="str">
        <f t="array" aca="1" ref="J72" ca="1">IF(OR(B72&lt;&gt;"S",CÁLCULO.FrentesPreenchidas=0),"",IF(AND(ACOMPANHAMENTO="PLE",AUTOEVENTO="Manual",OR(H72&gt;0,ORÇAMENTO!AC72="QUANT."),OR(K72="",M72=0,N72="")),"►E",IF(AND(ACOMPANHAMENTO="PLE",ORÇAMENTO!AC72="QUANT."),"►Q",IF(AND(ACOMPANHAMENTO="PLE",H72&lt;&gt;SUMPRODUCT(($Q$1:$AI$1=1)*ROUND(Q72:AI72,15))),"►S",IF(AND(COUNTIF($P$11:$AI$11,"▼")=0,H72&gt;0,I72=""),"◄M","")))))</f>
        <v/>
      </c>
      <c r="K72" s="654" t="s">
        <v>1395</v>
      </c>
      <c r="L72" s="165">
        <f t="shared" ca="1" si="11"/>
        <v>57</v>
      </c>
      <c r="M72" s="166">
        <f ca="1">IF($D72&lt;&gt;"Serviço","",
          IF(AUTOEVENTO="manual",$A72,
                IF(ISERROR(MATCH($A72,$A$15:OFFSET($A72,-1,0),0)),MAX($M$15:OFFSET(M72,-1,0))+1,
                      INDEX($M$15:OFFSET(M72,-1,0),MATCH($A72,$A$15:OFFSET($A72,-1,0),0)))))</f>
        <v>11</v>
      </c>
      <c r="N72" s="167" t="str">
        <f ca="1">IF($D72&lt;&gt;"Serviço","",
         IF(AUTOEVENTO="Manual",
                IF($A72=0,"&lt;-- defina o número do agrupador",
                       OFFSET(EVENTOS!$D$15,$A72-$A$15,0)),
                OFFSET($F$15,$A72,0)))</f>
        <v>ESQUADRIAS DE ALUMÍNIO</v>
      </c>
      <c r="O72" s="168"/>
      <c r="Q72" s="169">
        <f>3.36*5</f>
        <v>16.8</v>
      </c>
      <c r="R72" s="169">
        <f t="shared" ref="R72:T72" si="42">3.36*5</f>
        <v>16.8</v>
      </c>
      <c r="S72" s="169">
        <f t="shared" si="42"/>
        <v>16.8</v>
      </c>
      <c r="T72" s="169">
        <f t="shared" si="42"/>
        <v>16.8</v>
      </c>
      <c r="U72" s="169"/>
      <c r="V72" s="169"/>
      <c r="W72" s="169"/>
      <c r="X72" s="169"/>
      <c r="Y72" s="169"/>
      <c r="Z72" s="170"/>
      <c r="AA72" s="169"/>
      <c r="AB72" s="169"/>
      <c r="AC72" s="169"/>
      <c r="AD72" s="169"/>
      <c r="AE72" s="169"/>
      <c r="AF72" s="169"/>
      <c r="AG72" s="169"/>
      <c r="AH72" s="170"/>
      <c r="AJ72" s="452">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16346.9</v>
      </c>
      <c r="AK72" s="452">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16346.9</v>
      </c>
      <c r="AL72" s="452">
        <f ca="1">IF(AND($D72="Serviço",AL$12&lt;&gt;0,$H72&gt;0,OR(AUTOEVENTO&lt;&gt;"manual",$M72&lt;&gt;$A$15)),
        IF(Import.TipoArredondamento&lt;&gt;"TransfereGOV",
              ROUND(OFFSET($P72,0,AL$13),15-13*ORÇAMENTO!$AF$7)/$H72*OFFSET(ORÇAMENTO!$X$15,ROW(AL72)-ROW(AL$15),0),
              ROUND(ROUND(OFFSET($P72,0,AL$13),15-13*ORÇAMENTO!$AF$7)*OFFSET(ORÇAMENTO!$W$15,ROW(AL72)-ROW(AL$15),0),15-13*ORÇAMENTO!$AF$11)),
         0)</f>
        <v>16346.9</v>
      </c>
      <c r="AM72" s="452">
        <f ca="1">IF(AND($D72="Serviço",AM$12&lt;&gt;0,$H72&gt;0,OR(AUTOEVENTO&lt;&gt;"manual",$M72&lt;&gt;$A$15)),
        IF(Import.TipoArredondamento&lt;&gt;"TransfereGOV",
              ROUND(OFFSET($P72,0,AM$13),15-13*ORÇAMENTO!$AF$7)/$H72*OFFSET(ORÇAMENTO!$X$15,ROW(AM72)-ROW(AM$15),0),
              ROUND(ROUND(OFFSET($P72,0,AM$13),15-13*ORÇAMENTO!$AF$7)*OFFSET(ORÇAMENTO!$W$15,ROW(AM72)-ROW(AM$15),0),15-13*ORÇAMENTO!$AF$11)),
         0)</f>
        <v>16346.9</v>
      </c>
      <c r="AN72" s="452">
        <f ca="1">IF(AND($D72="Serviço",AN$12&lt;&gt;0,$H72&gt;0,OR(AUTOEVENTO&lt;&gt;"manual",$M72&lt;&gt;$A$15)),
        IF(Import.TipoArredondamento&lt;&gt;"TransfereGOV",
              ROUND(OFFSET($P72,0,AN$13),15-13*ORÇAMENTO!$AF$7)/$H72*OFFSET(ORÇAMENTO!$X$15,ROW(AN72)-ROW(AN$15),0),
              ROUND(ROUND(OFFSET($P72,0,AN$13),15-13*ORÇAMENTO!$AF$7)*OFFSET(ORÇAMENTO!$W$15,ROW(AN72)-ROW(AN$15),0),15-13*ORÇAMENTO!$AF$11)),
         0)</f>
        <v>0</v>
      </c>
      <c r="AO72" s="452">
        <f ca="1">IF(AND($D72="Serviço",AO$12&lt;&gt;0,$H72&gt;0,OR(AUTOEVENTO&lt;&gt;"manual",$M72&lt;&gt;$A$15)),
        IF(Import.TipoArredondamento&lt;&gt;"TransfereGOV",
              ROUND(OFFSET($P72,0,AO$13),15-13*ORÇAMENTO!$AF$7)/$H72*OFFSET(ORÇAMENTO!$X$15,ROW(AO72)-ROW(AO$15),0),
              ROUND(ROUND(OFFSET($P72,0,AO$13),15-13*ORÇAMENTO!$AF$7)*OFFSET(ORÇAMENTO!$W$15,ROW(AO72)-ROW(AO$15),0),15-13*ORÇAMENTO!$AF$11)),
         0)</f>
        <v>0</v>
      </c>
      <c r="AP72" s="452">
        <f ca="1">IF(AND($D72="Serviço",AP$12&lt;&gt;0,$H72&gt;0,OR(AUTOEVENTO&lt;&gt;"manual",$M72&lt;&gt;$A$15)),
        IF(Import.TipoArredondamento&lt;&gt;"TransfereGOV",
              ROUND(OFFSET($P72,0,AP$13),15-13*ORÇAMENTO!$AF$7)/$H72*OFFSET(ORÇAMENTO!$X$15,ROW(AP72)-ROW(AP$15),0),
              ROUND(ROUND(OFFSET($P72,0,AP$13),15-13*ORÇAMENTO!$AF$7)*OFFSET(ORÇAMENTO!$W$15,ROW(AP72)-ROW(AP$15),0),15-13*ORÇAMENTO!$AF$11)),
         0)</f>
        <v>0</v>
      </c>
      <c r="AQ72" s="452">
        <f ca="1">IF(AND($D72="Serviço",AQ$12&lt;&gt;0,$H72&gt;0,OR(AUTOEVENTO&lt;&gt;"manual",$M72&lt;&gt;$A$15)),
        IF(Import.TipoArredondamento&lt;&gt;"TransfereGOV",
              ROUND(OFFSET($P72,0,AQ$13),15-13*ORÇAMENTO!$AF$7)/$H72*OFFSET(ORÇAMENTO!$X$15,ROW(AQ72)-ROW(AQ$15),0),
              ROUND(ROUND(OFFSET($P72,0,AQ$13),15-13*ORÇAMENTO!$AF$7)*OFFSET(ORÇAMENTO!$W$15,ROW(AQ72)-ROW(AQ$15),0),15-13*ORÇAMENTO!$AF$11)),
         0)</f>
        <v>0</v>
      </c>
      <c r="AR72" s="452">
        <f ca="1">IF(AND($D72="Serviço",AR$12&lt;&gt;0,$H72&gt;0,OR(AUTOEVENTO&lt;&gt;"manual",$M72&lt;&gt;$A$15)),
        IF(Import.TipoArredondamento&lt;&gt;"TransfereGOV",
              ROUND(OFFSET($P72,0,AR$13),15-13*ORÇAMENTO!$AF$7)/$H72*OFFSET(ORÇAMENTO!$X$15,ROW(AR72)-ROW(AR$15),0),
              ROUND(ROUND(OFFSET($P72,0,AR$13),15-13*ORÇAMENTO!$AF$7)*OFFSET(ORÇAMENTO!$W$15,ROW(AR72)-ROW(AR$15),0),15-13*ORÇAMENTO!$AF$11)),
         0)</f>
        <v>0</v>
      </c>
      <c r="AS72" s="452">
        <f ca="1">IF(AND($D72="Serviço",AS$12&lt;&gt;0,$H72&gt;0,OR(AUTOEVENTO&lt;&gt;"manual",$M72&lt;&gt;$A$15)),
        IF(Import.TipoArredondamento&lt;&gt;"TransfereGOV",
              ROUND(OFFSET($P72,0,AS$13),15-13*ORÇAMENTO!$AF$7)/$H72*OFFSET(ORÇAMENTO!$X$15,ROW(AS72)-ROW(AS$15),0),
              ROUND(ROUND(OFFSET($P72,0,AS$13),15-13*ORÇAMENTO!$AF$7)*OFFSET(ORÇAMENTO!$W$15,ROW(AS72)-ROW(AS$15),0),15-13*ORÇAMENTO!$AF$11)),
         0)</f>
        <v>0</v>
      </c>
      <c r="AT72" s="452">
        <f ca="1">IF(AND($D72="Serviço",AT$12&lt;&gt;0,$H72&gt;0,OR(AUTOEVENTO&lt;&gt;"manual",$M72&lt;&gt;$A$15)),
        IF(Import.TipoArredondamento&lt;&gt;"TransfereGOV",
              ROUND(OFFSET($P72,0,AT$13),15-13*ORÇAMENTO!$AF$7)/$H72*OFFSET(ORÇAMENTO!$X$15,ROW(AT72)-ROW(AT$15),0),
              ROUND(ROUND(OFFSET($P72,0,AT$13),15-13*ORÇAMENTO!$AF$7)*OFFSET(ORÇAMENTO!$W$15,ROW(AT72)-ROW(AT$15),0),15-13*ORÇAMENTO!$AF$11)),
         0)</f>
        <v>0</v>
      </c>
      <c r="AU72" s="452">
        <f ca="1">IF(AND($D72="Serviço",AU$12&lt;&gt;0,$H72&gt;0,OR(AUTOEVENTO&lt;&gt;"manual",$M72&lt;&gt;$A$15)),
        IF(Import.TipoArredondamento&lt;&gt;"TransfereGOV",
              ROUND(OFFSET($P72,0,AU$13),15-13*ORÇAMENTO!$AF$7)/$H72*OFFSET(ORÇAMENTO!$X$15,ROW(AU72)-ROW(AU$15),0),
              ROUND(ROUND(OFFSET($P72,0,AU$13),15-13*ORÇAMENTO!$AF$7)*OFFSET(ORÇAMENTO!$W$15,ROW(AU72)-ROW(AU$15),0),15-13*ORÇAMENTO!$AF$11)),
         0)</f>
        <v>0</v>
      </c>
      <c r="AV72" s="452">
        <f ca="1">IF(AND($D72="Serviço",AV$12&lt;&gt;0,$H72&gt;0,OR(AUTOEVENTO&lt;&gt;"manual",$M72&lt;&gt;$A$15)),
        IF(Import.TipoArredondamento&lt;&gt;"TransfereGOV",
              ROUND(OFFSET($P72,0,AV$13),15-13*ORÇAMENTO!$AF$7)/$H72*OFFSET(ORÇAMENTO!$X$15,ROW(AV72)-ROW(AV$15),0),
              ROUND(ROUND(OFFSET($P72,0,AV$13),15-13*ORÇAMENTO!$AF$7)*OFFSET(ORÇAMENTO!$W$15,ROW(AV72)-ROW(AV$15),0),15-13*ORÇAMENTO!$AF$11)),
         0)</f>
        <v>0</v>
      </c>
      <c r="AW72" s="452">
        <f ca="1">IF(AND($D72="Serviço",AW$12&lt;&gt;0,$H72&gt;0,OR(AUTOEVENTO&lt;&gt;"manual",$M72&lt;&gt;$A$15)),
        IF(Import.TipoArredondamento&lt;&gt;"TransfereGOV",
              ROUND(OFFSET($P72,0,AW$13),15-13*ORÇAMENTO!$AF$7)/$H72*OFFSET(ORÇAMENTO!$X$15,ROW(AW72)-ROW(AW$15),0),
              ROUND(ROUND(OFFSET($P72,0,AW$13),15-13*ORÇAMENTO!$AF$7)*OFFSET(ORÇAMENTO!$W$15,ROW(AW72)-ROW(AW$15),0),15-13*ORÇAMENTO!$AF$11)),
         0)</f>
        <v>0</v>
      </c>
      <c r="AX72" s="452">
        <f ca="1">IF(AND($D72="Serviço",AX$12&lt;&gt;0,$H72&gt;0,OR(AUTOEVENTO&lt;&gt;"manual",$M72&lt;&gt;$A$15)),
        IF(Import.TipoArredondamento&lt;&gt;"TransfereGOV",
              ROUND(OFFSET($P72,0,AX$13),15-13*ORÇAMENTO!$AF$7)/$H72*OFFSET(ORÇAMENTO!$X$15,ROW(AX72)-ROW(AX$15),0),
              ROUND(ROUND(OFFSET($P72,0,AX$13),15-13*ORÇAMENTO!$AF$7)*OFFSET(ORÇAMENTO!$W$15,ROW(AX72)-ROW(AX$15),0),15-13*ORÇAMENTO!$AF$11)),
         0)</f>
        <v>0</v>
      </c>
      <c r="AY72" s="452">
        <f ca="1">IF(AND($D72="Serviço",AY$12&lt;&gt;0,$H72&gt;0,OR(AUTOEVENTO&lt;&gt;"manual",$M72&lt;&gt;$A$15)),
        IF(Import.TipoArredondamento&lt;&gt;"TransfereGOV",
              ROUND(OFFSET($P72,0,AY$13),15-13*ORÇAMENTO!$AF$7)/$H72*OFFSET(ORÇAMENTO!$X$15,ROW(AY72)-ROW(AY$15),0),
              ROUND(ROUND(OFFSET($P72,0,AY$13),15-13*ORÇAMENTO!$AF$7)*OFFSET(ORÇAMENTO!$W$15,ROW(AY72)-ROW(AY$15),0),15-13*ORÇAMENTO!$AF$11)),
         0)</f>
        <v>0</v>
      </c>
      <c r="AZ72" s="452">
        <f ca="1">IF(AND($D72="Serviço",AZ$12&lt;&gt;0,$H72&gt;0,OR(AUTOEVENTO&lt;&gt;"manual",$M72&lt;&gt;$A$15)),
        IF(Import.TipoArredondamento&lt;&gt;"TransfereGOV",
              ROUND(OFFSET($P72,0,AZ$13),15-13*ORÇAMENTO!$AF$7)/$H72*OFFSET(ORÇAMENTO!$X$15,ROW(AZ72)-ROW(AZ$15),0),
              ROUND(ROUND(OFFSET($P72,0,AZ$13),15-13*ORÇAMENTO!$AF$7)*OFFSET(ORÇAMENTO!$W$15,ROW(AZ72)-ROW(AZ$15),0),15-13*ORÇAMENTO!$AF$11)),
         0)</f>
        <v>0</v>
      </c>
      <c r="BA72" s="452">
        <f ca="1">IF(AND($D72="Serviço",BA$12&lt;&gt;0,$H72&gt;0,OR(AUTOEVENTO&lt;&gt;"manual",$M72&lt;&gt;$A$15)),
        IF(Import.TipoArredondamento&lt;&gt;"TransfereGOV",
              ROUND(OFFSET($P72,0,BA$13),15-13*ORÇAMENTO!$AF$7)/$H72*OFFSET(ORÇAMENTO!$X$15,ROW(BA72)-ROW(BA$15),0),
              ROUND(ROUND(OFFSET($P72,0,BA$13),15-13*ORÇAMENTO!$AF$7)*OFFSET(ORÇAMENTO!$W$15,ROW(BA72)-ROW(BA$15),0),15-13*ORÇAMENTO!$AF$11)),
         0)</f>
        <v>0</v>
      </c>
      <c r="BC72" s="171">
        <f ca="1">IF(OR($D72&lt;&gt;"Serviço",AND(AUTOEVENTO="Manual",$M72=$A$15)),0,
         IF(OFFSET(CRONOPLE!$F$15,$M72-$A$15,BC$13)=0,10^12,OFFSET(CRONOPLE!$F$15,$M72-$A$15,BC$13)))</f>
        <v>7</v>
      </c>
      <c r="BD72" s="171">
        <f ca="1">IF(OR($D72&lt;&gt;"Serviço",AND(AUTOEVENTO="Manual",$M72=$A$15)),0,
         IF(OFFSET(CRONOPLE!$F$15,$M72-$A$15,BD$13)=0,10^12,OFFSET(CRONOPLE!$F$15,$M72-$A$15,BD$13)))</f>
        <v>7</v>
      </c>
      <c r="BE72" s="171">
        <f ca="1">IF(OR($D72&lt;&gt;"Serviço",AND(AUTOEVENTO="Manual",$M72=$A$15)),0,
         IF(OFFSET(CRONOPLE!$F$15,$M72-$A$15,BE$13)=0,10^12,OFFSET(CRONOPLE!$F$15,$M72-$A$15,BE$13)))</f>
        <v>8</v>
      </c>
      <c r="BF72" s="171">
        <f ca="1">IF(OR($D72&lt;&gt;"Serviço",AND(AUTOEVENTO="Manual",$M72=$A$15)),0,
         IF(OFFSET(CRONOPLE!$F$15,$M72-$A$15,BF$13)=0,10^12,OFFSET(CRONOPLE!$F$15,$M72-$A$15,BF$13)))</f>
        <v>9</v>
      </c>
      <c r="BG72" s="171">
        <f ca="1">IF(OR($D72&lt;&gt;"Serviço",AND(AUTOEVENTO="Manual",$M72=$A$15)),0,
         IF(OFFSET(CRONOPLE!$F$15,$M72-$A$15,BG$13)=0,10^12,OFFSET(CRONOPLE!$F$15,$M72-$A$15,BG$13)))</f>
        <v>9</v>
      </c>
      <c r="BH72" s="171">
        <f ca="1">IF(OR($D72&lt;&gt;"Serviço",AND(AUTOEVENTO="Manual",$M72=$A$15)),0,
         IF(OFFSET(CRONOPLE!$F$15,$M72-$A$15,BH$13)=0,10^12,OFFSET(CRONOPLE!$F$15,$M72-$A$15,BH$13)))</f>
        <v>1000000000000</v>
      </c>
      <c r="BI72" s="171">
        <f ca="1">IF(OR($D72&lt;&gt;"Serviço",AND(AUTOEVENTO="Manual",$M72=$A$15)),0,
         IF(OFFSET(CRONOPLE!$F$15,$M72-$A$15,BI$13)=0,10^12,OFFSET(CRONOPLE!$F$15,$M72-$A$15,BI$13)))</f>
        <v>1000000000000</v>
      </c>
      <c r="BJ72" s="171">
        <f ca="1">IF(OR($D72&lt;&gt;"Serviço",AND(AUTOEVENTO="Manual",$M72=$A$15)),0,
         IF(OFFSET(CRONOPLE!$F$15,$M72-$A$15,BJ$13)=0,10^12,OFFSET(CRONOPLE!$F$15,$M72-$A$15,BJ$13)))</f>
        <v>9</v>
      </c>
      <c r="BK72" s="171">
        <f ca="1">IF(OR($D72&lt;&gt;"Serviço",AND(AUTOEVENTO="Manual",$M72=$A$15)),0,
         IF(OFFSET(CRONOPLE!$F$15,$M72-$A$15,BK$13)=0,10^12,OFFSET(CRONOPLE!$F$15,$M72-$A$15,BK$13)))</f>
        <v>1000000000000</v>
      </c>
      <c r="BL72" s="171">
        <f ca="1">IF(OR($D72&lt;&gt;"Serviço",AND(AUTOEVENTO="Manual",$M72=$A$15)),0,
         IF(OFFSET(CRONOPLE!$F$15,$M72-$A$15,BL$13)=0,10^12,OFFSET(CRONOPLE!$F$15,$M72-$A$15,BL$13)))</f>
        <v>1000000000000</v>
      </c>
      <c r="BM72" s="171">
        <f ca="1">IF(OR($D72&lt;&gt;"Serviço",AND(AUTOEVENTO="Manual",$M72=$A$15)),0,
         IF(OFFSET(CRONOPLE!$F$15,$M72-$A$15,BM$13)=0,10^12,OFFSET(CRONOPLE!$F$15,$M72-$A$15,BM$13)))</f>
        <v>1000000000000</v>
      </c>
      <c r="BN72" s="171">
        <f ca="1">IF(OR($D72&lt;&gt;"Serviço",AND(AUTOEVENTO="Manual",$M72=$A$15)),0,
         IF(OFFSET(CRONOPLE!$F$15,$M72-$A$15,BN$13)=0,10^12,OFFSET(CRONOPLE!$F$15,$M72-$A$15,BN$13)))</f>
        <v>1000000000000</v>
      </c>
      <c r="BO72" s="171">
        <f ca="1">IF(OR($D72&lt;&gt;"Serviço",AND(AUTOEVENTO="Manual",$M72=$A$15)),0,
         IF(OFFSET(CRONOPLE!$F$15,$M72-$A$15,BO$13)=0,10^12,OFFSET(CRONOPLE!$F$15,$M72-$A$15,BO$13)))</f>
        <v>1000000000000</v>
      </c>
      <c r="BP72" s="171">
        <f ca="1">IF(OR($D72&lt;&gt;"Serviço",AND(AUTOEVENTO="Manual",$M72=$A$15)),0,
         IF(OFFSET(CRONOPLE!$F$15,$M72-$A$15,BP$13)=0,10^12,OFFSET(CRONOPLE!$F$15,$M72-$A$15,BP$13)))</f>
        <v>1000000000000</v>
      </c>
      <c r="BQ72" s="171">
        <f ca="1">IF(OR($D72&lt;&gt;"Serviço",AND(AUTOEVENTO="Manual",$M72=$A$15)),0,
         IF(OFFSET(CRONOPLE!$F$15,$M72-$A$15,BQ$13)=0,10^12,OFFSET(CRONOPLE!$F$15,$M72-$A$15,BQ$13)))</f>
        <v>1000000000000</v>
      </c>
      <c r="BR72" s="171">
        <f ca="1">IF(OR($D72&lt;&gt;"Serviço",AND(AUTOEVENTO="Manual",$M72=$A$15)),0,
         IF(OFFSET(CRONOPLE!$F$15,$M72-$A$15,BR$13)=0,10^12,OFFSET(CRONOPLE!$F$15,$M72-$A$15,BR$13)))</f>
        <v>1000000000000</v>
      </c>
      <c r="BS72" s="171">
        <f ca="1">IF(OR($D72&lt;&gt;"Serviço",AND(AUTOEVENTO="Manual",$M72=$A$15)),0,
         IF(OFFSET(CRONOPLE!$F$15,$M72-$A$15,BS$13)=0,10^12,OFFSET(CRONOPLE!$F$15,$M72-$A$15,BS$13)))</f>
        <v>1000000000000</v>
      </c>
      <c r="BT72" s="171">
        <f ca="1">IF(OR($D72&lt;&gt;"Serviço",AND(AUTOEVENTO="Manual",$M72=$A$15)),0,
         IF(OFFSET(CRONOPLE!$F$15,$M72-$A$15,BT$13)=0,10^12,OFFSET(CRONOPLE!$F$15,$M72-$A$15,BT$13)))</f>
        <v>1000000000000</v>
      </c>
      <c r="BV72" s="172">
        <f t="array" aca="1" ref="BV72" ca="1">IF(OR($D72&lt;&gt;"Serviço",AND(AUTOEVENTO="Manual",$M72=$A$15),$M72&gt;(ROW(PLE.lastrow)-ROW(PLE.firstrow))),0,
           IF(OFFSET(PLE!$G$15,$M72-$A$15,BV$13)="",10^12,OFFSET(PLE!$G$15,$M72-$A$15,BV$13)))</f>
        <v>1000000000000</v>
      </c>
      <c r="BW72" s="172">
        <f t="array" aca="1" ref="BW72" ca="1">IF(OR($D72&lt;&gt;"Serviço",AND(AUTOEVENTO="Manual",$M72=$A$15),$M72&gt;(ROW(PLE.lastrow)-ROW(PLE.firstrow))),0,
           IF(OFFSET(PLE!$G$15,$M72-$A$15,BW$13)="",10^12,OFFSET(PLE!$G$15,$M72-$A$15,BW$13)))</f>
        <v>1000000000000</v>
      </c>
      <c r="BX72" s="172">
        <f t="array" aca="1" ref="BX72" ca="1">IF(OR($D72&lt;&gt;"Serviço",AND(AUTOEVENTO="Manual",$M72=$A$15),$M72&gt;(ROW(PLE.lastrow)-ROW(PLE.firstrow))),0,
           IF(OFFSET(PLE!$G$15,$M72-$A$15,BX$13)="",10^12,OFFSET(PLE!$G$15,$M72-$A$15,BX$13)))</f>
        <v>1000000000000</v>
      </c>
      <c r="BY72" s="172">
        <f t="array" aca="1" ref="BY72" ca="1">IF(OR($D72&lt;&gt;"Serviço",AND(AUTOEVENTO="Manual",$M72=$A$15),$M72&gt;(ROW(PLE.lastrow)-ROW(PLE.firstrow))),0,
           IF(OFFSET(PLE!$G$15,$M72-$A$15,BY$13)="",10^12,OFFSET(PLE!$G$15,$M72-$A$15,BY$13)))</f>
        <v>1000000000000</v>
      </c>
      <c r="BZ72" s="172">
        <f t="array" aca="1" ref="BZ72" ca="1">IF(OR($D72&lt;&gt;"Serviço",AND(AUTOEVENTO="Manual",$M72=$A$15),$M72&gt;(ROW(PLE.lastrow)-ROW(PLE.firstrow))),0,
           IF(OFFSET(PLE!$G$15,$M72-$A$15,BZ$13)="",10^12,OFFSET(PLE!$G$15,$M72-$A$15,BZ$13)))</f>
        <v>1000000000000</v>
      </c>
      <c r="CA72" s="172">
        <f t="array" aca="1" ref="CA72" ca="1">IF(OR($D72&lt;&gt;"Serviço",AND(AUTOEVENTO="Manual",$M72=$A$15),$M72&gt;(ROW(PLE.lastrow)-ROW(PLE.firstrow))),0,
           IF(OFFSET(PLE!$G$15,$M72-$A$15,CA$13)="",10^12,OFFSET(PLE!$G$15,$M72-$A$15,CA$13)))</f>
        <v>1000000000000</v>
      </c>
      <c r="CB72" s="172">
        <f t="array" aca="1" ref="CB72" ca="1">IF(OR($D72&lt;&gt;"Serviço",AND(AUTOEVENTO="Manual",$M72=$A$15),$M72&gt;(ROW(PLE.lastrow)-ROW(PLE.firstrow))),0,
           IF(OFFSET(PLE!$G$15,$M72-$A$15,CB$13)="",10^12,OFFSET(PLE!$G$15,$M72-$A$15,CB$13)))</f>
        <v>1000000000000</v>
      </c>
      <c r="CC72" s="172">
        <f t="array" aca="1" ref="CC72" ca="1">IF(OR($D72&lt;&gt;"Serviço",AND(AUTOEVENTO="Manual",$M72=$A$15),$M72&gt;(ROW(PLE.lastrow)-ROW(PLE.firstrow))),0,
           IF(OFFSET(PLE!$G$15,$M72-$A$15,CC$13)="",10^12,OFFSET(PLE!$G$15,$M72-$A$15,CC$13)))</f>
        <v>1000000000000</v>
      </c>
      <c r="CD72" s="172">
        <f t="array" aca="1" ref="CD72" ca="1">IF(OR($D72&lt;&gt;"Serviço",AND(AUTOEVENTO="Manual",$M72=$A$15),$M72&gt;(ROW(PLE.lastrow)-ROW(PLE.firstrow))),0,
           IF(OFFSET(PLE!$G$15,$M72-$A$15,CD$13)="",10^12,OFFSET(PLE!$G$15,$M72-$A$15,CD$13)))</f>
        <v>1000000000000</v>
      </c>
      <c r="CE72" s="172">
        <f t="array" aca="1" ref="CE72" ca="1">IF(OR($D72&lt;&gt;"Serviço",AND(AUTOEVENTO="Manual",$M72=$A$15),$M72&gt;(ROW(PLE.lastrow)-ROW(PLE.firstrow))),0,
           IF(OFFSET(PLE!$G$15,$M72-$A$15,CE$13)="",10^12,OFFSET(PLE!$G$15,$M72-$A$15,CE$13)))</f>
        <v>1000000000000</v>
      </c>
      <c r="CF72" s="172">
        <f t="array" aca="1" ref="CF72" ca="1">IF(OR($D72&lt;&gt;"Serviço",AND(AUTOEVENTO="Manual",$M72=$A$15),$M72&gt;(ROW(PLE.lastrow)-ROW(PLE.firstrow))),0,
           IF(OFFSET(PLE!$G$15,$M72-$A$15,CF$13)="",10^12,OFFSET(PLE!$G$15,$M72-$A$15,CF$13)))</f>
        <v>1000000000000</v>
      </c>
      <c r="CG72" s="172">
        <f t="array" aca="1" ref="CG72" ca="1">IF(OR($D72&lt;&gt;"Serviço",AND(AUTOEVENTO="Manual",$M72=$A$15),$M72&gt;(ROW(PLE.lastrow)-ROW(PLE.firstrow))),0,
           IF(OFFSET(PLE!$G$15,$M72-$A$15,CG$13)="",10^12,OFFSET(PLE!$G$15,$M72-$A$15,CG$13)))</f>
        <v>1000000000000</v>
      </c>
      <c r="CH72" s="172">
        <f t="array" aca="1" ref="CH72" ca="1">IF(OR($D72&lt;&gt;"Serviço",AND(AUTOEVENTO="Manual",$M72=$A$15),$M72&gt;(ROW(PLE.lastrow)-ROW(PLE.firstrow))),0,
           IF(OFFSET(PLE!$G$15,$M72-$A$15,CH$13)="",10^12,OFFSET(PLE!$G$15,$M72-$A$15,CH$13)))</f>
        <v>1000000000000</v>
      </c>
      <c r="CI72" s="172">
        <f t="array" aca="1" ref="CI72" ca="1">IF(OR($D72&lt;&gt;"Serviço",AND(AUTOEVENTO="Manual",$M72=$A$15),$M72&gt;(ROW(PLE.lastrow)-ROW(PLE.firstrow))),0,
           IF(OFFSET(PLE!$G$15,$M72-$A$15,CI$13)="",10^12,OFFSET(PLE!$G$15,$M72-$A$15,CI$13)))</f>
        <v>1000000000000</v>
      </c>
      <c r="CJ72" s="172">
        <f t="array" aca="1" ref="CJ72" ca="1">IF(OR($D72&lt;&gt;"Serviço",AND(AUTOEVENTO="Manual",$M72=$A$15),$M72&gt;(ROW(PLE.lastrow)-ROW(PLE.firstrow))),0,
           IF(OFFSET(PLE!$G$15,$M72-$A$15,CJ$13)="",10^12,OFFSET(PLE!$G$15,$M72-$A$15,CJ$13)))</f>
        <v>1000000000000</v>
      </c>
      <c r="CK72" s="172">
        <f t="array" aca="1" ref="CK72" ca="1">IF(OR($D72&lt;&gt;"Serviço",AND(AUTOEVENTO="Manual",$M72=$A$15),$M72&gt;(ROW(PLE.lastrow)-ROW(PLE.firstrow))),0,
           IF(OFFSET(PLE!$G$15,$M72-$A$15,CK$13)="",10^12,OFFSET(PLE!$G$15,$M72-$A$15,CK$13)))</f>
        <v>1000000000000</v>
      </c>
      <c r="CL72" s="172">
        <f t="array" aca="1" ref="CL72" ca="1">IF(OR($D72&lt;&gt;"Serviço",AND(AUTOEVENTO="Manual",$M72=$A$15),$M72&gt;(ROW(PLE.lastrow)-ROW(PLE.firstrow))),0,
           IF(OFFSET(PLE!$G$15,$M72-$A$15,CL$13)="",10^12,OFFSET(PLE!$G$15,$M72-$A$15,CL$13)))</f>
        <v>1000000000000</v>
      </c>
      <c r="CM72" s="172">
        <f t="array" aca="1" ref="CM72" ca="1">IF(OR($D72&lt;&gt;"Serviço",AND(AUTOEVENTO="Manual",$M72=$A$15),$M72&gt;(ROW(PLE.lastrow)-ROW(PLE.firstrow))),0,
           IF(OFFSET(PLE!$G$15,$M72-$A$15,CM$13)="",10^12,OFFSET(PLE!$G$15,$M72-$A$15,CM$13)))</f>
        <v>1000000000000</v>
      </c>
    </row>
    <row r="73" spans="1:91" s="696" customFormat="1" ht="76.5" x14ac:dyDescent="0.2">
      <c r="A73" s="694">
        <f t="shared" ca="1" si="10"/>
        <v>11</v>
      </c>
      <c r="B73" s="694" t="str">
        <f ca="1">OFFSET(ORÇAMENTO!C$15,$L73,0)</f>
        <v>S</v>
      </c>
      <c r="C73" s="694" t="str">
        <f ca="1">OFFSET(ORÇAMENTO!L$15,$L73,0)</f>
        <v>F</v>
      </c>
      <c r="D73" s="116" t="str">
        <f ca="1">OFFSET(ORÇAMENTO!N$15,$L73,0)</f>
        <v>Serviço</v>
      </c>
      <c r="E73" s="117" t="str">
        <f ca="1">OFFSET(ORÇAMENTO!O$15,$L73,0)</f>
        <v>1.10.2.</v>
      </c>
      <c r="F73" s="163" t="str">
        <f ca="1">OFFSET(ORÇAMENTO!R$15,$L73,0)</f>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G73" s="164" t="str">
        <f ca="1">IF($D73&lt;&gt;"Serviço","",OFFSET(ORÇAMENTO!S$15,$L73,0))</f>
        <v>M2</v>
      </c>
      <c r="H73" s="122">
        <f t="array" aca="1" ref="H73" ca="1">IF($D73&lt;&gt;"Serviço",0,IF(ACOMPANHAMENTO="BM",ROUND(OFFSET(ORÇAMENTO!AJ$15,$L73,0),15-13*ORÇAMENTO!$AF$7),IF(IFERROR(CÁLCULO.FrentesPreenchidas,0)=0,0,SUM(ROUND(OFFSET($P73,0,1,1,CÁLCULO.FrentesPreenchidas),15-13*ORÇAMENTO!$AF$7)))))</f>
        <v>52</v>
      </c>
      <c r="I73" s="467" t="s">
        <v>1244</v>
      </c>
      <c r="J73" s="653" t="str">
        <f t="array" aca="1" ref="J73" ca="1">IF(OR(B73&lt;&gt;"S",CÁLCULO.FrentesPreenchidas=0),"",IF(AND(ACOMPANHAMENTO="PLE",AUTOEVENTO="Manual",OR(H73&gt;0,ORÇAMENTO!AC73="QUANT."),OR(K73="",M73=0,N73="")),"►E",IF(AND(ACOMPANHAMENTO="PLE",ORÇAMENTO!AC73="QUANT."),"►Q",IF(AND(ACOMPANHAMENTO="PLE",H73&lt;&gt;SUMPRODUCT(($Q$1:$AI$1=1)*ROUND(Q73:AI73,15))),"►S",IF(AND(COUNTIF($P$11:$AI$11,"▼")=0,H73&gt;0,I73=""),"◄M","")))))</f>
        <v/>
      </c>
      <c r="K73" s="654" t="s">
        <v>1395</v>
      </c>
      <c r="L73" s="165">
        <f t="shared" ca="1" si="11"/>
        <v>58</v>
      </c>
      <c r="M73" s="166">
        <f ca="1">IF($D73&lt;&gt;"Serviço","",
          IF(AUTOEVENTO="manual",$A73,
                IF(ISERROR(MATCH($A73,$A$15:OFFSET($A73,-1,0),0)),MAX($M$15:OFFSET(M73,-1,0))+1,
                      INDEX($M$15:OFFSET(M73,-1,0),MATCH($A73,$A$15:OFFSET($A73,-1,0),0)))))</f>
        <v>11</v>
      </c>
      <c r="N73" s="167" t="str">
        <f ca="1">IF($D73&lt;&gt;"Serviço","",
         IF(AUTOEVENTO="Manual",
                IF($A73=0,"&lt;-- defina o número do agrupador",
                       OFFSET(EVENTOS!$D$15,$A73-$A$15,0)),
                OFFSET($F$15,$A73,0)))</f>
        <v>ESQUADRIAS DE ALUMÍNIO</v>
      </c>
      <c r="O73" s="168"/>
      <c r="Q73" s="169">
        <f>2.6*5</f>
        <v>13</v>
      </c>
      <c r="R73" s="169">
        <f t="shared" ref="R73:T73" si="43">2.6*5</f>
        <v>13</v>
      </c>
      <c r="S73" s="169">
        <f t="shared" si="43"/>
        <v>13</v>
      </c>
      <c r="T73" s="169">
        <f t="shared" si="43"/>
        <v>13</v>
      </c>
      <c r="U73" s="169"/>
      <c r="V73" s="169"/>
      <c r="W73" s="169"/>
      <c r="X73" s="169"/>
      <c r="Y73" s="169"/>
      <c r="Z73" s="170"/>
      <c r="AA73" s="169"/>
      <c r="AB73" s="169"/>
      <c r="AC73" s="169"/>
      <c r="AD73" s="169"/>
      <c r="AE73" s="169"/>
      <c r="AF73" s="169"/>
      <c r="AG73" s="169"/>
      <c r="AH73" s="170"/>
      <c r="AJ73" s="452">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4471.87</v>
      </c>
      <c r="AK73" s="452">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4471.87</v>
      </c>
      <c r="AL73" s="452">
        <f ca="1">IF(AND($D73="Serviço",AL$12&lt;&gt;0,$H73&gt;0,OR(AUTOEVENTO&lt;&gt;"manual",$M73&lt;&gt;$A$15)),
        IF(Import.TipoArredondamento&lt;&gt;"TransfereGOV",
              ROUND(OFFSET($P73,0,AL$13),15-13*ORÇAMENTO!$AF$7)/$H73*OFFSET(ORÇAMENTO!$X$15,ROW(AL73)-ROW(AL$15),0),
              ROUND(ROUND(OFFSET($P73,0,AL$13),15-13*ORÇAMENTO!$AF$7)*OFFSET(ORÇAMENTO!$W$15,ROW(AL73)-ROW(AL$15),0),15-13*ORÇAMENTO!$AF$11)),
         0)</f>
        <v>4471.87</v>
      </c>
      <c r="AM73" s="452">
        <f ca="1">IF(AND($D73="Serviço",AM$12&lt;&gt;0,$H73&gt;0,OR(AUTOEVENTO&lt;&gt;"manual",$M73&lt;&gt;$A$15)),
        IF(Import.TipoArredondamento&lt;&gt;"TransfereGOV",
              ROUND(OFFSET($P73,0,AM$13),15-13*ORÇAMENTO!$AF$7)/$H73*OFFSET(ORÇAMENTO!$X$15,ROW(AM73)-ROW(AM$15),0),
              ROUND(ROUND(OFFSET($P73,0,AM$13),15-13*ORÇAMENTO!$AF$7)*OFFSET(ORÇAMENTO!$W$15,ROW(AM73)-ROW(AM$15),0),15-13*ORÇAMENTO!$AF$11)),
         0)</f>
        <v>4471.87</v>
      </c>
      <c r="AN73" s="452">
        <f ca="1">IF(AND($D73="Serviço",AN$12&lt;&gt;0,$H73&gt;0,OR(AUTOEVENTO&lt;&gt;"manual",$M73&lt;&gt;$A$15)),
        IF(Import.TipoArredondamento&lt;&gt;"TransfereGOV",
              ROUND(OFFSET($P73,0,AN$13),15-13*ORÇAMENTO!$AF$7)/$H73*OFFSET(ORÇAMENTO!$X$15,ROW(AN73)-ROW(AN$15),0),
              ROUND(ROUND(OFFSET($P73,0,AN$13),15-13*ORÇAMENTO!$AF$7)*OFFSET(ORÇAMENTO!$W$15,ROW(AN73)-ROW(AN$15),0),15-13*ORÇAMENTO!$AF$11)),
         0)</f>
        <v>0</v>
      </c>
      <c r="AO73" s="452">
        <f ca="1">IF(AND($D73="Serviço",AO$12&lt;&gt;0,$H73&gt;0,OR(AUTOEVENTO&lt;&gt;"manual",$M73&lt;&gt;$A$15)),
        IF(Import.TipoArredondamento&lt;&gt;"TransfereGOV",
              ROUND(OFFSET($P73,0,AO$13),15-13*ORÇAMENTO!$AF$7)/$H73*OFFSET(ORÇAMENTO!$X$15,ROW(AO73)-ROW(AO$15),0),
              ROUND(ROUND(OFFSET($P73,0,AO$13),15-13*ORÇAMENTO!$AF$7)*OFFSET(ORÇAMENTO!$W$15,ROW(AO73)-ROW(AO$15),0),15-13*ORÇAMENTO!$AF$11)),
         0)</f>
        <v>0</v>
      </c>
      <c r="AP73" s="452">
        <f ca="1">IF(AND($D73="Serviço",AP$12&lt;&gt;0,$H73&gt;0,OR(AUTOEVENTO&lt;&gt;"manual",$M73&lt;&gt;$A$15)),
        IF(Import.TipoArredondamento&lt;&gt;"TransfereGOV",
              ROUND(OFFSET($P73,0,AP$13),15-13*ORÇAMENTO!$AF$7)/$H73*OFFSET(ORÇAMENTO!$X$15,ROW(AP73)-ROW(AP$15),0),
              ROUND(ROUND(OFFSET($P73,0,AP$13),15-13*ORÇAMENTO!$AF$7)*OFFSET(ORÇAMENTO!$W$15,ROW(AP73)-ROW(AP$15),0),15-13*ORÇAMENTO!$AF$11)),
         0)</f>
        <v>0</v>
      </c>
      <c r="AQ73" s="452">
        <f ca="1">IF(AND($D73="Serviço",AQ$12&lt;&gt;0,$H73&gt;0,OR(AUTOEVENTO&lt;&gt;"manual",$M73&lt;&gt;$A$15)),
        IF(Import.TipoArredondamento&lt;&gt;"TransfereGOV",
              ROUND(OFFSET($P73,0,AQ$13),15-13*ORÇAMENTO!$AF$7)/$H73*OFFSET(ORÇAMENTO!$X$15,ROW(AQ73)-ROW(AQ$15),0),
              ROUND(ROUND(OFFSET($P73,0,AQ$13),15-13*ORÇAMENTO!$AF$7)*OFFSET(ORÇAMENTO!$W$15,ROW(AQ73)-ROW(AQ$15),0),15-13*ORÇAMENTO!$AF$11)),
         0)</f>
        <v>0</v>
      </c>
      <c r="AR73" s="452">
        <f ca="1">IF(AND($D73="Serviço",AR$12&lt;&gt;0,$H73&gt;0,OR(AUTOEVENTO&lt;&gt;"manual",$M73&lt;&gt;$A$15)),
        IF(Import.TipoArredondamento&lt;&gt;"TransfereGOV",
              ROUND(OFFSET($P73,0,AR$13),15-13*ORÇAMENTO!$AF$7)/$H73*OFFSET(ORÇAMENTO!$X$15,ROW(AR73)-ROW(AR$15),0),
              ROUND(ROUND(OFFSET($P73,0,AR$13),15-13*ORÇAMENTO!$AF$7)*OFFSET(ORÇAMENTO!$W$15,ROW(AR73)-ROW(AR$15),0),15-13*ORÇAMENTO!$AF$11)),
         0)</f>
        <v>0</v>
      </c>
      <c r="AS73" s="452">
        <f ca="1">IF(AND($D73="Serviço",AS$12&lt;&gt;0,$H73&gt;0,OR(AUTOEVENTO&lt;&gt;"manual",$M73&lt;&gt;$A$15)),
        IF(Import.TipoArredondamento&lt;&gt;"TransfereGOV",
              ROUND(OFFSET($P73,0,AS$13),15-13*ORÇAMENTO!$AF$7)/$H73*OFFSET(ORÇAMENTO!$X$15,ROW(AS73)-ROW(AS$15),0),
              ROUND(ROUND(OFFSET($P73,0,AS$13),15-13*ORÇAMENTO!$AF$7)*OFFSET(ORÇAMENTO!$W$15,ROW(AS73)-ROW(AS$15),0),15-13*ORÇAMENTO!$AF$11)),
         0)</f>
        <v>0</v>
      </c>
      <c r="AT73" s="452">
        <f ca="1">IF(AND($D73="Serviço",AT$12&lt;&gt;0,$H73&gt;0,OR(AUTOEVENTO&lt;&gt;"manual",$M73&lt;&gt;$A$15)),
        IF(Import.TipoArredondamento&lt;&gt;"TransfereGOV",
              ROUND(OFFSET($P73,0,AT$13),15-13*ORÇAMENTO!$AF$7)/$H73*OFFSET(ORÇAMENTO!$X$15,ROW(AT73)-ROW(AT$15),0),
              ROUND(ROUND(OFFSET($P73,0,AT$13),15-13*ORÇAMENTO!$AF$7)*OFFSET(ORÇAMENTO!$W$15,ROW(AT73)-ROW(AT$15),0),15-13*ORÇAMENTO!$AF$11)),
         0)</f>
        <v>0</v>
      </c>
      <c r="AU73" s="452">
        <f ca="1">IF(AND($D73="Serviço",AU$12&lt;&gt;0,$H73&gt;0,OR(AUTOEVENTO&lt;&gt;"manual",$M73&lt;&gt;$A$15)),
        IF(Import.TipoArredondamento&lt;&gt;"TransfereGOV",
              ROUND(OFFSET($P73,0,AU$13),15-13*ORÇAMENTO!$AF$7)/$H73*OFFSET(ORÇAMENTO!$X$15,ROW(AU73)-ROW(AU$15),0),
              ROUND(ROUND(OFFSET($P73,0,AU$13),15-13*ORÇAMENTO!$AF$7)*OFFSET(ORÇAMENTO!$W$15,ROW(AU73)-ROW(AU$15),0),15-13*ORÇAMENTO!$AF$11)),
         0)</f>
        <v>0</v>
      </c>
      <c r="AV73" s="452">
        <f ca="1">IF(AND($D73="Serviço",AV$12&lt;&gt;0,$H73&gt;0,OR(AUTOEVENTO&lt;&gt;"manual",$M73&lt;&gt;$A$15)),
        IF(Import.TipoArredondamento&lt;&gt;"TransfereGOV",
              ROUND(OFFSET($P73,0,AV$13),15-13*ORÇAMENTO!$AF$7)/$H73*OFFSET(ORÇAMENTO!$X$15,ROW(AV73)-ROW(AV$15),0),
              ROUND(ROUND(OFFSET($P73,0,AV$13),15-13*ORÇAMENTO!$AF$7)*OFFSET(ORÇAMENTO!$W$15,ROW(AV73)-ROW(AV$15),0),15-13*ORÇAMENTO!$AF$11)),
         0)</f>
        <v>0</v>
      </c>
      <c r="AW73" s="452">
        <f ca="1">IF(AND($D73="Serviço",AW$12&lt;&gt;0,$H73&gt;0,OR(AUTOEVENTO&lt;&gt;"manual",$M73&lt;&gt;$A$15)),
        IF(Import.TipoArredondamento&lt;&gt;"TransfereGOV",
              ROUND(OFFSET($P73,0,AW$13),15-13*ORÇAMENTO!$AF$7)/$H73*OFFSET(ORÇAMENTO!$X$15,ROW(AW73)-ROW(AW$15),0),
              ROUND(ROUND(OFFSET($P73,0,AW$13),15-13*ORÇAMENTO!$AF$7)*OFFSET(ORÇAMENTO!$W$15,ROW(AW73)-ROW(AW$15),0),15-13*ORÇAMENTO!$AF$11)),
         0)</f>
        <v>0</v>
      </c>
      <c r="AX73" s="452">
        <f ca="1">IF(AND($D73="Serviço",AX$12&lt;&gt;0,$H73&gt;0,OR(AUTOEVENTO&lt;&gt;"manual",$M73&lt;&gt;$A$15)),
        IF(Import.TipoArredondamento&lt;&gt;"TransfereGOV",
              ROUND(OFFSET($P73,0,AX$13),15-13*ORÇAMENTO!$AF$7)/$H73*OFFSET(ORÇAMENTO!$X$15,ROW(AX73)-ROW(AX$15),0),
              ROUND(ROUND(OFFSET($P73,0,AX$13),15-13*ORÇAMENTO!$AF$7)*OFFSET(ORÇAMENTO!$W$15,ROW(AX73)-ROW(AX$15),0),15-13*ORÇAMENTO!$AF$11)),
         0)</f>
        <v>0</v>
      </c>
      <c r="AY73" s="452">
        <f ca="1">IF(AND($D73="Serviço",AY$12&lt;&gt;0,$H73&gt;0,OR(AUTOEVENTO&lt;&gt;"manual",$M73&lt;&gt;$A$15)),
        IF(Import.TipoArredondamento&lt;&gt;"TransfereGOV",
              ROUND(OFFSET($P73,0,AY$13),15-13*ORÇAMENTO!$AF$7)/$H73*OFFSET(ORÇAMENTO!$X$15,ROW(AY73)-ROW(AY$15),0),
              ROUND(ROUND(OFFSET($P73,0,AY$13),15-13*ORÇAMENTO!$AF$7)*OFFSET(ORÇAMENTO!$W$15,ROW(AY73)-ROW(AY$15),0),15-13*ORÇAMENTO!$AF$11)),
         0)</f>
        <v>0</v>
      </c>
      <c r="AZ73" s="452">
        <f ca="1">IF(AND($D73="Serviço",AZ$12&lt;&gt;0,$H73&gt;0,OR(AUTOEVENTO&lt;&gt;"manual",$M73&lt;&gt;$A$15)),
        IF(Import.TipoArredondamento&lt;&gt;"TransfereGOV",
              ROUND(OFFSET($P73,0,AZ$13),15-13*ORÇAMENTO!$AF$7)/$H73*OFFSET(ORÇAMENTO!$X$15,ROW(AZ73)-ROW(AZ$15),0),
              ROUND(ROUND(OFFSET($P73,0,AZ$13),15-13*ORÇAMENTO!$AF$7)*OFFSET(ORÇAMENTO!$W$15,ROW(AZ73)-ROW(AZ$15),0),15-13*ORÇAMENTO!$AF$11)),
         0)</f>
        <v>0</v>
      </c>
      <c r="BA73" s="452">
        <f ca="1">IF(AND($D73="Serviço",BA$12&lt;&gt;0,$H73&gt;0,OR(AUTOEVENTO&lt;&gt;"manual",$M73&lt;&gt;$A$15)),
        IF(Import.TipoArredondamento&lt;&gt;"TransfereGOV",
              ROUND(OFFSET($P73,0,BA$13),15-13*ORÇAMENTO!$AF$7)/$H73*OFFSET(ORÇAMENTO!$X$15,ROW(BA73)-ROW(BA$15),0),
              ROUND(ROUND(OFFSET($P73,0,BA$13),15-13*ORÇAMENTO!$AF$7)*OFFSET(ORÇAMENTO!$W$15,ROW(BA73)-ROW(BA$15),0),15-13*ORÇAMENTO!$AF$11)),
         0)</f>
        <v>0</v>
      </c>
      <c r="BC73" s="171">
        <f ca="1">IF(OR($D73&lt;&gt;"Serviço",AND(AUTOEVENTO="Manual",$M73=$A$15)),0,
         IF(OFFSET(CRONOPLE!$F$15,$M73-$A$15,BC$13)=0,10^12,OFFSET(CRONOPLE!$F$15,$M73-$A$15,BC$13)))</f>
        <v>7</v>
      </c>
      <c r="BD73" s="171">
        <f ca="1">IF(OR($D73&lt;&gt;"Serviço",AND(AUTOEVENTO="Manual",$M73=$A$15)),0,
         IF(OFFSET(CRONOPLE!$F$15,$M73-$A$15,BD$13)=0,10^12,OFFSET(CRONOPLE!$F$15,$M73-$A$15,BD$13)))</f>
        <v>7</v>
      </c>
      <c r="BE73" s="171">
        <f ca="1">IF(OR($D73&lt;&gt;"Serviço",AND(AUTOEVENTO="Manual",$M73=$A$15)),0,
         IF(OFFSET(CRONOPLE!$F$15,$M73-$A$15,BE$13)=0,10^12,OFFSET(CRONOPLE!$F$15,$M73-$A$15,BE$13)))</f>
        <v>8</v>
      </c>
      <c r="BF73" s="171">
        <f ca="1">IF(OR($D73&lt;&gt;"Serviço",AND(AUTOEVENTO="Manual",$M73=$A$15)),0,
         IF(OFFSET(CRONOPLE!$F$15,$M73-$A$15,BF$13)=0,10^12,OFFSET(CRONOPLE!$F$15,$M73-$A$15,BF$13)))</f>
        <v>9</v>
      </c>
      <c r="BG73" s="171">
        <f ca="1">IF(OR($D73&lt;&gt;"Serviço",AND(AUTOEVENTO="Manual",$M73=$A$15)),0,
         IF(OFFSET(CRONOPLE!$F$15,$M73-$A$15,BG$13)=0,10^12,OFFSET(CRONOPLE!$F$15,$M73-$A$15,BG$13)))</f>
        <v>9</v>
      </c>
      <c r="BH73" s="171">
        <f ca="1">IF(OR($D73&lt;&gt;"Serviço",AND(AUTOEVENTO="Manual",$M73=$A$15)),0,
         IF(OFFSET(CRONOPLE!$F$15,$M73-$A$15,BH$13)=0,10^12,OFFSET(CRONOPLE!$F$15,$M73-$A$15,BH$13)))</f>
        <v>1000000000000</v>
      </c>
      <c r="BI73" s="171">
        <f ca="1">IF(OR($D73&lt;&gt;"Serviço",AND(AUTOEVENTO="Manual",$M73=$A$15)),0,
         IF(OFFSET(CRONOPLE!$F$15,$M73-$A$15,BI$13)=0,10^12,OFFSET(CRONOPLE!$F$15,$M73-$A$15,BI$13)))</f>
        <v>1000000000000</v>
      </c>
      <c r="BJ73" s="171">
        <f ca="1">IF(OR($D73&lt;&gt;"Serviço",AND(AUTOEVENTO="Manual",$M73=$A$15)),0,
         IF(OFFSET(CRONOPLE!$F$15,$M73-$A$15,BJ$13)=0,10^12,OFFSET(CRONOPLE!$F$15,$M73-$A$15,BJ$13)))</f>
        <v>9</v>
      </c>
      <c r="BK73" s="171">
        <f ca="1">IF(OR($D73&lt;&gt;"Serviço",AND(AUTOEVENTO="Manual",$M73=$A$15)),0,
         IF(OFFSET(CRONOPLE!$F$15,$M73-$A$15,BK$13)=0,10^12,OFFSET(CRONOPLE!$F$15,$M73-$A$15,BK$13)))</f>
        <v>1000000000000</v>
      </c>
      <c r="BL73" s="171">
        <f ca="1">IF(OR($D73&lt;&gt;"Serviço",AND(AUTOEVENTO="Manual",$M73=$A$15)),0,
         IF(OFFSET(CRONOPLE!$F$15,$M73-$A$15,BL$13)=0,10^12,OFFSET(CRONOPLE!$F$15,$M73-$A$15,BL$13)))</f>
        <v>1000000000000</v>
      </c>
      <c r="BM73" s="171">
        <f ca="1">IF(OR($D73&lt;&gt;"Serviço",AND(AUTOEVENTO="Manual",$M73=$A$15)),0,
         IF(OFFSET(CRONOPLE!$F$15,$M73-$A$15,BM$13)=0,10^12,OFFSET(CRONOPLE!$F$15,$M73-$A$15,BM$13)))</f>
        <v>1000000000000</v>
      </c>
      <c r="BN73" s="171">
        <f ca="1">IF(OR($D73&lt;&gt;"Serviço",AND(AUTOEVENTO="Manual",$M73=$A$15)),0,
         IF(OFFSET(CRONOPLE!$F$15,$M73-$A$15,BN$13)=0,10^12,OFFSET(CRONOPLE!$F$15,$M73-$A$15,BN$13)))</f>
        <v>1000000000000</v>
      </c>
      <c r="BO73" s="171">
        <f ca="1">IF(OR($D73&lt;&gt;"Serviço",AND(AUTOEVENTO="Manual",$M73=$A$15)),0,
         IF(OFFSET(CRONOPLE!$F$15,$M73-$A$15,BO$13)=0,10^12,OFFSET(CRONOPLE!$F$15,$M73-$A$15,BO$13)))</f>
        <v>1000000000000</v>
      </c>
      <c r="BP73" s="171">
        <f ca="1">IF(OR($D73&lt;&gt;"Serviço",AND(AUTOEVENTO="Manual",$M73=$A$15)),0,
         IF(OFFSET(CRONOPLE!$F$15,$M73-$A$15,BP$13)=0,10^12,OFFSET(CRONOPLE!$F$15,$M73-$A$15,BP$13)))</f>
        <v>1000000000000</v>
      </c>
      <c r="BQ73" s="171">
        <f ca="1">IF(OR($D73&lt;&gt;"Serviço",AND(AUTOEVENTO="Manual",$M73=$A$15)),0,
         IF(OFFSET(CRONOPLE!$F$15,$M73-$A$15,BQ$13)=0,10^12,OFFSET(CRONOPLE!$F$15,$M73-$A$15,BQ$13)))</f>
        <v>1000000000000</v>
      </c>
      <c r="BR73" s="171">
        <f ca="1">IF(OR($D73&lt;&gt;"Serviço",AND(AUTOEVENTO="Manual",$M73=$A$15)),0,
         IF(OFFSET(CRONOPLE!$F$15,$M73-$A$15,BR$13)=0,10^12,OFFSET(CRONOPLE!$F$15,$M73-$A$15,BR$13)))</f>
        <v>1000000000000</v>
      </c>
      <c r="BS73" s="171">
        <f ca="1">IF(OR($D73&lt;&gt;"Serviço",AND(AUTOEVENTO="Manual",$M73=$A$15)),0,
         IF(OFFSET(CRONOPLE!$F$15,$M73-$A$15,BS$13)=0,10^12,OFFSET(CRONOPLE!$F$15,$M73-$A$15,BS$13)))</f>
        <v>1000000000000</v>
      </c>
      <c r="BT73" s="171">
        <f ca="1">IF(OR($D73&lt;&gt;"Serviço",AND(AUTOEVENTO="Manual",$M73=$A$15)),0,
         IF(OFFSET(CRONOPLE!$F$15,$M73-$A$15,BT$13)=0,10^12,OFFSET(CRONOPLE!$F$15,$M73-$A$15,BT$13)))</f>
        <v>1000000000000</v>
      </c>
      <c r="BV73" s="172">
        <f t="array" aca="1" ref="BV73" ca="1">IF(OR($D73&lt;&gt;"Serviço",AND(AUTOEVENTO="Manual",$M73=$A$15),$M73&gt;(ROW(PLE.lastrow)-ROW(PLE.firstrow))),0,
           IF(OFFSET(PLE!$G$15,$M73-$A$15,BV$13)="",10^12,OFFSET(PLE!$G$15,$M73-$A$15,BV$13)))</f>
        <v>1000000000000</v>
      </c>
      <c r="BW73" s="172">
        <f t="array" aca="1" ref="BW73" ca="1">IF(OR($D73&lt;&gt;"Serviço",AND(AUTOEVENTO="Manual",$M73=$A$15),$M73&gt;(ROW(PLE.lastrow)-ROW(PLE.firstrow))),0,
           IF(OFFSET(PLE!$G$15,$M73-$A$15,BW$13)="",10^12,OFFSET(PLE!$G$15,$M73-$A$15,BW$13)))</f>
        <v>1000000000000</v>
      </c>
      <c r="BX73" s="172">
        <f t="array" aca="1" ref="BX73" ca="1">IF(OR($D73&lt;&gt;"Serviço",AND(AUTOEVENTO="Manual",$M73=$A$15),$M73&gt;(ROW(PLE.lastrow)-ROW(PLE.firstrow))),0,
           IF(OFFSET(PLE!$G$15,$M73-$A$15,BX$13)="",10^12,OFFSET(PLE!$G$15,$M73-$A$15,BX$13)))</f>
        <v>1000000000000</v>
      </c>
      <c r="BY73" s="172">
        <f t="array" aca="1" ref="BY73" ca="1">IF(OR($D73&lt;&gt;"Serviço",AND(AUTOEVENTO="Manual",$M73=$A$15),$M73&gt;(ROW(PLE.lastrow)-ROW(PLE.firstrow))),0,
           IF(OFFSET(PLE!$G$15,$M73-$A$15,BY$13)="",10^12,OFFSET(PLE!$G$15,$M73-$A$15,BY$13)))</f>
        <v>1000000000000</v>
      </c>
      <c r="BZ73" s="172">
        <f t="array" aca="1" ref="BZ73" ca="1">IF(OR($D73&lt;&gt;"Serviço",AND(AUTOEVENTO="Manual",$M73=$A$15),$M73&gt;(ROW(PLE.lastrow)-ROW(PLE.firstrow))),0,
           IF(OFFSET(PLE!$G$15,$M73-$A$15,BZ$13)="",10^12,OFFSET(PLE!$G$15,$M73-$A$15,BZ$13)))</f>
        <v>1000000000000</v>
      </c>
      <c r="CA73" s="172">
        <f t="array" aca="1" ref="CA73" ca="1">IF(OR($D73&lt;&gt;"Serviço",AND(AUTOEVENTO="Manual",$M73=$A$15),$M73&gt;(ROW(PLE.lastrow)-ROW(PLE.firstrow))),0,
           IF(OFFSET(PLE!$G$15,$M73-$A$15,CA$13)="",10^12,OFFSET(PLE!$G$15,$M73-$A$15,CA$13)))</f>
        <v>1000000000000</v>
      </c>
      <c r="CB73" s="172">
        <f t="array" aca="1" ref="CB73" ca="1">IF(OR($D73&lt;&gt;"Serviço",AND(AUTOEVENTO="Manual",$M73=$A$15),$M73&gt;(ROW(PLE.lastrow)-ROW(PLE.firstrow))),0,
           IF(OFFSET(PLE!$G$15,$M73-$A$15,CB$13)="",10^12,OFFSET(PLE!$G$15,$M73-$A$15,CB$13)))</f>
        <v>1000000000000</v>
      </c>
      <c r="CC73" s="172">
        <f t="array" aca="1" ref="CC73" ca="1">IF(OR($D73&lt;&gt;"Serviço",AND(AUTOEVENTO="Manual",$M73=$A$15),$M73&gt;(ROW(PLE.lastrow)-ROW(PLE.firstrow))),0,
           IF(OFFSET(PLE!$G$15,$M73-$A$15,CC$13)="",10^12,OFFSET(PLE!$G$15,$M73-$A$15,CC$13)))</f>
        <v>1000000000000</v>
      </c>
      <c r="CD73" s="172">
        <f t="array" aca="1" ref="CD73" ca="1">IF(OR($D73&lt;&gt;"Serviço",AND(AUTOEVENTO="Manual",$M73=$A$15),$M73&gt;(ROW(PLE.lastrow)-ROW(PLE.firstrow))),0,
           IF(OFFSET(PLE!$G$15,$M73-$A$15,CD$13)="",10^12,OFFSET(PLE!$G$15,$M73-$A$15,CD$13)))</f>
        <v>1000000000000</v>
      </c>
      <c r="CE73" s="172">
        <f t="array" aca="1" ref="CE73" ca="1">IF(OR($D73&lt;&gt;"Serviço",AND(AUTOEVENTO="Manual",$M73=$A$15),$M73&gt;(ROW(PLE.lastrow)-ROW(PLE.firstrow))),0,
           IF(OFFSET(PLE!$G$15,$M73-$A$15,CE$13)="",10^12,OFFSET(PLE!$G$15,$M73-$A$15,CE$13)))</f>
        <v>1000000000000</v>
      </c>
      <c r="CF73" s="172">
        <f t="array" aca="1" ref="CF73" ca="1">IF(OR($D73&lt;&gt;"Serviço",AND(AUTOEVENTO="Manual",$M73=$A$15),$M73&gt;(ROW(PLE.lastrow)-ROW(PLE.firstrow))),0,
           IF(OFFSET(PLE!$G$15,$M73-$A$15,CF$13)="",10^12,OFFSET(PLE!$G$15,$M73-$A$15,CF$13)))</f>
        <v>1000000000000</v>
      </c>
      <c r="CG73" s="172">
        <f t="array" aca="1" ref="CG73" ca="1">IF(OR($D73&lt;&gt;"Serviço",AND(AUTOEVENTO="Manual",$M73=$A$15),$M73&gt;(ROW(PLE.lastrow)-ROW(PLE.firstrow))),0,
           IF(OFFSET(PLE!$G$15,$M73-$A$15,CG$13)="",10^12,OFFSET(PLE!$G$15,$M73-$A$15,CG$13)))</f>
        <v>1000000000000</v>
      </c>
      <c r="CH73" s="172">
        <f t="array" aca="1" ref="CH73" ca="1">IF(OR($D73&lt;&gt;"Serviço",AND(AUTOEVENTO="Manual",$M73=$A$15),$M73&gt;(ROW(PLE.lastrow)-ROW(PLE.firstrow))),0,
           IF(OFFSET(PLE!$G$15,$M73-$A$15,CH$13)="",10^12,OFFSET(PLE!$G$15,$M73-$A$15,CH$13)))</f>
        <v>1000000000000</v>
      </c>
      <c r="CI73" s="172">
        <f t="array" aca="1" ref="CI73" ca="1">IF(OR($D73&lt;&gt;"Serviço",AND(AUTOEVENTO="Manual",$M73=$A$15),$M73&gt;(ROW(PLE.lastrow)-ROW(PLE.firstrow))),0,
           IF(OFFSET(PLE!$G$15,$M73-$A$15,CI$13)="",10^12,OFFSET(PLE!$G$15,$M73-$A$15,CI$13)))</f>
        <v>1000000000000</v>
      </c>
      <c r="CJ73" s="172">
        <f t="array" aca="1" ref="CJ73" ca="1">IF(OR($D73&lt;&gt;"Serviço",AND(AUTOEVENTO="Manual",$M73=$A$15),$M73&gt;(ROW(PLE.lastrow)-ROW(PLE.firstrow))),0,
           IF(OFFSET(PLE!$G$15,$M73-$A$15,CJ$13)="",10^12,OFFSET(PLE!$G$15,$M73-$A$15,CJ$13)))</f>
        <v>1000000000000</v>
      </c>
      <c r="CK73" s="172">
        <f t="array" aca="1" ref="CK73" ca="1">IF(OR($D73&lt;&gt;"Serviço",AND(AUTOEVENTO="Manual",$M73=$A$15),$M73&gt;(ROW(PLE.lastrow)-ROW(PLE.firstrow))),0,
           IF(OFFSET(PLE!$G$15,$M73-$A$15,CK$13)="",10^12,OFFSET(PLE!$G$15,$M73-$A$15,CK$13)))</f>
        <v>1000000000000</v>
      </c>
      <c r="CL73" s="172">
        <f t="array" aca="1" ref="CL73" ca="1">IF(OR($D73&lt;&gt;"Serviço",AND(AUTOEVENTO="Manual",$M73=$A$15),$M73&gt;(ROW(PLE.lastrow)-ROW(PLE.firstrow))),0,
           IF(OFFSET(PLE!$G$15,$M73-$A$15,CL$13)="",10^12,OFFSET(PLE!$G$15,$M73-$A$15,CL$13)))</f>
        <v>1000000000000</v>
      </c>
      <c r="CM73" s="172">
        <f t="array" aca="1" ref="CM73" ca="1">IF(OR($D73&lt;&gt;"Serviço",AND(AUTOEVENTO="Manual",$M73=$A$15),$M73&gt;(ROW(PLE.lastrow)-ROW(PLE.firstrow))),0,
           IF(OFFSET(PLE!$G$15,$M73-$A$15,CM$13)="",10^12,OFFSET(PLE!$G$15,$M73-$A$15,CM$13)))</f>
        <v>1000000000000</v>
      </c>
    </row>
    <row r="74" spans="1:91" s="696" customFormat="1" ht="76.5" x14ac:dyDescent="0.2">
      <c r="A74" s="694">
        <f t="shared" ca="1" si="10"/>
        <v>11</v>
      </c>
      <c r="B74" s="694" t="str">
        <f ca="1">OFFSET(ORÇAMENTO!C$15,$L74,0)</f>
        <v>S</v>
      </c>
      <c r="C74" s="694" t="str">
        <f ca="1">OFFSET(ORÇAMENTO!L$15,$L74,0)</f>
        <v>F</v>
      </c>
      <c r="D74" s="116" t="str">
        <f ca="1">OFFSET(ORÇAMENTO!N$15,$L74,0)</f>
        <v>Serviço</v>
      </c>
      <c r="E74" s="117" t="str">
        <f ca="1">OFFSET(ORÇAMENTO!O$15,$L74,0)</f>
        <v>1.10.3.</v>
      </c>
      <c r="F74" s="163" t="str">
        <f ca="1">OFFSET(ORÇAMENTO!R$15,$L74,0)</f>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G74" s="164" t="str">
        <f ca="1">IF($D74&lt;&gt;"Serviço","",OFFSET(ORÇAMENTO!S$15,$L74,0))</f>
        <v>M2</v>
      </c>
      <c r="H74" s="122">
        <f t="array" aca="1" ref="H74" ca="1">IF($D74&lt;&gt;"Serviço",0,IF(ACOMPANHAMENTO="BM",ROUND(OFFSET(ORÇAMENTO!AJ$15,$L74,0),15-13*ORÇAMENTO!$AF$7),IF(IFERROR(CÁLCULO.FrentesPreenchidas,0)=0,0,SUM(ROUND(OFFSET($P74,0,1,1,CÁLCULO.FrentesPreenchidas),15-13*ORÇAMENTO!$AF$7)))))</f>
        <v>56</v>
      </c>
      <c r="I74" s="467" t="s">
        <v>1245</v>
      </c>
      <c r="J74" s="653" t="str">
        <f t="array" aca="1" ref="J74" ca="1">IF(OR(B74&lt;&gt;"S",CÁLCULO.FrentesPreenchidas=0),"",IF(AND(ACOMPANHAMENTO="PLE",AUTOEVENTO="Manual",OR(H74&gt;0,ORÇAMENTO!AC74="QUANT."),OR(K74="",M74=0,N74="")),"►E",IF(AND(ACOMPANHAMENTO="PLE",ORÇAMENTO!AC74="QUANT."),"►Q",IF(AND(ACOMPANHAMENTO="PLE",H74&lt;&gt;SUMPRODUCT(($Q$1:$AI$1=1)*ROUND(Q74:AI74,15))),"►S",IF(AND(COUNTIF($P$11:$AI$11,"▼")=0,H74&gt;0,I74=""),"◄M","")))))</f>
        <v/>
      </c>
      <c r="K74" s="654" t="s">
        <v>1395</v>
      </c>
      <c r="L74" s="165">
        <f t="shared" ca="1" si="11"/>
        <v>59</v>
      </c>
      <c r="M74" s="166">
        <f ca="1">IF($D74&lt;&gt;"Serviço","",
          IF(AUTOEVENTO="manual",$A74,
                IF(ISERROR(MATCH($A74,$A$15:OFFSET($A74,-1,0),0)),MAX($M$15:OFFSET(M74,-1,0))+1,
                      INDEX($M$15:OFFSET(M74,-1,0),MATCH($A74,$A$15:OFFSET($A74,-1,0),0)))))</f>
        <v>11</v>
      </c>
      <c r="N74" s="167" t="str">
        <f ca="1">IF($D74&lt;&gt;"Serviço","",
         IF(AUTOEVENTO="Manual",
                IF($A74=0,"&lt;-- defina o número do agrupador",
                       OFFSET(EVENTOS!$D$15,$A74-$A$15,0)),
                OFFSET($F$15,$A74,0)))</f>
        <v>ESQUADRIAS DE ALUMÍNIO</v>
      </c>
      <c r="O74" s="168"/>
      <c r="Q74" s="169">
        <f>2.8*5</f>
        <v>14</v>
      </c>
      <c r="R74" s="169">
        <f t="shared" ref="R74:T74" si="44">2.8*5</f>
        <v>14</v>
      </c>
      <c r="S74" s="169">
        <f t="shared" si="44"/>
        <v>14</v>
      </c>
      <c r="T74" s="169">
        <f t="shared" si="44"/>
        <v>14</v>
      </c>
      <c r="U74" s="169"/>
      <c r="V74" s="169"/>
      <c r="W74" s="169"/>
      <c r="X74" s="169"/>
      <c r="Y74" s="169"/>
      <c r="Z74" s="170"/>
      <c r="AA74" s="169"/>
      <c r="AB74" s="169"/>
      <c r="AC74" s="169"/>
      <c r="AD74" s="169"/>
      <c r="AE74" s="169"/>
      <c r="AF74" s="169"/>
      <c r="AG74" s="169"/>
      <c r="AH74" s="170"/>
      <c r="AJ74" s="452">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6883.38</v>
      </c>
      <c r="AK74" s="452">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6883.38</v>
      </c>
      <c r="AL74" s="452">
        <f ca="1">IF(AND($D74="Serviço",AL$12&lt;&gt;0,$H74&gt;0,OR(AUTOEVENTO&lt;&gt;"manual",$M74&lt;&gt;$A$15)),
        IF(Import.TipoArredondamento&lt;&gt;"TransfereGOV",
              ROUND(OFFSET($P74,0,AL$13),15-13*ORÇAMENTO!$AF$7)/$H74*OFFSET(ORÇAMENTO!$X$15,ROW(AL74)-ROW(AL$15),0),
              ROUND(ROUND(OFFSET($P74,0,AL$13),15-13*ORÇAMENTO!$AF$7)*OFFSET(ORÇAMENTO!$W$15,ROW(AL74)-ROW(AL$15),0),15-13*ORÇAMENTO!$AF$11)),
         0)</f>
        <v>6883.38</v>
      </c>
      <c r="AM74" s="452">
        <f ca="1">IF(AND($D74="Serviço",AM$12&lt;&gt;0,$H74&gt;0,OR(AUTOEVENTO&lt;&gt;"manual",$M74&lt;&gt;$A$15)),
        IF(Import.TipoArredondamento&lt;&gt;"TransfereGOV",
              ROUND(OFFSET($P74,0,AM$13),15-13*ORÇAMENTO!$AF$7)/$H74*OFFSET(ORÇAMENTO!$X$15,ROW(AM74)-ROW(AM$15),0),
              ROUND(ROUND(OFFSET($P74,0,AM$13),15-13*ORÇAMENTO!$AF$7)*OFFSET(ORÇAMENTO!$W$15,ROW(AM74)-ROW(AM$15),0),15-13*ORÇAMENTO!$AF$11)),
         0)</f>
        <v>6883.38</v>
      </c>
      <c r="AN74" s="452">
        <f ca="1">IF(AND($D74="Serviço",AN$12&lt;&gt;0,$H74&gt;0,OR(AUTOEVENTO&lt;&gt;"manual",$M74&lt;&gt;$A$15)),
        IF(Import.TipoArredondamento&lt;&gt;"TransfereGOV",
              ROUND(OFFSET($P74,0,AN$13),15-13*ORÇAMENTO!$AF$7)/$H74*OFFSET(ORÇAMENTO!$X$15,ROW(AN74)-ROW(AN$15),0),
              ROUND(ROUND(OFFSET($P74,0,AN$13),15-13*ORÇAMENTO!$AF$7)*OFFSET(ORÇAMENTO!$W$15,ROW(AN74)-ROW(AN$15),0),15-13*ORÇAMENTO!$AF$11)),
         0)</f>
        <v>0</v>
      </c>
      <c r="AO74" s="452">
        <f ca="1">IF(AND($D74="Serviço",AO$12&lt;&gt;0,$H74&gt;0,OR(AUTOEVENTO&lt;&gt;"manual",$M74&lt;&gt;$A$15)),
        IF(Import.TipoArredondamento&lt;&gt;"TransfereGOV",
              ROUND(OFFSET($P74,0,AO$13),15-13*ORÇAMENTO!$AF$7)/$H74*OFFSET(ORÇAMENTO!$X$15,ROW(AO74)-ROW(AO$15),0),
              ROUND(ROUND(OFFSET($P74,0,AO$13),15-13*ORÇAMENTO!$AF$7)*OFFSET(ORÇAMENTO!$W$15,ROW(AO74)-ROW(AO$15),0),15-13*ORÇAMENTO!$AF$11)),
         0)</f>
        <v>0</v>
      </c>
      <c r="AP74" s="452">
        <f ca="1">IF(AND($D74="Serviço",AP$12&lt;&gt;0,$H74&gt;0,OR(AUTOEVENTO&lt;&gt;"manual",$M74&lt;&gt;$A$15)),
        IF(Import.TipoArredondamento&lt;&gt;"TransfereGOV",
              ROUND(OFFSET($P74,0,AP$13),15-13*ORÇAMENTO!$AF$7)/$H74*OFFSET(ORÇAMENTO!$X$15,ROW(AP74)-ROW(AP$15),0),
              ROUND(ROUND(OFFSET($P74,0,AP$13),15-13*ORÇAMENTO!$AF$7)*OFFSET(ORÇAMENTO!$W$15,ROW(AP74)-ROW(AP$15),0),15-13*ORÇAMENTO!$AF$11)),
         0)</f>
        <v>0</v>
      </c>
      <c r="AQ74" s="452">
        <f ca="1">IF(AND($D74="Serviço",AQ$12&lt;&gt;0,$H74&gt;0,OR(AUTOEVENTO&lt;&gt;"manual",$M74&lt;&gt;$A$15)),
        IF(Import.TipoArredondamento&lt;&gt;"TransfereGOV",
              ROUND(OFFSET($P74,0,AQ$13),15-13*ORÇAMENTO!$AF$7)/$H74*OFFSET(ORÇAMENTO!$X$15,ROW(AQ74)-ROW(AQ$15),0),
              ROUND(ROUND(OFFSET($P74,0,AQ$13),15-13*ORÇAMENTO!$AF$7)*OFFSET(ORÇAMENTO!$W$15,ROW(AQ74)-ROW(AQ$15),0),15-13*ORÇAMENTO!$AF$11)),
         0)</f>
        <v>0</v>
      </c>
      <c r="AR74" s="452">
        <f ca="1">IF(AND($D74="Serviço",AR$12&lt;&gt;0,$H74&gt;0,OR(AUTOEVENTO&lt;&gt;"manual",$M74&lt;&gt;$A$15)),
        IF(Import.TipoArredondamento&lt;&gt;"TransfereGOV",
              ROUND(OFFSET($P74,0,AR$13),15-13*ORÇAMENTO!$AF$7)/$H74*OFFSET(ORÇAMENTO!$X$15,ROW(AR74)-ROW(AR$15),0),
              ROUND(ROUND(OFFSET($P74,0,AR$13),15-13*ORÇAMENTO!$AF$7)*OFFSET(ORÇAMENTO!$W$15,ROW(AR74)-ROW(AR$15),0),15-13*ORÇAMENTO!$AF$11)),
         0)</f>
        <v>0</v>
      </c>
      <c r="AS74" s="452">
        <f ca="1">IF(AND($D74="Serviço",AS$12&lt;&gt;0,$H74&gt;0,OR(AUTOEVENTO&lt;&gt;"manual",$M74&lt;&gt;$A$15)),
        IF(Import.TipoArredondamento&lt;&gt;"TransfereGOV",
              ROUND(OFFSET($P74,0,AS$13),15-13*ORÇAMENTO!$AF$7)/$H74*OFFSET(ORÇAMENTO!$X$15,ROW(AS74)-ROW(AS$15),0),
              ROUND(ROUND(OFFSET($P74,0,AS$13),15-13*ORÇAMENTO!$AF$7)*OFFSET(ORÇAMENTO!$W$15,ROW(AS74)-ROW(AS$15),0),15-13*ORÇAMENTO!$AF$11)),
         0)</f>
        <v>0</v>
      </c>
      <c r="AT74" s="452">
        <f ca="1">IF(AND($D74="Serviço",AT$12&lt;&gt;0,$H74&gt;0,OR(AUTOEVENTO&lt;&gt;"manual",$M74&lt;&gt;$A$15)),
        IF(Import.TipoArredondamento&lt;&gt;"TransfereGOV",
              ROUND(OFFSET($P74,0,AT$13),15-13*ORÇAMENTO!$AF$7)/$H74*OFFSET(ORÇAMENTO!$X$15,ROW(AT74)-ROW(AT$15),0),
              ROUND(ROUND(OFFSET($P74,0,AT$13),15-13*ORÇAMENTO!$AF$7)*OFFSET(ORÇAMENTO!$W$15,ROW(AT74)-ROW(AT$15),0),15-13*ORÇAMENTO!$AF$11)),
         0)</f>
        <v>0</v>
      </c>
      <c r="AU74" s="452">
        <f ca="1">IF(AND($D74="Serviço",AU$12&lt;&gt;0,$H74&gt;0,OR(AUTOEVENTO&lt;&gt;"manual",$M74&lt;&gt;$A$15)),
        IF(Import.TipoArredondamento&lt;&gt;"TransfereGOV",
              ROUND(OFFSET($P74,0,AU$13),15-13*ORÇAMENTO!$AF$7)/$H74*OFFSET(ORÇAMENTO!$X$15,ROW(AU74)-ROW(AU$15),0),
              ROUND(ROUND(OFFSET($P74,0,AU$13),15-13*ORÇAMENTO!$AF$7)*OFFSET(ORÇAMENTO!$W$15,ROW(AU74)-ROW(AU$15),0),15-13*ORÇAMENTO!$AF$11)),
         0)</f>
        <v>0</v>
      </c>
      <c r="AV74" s="452">
        <f ca="1">IF(AND($D74="Serviço",AV$12&lt;&gt;0,$H74&gt;0,OR(AUTOEVENTO&lt;&gt;"manual",$M74&lt;&gt;$A$15)),
        IF(Import.TipoArredondamento&lt;&gt;"TransfereGOV",
              ROUND(OFFSET($P74,0,AV$13),15-13*ORÇAMENTO!$AF$7)/$H74*OFFSET(ORÇAMENTO!$X$15,ROW(AV74)-ROW(AV$15),0),
              ROUND(ROUND(OFFSET($P74,0,AV$13),15-13*ORÇAMENTO!$AF$7)*OFFSET(ORÇAMENTO!$W$15,ROW(AV74)-ROW(AV$15),0),15-13*ORÇAMENTO!$AF$11)),
         0)</f>
        <v>0</v>
      </c>
      <c r="AW74" s="452">
        <f ca="1">IF(AND($D74="Serviço",AW$12&lt;&gt;0,$H74&gt;0,OR(AUTOEVENTO&lt;&gt;"manual",$M74&lt;&gt;$A$15)),
        IF(Import.TipoArredondamento&lt;&gt;"TransfereGOV",
              ROUND(OFFSET($P74,0,AW$13),15-13*ORÇAMENTO!$AF$7)/$H74*OFFSET(ORÇAMENTO!$X$15,ROW(AW74)-ROW(AW$15),0),
              ROUND(ROUND(OFFSET($P74,0,AW$13),15-13*ORÇAMENTO!$AF$7)*OFFSET(ORÇAMENTO!$W$15,ROW(AW74)-ROW(AW$15),0),15-13*ORÇAMENTO!$AF$11)),
         0)</f>
        <v>0</v>
      </c>
      <c r="AX74" s="452">
        <f ca="1">IF(AND($D74="Serviço",AX$12&lt;&gt;0,$H74&gt;0,OR(AUTOEVENTO&lt;&gt;"manual",$M74&lt;&gt;$A$15)),
        IF(Import.TipoArredondamento&lt;&gt;"TransfereGOV",
              ROUND(OFFSET($P74,0,AX$13),15-13*ORÇAMENTO!$AF$7)/$H74*OFFSET(ORÇAMENTO!$X$15,ROW(AX74)-ROW(AX$15),0),
              ROUND(ROUND(OFFSET($P74,0,AX$13),15-13*ORÇAMENTO!$AF$7)*OFFSET(ORÇAMENTO!$W$15,ROW(AX74)-ROW(AX$15),0),15-13*ORÇAMENTO!$AF$11)),
         0)</f>
        <v>0</v>
      </c>
      <c r="AY74" s="452">
        <f ca="1">IF(AND($D74="Serviço",AY$12&lt;&gt;0,$H74&gt;0,OR(AUTOEVENTO&lt;&gt;"manual",$M74&lt;&gt;$A$15)),
        IF(Import.TipoArredondamento&lt;&gt;"TransfereGOV",
              ROUND(OFFSET($P74,0,AY$13),15-13*ORÇAMENTO!$AF$7)/$H74*OFFSET(ORÇAMENTO!$X$15,ROW(AY74)-ROW(AY$15),0),
              ROUND(ROUND(OFFSET($P74,0,AY$13),15-13*ORÇAMENTO!$AF$7)*OFFSET(ORÇAMENTO!$W$15,ROW(AY74)-ROW(AY$15),0),15-13*ORÇAMENTO!$AF$11)),
         0)</f>
        <v>0</v>
      </c>
      <c r="AZ74" s="452">
        <f ca="1">IF(AND($D74="Serviço",AZ$12&lt;&gt;0,$H74&gt;0,OR(AUTOEVENTO&lt;&gt;"manual",$M74&lt;&gt;$A$15)),
        IF(Import.TipoArredondamento&lt;&gt;"TransfereGOV",
              ROUND(OFFSET($P74,0,AZ$13),15-13*ORÇAMENTO!$AF$7)/$H74*OFFSET(ORÇAMENTO!$X$15,ROW(AZ74)-ROW(AZ$15),0),
              ROUND(ROUND(OFFSET($P74,0,AZ$13),15-13*ORÇAMENTO!$AF$7)*OFFSET(ORÇAMENTO!$W$15,ROW(AZ74)-ROW(AZ$15),0),15-13*ORÇAMENTO!$AF$11)),
         0)</f>
        <v>0</v>
      </c>
      <c r="BA74" s="452">
        <f ca="1">IF(AND($D74="Serviço",BA$12&lt;&gt;0,$H74&gt;0,OR(AUTOEVENTO&lt;&gt;"manual",$M74&lt;&gt;$A$15)),
        IF(Import.TipoArredondamento&lt;&gt;"TransfereGOV",
              ROUND(OFFSET($P74,0,BA$13),15-13*ORÇAMENTO!$AF$7)/$H74*OFFSET(ORÇAMENTO!$X$15,ROW(BA74)-ROW(BA$15),0),
              ROUND(ROUND(OFFSET($P74,0,BA$13),15-13*ORÇAMENTO!$AF$7)*OFFSET(ORÇAMENTO!$W$15,ROW(BA74)-ROW(BA$15),0),15-13*ORÇAMENTO!$AF$11)),
         0)</f>
        <v>0</v>
      </c>
      <c r="BC74" s="171">
        <f ca="1">IF(OR($D74&lt;&gt;"Serviço",AND(AUTOEVENTO="Manual",$M74=$A$15)),0,
         IF(OFFSET(CRONOPLE!$F$15,$M74-$A$15,BC$13)=0,10^12,OFFSET(CRONOPLE!$F$15,$M74-$A$15,BC$13)))</f>
        <v>7</v>
      </c>
      <c r="BD74" s="171">
        <f ca="1">IF(OR($D74&lt;&gt;"Serviço",AND(AUTOEVENTO="Manual",$M74=$A$15)),0,
         IF(OFFSET(CRONOPLE!$F$15,$M74-$A$15,BD$13)=0,10^12,OFFSET(CRONOPLE!$F$15,$M74-$A$15,BD$13)))</f>
        <v>7</v>
      </c>
      <c r="BE74" s="171">
        <f ca="1">IF(OR($D74&lt;&gt;"Serviço",AND(AUTOEVENTO="Manual",$M74=$A$15)),0,
         IF(OFFSET(CRONOPLE!$F$15,$M74-$A$15,BE$13)=0,10^12,OFFSET(CRONOPLE!$F$15,$M74-$A$15,BE$13)))</f>
        <v>8</v>
      </c>
      <c r="BF74" s="171">
        <f ca="1">IF(OR($D74&lt;&gt;"Serviço",AND(AUTOEVENTO="Manual",$M74=$A$15)),0,
         IF(OFFSET(CRONOPLE!$F$15,$M74-$A$15,BF$13)=0,10^12,OFFSET(CRONOPLE!$F$15,$M74-$A$15,BF$13)))</f>
        <v>9</v>
      </c>
      <c r="BG74" s="171">
        <f ca="1">IF(OR($D74&lt;&gt;"Serviço",AND(AUTOEVENTO="Manual",$M74=$A$15)),0,
         IF(OFFSET(CRONOPLE!$F$15,$M74-$A$15,BG$13)=0,10^12,OFFSET(CRONOPLE!$F$15,$M74-$A$15,BG$13)))</f>
        <v>9</v>
      </c>
      <c r="BH74" s="171">
        <f ca="1">IF(OR($D74&lt;&gt;"Serviço",AND(AUTOEVENTO="Manual",$M74=$A$15)),0,
         IF(OFFSET(CRONOPLE!$F$15,$M74-$A$15,BH$13)=0,10^12,OFFSET(CRONOPLE!$F$15,$M74-$A$15,BH$13)))</f>
        <v>1000000000000</v>
      </c>
      <c r="BI74" s="171">
        <f ca="1">IF(OR($D74&lt;&gt;"Serviço",AND(AUTOEVENTO="Manual",$M74=$A$15)),0,
         IF(OFFSET(CRONOPLE!$F$15,$M74-$A$15,BI$13)=0,10^12,OFFSET(CRONOPLE!$F$15,$M74-$A$15,BI$13)))</f>
        <v>1000000000000</v>
      </c>
      <c r="BJ74" s="171">
        <f ca="1">IF(OR($D74&lt;&gt;"Serviço",AND(AUTOEVENTO="Manual",$M74=$A$15)),0,
         IF(OFFSET(CRONOPLE!$F$15,$M74-$A$15,BJ$13)=0,10^12,OFFSET(CRONOPLE!$F$15,$M74-$A$15,BJ$13)))</f>
        <v>9</v>
      </c>
      <c r="BK74" s="171">
        <f ca="1">IF(OR($D74&lt;&gt;"Serviço",AND(AUTOEVENTO="Manual",$M74=$A$15)),0,
         IF(OFFSET(CRONOPLE!$F$15,$M74-$A$15,BK$13)=0,10^12,OFFSET(CRONOPLE!$F$15,$M74-$A$15,BK$13)))</f>
        <v>1000000000000</v>
      </c>
      <c r="BL74" s="171">
        <f ca="1">IF(OR($D74&lt;&gt;"Serviço",AND(AUTOEVENTO="Manual",$M74=$A$15)),0,
         IF(OFFSET(CRONOPLE!$F$15,$M74-$A$15,BL$13)=0,10^12,OFFSET(CRONOPLE!$F$15,$M74-$A$15,BL$13)))</f>
        <v>1000000000000</v>
      </c>
      <c r="BM74" s="171">
        <f ca="1">IF(OR($D74&lt;&gt;"Serviço",AND(AUTOEVENTO="Manual",$M74=$A$15)),0,
         IF(OFFSET(CRONOPLE!$F$15,$M74-$A$15,BM$13)=0,10^12,OFFSET(CRONOPLE!$F$15,$M74-$A$15,BM$13)))</f>
        <v>1000000000000</v>
      </c>
      <c r="BN74" s="171">
        <f ca="1">IF(OR($D74&lt;&gt;"Serviço",AND(AUTOEVENTO="Manual",$M74=$A$15)),0,
         IF(OFFSET(CRONOPLE!$F$15,$M74-$A$15,BN$13)=0,10^12,OFFSET(CRONOPLE!$F$15,$M74-$A$15,BN$13)))</f>
        <v>1000000000000</v>
      </c>
      <c r="BO74" s="171">
        <f ca="1">IF(OR($D74&lt;&gt;"Serviço",AND(AUTOEVENTO="Manual",$M74=$A$15)),0,
         IF(OFFSET(CRONOPLE!$F$15,$M74-$A$15,BO$13)=0,10^12,OFFSET(CRONOPLE!$F$15,$M74-$A$15,BO$13)))</f>
        <v>1000000000000</v>
      </c>
      <c r="BP74" s="171">
        <f ca="1">IF(OR($D74&lt;&gt;"Serviço",AND(AUTOEVENTO="Manual",$M74=$A$15)),0,
         IF(OFFSET(CRONOPLE!$F$15,$M74-$A$15,BP$13)=0,10^12,OFFSET(CRONOPLE!$F$15,$M74-$A$15,BP$13)))</f>
        <v>1000000000000</v>
      </c>
      <c r="BQ74" s="171">
        <f ca="1">IF(OR($D74&lt;&gt;"Serviço",AND(AUTOEVENTO="Manual",$M74=$A$15)),0,
         IF(OFFSET(CRONOPLE!$F$15,$M74-$A$15,BQ$13)=0,10^12,OFFSET(CRONOPLE!$F$15,$M74-$A$15,BQ$13)))</f>
        <v>1000000000000</v>
      </c>
      <c r="BR74" s="171">
        <f ca="1">IF(OR($D74&lt;&gt;"Serviço",AND(AUTOEVENTO="Manual",$M74=$A$15)),0,
         IF(OFFSET(CRONOPLE!$F$15,$M74-$A$15,BR$13)=0,10^12,OFFSET(CRONOPLE!$F$15,$M74-$A$15,BR$13)))</f>
        <v>1000000000000</v>
      </c>
      <c r="BS74" s="171">
        <f ca="1">IF(OR($D74&lt;&gt;"Serviço",AND(AUTOEVENTO="Manual",$M74=$A$15)),0,
         IF(OFFSET(CRONOPLE!$F$15,$M74-$A$15,BS$13)=0,10^12,OFFSET(CRONOPLE!$F$15,$M74-$A$15,BS$13)))</f>
        <v>1000000000000</v>
      </c>
      <c r="BT74" s="171">
        <f ca="1">IF(OR($D74&lt;&gt;"Serviço",AND(AUTOEVENTO="Manual",$M74=$A$15)),0,
         IF(OFFSET(CRONOPLE!$F$15,$M74-$A$15,BT$13)=0,10^12,OFFSET(CRONOPLE!$F$15,$M74-$A$15,BT$13)))</f>
        <v>1000000000000</v>
      </c>
      <c r="BV74" s="172">
        <f t="array" aca="1" ref="BV74" ca="1">IF(OR($D74&lt;&gt;"Serviço",AND(AUTOEVENTO="Manual",$M74=$A$15),$M74&gt;(ROW(PLE.lastrow)-ROW(PLE.firstrow))),0,
           IF(OFFSET(PLE!$G$15,$M74-$A$15,BV$13)="",10^12,OFFSET(PLE!$G$15,$M74-$A$15,BV$13)))</f>
        <v>1000000000000</v>
      </c>
      <c r="BW74" s="172">
        <f t="array" aca="1" ref="BW74" ca="1">IF(OR($D74&lt;&gt;"Serviço",AND(AUTOEVENTO="Manual",$M74=$A$15),$M74&gt;(ROW(PLE.lastrow)-ROW(PLE.firstrow))),0,
           IF(OFFSET(PLE!$G$15,$M74-$A$15,BW$13)="",10^12,OFFSET(PLE!$G$15,$M74-$A$15,BW$13)))</f>
        <v>1000000000000</v>
      </c>
      <c r="BX74" s="172">
        <f t="array" aca="1" ref="BX74" ca="1">IF(OR($D74&lt;&gt;"Serviço",AND(AUTOEVENTO="Manual",$M74=$A$15),$M74&gt;(ROW(PLE.lastrow)-ROW(PLE.firstrow))),0,
           IF(OFFSET(PLE!$G$15,$M74-$A$15,BX$13)="",10^12,OFFSET(PLE!$G$15,$M74-$A$15,BX$13)))</f>
        <v>1000000000000</v>
      </c>
      <c r="BY74" s="172">
        <f t="array" aca="1" ref="BY74" ca="1">IF(OR($D74&lt;&gt;"Serviço",AND(AUTOEVENTO="Manual",$M74=$A$15),$M74&gt;(ROW(PLE.lastrow)-ROW(PLE.firstrow))),0,
           IF(OFFSET(PLE!$G$15,$M74-$A$15,BY$13)="",10^12,OFFSET(PLE!$G$15,$M74-$A$15,BY$13)))</f>
        <v>1000000000000</v>
      </c>
      <c r="BZ74" s="172">
        <f t="array" aca="1" ref="BZ74" ca="1">IF(OR($D74&lt;&gt;"Serviço",AND(AUTOEVENTO="Manual",$M74=$A$15),$M74&gt;(ROW(PLE.lastrow)-ROW(PLE.firstrow))),0,
           IF(OFFSET(PLE!$G$15,$M74-$A$15,BZ$13)="",10^12,OFFSET(PLE!$G$15,$M74-$A$15,BZ$13)))</f>
        <v>1000000000000</v>
      </c>
      <c r="CA74" s="172">
        <f t="array" aca="1" ref="CA74" ca="1">IF(OR($D74&lt;&gt;"Serviço",AND(AUTOEVENTO="Manual",$M74=$A$15),$M74&gt;(ROW(PLE.lastrow)-ROW(PLE.firstrow))),0,
           IF(OFFSET(PLE!$G$15,$M74-$A$15,CA$13)="",10^12,OFFSET(PLE!$G$15,$M74-$A$15,CA$13)))</f>
        <v>1000000000000</v>
      </c>
      <c r="CB74" s="172">
        <f t="array" aca="1" ref="CB74" ca="1">IF(OR($D74&lt;&gt;"Serviço",AND(AUTOEVENTO="Manual",$M74=$A$15),$M74&gt;(ROW(PLE.lastrow)-ROW(PLE.firstrow))),0,
           IF(OFFSET(PLE!$G$15,$M74-$A$15,CB$13)="",10^12,OFFSET(PLE!$G$15,$M74-$A$15,CB$13)))</f>
        <v>1000000000000</v>
      </c>
      <c r="CC74" s="172">
        <f t="array" aca="1" ref="CC74" ca="1">IF(OR($D74&lt;&gt;"Serviço",AND(AUTOEVENTO="Manual",$M74=$A$15),$M74&gt;(ROW(PLE.lastrow)-ROW(PLE.firstrow))),0,
           IF(OFFSET(PLE!$G$15,$M74-$A$15,CC$13)="",10^12,OFFSET(PLE!$G$15,$M74-$A$15,CC$13)))</f>
        <v>1000000000000</v>
      </c>
      <c r="CD74" s="172">
        <f t="array" aca="1" ref="CD74" ca="1">IF(OR($D74&lt;&gt;"Serviço",AND(AUTOEVENTO="Manual",$M74=$A$15),$M74&gt;(ROW(PLE.lastrow)-ROW(PLE.firstrow))),0,
           IF(OFFSET(PLE!$G$15,$M74-$A$15,CD$13)="",10^12,OFFSET(PLE!$G$15,$M74-$A$15,CD$13)))</f>
        <v>1000000000000</v>
      </c>
      <c r="CE74" s="172">
        <f t="array" aca="1" ref="CE74" ca="1">IF(OR($D74&lt;&gt;"Serviço",AND(AUTOEVENTO="Manual",$M74=$A$15),$M74&gt;(ROW(PLE.lastrow)-ROW(PLE.firstrow))),0,
           IF(OFFSET(PLE!$G$15,$M74-$A$15,CE$13)="",10^12,OFFSET(PLE!$G$15,$M74-$A$15,CE$13)))</f>
        <v>1000000000000</v>
      </c>
      <c r="CF74" s="172">
        <f t="array" aca="1" ref="CF74" ca="1">IF(OR($D74&lt;&gt;"Serviço",AND(AUTOEVENTO="Manual",$M74=$A$15),$M74&gt;(ROW(PLE.lastrow)-ROW(PLE.firstrow))),0,
           IF(OFFSET(PLE!$G$15,$M74-$A$15,CF$13)="",10^12,OFFSET(PLE!$G$15,$M74-$A$15,CF$13)))</f>
        <v>1000000000000</v>
      </c>
      <c r="CG74" s="172">
        <f t="array" aca="1" ref="CG74" ca="1">IF(OR($D74&lt;&gt;"Serviço",AND(AUTOEVENTO="Manual",$M74=$A$15),$M74&gt;(ROW(PLE.lastrow)-ROW(PLE.firstrow))),0,
           IF(OFFSET(PLE!$G$15,$M74-$A$15,CG$13)="",10^12,OFFSET(PLE!$G$15,$M74-$A$15,CG$13)))</f>
        <v>1000000000000</v>
      </c>
      <c r="CH74" s="172">
        <f t="array" aca="1" ref="CH74" ca="1">IF(OR($D74&lt;&gt;"Serviço",AND(AUTOEVENTO="Manual",$M74=$A$15),$M74&gt;(ROW(PLE.lastrow)-ROW(PLE.firstrow))),0,
           IF(OFFSET(PLE!$G$15,$M74-$A$15,CH$13)="",10^12,OFFSET(PLE!$G$15,$M74-$A$15,CH$13)))</f>
        <v>1000000000000</v>
      </c>
      <c r="CI74" s="172">
        <f t="array" aca="1" ref="CI74" ca="1">IF(OR($D74&lt;&gt;"Serviço",AND(AUTOEVENTO="Manual",$M74=$A$15),$M74&gt;(ROW(PLE.lastrow)-ROW(PLE.firstrow))),0,
           IF(OFFSET(PLE!$G$15,$M74-$A$15,CI$13)="",10^12,OFFSET(PLE!$G$15,$M74-$A$15,CI$13)))</f>
        <v>1000000000000</v>
      </c>
      <c r="CJ74" s="172">
        <f t="array" aca="1" ref="CJ74" ca="1">IF(OR($D74&lt;&gt;"Serviço",AND(AUTOEVENTO="Manual",$M74=$A$15),$M74&gt;(ROW(PLE.lastrow)-ROW(PLE.firstrow))),0,
           IF(OFFSET(PLE!$G$15,$M74-$A$15,CJ$13)="",10^12,OFFSET(PLE!$G$15,$M74-$A$15,CJ$13)))</f>
        <v>1000000000000</v>
      </c>
      <c r="CK74" s="172">
        <f t="array" aca="1" ref="CK74" ca="1">IF(OR($D74&lt;&gt;"Serviço",AND(AUTOEVENTO="Manual",$M74=$A$15),$M74&gt;(ROW(PLE.lastrow)-ROW(PLE.firstrow))),0,
           IF(OFFSET(PLE!$G$15,$M74-$A$15,CK$13)="",10^12,OFFSET(PLE!$G$15,$M74-$A$15,CK$13)))</f>
        <v>1000000000000</v>
      </c>
      <c r="CL74" s="172">
        <f t="array" aca="1" ref="CL74" ca="1">IF(OR($D74&lt;&gt;"Serviço",AND(AUTOEVENTO="Manual",$M74=$A$15),$M74&gt;(ROW(PLE.lastrow)-ROW(PLE.firstrow))),0,
           IF(OFFSET(PLE!$G$15,$M74-$A$15,CL$13)="",10^12,OFFSET(PLE!$G$15,$M74-$A$15,CL$13)))</f>
        <v>1000000000000</v>
      </c>
      <c r="CM74" s="172">
        <f t="array" aca="1" ref="CM74" ca="1">IF(OR($D74&lt;&gt;"Serviço",AND(AUTOEVENTO="Manual",$M74=$A$15),$M74&gt;(ROW(PLE.lastrow)-ROW(PLE.firstrow))),0,
           IF(OFFSET(PLE!$G$15,$M74-$A$15,CM$13)="",10^12,OFFSET(PLE!$G$15,$M74-$A$15,CM$13)))</f>
        <v>1000000000000</v>
      </c>
    </row>
    <row r="75" spans="1:91" s="696" customFormat="1" ht="63.75" x14ac:dyDescent="0.2">
      <c r="A75" s="694">
        <f t="shared" ref="A75:A131" ca="1" si="45">IFERROR(IF(AUTOEVENTO="Manual",IF(K75&lt;&gt;"",MIN(VALUE(LEFT(K75,FIND(".",K75)-1)),COUNTA(EVENTOS.Lista)),0),IF(OR($B75&gt;AUTOEVENTO,$B75="S",$B75=0),SUBSTITUTE(OFFSET($A75,-1,0),IF($D75="Serviço",".",""),""),$L75&amp;".")),0)</f>
        <v>11</v>
      </c>
      <c r="B75" s="694" t="str">
        <f ca="1">OFFSET(ORÇAMENTO!C$15,$L75,0)</f>
        <v>S</v>
      </c>
      <c r="C75" s="694" t="str">
        <f ca="1">OFFSET(ORÇAMENTO!L$15,$L75,0)</f>
        <v>F</v>
      </c>
      <c r="D75" s="116" t="str">
        <f ca="1">OFFSET(ORÇAMENTO!N$15,$L75,0)</f>
        <v>Serviço</v>
      </c>
      <c r="E75" s="117" t="str">
        <f ca="1">OFFSET(ORÇAMENTO!O$15,$L75,0)</f>
        <v>1.10.4.</v>
      </c>
      <c r="F75" s="163" t="str">
        <f ca="1">OFFSET(ORÇAMENTO!R$15,$L75,0)</f>
        <v>JANELA DE ALUMÍNIO TIPO MAXIM-AR, BATENTE/ REQUADRO 3 A 14 CM, VIDRO INCLUSO, FIXAÇÃO COM PARAFUSO, SEM GUARNIÇÃO/ ALIZAR, DIMENSÕES 60X80 (A X L) CM, SEM ACABAMENTO, VEDAÇÃO COM SILICONE, EXCLUSIVE CONTRAMARCO - FORNECIMENTO E INSTALAÇÃO. AF_11/2024</v>
      </c>
      <c r="G75" s="164" t="str">
        <f ca="1">IF($D75&lt;&gt;"Serviço","",OFFSET(ORÇAMENTO!S$15,$L75,0))</f>
        <v>M2</v>
      </c>
      <c r="H75" s="122">
        <f t="array" aca="1" ref="H75" ca="1">IF($D75&lt;&gt;"Serviço",0,IF(ACOMPANHAMENTO="BM",ROUND(OFFSET(ORÇAMENTO!AJ$15,$L75,0),15-13*ORÇAMENTO!$AF$7),IF(IFERROR(CÁLCULO.FrentesPreenchidas,0)=0,0,SUM(ROUND(OFFSET($P75,0,1,1,CÁLCULO.FrentesPreenchidas),15-13*ORÇAMENTO!$AF$7)))))</f>
        <v>9.6</v>
      </c>
      <c r="I75" s="467" t="s">
        <v>1246</v>
      </c>
      <c r="J75" s="653" t="str">
        <f t="array" aca="1" ref="J75" ca="1">IF(OR(B75&lt;&gt;"S",CÁLCULO.FrentesPreenchidas=0),"",IF(AND(ACOMPANHAMENTO="PLE",AUTOEVENTO="Manual",OR(H75&gt;0,ORÇAMENTO!AC75="QUANT."),OR(K75="",M75=0,N75="")),"►E",IF(AND(ACOMPANHAMENTO="PLE",ORÇAMENTO!AC75="QUANT."),"►Q",IF(AND(ACOMPANHAMENTO="PLE",H75&lt;&gt;SUMPRODUCT(($Q$1:$AI$1=1)*ROUND(Q75:AI75,15))),"►S",IF(AND(COUNTIF($P$11:$AI$11,"▼")=0,H75&gt;0,I75=""),"◄M","")))))</f>
        <v/>
      </c>
      <c r="K75" s="654" t="s">
        <v>1395</v>
      </c>
      <c r="L75" s="165">
        <f t="shared" ref="L75:L131" ca="1" si="46">OFFSET(L75,-1,0)+1</f>
        <v>60</v>
      </c>
      <c r="M75" s="166">
        <f ca="1">IF($D75&lt;&gt;"Serviço","",
          IF(AUTOEVENTO="manual",$A75,
                IF(ISERROR(MATCH($A75,$A$15:OFFSET($A75,-1,0),0)),MAX($M$15:OFFSET(M75,-1,0))+1,
                      INDEX($M$15:OFFSET(M75,-1,0),MATCH($A75,$A$15:OFFSET($A75,-1,0),0)))))</f>
        <v>11</v>
      </c>
      <c r="N75" s="167" t="str">
        <f ca="1">IF($D75&lt;&gt;"Serviço","",
         IF(AUTOEVENTO="Manual",
                IF($A75=0,"&lt;-- defina o número do agrupador",
                       OFFSET(EVENTOS!$D$15,$A75-$A$15,0)),
                OFFSET($F$15,$A75,0)))</f>
        <v>ESQUADRIAS DE ALUMÍNIO</v>
      </c>
      <c r="O75" s="168"/>
      <c r="Q75" s="169">
        <f>0.48*5</f>
        <v>2.4</v>
      </c>
      <c r="R75" s="169">
        <f t="shared" ref="R75:T75" si="47">0.48*5</f>
        <v>2.4</v>
      </c>
      <c r="S75" s="169">
        <f t="shared" si="47"/>
        <v>2.4</v>
      </c>
      <c r="T75" s="169">
        <f t="shared" si="47"/>
        <v>2.4</v>
      </c>
      <c r="U75" s="169"/>
      <c r="V75" s="169"/>
      <c r="W75" s="169"/>
      <c r="X75" s="169"/>
      <c r="Y75" s="169"/>
      <c r="Z75" s="170"/>
      <c r="AA75" s="169"/>
      <c r="AB75" s="169"/>
      <c r="AC75" s="169"/>
      <c r="AD75" s="169"/>
      <c r="AE75" s="169"/>
      <c r="AF75" s="169"/>
      <c r="AG75" s="169"/>
      <c r="AH75" s="170"/>
      <c r="AJ75" s="452">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1571.64</v>
      </c>
      <c r="AK75" s="452">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1571.64</v>
      </c>
      <c r="AL75" s="452">
        <f ca="1">IF(AND($D75="Serviço",AL$12&lt;&gt;0,$H75&gt;0,OR(AUTOEVENTO&lt;&gt;"manual",$M75&lt;&gt;$A$15)),
        IF(Import.TipoArredondamento&lt;&gt;"TransfereGOV",
              ROUND(OFFSET($P75,0,AL$13),15-13*ORÇAMENTO!$AF$7)/$H75*OFFSET(ORÇAMENTO!$X$15,ROW(AL75)-ROW(AL$15),0),
              ROUND(ROUND(OFFSET($P75,0,AL$13),15-13*ORÇAMENTO!$AF$7)*OFFSET(ORÇAMENTO!$W$15,ROW(AL75)-ROW(AL$15),0),15-13*ORÇAMENTO!$AF$11)),
         0)</f>
        <v>1571.64</v>
      </c>
      <c r="AM75" s="452">
        <f ca="1">IF(AND($D75="Serviço",AM$12&lt;&gt;0,$H75&gt;0,OR(AUTOEVENTO&lt;&gt;"manual",$M75&lt;&gt;$A$15)),
        IF(Import.TipoArredondamento&lt;&gt;"TransfereGOV",
              ROUND(OFFSET($P75,0,AM$13),15-13*ORÇAMENTO!$AF$7)/$H75*OFFSET(ORÇAMENTO!$X$15,ROW(AM75)-ROW(AM$15),0),
              ROUND(ROUND(OFFSET($P75,0,AM$13),15-13*ORÇAMENTO!$AF$7)*OFFSET(ORÇAMENTO!$W$15,ROW(AM75)-ROW(AM$15),0),15-13*ORÇAMENTO!$AF$11)),
         0)</f>
        <v>1571.64</v>
      </c>
      <c r="AN75" s="452">
        <f ca="1">IF(AND($D75="Serviço",AN$12&lt;&gt;0,$H75&gt;0,OR(AUTOEVENTO&lt;&gt;"manual",$M75&lt;&gt;$A$15)),
        IF(Import.TipoArredondamento&lt;&gt;"TransfereGOV",
              ROUND(OFFSET($P75,0,AN$13),15-13*ORÇAMENTO!$AF$7)/$H75*OFFSET(ORÇAMENTO!$X$15,ROW(AN75)-ROW(AN$15),0),
              ROUND(ROUND(OFFSET($P75,0,AN$13),15-13*ORÇAMENTO!$AF$7)*OFFSET(ORÇAMENTO!$W$15,ROW(AN75)-ROW(AN$15),0),15-13*ORÇAMENTO!$AF$11)),
         0)</f>
        <v>0</v>
      </c>
      <c r="AO75" s="452">
        <f ca="1">IF(AND($D75="Serviço",AO$12&lt;&gt;0,$H75&gt;0,OR(AUTOEVENTO&lt;&gt;"manual",$M75&lt;&gt;$A$15)),
        IF(Import.TipoArredondamento&lt;&gt;"TransfereGOV",
              ROUND(OFFSET($P75,0,AO$13),15-13*ORÇAMENTO!$AF$7)/$H75*OFFSET(ORÇAMENTO!$X$15,ROW(AO75)-ROW(AO$15),0),
              ROUND(ROUND(OFFSET($P75,0,AO$13),15-13*ORÇAMENTO!$AF$7)*OFFSET(ORÇAMENTO!$W$15,ROW(AO75)-ROW(AO$15),0),15-13*ORÇAMENTO!$AF$11)),
         0)</f>
        <v>0</v>
      </c>
      <c r="AP75" s="452">
        <f ca="1">IF(AND($D75="Serviço",AP$12&lt;&gt;0,$H75&gt;0,OR(AUTOEVENTO&lt;&gt;"manual",$M75&lt;&gt;$A$15)),
        IF(Import.TipoArredondamento&lt;&gt;"TransfereGOV",
              ROUND(OFFSET($P75,0,AP$13),15-13*ORÇAMENTO!$AF$7)/$H75*OFFSET(ORÇAMENTO!$X$15,ROW(AP75)-ROW(AP$15),0),
              ROUND(ROUND(OFFSET($P75,0,AP$13),15-13*ORÇAMENTO!$AF$7)*OFFSET(ORÇAMENTO!$W$15,ROW(AP75)-ROW(AP$15),0),15-13*ORÇAMENTO!$AF$11)),
         0)</f>
        <v>0</v>
      </c>
      <c r="AQ75" s="452">
        <f ca="1">IF(AND($D75="Serviço",AQ$12&lt;&gt;0,$H75&gt;0,OR(AUTOEVENTO&lt;&gt;"manual",$M75&lt;&gt;$A$15)),
        IF(Import.TipoArredondamento&lt;&gt;"TransfereGOV",
              ROUND(OFFSET($P75,0,AQ$13),15-13*ORÇAMENTO!$AF$7)/$H75*OFFSET(ORÇAMENTO!$X$15,ROW(AQ75)-ROW(AQ$15),0),
              ROUND(ROUND(OFFSET($P75,0,AQ$13),15-13*ORÇAMENTO!$AF$7)*OFFSET(ORÇAMENTO!$W$15,ROW(AQ75)-ROW(AQ$15),0),15-13*ORÇAMENTO!$AF$11)),
         0)</f>
        <v>0</v>
      </c>
      <c r="AR75" s="452">
        <f ca="1">IF(AND($D75="Serviço",AR$12&lt;&gt;0,$H75&gt;0,OR(AUTOEVENTO&lt;&gt;"manual",$M75&lt;&gt;$A$15)),
        IF(Import.TipoArredondamento&lt;&gt;"TransfereGOV",
              ROUND(OFFSET($P75,0,AR$13),15-13*ORÇAMENTO!$AF$7)/$H75*OFFSET(ORÇAMENTO!$X$15,ROW(AR75)-ROW(AR$15),0),
              ROUND(ROUND(OFFSET($P75,0,AR$13),15-13*ORÇAMENTO!$AF$7)*OFFSET(ORÇAMENTO!$W$15,ROW(AR75)-ROW(AR$15),0),15-13*ORÇAMENTO!$AF$11)),
         0)</f>
        <v>0</v>
      </c>
      <c r="AS75" s="452">
        <f ca="1">IF(AND($D75="Serviço",AS$12&lt;&gt;0,$H75&gt;0,OR(AUTOEVENTO&lt;&gt;"manual",$M75&lt;&gt;$A$15)),
        IF(Import.TipoArredondamento&lt;&gt;"TransfereGOV",
              ROUND(OFFSET($P75,0,AS$13),15-13*ORÇAMENTO!$AF$7)/$H75*OFFSET(ORÇAMENTO!$X$15,ROW(AS75)-ROW(AS$15),0),
              ROUND(ROUND(OFFSET($P75,0,AS$13),15-13*ORÇAMENTO!$AF$7)*OFFSET(ORÇAMENTO!$W$15,ROW(AS75)-ROW(AS$15),0),15-13*ORÇAMENTO!$AF$11)),
         0)</f>
        <v>0</v>
      </c>
      <c r="AT75" s="452">
        <f ca="1">IF(AND($D75="Serviço",AT$12&lt;&gt;0,$H75&gt;0,OR(AUTOEVENTO&lt;&gt;"manual",$M75&lt;&gt;$A$15)),
        IF(Import.TipoArredondamento&lt;&gt;"TransfereGOV",
              ROUND(OFFSET($P75,0,AT$13),15-13*ORÇAMENTO!$AF$7)/$H75*OFFSET(ORÇAMENTO!$X$15,ROW(AT75)-ROW(AT$15),0),
              ROUND(ROUND(OFFSET($P75,0,AT$13),15-13*ORÇAMENTO!$AF$7)*OFFSET(ORÇAMENTO!$W$15,ROW(AT75)-ROW(AT$15),0),15-13*ORÇAMENTO!$AF$11)),
         0)</f>
        <v>0</v>
      </c>
      <c r="AU75" s="452">
        <f ca="1">IF(AND($D75="Serviço",AU$12&lt;&gt;0,$H75&gt;0,OR(AUTOEVENTO&lt;&gt;"manual",$M75&lt;&gt;$A$15)),
        IF(Import.TipoArredondamento&lt;&gt;"TransfereGOV",
              ROUND(OFFSET($P75,0,AU$13),15-13*ORÇAMENTO!$AF$7)/$H75*OFFSET(ORÇAMENTO!$X$15,ROW(AU75)-ROW(AU$15),0),
              ROUND(ROUND(OFFSET($P75,0,AU$13),15-13*ORÇAMENTO!$AF$7)*OFFSET(ORÇAMENTO!$W$15,ROW(AU75)-ROW(AU$15),0),15-13*ORÇAMENTO!$AF$11)),
         0)</f>
        <v>0</v>
      </c>
      <c r="AV75" s="452">
        <f ca="1">IF(AND($D75="Serviço",AV$12&lt;&gt;0,$H75&gt;0,OR(AUTOEVENTO&lt;&gt;"manual",$M75&lt;&gt;$A$15)),
        IF(Import.TipoArredondamento&lt;&gt;"TransfereGOV",
              ROUND(OFFSET($P75,0,AV$13),15-13*ORÇAMENTO!$AF$7)/$H75*OFFSET(ORÇAMENTO!$X$15,ROW(AV75)-ROW(AV$15),0),
              ROUND(ROUND(OFFSET($P75,0,AV$13),15-13*ORÇAMENTO!$AF$7)*OFFSET(ORÇAMENTO!$W$15,ROW(AV75)-ROW(AV$15),0),15-13*ORÇAMENTO!$AF$11)),
         0)</f>
        <v>0</v>
      </c>
      <c r="AW75" s="452">
        <f ca="1">IF(AND($D75="Serviço",AW$12&lt;&gt;0,$H75&gt;0,OR(AUTOEVENTO&lt;&gt;"manual",$M75&lt;&gt;$A$15)),
        IF(Import.TipoArredondamento&lt;&gt;"TransfereGOV",
              ROUND(OFFSET($P75,0,AW$13),15-13*ORÇAMENTO!$AF$7)/$H75*OFFSET(ORÇAMENTO!$X$15,ROW(AW75)-ROW(AW$15),0),
              ROUND(ROUND(OFFSET($P75,0,AW$13),15-13*ORÇAMENTO!$AF$7)*OFFSET(ORÇAMENTO!$W$15,ROW(AW75)-ROW(AW$15),0),15-13*ORÇAMENTO!$AF$11)),
         0)</f>
        <v>0</v>
      </c>
      <c r="AX75" s="452">
        <f ca="1">IF(AND($D75="Serviço",AX$12&lt;&gt;0,$H75&gt;0,OR(AUTOEVENTO&lt;&gt;"manual",$M75&lt;&gt;$A$15)),
        IF(Import.TipoArredondamento&lt;&gt;"TransfereGOV",
              ROUND(OFFSET($P75,0,AX$13),15-13*ORÇAMENTO!$AF$7)/$H75*OFFSET(ORÇAMENTO!$X$15,ROW(AX75)-ROW(AX$15),0),
              ROUND(ROUND(OFFSET($P75,0,AX$13),15-13*ORÇAMENTO!$AF$7)*OFFSET(ORÇAMENTO!$W$15,ROW(AX75)-ROW(AX$15),0),15-13*ORÇAMENTO!$AF$11)),
         0)</f>
        <v>0</v>
      </c>
      <c r="AY75" s="452">
        <f ca="1">IF(AND($D75="Serviço",AY$12&lt;&gt;0,$H75&gt;0,OR(AUTOEVENTO&lt;&gt;"manual",$M75&lt;&gt;$A$15)),
        IF(Import.TipoArredondamento&lt;&gt;"TransfereGOV",
              ROUND(OFFSET($P75,0,AY$13),15-13*ORÇAMENTO!$AF$7)/$H75*OFFSET(ORÇAMENTO!$X$15,ROW(AY75)-ROW(AY$15),0),
              ROUND(ROUND(OFFSET($P75,0,AY$13),15-13*ORÇAMENTO!$AF$7)*OFFSET(ORÇAMENTO!$W$15,ROW(AY75)-ROW(AY$15),0),15-13*ORÇAMENTO!$AF$11)),
         0)</f>
        <v>0</v>
      </c>
      <c r="AZ75" s="452">
        <f ca="1">IF(AND($D75="Serviço",AZ$12&lt;&gt;0,$H75&gt;0,OR(AUTOEVENTO&lt;&gt;"manual",$M75&lt;&gt;$A$15)),
        IF(Import.TipoArredondamento&lt;&gt;"TransfereGOV",
              ROUND(OFFSET($P75,0,AZ$13),15-13*ORÇAMENTO!$AF$7)/$H75*OFFSET(ORÇAMENTO!$X$15,ROW(AZ75)-ROW(AZ$15),0),
              ROUND(ROUND(OFFSET($P75,0,AZ$13),15-13*ORÇAMENTO!$AF$7)*OFFSET(ORÇAMENTO!$W$15,ROW(AZ75)-ROW(AZ$15),0),15-13*ORÇAMENTO!$AF$11)),
         0)</f>
        <v>0</v>
      </c>
      <c r="BA75" s="452">
        <f ca="1">IF(AND($D75="Serviço",BA$12&lt;&gt;0,$H75&gt;0,OR(AUTOEVENTO&lt;&gt;"manual",$M75&lt;&gt;$A$15)),
        IF(Import.TipoArredondamento&lt;&gt;"TransfereGOV",
              ROUND(OFFSET($P75,0,BA$13),15-13*ORÇAMENTO!$AF$7)/$H75*OFFSET(ORÇAMENTO!$X$15,ROW(BA75)-ROW(BA$15),0),
              ROUND(ROUND(OFFSET($P75,0,BA$13),15-13*ORÇAMENTO!$AF$7)*OFFSET(ORÇAMENTO!$W$15,ROW(BA75)-ROW(BA$15),0),15-13*ORÇAMENTO!$AF$11)),
         0)</f>
        <v>0</v>
      </c>
      <c r="BC75" s="171">
        <f ca="1">IF(OR($D75&lt;&gt;"Serviço",AND(AUTOEVENTO="Manual",$M75=$A$15)),0,
         IF(OFFSET(CRONOPLE!$F$15,$M75-$A$15,BC$13)=0,10^12,OFFSET(CRONOPLE!$F$15,$M75-$A$15,BC$13)))</f>
        <v>7</v>
      </c>
      <c r="BD75" s="171">
        <f ca="1">IF(OR($D75&lt;&gt;"Serviço",AND(AUTOEVENTO="Manual",$M75=$A$15)),0,
         IF(OFFSET(CRONOPLE!$F$15,$M75-$A$15,BD$13)=0,10^12,OFFSET(CRONOPLE!$F$15,$M75-$A$15,BD$13)))</f>
        <v>7</v>
      </c>
      <c r="BE75" s="171">
        <f ca="1">IF(OR($D75&lt;&gt;"Serviço",AND(AUTOEVENTO="Manual",$M75=$A$15)),0,
         IF(OFFSET(CRONOPLE!$F$15,$M75-$A$15,BE$13)=0,10^12,OFFSET(CRONOPLE!$F$15,$M75-$A$15,BE$13)))</f>
        <v>8</v>
      </c>
      <c r="BF75" s="171">
        <f ca="1">IF(OR($D75&lt;&gt;"Serviço",AND(AUTOEVENTO="Manual",$M75=$A$15)),0,
         IF(OFFSET(CRONOPLE!$F$15,$M75-$A$15,BF$13)=0,10^12,OFFSET(CRONOPLE!$F$15,$M75-$A$15,BF$13)))</f>
        <v>9</v>
      </c>
      <c r="BG75" s="171">
        <f ca="1">IF(OR($D75&lt;&gt;"Serviço",AND(AUTOEVENTO="Manual",$M75=$A$15)),0,
         IF(OFFSET(CRONOPLE!$F$15,$M75-$A$15,BG$13)=0,10^12,OFFSET(CRONOPLE!$F$15,$M75-$A$15,BG$13)))</f>
        <v>9</v>
      </c>
      <c r="BH75" s="171">
        <f ca="1">IF(OR($D75&lt;&gt;"Serviço",AND(AUTOEVENTO="Manual",$M75=$A$15)),0,
         IF(OFFSET(CRONOPLE!$F$15,$M75-$A$15,BH$13)=0,10^12,OFFSET(CRONOPLE!$F$15,$M75-$A$15,BH$13)))</f>
        <v>1000000000000</v>
      </c>
      <c r="BI75" s="171">
        <f ca="1">IF(OR($D75&lt;&gt;"Serviço",AND(AUTOEVENTO="Manual",$M75=$A$15)),0,
         IF(OFFSET(CRONOPLE!$F$15,$M75-$A$15,BI$13)=0,10^12,OFFSET(CRONOPLE!$F$15,$M75-$A$15,BI$13)))</f>
        <v>1000000000000</v>
      </c>
      <c r="BJ75" s="171">
        <f ca="1">IF(OR($D75&lt;&gt;"Serviço",AND(AUTOEVENTO="Manual",$M75=$A$15)),0,
         IF(OFFSET(CRONOPLE!$F$15,$M75-$A$15,BJ$13)=0,10^12,OFFSET(CRONOPLE!$F$15,$M75-$A$15,BJ$13)))</f>
        <v>9</v>
      </c>
      <c r="BK75" s="171">
        <f ca="1">IF(OR($D75&lt;&gt;"Serviço",AND(AUTOEVENTO="Manual",$M75=$A$15)),0,
         IF(OFFSET(CRONOPLE!$F$15,$M75-$A$15,BK$13)=0,10^12,OFFSET(CRONOPLE!$F$15,$M75-$A$15,BK$13)))</f>
        <v>1000000000000</v>
      </c>
      <c r="BL75" s="171">
        <f ca="1">IF(OR($D75&lt;&gt;"Serviço",AND(AUTOEVENTO="Manual",$M75=$A$15)),0,
         IF(OFFSET(CRONOPLE!$F$15,$M75-$A$15,BL$13)=0,10^12,OFFSET(CRONOPLE!$F$15,$M75-$A$15,BL$13)))</f>
        <v>1000000000000</v>
      </c>
      <c r="BM75" s="171">
        <f ca="1">IF(OR($D75&lt;&gt;"Serviço",AND(AUTOEVENTO="Manual",$M75=$A$15)),0,
         IF(OFFSET(CRONOPLE!$F$15,$M75-$A$15,BM$13)=0,10^12,OFFSET(CRONOPLE!$F$15,$M75-$A$15,BM$13)))</f>
        <v>1000000000000</v>
      </c>
      <c r="BN75" s="171">
        <f ca="1">IF(OR($D75&lt;&gt;"Serviço",AND(AUTOEVENTO="Manual",$M75=$A$15)),0,
         IF(OFFSET(CRONOPLE!$F$15,$M75-$A$15,BN$13)=0,10^12,OFFSET(CRONOPLE!$F$15,$M75-$A$15,BN$13)))</f>
        <v>1000000000000</v>
      </c>
      <c r="BO75" s="171">
        <f ca="1">IF(OR($D75&lt;&gt;"Serviço",AND(AUTOEVENTO="Manual",$M75=$A$15)),0,
         IF(OFFSET(CRONOPLE!$F$15,$M75-$A$15,BO$13)=0,10^12,OFFSET(CRONOPLE!$F$15,$M75-$A$15,BO$13)))</f>
        <v>1000000000000</v>
      </c>
      <c r="BP75" s="171">
        <f ca="1">IF(OR($D75&lt;&gt;"Serviço",AND(AUTOEVENTO="Manual",$M75=$A$15)),0,
         IF(OFFSET(CRONOPLE!$F$15,$M75-$A$15,BP$13)=0,10^12,OFFSET(CRONOPLE!$F$15,$M75-$A$15,BP$13)))</f>
        <v>1000000000000</v>
      </c>
      <c r="BQ75" s="171">
        <f ca="1">IF(OR($D75&lt;&gt;"Serviço",AND(AUTOEVENTO="Manual",$M75=$A$15)),0,
         IF(OFFSET(CRONOPLE!$F$15,$M75-$A$15,BQ$13)=0,10^12,OFFSET(CRONOPLE!$F$15,$M75-$A$15,BQ$13)))</f>
        <v>1000000000000</v>
      </c>
      <c r="BR75" s="171">
        <f ca="1">IF(OR($D75&lt;&gt;"Serviço",AND(AUTOEVENTO="Manual",$M75=$A$15)),0,
         IF(OFFSET(CRONOPLE!$F$15,$M75-$A$15,BR$13)=0,10^12,OFFSET(CRONOPLE!$F$15,$M75-$A$15,BR$13)))</f>
        <v>1000000000000</v>
      </c>
      <c r="BS75" s="171">
        <f ca="1">IF(OR($D75&lt;&gt;"Serviço",AND(AUTOEVENTO="Manual",$M75=$A$15)),0,
         IF(OFFSET(CRONOPLE!$F$15,$M75-$A$15,BS$13)=0,10^12,OFFSET(CRONOPLE!$F$15,$M75-$A$15,BS$13)))</f>
        <v>1000000000000</v>
      </c>
      <c r="BT75" s="171">
        <f ca="1">IF(OR($D75&lt;&gt;"Serviço",AND(AUTOEVENTO="Manual",$M75=$A$15)),0,
         IF(OFFSET(CRONOPLE!$F$15,$M75-$A$15,BT$13)=0,10^12,OFFSET(CRONOPLE!$F$15,$M75-$A$15,BT$13)))</f>
        <v>1000000000000</v>
      </c>
      <c r="BV75" s="172">
        <f t="array" aca="1" ref="BV75" ca="1">IF(OR($D75&lt;&gt;"Serviço",AND(AUTOEVENTO="Manual",$M75=$A$15),$M75&gt;(ROW(PLE.lastrow)-ROW(PLE.firstrow))),0,
           IF(OFFSET(PLE!$G$15,$M75-$A$15,BV$13)="",10^12,OFFSET(PLE!$G$15,$M75-$A$15,BV$13)))</f>
        <v>1000000000000</v>
      </c>
      <c r="BW75" s="172">
        <f t="array" aca="1" ref="BW75" ca="1">IF(OR($D75&lt;&gt;"Serviço",AND(AUTOEVENTO="Manual",$M75=$A$15),$M75&gt;(ROW(PLE.lastrow)-ROW(PLE.firstrow))),0,
           IF(OFFSET(PLE!$G$15,$M75-$A$15,BW$13)="",10^12,OFFSET(PLE!$G$15,$M75-$A$15,BW$13)))</f>
        <v>1000000000000</v>
      </c>
      <c r="BX75" s="172">
        <f t="array" aca="1" ref="BX75" ca="1">IF(OR($D75&lt;&gt;"Serviço",AND(AUTOEVENTO="Manual",$M75=$A$15),$M75&gt;(ROW(PLE.lastrow)-ROW(PLE.firstrow))),0,
           IF(OFFSET(PLE!$G$15,$M75-$A$15,BX$13)="",10^12,OFFSET(PLE!$G$15,$M75-$A$15,BX$13)))</f>
        <v>1000000000000</v>
      </c>
      <c r="BY75" s="172">
        <f t="array" aca="1" ref="BY75" ca="1">IF(OR($D75&lt;&gt;"Serviço",AND(AUTOEVENTO="Manual",$M75=$A$15),$M75&gt;(ROW(PLE.lastrow)-ROW(PLE.firstrow))),0,
           IF(OFFSET(PLE!$G$15,$M75-$A$15,BY$13)="",10^12,OFFSET(PLE!$G$15,$M75-$A$15,BY$13)))</f>
        <v>1000000000000</v>
      </c>
      <c r="BZ75" s="172">
        <f t="array" aca="1" ref="BZ75" ca="1">IF(OR($D75&lt;&gt;"Serviço",AND(AUTOEVENTO="Manual",$M75=$A$15),$M75&gt;(ROW(PLE.lastrow)-ROW(PLE.firstrow))),0,
           IF(OFFSET(PLE!$G$15,$M75-$A$15,BZ$13)="",10^12,OFFSET(PLE!$G$15,$M75-$A$15,BZ$13)))</f>
        <v>1000000000000</v>
      </c>
      <c r="CA75" s="172">
        <f t="array" aca="1" ref="CA75" ca="1">IF(OR($D75&lt;&gt;"Serviço",AND(AUTOEVENTO="Manual",$M75=$A$15),$M75&gt;(ROW(PLE.lastrow)-ROW(PLE.firstrow))),0,
           IF(OFFSET(PLE!$G$15,$M75-$A$15,CA$13)="",10^12,OFFSET(PLE!$G$15,$M75-$A$15,CA$13)))</f>
        <v>1000000000000</v>
      </c>
      <c r="CB75" s="172">
        <f t="array" aca="1" ref="CB75" ca="1">IF(OR($D75&lt;&gt;"Serviço",AND(AUTOEVENTO="Manual",$M75=$A$15),$M75&gt;(ROW(PLE.lastrow)-ROW(PLE.firstrow))),0,
           IF(OFFSET(PLE!$G$15,$M75-$A$15,CB$13)="",10^12,OFFSET(PLE!$G$15,$M75-$A$15,CB$13)))</f>
        <v>1000000000000</v>
      </c>
      <c r="CC75" s="172">
        <f t="array" aca="1" ref="CC75" ca="1">IF(OR($D75&lt;&gt;"Serviço",AND(AUTOEVENTO="Manual",$M75=$A$15),$M75&gt;(ROW(PLE.lastrow)-ROW(PLE.firstrow))),0,
           IF(OFFSET(PLE!$G$15,$M75-$A$15,CC$13)="",10^12,OFFSET(PLE!$G$15,$M75-$A$15,CC$13)))</f>
        <v>1000000000000</v>
      </c>
      <c r="CD75" s="172">
        <f t="array" aca="1" ref="CD75" ca="1">IF(OR($D75&lt;&gt;"Serviço",AND(AUTOEVENTO="Manual",$M75=$A$15),$M75&gt;(ROW(PLE.lastrow)-ROW(PLE.firstrow))),0,
           IF(OFFSET(PLE!$G$15,$M75-$A$15,CD$13)="",10^12,OFFSET(PLE!$G$15,$M75-$A$15,CD$13)))</f>
        <v>1000000000000</v>
      </c>
      <c r="CE75" s="172">
        <f t="array" aca="1" ref="CE75" ca="1">IF(OR($D75&lt;&gt;"Serviço",AND(AUTOEVENTO="Manual",$M75=$A$15),$M75&gt;(ROW(PLE.lastrow)-ROW(PLE.firstrow))),0,
           IF(OFFSET(PLE!$G$15,$M75-$A$15,CE$13)="",10^12,OFFSET(PLE!$G$15,$M75-$A$15,CE$13)))</f>
        <v>1000000000000</v>
      </c>
      <c r="CF75" s="172">
        <f t="array" aca="1" ref="CF75" ca="1">IF(OR($D75&lt;&gt;"Serviço",AND(AUTOEVENTO="Manual",$M75=$A$15),$M75&gt;(ROW(PLE.lastrow)-ROW(PLE.firstrow))),0,
           IF(OFFSET(PLE!$G$15,$M75-$A$15,CF$13)="",10^12,OFFSET(PLE!$G$15,$M75-$A$15,CF$13)))</f>
        <v>1000000000000</v>
      </c>
      <c r="CG75" s="172">
        <f t="array" aca="1" ref="CG75" ca="1">IF(OR($D75&lt;&gt;"Serviço",AND(AUTOEVENTO="Manual",$M75=$A$15),$M75&gt;(ROW(PLE.lastrow)-ROW(PLE.firstrow))),0,
           IF(OFFSET(PLE!$G$15,$M75-$A$15,CG$13)="",10^12,OFFSET(PLE!$G$15,$M75-$A$15,CG$13)))</f>
        <v>1000000000000</v>
      </c>
      <c r="CH75" s="172">
        <f t="array" aca="1" ref="CH75" ca="1">IF(OR($D75&lt;&gt;"Serviço",AND(AUTOEVENTO="Manual",$M75=$A$15),$M75&gt;(ROW(PLE.lastrow)-ROW(PLE.firstrow))),0,
           IF(OFFSET(PLE!$G$15,$M75-$A$15,CH$13)="",10^12,OFFSET(PLE!$G$15,$M75-$A$15,CH$13)))</f>
        <v>1000000000000</v>
      </c>
      <c r="CI75" s="172">
        <f t="array" aca="1" ref="CI75" ca="1">IF(OR($D75&lt;&gt;"Serviço",AND(AUTOEVENTO="Manual",$M75=$A$15),$M75&gt;(ROW(PLE.lastrow)-ROW(PLE.firstrow))),0,
           IF(OFFSET(PLE!$G$15,$M75-$A$15,CI$13)="",10^12,OFFSET(PLE!$G$15,$M75-$A$15,CI$13)))</f>
        <v>1000000000000</v>
      </c>
      <c r="CJ75" s="172">
        <f t="array" aca="1" ref="CJ75" ca="1">IF(OR($D75&lt;&gt;"Serviço",AND(AUTOEVENTO="Manual",$M75=$A$15),$M75&gt;(ROW(PLE.lastrow)-ROW(PLE.firstrow))),0,
           IF(OFFSET(PLE!$G$15,$M75-$A$15,CJ$13)="",10^12,OFFSET(PLE!$G$15,$M75-$A$15,CJ$13)))</f>
        <v>1000000000000</v>
      </c>
      <c r="CK75" s="172">
        <f t="array" aca="1" ref="CK75" ca="1">IF(OR($D75&lt;&gt;"Serviço",AND(AUTOEVENTO="Manual",$M75=$A$15),$M75&gt;(ROW(PLE.lastrow)-ROW(PLE.firstrow))),0,
           IF(OFFSET(PLE!$G$15,$M75-$A$15,CK$13)="",10^12,OFFSET(PLE!$G$15,$M75-$A$15,CK$13)))</f>
        <v>1000000000000</v>
      </c>
      <c r="CL75" s="172">
        <f t="array" aca="1" ref="CL75" ca="1">IF(OR($D75&lt;&gt;"Serviço",AND(AUTOEVENTO="Manual",$M75=$A$15),$M75&gt;(ROW(PLE.lastrow)-ROW(PLE.firstrow))),0,
           IF(OFFSET(PLE!$G$15,$M75-$A$15,CL$13)="",10^12,OFFSET(PLE!$G$15,$M75-$A$15,CL$13)))</f>
        <v>1000000000000</v>
      </c>
      <c r="CM75" s="172">
        <f t="array" aca="1" ref="CM75" ca="1">IF(OR($D75&lt;&gt;"Serviço",AND(AUTOEVENTO="Manual",$M75=$A$15),$M75&gt;(ROW(PLE.lastrow)-ROW(PLE.firstrow))),0,
           IF(OFFSET(PLE!$G$15,$M75-$A$15,CM$13)="",10^12,OFFSET(PLE!$G$15,$M75-$A$15,CM$13)))</f>
        <v>1000000000000</v>
      </c>
    </row>
    <row r="76" spans="1:91" s="696" customFormat="1" ht="12.75" x14ac:dyDescent="0.2">
      <c r="A76" s="694">
        <f t="shared" ca="1" si="45"/>
        <v>0</v>
      </c>
      <c r="B76" s="694">
        <f ca="1">OFFSET(ORÇAMENTO!C$15,$L76,0)</f>
        <v>2</v>
      </c>
      <c r="C76" s="694" t="str">
        <f ca="1">OFFSET(ORÇAMENTO!L$15,$L76,0)</f>
        <v>F</v>
      </c>
      <c r="D76" s="116" t="str">
        <f ca="1">OFFSET(ORÇAMENTO!N$15,$L76,0)</f>
        <v>Nível 2</v>
      </c>
      <c r="E76" s="117" t="str">
        <f ca="1">OFFSET(ORÇAMENTO!O$15,$L76,0)</f>
        <v>1.11.</v>
      </c>
      <c r="F76" s="163" t="str">
        <f ca="1">OFFSET(ORÇAMENTO!R$15,$L76,0)</f>
        <v>ESQUADRIA DE MADEIRA</v>
      </c>
      <c r="G76" s="164" t="str">
        <f ca="1">IF($D76&lt;&gt;"Serviço","",OFFSET(ORÇAMENTO!S$15,$L76,0))</f>
        <v/>
      </c>
      <c r="H76" s="122">
        <f t="array" aca="1" ref="H76" ca="1">IF($D76&lt;&gt;"Serviço",0,IF(ACOMPANHAMENTO="BM",ROUND(OFFSET(ORÇAMENTO!AJ$15,$L76,0),15-13*ORÇAMENTO!$AF$7),IF(IFERROR(CÁLCULO.FrentesPreenchidas,0)=0,0,SUM(ROUND(OFFSET($P76,0,1,1,CÁLCULO.FrentesPreenchidas),15-13*ORÇAMENTO!$AF$7)))))</f>
        <v>0</v>
      </c>
      <c r="I76" s="467"/>
      <c r="J76" s="653" t="str">
        <f t="array" aca="1" ref="J76" ca="1">IF(OR(B76&lt;&gt;"S",CÁLCULO.FrentesPreenchidas=0),"",IF(AND(ACOMPANHAMENTO="PLE",AUTOEVENTO="Manual",OR(H76&gt;0,ORÇAMENTO!AC76="QUANT."),OR(K76="",M76=0,N76="")),"►E",IF(AND(ACOMPANHAMENTO="PLE",ORÇAMENTO!AC76="QUANT."),"►Q",IF(AND(ACOMPANHAMENTO="PLE",H76&lt;&gt;SUMPRODUCT(($Q$1:$AI$1=1)*ROUND(Q76:AI76,15))),"►S",IF(AND(COUNTIF($P$11:$AI$11,"▼")=0,H76&gt;0,I76=""),"◄M","")))))</f>
        <v/>
      </c>
      <c r="K76" s="654"/>
      <c r="L76" s="165">
        <f t="shared" ca="1" si="46"/>
        <v>61</v>
      </c>
      <c r="M76" s="166" t="str">
        <f ca="1">IF($D76&lt;&gt;"Serviço","",
          IF(AUTOEVENTO="manual",$A76,
                IF(ISERROR(MATCH($A76,$A$15:OFFSET($A76,-1,0),0)),MAX($M$15:OFFSET(M76,-1,0))+1,
                      INDEX($M$15:OFFSET(M76,-1,0),MATCH($A76,$A$15:OFFSET($A76,-1,0),0)))))</f>
        <v/>
      </c>
      <c r="N76" s="167" t="str">
        <f ca="1">IF($D76&lt;&gt;"Serviço","",
         IF(AUTOEVENTO="Manual",
                IF($A76=0,"&lt;-- defina o número do agrupador",
                       OFFSET(EVENTOS!$D$15,$A76-$A$15,0)),
                OFFSET($F$15,$A76,0)))</f>
        <v/>
      </c>
      <c r="O76" s="168"/>
      <c r="Q76" s="169"/>
      <c r="R76" s="169"/>
      <c r="S76" s="169"/>
      <c r="T76" s="169"/>
      <c r="U76" s="169"/>
      <c r="V76" s="169"/>
      <c r="W76" s="169"/>
      <c r="X76" s="169"/>
      <c r="Y76" s="169"/>
      <c r="Z76" s="170"/>
      <c r="AA76" s="169"/>
      <c r="AB76" s="169"/>
      <c r="AC76" s="169"/>
      <c r="AD76" s="169"/>
      <c r="AE76" s="169"/>
      <c r="AF76" s="169"/>
      <c r="AG76" s="169"/>
      <c r="AH76" s="170"/>
      <c r="AJ76" s="452">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2">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L76" s="452">
        <f ca="1">IF(AND($D76="Serviço",AL$12&lt;&gt;0,$H76&gt;0,OR(AUTOEVENTO&lt;&gt;"manual",$M76&lt;&gt;$A$15)),
        IF(Import.TipoArredondamento&lt;&gt;"TransfereGOV",
              ROUND(OFFSET($P76,0,AL$13),15-13*ORÇAMENTO!$AF$7)/$H76*OFFSET(ORÇAMENTO!$X$15,ROW(AL76)-ROW(AL$15),0),
              ROUND(ROUND(OFFSET($P76,0,AL$13),15-13*ORÇAMENTO!$AF$7)*OFFSET(ORÇAMENTO!$W$15,ROW(AL76)-ROW(AL$15),0),15-13*ORÇAMENTO!$AF$11)),
         0)</f>
        <v>0</v>
      </c>
      <c r="AM76" s="452">
        <f ca="1">IF(AND($D76="Serviço",AM$12&lt;&gt;0,$H76&gt;0,OR(AUTOEVENTO&lt;&gt;"manual",$M76&lt;&gt;$A$15)),
        IF(Import.TipoArredondamento&lt;&gt;"TransfereGOV",
              ROUND(OFFSET($P76,0,AM$13),15-13*ORÇAMENTO!$AF$7)/$H76*OFFSET(ORÇAMENTO!$X$15,ROW(AM76)-ROW(AM$15),0),
              ROUND(ROUND(OFFSET($P76,0,AM$13),15-13*ORÇAMENTO!$AF$7)*OFFSET(ORÇAMENTO!$W$15,ROW(AM76)-ROW(AM$15),0),15-13*ORÇAMENTO!$AF$11)),
         0)</f>
        <v>0</v>
      </c>
      <c r="AN76" s="452">
        <f ca="1">IF(AND($D76="Serviço",AN$12&lt;&gt;0,$H76&gt;0,OR(AUTOEVENTO&lt;&gt;"manual",$M76&lt;&gt;$A$15)),
        IF(Import.TipoArredondamento&lt;&gt;"TransfereGOV",
              ROUND(OFFSET($P76,0,AN$13),15-13*ORÇAMENTO!$AF$7)/$H76*OFFSET(ORÇAMENTO!$X$15,ROW(AN76)-ROW(AN$15),0),
              ROUND(ROUND(OFFSET($P76,0,AN$13),15-13*ORÇAMENTO!$AF$7)*OFFSET(ORÇAMENTO!$W$15,ROW(AN76)-ROW(AN$15),0),15-13*ORÇAMENTO!$AF$11)),
         0)</f>
        <v>0</v>
      </c>
      <c r="AO76" s="452">
        <f ca="1">IF(AND($D76="Serviço",AO$12&lt;&gt;0,$H76&gt;0,OR(AUTOEVENTO&lt;&gt;"manual",$M76&lt;&gt;$A$15)),
        IF(Import.TipoArredondamento&lt;&gt;"TransfereGOV",
              ROUND(OFFSET($P76,0,AO$13),15-13*ORÇAMENTO!$AF$7)/$H76*OFFSET(ORÇAMENTO!$X$15,ROW(AO76)-ROW(AO$15),0),
              ROUND(ROUND(OFFSET($P76,0,AO$13),15-13*ORÇAMENTO!$AF$7)*OFFSET(ORÇAMENTO!$W$15,ROW(AO76)-ROW(AO$15),0),15-13*ORÇAMENTO!$AF$11)),
         0)</f>
        <v>0</v>
      </c>
      <c r="AP76" s="452">
        <f ca="1">IF(AND($D76="Serviço",AP$12&lt;&gt;0,$H76&gt;0,OR(AUTOEVENTO&lt;&gt;"manual",$M76&lt;&gt;$A$15)),
        IF(Import.TipoArredondamento&lt;&gt;"TransfereGOV",
              ROUND(OFFSET($P76,0,AP$13),15-13*ORÇAMENTO!$AF$7)/$H76*OFFSET(ORÇAMENTO!$X$15,ROW(AP76)-ROW(AP$15),0),
              ROUND(ROUND(OFFSET($P76,0,AP$13),15-13*ORÇAMENTO!$AF$7)*OFFSET(ORÇAMENTO!$W$15,ROW(AP76)-ROW(AP$15),0),15-13*ORÇAMENTO!$AF$11)),
         0)</f>
        <v>0</v>
      </c>
      <c r="AQ76" s="452">
        <f ca="1">IF(AND($D76="Serviço",AQ$12&lt;&gt;0,$H76&gt;0,OR(AUTOEVENTO&lt;&gt;"manual",$M76&lt;&gt;$A$15)),
        IF(Import.TipoArredondamento&lt;&gt;"TransfereGOV",
              ROUND(OFFSET($P76,0,AQ$13),15-13*ORÇAMENTO!$AF$7)/$H76*OFFSET(ORÇAMENTO!$X$15,ROW(AQ76)-ROW(AQ$15),0),
              ROUND(ROUND(OFFSET($P76,0,AQ$13),15-13*ORÇAMENTO!$AF$7)*OFFSET(ORÇAMENTO!$W$15,ROW(AQ76)-ROW(AQ$15),0),15-13*ORÇAMENTO!$AF$11)),
         0)</f>
        <v>0</v>
      </c>
      <c r="AR76" s="452">
        <f ca="1">IF(AND($D76="Serviço",AR$12&lt;&gt;0,$H76&gt;0,OR(AUTOEVENTO&lt;&gt;"manual",$M76&lt;&gt;$A$15)),
        IF(Import.TipoArredondamento&lt;&gt;"TransfereGOV",
              ROUND(OFFSET($P76,0,AR$13),15-13*ORÇAMENTO!$AF$7)/$H76*OFFSET(ORÇAMENTO!$X$15,ROW(AR76)-ROW(AR$15),0),
              ROUND(ROUND(OFFSET($P76,0,AR$13),15-13*ORÇAMENTO!$AF$7)*OFFSET(ORÇAMENTO!$W$15,ROW(AR76)-ROW(AR$15),0),15-13*ORÇAMENTO!$AF$11)),
         0)</f>
        <v>0</v>
      </c>
      <c r="AS76" s="452">
        <f ca="1">IF(AND($D76="Serviço",AS$12&lt;&gt;0,$H76&gt;0,OR(AUTOEVENTO&lt;&gt;"manual",$M76&lt;&gt;$A$15)),
        IF(Import.TipoArredondamento&lt;&gt;"TransfereGOV",
              ROUND(OFFSET($P76,0,AS$13),15-13*ORÇAMENTO!$AF$7)/$H76*OFFSET(ORÇAMENTO!$X$15,ROW(AS76)-ROW(AS$15),0),
              ROUND(ROUND(OFFSET($P76,0,AS$13),15-13*ORÇAMENTO!$AF$7)*OFFSET(ORÇAMENTO!$W$15,ROW(AS76)-ROW(AS$15),0),15-13*ORÇAMENTO!$AF$11)),
         0)</f>
        <v>0</v>
      </c>
      <c r="AT76" s="452">
        <f ca="1">IF(AND($D76="Serviço",AT$12&lt;&gt;0,$H76&gt;0,OR(AUTOEVENTO&lt;&gt;"manual",$M76&lt;&gt;$A$15)),
        IF(Import.TipoArredondamento&lt;&gt;"TransfereGOV",
              ROUND(OFFSET($P76,0,AT$13),15-13*ORÇAMENTO!$AF$7)/$H76*OFFSET(ORÇAMENTO!$X$15,ROW(AT76)-ROW(AT$15),0),
              ROUND(ROUND(OFFSET($P76,0,AT$13),15-13*ORÇAMENTO!$AF$7)*OFFSET(ORÇAMENTO!$W$15,ROW(AT76)-ROW(AT$15),0),15-13*ORÇAMENTO!$AF$11)),
         0)</f>
        <v>0</v>
      </c>
      <c r="AU76" s="452">
        <f ca="1">IF(AND($D76="Serviço",AU$12&lt;&gt;0,$H76&gt;0,OR(AUTOEVENTO&lt;&gt;"manual",$M76&lt;&gt;$A$15)),
        IF(Import.TipoArredondamento&lt;&gt;"TransfereGOV",
              ROUND(OFFSET($P76,0,AU$13),15-13*ORÇAMENTO!$AF$7)/$H76*OFFSET(ORÇAMENTO!$X$15,ROW(AU76)-ROW(AU$15),0),
              ROUND(ROUND(OFFSET($P76,0,AU$13),15-13*ORÇAMENTO!$AF$7)*OFFSET(ORÇAMENTO!$W$15,ROW(AU76)-ROW(AU$15),0),15-13*ORÇAMENTO!$AF$11)),
         0)</f>
        <v>0</v>
      </c>
      <c r="AV76" s="452">
        <f ca="1">IF(AND($D76="Serviço",AV$12&lt;&gt;0,$H76&gt;0,OR(AUTOEVENTO&lt;&gt;"manual",$M76&lt;&gt;$A$15)),
        IF(Import.TipoArredondamento&lt;&gt;"TransfereGOV",
              ROUND(OFFSET($P76,0,AV$13),15-13*ORÇAMENTO!$AF$7)/$H76*OFFSET(ORÇAMENTO!$X$15,ROW(AV76)-ROW(AV$15),0),
              ROUND(ROUND(OFFSET($P76,0,AV$13),15-13*ORÇAMENTO!$AF$7)*OFFSET(ORÇAMENTO!$W$15,ROW(AV76)-ROW(AV$15),0),15-13*ORÇAMENTO!$AF$11)),
         0)</f>
        <v>0</v>
      </c>
      <c r="AW76" s="452">
        <f ca="1">IF(AND($D76="Serviço",AW$12&lt;&gt;0,$H76&gt;0,OR(AUTOEVENTO&lt;&gt;"manual",$M76&lt;&gt;$A$15)),
        IF(Import.TipoArredondamento&lt;&gt;"TransfereGOV",
              ROUND(OFFSET($P76,0,AW$13),15-13*ORÇAMENTO!$AF$7)/$H76*OFFSET(ORÇAMENTO!$X$15,ROW(AW76)-ROW(AW$15),0),
              ROUND(ROUND(OFFSET($P76,0,AW$13),15-13*ORÇAMENTO!$AF$7)*OFFSET(ORÇAMENTO!$W$15,ROW(AW76)-ROW(AW$15),0),15-13*ORÇAMENTO!$AF$11)),
         0)</f>
        <v>0</v>
      </c>
      <c r="AX76" s="452">
        <f ca="1">IF(AND($D76="Serviço",AX$12&lt;&gt;0,$H76&gt;0,OR(AUTOEVENTO&lt;&gt;"manual",$M76&lt;&gt;$A$15)),
        IF(Import.TipoArredondamento&lt;&gt;"TransfereGOV",
              ROUND(OFFSET($P76,0,AX$13),15-13*ORÇAMENTO!$AF$7)/$H76*OFFSET(ORÇAMENTO!$X$15,ROW(AX76)-ROW(AX$15),0),
              ROUND(ROUND(OFFSET($P76,0,AX$13),15-13*ORÇAMENTO!$AF$7)*OFFSET(ORÇAMENTO!$W$15,ROW(AX76)-ROW(AX$15),0),15-13*ORÇAMENTO!$AF$11)),
         0)</f>
        <v>0</v>
      </c>
      <c r="AY76" s="452">
        <f ca="1">IF(AND($D76="Serviço",AY$12&lt;&gt;0,$H76&gt;0,OR(AUTOEVENTO&lt;&gt;"manual",$M76&lt;&gt;$A$15)),
        IF(Import.TipoArredondamento&lt;&gt;"TransfereGOV",
              ROUND(OFFSET($P76,0,AY$13),15-13*ORÇAMENTO!$AF$7)/$H76*OFFSET(ORÇAMENTO!$X$15,ROW(AY76)-ROW(AY$15),0),
              ROUND(ROUND(OFFSET($P76,0,AY$13),15-13*ORÇAMENTO!$AF$7)*OFFSET(ORÇAMENTO!$W$15,ROW(AY76)-ROW(AY$15),0),15-13*ORÇAMENTO!$AF$11)),
         0)</f>
        <v>0</v>
      </c>
      <c r="AZ76" s="452">
        <f ca="1">IF(AND($D76="Serviço",AZ$12&lt;&gt;0,$H76&gt;0,OR(AUTOEVENTO&lt;&gt;"manual",$M76&lt;&gt;$A$15)),
        IF(Import.TipoArredondamento&lt;&gt;"TransfereGOV",
              ROUND(OFFSET($P76,0,AZ$13),15-13*ORÇAMENTO!$AF$7)/$H76*OFFSET(ORÇAMENTO!$X$15,ROW(AZ76)-ROW(AZ$15),0),
              ROUND(ROUND(OFFSET($P76,0,AZ$13),15-13*ORÇAMENTO!$AF$7)*OFFSET(ORÇAMENTO!$W$15,ROW(AZ76)-ROW(AZ$15),0),15-13*ORÇAMENTO!$AF$11)),
         0)</f>
        <v>0</v>
      </c>
      <c r="BA76" s="452">
        <f ca="1">IF(AND($D76="Serviço",BA$12&lt;&gt;0,$H76&gt;0,OR(AUTOEVENTO&lt;&gt;"manual",$M76&lt;&gt;$A$15)),
        IF(Import.TipoArredondamento&lt;&gt;"TransfereGOV",
              ROUND(OFFSET($P76,0,BA$13),15-13*ORÇAMENTO!$AF$7)/$H76*OFFSET(ORÇAMENTO!$X$15,ROW(BA76)-ROW(BA$15),0),
              ROUND(ROUND(OFFSET($P76,0,BA$13),15-13*ORÇAMENTO!$AF$7)*OFFSET(ORÇAMENTO!$W$15,ROW(BA76)-ROW(BA$15),0),15-13*ORÇAMENTO!$AF$11)),
         0)</f>
        <v>0</v>
      </c>
      <c r="BC76" s="171">
        <f ca="1">IF(OR($D76&lt;&gt;"Serviço",AND(AUTOEVENTO="Manual",$M76=$A$15)),0,
         IF(OFFSET(CRONOPLE!$F$15,$M76-$A$15,BC$13)=0,10^12,OFFSET(CRONOPLE!$F$15,$M76-$A$15,BC$13)))</f>
        <v>0</v>
      </c>
      <c r="BD76" s="171">
        <f ca="1">IF(OR($D76&lt;&gt;"Serviço",AND(AUTOEVENTO="Manual",$M76=$A$15)),0,
         IF(OFFSET(CRONOPLE!$F$15,$M76-$A$15,BD$13)=0,10^12,OFFSET(CRONOPLE!$F$15,$M76-$A$15,BD$13)))</f>
        <v>0</v>
      </c>
      <c r="BE76" s="171">
        <f ca="1">IF(OR($D76&lt;&gt;"Serviço",AND(AUTOEVENTO="Manual",$M76=$A$15)),0,
         IF(OFFSET(CRONOPLE!$F$15,$M76-$A$15,BE$13)=0,10^12,OFFSET(CRONOPLE!$F$15,$M76-$A$15,BE$13)))</f>
        <v>0</v>
      </c>
      <c r="BF76" s="171">
        <f ca="1">IF(OR($D76&lt;&gt;"Serviço",AND(AUTOEVENTO="Manual",$M76=$A$15)),0,
         IF(OFFSET(CRONOPLE!$F$15,$M76-$A$15,BF$13)=0,10^12,OFFSET(CRONOPLE!$F$15,$M76-$A$15,BF$13)))</f>
        <v>0</v>
      </c>
      <c r="BG76" s="171">
        <f ca="1">IF(OR($D76&lt;&gt;"Serviço",AND(AUTOEVENTO="Manual",$M76=$A$15)),0,
         IF(OFFSET(CRONOPLE!$F$15,$M76-$A$15,BG$13)=0,10^12,OFFSET(CRONOPLE!$F$15,$M76-$A$15,BG$13)))</f>
        <v>0</v>
      </c>
      <c r="BH76" s="171">
        <f ca="1">IF(OR($D76&lt;&gt;"Serviço",AND(AUTOEVENTO="Manual",$M76=$A$15)),0,
         IF(OFFSET(CRONOPLE!$F$15,$M76-$A$15,BH$13)=0,10^12,OFFSET(CRONOPLE!$F$15,$M76-$A$15,BH$13)))</f>
        <v>0</v>
      </c>
      <c r="BI76" s="171">
        <f ca="1">IF(OR($D76&lt;&gt;"Serviço",AND(AUTOEVENTO="Manual",$M76=$A$15)),0,
         IF(OFFSET(CRONOPLE!$F$15,$M76-$A$15,BI$13)=0,10^12,OFFSET(CRONOPLE!$F$15,$M76-$A$15,BI$13)))</f>
        <v>0</v>
      </c>
      <c r="BJ76" s="171">
        <f ca="1">IF(OR($D76&lt;&gt;"Serviço",AND(AUTOEVENTO="Manual",$M76=$A$15)),0,
         IF(OFFSET(CRONOPLE!$F$15,$M76-$A$15,BJ$13)=0,10^12,OFFSET(CRONOPLE!$F$15,$M76-$A$15,BJ$13)))</f>
        <v>0</v>
      </c>
      <c r="BK76" s="171">
        <f ca="1">IF(OR($D76&lt;&gt;"Serviço",AND(AUTOEVENTO="Manual",$M76=$A$15)),0,
         IF(OFFSET(CRONOPLE!$F$15,$M76-$A$15,BK$13)=0,10^12,OFFSET(CRONOPLE!$F$15,$M76-$A$15,BK$13)))</f>
        <v>0</v>
      </c>
      <c r="BL76" s="171">
        <f ca="1">IF(OR($D76&lt;&gt;"Serviço",AND(AUTOEVENTO="Manual",$M76=$A$15)),0,
         IF(OFFSET(CRONOPLE!$F$15,$M76-$A$15,BL$13)=0,10^12,OFFSET(CRONOPLE!$F$15,$M76-$A$15,BL$13)))</f>
        <v>0</v>
      </c>
      <c r="BM76" s="171">
        <f ca="1">IF(OR($D76&lt;&gt;"Serviço",AND(AUTOEVENTO="Manual",$M76=$A$15)),0,
         IF(OFFSET(CRONOPLE!$F$15,$M76-$A$15,BM$13)=0,10^12,OFFSET(CRONOPLE!$F$15,$M76-$A$15,BM$13)))</f>
        <v>0</v>
      </c>
      <c r="BN76" s="171">
        <f ca="1">IF(OR($D76&lt;&gt;"Serviço",AND(AUTOEVENTO="Manual",$M76=$A$15)),0,
         IF(OFFSET(CRONOPLE!$F$15,$M76-$A$15,BN$13)=0,10^12,OFFSET(CRONOPLE!$F$15,$M76-$A$15,BN$13)))</f>
        <v>0</v>
      </c>
      <c r="BO76" s="171">
        <f ca="1">IF(OR($D76&lt;&gt;"Serviço",AND(AUTOEVENTO="Manual",$M76=$A$15)),0,
         IF(OFFSET(CRONOPLE!$F$15,$M76-$A$15,BO$13)=0,10^12,OFFSET(CRONOPLE!$F$15,$M76-$A$15,BO$13)))</f>
        <v>0</v>
      </c>
      <c r="BP76" s="171">
        <f ca="1">IF(OR($D76&lt;&gt;"Serviço",AND(AUTOEVENTO="Manual",$M76=$A$15)),0,
         IF(OFFSET(CRONOPLE!$F$15,$M76-$A$15,BP$13)=0,10^12,OFFSET(CRONOPLE!$F$15,$M76-$A$15,BP$13)))</f>
        <v>0</v>
      </c>
      <c r="BQ76" s="171">
        <f ca="1">IF(OR($D76&lt;&gt;"Serviço",AND(AUTOEVENTO="Manual",$M76=$A$15)),0,
         IF(OFFSET(CRONOPLE!$F$15,$M76-$A$15,BQ$13)=0,10^12,OFFSET(CRONOPLE!$F$15,$M76-$A$15,BQ$13)))</f>
        <v>0</v>
      </c>
      <c r="BR76" s="171">
        <f ca="1">IF(OR($D76&lt;&gt;"Serviço",AND(AUTOEVENTO="Manual",$M76=$A$15)),0,
         IF(OFFSET(CRONOPLE!$F$15,$M76-$A$15,BR$13)=0,10^12,OFFSET(CRONOPLE!$F$15,$M76-$A$15,BR$13)))</f>
        <v>0</v>
      </c>
      <c r="BS76" s="171">
        <f ca="1">IF(OR($D76&lt;&gt;"Serviço",AND(AUTOEVENTO="Manual",$M76=$A$15)),0,
         IF(OFFSET(CRONOPLE!$F$15,$M76-$A$15,BS$13)=0,10^12,OFFSET(CRONOPLE!$F$15,$M76-$A$15,BS$13)))</f>
        <v>0</v>
      </c>
      <c r="BT76" s="171">
        <f ca="1">IF(OR($D76&lt;&gt;"Serviço",AND(AUTOEVENTO="Manual",$M76=$A$15)),0,
         IF(OFFSET(CRONOPLE!$F$15,$M76-$A$15,BT$13)=0,10^12,OFFSET(CRONOPLE!$F$15,$M76-$A$15,BT$13)))</f>
        <v>0</v>
      </c>
      <c r="BV76" s="172">
        <f t="array" aca="1" ref="BV76" ca="1">IF(OR($D76&lt;&gt;"Serviço",AND(AUTOEVENTO="Manual",$M76=$A$15),$M76&gt;(ROW(PLE.lastrow)-ROW(PLE.firstrow))),0,
           IF(OFFSET(PLE!$G$15,$M76-$A$15,BV$13)="",10^12,OFFSET(PLE!$G$15,$M76-$A$15,BV$13)))</f>
        <v>0</v>
      </c>
      <c r="BW76" s="172">
        <f t="array" aca="1" ref="BW76" ca="1">IF(OR($D76&lt;&gt;"Serviço",AND(AUTOEVENTO="Manual",$M76=$A$15),$M76&gt;(ROW(PLE.lastrow)-ROW(PLE.firstrow))),0,
           IF(OFFSET(PLE!$G$15,$M76-$A$15,BW$13)="",10^12,OFFSET(PLE!$G$15,$M76-$A$15,BW$13)))</f>
        <v>0</v>
      </c>
      <c r="BX76" s="172">
        <f t="array" aca="1" ref="BX76" ca="1">IF(OR($D76&lt;&gt;"Serviço",AND(AUTOEVENTO="Manual",$M76=$A$15),$M76&gt;(ROW(PLE.lastrow)-ROW(PLE.firstrow))),0,
           IF(OFFSET(PLE!$G$15,$M76-$A$15,BX$13)="",10^12,OFFSET(PLE!$G$15,$M76-$A$15,BX$13)))</f>
        <v>0</v>
      </c>
      <c r="BY76" s="172">
        <f t="array" aca="1" ref="BY76" ca="1">IF(OR($D76&lt;&gt;"Serviço",AND(AUTOEVENTO="Manual",$M76=$A$15),$M76&gt;(ROW(PLE.lastrow)-ROW(PLE.firstrow))),0,
           IF(OFFSET(PLE!$G$15,$M76-$A$15,BY$13)="",10^12,OFFSET(PLE!$G$15,$M76-$A$15,BY$13)))</f>
        <v>0</v>
      </c>
      <c r="BZ76" s="172">
        <f t="array" aca="1" ref="BZ76" ca="1">IF(OR($D76&lt;&gt;"Serviço",AND(AUTOEVENTO="Manual",$M76=$A$15),$M76&gt;(ROW(PLE.lastrow)-ROW(PLE.firstrow))),0,
           IF(OFFSET(PLE!$G$15,$M76-$A$15,BZ$13)="",10^12,OFFSET(PLE!$G$15,$M76-$A$15,BZ$13)))</f>
        <v>0</v>
      </c>
      <c r="CA76" s="172">
        <f t="array" aca="1" ref="CA76" ca="1">IF(OR($D76&lt;&gt;"Serviço",AND(AUTOEVENTO="Manual",$M76=$A$15),$M76&gt;(ROW(PLE.lastrow)-ROW(PLE.firstrow))),0,
           IF(OFFSET(PLE!$G$15,$M76-$A$15,CA$13)="",10^12,OFFSET(PLE!$G$15,$M76-$A$15,CA$13)))</f>
        <v>0</v>
      </c>
      <c r="CB76" s="172">
        <f t="array" aca="1" ref="CB76" ca="1">IF(OR($D76&lt;&gt;"Serviço",AND(AUTOEVENTO="Manual",$M76=$A$15),$M76&gt;(ROW(PLE.lastrow)-ROW(PLE.firstrow))),0,
           IF(OFFSET(PLE!$G$15,$M76-$A$15,CB$13)="",10^12,OFFSET(PLE!$G$15,$M76-$A$15,CB$13)))</f>
        <v>0</v>
      </c>
      <c r="CC76" s="172">
        <f t="array" aca="1" ref="CC76" ca="1">IF(OR($D76&lt;&gt;"Serviço",AND(AUTOEVENTO="Manual",$M76=$A$15),$M76&gt;(ROW(PLE.lastrow)-ROW(PLE.firstrow))),0,
           IF(OFFSET(PLE!$G$15,$M76-$A$15,CC$13)="",10^12,OFFSET(PLE!$G$15,$M76-$A$15,CC$13)))</f>
        <v>0</v>
      </c>
      <c r="CD76" s="172">
        <f t="array" aca="1" ref="CD76" ca="1">IF(OR($D76&lt;&gt;"Serviço",AND(AUTOEVENTO="Manual",$M76=$A$15),$M76&gt;(ROW(PLE.lastrow)-ROW(PLE.firstrow))),0,
           IF(OFFSET(PLE!$G$15,$M76-$A$15,CD$13)="",10^12,OFFSET(PLE!$G$15,$M76-$A$15,CD$13)))</f>
        <v>0</v>
      </c>
      <c r="CE76" s="172">
        <f t="array" aca="1" ref="CE76" ca="1">IF(OR($D76&lt;&gt;"Serviço",AND(AUTOEVENTO="Manual",$M76=$A$15),$M76&gt;(ROW(PLE.lastrow)-ROW(PLE.firstrow))),0,
           IF(OFFSET(PLE!$G$15,$M76-$A$15,CE$13)="",10^12,OFFSET(PLE!$G$15,$M76-$A$15,CE$13)))</f>
        <v>0</v>
      </c>
      <c r="CF76" s="172">
        <f t="array" aca="1" ref="CF76" ca="1">IF(OR($D76&lt;&gt;"Serviço",AND(AUTOEVENTO="Manual",$M76=$A$15),$M76&gt;(ROW(PLE.lastrow)-ROW(PLE.firstrow))),0,
           IF(OFFSET(PLE!$G$15,$M76-$A$15,CF$13)="",10^12,OFFSET(PLE!$G$15,$M76-$A$15,CF$13)))</f>
        <v>0</v>
      </c>
      <c r="CG76" s="172">
        <f t="array" aca="1" ref="CG76" ca="1">IF(OR($D76&lt;&gt;"Serviço",AND(AUTOEVENTO="Manual",$M76=$A$15),$M76&gt;(ROW(PLE.lastrow)-ROW(PLE.firstrow))),0,
           IF(OFFSET(PLE!$G$15,$M76-$A$15,CG$13)="",10^12,OFFSET(PLE!$G$15,$M76-$A$15,CG$13)))</f>
        <v>0</v>
      </c>
      <c r="CH76" s="172">
        <f t="array" aca="1" ref="CH76" ca="1">IF(OR($D76&lt;&gt;"Serviço",AND(AUTOEVENTO="Manual",$M76=$A$15),$M76&gt;(ROW(PLE.lastrow)-ROW(PLE.firstrow))),0,
           IF(OFFSET(PLE!$G$15,$M76-$A$15,CH$13)="",10^12,OFFSET(PLE!$G$15,$M76-$A$15,CH$13)))</f>
        <v>0</v>
      </c>
      <c r="CI76" s="172">
        <f t="array" aca="1" ref="CI76" ca="1">IF(OR($D76&lt;&gt;"Serviço",AND(AUTOEVENTO="Manual",$M76=$A$15),$M76&gt;(ROW(PLE.lastrow)-ROW(PLE.firstrow))),0,
           IF(OFFSET(PLE!$G$15,$M76-$A$15,CI$13)="",10^12,OFFSET(PLE!$G$15,$M76-$A$15,CI$13)))</f>
        <v>0</v>
      </c>
      <c r="CJ76" s="172">
        <f t="array" aca="1" ref="CJ76" ca="1">IF(OR($D76&lt;&gt;"Serviço",AND(AUTOEVENTO="Manual",$M76=$A$15),$M76&gt;(ROW(PLE.lastrow)-ROW(PLE.firstrow))),0,
           IF(OFFSET(PLE!$G$15,$M76-$A$15,CJ$13)="",10^12,OFFSET(PLE!$G$15,$M76-$A$15,CJ$13)))</f>
        <v>0</v>
      </c>
      <c r="CK76" s="172">
        <f t="array" aca="1" ref="CK76" ca="1">IF(OR($D76&lt;&gt;"Serviço",AND(AUTOEVENTO="Manual",$M76=$A$15),$M76&gt;(ROW(PLE.lastrow)-ROW(PLE.firstrow))),0,
           IF(OFFSET(PLE!$G$15,$M76-$A$15,CK$13)="",10^12,OFFSET(PLE!$G$15,$M76-$A$15,CK$13)))</f>
        <v>0</v>
      </c>
      <c r="CL76" s="172">
        <f t="array" aca="1" ref="CL76" ca="1">IF(OR($D76&lt;&gt;"Serviço",AND(AUTOEVENTO="Manual",$M76=$A$15),$M76&gt;(ROW(PLE.lastrow)-ROW(PLE.firstrow))),0,
           IF(OFFSET(PLE!$G$15,$M76-$A$15,CL$13)="",10^12,OFFSET(PLE!$G$15,$M76-$A$15,CL$13)))</f>
        <v>0</v>
      </c>
      <c r="CM76" s="172">
        <f t="array" aca="1" ref="CM76" ca="1">IF(OR($D76&lt;&gt;"Serviço",AND(AUTOEVENTO="Manual",$M76=$A$15),$M76&gt;(ROW(PLE.lastrow)-ROW(PLE.firstrow))),0,
           IF(OFFSET(PLE!$G$15,$M76-$A$15,CM$13)="",10^12,OFFSET(PLE!$G$15,$M76-$A$15,CM$13)))</f>
        <v>0</v>
      </c>
    </row>
    <row r="77" spans="1:91" s="696" customFormat="1" ht="63.75" x14ac:dyDescent="0.2">
      <c r="A77" s="694">
        <f t="shared" ca="1" si="45"/>
        <v>12</v>
      </c>
      <c r="B77" s="694" t="str">
        <f ca="1">OFFSET(ORÇAMENTO!C$15,$L77,0)</f>
        <v>S</v>
      </c>
      <c r="C77" s="694" t="str">
        <f ca="1">OFFSET(ORÇAMENTO!L$15,$L77,0)</f>
        <v>F</v>
      </c>
      <c r="D77" s="116" t="str">
        <f ca="1">OFFSET(ORÇAMENTO!N$15,$L77,0)</f>
        <v>Serviço</v>
      </c>
      <c r="E77" s="117" t="str">
        <f ca="1">OFFSET(ORÇAMENTO!O$15,$L77,0)</f>
        <v>1.11.1.</v>
      </c>
      <c r="F77" s="163" t="str">
        <f ca="1">OFFSET(ORÇAMENTO!R$15,$L77,0)</f>
        <v>KIT DE PORTA DE MADEIRA PARA PINTURA, SEMI-OCA (LEVE OU MÉDIA), PADRÃO POPULAR, 80X210CM, ESPESSURA DE 3,5CM, ITENS INCLUSOS: DOBRADIÇAS, MONTAGEM E INSTALAÇÃO DO BATENTE, FECHADURA COM EXECUÇÃO DO FURO - FORNECIMENTO E INSTALAÇÃO. AF_12/2019</v>
      </c>
      <c r="G77" s="164" t="str">
        <f ca="1">IF($D77&lt;&gt;"Serviço","",OFFSET(ORÇAMENTO!S$15,$L77,0))</f>
        <v>UN</v>
      </c>
      <c r="H77" s="122">
        <f t="array" aca="1" ref="H77" ca="1">IF($D77&lt;&gt;"Serviço",0,IF(ACOMPANHAMENTO="BM",ROUND(OFFSET(ORÇAMENTO!AJ$15,$L77,0),15-13*ORÇAMENTO!$AF$7),IF(IFERROR(CÁLCULO.FrentesPreenchidas,0)=0,0,SUM(ROUND(OFFSET($P77,0,1,1,CÁLCULO.FrentesPreenchidas),15-13*ORÇAMENTO!$AF$7)))))</f>
        <v>60</v>
      </c>
      <c r="I77" s="467" t="s">
        <v>1247</v>
      </c>
      <c r="J77" s="653" t="str">
        <f t="array" aca="1" ref="J77" ca="1">IF(OR(B77&lt;&gt;"S",CÁLCULO.FrentesPreenchidas=0),"",IF(AND(ACOMPANHAMENTO="PLE",AUTOEVENTO="Manual",OR(H77&gt;0,ORÇAMENTO!AC77="QUANT."),OR(K77="",M77=0,N77="")),"►E",IF(AND(ACOMPANHAMENTO="PLE",ORÇAMENTO!AC77="QUANT."),"►Q",IF(AND(ACOMPANHAMENTO="PLE",H77&lt;&gt;SUMPRODUCT(($Q$1:$AI$1=1)*ROUND(Q77:AI77,15))),"►S",IF(AND(COUNTIF($P$11:$AI$11,"▼")=0,H77&gt;0,I77=""),"◄M","")))))</f>
        <v/>
      </c>
      <c r="K77" s="654" t="s">
        <v>1396</v>
      </c>
      <c r="L77" s="165">
        <f t="shared" ca="1" si="46"/>
        <v>62</v>
      </c>
      <c r="M77" s="166">
        <f ca="1">IF($D77&lt;&gt;"Serviço","",
          IF(AUTOEVENTO="manual",$A77,
                IF(ISERROR(MATCH($A77,$A$15:OFFSET($A77,-1,0),0)),MAX($M$15:OFFSET(M77,-1,0))+1,
                      INDEX($M$15:OFFSET(M77,-1,0),MATCH($A77,$A$15:OFFSET($A77,-1,0),0)))))</f>
        <v>12</v>
      </c>
      <c r="N77" s="167" t="str">
        <f ca="1">IF($D77&lt;&gt;"Serviço","",
         IF(AUTOEVENTO="Manual",
                IF($A77=0,"&lt;-- defina o número do agrupador",
                       OFFSET(EVENTOS!$D$15,$A77-$A$15,0)),
                OFFSET($F$15,$A77,0)))</f>
        <v>ESQUADRIAS DE MADEIRA</v>
      </c>
      <c r="O77" s="168"/>
      <c r="Q77" s="169">
        <v>15</v>
      </c>
      <c r="R77" s="169">
        <v>15</v>
      </c>
      <c r="S77" s="169">
        <v>15</v>
      </c>
      <c r="T77" s="169">
        <v>15</v>
      </c>
      <c r="U77" s="169"/>
      <c r="V77" s="169"/>
      <c r="W77" s="169"/>
      <c r="X77" s="169"/>
      <c r="Y77" s="169"/>
      <c r="Z77" s="170"/>
      <c r="AA77" s="169"/>
      <c r="AB77" s="169"/>
      <c r="AC77" s="169"/>
      <c r="AD77" s="169"/>
      <c r="AE77" s="169"/>
      <c r="AF77" s="169"/>
      <c r="AG77" s="169"/>
      <c r="AH77" s="170"/>
      <c r="AJ77" s="452">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15793.35</v>
      </c>
      <c r="AK77" s="452">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15793.35</v>
      </c>
      <c r="AL77" s="452">
        <f ca="1">IF(AND($D77="Serviço",AL$12&lt;&gt;0,$H77&gt;0,OR(AUTOEVENTO&lt;&gt;"manual",$M77&lt;&gt;$A$15)),
        IF(Import.TipoArredondamento&lt;&gt;"TransfereGOV",
              ROUND(OFFSET($P77,0,AL$13),15-13*ORÇAMENTO!$AF$7)/$H77*OFFSET(ORÇAMENTO!$X$15,ROW(AL77)-ROW(AL$15),0),
              ROUND(ROUND(OFFSET($P77,0,AL$13),15-13*ORÇAMENTO!$AF$7)*OFFSET(ORÇAMENTO!$W$15,ROW(AL77)-ROW(AL$15),0),15-13*ORÇAMENTO!$AF$11)),
         0)</f>
        <v>15793.35</v>
      </c>
      <c r="AM77" s="452">
        <f ca="1">IF(AND($D77="Serviço",AM$12&lt;&gt;0,$H77&gt;0,OR(AUTOEVENTO&lt;&gt;"manual",$M77&lt;&gt;$A$15)),
        IF(Import.TipoArredondamento&lt;&gt;"TransfereGOV",
              ROUND(OFFSET($P77,0,AM$13),15-13*ORÇAMENTO!$AF$7)/$H77*OFFSET(ORÇAMENTO!$X$15,ROW(AM77)-ROW(AM$15),0),
              ROUND(ROUND(OFFSET($P77,0,AM$13),15-13*ORÇAMENTO!$AF$7)*OFFSET(ORÇAMENTO!$W$15,ROW(AM77)-ROW(AM$15),0),15-13*ORÇAMENTO!$AF$11)),
         0)</f>
        <v>15793.35</v>
      </c>
      <c r="AN77" s="452">
        <f ca="1">IF(AND($D77="Serviço",AN$12&lt;&gt;0,$H77&gt;0,OR(AUTOEVENTO&lt;&gt;"manual",$M77&lt;&gt;$A$15)),
        IF(Import.TipoArredondamento&lt;&gt;"TransfereGOV",
              ROUND(OFFSET($P77,0,AN$13),15-13*ORÇAMENTO!$AF$7)/$H77*OFFSET(ORÇAMENTO!$X$15,ROW(AN77)-ROW(AN$15),0),
              ROUND(ROUND(OFFSET($P77,0,AN$13),15-13*ORÇAMENTO!$AF$7)*OFFSET(ORÇAMENTO!$W$15,ROW(AN77)-ROW(AN$15),0),15-13*ORÇAMENTO!$AF$11)),
         0)</f>
        <v>0</v>
      </c>
      <c r="AO77" s="452">
        <f ca="1">IF(AND($D77="Serviço",AO$12&lt;&gt;0,$H77&gt;0,OR(AUTOEVENTO&lt;&gt;"manual",$M77&lt;&gt;$A$15)),
        IF(Import.TipoArredondamento&lt;&gt;"TransfereGOV",
              ROUND(OFFSET($P77,0,AO$13),15-13*ORÇAMENTO!$AF$7)/$H77*OFFSET(ORÇAMENTO!$X$15,ROW(AO77)-ROW(AO$15),0),
              ROUND(ROUND(OFFSET($P77,0,AO$13),15-13*ORÇAMENTO!$AF$7)*OFFSET(ORÇAMENTO!$W$15,ROW(AO77)-ROW(AO$15),0),15-13*ORÇAMENTO!$AF$11)),
         0)</f>
        <v>0</v>
      </c>
      <c r="AP77" s="452">
        <f ca="1">IF(AND($D77="Serviço",AP$12&lt;&gt;0,$H77&gt;0,OR(AUTOEVENTO&lt;&gt;"manual",$M77&lt;&gt;$A$15)),
        IF(Import.TipoArredondamento&lt;&gt;"TransfereGOV",
              ROUND(OFFSET($P77,0,AP$13),15-13*ORÇAMENTO!$AF$7)/$H77*OFFSET(ORÇAMENTO!$X$15,ROW(AP77)-ROW(AP$15),0),
              ROUND(ROUND(OFFSET($P77,0,AP$13),15-13*ORÇAMENTO!$AF$7)*OFFSET(ORÇAMENTO!$W$15,ROW(AP77)-ROW(AP$15),0),15-13*ORÇAMENTO!$AF$11)),
         0)</f>
        <v>0</v>
      </c>
      <c r="AQ77" s="452">
        <f ca="1">IF(AND($D77="Serviço",AQ$12&lt;&gt;0,$H77&gt;0,OR(AUTOEVENTO&lt;&gt;"manual",$M77&lt;&gt;$A$15)),
        IF(Import.TipoArredondamento&lt;&gt;"TransfereGOV",
              ROUND(OFFSET($P77,0,AQ$13),15-13*ORÇAMENTO!$AF$7)/$H77*OFFSET(ORÇAMENTO!$X$15,ROW(AQ77)-ROW(AQ$15),0),
              ROUND(ROUND(OFFSET($P77,0,AQ$13),15-13*ORÇAMENTO!$AF$7)*OFFSET(ORÇAMENTO!$W$15,ROW(AQ77)-ROW(AQ$15),0),15-13*ORÇAMENTO!$AF$11)),
         0)</f>
        <v>0</v>
      </c>
      <c r="AR77" s="452">
        <f ca="1">IF(AND($D77="Serviço",AR$12&lt;&gt;0,$H77&gt;0,OR(AUTOEVENTO&lt;&gt;"manual",$M77&lt;&gt;$A$15)),
        IF(Import.TipoArredondamento&lt;&gt;"TransfereGOV",
              ROUND(OFFSET($P77,0,AR$13),15-13*ORÇAMENTO!$AF$7)/$H77*OFFSET(ORÇAMENTO!$X$15,ROW(AR77)-ROW(AR$15),0),
              ROUND(ROUND(OFFSET($P77,0,AR$13),15-13*ORÇAMENTO!$AF$7)*OFFSET(ORÇAMENTO!$W$15,ROW(AR77)-ROW(AR$15),0),15-13*ORÇAMENTO!$AF$11)),
         0)</f>
        <v>0</v>
      </c>
      <c r="AS77" s="452">
        <f ca="1">IF(AND($D77="Serviço",AS$12&lt;&gt;0,$H77&gt;0,OR(AUTOEVENTO&lt;&gt;"manual",$M77&lt;&gt;$A$15)),
        IF(Import.TipoArredondamento&lt;&gt;"TransfereGOV",
              ROUND(OFFSET($P77,0,AS$13),15-13*ORÇAMENTO!$AF$7)/$H77*OFFSET(ORÇAMENTO!$X$15,ROW(AS77)-ROW(AS$15),0),
              ROUND(ROUND(OFFSET($P77,0,AS$13),15-13*ORÇAMENTO!$AF$7)*OFFSET(ORÇAMENTO!$W$15,ROW(AS77)-ROW(AS$15),0),15-13*ORÇAMENTO!$AF$11)),
         0)</f>
        <v>0</v>
      </c>
      <c r="AT77" s="452">
        <f ca="1">IF(AND($D77="Serviço",AT$12&lt;&gt;0,$H77&gt;0,OR(AUTOEVENTO&lt;&gt;"manual",$M77&lt;&gt;$A$15)),
        IF(Import.TipoArredondamento&lt;&gt;"TransfereGOV",
              ROUND(OFFSET($P77,0,AT$13),15-13*ORÇAMENTO!$AF$7)/$H77*OFFSET(ORÇAMENTO!$X$15,ROW(AT77)-ROW(AT$15),0),
              ROUND(ROUND(OFFSET($P77,0,AT$13),15-13*ORÇAMENTO!$AF$7)*OFFSET(ORÇAMENTO!$W$15,ROW(AT77)-ROW(AT$15),0),15-13*ORÇAMENTO!$AF$11)),
         0)</f>
        <v>0</v>
      </c>
      <c r="AU77" s="452">
        <f ca="1">IF(AND($D77="Serviço",AU$12&lt;&gt;0,$H77&gt;0,OR(AUTOEVENTO&lt;&gt;"manual",$M77&lt;&gt;$A$15)),
        IF(Import.TipoArredondamento&lt;&gt;"TransfereGOV",
              ROUND(OFFSET($P77,0,AU$13),15-13*ORÇAMENTO!$AF$7)/$H77*OFFSET(ORÇAMENTO!$X$15,ROW(AU77)-ROW(AU$15),0),
              ROUND(ROUND(OFFSET($P77,0,AU$13),15-13*ORÇAMENTO!$AF$7)*OFFSET(ORÇAMENTO!$W$15,ROW(AU77)-ROW(AU$15),0),15-13*ORÇAMENTO!$AF$11)),
         0)</f>
        <v>0</v>
      </c>
      <c r="AV77" s="452">
        <f ca="1">IF(AND($D77="Serviço",AV$12&lt;&gt;0,$H77&gt;0,OR(AUTOEVENTO&lt;&gt;"manual",$M77&lt;&gt;$A$15)),
        IF(Import.TipoArredondamento&lt;&gt;"TransfereGOV",
              ROUND(OFFSET($P77,0,AV$13),15-13*ORÇAMENTO!$AF$7)/$H77*OFFSET(ORÇAMENTO!$X$15,ROW(AV77)-ROW(AV$15),0),
              ROUND(ROUND(OFFSET($P77,0,AV$13),15-13*ORÇAMENTO!$AF$7)*OFFSET(ORÇAMENTO!$W$15,ROW(AV77)-ROW(AV$15),0),15-13*ORÇAMENTO!$AF$11)),
         0)</f>
        <v>0</v>
      </c>
      <c r="AW77" s="452">
        <f ca="1">IF(AND($D77="Serviço",AW$12&lt;&gt;0,$H77&gt;0,OR(AUTOEVENTO&lt;&gt;"manual",$M77&lt;&gt;$A$15)),
        IF(Import.TipoArredondamento&lt;&gt;"TransfereGOV",
              ROUND(OFFSET($P77,0,AW$13),15-13*ORÇAMENTO!$AF$7)/$H77*OFFSET(ORÇAMENTO!$X$15,ROW(AW77)-ROW(AW$15),0),
              ROUND(ROUND(OFFSET($P77,0,AW$13),15-13*ORÇAMENTO!$AF$7)*OFFSET(ORÇAMENTO!$W$15,ROW(AW77)-ROW(AW$15),0),15-13*ORÇAMENTO!$AF$11)),
         0)</f>
        <v>0</v>
      </c>
      <c r="AX77" s="452">
        <f ca="1">IF(AND($D77="Serviço",AX$12&lt;&gt;0,$H77&gt;0,OR(AUTOEVENTO&lt;&gt;"manual",$M77&lt;&gt;$A$15)),
        IF(Import.TipoArredondamento&lt;&gt;"TransfereGOV",
              ROUND(OFFSET($P77,0,AX$13),15-13*ORÇAMENTO!$AF$7)/$H77*OFFSET(ORÇAMENTO!$X$15,ROW(AX77)-ROW(AX$15),0),
              ROUND(ROUND(OFFSET($P77,0,AX$13),15-13*ORÇAMENTO!$AF$7)*OFFSET(ORÇAMENTO!$W$15,ROW(AX77)-ROW(AX$15),0),15-13*ORÇAMENTO!$AF$11)),
         0)</f>
        <v>0</v>
      </c>
      <c r="AY77" s="452">
        <f ca="1">IF(AND($D77="Serviço",AY$12&lt;&gt;0,$H77&gt;0,OR(AUTOEVENTO&lt;&gt;"manual",$M77&lt;&gt;$A$15)),
        IF(Import.TipoArredondamento&lt;&gt;"TransfereGOV",
              ROUND(OFFSET($P77,0,AY$13),15-13*ORÇAMENTO!$AF$7)/$H77*OFFSET(ORÇAMENTO!$X$15,ROW(AY77)-ROW(AY$15),0),
              ROUND(ROUND(OFFSET($P77,0,AY$13),15-13*ORÇAMENTO!$AF$7)*OFFSET(ORÇAMENTO!$W$15,ROW(AY77)-ROW(AY$15),0),15-13*ORÇAMENTO!$AF$11)),
         0)</f>
        <v>0</v>
      </c>
      <c r="AZ77" s="452">
        <f ca="1">IF(AND($D77="Serviço",AZ$12&lt;&gt;0,$H77&gt;0,OR(AUTOEVENTO&lt;&gt;"manual",$M77&lt;&gt;$A$15)),
        IF(Import.TipoArredondamento&lt;&gt;"TransfereGOV",
              ROUND(OFFSET($P77,0,AZ$13),15-13*ORÇAMENTO!$AF$7)/$H77*OFFSET(ORÇAMENTO!$X$15,ROW(AZ77)-ROW(AZ$15),0),
              ROUND(ROUND(OFFSET($P77,0,AZ$13),15-13*ORÇAMENTO!$AF$7)*OFFSET(ORÇAMENTO!$W$15,ROW(AZ77)-ROW(AZ$15),0),15-13*ORÇAMENTO!$AF$11)),
         0)</f>
        <v>0</v>
      </c>
      <c r="BA77" s="452">
        <f ca="1">IF(AND($D77="Serviço",BA$12&lt;&gt;0,$H77&gt;0,OR(AUTOEVENTO&lt;&gt;"manual",$M77&lt;&gt;$A$15)),
        IF(Import.TipoArredondamento&lt;&gt;"TransfereGOV",
              ROUND(OFFSET($P77,0,BA$13),15-13*ORÇAMENTO!$AF$7)/$H77*OFFSET(ORÇAMENTO!$X$15,ROW(BA77)-ROW(BA$15),0),
              ROUND(ROUND(OFFSET($P77,0,BA$13),15-13*ORÇAMENTO!$AF$7)*OFFSET(ORÇAMENTO!$W$15,ROW(BA77)-ROW(BA$15),0),15-13*ORÇAMENTO!$AF$11)),
         0)</f>
        <v>0</v>
      </c>
      <c r="BC77" s="171">
        <f ca="1">IF(OR($D77&lt;&gt;"Serviço",AND(AUTOEVENTO="Manual",$M77=$A$15)),0,
         IF(OFFSET(CRONOPLE!$F$15,$M77-$A$15,BC$13)=0,10^12,OFFSET(CRONOPLE!$F$15,$M77-$A$15,BC$13)))</f>
        <v>7</v>
      </c>
      <c r="BD77" s="171">
        <f ca="1">IF(OR($D77&lt;&gt;"Serviço",AND(AUTOEVENTO="Manual",$M77=$A$15)),0,
         IF(OFFSET(CRONOPLE!$F$15,$M77-$A$15,BD$13)=0,10^12,OFFSET(CRONOPLE!$F$15,$M77-$A$15,BD$13)))</f>
        <v>7</v>
      </c>
      <c r="BE77" s="171">
        <f ca="1">IF(OR($D77&lt;&gt;"Serviço",AND(AUTOEVENTO="Manual",$M77=$A$15)),0,
         IF(OFFSET(CRONOPLE!$F$15,$M77-$A$15,BE$13)=0,10^12,OFFSET(CRONOPLE!$F$15,$M77-$A$15,BE$13)))</f>
        <v>8</v>
      </c>
      <c r="BF77" s="171">
        <f ca="1">IF(OR($D77&lt;&gt;"Serviço",AND(AUTOEVENTO="Manual",$M77=$A$15)),0,
         IF(OFFSET(CRONOPLE!$F$15,$M77-$A$15,BF$13)=0,10^12,OFFSET(CRONOPLE!$F$15,$M77-$A$15,BF$13)))</f>
        <v>9</v>
      </c>
      <c r="BG77" s="171">
        <f ca="1">IF(OR($D77&lt;&gt;"Serviço",AND(AUTOEVENTO="Manual",$M77=$A$15)),0,
         IF(OFFSET(CRONOPLE!$F$15,$M77-$A$15,BG$13)=0,10^12,OFFSET(CRONOPLE!$F$15,$M77-$A$15,BG$13)))</f>
        <v>8</v>
      </c>
      <c r="BH77" s="171">
        <f ca="1">IF(OR($D77&lt;&gt;"Serviço",AND(AUTOEVENTO="Manual",$M77=$A$15)),0,
         IF(OFFSET(CRONOPLE!$F$15,$M77-$A$15,BH$13)=0,10^12,OFFSET(CRONOPLE!$F$15,$M77-$A$15,BH$13)))</f>
        <v>6</v>
      </c>
      <c r="BI77" s="171">
        <f ca="1">IF(OR($D77&lt;&gt;"Serviço",AND(AUTOEVENTO="Manual",$M77=$A$15)),0,
         IF(OFFSET(CRONOPLE!$F$15,$M77-$A$15,BI$13)=0,10^12,OFFSET(CRONOPLE!$F$15,$M77-$A$15,BI$13)))</f>
        <v>1000000000000</v>
      </c>
      <c r="BJ77" s="171">
        <f ca="1">IF(OR($D77&lt;&gt;"Serviço",AND(AUTOEVENTO="Manual",$M77=$A$15)),0,
         IF(OFFSET(CRONOPLE!$F$15,$M77-$A$15,BJ$13)=0,10^12,OFFSET(CRONOPLE!$F$15,$M77-$A$15,BJ$13)))</f>
        <v>1000000000000</v>
      </c>
      <c r="BK77" s="171">
        <f ca="1">IF(OR($D77&lt;&gt;"Serviço",AND(AUTOEVENTO="Manual",$M77=$A$15)),0,
         IF(OFFSET(CRONOPLE!$F$15,$M77-$A$15,BK$13)=0,10^12,OFFSET(CRONOPLE!$F$15,$M77-$A$15,BK$13)))</f>
        <v>1000000000000</v>
      </c>
      <c r="BL77" s="171">
        <f ca="1">IF(OR($D77&lt;&gt;"Serviço",AND(AUTOEVENTO="Manual",$M77=$A$15)),0,
         IF(OFFSET(CRONOPLE!$F$15,$M77-$A$15,BL$13)=0,10^12,OFFSET(CRONOPLE!$F$15,$M77-$A$15,BL$13)))</f>
        <v>1000000000000</v>
      </c>
      <c r="BM77" s="171">
        <f ca="1">IF(OR($D77&lt;&gt;"Serviço",AND(AUTOEVENTO="Manual",$M77=$A$15)),0,
         IF(OFFSET(CRONOPLE!$F$15,$M77-$A$15,BM$13)=0,10^12,OFFSET(CRONOPLE!$F$15,$M77-$A$15,BM$13)))</f>
        <v>1000000000000</v>
      </c>
      <c r="BN77" s="171">
        <f ca="1">IF(OR($D77&lt;&gt;"Serviço",AND(AUTOEVENTO="Manual",$M77=$A$15)),0,
         IF(OFFSET(CRONOPLE!$F$15,$M77-$A$15,BN$13)=0,10^12,OFFSET(CRONOPLE!$F$15,$M77-$A$15,BN$13)))</f>
        <v>1000000000000</v>
      </c>
      <c r="BO77" s="171">
        <f ca="1">IF(OR($D77&lt;&gt;"Serviço",AND(AUTOEVENTO="Manual",$M77=$A$15)),0,
         IF(OFFSET(CRONOPLE!$F$15,$M77-$A$15,BO$13)=0,10^12,OFFSET(CRONOPLE!$F$15,$M77-$A$15,BO$13)))</f>
        <v>1000000000000</v>
      </c>
      <c r="BP77" s="171">
        <f ca="1">IF(OR($D77&lt;&gt;"Serviço",AND(AUTOEVENTO="Manual",$M77=$A$15)),0,
         IF(OFFSET(CRONOPLE!$F$15,$M77-$A$15,BP$13)=0,10^12,OFFSET(CRONOPLE!$F$15,$M77-$A$15,BP$13)))</f>
        <v>1000000000000</v>
      </c>
      <c r="BQ77" s="171">
        <f ca="1">IF(OR($D77&lt;&gt;"Serviço",AND(AUTOEVENTO="Manual",$M77=$A$15)),0,
         IF(OFFSET(CRONOPLE!$F$15,$M77-$A$15,BQ$13)=0,10^12,OFFSET(CRONOPLE!$F$15,$M77-$A$15,BQ$13)))</f>
        <v>1000000000000</v>
      </c>
      <c r="BR77" s="171">
        <f ca="1">IF(OR($D77&lt;&gt;"Serviço",AND(AUTOEVENTO="Manual",$M77=$A$15)),0,
         IF(OFFSET(CRONOPLE!$F$15,$M77-$A$15,BR$13)=0,10^12,OFFSET(CRONOPLE!$F$15,$M77-$A$15,BR$13)))</f>
        <v>1000000000000</v>
      </c>
      <c r="BS77" s="171">
        <f ca="1">IF(OR($D77&lt;&gt;"Serviço",AND(AUTOEVENTO="Manual",$M77=$A$15)),0,
         IF(OFFSET(CRONOPLE!$F$15,$M77-$A$15,BS$13)=0,10^12,OFFSET(CRONOPLE!$F$15,$M77-$A$15,BS$13)))</f>
        <v>1000000000000</v>
      </c>
      <c r="BT77" s="171">
        <f ca="1">IF(OR($D77&lt;&gt;"Serviço",AND(AUTOEVENTO="Manual",$M77=$A$15)),0,
         IF(OFFSET(CRONOPLE!$F$15,$M77-$A$15,BT$13)=0,10^12,OFFSET(CRONOPLE!$F$15,$M77-$A$15,BT$13)))</f>
        <v>1000000000000</v>
      </c>
      <c r="BV77" s="172">
        <f t="array" aca="1" ref="BV77" ca="1">IF(OR($D77&lt;&gt;"Serviço",AND(AUTOEVENTO="Manual",$M77=$A$15),$M77&gt;(ROW(PLE.lastrow)-ROW(PLE.firstrow))),0,
           IF(OFFSET(PLE!$G$15,$M77-$A$15,BV$13)="",10^12,OFFSET(PLE!$G$15,$M77-$A$15,BV$13)))</f>
        <v>1000000000000</v>
      </c>
      <c r="BW77" s="172">
        <f t="array" aca="1" ref="BW77" ca="1">IF(OR($D77&lt;&gt;"Serviço",AND(AUTOEVENTO="Manual",$M77=$A$15),$M77&gt;(ROW(PLE.lastrow)-ROW(PLE.firstrow))),0,
           IF(OFFSET(PLE!$G$15,$M77-$A$15,BW$13)="",10^12,OFFSET(PLE!$G$15,$M77-$A$15,BW$13)))</f>
        <v>1000000000000</v>
      </c>
      <c r="BX77" s="172">
        <f t="array" aca="1" ref="BX77" ca="1">IF(OR($D77&lt;&gt;"Serviço",AND(AUTOEVENTO="Manual",$M77=$A$15),$M77&gt;(ROW(PLE.lastrow)-ROW(PLE.firstrow))),0,
           IF(OFFSET(PLE!$G$15,$M77-$A$15,BX$13)="",10^12,OFFSET(PLE!$G$15,$M77-$A$15,BX$13)))</f>
        <v>1000000000000</v>
      </c>
      <c r="BY77" s="172">
        <f t="array" aca="1" ref="BY77" ca="1">IF(OR($D77&lt;&gt;"Serviço",AND(AUTOEVENTO="Manual",$M77=$A$15),$M77&gt;(ROW(PLE.lastrow)-ROW(PLE.firstrow))),0,
           IF(OFFSET(PLE!$G$15,$M77-$A$15,BY$13)="",10^12,OFFSET(PLE!$G$15,$M77-$A$15,BY$13)))</f>
        <v>1000000000000</v>
      </c>
      <c r="BZ77" s="172">
        <f t="array" aca="1" ref="BZ77" ca="1">IF(OR($D77&lt;&gt;"Serviço",AND(AUTOEVENTO="Manual",$M77=$A$15),$M77&gt;(ROW(PLE.lastrow)-ROW(PLE.firstrow))),0,
           IF(OFFSET(PLE!$G$15,$M77-$A$15,BZ$13)="",10^12,OFFSET(PLE!$G$15,$M77-$A$15,BZ$13)))</f>
        <v>1000000000000</v>
      </c>
      <c r="CA77" s="172">
        <f t="array" aca="1" ref="CA77" ca="1">IF(OR($D77&lt;&gt;"Serviço",AND(AUTOEVENTO="Manual",$M77=$A$15),$M77&gt;(ROW(PLE.lastrow)-ROW(PLE.firstrow))),0,
           IF(OFFSET(PLE!$G$15,$M77-$A$15,CA$13)="",10^12,OFFSET(PLE!$G$15,$M77-$A$15,CA$13)))</f>
        <v>1000000000000</v>
      </c>
      <c r="CB77" s="172">
        <f t="array" aca="1" ref="CB77" ca="1">IF(OR($D77&lt;&gt;"Serviço",AND(AUTOEVENTO="Manual",$M77=$A$15),$M77&gt;(ROW(PLE.lastrow)-ROW(PLE.firstrow))),0,
           IF(OFFSET(PLE!$G$15,$M77-$A$15,CB$13)="",10^12,OFFSET(PLE!$G$15,$M77-$A$15,CB$13)))</f>
        <v>1000000000000</v>
      </c>
      <c r="CC77" s="172">
        <f t="array" aca="1" ref="CC77" ca="1">IF(OR($D77&lt;&gt;"Serviço",AND(AUTOEVENTO="Manual",$M77=$A$15),$M77&gt;(ROW(PLE.lastrow)-ROW(PLE.firstrow))),0,
           IF(OFFSET(PLE!$G$15,$M77-$A$15,CC$13)="",10^12,OFFSET(PLE!$G$15,$M77-$A$15,CC$13)))</f>
        <v>1000000000000</v>
      </c>
      <c r="CD77" s="172">
        <f t="array" aca="1" ref="CD77" ca="1">IF(OR($D77&lt;&gt;"Serviço",AND(AUTOEVENTO="Manual",$M77=$A$15),$M77&gt;(ROW(PLE.lastrow)-ROW(PLE.firstrow))),0,
           IF(OFFSET(PLE!$G$15,$M77-$A$15,CD$13)="",10^12,OFFSET(PLE!$G$15,$M77-$A$15,CD$13)))</f>
        <v>1000000000000</v>
      </c>
      <c r="CE77" s="172">
        <f t="array" aca="1" ref="CE77" ca="1">IF(OR($D77&lt;&gt;"Serviço",AND(AUTOEVENTO="Manual",$M77=$A$15),$M77&gt;(ROW(PLE.lastrow)-ROW(PLE.firstrow))),0,
           IF(OFFSET(PLE!$G$15,$M77-$A$15,CE$13)="",10^12,OFFSET(PLE!$G$15,$M77-$A$15,CE$13)))</f>
        <v>1000000000000</v>
      </c>
      <c r="CF77" s="172">
        <f t="array" aca="1" ref="CF77" ca="1">IF(OR($D77&lt;&gt;"Serviço",AND(AUTOEVENTO="Manual",$M77=$A$15),$M77&gt;(ROW(PLE.lastrow)-ROW(PLE.firstrow))),0,
           IF(OFFSET(PLE!$G$15,$M77-$A$15,CF$13)="",10^12,OFFSET(PLE!$G$15,$M77-$A$15,CF$13)))</f>
        <v>1000000000000</v>
      </c>
      <c r="CG77" s="172">
        <f t="array" aca="1" ref="CG77" ca="1">IF(OR($D77&lt;&gt;"Serviço",AND(AUTOEVENTO="Manual",$M77=$A$15),$M77&gt;(ROW(PLE.lastrow)-ROW(PLE.firstrow))),0,
           IF(OFFSET(PLE!$G$15,$M77-$A$15,CG$13)="",10^12,OFFSET(PLE!$G$15,$M77-$A$15,CG$13)))</f>
        <v>1000000000000</v>
      </c>
      <c r="CH77" s="172">
        <f t="array" aca="1" ref="CH77" ca="1">IF(OR($D77&lt;&gt;"Serviço",AND(AUTOEVENTO="Manual",$M77=$A$15),$M77&gt;(ROW(PLE.lastrow)-ROW(PLE.firstrow))),0,
           IF(OFFSET(PLE!$G$15,$M77-$A$15,CH$13)="",10^12,OFFSET(PLE!$G$15,$M77-$A$15,CH$13)))</f>
        <v>1000000000000</v>
      </c>
      <c r="CI77" s="172">
        <f t="array" aca="1" ref="CI77" ca="1">IF(OR($D77&lt;&gt;"Serviço",AND(AUTOEVENTO="Manual",$M77=$A$15),$M77&gt;(ROW(PLE.lastrow)-ROW(PLE.firstrow))),0,
           IF(OFFSET(PLE!$G$15,$M77-$A$15,CI$13)="",10^12,OFFSET(PLE!$G$15,$M77-$A$15,CI$13)))</f>
        <v>1000000000000</v>
      </c>
      <c r="CJ77" s="172">
        <f t="array" aca="1" ref="CJ77" ca="1">IF(OR($D77&lt;&gt;"Serviço",AND(AUTOEVENTO="Manual",$M77=$A$15),$M77&gt;(ROW(PLE.lastrow)-ROW(PLE.firstrow))),0,
           IF(OFFSET(PLE!$G$15,$M77-$A$15,CJ$13)="",10^12,OFFSET(PLE!$G$15,$M77-$A$15,CJ$13)))</f>
        <v>1000000000000</v>
      </c>
      <c r="CK77" s="172">
        <f t="array" aca="1" ref="CK77" ca="1">IF(OR($D77&lt;&gt;"Serviço",AND(AUTOEVENTO="Manual",$M77=$A$15),$M77&gt;(ROW(PLE.lastrow)-ROW(PLE.firstrow))),0,
           IF(OFFSET(PLE!$G$15,$M77-$A$15,CK$13)="",10^12,OFFSET(PLE!$G$15,$M77-$A$15,CK$13)))</f>
        <v>1000000000000</v>
      </c>
      <c r="CL77" s="172">
        <f t="array" aca="1" ref="CL77" ca="1">IF(OR($D77&lt;&gt;"Serviço",AND(AUTOEVENTO="Manual",$M77=$A$15),$M77&gt;(ROW(PLE.lastrow)-ROW(PLE.firstrow))),0,
           IF(OFFSET(PLE!$G$15,$M77-$A$15,CL$13)="",10^12,OFFSET(PLE!$G$15,$M77-$A$15,CL$13)))</f>
        <v>1000000000000</v>
      </c>
      <c r="CM77" s="172">
        <f t="array" aca="1" ref="CM77" ca="1">IF(OR($D77&lt;&gt;"Serviço",AND(AUTOEVENTO="Manual",$M77=$A$15),$M77&gt;(ROW(PLE.lastrow)-ROW(PLE.firstrow))),0,
           IF(OFFSET(PLE!$G$15,$M77-$A$15,CM$13)="",10^12,OFFSET(PLE!$G$15,$M77-$A$15,CM$13)))</f>
        <v>1000000000000</v>
      </c>
    </row>
    <row r="78" spans="1:91" s="696" customFormat="1" ht="12.75" x14ac:dyDescent="0.2">
      <c r="A78" s="694">
        <f t="shared" ca="1" si="45"/>
        <v>0</v>
      </c>
      <c r="B78" s="694">
        <f ca="1">OFFSET(ORÇAMENTO!C$15,$L78,0)</f>
        <v>2</v>
      </c>
      <c r="C78" s="694" t="str">
        <f ca="1">OFFSET(ORÇAMENTO!L$15,$L78,0)</f>
        <v>F</v>
      </c>
      <c r="D78" s="116" t="str">
        <f ca="1">OFFSET(ORÇAMENTO!N$15,$L78,0)</f>
        <v>Nível 2</v>
      </c>
      <c r="E78" s="117" t="str">
        <f ca="1">OFFSET(ORÇAMENTO!O$15,$L78,0)</f>
        <v>1.12.</v>
      </c>
      <c r="F78" s="163" t="str">
        <f ca="1">OFFSET(ORÇAMENTO!R$15,$L78,0)</f>
        <v>COBERTURAS</v>
      </c>
      <c r="G78" s="164" t="str">
        <f ca="1">IF($D78&lt;&gt;"Serviço","",OFFSET(ORÇAMENTO!S$15,$L78,0))</f>
        <v/>
      </c>
      <c r="H78" s="122">
        <f t="array" aca="1" ref="H78" ca="1">IF($D78&lt;&gt;"Serviço",0,IF(ACOMPANHAMENTO="BM",ROUND(OFFSET(ORÇAMENTO!AJ$15,$L78,0),15-13*ORÇAMENTO!$AF$7),IF(IFERROR(CÁLCULO.FrentesPreenchidas,0)=0,0,SUM(ROUND(OFFSET($P78,0,1,1,CÁLCULO.FrentesPreenchidas),15-13*ORÇAMENTO!$AF$7)))))</f>
        <v>0</v>
      </c>
      <c r="I78" s="467"/>
      <c r="J78" s="653" t="str">
        <f t="array" aca="1" ref="J78" ca="1">IF(OR(B78&lt;&gt;"S",CÁLCULO.FrentesPreenchidas=0),"",IF(AND(ACOMPANHAMENTO="PLE",AUTOEVENTO="Manual",OR(H78&gt;0,ORÇAMENTO!AC78="QUANT."),OR(K78="",M78=0,N78="")),"►E",IF(AND(ACOMPANHAMENTO="PLE",ORÇAMENTO!AC78="QUANT."),"►Q",IF(AND(ACOMPANHAMENTO="PLE",H78&lt;&gt;SUMPRODUCT(($Q$1:$AI$1=1)*ROUND(Q78:AI78,15))),"►S",IF(AND(COUNTIF($P$11:$AI$11,"▼")=0,H78&gt;0,I78=""),"◄M","")))))</f>
        <v/>
      </c>
      <c r="K78" s="654"/>
      <c r="L78" s="165">
        <f t="shared" ca="1" si="46"/>
        <v>63</v>
      </c>
      <c r="M78" s="166" t="str">
        <f ca="1">IF($D78&lt;&gt;"Serviço","",
          IF(AUTOEVENTO="manual",$A78,
                IF(ISERROR(MATCH($A78,$A$15:OFFSET($A78,-1,0),0)),MAX($M$15:OFFSET(M78,-1,0))+1,
                      INDEX($M$15:OFFSET(M78,-1,0),MATCH($A78,$A$15:OFFSET($A78,-1,0),0)))))</f>
        <v/>
      </c>
      <c r="N78" s="167" t="str">
        <f ca="1">IF($D78&lt;&gt;"Serviço","",
         IF(AUTOEVENTO="Manual",
                IF($A78=0,"&lt;-- defina o número do agrupador",
                       OFFSET(EVENTOS!$D$15,$A78-$A$15,0)),
                OFFSET($F$15,$A78,0)))</f>
        <v/>
      </c>
      <c r="O78" s="168"/>
      <c r="Q78" s="169"/>
      <c r="R78" s="169"/>
      <c r="S78" s="169"/>
      <c r="T78" s="169"/>
      <c r="U78" s="169"/>
      <c r="V78" s="169"/>
      <c r="W78" s="169"/>
      <c r="X78" s="169"/>
      <c r="Y78" s="169"/>
      <c r="Z78" s="170"/>
      <c r="AA78" s="169"/>
      <c r="AB78" s="169"/>
      <c r="AC78" s="169"/>
      <c r="AD78" s="169"/>
      <c r="AE78" s="169"/>
      <c r="AF78" s="169"/>
      <c r="AG78" s="169"/>
      <c r="AH78" s="170"/>
      <c r="AJ78" s="452">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2">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L78" s="452">
        <f ca="1">IF(AND($D78="Serviço",AL$12&lt;&gt;0,$H78&gt;0,OR(AUTOEVENTO&lt;&gt;"manual",$M78&lt;&gt;$A$15)),
        IF(Import.TipoArredondamento&lt;&gt;"TransfereGOV",
              ROUND(OFFSET($P78,0,AL$13),15-13*ORÇAMENTO!$AF$7)/$H78*OFFSET(ORÇAMENTO!$X$15,ROW(AL78)-ROW(AL$15),0),
              ROUND(ROUND(OFFSET($P78,0,AL$13),15-13*ORÇAMENTO!$AF$7)*OFFSET(ORÇAMENTO!$W$15,ROW(AL78)-ROW(AL$15),0),15-13*ORÇAMENTO!$AF$11)),
         0)</f>
        <v>0</v>
      </c>
      <c r="AM78" s="452">
        <f ca="1">IF(AND($D78="Serviço",AM$12&lt;&gt;0,$H78&gt;0,OR(AUTOEVENTO&lt;&gt;"manual",$M78&lt;&gt;$A$15)),
        IF(Import.TipoArredondamento&lt;&gt;"TransfereGOV",
              ROUND(OFFSET($P78,0,AM$13),15-13*ORÇAMENTO!$AF$7)/$H78*OFFSET(ORÇAMENTO!$X$15,ROW(AM78)-ROW(AM$15),0),
              ROUND(ROUND(OFFSET($P78,0,AM$13),15-13*ORÇAMENTO!$AF$7)*OFFSET(ORÇAMENTO!$W$15,ROW(AM78)-ROW(AM$15),0),15-13*ORÇAMENTO!$AF$11)),
         0)</f>
        <v>0</v>
      </c>
      <c r="AN78" s="452">
        <f ca="1">IF(AND($D78="Serviço",AN$12&lt;&gt;0,$H78&gt;0,OR(AUTOEVENTO&lt;&gt;"manual",$M78&lt;&gt;$A$15)),
        IF(Import.TipoArredondamento&lt;&gt;"TransfereGOV",
              ROUND(OFFSET($P78,0,AN$13),15-13*ORÇAMENTO!$AF$7)/$H78*OFFSET(ORÇAMENTO!$X$15,ROW(AN78)-ROW(AN$15),0),
              ROUND(ROUND(OFFSET($P78,0,AN$13),15-13*ORÇAMENTO!$AF$7)*OFFSET(ORÇAMENTO!$W$15,ROW(AN78)-ROW(AN$15),0),15-13*ORÇAMENTO!$AF$11)),
         0)</f>
        <v>0</v>
      </c>
      <c r="AO78" s="452">
        <f ca="1">IF(AND($D78="Serviço",AO$12&lt;&gt;0,$H78&gt;0,OR(AUTOEVENTO&lt;&gt;"manual",$M78&lt;&gt;$A$15)),
        IF(Import.TipoArredondamento&lt;&gt;"TransfereGOV",
              ROUND(OFFSET($P78,0,AO$13),15-13*ORÇAMENTO!$AF$7)/$H78*OFFSET(ORÇAMENTO!$X$15,ROW(AO78)-ROW(AO$15),0),
              ROUND(ROUND(OFFSET($P78,0,AO$13),15-13*ORÇAMENTO!$AF$7)*OFFSET(ORÇAMENTO!$W$15,ROW(AO78)-ROW(AO$15),0),15-13*ORÇAMENTO!$AF$11)),
         0)</f>
        <v>0</v>
      </c>
      <c r="AP78" s="452">
        <f ca="1">IF(AND($D78="Serviço",AP$12&lt;&gt;0,$H78&gt;0,OR(AUTOEVENTO&lt;&gt;"manual",$M78&lt;&gt;$A$15)),
        IF(Import.TipoArredondamento&lt;&gt;"TransfereGOV",
              ROUND(OFFSET($P78,0,AP$13),15-13*ORÇAMENTO!$AF$7)/$H78*OFFSET(ORÇAMENTO!$X$15,ROW(AP78)-ROW(AP$15),0),
              ROUND(ROUND(OFFSET($P78,0,AP$13),15-13*ORÇAMENTO!$AF$7)*OFFSET(ORÇAMENTO!$W$15,ROW(AP78)-ROW(AP$15),0),15-13*ORÇAMENTO!$AF$11)),
         0)</f>
        <v>0</v>
      </c>
      <c r="AQ78" s="452">
        <f ca="1">IF(AND($D78="Serviço",AQ$12&lt;&gt;0,$H78&gt;0,OR(AUTOEVENTO&lt;&gt;"manual",$M78&lt;&gt;$A$15)),
        IF(Import.TipoArredondamento&lt;&gt;"TransfereGOV",
              ROUND(OFFSET($P78,0,AQ$13),15-13*ORÇAMENTO!$AF$7)/$H78*OFFSET(ORÇAMENTO!$X$15,ROW(AQ78)-ROW(AQ$15),0),
              ROUND(ROUND(OFFSET($P78,0,AQ$13),15-13*ORÇAMENTO!$AF$7)*OFFSET(ORÇAMENTO!$W$15,ROW(AQ78)-ROW(AQ$15),0),15-13*ORÇAMENTO!$AF$11)),
         0)</f>
        <v>0</v>
      </c>
      <c r="AR78" s="452">
        <f ca="1">IF(AND($D78="Serviço",AR$12&lt;&gt;0,$H78&gt;0,OR(AUTOEVENTO&lt;&gt;"manual",$M78&lt;&gt;$A$15)),
        IF(Import.TipoArredondamento&lt;&gt;"TransfereGOV",
              ROUND(OFFSET($P78,0,AR$13),15-13*ORÇAMENTO!$AF$7)/$H78*OFFSET(ORÇAMENTO!$X$15,ROW(AR78)-ROW(AR$15),0),
              ROUND(ROUND(OFFSET($P78,0,AR$13),15-13*ORÇAMENTO!$AF$7)*OFFSET(ORÇAMENTO!$W$15,ROW(AR78)-ROW(AR$15),0),15-13*ORÇAMENTO!$AF$11)),
         0)</f>
        <v>0</v>
      </c>
      <c r="AS78" s="452">
        <f ca="1">IF(AND($D78="Serviço",AS$12&lt;&gt;0,$H78&gt;0,OR(AUTOEVENTO&lt;&gt;"manual",$M78&lt;&gt;$A$15)),
        IF(Import.TipoArredondamento&lt;&gt;"TransfereGOV",
              ROUND(OFFSET($P78,0,AS$13),15-13*ORÇAMENTO!$AF$7)/$H78*OFFSET(ORÇAMENTO!$X$15,ROW(AS78)-ROW(AS$15),0),
              ROUND(ROUND(OFFSET($P78,0,AS$13),15-13*ORÇAMENTO!$AF$7)*OFFSET(ORÇAMENTO!$W$15,ROW(AS78)-ROW(AS$15),0),15-13*ORÇAMENTO!$AF$11)),
         0)</f>
        <v>0</v>
      </c>
      <c r="AT78" s="452">
        <f ca="1">IF(AND($D78="Serviço",AT$12&lt;&gt;0,$H78&gt;0,OR(AUTOEVENTO&lt;&gt;"manual",$M78&lt;&gt;$A$15)),
        IF(Import.TipoArredondamento&lt;&gt;"TransfereGOV",
              ROUND(OFFSET($P78,0,AT$13),15-13*ORÇAMENTO!$AF$7)/$H78*OFFSET(ORÇAMENTO!$X$15,ROW(AT78)-ROW(AT$15),0),
              ROUND(ROUND(OFFSET($P78,0,AT$13),15-13*ORÇAMENTO!$AF$7)*OFFSET(ORÇAMENTO!$W$15,ROW(AT78)-ROW(AT$15),0),15-13*ORÇAMENTO!$AF$11)),
         0)</f>
        <v>0</v>
      </c>
      <c r="AU78" s="452">
        <f ca="1">IF(AND($D78="Serviço",AU$12&lt;&gt;0,$H78&gt;0,OR(AUTOEVENTO&lt;&gt;"manual",$M78&lt;&gt;$A$15)),
        IF(Import.TipoArredondamento&lt;&gt;"TransfereGOV",
              ROUND(OFFSET($P78,0,AU$13),15-13*ORÇAMENTO!$AF$7)/$H78*OFFSET(ORÇAMENTO!$X$15,ROW(AU78)-ROW(AU$15),0),
              ROUND(ROUND(OFFSET($P78,0,AU$13),15-13*ORÇAMENTO!$AF$7)*OFFSET(ORÇAMENTO!$W$15,ROW(AU78)-ROW(AU$15),0),15-13*ORÇAMENTO!$AF$11)),
         0)</f>
        <v>0</v>
      </c>
      <c r="AV78" s="452">
        <f ca="1">IF(AND($D78="Serviço",AV$12&lt;&gt;0,$H78&gt;0,OR(AUTOEVENTO&lt;&gt;"manual",$M78&lt;&gt;$A$15)),
        IF(Import.TipoArredondamento&lt;&gt;"TransfereGOV",
              ROUND(OFFSET($P78,0,AV$13),15-13*ORÇAMENTO!$AF$7)/$H78*OFFSET(ORÇAMENTO!$X$15,ROW(AV78)-ROW(AV$15),0),
              ROUND(ROUND(OFFSET($P78,0,AV$13),15-13*ORÇAMENTO!$AF$7)*OFFSET(ORÇAMENTO!$W$15,ROW(AV78)-ROW(AV$15),0),15-13*ORÇAMENTO!$AF$11)),
         0)</f>
        <v>0</v>
      </c>
      <c r="AW78" s="452">
        <f ca="1">IF(AND($D78="Serviço",AW$12&lt;&gt;0,$H78&gt;0,OR(AUTOEVENTO&lt;&gt;"manual",$M78&lt;&gt;$A$15)),
        IF(Import.TipoArredondamento&lt;&gt;"TransfereGOV",
              ROUND(OFFSET($P78,0,AW$13),15-13*ORÇAMENTO!$AF$7)/$H78*OFFSET(ORÇAMENTO!$X$15,ROW(AW78)-ROW(AW$15),0),
              ROUND(ROUND(OFFSET($P78,0,AW$13),15-13*ORÇAMENTO!$AF$7)*OFFSET(ORÇAMENTO!$W$15,ROW(AW78)-ROW(AW$15),0),15-13*ORÇAMENTO!$AF$11)),
         0)</f>
        <v>0</v>
      </c>
      <c r="AX78" s="452">
        <f ca="1">IF(AND($D78="Serviço",AX$12&lt;&gt;0,$H78&gt;0,OR(AUTOEVENTO&lt;&gt;"manual",$M78&lt;&gt;$A$15)),
        IF(Import.TipoArredondamento&lt;&gt;"TransfereGOV",
              ROUND(OFFSET($P78,0,AX$13),15-13*ORÇAMENTO!$AF$7)/$H78*OFFSET(ORÇAMENTO!$X$15,ROW(AX78)-ROW(AX$15),0),
              ROUND(ROUND(OFFSET($P78,0,AX$13),15-13*ORÇAMENTO!$AF$7)*OFFSET(ORÇAMENTO!$W$15,ROW(AX78)-ROW(AX$15),0),15-13*ORÇAMENTO!$AF$11)),
         0)</f>
        <v>0</v>
      </c>
      <c r="AY78" s="452">
        <f ca="1">IF(AND($D78="Serviço",AY$12&lt;&gt;0,$H78&gt;0,OR(AUTOEVENTO&lt;&gt;"manual",$M78&lt;&gt;$A$15)),
        IF(Import.TipoArredondamento&lt;&gt;"TransfereGOV",
              ROUND(OFFSET($P78,0,AY$13),15-13*ORÇAMENTO!$AF$7)/$H78*OFFSET(ORÇAMENTO!$X$15,ROW(AY78)-ROW(AY$15),0),
              ROUND(ROUND(OFFSET($P78,0,AY$13),15-13*ORÇAMENTO!$AF$7)*OFFSET(ORÇAMENTO!$W$15,ROW(AY78)-ROW(AY$15),0),15-13*ORÇAMENTO!$AF$11)),
         0)</f>
        <v>0</v>
      </c>
      <c r="AZ78" s="452">
        <f ca="1">IF(AND($D78="Serviço",AZ$12&lt;&gt;0,$H78&gt;0,OR(AUTOEVENTO&lt;&gt;"manual",$M78&lt;&gt;$A$15)),
        IF(Import.TipoArredondamento&lt;&gt;"TransfereGOV",
              ROUND(OFFSET($P78,0,AZ$13),15-13*ORÇAMENTO!$AF$7)/$H78*OFFSET(ORÇAMENTO!$X$15,ROW(AZ78)-ROW(AZ$15),0),
              ROUND(ROUND(OFFSET($P78,0,AZ$13),15-13*ORÇAMENTO!$AF$7)*OFFSET(ORÇAMENTO!$W$15,ROW(AZ78)-ROW(AZ$15),0),15-13*ORÇAMENTO!$AF$11)),
         0)</f>
        <v>0</v>
      </c>
      <c r="BA78" s="452">
        <f ca="1">IF(AND($D78="Serviço",BA$12&lt;&gt;0,$H78&gt;0,OR(AUTOEVENTO&lt;&gt;"manual",$M78&lt;&gt;$A$15)),
        IF(Import.TipoArredondamento&lt;&gt;"TransfereGOV",
              ROUND(OFFSET($P78,0,BA$13),15-13*ORÇAMENTO!$AF$7)/$H78*OFFSET(ORÇAMENTO!$X$15,ROW(BA78)-ROW(BA$15),0),
              ROUND(ROUND(OFFSET($P78,0,BA$13),15-13*ORÇAMENTO!$AF$7)*OFFSET(ORÇAMENTO!$W$15,ROW(BA78)-ROW(BA$15),0),15-13*ORÇAMENTO!$AF$11)),
         0)</f>
        <v>0</v>
      </c>
      <c r="BC78" s="171">
        <f ca="1">IF(OR($D78&lt;&gt;"Serviço",AND(AUTOEVENTO="Manual",$M78=$A$15)),0,
         IF(OFFSET(CRONOPLE!$F$15,$M78-$A$15,BC$13)=0,10^12,OFFSET(CRONOPLE!$F$15,$M78-$A$15,BC$13)))</f>
        <v>0</v>
      </c>
      <c r="BD78" s="171">
        <f ca="1">IF(OR($D78&lt;&gt;"Serviço",AND(AUTOEVENTO="Manual",$M78=$A$15)),0,
         IF(OFFSET(CRONOPLE!$F$15,$M78-$A$15,BD$13)=0,10^12,OFFSET(CRONOPLE!$F$15,$M78-$A$15,BD$13)))</f>
        <v>0</v>
      </c>
      <c r="BE78" s="171">
        <f ca="1">IF(OR($D78&lt;&gt;"Serviço",AND(AUTOEVENTO="Manual",$M78=$A$15)),0,
         IF(OFFSET(CRONOPLE!$F$15,$M78-$A$15,BE$13)=0,10^12,OFFSET(CRONOPLE!$F$15,$M78-$A$15,BE$13)))</f>
        <v>0</v>
      </c>
      <c r="BF78" s="171">
        <f ca="1">IF(OR($D78&lt;&gt;"Serviço",AND(AUTOEVENTO="Manual",$M78=$A$15)),0,
         IF(OFFSET(CRONOPLE!$F$15,$M78-$A$15,BF$13)=0,10^12,OFFSET(CRONOPLE!$F$15,$M78-$A$15,BF$13)))</f>
        <v>0</v>
      </c>
      <c r="BG78" s="171">
        <f ca="1">IF(OR($D78&lt;&gt;"Serviço",AND(AUTOEVENTO="Manual",$M78=$A$15)),0,
         IF(OFFSET(CRONOPLE!$F$15,$M78-$A$15,BG$13)=0,10^12,OFFSET(CRONOPLE!$F$15,$M78-$A$15,BG$13)))</f>
        <v>0</v>
      </c>
      <c r="BH78" s="171">
        <f ca="1">IF(OR($D78&lt;&gt;"Serviço",AND(AUTOEVENTO="Manual",$M78=$A$15)),0,
         IF(OFFSET(CRONOPLE!$F$15,$M78-$A$15,BH$13)=0,10^12,OFFSET(CRONOPLE!$F$15,$M78-$A$15,BH$13)))</f>
        <v>0</v>
      </c>
      <c r="BI78" s="171">
        <f ca="1">IF(OR($D78&lt;&gt;"Serviço",AND(AUTOEVENTO="Manual",$M78=$A$15)),0,
         IF(OFFSET(CRONOPLE!$F$15,$M78-$A$15,BI$13)=0,10^12,OFFSET(CRONOPLE!$F$15,$M78-$A$15,BI$13)))</f>
        <v>0</v>
      </c>
      <c r="BJ78" s="171">
        <f ca="1">IF(OR($D78&lt;&gt;"Serviço",AND(AUTOEVENTO="Manual",$M78=$A$15)),0,
         IF(OFFSET(CRONOPLE!$F$15,$M78-$A$15,BJ$13)=0,10^12,OFFSET(CRONOPLE!$F$15,$M78-$A$15,BJ$13)))</f>
        <v>0</v>
      </c>
      <c r="BK78" s="171">
        <f ca="1">IF(OR($D78&lt;&gt;"Serviço",AND(AUTOEVENTO="Manual",$M78=$A$15)),0,
         IF(OFFSET(CRONOPLE!$F$15,$M78-$A$15,BK$13)=0,10^12,OFFSET(CRONOPLE!$F$15,$M78-$A$15,BK$13)))</f>
        <v>0</v>
      </c>
      <c r="BL78" s="171">
        <f ca="1">IF(OR($D78&lt;&gt;"Serviço",AND(AUTOEVENTO="Manual",$M78=$A$15)),0,
         IF(OFFSET(CRONOPLE!$F$15,$M78-$A$15,BL$13)=0,10^12,OFFSET(CRONOPLE!$F$15,$M78-$A$15,BL$13)))</f>
        <v>0</v>
      </c>
      <c r="BM78" s="171">
        <f ca="1">IF(OR($D78&lt;&gt;"Serviço",AND(AUTOEVENTO="Manual",$M78=$A$15)),0,
         IF(OFFSET(CRONOPLE!$F$15,$M78-$A$15,BM$13)=0,10^12,OFFSET(CRONOPLE!$F$15,$M78-$A$15,BM$13)))</f>
        <v>0</v>
      </c>
      <c r="BN78" s="171">
        <f ca="1">IF(OR($D78&lt;&gt;"Serviço",AND(AUTOEVENTO="Manual",$M78=$A$15)),0,
         IF(OFFSET(CRONOPLE!$F$15,$M78-$A$15,BN$13)=0,10^12,OFFSET(CRONOPLE!$F$15,$M78-$A$15,BN$13)))</f>
        <v>0</v>
      </c>
      <c r="BO78" s="171">
        <f ca="1">IF(OR($D78&lt;&gt;"Serviço",AND(AUTOEVENTO="Manual",$M78=$A$15)),0,
         IF(OFFSET(CRONOPLE!$F$15,$M78-$A$15,BO$13)=0,10^12,OFFSET(CRONOPLE!$F$15,$M78-$A$15,BO$13)))</f>
        <v>0</v>
      </c>
      <c r="BP78" s="171">
        <f ca="1">IF(OR($D78&lt;&gt;"Serviço",AND(AUTOEVENTO="Manual",$M78=$A$15)),0,
         IF(OFFSET(CRONOPLE!$F$15,$M78-$A$15,BP$13)=0,10^12,OFFSET(CRONOPLE!$F$15,$M78-$A$15,BP$13)))</f>
        <v>0</v>
      </c>
      <c r="BQ78" s="171">
        <f ca="1">IF(OR($D78&lt;&gt;"Serviço",AND(AUTOEVENTO="Manual",$M78=$A$15)),0,
         IF(OFFSET(CRONOPLE!$F$15,$M78-$A$15,BQ$13)=0,10^12,OFFSET(CRONOPLE!$F$15,$M78-$A$15,BQ$13)))</f>
        <v>0</v>
      </c>
      <c r="BR78" s="171">
        <f ca="1">IF(OR($D78&lt;&gt;"Serviço",AND(AUTOEVENTO="Manual",$M78=$A$15)),0,
         IF(OFFSET(CRONOPLE!$F$15,$M78-$A$15,BR$13)=0,10^12,OFFSET(CRONOPLE!$F$15,$M78-$A$15,BR$13)))</f>
        <v>0</v>
      </c>
      <c r="BS78" s="171">
        <f ca="1">IF(OR($D78&lt;&gt;"Serviço",AND(AUTOEVENTO="Manual",$M78=$A$15)),0,
         IF(OFFSET(CRONOPLE!$F$15,$M78-$A$15,BS$13)=0,10^12,OFFSET(CRONOPLE!$F$15,$M78-$A$15,BS$13)))</f>
        <v>0</v>
      </c>
      <c r="BT78" s="171">
        <f ca="1">IF(OR($D78&lt;&gt;"Serviço",AND(AUTOEVENTO="Manual",$M78=$A$15)),0,
         IF(OFFSET(CRONOPLE!$F$15,$M78-$A$15,BT$13)=0,10^12,OFFSET(CRONOPLE!$F$15,$M78-$A$15,BT$13)))</f>
        <v>0</v>
      </c>
      <c r="BV78" s="172">
        <f t="array" aca="1" ref="BV78" ca="1">IF(OR($D78&lt;&gt;"Serviço",AND(AUTOEVENTO="Manual",$M78=$A$15),$M78&gt;(ROW(PLE.lastrow)-ROW(PLE.firstrow))),0,
           IF(OFFSET(PLE!$G$15,$M78-$A$15,BV$13)="",10^12,OFFSET(PLE!$G$15,$M78-$A$15,BV$13)))</f>
        <v>0</v>
      </c>
      <c r="BW78" s="172">
        <f t="array" aca="1" ref="BW78" ca="1">IF(OR($D78&lt;&gt;"Serviço",AND(AUTOEVENTO="Manual",$M78=$A$15),$M78&gt;(ROW(PLE.lastrow)-ROW(PLE.firstrow))),0,
           IF(OFFSET(PLE!$G$15,$M78-$A$15,BW$13)="",10^12,OFFSET(PLE!$G$15,$M78-$A$15,BW$13)))</f>
        <v>0</v>
      </c>
      <c r="BX78" s="172">
        <f t="array" aca="1" ref="BX78" ca="1">IF(OR($D78&lt;&gt;"Serviço",AND(AUTOEVENTO="Manual",$M78=$A$15),$M78&gt;(ROW(PLE.lastrow)-ROW(PLE.firstrow))),0,
           IF(OFFSET(PLE!$G$15,$M78-$A$15,BX$13)="",10^12,OFFSET(PLE!$G$15,$M78-$A$15,BX$13)))</f>
        <v>0</v>
      </c>
      <c r="BY78" s="172">
        <f t="array" aca="1" ref="BY78" ca="1">IF(OR($D78&lt;&gt;"Serviço",AND(AUTOEVENTO="Manual",$M78=$A$15),$M78&gt;(ROW(PLE.lastrow)-ROW(PLE.firstrow))),0,
           IF(OFFSET(PLE!$G$15,$M78-$A$15,BY$13)="",10^12,OFFSET(PLE!$G$15,$M78-$A$15,BY$13)))</f>
        <v>0</v>
      </c>
      <c r="BZ78" s="172">
        <f t="array" aca="1" ref="BZ78" ca="1">IF(OR($D78&lt;&gt;"Serviço",AND(AUTOEVENTO="Manual",$M78=$A$15),$M78&gt;(ROW(PLE.lastrow)-ROW(PLE.firstrow))),0,
           IF(OFFSET(PLE!$G$15,$M78-$A$15,BZ$13)="",10^12,OFFSET(PLE!$G$15,$M78-$A$15,BZ$13)))</f>
        <v>0</v>
      </c>
      <c r="CA78" s="172">
        <f t="array" aca="1" ref="CA78" ca="1">IF(OR($D78&lt;&gt;"Serviço",AND(AUTOEVENTO="Manual",$M78=$A$15),$M78&gt;(ROW(PLE.lastrow)-ROW(PLE.firstrow))),0,
           IF(OFFSET(PLE!$G$15,$M78-$A$15,CA$13)="",10^12,OFFSET(PLE!$G$15,$M78-$A$15,CA$13)))</f>
        <v>0</v>
      </c>
      <c r="CB78" s="172">
        <f t="array" aca="1" ref="CB78" ca="1">IF(OR($D78&lt;&gt;"Serviço",AND(AUTOEVENTO="Manual",$M78=$A$15),$M78&gt;(ROW(PLE.lastrow)-ROW(PLE.firstrow))),0,
           IF(OFFSET(PLE!$G$15,$M78-$A$15,CB$13)="",10^12,OFFSET(PLE!$G$15,$M78-$A$15,CB$13)))</f>
        <v>0</v>
      </c>
      <c r="CC78" s="172">
        <f t="array" aca="1" ref="CC78" ca="1">IF(OR($D78&lt;&gt;"Serviço",AND(AUTOEVENTO="Manual",$M78=$A$15),$M78&gt;(ROW(PLE.lastrow)-ROW(PLE.firstrow))),0,
           IF(OFFSET(PLE!$G$15,$M78-$A$15,CC$13)="",10^12,OFFSET(PLE!$G$15,$M78-$A$15,CC$13)))</f>
        <v>0</v>
      </c>
      <c r="CD78" s="172">
        <f t="array" aca="1" ref="CD78" ca="1">IF(OR($D78&lt;&gt;"Serviço",AND(AUTOEVENTO="Manual",$M78=$A$15),$M78&gt;(ROW(PLE.lastrow)-ROW(PLE.firstrow))),0,
           IF(OFFSET(PLE!$G$15,$M78-$A$15,CD$13)="",10^12,OFFSET(PLE!$G$15,$M78-$A$15,CD$13)))</f>
        <v>0</v>
      </c>
      <c r="CE78" s="172">
        <f t="array" aca="1" ref="CE78" ca="1">IF(OR($D78&lt;&gt;"Serviço",AND(AUTOEVENTO="Manual",$M78=$A$15),$M78&gt;(ROW(PLE.lastrow)-ROW(PLE.firstrow))),0,
           IF(OFFSET(PLE!$G$15,$M78-$A$15,CE$13)="",10^12,OFFSET(PLE!$G$15,$M78-$A$15,CE$13)))</f>
        <v>0</v>
      </c>
      <c r="CF78" s="172">
        <f t="array" aca="1" ref="CF78" ca="1">IF(OR($D78&lt;&gt;"Serviço",AND(AUTOEVENTO="Manual",$M78=$A$15),$M78&gt;(ROW(PLE.lastrow)-ROW(PLE.firstrow))),0,
           IF(OFFSET(PLE!$G$15,$M78-$A$15,CF$13)="",10^12,OFFSET(PLE!$G$15,$M78-$A$15,CF$13)))</f>
        <v>0</v>
      </c>
      <c r="CG78" s="172">
        <f t="array" aca="1" ref="CG78" ca="1">IF(OR($D78&lt;&gt;"Serviço",AND(AUTOEVENTO="Manual",$M78=$A$15),$M78&gt;(ROW(PLE.lastrow)-ROW(PLE.firstrow))),0,
           IF(OFFSET(PLE!$G$15,$M78-$A$15,CG$13)="",10^12,OFFSET(PLE!$G$15,$M78-$A$15,CG$13)))</f>
        <v>0</v>
      </c>
      <c r="CH78" s="172">
        <f t="array" aca="1" ref="CH78" ca="1">IF(OR($D78&lt;&gt;"Serviço",AND(AUTOEVENTO="Manual",$M78=$A$15),$M78&gt;(ROW(PLE.lastrow)-ROW(PLE.firstrow))),0,
           IF(OFFSET(PLE!$G$15,$M78-$A$15,CH$13)="",10^12,OFFSET(PLE!$G$15,$M78-$A$15,CH$13)))</f>
        <v>0</v>
      </c>
      <c r="CI78" s="172">
        <f t="array" aca="1" ref="CI78" ca="1">IF(OR($D78&lt;&gt;"Serviço",AND(AUTOEVENTO="Manual",$M78=$A$15),$M78&gt;(ROW(PLE.lastrow)-ROW(PLE.firstrow))),0,
           IF(OFFSET(PLE!$G$15,$M78-$A$15,CI$13)="",10^12,OFFSET(PLE!$G$15,$M78-$A$15,CI$13)))</f>
        <v>0</v>
      </c>
      <c r="CJ78" s="172">
        <f t="array" aca="1" ref="CJ78" ca="1">IF(OR($D78&lt;&gt;"Serviço",AND(AUTOEVENTO="Manual",$M78=$A$15),$M78&gt;(ROW(PLE.lastrow)-ROW(PLE.firstrow))),0,
           IF(OFFSET(PLE!$G$15,$M78-$A$15,CJ$13)="",10^12,OFFSET(PLE!$G$15,$M78-$A$15,CJ$13)))</f>
        <v>0</v>
      </c>
      <c r="CK78" s="172">
        <f t="array" aca="1" ref="CK78" ca="1">IF(OR($D78&lt;&gt;"Serviço",AND(AUTOEVENTO="Manual",$M78=$A$15),$M78&gt;(ROW(PLE.lastrow)-ROW(PLE.firstrow))),0,
           IF(OFFSET(PLE!$G$15,$M78-$A$15,CK$13)="",10^12,OFFSET(PLE!$G$15,$M78-$A$15,CK$13)))</f>
        <v>0</v>
      </c>
      <c r="CL78" s="172">
        <f t="array" aca="1" ref="CL78" ca="1">IF(OR($D78&lt;&gt;"Serviço",AND(AUTOEVENTO="Manual",$M78=$A$15),$M78&gt;(ROW(PLE.lastrow)-ROW(PLE.firstrow))),0,
           IF(OFFSET(PLE!$G$15,$M78-$A$15,CL$13)="",10^12,OFFSET(PLE!$G$15,$M78-$A$15,CL$13)))</f>
        <v>0</v>
      </c>
      <c r="CM78" s="172">
        <f t="array" aca="1" ref="CM78" ca="1">IF(OR($D78&lt;&gt;"Serviço",AND(AUTOEVENTO="Manual",$M78=$A$15),$M78&gt;(ROW(PLE.lastrow)-ROW(PLE.firstrow))),0,
           IF(OFFSET(PLE!$G$15,$M78-$A$15,CM$13)="",10^12,OFFSET(PLE!$G$15,$M78-$A$15,CM$13)))</f>
        <v>0</v>
      </c>
    </row>
    <row r="79" spans="1:91" s="696" customFormat="1" ht="51" x14ac:dyDescent="0.2">
      <c r="A79" s="694">
        <f t="shared" ca="1" si="45"/>
        <v>13</v>
      </c>
      <c r="B79" s="694" t="str">
        <f ca="1">OFFSET(ORÇAMENTO!C$15,$L79,0)</f>
        <v>S</v>
      </c>
      <c r="C79" s="694" t="str">
        <f ca="1">OFFSET(ORÇAMENTO!L$15,$L79,0)</f>
        <v>F</v>
      </c>
      <c r="D79" s="116" t="str">
        <f ca="1">OFFSET(ORÇAMENTO!N$15,$L79,0)</f>
        <v>Serviço</v>
      </c>
      <c r="E79" s="117" t="str">
        <f ca="1">OFFSET(ORÇAMENTO!O$15,$L79,0)</f>
        <v>1.12.1.</v>
      </c>
      <c r="F79" s="163" t="str">
        <f ca="1">OFFSET(ORÇAMENTO!R$15,$L79,0)</f>
        <v>TRAMA DE MADEIRA COMPOSTA POR RIPAS, CAIBROS E TERÇAS PARA TELHADOS DE ATÉ 2 ÁGUAS PARA TELHA CERÂMICA CAPA-CANAL, INCLUSO TRANSPORTE VERTICAL. AF_07/2019</v>
      </c>
      <c r="G79" s="164" t="str">
        <f ca="1">IF($D79&lt;&gt;"Serviço","",OFFSET(ORÇAMENTO!S$15,$L79,0))</f>
        <v>M2</v>
      </c>
      <c r="H79" s="122">
        <f t="array" aca="1" ref="H79" ca="1">IF($D79&lt;&gt;"Serviço",0,IF(ACOMPANHAMENTO="BM",ROUND(OFFSET(ORÇAMENTO!AJ$15,$L79,0),15-13*ORÇAMENTO!$AF$7),IF(IFERROR(CÁLCULO.FrentesPreenchidas,0)=0,0,SUM(ROUND(OFFSET($P79,0,1,1,CÁLCULO.FrentesPreenchidas),15-13*ORÇAMENTO!$AF$7)))))</f>
        <v>1469.8</v>
      </c>
      <c r="I79" s="467" t="s">
        <v>1248</v>
      </c>
      <c r="J79" s="653" t="str">
        <f t="array" aca="1" ref="J79" ca="1">IF(OR(B79&lt;&gt;"S",CÁLCULO.FrentesPreenchidas=0),"",IF(AND(ACOMPANHAMENTO="PLE",AUTOEVENTO="Manual",OR(H79&gt;0,ORÇAMENTO!AC79="QUANT."),OR(K79="",M79=0,N79="")),"►E",IF(AND(ACOMPANHAMENTO="PLE",ORÇAMENTO!AC79="QUANT."),"►Q",IF(AND(ACOMPANHAMENTO="PLE",H79&lt;&gt;SUMPRODUCT(($Q$1:$AI$1=1)*ROUND(Q79:AI79,15))),"►S",IF(AND(COUNTIF($P$11:$AI$11,"▼")=0,H79&gt;0,I79=""),"◄M","")))))</f>
        <v/>
      </c>
      <c r="K79" s="654" t="s">
        <v>1394</v>
      </c>
      <c r="L79" s="165">
        <f t="shared" ca="1" si="46"/>
        <v>64</v>
      </c>
      <c r="M79" s="166">
        <f ca="1">IF($D79&lt;&gt;"Serviço","",
          IF(AUTOEVENTO="manual",$A79,
                IF(ISERROR(MATCH($A79,$A$15:OFFSET($A79,-1,0),0)),MAX($M$15:OFFSET(M79,-1,0))+1,
                      INDEX($M$15:OFFSET(M79,-1,0),MATCH($A79,$A$15:OFFSET($A79,-1,0),0)))))</f>
        <v>13</v>
      </c>
      <c r="N79" s="167" t="str">
        <f ca="1">IF($D79&lt;&gt;"Serviço","",
         IF(AUTOEVENTO="Manual",
                IF($A79=0,"&lt;-- defina o número do agrupador",
                       OFFSET(EVENTOS!$D$15,$A79-$A$15,0)),
                OFFSET($F$15,$A79,0)))</f>
        <v>ESTRUTURA DE COBERTURA</v>
      </c>
      <c r="O79" s="168"/>
      <c r="Q79" s="169">
        <f>73.49*5</f>
        <v>367.45</v>
      </c>
      <c r="R79" s="169">
        <f t="shared" ref="R79:T80" si="48">73.49*5</f>
        <v>367.45</v>
      </c>
      <c r="S79" s="169">
        <f t="shared" si="48"/>
        <v>367.45</v>
      </c>
      <c r="T79" s="169">
        <f t="shared" si="48"/>
        <v>367.45</v>
      </c>
      <c r="U79" s="169"/>
      <c r="V79" s="169"/>
      <c r="W79" s="169"/>
      <c r="X79" s="169"/>
      <c r="Y79" s="169"/>
      <c r="Z79" s="170"/>
      <c r="AA79" s="169"/>
      <c r="AB79" s="169"/>
      <c r="AC79" s="169"/>
      <c r="AD79" s="169"/>
      <c r="AE79" s="169"/>
      <c r="AF79" s="169"/>
      <c r="AG79" s="169"/>
      <c r="AH79" s="170"/>
      <c r="AJ79" s="452">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44354.89</v>
      </c>
      <c r="AK79" s="452">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44354.89</v>
      </c>
      <c r="AL79" s="452">
        <f ca="1">IF(AND($D79="Serviço",AL$12&lt;&gt;0,$H79&gt;0,OR(AUTOEVENTO&lt;&gt;"manual",$M79&lt;&gt;$A$15)),
        IF(Import.TipoArredondamento&lt;&gt;"TransfereGOV",
              ROUND(OFFSET($P79,0,AL$13),15-13*ORÇAMENTO!$AF$7)/$H79*OFFSET(ORÇAMENTO!$X$15,ROW(AL79)-ROW(AL$15),0),
              ROUND(ROUND(OFFSET($P79,0,AL$13),15-13*ORÇAMENTO!$AF$7)*OFFSET(ORÇAMENTO!$W$15,ROW(AL79)-ROW(AL$15),0),15-13*ORÇAMENTO!$AF$11)),
         0)</f>
        <v>44354.89</v>
      </c>
      <c r="AM79" s="452">
        <f ca="1">IF(AND($D79="Serviço",AM$12&lt;&gt;0,$H79&gt;0,OR(AUTOEVENTO&lt;&gt;"manual",$M79&lt;&gt;$A$15)),
        IF(Import.TipoArredondamento&lt;&gt;"TransfereGOV",
              ROUND(OFFSET($P79,0,AM$13),15-13*ORÇAMENTO!$AF$7)/$H79*OFFSET(ORÇAMENTO!$X$15,ROW(AM79)-ROW(AM$15),0),
              ROUND(ROUND(OFFSET($P79,0,AM$13),15-13*ORÇAMENTO!$AF$7)*OFFSET(ORÇAMENTO!$W$15,ROW(AM79)-ROW(AM$15),0),15-13*ORÇAMENTO!$AF$11)),
         0)</f>
        <v>44354.89</v>
      </c>
      <c r="AN79" s="452">
        <f ca="1">IF(AND($D79="Serviço",AN$12&lt;&gt;0,$H79&gt;0,OR(AUTOEVENTO&lt;&gt;"manual",$M79&lt;&gt;$A$15)),
        IF(Import.TipoArredondamento&lt;&gt;"TransfereGOV",
              ROUND(OFFSET($P79,0,AN$13),15-13*ORÇAMENTO!$AF$7)/$H79*OFFSET(ORÇAMENTO!$X$15,ROW(AN79)-ROW(AN$15),0),
              ROUND(ROUND(OFFSET($P79,0,AN$13),15-13*ORÇAMENTO!$AF$7)*OFFSET(ORÇAMENTO!$W$15,ROW(AN79)-ROW(AN$15),0),15-13*ORÇAMENTO!$AF$11)),
         0)</f>
        <v>0</v>
      </c>
      <c r="AO79" s="452">
        <f ca="1">IF(AND($D79="Serviço",AO$12&lt;&gt;0,$H79&gt;0,OR(AUTOEVENTO&lt;&gt;"manual",$M79&lt;&gt;$A$15)),
        IF(Import.TipoArredondamento&lt;&gt;"TransfereGOV",
              ROUND(OFFSET($P79,0,AO$13),15-13*ORÇAMENTO!$AF$7)/$H79*OFFSET(ORÇAMENTO!$X$15,ROW(AO79)-ROW(AO$15),0),
              ROUND(ROUND(OFFSET($P79,0,AO$13),15-13*ORÇAMENTO!$AF$7)*OFFSET(ORÇAMENTO!$W$15,ROW(AO79)-ROW(AO$15),0),15-13*ORÇAMENTO!$AF$11)),
         0)</f>
        <v>0</v>
      </c>
      <c r="AP79" s="452">
        <f ca="1">IF(AND($D79="Serviço",AP$12&lt;&gt;0,$H79&gt;0,OR(AUTOEVENTO&lt;&gt;"manual",$M79&lt;&gt;$A$15)),
        IF(Import.TipoArredondamento&lt;&gt;"TransfereGOV",
              ROUND(OFFSET($P79,0,AP$13),15-13*ORÇAMENTO!$AF$7)/$H79*OFFSET(ORÇAMENTO!$X$15,ROW(AP79)-ROW(AP$15),0),
              ROUND(ROUND(OFFSET($P79,0,AP$13),15-13*ORÇAMENTO!$AF$7)*OFFSET(ORÇAMENTO!$W$15,ROW(AP79)-ROW(AP$15),0),15-13*ORÇAMENTO!$AF$11)),
         0)</f>
        <v>0</v>
      </c>
      <c r="AQ79" s="452">
        <f ca="1">IF(AND($D79="Serviço",AQ$12&lt;&gt;0,$H79&gt;0,OR(AUTOEVENTO&lt;&gt;"manual",$M79&lt;&gt;$A$15)),
        IF(Import.TipoArredondamento&lt;&gt;"TransfereGOV",
              ROUND(OFFSET($P79,0,AQ$13),15-13*ORÇAMENTO!$AF$7)/$H79*OFFSET(ORÇAMENTO!$X$15,ROW(AQ79)-ROW(AQ$15),0),
              ROUND(ROUND(OFFSET($P79,0,AQ$13),15-13*ORÇAMENTO!$AF$7)*OFFSET(ORÇAMENTO!$W$15,ROW(AQ79)-ROW(AQ$15),0),15-13*ORÇAMENTO!$AF$11)),
         0)</f>
        <v>0</v>
      </c>
      <c r="AR79" s="452">
        <f ca="1">IF(AND($D79="Serviço",AR$12&lt;&gt;0,$H79&gt;0,OR(AUTOEVENTO&lt;&gt;"manual",$M79&lt;&gt;$A$15)),
        IF(Import.TipoArredondamento&lt;&gt;"TransfereGOV",
              ROUND(OFFSET($P79,0,AR$13),15-13*ORÇAMENTO!$AF$7)/$H79*OFFSET(ORÇAMENTO!$X$15,ROW(AR79)-ROW(AR$15),0),
              ROUND(ROUND(OFFSET($P79,0,AR$13),15-13*ORÇAMENTO!$AF$7)*OFFSET(ORÇAMENTO!$W$15,ROW(AR79)-ROW(AR$15),0),15-13*ORÇAMENTO!$AF$11)),
         0)</f>
        <v>0</v>
      </c>
      <c r="AS79" s="452">
        <f ca="1">IF(AND($D79="Serviço",AS$12&lt;&gt;0,$H79&gt;0,OR(AUTOEVENTO&lt;&gt;"manual",$M79&lt;&gt;$A$15)),
        IF(Import.TipoArredondamento&lt;&gt;"TransfereGOV",
              ROUND(OFFSET($P79,0,AS$13),15-13*ORÇAMENTO!$AF$7)/$H79*OFFSET(ORÇAMENTO!$X$15,ROW(AS79)-ROW(AS$15),0),
              ROUND(ROUND(OFFSET($P79,0,AS$13),15-13*ORÇAMENTO!$AF$7)*OFFSET(ORÇAMENTO!$W$15,ROW(AS79)-ROW(AS$15),0),15-13*ORÇAMENTO!$AF$11)),
         0)</f>
        <v>0</v>
      </c>
      <c r="AT79" s="452">
        <f ca="1">IF(AND($D79="Serviço",AT$12&lt;&gt;0,$H79&gt;0,OR(AUTOEVENTO&lt;&gt;"manual",$M79&lt;&gt;$A$15)),
        IF(Import.TipoArredondamento&lt;&gt;"TransfereGOV",
              ROUND(OFFSET($P79,0,AT$13),15-13*ORÇAMENTO!$AF$7)/$H79*OFFSET(ORÇAMENTO!$X$15,ROW(AT79)-ROW(AT$15),0),
              ROUND(ROUND(OFFSET($P79,0,AT$13),15-13*ORÇAMENTO!$AF$7)*OFFSET(ORÇAMENTO!$W$15,ROW(AT79)-ROW(AT$15),0),15-13*ORÇAMENTO!$AF$11)),
         0)</f>
        <v>0</v>
      </c>
      <c r="AU79" s="452">
        <f ca="1">IF(AND($D79="Serviço",AU$12&lt;&gt;0,$H79&gt;0,OR(AUTOEVENTO&lt;&gt;"manual",$M79&lt;&gt;$A$15)),
        IF(Import.TipoArredondamento&lt;&gt;"TransfereGOV",
              ROUND(OFFSET($P79,0,AU$13),15-13*ORÇAMENTO!$AF$7)/$H79*OFFSET(ORÇAMENTO!$X$15,ROW(AU79)-ROW(AU$15),0),
              ROUND(ROUND(OFFSET($P79,0,AU$13),15-13*ORÇAMENTO!$AF$7)*OFFSET(ORÇAMENTO!$W$15,ROW(AU79)-ROW(AU$15),0),15-13*ORÇAMENTO!$AF$11)),
         0)</f>
        <v>0</v>
      </c>
      <c r="AV79" s="452">
        <f ca="1">IF(AND($D79="Serviço",AV$12&lt;&gt;0,$H79&gt;0,OR(AUTOEVENTO&lt;&gt;"manual",$M79&lt;&gt;$A$15)),
        IF(Import.TipoArredondamento&lt;&gt;"TransfereGOV",
              ROUND(OFFSET($P79,0,AV$13),15-13*ORÇAMENTO!$AF$7)/$H79*OFFSET(ORÇAMENTO!$X$15,ROW(AV79)-ROW(AV$15),0),
              ROUND(ROUND(OFFSET($P79,0,AV$13),15-13*ORÇAMENTO!$AF$7)*OFFSET(ORÇAMENTO!$W$15,ROW(AV79)-ROW(AV$15),0),15-13*ORÇAMENTO!$AF$11)),
         0)</f>
        <v>0</v>
      </c>
      <c r="AW79" s="452">
        <f ca="1">IF(AND($D79="Serviço",AW$12&lt;&gt;0,$H79&gt;0,OR(AUTOEVENTO&lt;&gt;"manual",$M79&lt;&gt;$A$15)),
        IF(Import.TipoArredondamento&lt;&gt;"TransfereGOV",
              ROUND(OFFSET($P79,0,AW$13),15-13*ORÇAMENTO!$AF$7)/$H79*OFFSET(ORÇAMENTO!$X$15,ROW(AW79)-ROW(AW$15),0),
              ROUND(ROUND(OFFSET($P79,0,AW$13),15-13*ORÇAMENTO!$AF$7)*OFFSET(ORÇAMENTO!$W$15,ROW(AW79)-ROW(AW$15),0),15-13*ORÇAMENTO!$AF$11)),
         0)</f>
        <v>0</v>
      </c>
      <c r="AX79" s="452">
        <f ca="1">IF(AND($D79="Serviço",AX$12&lt;&gt;0,$H79&gt;0,OR(AUTOEVENTO&lt;&gt;"manual",$M79&lt;&gt;$A$15)),
        IF(Import.TipoArredondamento&lt;&gt;"TransfereGOV",
              ROUND(OFFSET($P79,0,AX$13),15-13*ORÇAMENTO!$AF$7)/$H79*OFFSET(ORÇAMENTO!$X$15,ROW(AX79)-ROW(AX$15),0),
              ROUND(ROUND(OFFSET($P79,0,AX$13),15-13*ORÇAMENTO!$AF$7)*OFFSET(ORÇAMENTO!$W$15,ROW(AX79)-ROW(AX$15),0),15-13*ORÇAMENTO!$AF$11)),
         0)</f>
        <v>0</v>
      </c>
      <c r="AY79" s="452">
        <f ca="1">IF(AND($D79="Serviço",AY$12&lt;&gt;0,$H79&gt;0,OR(AUTOEVENTO&lt;&gt;"manual",$M79&lt;&gt;$A$15)),
        IF(Import.TipoArredondamento&lt;&gt;"TransfereGOV",
              ROUND(OFFSET($P79,0,AY$13),15-13*ORÇAMENTO!$AF$7)/$H79*OFFSET(ORÇAMENTO!$X$15,ROW(AY79)-ROW(AY$15),0),
              ROUND(ROUND(OFFSET($P79,0,AY$13),15-13*ORÇAMENTO!$AF$7)*OFFSET(ORÇAMENTO!$W$15,ROW(AY79)-ROW(AY$15),0),15-13*ORÇAMENTO!$AF$11)),
         0)</f>
        <v>0</v>
      </c>
      <c r="AZ79" s="452">
        <f ca="1">IF(AND($D79="Serviço",AZ$12&lt;&gt;0,$H79&gt;0,OR(AUTOEVENTO&lt;&gt;"manual",$M79&lt;&gt;$A$15)),
        IF(Import.TipoArredondamento&lt;&gt;"TransfereGOV",
              ROUND(OFFSET($P79,0,AZ$13),15-13*ORÇAMENTO!$AF$7)/$H79*OFFSET(ORÇAMENTO!$X$15,ROW(AZ79)-ROW(AZ$15),0),
              ROUND(ROUND(OFFSET($P79,0,AZ$13),15-13*ORÇAMENTO!$AF$7)*OFFSET(ORÇAMENTO!$W$15,ROW(AZ79)-ROW(AZ$15),0),15-13*ORÇAMENTO!$AF$11)),
         0)</f>
        <v>0</v>
      </c>
      <c r="BA79" s="452">
        <f ca="1">IF(AND($D79="Serviço",BA$12&lt;&gt;0,$H79&gt;0,OR(AUTOEVENTO&lt;&gt;"manual",$M79&lt;&gt;$A$15)),
        IF(Import.TipoArredondamento&lt;&gt;"TransfereGOV",
              ROUND(OFFSET($P79,0,BA$13),15-13*ORÇAMENTO!$AF$7)/$H79*OFFSET(ORÇAMENTO!$X$15,ROW(BA79)-ROW(BA$15),0),
              ROUND(ROUND(OFFSET($P79,0,BA$13),15-13*ORÇAMENTO!$AF$7)*OFFSET(ORÇAMENTO!$W$15,ROW(BA79)-ROW(BA$15),0),15-13*ORÇAMENTO!$AF$11)),
         0)</f>
        <v>0</v>
      </c>
      <c r="BC79" s="171">
        <f ca="1">IF(OR($D79&lt;&gt;"Serviço",AND(AUTOEVENTO="Manual",$M79=$A$15)),0,
         IF(OFFSET(CRONOPLE!$F$15,$M79-$A$15,BC$13)=0,10^12,OFFSET(CRONOPLE!$F$15,$M79-$A$15,BC$13)))</f>
        <v>4</v>
      </c>
      <c r="BD79" s="171">
        <f ca="1">IF(OR($D79&lt;&gt;"Serviço",AND(AUTOEVENTO="Manual",$M79=$A$15)),0,
         IF(OFFSET(CRONOPLE!$F$15,$M79-$A$15,BD$13)=0,10^12,OFFSET(CRONOPLE!$F$15,$M79-$A$15,BD$13)))</f>
        <v>5</v>
      </c>
      <c r="BE79" s="171">
        <f ca="1">IF(OR($D79&lt;&gt;"Serviço",AND(AUTOEVENTO="Manual",$M79=$A$15)),0,
         IF(OFFSET(CRONOPLE!$F$15,$M79-$A$15,BE$13)=0,10^12,OFFSET(CRONOPLE!$F$15,$M79-$A$15,BE$13)))</f>
        <v>6</v>
      </c>
      <c r="BF79" s="171">
        <f ca="1">IF(OR($D79&lt;&gt;"Serviço",AND(AUTOEVENTO="Manual",$M79=$A$15)),0,
         IF(OFFSET(CRONOPLE!$F$15,$M79-$A$15,BF$13)=0,10^12,OFFSET(CRONOPLE!$F$15,$M79-$A$15,BF$13)))</f>
        <v>6</v>
      </c>
      <c r="BG79" s="171">
        <f ca="1">IF(OR($D79&lt;&gt;"Serviço",AND(AUTOEVENTO="Manual",$M79=$A$15)),0,
         IF(OFFSET(CRONOPLE!$F$15,$M79-$A$15,BG$13)=0,10^12,OFFSET(CRONOPLE!$F$15,$M79-$A$15,BG$13)))</f>
        <v>6</v>
      </c>
      <c r="BH79" s="171">
        <f ca="1">IF(OR($D79&lt;&gt;"Serviço",AND(AUTOEVENTO="Manual",$M79=$A$15)),0,
         IF(OFFSET(CRONOPLE!$F$15,$M79-$A$15,BH$13)=0,10^12,OFFSET(CRONOPLE!$F$15,$M79-$A$15,BH$13)))</f>
        <v>1000000000000</v>
      </c>
      <c r="BI79" s="171">
        <f ca="1">IF(OR($D79&lt;&gt;"Serviço",AND(AUTOEVENTO="Manual",$M79=$A$15)),0,
         IF(OFFSET(CRONOPLE!$F$15,$M79-$A$15,BI$13)=0,10^12,OFFSET(CRONOPLE!$F$15,$M79-$A$15,BI$13)))</f>
        <v>7</v>
      </c>
      <c r="BJ79" s="171">
        <f ca="1">IF(OR($D79&lt;&gt;"Serviço",AND(AUTOEVENTO="Manual",$M79=$A$15)),0,
         IF(OFFSET(CRONOPLE!$F$15,$M79-$A$15,BJ$13)=0,10^12,OFFSET(CRONOPLE!$F$15,$M79-$A$15,BJ$13)))</f>
        <v>1000000000000</v>
      </c>
      <c r="BK79" s="171">
        <f ca="1">IF(OR($D79&lt;&gt;"Serviço",AND(AUTOEVENTO="Manual",$M79=$A$15)),0,
         IF(OFFSET(CRONOPLE!$F$15,$M79-$A$15,BK$13)=0,10^12,OFFSET(CRONOPLE!$F$15,$M79-$A$15,BK$13)))</f>
        <v>1000000000000</v>
      </c>
      <c r="BL79" s="171">
        <f ca="1">IF(OR($D79&lt;&gt;"Serviço",AND(AUTOEVENTO="Manual",$M79=$A$15)),0,
         IF(OFFSET(CRONOPLE!$F$15,$M79-$A$15,BL$13)=0,10^12,OFFSET(CRONOPLE!$F$15,$M79-$A$15,BL$13)))</f>
        <v>1000000000000</v>
      </c>
      <c r="BM79" s="171">
        <f ca="1">IF(OR($D79&lt;&gt;"Serviço",AND(AUTOEVENTO="Manual",$M79=$A$15)),0,
         IF(OFFSET(CRONOPLE!$F$15,$M79-$A$15,BM$13)=0,10^12,OFFSET(CRONOPLE!$F$15,$M79-$A$15,BM$13)))</f>
        <v>1000000000000</v>
      </c>
      <c r="BN79" s="171">
        <f ca="1">IF(OR($D79&lt;&gt;"Serviço",AND(AUTOEVENTO="Manual",$M79=$A$15)),0,
         IF(OFFSET(CRONOPLE!$F$15,$M79-$A$15,BN$13)=0,10^12,OFFSET(CRONOPLE!$F$15,$M79-$A$15,BN$13)))</f>
        <v>1000000000000</v>
      </c>
      <c r="BO79" s="171">
        <f ca="1">IF(OR($D79&lt;&gt;"Serviço",AND(AUTOEVENTO="Manual",$M79=$A$15)),0,
         IF(OFFSET(CRONOPLE!$F$15,$M79-$A$15,BO$13)=0,10^12,OFFSET(CRONOPLE!$F$15,$M79-$A$15,BO$13)))</f>
        <v>1000000000000</v>
      </c>
      <c r="BP79" s="171">
        <f ca="1">IF(OR($D79&lt;&gt;"Serviço",AND(AUTOEVENTO="Manual",$M79=$A$15)),0,
         IF(OFFSET(CRONOPLE!$F$15,$M79-$A$15,BP$13)=0,10^12,OFFSET(CRONOPLE!$F$15,$M79-$A$15,BP$13)))</f>
        <v>1000000000000</v>
      </c>
      <c r="BQ79" s="171">
        <f ca="1">IF(OR($D79&lt;&gt;"Serviço",AND(AUTOEVENTO="Manual",$M79=$A$15)),0,
         IF(OFFSET(CRONOPLE!$F$15,$M79-$A$15,BQ$13)=0,10^12,OFFSET(CRONOPLE!$F$15,$M79-$A$15,BQ$13)))</f>
        <v>1000000000000</v>
      </c>
      <c r="BR79" s="171">
        <f ca="1">IF(OR($D79&lt;&gt;"Serviço",AND(AUTOEVENTO="Manual",$M79=$A$15)),0,
         IF(OFFSET(CRONOPLE!$F$15,$M79-$A$15,BR$13)=0,10^12,OFFSET(CRONOPLE!$F$15,$M79-$A$15,BR$13)))</f>
        <v>1000000000000</v>
      </c>
      <c r="BS79" s="171">
        <f ca="1">IF(OR($D79&lt;&gt;"Serviço",AND(AUTOEVENTO="Manual",$M79=$A$15)),0,
         IF(OFFSET(CRONOPLE!$F$15,$M79-$A$15,BS$13)=0,10^12,OFFSET(CRONOPLE!$F$15,$M79-$A$15,BS$13)))</f>
        <v>1000000000000</v>
      </c>
      <c r="BT79" s="171">
        <f ca="1">IF(OR($D79&lt;&gt;"Serviço",AND(AUTOEVENTO="Manual",$M79=$A$15)),0,
         IF(OFFSET(CRONOPLE!$F$15,$M79-$A$15,BT$13)=0,10^12,OFFSET(CRONOPLE!$F$15,$M79-$A$15,BT$13)))</f>
        <v>1000000000000</v>
      </c>
      <c r="BV79" s="172">
        <f t="array" aca="1" ref="BV79" ca="1">IF(OR($D79&lt;&gt;"Serviço",AND(AUTOEVENTO="Manual",$M79=$A$15),$M79&gt;(ROW(PLE.lastrow)-ROW(PLE.firstrow))),0,
           IF(OFFSET(PLE!$G$15,$M79-$A$15,BV$13)="",10^12,OFFSET(PLE!$G$15,$M79-$A$15,BV$13)))</f>
        <v>1000000000000</v>
      </c>
      <c r="BW79" s="172">
        <f t="array" aca="1" ref="BW79" ca="1">IF(OR($D79&lt;&gt;"Serviço",AND(AUTOEVENTO="Manual",$M79=$A$15),$M79&gt;(ROW(PLE.lastrow)-ROW(PLE.firstrow))),0,
           IF(OFFSET(PLE!$G$15,$M79-$A$15,BW$13)="",10^12,OFFSET(PLE!$G$15,$M79-$A$15,BW$13)))</f>
        <v>1000000000000</v>
      </c>
      <c r="BX79" s="172">
        <f t="array" aca="1" ref="BX79" ca="1">IF(OR($D79&lt;&gt;"Serviço",AND(AUTOEVENTO="Manual",$M79=$A$15),$M79&gt;(ROW(PLE.lastrow)-ROW(PLE.firstrow))),0,
           IF(OFFSET(PLE!$G$15,$M79-$A$15,BX$13)="",10^12,OFFSET(PLE!$G$15,$M79-$A$15,BX$13)))</f>
        <v>1000000000000</v>
      </c>
      <c r="BY79" s="172">
        <f t="array" aca="1" ref="BY79" ca="1">IF(OR($D79&lt;&gt;"Serviço",AND(AUTOEVENTO="Manual",$M79=$A$15),$M79&gt;(ROW(PLE.lastrow)-ROW(PLE.firstrow))),0,
           IF(OFFSET(PLE!$G$15,$M79-$A$15,BY$13)="",10^12,OFFSET(PLE!$G$15,$M79-$A$15,BY$13)))</f>
        <v>1000000000000</v>
      </c>
      <c r="BZ79" s="172">
        <f t="array" aca="1" ref="BZ79" ca="1">IF(OR($D79&lt;&gt;"Serviço",AND(AUTOEVENTO="Manual",$M79=$A$15),$M79&gt;(ROW(PLE.lastrow)-ROW(PLE.firstrow))),0,
           IF(OFFSET(PLE!$G$15,$M79-$A$15,BZ$13)="",10^12,OFFSET(PLE!$G$15,$M79-$A$15,BZ$13)))</f>
        <v>1000000000000</v>
      </c>
      <c r="CA79" s="172">
        <f t="array" aca="1" ref="CA79" ca="1">IF(OR($D79&lt;&gt;"Serviço",AND(AUTOEVENTO="Manual",$M79=$A$15),$M79&gt;(ROW(PLE.lastrow)-ROW(PLE.firstrow))),0,
           IF(OFFSET(PLE!$G$15,$M79-$A$15,CA$13)="",10^12,OFFSET(PLE!$G$15,$M79-$A$15,CA$13)))</f>
        <v>1000000000000</v>
      </c>
      <c r="CB79" s="172">
        <f t="array" aca="1" ref="CB79" ca="1">IF(OR($D79&lt;&gt;"Serviço",AND(AUTOEVENTO="Manual",$M79=$A$15),$M79&gt;(ROW(PLE.lastrow)-ROW(PLE.firstrow))),0,
           IF(OFFSET(PLE!$G$15,$M79-$A$15,CB$13)="",10^12,OFFSET(PLE!$G$15,$M79-$A$15,CB$13)))</f>
        <v>1000000000000</v>
      </c>
      <c r="CC79" s="172">
        <f t="array" aca="1" ref="CC79" ca="1">IF(OR($D79&lt;&gt;"Serviço",AND(AUTOEVENTO="Manual",$M79=$A$15),$M79&gt;(ROW(PLE.lastrow)-ROW(PLE.firstrow))),0,
           IF(OFFSET(PLE!$G$15,$M79-$A$15,CC$13)="",10^12,OFFSET(PLE!$G$15,$M79-$A$15,CC$13)))</f>
        <v>1000000000000</v>
      </c>
      <c r="CD79" s="172">
        <f t="array" aca="1" ref="CD79" ca="1">IF(OR($D79&lt;&gt;"Serviço",AND(AUTOEVENTO="Manual",$M79=$A$15),$M79&gt;(ROW(PLE.lastrow)-ROW(PLE.firstrow))),0,
           IF(OFFSET(PLE!$G$15,$M79-$A$15,CD$13)="",10^12,OFFSET(PLE!$G$15,$M79-$A$15,CD$13)))</f>
        <v>1000000000000</v>
      </c>
      <c r="CE79" s="172">
        <f t="array" aca="1" ref="CE79" ca="1">IF(OR($D79&lt;&gt;"Serviço",AND(AUTOEVENTO="Manual",$M79=$A$15),$M79&gt;(ROW(PLE.lastrow)-ROW(PLE.firstrow))),0,
           IF(OFFSET(PLE!$G$15,$M79-$A$15,CE$13)="",10^12,OFFSET(PLE!$G$15,$M79-$A$15,CE$13)))</f>
        <v>1000000000000</v>
      </c>
      <c r="CF79" s="172">
        <f t="array" aca="1" ref="CF79" ca="1">IF(OR($D79&lt;&gt;"Serviço",AND(AUTOEVENTO="Manual",$M79=$A$15),$M79&gt;(ROW(PLE.lastrow)-ROW(PLE.firstrow))),0,
           IF(OFFSET(PLE!$G$15,$M79-$A$15,CF$13)="",10^12,OFFSET(PLE!$G$15,$M79-$A$15,CF$13)))</f>
        <v>1000000000000</v>
      </c>
      <c r="CG79" s="172">
        <f t="array" aca="1" ref="CG79" ca="1">IF(OR($D79&lt;&gt;"Serviço",AND(AUTOEVENTO="Manual",$M79=$A$15),$M79&gt;(ROW(PLE.lastrow)-ROW(PLE.firstrow))),0,
           IF(OFFSET(PLE!$G$15,$M79-$A$15,CG$13)="",10^12,OFFSET(PLE!$G$15,$M79-$A$15,CG$13)))</f>
        <v>1000000000000</v>
      </c>
      <c r="CH79" s="172">
        <f t="array" aca="1" ref="CH79" ca="1">IF(OR($D79&lt;&gt;"Serviço",AND(AUTOEVENTO="Manual",$M79=$A$15),$M79&gt;(ROW(PLE.lastrow)-ROW(PLE.firstrow))),0,
           IF(OFFSET(PLE!$G$15,$M79-$A$15,CH$13)="",10^12,OFFSET(PLE!$G$15,$M79-$A$15,CH$13)))</f>
        <v>1000000000000</v>
      </c>
      <c r="CI79" s="172">
        <f t="array" aca="1" ref="CI79" ca="1">IF(OR($D79&lt;&gt;"Serviço",AND(AUTOEVENTO="Manual",$M79=$A$15),$M79&gt;(ROW(PLE.lastrow)-ROW(PLE.firstrow))),0,
           IF(OFFSET(PLE!$G$15,$M79-$A$15,CI$13)="",10^12,OFFSET(PLE!$G$15,$M79-$A$15,CI$13)))</f>
        <v>1000000000000</v>
      </c>
      <c r="CJ79" s="172">
        <f t="array" aca="1" ref="CJ79" ca="1">IF(OR($D79&lt;&gt;"Serviço",AND(AUTOEVENTO="Manual",$M79=$A$15),$M79&gt;(ROW(PLE.lastrow)-ROW(PLE.firstrow))),0,
           IF(OFFSET(PLE!$G$15,$M79-$A$15,CJ$13)="",10^12,OFFSET(PLE!$G$15,$M79-$A$15,CJ$13)))</f>
        <v>1000000000000</v>
      </c>
      <c r="CK79" s="172">
        <f t="array" aca="1" ref="CK79" ca="1">IF(OR($D79&lt;&gt;"Serviço",AND(AUTOEVENTO="Manual",$M79=$A$15),$M79&gt;(ROW(PLE.lastrow)-ROW(PLE.firstrow))),0,
           IF(OFFSET(PLE!$G$15,$M79-$A$15,CK$13)="",10^12,OFFSET(PLE!$G$15,$M79-$A$15,CK$13)))</f>
        <v>1000000000000</v>
      </c>
      <c r="CL79" s="172">
        <f t="array" aca="1" ref="CL79" ca="1">IF(OR($D79&lt;&gt;"Serviço",AND(AUTOEVENTO="Manual",$M79=$A$15),$M79&gt;(ROW(PLE.lastrow)-ROW(PLE.firstrow))),0,
           IF(OFFSET(PLE!$G$15,$M79-$A$15,CL$13)="",10^12,OFFSET(PLE!$G$15,$M79-$A$15,CL$13)))</f>
        <v>1000000000000</v>
      </c>
      <c r="CM79" s="172">
        <f t="array" aca="1" ref="CM79" ca="1">IF(OR($D79&lt;&gt;"Serviço",AND(AUTOEVENTO="Manual",$M79=$A$15),$M79&gt;(ROW(PLE.lastrow)-ROW(PLE.firstrow))),0,
           IF(OFFSET(PLE!$G$15,$M79-$A$15,CM$13)="",10^12,OFFSET(PLE!$G$15,$M79-$A$15,CM$13)))</f>
        <v>1000000000000</v>
      </c>
    </row>
    <row r="80" spans="1:91" s="696" customFormat="1" ht="51" x14ac:dyDescent="0.2">
      <c r="A80" s="694">
        <f t="shared" ca="1" si="45"/>
        <v>13</v>
      </c>
      <c r="B80" s="694" t="str">
        <f ca="1">OFFSET(ORÇAMENTO!C$15,$L80,0)</f>
        <v>S</v>
      </c>
      <c r="C80" s="694" t="str">
        <f ca="1">OFFSET(ORÇAMENTO!L$15,$L80,0)</f>
        <v>F</v>
      </c>
      <c r="D80" s="116" t="str">
        <f ca="1">OFFSET(ORÇAMENTO!N$15,$L80,0)</f>
        <v>Serviço</v>
      </c>
      <c r="E80" s="117" t="str">
        <f ca="1">OFFSET(ORÇAMENTO!O$15,$L80,0)</f>
        <v>1.12.2.</v>
      </c>
      <c r="F80" s="163" t="str">
        <f ca="1">OFFSET(ORÇAMENTO!R$15,$L80,0)</f>
        <v>TELHAMENTO COM TELHA CERÂMICA CAPA-CANAL, TIPO PAULISTA, COM ATÉ 2 ÁGUAS, INCLUSO TRANSPORTE VERTICAL. AF_07/2019</v>
      </c>
      <c r="G80" s="164" t="str">
        <f ca="1">IF($D80&lt;&gt;"Serviço","",OFFSET(ORÇAMENTO!S$15,$L80,0))</f>
        <v>M2</v>
      </c>
      <c r="H80" s="122">
        <f t="array" aca="1" ref="H80" ca="1">IF($D80&lt;&gt;"Serviço",0,IF(ACOMPANHAMENTO="BM",ROUND(OFFSET(ORÇAMENTO!AJ$15,$L80,0),15-13*ORÇAMENTO!$AF$7),IF(IFERROR(CÁLCULO.FrentesPreenchidas,0)=0,0,SUM(ROUND(OFFSET($P80,0,1,1,CÁLCULO.FrentesPreenchidas),15-13*ORÇAMENTO!$AF$7)))))</f>
        <v>1469.8</v>
      </c>
      <c r="I80" s="467" t="s">
        <v>1248</v>
      </c>
      <c r="J80" s="653" t="str">
        <f t="array" aca="1" ref="J80" ca="1">IF(OR(B80&lt;&gt;"S",CÁLCULO.FrentesPreenchidas=0),"",IF(AND(ACOMPANHAMENTO="PLE",AUTOEVENTO="Manual",OR(H80&gt;0,ORÇAMENTO!AC80="QUANT."),OR(K80="",M80=0,N80="")),"►E",IF(AND(ACOMPANHAMENTO="PLE",ORÇAMENTO!AC80="QUANT."),"►Q",IF(AND(ACOMPANHAMENTO="PLE",H80&lt;&gt;SUMPRODUCT(($Q$1:$AI$1=1)*ROUND(Q80:AI80,15))),"►S",IF(AND(COUNTIF($P$11:$AI$11,"▼")=0,H80&gt;0,I80=""),"◄M","")))))</f>
        <v/>
      </c>
      <c r="K80" s="654" t="s">
        <v>1394</v>
      </c>
      <c r="L80" s="165">
        <f t="shared" ca="1" si="46"/>
        <v>65</v>
      </c>
      <c r="M80" s="166">
        <f ca="1">IF($D80&lt;&gt;"Serviço","",
          IF(AUTOEVENTO="manual",$A80,
                IF(ISERROR(MATCH($A80,$A$15:OFFSET($A80,-1,0),0)),MAX($M$15:OFFSET(M80,-1,0))+1,
                      INDEX($M$15:OFFSET(M80,-1,0),MATCH($A80,$A$15:OFFSET($A80,-1,0),0)))))</f>
        <v>13</v>
      </c>
      <c r="N80" s="167" t="str">
        <f ca="1">IF($D80&lt;&gt;"Serviço","",
         IF(AUTOEVENTO="Manual",
                IF($A80=0,"&lt;-- defina o número do agrupador",
                       OFFSET(EVENTOS!$D$15,$A80-$A$15,0)),
                OFFSET($F$15,$A80,0)))</f>
        <v>ESTRUTURA DE COBERTURA</v>
      </c>
      <c r="O80" s="168"/>
      <c r="Q80" s="169">
        <f>73.49*5</f>
        <v>367.45</v>
      </c>
      <c r="R80" s="169">
        <f t="shared" si="48"/>
        <v>367.45</v>
      </c>
      <c r="S80" s="169">
        <f t="shared" si="48"/>
        <v>367.45</v>
      </c>
      <c r="T80" s="169">
        <f t="shared" si="48"/>
        <v>367.45</v>
      </c>
      <c r="U80" s="169"/>
      <c r="V80" s="169"/>
      <c r="W80" s="169"/>
      <c r="X80" s="169"/>
      <c r="Y80" s="169"/>
      <c r="Z80" s="170"/>
      <c r="AA80" s="169"/>
      <c r="AB80" s="169"/>
      <c r="AC80" s="169"/>
      <c r="AD80" s="169"/>
      <c r="AE80" s="169"/>
      <c r="AF80" s="169"/>
      <c r="AG80" s="169"/>
      <c r="AH80" s="170"/>
      <c r="AJ80" s="452">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36671.51</v>
      </c>
      <c r="AK80" s="452">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36671.51</v>
      </c>
      <c r="AL80" s="452">
        <f ca="1">IF(AND($D80="Serviço",AL$12&lt;&gt;0,$H80&gt;0,OR(AUTOEVENTO&lt;&gt;"manual",$M80&lt;&gt;$A$15)),
        IF(Import.TipoArredondamento&lt;&gt;"TransfereGOV",
              ROUND(OFFSET($P80,0,AL$13),15-13*ORÇAMENTO!$AF$7)/$H80*OFFSET(ORÇAMENTO!$X$15,ROW(AL80)-ROW(AL$15),0),
              ROUND(ROUND(OFFSET($P80,0,AL$13),15-13*ORÇAMENTO!$AF$7)*OFFSET(ORÇAMENTO!$W$15,ROW(AL80)-ROW(AL$15),0),15-13*ORÇAMENTO!$AF$11)),
         0)</f>
        <v>36671.51</v>
      </c>
      <c r="AM80" s="452">
        <f ca="1">IF(AND($D80="Serviço",AM$12&lt;&gt;0,$H80&gt;0,OR(AUTOEVENTO&lt;&gt;"manual",$M80&lt;&gt;$A$15)),
        IF(Import.TipoArredondamento&lt;&gt;"TransfereGOV",
              ROUND(OFFSET($P80,0,AM$13),15-13*ORÇAMENTO!$AF$7)/$H80*OFFSET(ORÇAMENTO!$X$15,ROW(AM80)-ROW(AM$15),0),
              ROUND(ROUND(OFFSET($P80,0,AM$13),15-13*ORÇAMENTO!$AF$7)*OFFSET(ORÇAMENTO!$W$15,ROW(AM80)-ROW(AM$15),0),15-13*ORÇAMENTO!$AF$11)),
         0)</f>
        <v>36671.51</v>
      </c>
      <c r="AN80" s="452">
        <f ca="1">IF(AND($D80="Serviço",AN$12&lt;&gt;0,$H80&gt;0,OR(AUTOEVENTO&lt;&gt;"manual",$M80&lt;&gt;$A$15)),
        IF(Import.TipoArredondamento&lt;&gt;"TransfereGOV",
              ROUND(OFFSET($P80,0,AN$13),15-13*ORÇAMENTO!$AF$7)/$H80*OFFSET(ORÇAMENTO!$X$15,ROW(AN80)-ROW(AN$15),0),
              ROUND(ROUND(OFFSET($P80,0,AN$13),15-13*ORÇAMENTO!$AF$7)*OFFSET(ORÇAMENTO!$W$15,ROW(AN80)-ROW(AN$15),0),15-13*ORÇAMENTO!$AF$11)),
         0)</f>
        <v>0</v>
      </c>
      <c r="AO80" s="452">
        <f ca="1">IF(AND($D80="Serviço",AO$12&lt;&gt;0,$H80&gt;0,OR(AUTOEVENTO&lt;&gt;"manual",$M80&lt;&gt;$A$15)),
        IF(Import.TipoArredondamento&lt;&gt;"TransfereGOV",
              ROUND(OFFSET($P80,0,AO$13),15-13*ORÇAMENTO!$AF$7)/$H80*OFFSET(ORÇAMENTO!$X$15,ROW(AO80)-ROW(AO$15),0),
              ROUND(ROUND(OFFSET($P80,0,AO$13),15-13*ORÇAMENTO!$AF$7)*OFFSET(ORÇAMENTO!$W$15,ROW(AO80)-ROW(AO$15),0),15-13*ORÇAMENTO!$AF$11)),
         0)</f>
        <v>0</v>
      </c>
      <c r="AP80" s="452">
        <f ca="1">IF(AND($D80="Serviço",AP$12&lt;&gt;0,$H80&gt;0,OR(AUTOEVENTO&lt;&gt;"manual",$M80&lt;&gt;$A$15)),
        IF(Import.TipoArredondamento&lt;&gt;"TransfereGOV",
              ROUND(OFFSET($P80,0,AP$13),15-13*ORÇAMENTO!$AF$7)/$H80*OFFSET(ORÇAMENTO!$X$15,ROW(AP80)-ROW(AP$15),0),
              ROUND(ROUND(OFFSET($P80,0,AP$13),15-13*ORÇAMENTO!$AF$7)*OFFSET(ORÇAMENTO!$W$15,ROW(AP80)-ROW(AP$15),0),15-13*ORÇAMENTO!$AF$11)),
         0)</f>
        <v>0</v>
      </c>
      <c r="AQ80" s="452">
        <f ca="1">IF(AND($D80="Serviço",AQ$12&lt;&gt;0,$H80&gt;0,OR(AUTOEVENTO&lt;&gt;"manual",$M80&lt;&gt;$A$15)),
        IF(Import.TipoArredondamento&lt;&gt;"TransfereGOV",
              ROUND(OFFSET($P80,0,AQ$13),15-13*ORÇAMENTO!$AF$7)/$H80*OFFSET(ORÇAMENTO!$X$15,ROW(AQ80)-ROW(AQ$15),0),
              ROUND(ROUND(OFFSET($P80,0,AQ$13),15-13*ORÇAMENTO!$AF$7)*OFFSET(ORÇAMENTO!$W$15,ROW(AQ80)-ROW(AQ$15),0),15-13*ORÇAMENTO!$AF$11)),
         0)</f>
        <v>0</v>
      </c>
      <c r="AR80" s="452">
        <f ca="1">IF(AND($D80="Serviço",AR$12&lt;&gt;0,$H80&gt;0,OR(AUTOEVENTO&lt;&gt;"manual",$M80&lt;&gt;$A$15)),
        IF(Import.TipoArredondamento&lt;&gt;"TransfereGOV",
              ROUND(OFFSET($P80,0,AR$13),15-13*ORÇAMENTO!$AF$7)/$H80*OFFSET(ORÇAMENTO!$X$15,ROW(AR80)-ROW(AR$15),0),
              ROUND(ROUND(OFFSET($P80,0,AR$13),15-13*ORÇAMENTO!$AF$7)*OFFSET(ORÇAMENTO!$W$15,ROW(AR80)-ROW(AR$15),0),15-13*ORÇAMENTO!$AF$11)),
         0)</f>
        <v>0</v>
      </c>
      <c r="AS80" s="452">
        <f ca="1">IF(AND($D80="Serviço",AS$12&lt;&gt;0,$H80&gt;0,OR(AUTOEVENTO&lt;&gt;"manual",$M80&lt;&gt;$A$15)),
        IF(Import.TipoArredondamento&lt;&gt;"TransfereGOV",
              ROUND(OFFSET($P80,0,AS$13),15-13*ORÇAMENTO!$AF$7)/$H80*OFFSET(ORÇAMENTO!$X$15,ROW(AS80)-ROW(AS$15),0),
              ROUND(ROUND(OFFSET($P80,0,AS$13),15-13*ORÇAMENTO!$AF$7)*OFFSET(ORÇAMENTO!$W$15,ROW(AS80)-ROW(AS$15),0),15-13*ORÇAMENTO!$AF$11)),
         0)</f>
        <v>0</v>
      </c>
      <c r="AT80" s="452">
        <f ca="1">IF(AND($D80="Serviço",AT$12&lt;&gt;0,$H80&gt;0,OR(AUTOEVENTO&lt;&gt;"manual",$M80&lt;&gt;$A$15)),
        IF(Import.TipoArredondamento&lt;&gt;"TransfereGOV",
              ROUND(OFFSET($P80,0,AT$13),15-13*ORÇAMENTO!$AF$7)/$H80*OFFSET(ORÇAMENTO!$X$15,ROW(AT80)-ROW(AT$15),0),
              ROUND(ROUND(OFFSET($P80,0,AT$13),15-13*ORÇAMENTO!$AF$7)*OFFSET(ORÇAMENTO!$W$15,ROW(AT80)-ROW(AT$15),0),15-13*ORÇAMENTO!$AF$11)),
         0)</f>
        <v>0</v>
      </c>
      <c r="AU80" s="452">
        <f ca="1">IF(AND($D80="Serviço",AU$12&lt;&gt;0,$H80&gt;0,OR(AUTOEVENTO&lt;&gt;"manual",$M80&lt;&gt;$A$15)),
        IF(Import.TipoArredondamento&lt;&gt;"TransfereGOV",
              ROUND(OFFSET($P80,0,AU$13),15-13*ORÇAMENTO!$AF$7)/$H80*OFFSET(ORÇAMENTO!$X$15,ROW(AU80)-ROW(AU$15),0),
              ROUND(ROUND(OFFSET($P80,0,AU$13),15-13*ORÇAMENTO!$AF$7)*OFFSET(ORÇAMENTO!$W$15,ROW(AU80)-ROW(AU$15),0),15-13*ORÇAMENTO!$AF$11)),
         0)</f>
        <v>0</v>
      </c>
      <c r="AV80" s="452">
        <f ca="1">IF(AND($D80="Serviço",AV$12&lt;&gt;0,$H80&gt;0,OR(AUTOEVENTO&lt;&gt;"manual",$M80&lt;&gt;$A$15)),
        IF(Import.TipoArredondamento&lt;&gt;"TransfereGOV",
              ROUND(OFFSET($P80,0,AV$13),15-13*ORÇAMENTO!$AF$7)/$H80*OFFSET(ORÇAMENTO!$X$15,ROW(AV80)-ROW(AV$15),0),
              ROUND(ROUND(OFFSET($P80,0,AV$13),15-13*ORÇAMENTO!$AF$7)*OFFSET(ORÇAMENTO!$W$15,ROW(AV80)-ROW(AV$15),0),15-13*ORÇAMENTO!$AF$11)),
         0)</f>
        <v>0</v>
      </c>
      <c r="AW80" s="452">
        <f ca="1">IF(AND($D80="Serviço",AW$12&lt;&gt;0,$H80&gt;0,OR(AUTOEVENTO&lt;&gt;"manual",$M80&lt;&gt;$A$15)),
        IF(Import.TipoArredondamento&lt;&gt;"TransfereGOV",
              ROUND(OFFSET($P80,0,AW$13),15-13*ORÇAMENTO!$AF$7)/$H80*OFFSET(ORÇAMENTO!$X$15,ROW(AW80)-ROW(AW$15),0),
              ROUND(ROUND(OFFSET($P80,0,AW$13),15-13*ORÇAMENTO!$AF$7)*OFFSET(ORÇAMENTO!$W$15,ROW(AW80)-ROW(AW$15),0),15-13*ORÇAMENTO!$AF$11)),
         0)</f>
        <v>0</v>
      </c>
      <c r="AX80" s="452">
        <f ca="1">IF(AND($D80="Serviço",AX$12&lt;&gt;0,$H80&gt;0,OR(AUTOEVENTO&lt;&gt;"manual",$M80&lt;&gt;$A$15)),
        IF(Import.TipoArredondamento&lt;&gt;"TransfereGOV",
              ROUND(OFFSET($P80,0,AX$13),15-13*ORÇAMENTO!$AF$7)/$H80*OFFSET(ORÇAMENTO!$X$15,ROW(AX80)-ROW(AX$15),0),
              ROUND(ROUND(OFFSET($P80,0,AX$13),15-13*ORÇAMENTO!$AF$7)*OFFSET(ORÇAMENTO!$W$15,ROW(AX80)-ROW(AX$15),0),15-13*ORÇAMENTO!$AF$11)),
         0)</f>
        <v>0</v>
      </c>
      <c r="AY80" s="452">
        <f ca="1">IF(AND($D80="Serviço",AY$12&lt;&gt;0,$H80&gt;0,OR(AUTOEVENTO&lt;&gt;"manual",$M80&lt;&gt;$A$15)),
        IF(Import.TipoArredondamento&lt;&gt;"TransfereGOV",
              ROUND(OFFSET($P80,0,AY$13),15-13*ORÇAMENTO!$AF$7)/$H80*OFFSET(ORÇAMENTO!$X$15,ROW(AY80)-ROW(AY$15),0),
              ROUND(ROUND(OFFSET($P80,0,AY$13),15-13*ORÇAMENTO!$AF$7)*OFFSET(ORÇAMENTO!$W$15,ROW(AY80)-ROW(AY$15),0),15-13*ORÇAMENTO!$AF$11)),
         0)</f>
        <v>0</v>
      </c>
      <c r="AZ80" s="452">
        <f ca="1">IF(AND($D80="Serviço",AZ$12&lt;&gt;0,$H80&gt;0,OR(AUTOEVENTO&lt;&gt;"manual",$M80&lt;&gt;$A$15)),
        IF(Import.TipoArredondamento&lt;&gt;"TransfereGOV",
              ROUND(OFFSET($P80,0,AZ$13),15-13*ORÇAMENTO!$AF$7)/$H80*OFFSET(ORÇAMENTO!$X$15,ROW(AZ80)-ROW(AZ$15),0),
              ROUND(ROUND(OFFSET($P80,0,AZ$13),15-13*ORÇAMENTO!$AF$7)*OFFSET(ORÇAMENTO!$W$15,ROW(AZ80)-ROW(AZ$15),0),15-13*ORÇAMENTO!$AF$11)),
         0)</f>
        <v>0</v>
      </c>
      <c r="BA80" s="452">
        <f ca="1">IF(AND($D80="Serviço",BA$12&lt;&gt;0,$H80&gt;0,OR(AUTOEVENTO&lt;&gt;"manual",$M80&lt;&gt;$A$15)),
        IF(Import.TipoArredondamento&lt;&gt;"TransfereGOV",
              ROUND(OFFSET($P80,0,BA$13),15-13*ORÇAMENTO!$AF$7)/$H80*OFFSET(ORÇAMENTO!$X$15,ROW(BA80)-ROW(BA$15),0),
              ROUND(ROUND(OFFSET($P80,0,BA$13),15-13*ORÇAMENTO!$AF$7)*OFFSET(ORÇAMENTO!$W$15,ROW(BA80)-ROW(BA$15),0),15-13*ORÇAMENTO!$AF$11)),
         0)</f>
        <v>0</v>
      </c>
      <c r="BC80" s="171">
        <f ca="1">IF(OR($D80&lt;&gt;"Serviço",AND(AUTOEVENTO="Manual",$M80=$A$15)),0,
         IF(OFFSET(CRONOPLE!$F$15,$M80-$A$15,BC$13)=0,10^12,OFFSET(CRONOPLE!$F$15,$M80-$A$15,BC$13)))</f>
        <v>4</v>
      </c>
      <c r="BD80" s="171">
        <f ca="1">IF(OR($D80&lt;&gt;"Serviço",AND(AUTOEVENTO="Manual",$M80=$A$15)),0,
         IF(OFFSET(CRONOPLE!$F$15,$M80-$A$15,BD$13)=0,10^12,OFFSET(CRONOPLE!$F$15,$M80-$A$15,BD$13)))</f>
        <v>5</v>
      </c>
      <c r="BE80" s="171">
        <f ca="1">IF(OR($D80&lt;&gt;"Serviço",AND(AUTOEVENTO="Manual",$M80=$A$15)),0,
         IF(OFFSET(CRONOPLE!$F$15,$M80-$A$15,BE$13)=0,10^12,OFFSET(CRONOPLE!$F$15,$M80-$A$15,BE$13)))</f>
        <v>6</v>
      </c>
      <c r="BF80" s="171">
        <f ca="1">IF(OR($D80&lt;&gt;"Serviço",AND(AUTOEVENTO="Manual",$M80=$A$15)),0,
         IF(OFFSET(CRONOPLE!$F$15,$M80-$A$15,BF$13)=0,10^12,OFFSET(CRONOPLE!$F$15,$M80-$A$15,BF$13)))</f>
        <v>6</v>
      </c>
      <c r="BG80" s="171">
        <f ca="1">IF(OR($D80&lt;&gt;"Serviço",AND(AUTOEVENTO="Manual",$M80=$A$15)),0,
         IF(OFFSET(CRONOPLE!$F$15,$M80-$A$15,BG$13)=0,10^12,OFFSET(CRONOPLE!$F$15,$M80-$A$15,BG$13)))</f>
        <v>6</v>
      </c>
      <c r="BH80" s="171">
        <f ca="1">IF(OR($D80&lt;&gt;"Serviço",AND(AUTOEVENTO="Manual",$M80=$A$15)),0,
         IF(OFFSET(CRONOPLE!$F$15,$M80-$A$15,BH$13)=0,10^12,OFFSET(CRONOPLE!$F$15,$M80-$A$15,BH$13)))</f>
        <v>1000000000000</v>
      </c>
      <c r="BI80" s="171">
        <f ca="1">IF(OR($D80&lt;&gt;"Serviço",AND(AUTOEVENTO="Manual",$M80=$A$15)),0,
         IF(OFFSET(CRONOPLE!$F$15,$M80-$A$15,BI$13)=0,10^12,OFFSET(CRONOPLE!$F$15,$M80-$A$15,BI$13)))</f>
        <v>7</v>
      </c>
      <c r="BJ80" s="171">
        <f ca="1">IF(OR($D80&lt;&gt;"Serviço",AND(AUTOEVENTO="Manual",$M80=$A$15)),0,
         IF(OFFSET(CRONOPLE!$F$15,$M80-$A$15,BJ$13)=0,10^12,OFFSET(CRONOPLE!$F$15,$M80-$A$15,BJ$13)))</f>
        <v>1000000000000</v>
      </c>
      <c r="BK80" s="171">
        <f ca="1">IF(OR($D80&lt;&gt;"Serviço",AND(AUTOEVENTO="Manual",$M80=$A$15)),0,
         IF(OFFSET(CRONOPLE!$F$15,$M80-$A$15,BK$13)=0,10^12,OFFSET(CRONOPLE!$F$15,$M80-$A$15,BK$13)))</f>
        <v>1000000000000</v>
      </c>
      <c r="BL80" s="171">
        <f ca="1">IF(OR($D80&lt;&gt;"Serviço",AND(AUTOEVENTO="Manual",$M80=$A$15)),0,
         IF(OFFSET(CRONOPLE!$F$15,$M80-$A$15,BL$13)=0,10^12,OFFSET(CRONOPLE!$F$15,$M80-$A$15,BL$13)))</f>
        <v>1000000000000</v>
      </c>
      <c r="BM80" s="171">
        <f ca="1">IF(OR($D80&lt;&gt;"Serviço",AND(AUTOEVENTO="Manual",$M80=$A$15)),0,
         IF(OFFSET(CRONOPLE!$F$15,$M80-$A$15,BM$13)=0,10^12,OFFSET(CRONOPLE!$F$15,$M80-$A$15,BM$13)))</f>
        <v>1000000000000</v>
      </c>
      <c r="BN80" s="171">
        <f ca="1">IF(OR($D80&lt;&gt;"Serviço",AND(AUTOEVENTO="Manual",$M80=$A$15)),0,
         IF(OFFSET(CRONOPLE!$F$15,$M80-$A$15,BN$13)=0,10^12,OFFSET(CRONOPLE!$F$15,$M80-$A$15,BN$13)))</f>
        <v>1000000000000</v>
      </c>
      <c r="BO80" s="171">
        <f ca="1">IF(OR($D80&lt;&gt;"Serviço",AND(AUTOEVENTO="Manual",$M80=$A$15)),0,
         IF(OFFSET(CRONOPLE!$F$15,$M80-$A$15,BO$13)=0,10^12,OFFSET(CRONOPLE!$F$15,$M80-$A$15,BO$13)))</f>
        <v>1000000000000</v>
      </c>
      <c r="BP80" s="171">
        <f ca="1">IF(OR($D80&lt;&gt;"Serviço",AND(AUTOEVENTO="Manual",$M80=$A$15)),0,
         IF(OFFSET(CRONOPLE!$F$15,$M80-$A$15,BP$13)=0,10^12,OFFSET(CRONOPLE!$F$15,$M80-$A$15,BP$13)))</f>
        <v>1000000000000</v>
      </c>
      <c r="BQ80" s="171">
        <f ca="1">IF(OR($D80&lt;&gt;"Serviço",AND(AUTOEVENTO="Manual",$M80=$A$15)),0,
         IF(OFFSET(CRONOPLE!$F$15,$M80-$A$15,BQ$13)=0,10^12,OFFSET(CRONOPLE!$F$15,$M80-$A$15,BQ$13)))</f>
        <v>1000000000000</v>
      </c>
      <c r="BR80" s="171">
        <f ca="1">IF(OR($D80&lt;&gt;"Serviço",AND(AUTOEVENTO="Manual",$M80=$A$15)),0,
         IF(OFFSET(CRONOPLE!$F$15,$M80-$A$15,BR$13)=0,10^12,OFFSET(CRONOPLE!$F$15,$M80-$A$15,BR$13)))</f>
        <v>1000000000000</v>
      </c>
      <c r="BS80" s="171">
        <f ca="1">IF(OR($D80&lt;&gt;"Serviço",AND(AUTOEVENTO="Manual",$M80=$A$15)),0,
         IF(OFFSET(CRONOPLE!$F$15,$M80-$A$15,BS$13)=0,10^12,OFFSET(CRONOPLE!$F$15,$M80-$A$15,BS$13)))</f>
        <v>1000000000000</v>
      </c>
      <c r="BT80" s="171">
        <f ca="1">IF(OR($D80&lt;&gt;"Serviço",AND(AUTOEVENTO="Manual",$M80=$A$15)),0,
         IF(OFFSET(CRONOPLE!$F$15,$M80-$A$15,BT$13)=0,10^12,OFFSET(CRONOPLE!$F$15,$M80-$A$15,BT$13)))</f>
        <v>1000000000000</v>
      </c>
      <c r="BV80" s="172">
        <f t="array" aca="1" ref="BV80" ca="1">IF(OR($D80&lt;&gt;"Serviço",AND(AUTOEVENTO="Manual",$M80=$A$15),$M80&gt;(ROW(PLE.lastrow)-ROW(PLE.firstrow))),0,
           IF(OFFSET(PLE!$G$15,$M80-$A$15,BV$13)="",10^12,OFFSET(PLE!$G$15,$M80-$A$15,BV$13)))</f>
        <v>1000000000000</v>
      </c>
      <c r="BW80" s="172">
        <f t="array" aca="1" ref="BW80" ca="1">IF(OR($D80&lt;&gt;"Serviço",AND(AUTOEVENTO="Manual",$M80=$A$15),$M80&gt;(ROW(PLE.lastrow)-ROW(PLE.firstrow))),0,
           IF(OFFSET(PLE!$G$15,$M80-$A$15,BW$13)="",10^12,OFFSET(PLE!$G$15,$M80-$A$15,BW$13)))</f>
        <v>1000000000000</v>
      </c>
      <c r="BX80" s="172">
        <f t="array" aca="1" ref="BX80" ca="1">IF(OR($D80&lt;&gt;"Serviço",AND(AUTOEVENTO="Manual",$M80=$A$15),$M80&gt;(ROW(PLE.lastrow)-ROW(PLE.firstrow))),0,
           IF(OFFSET(PLE!$G$15,$M80-$A$15,BX$13)="",10^12,OFFSET(PLE!$G$15,$M80-$A$15,BX$13)))</f>
        <v>1000000000000</v>
      </c>
      <c r="BY80" s="172">
        <f t="array" aca="1" ref="BY80" ca="1">IF(OR($D80&lt;&gt;"Serviço",AND(AUTOEVENTO="Manual",$M80=$A$15),$M80&gt;(ROW(PLE.lastrow)-ROW(PLE.firstrow))),0,
           IF(OFFSET(PLE!$G$15,$M80-$A$15,BY$13)="",10^12,OFFSET(PLE!$G$15,$M80-$A$15,BY$13)))</f>
        <v>1000000000000</v>
      </c>
      <c r="BZ80" s="172">
        <f t="array" aca="1" ref="BZ80" ca="1">IF(OR($D80&lt;&gt;"Serviço",AND(AUTOEVENTO="Manual",$M80=$A$15),$M80&gt;(ROW(PLE.lastrow)-ROW(PLE.firstrow))),0,
           IF(OFFSET(PLE!$G$15,$M80-$A$15,BZ$13)="",10^12,OFFSET(PLE!$G$15,$M80-$A$15,BZ$13)))</f>
        <v>1000000000000</v>
      </c>
      <c r="CA80" s="172">
        <f t="array" aca="1" ref="CA80" ca="1">IF(OR($D80&lt;&gt;"Serviço",AND(AUTOEVENTO="Manual",$M80=$A$15),$M80&gt;(ROW(PLE.lastrow)-ROW(PLE.firstrow))),0,
           IF(OFFSET(PLE!$G$15,$M80-$A$15,CA$13)="",10^12,OFFSET(PLE!$G$15,$M80-$A$15,CA$13)))</f>
        <v>1000000000000</v>
      </c>
      <c r="CB80" s="172">
        <f t="array" aca="1" ref="CB80" ca="1">IF(OR($D80&lt;&gt;"Serviço",AND(AUTOEVENTO="Manual",$M80=$A$15),$M80&gt;(ROW(PLE.lastrow)-ROW(PLE.firstrow))),0,
           IF(OFFSET(PLE!$G$15,$M80-$A$15,CB$13)="",10^12,OFFSET(PLE!$G$15,$M80-$A$15,CB$13)))</f>
        <v>1000000000000</v>
      </c>
      <c r="CC80" s="172">
        <f t="array" aca="1" ref="CC80" ca="1">IF(OR($D80&lt;&gt;"Serviço",AND(AUTOEVENTO="Manual",$M80=$A$15),$M80&gt;(ROW(PLE.lastrow)-ROW(PLE.firstrow))),0,
           IF(OFFSET(PLE!$G$15,$M80-$A$15,CC$13)="",10^12,OFFSET(PLE!$G$15,$M80-$A$15,CC$13)))</f>
        <v>1000000000000</v>
      </c>
      <c r="CD80" s="172">
        <f t="array" aca="1" ref="CD80" ca="1">IF(OR($D80&lt;&gt;"Serviço",AND(AUTOEVENTO="Manual",$M80=$A$15),$M80&gt;(ROW(PLE.lastrow)-ROW(PLE.firstrow))),0,
           IF(OFFSET(PLE!$G$15,$M80-$A$15,CD$13)="",10^12,OFFSET(PLE!$G$15,$M80-$A$15,CD$13)))</f>
        <v>1000000000000</v>
      </c>
      <c r="CE80" s="172">
        <f t="array" aca="1" ref="CE80" ca="1">IF(OR($D80&lt;&gt;"Serviço",AND(AUTOEVENTO="Manual",$M80=$A$15),$M80&gt;(ROW(PLE.lastrow)-ROW(PLE.firstrow))),0,
           IF(OFFSET(PLE!$G$15,$M80-$A$15,CE$13)="",10^12,OFFSET(PLE!$G$15,$M80-$A$15,CE$13)))</f>
        <v>1000000000000</v>
      </c>
      <c r="CF80" s="172">
        <f t="array" aca="1" ref="CF80" ca="1">IF(OR($D80&lt;&gt;"Serviço",AND(AUTOEVENTO="Manual",$M80=$A$15),$M80&gt;(ROW(PLE.lastrow)-ROW(PLE.firstrow))),0,
           IF(OFFSET(PLE!$G$15,$M80-$A$15,CF$13)="",10^12,OFFSET(PLE!$G$15,$M80-$A$15,CF$13)))</f>
        <v>1000000000000</v>
      </c>
      <c r="CG80" s="172">
        <f t="array" aca="1" ref="CG80" ca="1">IF(OR($D80&lt;&gt;"Serviço",AND(AUTOEVENTO="Manual",$M80=$A$15),$M80&gt;(ROW(PLE.lastrow)-ROW(PLE.firstrow))),0,
           IF(OFFSET(PLE!$G$15,$M80-$A$15,CG$13)="",10^12,OFFSET(PLE!$G$15,$M80-$A$15,CG$13)))</f>
        <v>1000000000000</v>
      </c>
      <c r="CH80" s="172">
        <f t="array" aca="1" ref="CH80" ca="1">IF(OR($D80&lt;&gt;"Serviço",AND(AUTOEVENTO="Manual",$M80=$A$15),$M80&gt;(ROW(PLE.lastrow)-ROW(PLE.firstrow))),0,
           IF(OFFSET(PLE!$G$15,$M80-$A$15,CH$13)="",10^12,OFFSET(PLE!$G$15,$M80-$A$15,CH$13)))</f>
        <v>1000000000000</v>
      </c>
      <c r="CI80" s="172">
        <f t="array" aca="1" ref="CI80" ca="1">IF(OR($D80&lt;&gt;"Serviço",AND(AUTOEVENTO="Manual",$M80=$A$15),$M80&gt;(ROW(PLE.lastrow)-ROW(PLE.firstrow))),0,
           IF(OFFSET(PLE!$G$15,$M80-$A$15,CI$13)="",10^12,OFFSET(PLE!$G$15,$M80-$A$15,CI$13)))</f>
        <v>1000000000000</v>
      </c>
      <c r="CJ80" s="172">
        <f t="array" aca="1" ref="CJ80" ca="1">IF(OR($D80&lt;&gt;"Serviço",AND(AUTOEVENTO="Manual",$M80=$A$15),$M80&gt;(ROW(PLE.lastrow)-ROW(PLE.firstrow))),0,
           IF(OFFSET(PLE!$G$15,$M80-$A$15,CJ$13)="",10^12,OFFSET(PLE!$G$15,$M80-$A$15,CJ$13)))</f>
        <v>1000000000000</v>
      </c>
      <c r="CK80" s="172">
        <f t="array" aca="1" ref="CK80" ca="1">IF(OR($D80&lt;&gt;"Serviço",AND(AUTOEVENTO="Manual",$M80=$A$15),$M80&gt;(ROW(PLE.lastrow)-ROW(PLE.firstrow))),0,
           IF(OFFSET(PLE!$G$15,$M80-$A$15,CK$13)="",10^12,OFFSET(PLE!$G$15,$M80-$A$15,CK$13)))</f>
        <v>1000000000000</v>
      </c>
      <c r="CL80" s="172">
        <f t="array" aca="1" ref="CL80" ca="1">IF(OR($D80&lt;&gt;"Serviço",AND(AUTOEVENTO="Manual",$M80=$A$15),$M80&gt;(ROW(PLE.lastrow)-ROW(PLE.firstrow))),0,
           IF(OFFSET(PLE!$G$15,$M80-$A$15,CL$13)="",10^12,OFFSET(PLE!$G$15,$M80-$A$15,CL$13)))</f>
        <v>1000000000000</v>
      </c>
      <c r="CM80" s="172">
        <f t="array" aca="1" ref="CM80" ca="1">IF(OR($D80&lt;&gt;"Serviço",AND(AUTOEVENTO="Manual",$M80=$A$15),$M80&gt;(ROW(PLE.lastrow)-ROW(PLE.firstrow))),0,
           IF(OFFSET(PLE!$G$15,$M80-$A$15,CM$13)="",10^12,OFFSET(PLE!$G$15,$M80-$A$15,CM$13)))</f>
        <v>1000000000000</v>
      </c>
    </row>
    <row r="81" spans="1:91" s="696" customFormat="1" ht="25.5" x14ac:dyDescent="0.2">
      <c r="A81" s="694">
        <f t="shared" ca="1" si="45"/>
        <v>13</v>
      </c>
      <c r="B81" s="694" t="str">
        <f ca="1">OFFSET(ORÇAMENTO!C$15,$L81,0)</f>
        <v>S</v>
      </c>
      <c r="C81" s="694" t="str">
        <f ca="1">OFFSET(ORÇAMENTO!L$15,$L81,0)</f>
        <v>F</v>
      </c>
      <c r="D81" s="116" t="str">
        <f ca="1">OFFSET(ORÇAMENTO!N$15,$L81,0)</f>
        <v>Serviço</v>
      </c>
      <c r="E81" s="117" t="str">
        <f ca="1">OFFSET(ORÇAMENTO!O$15,$L81,0)</f>
        <v>1.12.3.</v>
      </c>
      <c r="F81" s="163" t="str">
        <f ca="1">OFFSET(ORÇAMENTO!R$15,$L81,0)</f>
        <v>PINTURA IMUNIZANTE PARA MADEIRA, 1 DEMÃO. AF_01/2021</v>
      </c>
      <c r="G81" s="164" t="str">
        <f ca="1">IF($D81&lt;&gt;"Serviço","",OFFSET(ORÇAMENTO!S$15,$L81,0))</f>
        <v>M2</v>
      </c>
      <c r="H81" s="122">
        <f t="array" aca="1" ref="H81" ca="1">IF($D81&lt;&gt;"Serviço",0,IF(ACOMPANHAMENTO="BM",ROUND(OFFSET(ORÇAMENTO!AJ$15,$L81,0),15-13*ORÇAMENTO!$AF$7),IF(IFERROR(CÁLCULO.FrentesPreenchidas,0)=0,0,SUM(ROUND(OFFSET($P81,0,1,1,CÁLCULO.FrentesPreenchidas),15-13*ORÇAMENTO!$AF$7)))))</f>
        <v>2076</v>
      </c>
      <c r="I81" s="467" t="s">
        <v>1249</v>
      </c>
      <c r="J81" s="653" t="str">
        <f t="array" aca="1" ref="J81" ca="1">IF(OR(B81&lt;&gt;"S",CÁLCULO.FrentesPreenchidas=0),"",IF(AND(ACOMPANHAMENTO="PLE",AUTOEVENTO="Manual",OR(H81&gt;0,ORÇAMENTO!AC81="QUANT."),OR(K81="",M81=0,N81="")),"►E",IF(AND(ACOMPANHAMENTO="PLE",ORÇAMENTO!AC81="QUANT."),"►Q",IF(AND(ACOMPANHAMENTO="PLE",H81&lt;&gt;SUMPRODUCT(($Q$1:$AI$1=1)*ROUND(Q81:AI81,15))),"►S",IF(AND(COUNTIF($P$11:$AI$11,"▼")=0,H81&gt;0,I81=""),"◄M","")))))</f>
        <v/>
      </c>
      <c r="K81" s="654" t="s">
        <v>1394</v>
      </c>
      <c r="L81" s="165">
        <f t="shared" ca="1" si="46"/>
        <v>66</v>
      </c>
      <c r="M81" s="166">
        <f ca="1">IF($D81&lt;&gt;"Serviço","",
          IF(AUTOEVENTO="manual",$A81,
                IF(ISERROR(MATCH($A81,$A$15:OFFSET($A81,-1,0),0)),MAX($M$15:OFFSET(M81,-1,0))+1,
                      INDEX($M$15:OFFSET(M81,-1,0),MATCH($A81,$A$15:OFFSET($A81,-1,0),0)))))</f>
        <v>13</v>
      </c>
      <c r="N81" s="167" t="str">
        <f ca="1">IF($D81&lt;&gt;"Serviço","",
         IF(AUTOEVENTO="Manual",
                IF($A81=0,"&lt;-- defina o número do agrupador",
                       OFFSET(EVENTOS!$D$15,$A81-$A$15,0)),
                OFFSET($F$15,$A81,0)))</f>
        <v>ESTRUTURA DE COBERTURA</v>
      </c>
      <c r="O81" s="168"/>
      <c r="Q81" s="169">
        <f>103.8*5</f>
        <v>519</v>
      </c>
      <c r="R81" s="169">
        <f t="shared" ref="R81:T81" si="49">103.8*5</f>
        <v>519</v>
      </c>
      <c r="S81" s="169">
        <f t="shared" si="49"/>
        <v>519</v>
      </c>
      <c r="T81" s="169">
        <f t="shared" si="49"/>
        <v>519</v>
      </c>
      <c r="U81" s="169"/>
      <c r="V81" s="169"/>
      <c r="W81" s="169"/>
      <c r="X81" s="169"/>
      <c r="Y81" s="169"/>
      <c r="Z81" s="170"/>
      <c r="AA81" s="169"/>
      <c r="AB81" s="169"/>
      <c r="AC81" s="169"/>
      <c r="AD81" s="169"/>
      <c r="AE81" s="169"/>
      <c r="AF81" s="169"/>
      <c r="AG81" s="169"/>
      <c r="AH81" s="170"/>
      <c r="AJ81" s="452">
        <f ca="1">IF(AND($D81="Serviço",AJ$12&lt;&gt;0,$H81&gt;0,OR(AUTOEVENTO&lt;&gt;"manual",$M81&lt;&gt;$A$15)),
        IF(Import.TipoArredondamento&lt;&gt;"TransfereGOV",
              ROUND(OFFSET($P81,0,AJ$13),15-13*ORÇAMENTO!$AF$7)/$H81*OFFSET(ORÇAMENTO!$X$15,ROW(AJ81)-ROW(AJ$15),0),
              ROUND(ROUND(OFFSET($P81,0,AJ$13),15-13*ORÇAMENTO!$AF$7)*OFFSET(ORÇAMENTO!$W$15,ROW(AJ81)-ROW(AJ$15),0),15-13*ORÇAMENTO!$AF$11)),
         0)</f>
        <v>6778.14</v>
      </c>
      <c r="AK81" s="452">
        <f ca="1">IF(AND($D81="Serviço",AK$12&lt;&gt;0,$H81&gt;0,OR(AUTOEVENTO&lt;&gt;"manual",$M81&lt;&gt;$A$15)),
        IF(Import.TipoArredondamento&lt;&gt;"TransfereGOV",
              ROUND(OFFSET($P81,0,AK$13),15-13*ORÇAMENTO!$AF$7)/$H81*OFFSET(ORÇAMENTO!$X$15,ROW(AK81)-ROW(AK$15),0),
              ROUND(ROUND(OFFSET($P81,0,AK$13),15-13*ORÇAMENTO!$AF$7)*OFFSET(ORÇAMENTO!$W$15,ROW(AK81)-ROW(AK$15),0),15-13*ORÇAMENTO!$AF$11)),
         0)</f>
        <v>6778.14</v>
      </c>
      <c r="AL81" s="452">
        <f ca="1">IF(AND($D81="Serviço",AL$12&lt;&gt;0,$H81&gt;0,OR(AUTOEVENTO&lt;&gt;"manual",$M81&lt;&gt;$A$15)),
        IF(Import.TipoArredondamento&lt;&gt;"TransfereGOV",
              ROUND(OFFSET($P81,0,AL$13),15-13*ORÇAMENTO!$AF$7)/$H81*OFFSET(ORÇAMENTO!$X$15,ROW(AL81)-ROW(AL$15),0),
              ROUND(ROUND(OFFSET($P81,0,AL$13),15-13*ORÇAMENTO!$AF$7)*OFFSET(ORÇAMENTO!$W$15,ROW(AL81)-ROW(AL$15),0),15-13*ORÇAMENTO!$AF$11)),
         0)</f>
        <v>6778.14</v>
      </c>
      <c r="AM81" s="452">
        <f ca="1">IF(AND($D81="Serviço",AM$12&lt;&gt;0,$H81&gt;0,OR(AUTOEVENTO&lt;&gt;"manual",$M81&lt;&gt;$A$15)),
        IF(Import.TipoArredondamento&lt;&gt;"TransfereGOV",
              ROUND(OFFSET($P81,0,AM$13),15-13*ORÇAMENTO!$AF$7)/$H81*OFFSET(ORÇAMENTO!$X$15,ROW(AM81)-ROW(AM$15),0),
              ROUND(ROUND(OFFSET($P81,0,AM$13),15-13*ORÇAMENTO!$AF$7)*OFFSET(ORÇAMENTO!$W$15,ROW(AM81)-ROW(AM$15),0),15-13*ORÇAMENTO!$AF$11)),
         0)</f>
        <v>6778.14</v>
      </c>
      <c r="AN81" s="452">
        <f ca="1">IF(AND($D81="Serviço",AN$12&lt;&gt;0,$H81&gt;0,OR(AUTOEVENTO&lt;&gt;"manual",$M81&lt;&gt;$A$15)),
        IF(Import.TipoArredondamento&lt;&gt;"TransfereGOV",
              ROUND(OFFSET($P81,0,AN$13),15-13*ORÇAMENTO!$AF$7)/$H81*OFFSET(ORÇAMENTO!$X$15,ROW(AN81)-ROW(AN$15),0),
              ROUND(ROUND(OFFSET($P81,0,AN$13),15-13*ORÇAMENTO!$AF$7)*OFFSET(ORÇAMENTO!$W$15,ROW(AN81)-ROW(AN$15),0),15-13*ORÇAMENTO!$AF$11)),
         0)</f>
        <v>0</v>
      </c>
      <c r="AO81" s="452">
        <f ca="1">IF(AND($D81="Serviço",AO$12&lt;&gt;0,$H81&gt;0,OR(AUTOEVENTO&lt;&gt;"manual",$M81&lt;&gt;$A$15)),
        IF(Import.TipoArredondamento&lt;&gt;"TransfereGOV",
              ROUND(OFFSET($P81,0,AO$13),15-13*ORÇAMENTO!$AF$7)/$H81*OFFSET(ORÇAMENTO!$X$15,ROW(AO81)-ROW(AO$15),0),
              ROUND(ROUND(OFFSET($P81,0,AO$13),15-13*ORÇAMENTO!$AF$7)*OFFSET(ORÇAMENTO!$W$15,ROW(AO81)-ROW(AO$15),0),15-13*ORÇAMENTO!$AF$11)),
         0)</f>
        <v>0</v>
      </c>
      <c r="AP81" s="452">
        <f ca="1">IF(AND($D81="Serviço",AP$12&lt;&gt;0,$H81&gt;0,OR(AUTOEVENTO&lt;&gt;"manual",$M81&lt;&gt;$A$15)),
        IF(Import.TipoArredondamento&lt;&gt;"TransfereGOV",
              ROUND(OFFSET($P81,0,AP$13),15-13*ORÇAMENTO!$AF$7)/$H81*OFFSET(ORÇAMENTO!$X$15,ROW(AP81)-ROW(AP$15),0),
              ROUND(ROUND(OFFSET($P81,0,AP$13),15-13*ORÇAMENTO!$AF$7)*OFFSET(ORÇAMENTO!$W$15,ROW(AP81)-ROW(AP$15),0),15-13*ORÇAMENTO!$AF$11)),
         0)</f>
        <v>0</v>
      </c>
      <c r="AQ81" s="452">
        <f ca="1">IF(AND($D81="Serviço",AQ$12&lt;&gt;0,$H81&gt;0,OR(AUTOEVENTO&lt;&gt;"manual",$M81&lt;&gt;$A$15)),
        IF(Import.TipoArredondamento&lt;&gt;"TransfereGOV",
              ROUND(OFFSET($P81,0,AQ$13),15-13*ORÇAMENTO!$AF$7)/$H81*OFFSET(ORÇAMENTO!$X$15,ROW(AQ81)-ROW(AQ$15),0),
              ROUND(ROUND(OFFSET($P81,0,AQ$13),15-13*ORÇAMENTO!$AF$7)*OFFSET(ORÇAMENTO!$W$15,ROW(AQ81)-ROW(AQ$15),0),15-13*ORÇAMENTO!$AF$11)),
         0)</f>
        <v>0</v>
      </c>
      <c r="AR81" s="452">
        <f ca="1">IF(AND($D81="Serviço",AR$12&lt;&gt;0,$H81&gt;0,OR(AUTOEVENTO&lt;&gt;"manual",$M81&lt;&gt;$A$15)),
        IF(Import.TipoArredondamento&lt;&gt;"TransfereGOV",
              ROUND(OFFSET($P81,0,AR$13),15-13*ORÇAMENTO!$AF$7)/$H81*OFFSET(ORÇAMENTO!$X$15,ROW(AR81)-ROW(AR$15),0),
              ROUND(ROUND(OFFSET($P81,0,AR$13),15-13*ORÇAMENTO!$AF$7)*OFFSET(ORÇAMENTO!$W$15,ROW(AR81)-ROW(AR$15),0),15-13*ORÇAMENTO!$AF$11)),
         0)</f>
        <v>0</v>
      </c>
      <c r="AS81" s="452">
        <f ca="1">IF(AND($D81="Serviço",AS$12&lt;&gt;0,$H81&gt;0,OR(AUTOEVENTO&lt;&gt;"manual",$M81&lt;&gt;$A$15)),
        IF(Import.TipoArredondamento&lt;&gt;"TransfereGOV",
              ROUND(OFFSET($P81,0,AS$13),15-13*ORÇAMENTO!$AF$7)/$H81*OFFSET(ORÇAMENTO!$X$15,ROW(AS81)-ROW(AS$15),0),
              ROUND(ROUND(OFFSET($P81,0,AS$13),15-13*ORÇAMENTO!$AF$7)*OFFSET(ORÇAMENTO!$W$15,ROW(AS81)-ROW(AS$15),0),15-13*ORÇAMENTO!$AF$11)),
         0)</f>
        <v>0</v>
      </c>
      <c r="AT81" s="452">
        <f ca="1">IF(AND($D81="Serviço",AT$12&lt;&gt;0,$H81&gt;0,OR(AUTOEVENTO&lt;&gt;"manual",$M81&lt;&gt;$A$15)),
        IF(Import.TipoArredondamento&lt;&gt;"TransfereGOV",
              ROUND(OFFSET($P81,0,AT$13),15-13*ORÇAMENTO!$AF$7)/$H81*OFFSET(ORÇAMENTO!$X$15,ROW(AT81)-ROW(AT$15),0),
              ROUND(ROUND(OFFSET($P81,0,AT$13),15-13*ORÇAMENTO!$AF$7)*OFFSET(ORÇAMENTO!$W$15,ROW(AT81)-ROW(AT$15),0),15-13*ORÇAMENTO!$AF$11)),
         0)</f>
        <v>0</v>
      </c>
      <c r="AU81" s="452">
        <f ca="1">IF(AND($D81="Serviço",AU$12&lt;&gt;0,$H81&gt;0,OR(AUTOEVENTO&lt;&gt;"manual",$M81&lt;&gt;$A$15)),
        IF(Import.TipoArredondamento&lt;&gt;"TransfereGOV",
              ROUND(OFFSET($P81,0,AU$13),15-13*ORÇAMENTO!$AF$7)/$H81*OFFSET(ORÇAMENTO!$X$15,ROW(AU81)-ROW(AU$15),0),
              ROUND(ROUND(OFFSET($P81,0,AU$13),15-13*ORÇAMENTO!$AF$7)*OFFSET(ORÇAMENTO!$W$15,ROW(AU81)-ROW(AU$15),0),15-13*ORÇAMENTO!$AF$11)),
         0)</f>
        <v>0</v>
      </c>
      <c r="AV81" s="452">
        <f ca="1">IF(AND($D81="Serviço",AV$12&lt;&gt;0,$H81&gt;0,OR(AUTOEVENTO&lt;&gt;"manual",$M81&lt;&gt;$A$15)),
        IF(Import.TipoArredondamento&lt;&gt;"TransfereGOV",
              ROUND(OFFSET($P81,0,AV$13),15-13*ORÇAMENTO!$AF$7)/$H81*OFFSET(ORÇAMENTO!$X$15,ROW(AV81)-ROW(AV$15),0),
              ROUND(ROUND(OFFSET($P81,0,AV$13),15-13*ORÇAMENTO!$AF$7)*OFFSET(ORÇAMENTO!$W$15,ROW(AV81)-ROW(AV$15),0),15-13*ORÇAMENTO!$AF$11)),
         0)</f>
        <v>0</v>
      </c>
      <c r="AW81" s="452">
        <f ca="1">IF(AND($D81="Serviço",AW$12&lt;&gt;0,$H81&gt;0,OR(AUTOEVENTO&lt;&gt;"manual",$M81&lt;&gt;$A$15)),
        IF(Import.TipoArredondamento&lt;&gt;"TransfereGOV",
              ROUND(OFFSET($P81,0,AW$13),15-13*ORÇAMENTO!$AF$7)/$H81*OFFSET(ORÇAMENTO!$X$15,ROW(AW81)-ROW(AW$15),0),
              ROUND(ROUND(OFFSET($P81,0,AW$13),15-13*ORÇAMENTO!$AF$7)*OFFSET(ORÇAMENTO!$W$15,ROW(AW81)-ROW(AW$15),0),15-13*ORÇAMENTO!$AF$11)),
         0)</f>
        <v>0</v>
      </c>
      <c r="AX81" s="452">
        <f ca="1">IF(AND($D81="Serviço",AX$12&lt;&gt;0,$H81&gt;0,OR(AUTOEVENTO&lt;&gt;"manual",$M81&lt;&gt;$A$15)),
        IF(Import.TipoArredondamento&lt;&gt;"TransfereGOV",
              ROUND(OFFSET($P81,0,AX$13),15-13*ORÇAMENTO!$AF$7)/$H81*OFFSET(ORÇAMENTO!$X$15,ROW(AX81)-ROW(AX$15),0),
              ROUND(ROUND(OFFSET($P81,0,AX$13),15-13*ORÇAMENTO!$AF$7)*OFFSET(ORÇAMENTO!$W$15,ROW(AX81)-ROW(AX$15),0),15-13*ORÇAMENTO!$AF$11)),
         0)</f>
        <v>0</v>
      </c>
      <c r="AY81" s="452">
        <f ca="1">IF(AND($D81="Serviço",AY$12&lt;&gt;0,$H81&gt;0,OR(AUTOEVENTO&lt;&gt;"manual",$M81&lt;&gt;$A$15)),
        IF(Import.TipoArredondamento&lt;&gt;"TransfereGOV",
              ROUND(OFFSET($P81,0,AY$13),15-13*ORÇAMENTO!$AF$7)/$H81*OFFSET(ORÇAMENTO!$X$15,ROW(AY81)-ROW(AY$15),0),
              ROUND(ROUND(OFFSET($P81,0,AY$13),15-13*ORÇAMENTO!$AF$7)*OFFSET(ORÇAMENTO!$W$15,ROW(AY81)-ROW(AY$15),0),15-13*ORÇAMENTO!$AF$11)),
         0)</f>
        <v>0</v>
      </c>
      <c r="AZ81" s="452">
        <f ca="1">IF(AND($D81="Serviço",AZ$12&lt;&gt;0,$H81&gt;0,OR(AUTOEVENTO&lt;&gt;"manual",$M81&lt;&gt;$A$15)),
        IF(Import.TipoArredondamento&lt;&gt;"TransfereGOV",
              ROUND(OFFSET($P81,0,AZ$13),15-13*ORÇAMENTO!$AF$7)/$H81*OFFSET(ORÇAMENTO!$X$15,ROW(AZ81)-ROW(AZ$15),0),
              ROUND(ROUND(OFFSET($P81,0,AZ$13),15-13*ORÇAMENTO!$AF$7)*OFFSET(ORÇAMENTO!$W$15,ROW(AZ81)-ROW(AZ$15),0),15-13*ORÇAMENTO!$AF$11)),
         0)</f>
        <v>0</v>
      </c>
      <c r="BA81" s="452">
        <f ca="1">IF(AND($D81="Serviço",BA$12&lt;&gt;0,$H81&gt;0,OR(AUTOEVENTO&lt;&gt;"manual",$M81&lt;&gt;$A$15)),
        IF(Import.TipoArredondamento&lt;&gt;"TransfereGOV",
              ROUND(OFFSET($P81,0,BA$13),15-13*ORÇAMENTO!$AF$7)/$H81*OFFSET(ORÇAMENTO!$X$15,ROW(BA81)-ROW(BA$15),0),
              ROUND(ROUND(OFFSET($P81,0,BA$13),15-13*ORÇAMENTO!$AF$7)*OFFSET(ORÇAMENTO!$W$15,ROW(BA81)-ROW(BA$15),0),15-13*ORÇAMENTO!$AF$11)),
         0)</f>
        <v>0</v>
      </c>
      <c r="BC81" s="171">
        <f ca="1">IF(OR($D81&lt;&gt;"Serviço",AND(AUTOEVENTO="Manual",$M81=$A$15)),0,
         IF(OFFSET(CRONOPLE!$F$15,$M81-$A$15,BC$13)=0,10^12,OFFSET(CRONOPLE!$F$15,$M81-$A$15,BC$13)))</f>
        <v>4</v>
      </c>
      <c r="BD81" s="171">
        <f ca="1">IF(OR($D81&lt;&gt;"Serviço",AND(AUTOEVENTO="Manual",$M81=$A$15)),0,
         IF(OFFSET(CRONOPLE!$F$15,$M81-$A$15,BD$13)=0,10^12,OFFSET(CRONOPLE!$F$15,$M81-$A$15,BD$13)))</f>
        <v>5</v>
      </c>
      <c r="BE81" s="171">
        <f ca="1">IF(OR($D81&lt;&gt;"Serviço",AND(AUTOEVENTO="Manual",$M81=$A$15)),0,
         IF(OFFSET(CRONOPLE!$F$15,$M81-$A$15,BE$13)=0,10^12,OFFSET(CRONOPLE!$F$15,$M81-$A$15,BE$13)))</f>
        <v>6</v>
      </c>
      <c r="BF81" s="171">
        <f ca="1">IF(OR($D81&lt;&gt;"Serviço",AND(AUTOEVENTO="Manual",$M81=$A$15)),0,
         IF(OFFSET(CRONOPLE!$F$15,$M81-$A$15,BF$13)=0,10^12,OFFSET(CRONOPLE!$F$15,$M81-$A$15,BF$13)))</f>
        <v>6</v>
      </c>
      <c r="BG81" s="171">
        <f ca="1">IF(OR($D81&lt;&gt;"Serviço",AND(AUTOEVENTO="Manual",$M81=$A$15)),0,
         IF(OFFSET(CRONOPLE!$F$15,$M81-$A$15,BG$13)=0,10^12,OFFSET(CRONOPLE!$F$15,$M81-$A$15,BG$13)))</f>
        <v>6</v>
      </c>
      <c r="BH81" s="171">
        <f ca="1">IF(OR($D81&lt;&gt;"Serviço",AND(AUTOEVENTO="Manual",$M81=$A$15)),0,
         IF(OFFSET(CRONOPLE!$F$15,$M81-$A$15,BH$13)=0,10^12,OFFSET(CRONOPLE!$F$15,$M81-$A$15,BH$13)))</f>
        <v>1000000000000</v>
      </c>
      <c r="BI81" s="171">
        <f ca="1">IF(OR($D81&lt;&gt;"Serviço",AND(AUTOEVENTO="Manual",$M81=$A$15)),0,
         IF(OFFSET(CRONOPLE!$F$15,$M81-$A$15,BI$13)=0,10^12,OFFSET(CRONOPLE!$F$15,$M81-$A$15,BI$13)))</f>
        <v>7</v>
      </c>
      <c r="BJ81" s="171">
        <f ca="1">IF(OR($D81&lt;&gt;"Serviço",AND(AUTOEVENTO="Manual",$M81=$A$15)),0,
         IF(OFFSET(CRONOPLE!$F$15,$M81-$A$15,BJ$13)=0,10^12,OFFSET(CRONOPLE!$F$15,$M81-$A$15,BJ$13)))</f>
        <v>1000000000000</v>
      </c>
      <c r="BK81" s="171">
        <f ca="1">IF(OR($D81&lt;&gt;"Serviço",AND(AUTOEVENTO="Manual",$M81=$A$15)),0,
         IF(OFFSET(CRONOPLE!$F$15,$M81-$A$15,BK$13)=0,10^12,OFFSET(CRONOPLE!$F$15,$M81-$A$15,BK$13)))</f>
        <v>1000000000000</v>
      </c>
      <c r="BL81" s="171">
        <f ca="1">IF(OR($D81&lt;&gt;"Serviço",AND(AUTOEVENTO="Manual",$M81=$A$15)),0,
         IF(OFFSET(CRONOPLE!$F$15,$M81-$A$15,BL$13)=0,10^12,OFFSET(CRONOPLE!$F$15,$M81-$A$15,BL$13)))</f>
        <v>1000000000000</v>
      </c>
      <c r="BM81" s="171">
        <f ca="1">IF(OR($D81&lt;&gt;"Serviço",AND(AUTOEVENTO="Manual",$M81=$A$15)),0,
         IF(OFFSET(CRONOPLE!$F$15,$M81-$A$15,BM$13)=0,10^12,OFFSET(CRONOPLE!$F$15,$M81-$A$15,BM$13)))</f>
        <v>1000000000000</v>
      </c>
      <c r="BN81" s="171">
        <f ca="1">IF(OR($D81&lt;&gt;"Serviço",AND(AUTOEVENTO="Manual",$M81=$A$15)),0,
         IF(OFFSET(CRONOPLE!$F$15,$M81-$A$15,BN$13)=0,10^12,OFFSET(CRONOPLE!$F$15,$M81-$A$15,BN$13)))</f>
        <v>1000000000000</v>
      </c>
      <c r="BO81" s="171">
        <f ca="1">IF(OR($D81&lt;&gt;"Serviço",AND(AUTOEVENTO="Manual",$M81=$A$15)),0,
         IF(OFFSET(CRONOPLE!$F$15,$M81-$A$15,BO$13)=0,10^12,OFFSET(CRONOPLE!$F$15,$M81-$A$15,BO$13)))</f>
        <v>1000000000000</v>
      </c>
      <c r="BP81" s="171">
        <f ca="1">IF(OR($D81&lt;&gt;"Serviço",AND(AUTOEVENTO="Manual",$M81=$A$15)),0,
         IF(OFFSET(CRONOPLE!$F$15,$M81-$A$15,BP$13)=0,10^12,OFFSET(CRONOPLE!$F$15,$M81-$A$15,BP$13)))</f>
        <v>1000000000000</v>
      </c>
      <c r="BQ81" s="171">
        <f ca="1">IF(OR($D81&lt;&gt;"Serviço",AND(AUTOEVENTO="Manual",$M81=$A$15)),0,
         IF(OFFSET(CRONOPLE!$F$15,$M81-$A$15,BQ$13)=0,10^12,OFFSET(CRONOPLE!$F$15,$M81-$A$15,BQ$13)))</f>
        <v>1000000000000</v>
      </c>
      <c r="BR81" s="171">
        <f ca="1">IF(OR($D81&lt;&gt;"Serviço",AND(AUTOEVENTO="Manual",$M81=$A$15)),0,
         IF(OFFSET(CRONOPLE!$F$15,$M81-$A$15,BR$13)=0,10^12,OFFSET(CRONOPLE!$F$15,$M81-$A$15,BR$13)))</f>
        <v>1000000000000</v>
      </c>
      <c r="BS81" s="171">
        <f ca="1">IF(OR($D81&lt;&gt;"Serviço",AND(AUTOEVENTO="Manual",$M81=$A$15)),0,
         IF(OFFSET(CRONOPLE!$F$15,$M81-$A$15,BS$13)=0,10^12,OFFSET(CRONOPLE!$F$15,$M81-$A$15,BS$13)))</f>
        <v>1000000000000</v>
      </c>
      <c r="BT81" s="171">
        <f ca="1">IF(OR($D81&lt;&gt;"Serviço",AND(AUTOEVENTO="Manual",$M81=$A$15)),0,
         IF(OFFSET(CRONOPLE!$F$15,$M81-$A$15,BT$13)=0,10^12,OFFSET(CRONOPLE!$F$15,$M81-$A$15,BT$13)))</f>
        <v>1000000000000</v>
      </c>
      <c r="BV81" s="172">
        <f t="array" aca="1" ref="BV81" ca="1">IF(OR($D81&lt;&gt;"Serviço",AND(AUTOEVENTO="Manual",$M81=$A$15),$M81&gt;(ROW(PLE.lastrow)-ROW(PLE.firstrow))),0,
           IF(OFFSET(PLE!$G$15,$M81-$A$15,BV$13)="",10^12,OFFSET(PLE!$G$15,$M81-$A$15,BV$13)))</f>
        <v>1000000000000</v>
      </c>
      <c r="BW81" s="172">
        <f t="array" aca="1" ref="BW81" ca="1">IF(OR($D81&lt;&gt;"Serviço",AND(AUTOEVENTO="Manual",$M81=$A$15),$M81&gt;(ROW(PLE.lastrow)-ROW(PLE.firstrow))),0,
           IF(OFFSET(PLE!$G$15,$M81-$A$15,BW$13)="",10^12,OFFSET(PLE!$G$15,$M81-$A$15,BW$13)))</f>
        <v>1000000000000</v>
      </c>
      <c r="BX81" s="172">
        <f t="array" aca="1" ref="BX81" ca="1">IF(OR($D81&lt;&gt;"Serviço",AND(AUTOEVENTO="Manual",$M81=$A$15),$M81&gt;(ROW(PLE.lastrow)-ROW(PLE.firstrow))),0,
           IF(OFFSET(PLE!$G$15,$M81-$A$15,BX$13)="",10^12,OFFSET(PLE!$G$15,$M81-$A$15,BX$13)))</f>
        <v>1000000000000</v>
      </c>
      <c r="BY81" s="172">
        <f t="array" aca="1" ref="BY81" ca="1">IF(OR($D81&lt;&gt;"Serviço",AND(AUTOEVENTO="Manual",$M81=$A$15),$M81&gt;(ROW(PLE.lastrow)-ROW(PLE.firstrow))),0,
           IF(OFFSET(PLE!$G$15,$M81-$A$15,BY$13)="",10^12,OFFSET(PLE!$G$15,$M81-$A$15,BY$13)))</f>
        <v>1000000000000</v>
      </c>
      <c r="BZ81" s="172">
        <f t="array" aca="1" ref="BZ81" ca="1">IF(OR($D81&lt;&gt;"Serviço",AND(AUTOEVENTO="Manual",$M81=$A$15),$M81&gt;(ROW(PLE.lastrow)-ROW(PLE.firstrow))),0,
           IF(OFFSET(PLE!$G$15,$M81-$A$15,BZ$13)="",10^12,OFFSET(PLE!$G$15,$M81-$A$15,BZ$13)))</f>
        <v>1000000000000</v>
      </c>
      <c r="CA81" s="172">
        <f t="array" aca="1" ref="CA81" ca="1">IF(OR($D81&lt;&gt;"Serviço",AND(AUTOEVENTO="Manual",$M81=$A$15),$M81&gt;(ROW(PLE.lastrow)-ROW(PLE.firstrow))),0,
           IF(OFFSET(PLE!$G$15,$M81-$A$15,CA$13)="",10^12,OFFSET(PLE!$G$15,$M81-$A$15,CA$13)))</f>
        <v>1000000000000</v>
      </c>
      <c r="CB81" s="172">
        <f t="array" aca="1" ref="CB81" ca="1">IF(OR($D81&lt;&gt;"Serviço",AND(AUTOEVENTO="Manual",$M81=$A$15),$M81&gt;(ROW(PLE.lastrow)-ROW(PLE.firstrow))),0,
           IF(OFFSET(PLE!$G$15,$M81-$A$15,CB$13)="",10^12,OFFSET(PLE!$G$15,$M81-$A$15,CB$13)))</f>
        <v>1000000000000</v>
      </c>
      <c r="CC81" s="172">
        <f t="array" aca="1" ref="CC81" ca="1">IF(OR($D81&lt;&gt;"Serviço",AND(AUTOEVENTO="Manual",$M81=$A$15),$M81&gt;(ROW(PLE.lastrow)-ROW(PLE.firstrow))),0,
           IF(OFFSET(PLE!$G$15,$M81-$A$15,CC$13)="",10^12,OFFSET(PLE!$G$15,$M81-$A$15,CC$13)))</f>
        <v>1000000000000</v>
      </c>
      <c r="CD81" s="172">
        <f t="array" aca="1" ref="CD81" ca="1">IF(OR($D81&lt;&gt;"Serviço",AND(AUTOEVENTO="Manual",$M81=$A$15),$M81&gt;(ROW(PLE.lastrow)-ROW(PLE.firstrow))),0,
           IF(OFFSET(PLE!$G$15,$M81-$A$15,CD$13)="",10^12,OFFSET(PLE!$G$15,$M81-$A$15,CD$13)))</f>
        <v>1000000000000</v>
      </c>
      <c r="CE81" s="172">
        <f t="array" aca="1" ref="CE81" ca="1">IF(OR($D81&lt;&gt;"Serviço",AND(AUTOEVENTO="Manual",$M81=$A$15),$M81&gt;(ROW(PLE.lastrow)-ROW(PLE.firstrow))),0,
           IF(OFFSET(PLE!$G$15,$M81-$A$15,CE$13)="",10^12,OFFSET(PLE!$G$15,$M81-$A$15,CE$13)))</f>
        <v>1000000000000</v>
      </c>
      <c r="CF81" s="172">
        <f t="array" aca="1" ref="CF81" ca="1">IF(OR($D81&lt;&gt;"Serviço",AND(AUTOEVENTO="Manual",$M81=$A$15),$M81&gt;(ROW(PLE.lastrow)-ROW(PLE.firstrow))),0,
           IF(OFFSET(PLE!$G$15,$M81-$A$15,CF$13)="",10^12,OFFSET(PLE!$G$15,$M81-$A$15,CF$13)))</f>
        <v>1000000000000</v>
      </c>
      <c r="CG81" s="172">
        <f t="array" aca="1" ref="CG81" ca="1">IF(OR($D81&lt;&gt;"Serviço",AND(AUTOEVENTO="Manual",$M81=$A$15),$M81&gt;(ROW(PLE.lastrow)-ROW(PLE.firstrow))),0,
           IF(OFFSET(PLE!$G$15,$M81-$A$15,CG$13)="",10^12,OFFSET(PLE!$G$15,$M81-$A$15,CG$13)))</f>
        <v>1000000000000</v>
      </c>
      <c r="CH81" s="172">
        <f t="array" aca="1" ref="CH81" ca="1">IF(OR($D81&lt;&gt;"Serviço",AND(AUTOEVENTO="Manual",$M81=$A$15),$M81&gt;(ROW(PLE.lastrow)-ROW(PLE.firstrow))),0,
           IF(OFFSET(PLE!$G$15,$M81-$A$15,CH$13)="",10^12,OFFSET(PLE!$G$15,$M81-$A$15,CH$13)))</f>
        <v>1000000000000</v>
      </c>
      <c r="CI81" s="172">
        <f t="array" aca="1" ref="CI81" ca="1">IF(OR($D81&lt;&gt;"Serviço",AND(AUTOEVENTO="Manual",$M81=$A$15),$M81&gt;(ROW(PLE.lastrow)-ROW(PLE.firstrow))),0,
           IF(OFFSET(PLE!$G$15,$M81-$A$15,CI$13)="",10^12,OFFSET(PLE!$G$15,$M81-$A$15,CI$13)))</f>
        <v>1000000000000</v>
      </c>
      <c r="CJ81" s="172">
        <f t="array" aca="1" ref="CJ81" ca="1">IF(OR($D81&lt;&gt;"Serviço",AND(AUTOEVENTO="Manual",$M81=$A$15),$M81&gt;(ROW(PLE.lastrow)-ROW(PLE.firstrow))),0,
           IF(OFFSET(PLE!$G$15,$M81-$A$15,CJ$13)="",10^12,OFFSET(PLE!$G$15,$M81-$A$15,CJ$13)))</f>
        <v>1000000000000</v>
      </c>
      <c r="CK81" s="172">
        <f t="array" aca="1" ref="CK81" ca="1">IF(OR($D81&lt;&gt;"Serviço",AND(AUTOEVENTO="Manual",$M81=$A$15),$M81&gt;(ROW(PLE.lastrow)-ROW(PLE.firstrow))),0,
           IF(OFFSET(PLE!$G$15,$M81-$A$15,CK$13)="",10^12,OFFSET(PLE!$G$15,$M81-$A$15,CK$13)))</f>
        <v>1000000000000</v>
      </c>
      <c r="CL81" s="172">
        <f t="array" aca="1" ref="CL81" ca="1">IF(OR($D81&lt;&gt;"Serviço",AND(AUTOEVENTO="Manual",$M81=$A$15),$M81&gt;(ROW(PLE.lastrow)-ROW(PLE.firstrow))),0,
           IF(OFFSET(PLE!$G$15,$M81-$A$15,CL$13)="",10^12,OFFSET(PLE!$G$15,$M81-$A$15,CL$13)))</f>
        <v>1000000000000</v>
      </c>
      <c r="CM81" s="172">
        <f t="array" aca="1" ref="CM81" ca="1">IF(OR($D81&lt;&gt;"Serviço",AND(AUTOEVENTO="Manual",$M81=$A$15),$M81&gt;(ROW(PLE.lastrow)-ROW(PLE.firstrow))),0,
           IF(OFFSET(PLE!$G$15,$M81-$A$15,CM$13)="",10^12,OFFSET(PLE!$G$15,$M81-$A$15,CM$13)))</f>
        <v>1000000000000</v>
      </c>
    </row>
    <row r="82" spans="1:91" s="696" customFormat="1" ht="51" x14ac:dyDescent="0.2">
      <c r="A82" s="694">
        <f t="shared" ca="1" si="45"/>
        <v>14</v>
      </c>
      <c r="B82" s="694" t="str">
        <f ca="1">OFFSET(ORÇAMENTO!C$15,$L82,0)</f>
        <v>S</v>
      </c>
      <c r="C82" s="694" t="str">
        <f ca="1">OFFSET(ORÇAMENTO!L$15,$L82,0)</f>
        <v>F</v>
      </c>
      <c r="D82" s="116" t="str">
        <f ca="1">OFFSET(ORÇAMENTO!N$15,$L82,0)</f>
        <v>Serviço</v>
      </c>
      <c r="E82" s="117" t="str">
        <f ca="1">OFFSET(ORÇAMENTO!O$15,$L82,0)</f>
        <v>1.12.4.</v>
      </c>
      <c r="F82" s="163" t="str">
        <f ca="1">OFFSET(ORÇAMENTO!R$15,$L82,0)</f>
        <v>CUMEEIRA PARA TELHA CERÂMICA EMBOÇADA COM ARGAMASSA TRAÇO 1:2:9 (CIMENTO, CAL E AREIA) PARA TELHADOS COM ATÉ 2 ÁGUAS, INCLUSO TRANSPORTE VERTICAL. AF_07/2019</v>
      </c>
      <c r="G82" s="164" t="str">
        <f ca="1">IF($D82&lt;&gt;"Serviço","",OFFSET(ORÇAMENTO!S$15,$L82,0))</f>
        <v>M</v>
      </c>
      <c r="H82" s="122">
        <f t="array" aca="1" ref="H82" ca="1">IF($D82&lt;&gt;"Serviço",0,IF(ACOMPANHAMENTO="BM",ROUND(OFFSET(ORÇAMENTO!AJ$15,$L82,0),15-13*ORÇAMENTO!$AF$7),IF(IFERROR(CÁLCULO.FrentesPreenchidas,0)=0,0,SUM(ROUND(OFFSET($P82,0,1,1,CÁLCULO.FrentesPreenchidas),15-13*ORÇAMENTO!$AF$7)))))</f>
        <v>213</v>
      </c>
      <c r="I82" s="467" t="s">
        <v>1250</v>
      </c>
      <c r="J82" s="653" t="str">
        <f t="array" aca="1" ref="J82" ca="1">IF(OR(B82&lt;&gt;"S",CÁLCULO.FrentesPreenchidas=0),"",IF(AND(ACOMPANHAMENTO="PLE",AUTOEVENTO="Manual",OR(H82&gt;0,ORÇAMENTO!AC82="QUANT."),OR(K82="",M82=0,N82="")),"►E",IF(AND(ACOMPANHAMENTO="PLE",ORÇAMENTO!AC82="QUANT."),"►Q",IF(AND(ACOMPANHAMENTO="PLE",H82&lt;&gt;SUMPRODUCT(($Q$1:$AI$1=1)*ROUND(Q82:AI82,15))),"►S",IF(AND(COUNTIF($P$11:$AI$11,"▼")=0,H82&gt;0,I82=""),"◄M","")))))</f>
        <v/>
      </c>
      <c r="K82" s="654" t="s">
        <v>1393</v>
      </c>
      <c r="L82" s="165">
        <f t="shared" ca="1" si="46"/>
        <v>67</v>
      </c>
      <c r="M82" s="166">
        <f ca="1">IF($D82&lt;&gt;"Serviço","",
          IF(AUTOEVENTO="manual",$A82,
                IF(ISERROR(MATCH($A82,$A$15:OFFSET($A82,-1,0),0)),MAX($M$15:OFFSET(M82,-1,0))+1,
                      INDEX($M$15:OFFSET(M82,-1,0),MATCH($A82,$A$15:OFFSET($A82,-1,0),0)))))</f>
        <v>14</v>
      </c>
      <c r="N82" s="167" t="str">
        <f ca="1">IF($D82&lt;&gt;"Serviço","",
         IF(AUTOEVENTO="Manual",
                IF($A82=0,"&lt;-- defina o número do agrupador",
                       OFFSET(EVENTOS!$D$15,$A82-$A$15,0)),
                OFFSET($F$15,$A82,0)))</f>
        <v>TELHAMENTO</v>
      </c>
      <c r="O82" s="168"/>
      <c r="Q82" s="169">
        <f>10.65*5</f>
        <v>53.25</v>
      </c>
      <c r="R82" s="169">
        <f t="shared" ref="R82:T82" si="50">10.65*5</f>
        <v>53.25</v>
      </c>
      <c r="S82" s="169">
        <f t="shared" si="50"/>
        <v>53.25</v>
      </c>
      <c r="T82" s="169">
        <f t="shared" si="50"/>
        <v>53.25</v>
      </c>
      <c r="U82" s="169"/>
      <c r="V82" s="169"/>
      <c r="W82" s="169"/>
      <c r="X82" s="169"/>
      <c r="Y82" s="169"/>
      <c r="Z82" s="170"/>
      <c r="AA82" s="169"/>
      <c r="AB82" s="169"/>
      <c r="AC82" s="169"/>
      <c r="AD82" s="169"/>
      <c r="AE82" s="169"/>
      <c r="AF82" s="169"/>
      <c r="AG82" s="169"/>
      <c r="AH82" s="170"/>
      <c r="AJ82" s="452">
        <f ca="1">IF(AND($D82="Serviço",AJ$12&lt;&gt;0,$H82&gt;0,OR(AUTOEVENTO&lt;&gt;"manual",$M82&lt;&gt;$A$15)),
        IF(Import.TipoArredondamento&lt;&gt;"TransfereGOV",
              ROUND(OFFSET($P82,0,AJ$13),15-13*ORÇAMENTO!$AF$7)/$H82*OFFSET(ORÇAMENTO!$X$15,ROW(AJ82)-ROW(AJ$15),0),
              ROUND(ROUND(OFFSET($P82,0,AJ$13),15-13*ORÇAMENTO!$AF$7)*OFFSET(ORÇAMENTO!$W$15,ROW(AJ82)-ROW(AJ$15),0),15-13*ORÇAMENTO!$AF$11)),
         0)</f>
        <v>2308.92</v>
      </c>
      <c r="AK82" s="452">
        <f ca="1">IF(AND($D82="Serviço",AK$12&lt;&gt;0,$H82&gt;0,OR(AUTOEVENTO&lt;&gt;"manual",$M82&lt;&gt;$A$15)),
        IF(Import.TipoArredondamento&lt;&gt;"TransfereGOV",
              ROUND(OFFSET($P82,0,AK$13),15-13*ORÇAMENTO!$AF$7)/$H82*OFFSET(ORÇAMENTO!$X$15,ROW(AK82)-ROW(AK$15),0),
              ROUND(ROUND(OFFSET($P82,0,AK$13),15-13*ORÇAMENTO!$AF$7)*OFFSET(ORÇAMENTO!$W$15,ROW(AK82)-ROW(AK$15),0),15-13*ORÇAMENTO!$AF$11)),
         0)</f>
        <v>2308.92</v>
      </c>
      <c r="AL82" s="452">
        <f ca="1">IF(AND($D82="Serviço",AL$12&lt;&gt;0,$H82&gt;0,OR(AUTOEVENTO&lt;&gt;"manual",$M82&lt;&gt;$A$15)),
        IF(Import.TipoArredondamento&lt;&gt;"TransfereGOV",
              ROUND(OFFSET($P82,0,AL$13),15-13*ORÇAMENTO!$AF$7)/$H82*OFFSET(ORÇAMENTO!$X$15,ROW(AL82)-ROW(AL$15),0),
              ROUND(ROUND(OFFSET($P82,0,AL$13),15-13*ORÇAMENTO!$AF$7)*OFFSET(ORÇAMENTO!$W$15,ROW(AL82)-ROW(AL$15),0),15-13*ORÇAMENTO!$AF$11)),
         0)</f>
        <v>2308.92</v>
      </c>
      <c r="AM82" s="452">
        <f ca="1">IF(AND($D82="Serviço",AM$12&lt;&gt;0,$H82&gt;0,OR(AUTOEVENTO&lt;&gt;"manual",$M82&lt;&gt;$A$15)),
        IF(Import.TipoArredondamento&lt;&gt;"TransfereGOV",
              ROUND(OFFSET($P82,0,AM$13),15-13*ORÇAMENTO!$AF$7)/$H82*OFFSET(ORÇAMENTO!$X$15,ROW(AM82)-ROW(AM$15),0),
              ROUND(ROUND(OFFSET($P82,0,AM$13),15-13*ORÇAMENTO!$AF$7)*OFFSET(ORÇAMENTO!$W$15,ROW(AM82)-ROW(AM$15),0),15-13*ORÇAMENTO!$AF$11)),
         0)</f>
        <v>2308.92</v>
      </c>
      <c r="AN82" s="452">
        <f ca="1">IF(AND($D82="Serviço",AN$12&lt;&gt;0,$H82&gt;0,OR(AUTOEVENTO&lt;&gt;"manual",$M82&lt;&gt;$A$15)),
        IF(Import.TipoArredondamento&lt;&gt;"TransfereGOV",
              ROUND(OFFSET($P82,0,AN$13),15-13*ORÇAMENTO!$AF$7)/$H82*OFFSET(ORÇAMENTO!$X$15,ROW(AN82)-ROW(AN$15),0),
              ROUND(ROUND(OFFSET($P82,0,AN$13),15-13*ORÇAMENTO!$AF$7)*OFFSET(ORÇAMENTO!$W$15,ROW(AN82)-ROW(AN$15),0),15-13*ORÇAMENTO!$AF$11)),
         0)</f>
        <v>0</v>
      </c>
      <c r="AO82" s="452">
        <f ca="1">IF(AND($D82="Serviço",AO$12&lt;&gt;0,$H82&gt;0,OR(AUTOEVENTO&lt;&gt;"manual",$M82&lt;&gt;$A$15)),
        IF(Import.TipoArredondamento&lt;&gt;"TransfereGOV",
              ROUND(OFFSET($P82,0,AO$13),15-13*ORÇAMENTO!$AF$7)/$H82*OFFSET(ORÇAMENTO!$X$15,ROW(AO82)-ROW(AO$15),0),
              ROUND(ROUND(OFFSET($P82,0,AO$13),15-13*ORÇAMENTO!$AF$7)*OFFSET(ORÇAMENTO!$W$15,ROW(AO82)-ROW(AO$15),0),15-13*ORÇAMENTO!$AF$11)),
         0)</f>
        <v>0</v>
      </c>
      <c r="AP82" s="452">
        <f ca="1">IF(AND($D82="Serviço",AP$12&lt;&gt;0,$H82&gt;0,OR(AUTOEVENTO&lt;&gt;"manual",$M82&lt;&gt;$A$15)),
        IF(Import.TipoArredondamento&lt;&gt;"TransfereGOV",
              ROUND(OFFSET($P82,0,AP$13),15-13*ORÇAMENTO!$AF$7)/$H82*OFFSET(ORÇAMENTO!$X$15,ROW(AP82)-ROW(AP$15),0),
              ROUND(ROUND(OFFSET($P82,0,AP$13),15-13*ORÇAMENTO!$AF$7)*OFFSET(ORÇAMENTO!$W$15,ROW(AP82)-ROW(AP$15),0),15-13*ORÇAMENTO!$AF$11)),
         0)</f>
        <v>0</v>
      </c>
      <c r="AQ82" s="452">
        <f ca="1">IF(AND($D82="Serviço",AQ$12&lt;&gt;0,$H82&gt;0,OR(AUTOEVENTO&lt;&gt;"manual",$M82&lt;&gt;$A$15)),
        IF(Import.TipoArredondamento&lt;&gt;"TransfereGOV",
              ROUND(OFFSET($P82,0,AQ$13),15-13*ORÇAMENTO!$AF$7)/$H82*OFFSET(ORÇAMENTO!$X$15,ROW(AQ82)-ROW(AQ$15),0),
              ROUND(ROUND(OFFSET($P82,0,AQ$13),15-13*ORÇAMENTO!$AF$7)*OFFSET(ORÇAMENTO!$W$15,ROW(AQ82)-ROW(AQ$15),0),15-13*ORÇAMENTO!$AF$11)),
         0)</f>
        <v>0</v>
      </c>
      <c r="AR82" s="452">
        <f ca="1">IF(AND($D82="Serviço",AR$12&lt;&gt;0,$H82&gt;0,OR(AUTOEVENTO&lt;&gt;"manual",$M82&lt;&gt;$A$15)),
        IF(Import.TipoArredondamento&lt;&gt;"TransfereGOV",
              ROUND(OFFSET($P82,0,AR$13),15-13*ORÇAMENTO!$AF$7)/$H82*OFFSET(ORÇAMENTO!$X$15,ROW(AR82)-ROW(AR$15),0),
              ROUND(ROUND(OFFSET($P82,0,AR$13),15-13*ORÇAMENTO!$AF$7)*OFFSET(ORÇAMENTO!$W$15,ROW(AR82)-ROW(AR$15),0),15-13*ORÇAMENTO!$AF$11)),
         0)</f>
        <v>0</v>
      </c>
      <c r="AS82" s="452">
        <f ca="1">IF(AND($D82="Serviço",AS$12&lt;&gt;0,$H82&gt;0,OR(AUTOEVENTO&lt;&gt;"manual",$M82&lt;&gt;$A$15)),
        IF(Import.TipoArredondamento&lt;&gt;"TransfereGOV",
              ROUND(OFFSET($P82,0,AS$13),15-13*ORÇAMENTO!$AF$7)/$H82*OFFSET(ORÇAMENTO!$X$15,ROW(AS82)-ROW(AS$15),0),
              ROUND(ROUND(OFFSET($P82,0,AS$13),15-13*ORÇAMENTO!$AF$7)*OFFSET(ORÇAMENTO!$W$15,ROW(AS82)-ROW(AS$15),0),15-13*ORÇAMENTO!$AF$11)),
         0)</f>
        <v>0</v>
      </c>
      <c r="AT82" s="452">
        <f ca="1">IF(AND($D82="Serviço",AT$12&lt;&gt;0,$H82&gt;0,OR(AUTOEVENTO&lt;&gt;"manual",$M82&lt;&gt;$A$15)),
        IF(Import.TipoArredondamento&lt;&gt;"TransfereGOV",
              ROUND(OFFSET($P82,0,AT$13),15-13*ORÇAMENTO!$AF$7)/$H82*OFFSET(ORÇAMENTO!$X$15,ROW(AT82)-ROW(AT$15),0),
              ROUND(ROUND(OFFSET($P82,0,AT$13),15-13*ORÇAMENTO!$AF$7)*OFFSET(ORÇAMENTO!$W$15,ROW(AT82)-ROW(AT$15),0),15-13*ORÇAMENTO!$AF$11)),
         0)</f>
        <v>0</v>
      </c>
      <c r="AU82" s="452">
        <f ca="1">IF(AND($D82="Serviço",AU$12&lt;&gt;0,$H82&gt;0,OR(AUTOEVENTO&lt;&gt;"manual",$M82&lt;&gt;$A$15)),
        IF(Import.TipoArredondamento&lt;&gt;"TransfereGOV",
              ROUND(OFFSET($P82,0,AU$13),15-13*ORÇAMENTO!$AF$7)/$H82*OFFSET(ORÇAMENTO!$X$15,ROW(AU82)-ROW(AU$15),0),
              ROUND(ROUND(OFFSET($P82,0,AU$13),15-13*ORÇAMENTO!$AF$7)*OFFSET(ORÇAMENTO!$W$15,ROW(AU82)-ROW(AU$15),0),15-13*ORÇAMENTO!$AF$11)),
         0)</f>
        <v>0</v>
      </c>
      <c r="AV82" s="452">
        <f ca="1">IF(AND($D82="Serviço",AV$12&lt;&gt;0,$H82&gt;0,OR(AUTOEVENTO&lt;&gt;"manual",$M82&lt;&gt;$A$15)),
        IF(Import.TipoArredondamento&lt;&gt;"TransfereGOV",
              ROUND(OFFSET($P82,0,AV$13),15-13*ORÇAMENTO!$AF$7)/$H82*OFFSET(ORÇAMENTO!$X$15,ROW(AV82)-ROW(AV$15),0),
              ROUND(ROUND(OFFSET($P82,0,AV$13),15-13*ORÇAMENTO!$AF$7)*OFFSET(ORÇAMENTO!$W$15,ROW(AV82)-ROW(AV$15),0),15-13*ORÇAMENTO!$AF$11)),
         0)</f>
        <v>0</v>
      </c>
      <c r="AW82" s="452">
        <f ca="1">IF(AND($D82="Serviço",AW$12&lt;&gt;0,$H82&gt;0,OR(AUTOEVENTO&lt;&gt;"manual",$M82&lt;&gt;$A$15)),
        IF(Import.TipoArredondamento&lt;&gt;"TransfereGOV",
              ROUND(OFFSET($P82,0,AW$13),15-13*ORÇAMENTO!$AF$7)/$H82*OFFSET(ORÇAMENTO!$X$15,ROW(AW82)-ROW(AW$15),0),
              ROUND(ROUND(OFFSET($P82,0,AW$13),15-13*ORÇAMENTO!$AF$7)*OFFSET(ORÇAMENTO!$W$15,ROW(AW82)-ROW(AW$15),0),15-13*ORÇAMENTO!$AF$11)),
         0)</f>
        <v>0</v>
      </c>
      <c r="AX82" s="452">
        <f ca="1">IF(AND($D82="Serviço",AX$12&lt;&gt;0,$H82&gt;0,OR(AUTOEVENTO&lt;&gt;"manual",$M82&lt;&gt;$A$15)),
        IF(Import.TipoArredondamento&lt;&gt;"TransfereGOV",
              ROUND(OFFSET($P82,0,AX$13),15-13*ORÇAMENTO!$AF$7)/$H82*OFFSET(ORÇAMENTO!$X$15,ROW(AX82)-ROW(AX$15),0),
              ROUND(ROUND(OFFSET($P82,0,AX$13),15-13*ORÇAMENTO!$AF$7)*OFFSET(ORÇAMENTO!$W$15,ROW(AX82)-ROW(AX$15),0),15-13*ORÇAMENTO!$AF$11)),
         0)</f>
        <v>0</v>
      </c>
      <c r="AY82" s="452">
        <f ca="1">IF(AND($D82="Serviço",AY$12&lt;&gt;0,$H82&gt;0,OR(AUTOEVENTO&lt;&gt;"manual",$M82&lt;&gt;$A$15)),
        IF(Import.TipoArredondamento&lt;&gt;"TransfereGOV",
              ROUND(OFFSET($P82,0,AY$13),15-13*ORÇAMENTO!$AF$7)/$H82*OFFSET(ORÇAMENTO!$X$15,ROW(AY82)-ROW(AY$15),0),
              ROUND(ROUND(OFFSET($P82,0,AY$13),15-13*ORÇAMENTO!$AF$7)*OFFSET(ORÇAMENTO!$W$15,ROW(AY82)-ROW(AY$15),0),15-13*ORÇAMENTO!$AF$11)),
         0)</f>
        <v>0</v>
      </c>
      <c r="AZ82" s="452">
        <f ca="1">IF(AND($D82="Serviço",AZ$12&lt;&gt;0,$H82&gt;0,OR(AUTOEVENTO&lt;&gt;"manual",$M82&lt;&gt;$A$15)),
        IF(Import.TipoArredondamento&lt;&gt;"TransfereGOV",
              ROUND(OFFSET($P82,0,AZ$13),15-13*ORÇAMENTO!$AF$7)/$H82*OFFSET(ORÇAMENTO!$X$15,ROW(AZ82)-ROW(AZ$15),0),
              ROUND(ROUND(OFFSET($P82,0,AZ$13),15-13*ORÇAMENTO!$AF$7)*OFFSET(ORÇAMENTO!$W$15,ROW(AZ82)-ROW(AZ$15),0),15-13*ORÇAMENTO!$AF$11)),
         0)</f>
        <v>0</v>
      </c>
      <c r="BA82" s="452">
        <f ca="1">IF(AND($D82="Serviço",BA$12&lt;&gt;0,$H82&gt;0,OR(AUTOEVENTO&lt;&gt;"manual",$M82&lt;&gt;$A$15)),
        IF(Import.TipoArredondamento&lt;&gt;"TransfereGOV",
              ROUND(OFFSET($P82,0,BA$13),15-13*ORÇAMENTO!$AF$7)/$H82*OFFSET(ORÇAMENTO!$X$15,ROW(BA82)-ROW(BA$15),0),
              ROUND(ROUND(OFFSET($P82,0,BA$13),15-13*ORÇAMENTO!$AF$7)*OFFSET(ORÇAMENTO!$W$15,ROW(BA82)-ROW(BA$15),0),15-13*ORÇAMENTO!$AF$11)),
         0)</f>
        <v>0</v>
      </c>
      <c r="BC82" s="171">
        <f ca="1">IF(OR($D82&lt;&gt;"Serviço",AND(AUTOEVENTO="Manual",$M82=$A$15)),0,
         IF(OFFSET(CRONOPLE!$F$15,$M82-$A$15,BC$13)=0,10^12,OFFSET(CRONOPLE!$F$15,$M82-$A$15,BC$13)))</f>
        <v>4</v>
      </c>
      <c r="BD82" s="171">
        <f ca="1">IF(OR($D82&lt;&gt;"Serviço",AND(AUTOEVENTO="Manual",$M82=$A$15)),0,
         IF(OFFSET(CRONOPLE!$F$15,$M82-$A$15,BD$13)=0,10^12,OFFSET(CRONOPLE!$F$15,$M82-$A$15,BD$13)))</f>
        <v>5</v>
      </c>
      <c r="BE82" s="171">
        <f ca="1">IF(OR($D82&lt;&gt;"Serviço",AND(AUTOEVENTO="Manual",$M82=$A$15)),0,
         IF(OFFSET(CRONOPLE!$F$15,$M82-$A$15,BE$13)=0,10^12,OFFSET(CRONOPLE!$F$15,$M82-$A$15,BE$13)))</f>
        <v>6</v>
      </c>
      <c r="BF82" s="171">
        <f ca="1">IF(OR($D82&lt;&gt;"Serviço",AND(AUTOEVENTO="Manual",$M82=$A$15)),0,
         IF(OFFSET(CRONOPLE!$F$15,$M82-$A$15,BF$13)=0,10^12,OFFSET(CRONOPLE!$F$15,$M82-$A$15,BF$13)))</f>
        <v>6</v>
      </c>
      <c r="BG82" s="171">
        <f ca="1">IF(OR($D82&lt;&gt;"Serviço",AND(AUTOEVENTO="Manual",$M82=$A$15)),0,
         IF(OFFSET(CRONOPLE!$F$15,$M82-$A$15,BG$13)=0,10^12,OFFSET(CRONOPLE!$F$15,$M82-$A$15,BG$13)))</f>
        <v>6</v>
      </c>
      <c r="BH82" s="171">
        <f ca="1">IF(OR($D82&lt;&gt;"Serviço",AND(AUTOEVENTO="Manual",$M82=$A$15)),0,
         IF(OFFSET(CRONOPLE!$F$15,$M82-$A$15,BH$13)=0,10^12,OFFSET(CRONOPLE!$F$15,$M82-$A$15,BH$13)))</f>
        <v>6</v>
      </c>
      <c r="BI82" s="171">
        <f ca="1">IF(OR($D82&lt;&gt;"Serviço",AND(AUTOEVENTO="Manual",$M82=$A$15)),0,
         IF(OFFSET(CRONOPLE!$F$15,$M82-$A$15,BI$13)=0,10^12,OFFSET(CRONOPLE!$F$15,$M82-$A$15,BI$13)))</f>
        <v>7</v>
      </c>
      <c r="BJ82" s="171">
        <f ca="1">IF(OR($D82&lt;&gt;"Serviço",AND(AUTOEVENTO="Manual",$M82=$A$15)),0,
         IF(OFFSET(CRONOPLE!$F$15,$M82-$A$15,BJ$13)=0,10^12,OFFSET(CRONOPLE!$F$15,$M82-$A$15,BJ$13)))</f>
        <v>1000000000000</v>
      </c>
      <c r="BK82" s="171">
        <f ca="1">IF(OR($D82&lt;&gt;"Serviço",AND(AUTOEVENTO="Manual",$M82=$A$15)),0,
         IF(OFFSET(CRONOPLE!$F$15,$M82-$A$15,BK$13)=0,10^12,OFFSET(CRONOPLE!$F$15,$M82-$A$15,BK$13)))</f>
        <v>1000000000000</v>
      </c>
      <c r="BL82" s="171">
        <f ca="1">IF(OR($D82&lt;&gt;"Serviço",AND(AUTOEVENTO="Manual",$M82=$A$15)),0,
         IF(OFFSET(CRONOPLE!$F$15,$M82-$A$15,BL$13)=0,10^12,OFFSET(CRONOPLE!$F$15,$M82-$A$15,BL$13)))</f>
        <v>1000000000000</v>
      </c>
      <c r="BM82" s="171">
        <f ca="1">IF(OR($D82&lt;&gt;"Serviço",AND(AUTOEVENTO="Manual",$M82=$A$15)),0,
         IF(OFFSET(CRONOPLE!$F$15,$M82-$A$15,BM$13)=0,10^12,OFFSET(CRONOPLE!$F$15,$M82-$A$15,BM$13)))</f>
        <v>1000000000000</v>
      </c>
      <c r="BN82" s="171">
        <f ca="1">IF(OR($D82&lt;&gt;"Serviço",AND(AUTOEVENTO="Manual",$M82=$A$15)),0,
         IF(OFFSET(CRONOPLE!$F$15,$M82-$A$15,BN$13)=0,10^12,OFFSET(CRONOPLE!$F$15,$M82-$A$15,BN$13)))</f>
        <v>1000000000000</v>
      </c>
      <c r="BO82" s="171">
        <f ca="1">IF(OR($D82&lt;&gt;"Serviço",AND(AUTOEVENTO="Manual",$M82=$A$15)),0,
         IF(OFFSET(CRONOPLE!$F$15,$M82-$A$15,BO$13)=0,10^12,OFFSET(CRONOPLE!$F$15,$M82-$A$15,BO$13)))</f>
        <v>1000000000000</v>
      </c>
      <c r="BP82" s="171">
        <f ca="1">IF(OR($D82&lt;&gt;"Serviço",AND(AUTOEVENTO="Manual",$M82=$A$15)),0,
         IF(OFFSET(CRONOPLE!$F$15,$M82-$A$15,BP$13)=0,10^12,OFFSET(CRONOPLE!$F$15,$M82-$A$15,BP$13)))</f>
        <v>1000000000000</v>
      </c>
      <c r="BQ82" s="171">
        <f ca="1">IF(OR($D82&lt;&gt;"Serviço",AND(AUTOEVENTO="Manual",$M82=$A$15)),0,
         IF(OFFSET(CRONOPLE!$F$15,$M82-$A$15,BQ$13)=0,10^12,OFFSET(CRONOPLE!$F$15,$M82-$A$15,BQ$13)))</f>
        <v>1000000000000</v>
      </c>
      <c r="BR82" s="171">
        <f ca="1">IF(OR($D82&lt;&gt;"Serviço",AND(AUTOEVENTO="Manual",$M82=$A$15)),0,
         IF(OFFSET(CRONOPLE!$F$15,$M82-$A$15,BR$13)=0,10^12,OFFSET(CRONOPLE!$F$15,$M82-$A$15,BR$13)))</f>
        <v>1000000000000</v>
      </c>
      <c r="BS82" s="171">
        <f ca="1">IF(OR($D82&lt;&gt;"Serviço",AND(AUTOEVENTO="Manual",$M82=$A$15)),0,
         IF(OFFSET(CRONOPLE!$F$15,$M82-$A$15,BS$13)=0,10^12,OFFSET(CRONOPLE!$F$15,$M82-$A$15,BS$13)))</f>
        <v>1000000000000</v>
      </c>
      <c r="BT82" s="171">
        <f ca="1">IF(OR($D82&lt;&gt;"Serviço",AND(AUTOEVENTO="Manual",$M82=$A$15)),0,
         IF(OFFSET(CRONOPLE!$F$15,$M82-$A$15,BT$13)=0,10^12,OFFSET(CRONOPLE!$F$15,$M82-$A$15,BT$13)))</f>
        <v>1000000000000</v>
      </c>
      <c r="BV82" s="172">
        <f t="array" aca="1" ref="BV82" ca="1">IF(OR($D82&lt;&gt;"Serviço",AND(AUTOEVENTO="Manual",$M82=$A$15),$M82&gt;(ROW(PLE.lastrow)-ROW(PLE.firstrow))),0,
           IF(OFFSET(PLE!$G$15,$M82-$A$15,BV$13)="",10^12,OFFSET(PLE!$G$15,$M82-$A$15,BV$13)))</f>
        <v>1000000000000</v>
      </c>
      <c r="BW82" s="172">
        <f t="array" aca="1" ref="BW82" ca="1">IF(OR($D82&lt;&gt;"Serviço",AND(AUTOEVENTO="Manual",$M82=$A$15),$M82&gt;(ROW(PLE.lastrow)-ROW(PLE.firstrow))),0,
           IF(OFFSET(PLE!$G$15,$M82-$A$15,BW$13)="",10^12,OFFSET(PLE!$G$15,$M82-$A$15,BW$13)))</f>
        <v>1000000000000</v>
      </c>
      <c r="BX82" s="172">
        <f t="array" aca="1" ref="BX82" ca="1">IF(OR($D82&lt;&gt;"Serviço",AND(AUTOEVENTO="Manual",$M82=$A$15),$M82&gt;(ROW(PLE.lastrow)-ROW(PLE.firstrow))),0,
           IF(OFFSET(PLE!$G$15,$M82-$A$15,BX$13)="",10^12,OFFSET(PLE!$G$15,$M82-$A$15,BX$13)))</f>
        <v>1000000000000</v>
      </c>
      <c r="BY82" s="172">
        <f t="array" aca="1" ref="BY82" ca="1">IF(OR($D82&lt;&gt;"Serviço",AND(AUTOEVENTO="Manual",$M82=$A$15),$M82&gt;(ROW(PLE.lastrow)-ROW(PLE.firstrow))),0,
           IF(OFFSET(PLE!$G$15,$M82-$A$15,BY$13)="",10^12,OFFSET(PLE!$G$15,$M82-$A$15,BY$13)))</f>
        <v>1000000000000</v>
      </c>
      <c r="BZ82" s="172">
        <f t="array" aca="1" ref="BZ82" ca="1">IF(OR($D82&lt;&gt;"Serviço",AND(AUTOEVENTO="Manual",$M82=$A$15),$M82&gt;(ROW(PLE.lastrow)-ROW(PLE.firstrow))),0,
           IF(OFFSET(PLE!$G$15,$M82-$A$15,BZ$13)="",10^12,OFFSET(PLE!$G$15,$M82-$A$15,BZ$13)))</f>
        <v>1000000000000</v>
      </c>
      <c r="CA82" s="172">
        <f t="array" aca="1" ref="CA82" ca="1">IF(OR($D82&lt;&gt;"Serviço",AND(AUTOEVENTO="Manual",$M82=$A$15),$M82&gt;(ROW(PLE.lastrow)-ROW(PLE.firstrow))),0,
           IF(OFFSET(PLE!$G$15,$M82-$A$15,CA$13)="",10^12,OFFSET(PLE!$G$15,$M82-$A$15,CA$13)))</f>
        <v>1000000000000</v>
      </c>
      <c r="CB82" s="172">
        <f t="array" aca="1" ref="CB82" ca="1">IF(OR($D82&lt;&gt;"Serviço",AND(AUTOEVENTO="Manual",$M82=$A$15),$M82&gt;(ROW(PLE.lastrow)-ROW(PLE.firstrow))),0,
           IF(OFFSET(PLE!$G$15,$M82-$A$15,CB$13)="",10^12,OFFSET(PLE!$G$15,$M82-$A$15,CB$13)))</f>
        <v>1000000000000</v>
      </c>
      <c r="CC82" s="172">
        <f t="array" aca="1" ref="CC82" ca="1">IF(OR($D82&lt;&gt;"Serviço",AND(AUTOEVENTO="Manual",$M82=$A$15),$M82&gt;(ROW(PLE.lastrow)-ROW(PLE.firstrow))),0,
           IF(OFFSET(PLE!$G$15,$M82-$A$15,CC$13)="",10^12,OFFSET(PLE!$G$15,$M82-$A$15,CC$13)))</f>
        <v>1000000000000</v>
      </c>
      <c r="CD82" s="172">
        <f t="array" aca="1" ref="CD82" ca="1">IF(OR($D82&lt;&gt;"Serviço",AND(AUTOEVENTO="Manual",$M82=$A$15),$M82&gt;(ROW(PLE.lastrow)-ROW(PLE.firstrow))),0,
           IF(OFFSET(PLE!$G$15,$M82-$A$15,CD$13)="",10^12,OFFSET(PLE!$G$15,$M82-$A$15,CD$13)))</f>
        <v>1000000000000</v>
      </c>
      <c r="CE82" s="172">
        <f t="array" aca="1" ref="CE82" ca="1">IF(OR($D82&lt;&gt;"Serviço",AND(AUTOEVENTO="Manual",$M82=$A$15),$M82&gt;(ROW(PLE.lastrow)-ROW(PLE.firstrow))),0,
           IF(OFFSET(PLE!$G$15,$M82-$A$15,CE$13)="",10^12,OFFSET(PLE!$G$15,$M82-$A$15,CE$13)))</f>
        <v>1000000000000</v>
      </c>
      <c r="CF82" s="172">
        <f t="array" aca="1" ref="CF82" ca="1">IF(OR($D82&lt;&gt;"Serviço",AND(AUTOEVENTO="Manual",$M82=$A$15),$M82&gt;(ROW(PLE.lastrow)-ROW(PLE.firstrow))),0,
           IF(OFFSET(PLE!$G$15,$M82-$A$15,CF$13)="",10^12,OFFSET(PLE!$G$15,$M82-$A$15,CF$13)))</f>
        <v>1000000000000</v>
      </c>
      <c r="CG82" s="172">
        <f t="array" aca="1" ref="CG82" ca="1">IF(OR($D82&lt;&gt;"Serviço",AND(AUTOEVENTO="Manual",$M82=$A$15),$M82&gt;(ROW(PLE.lastrow)-ROW(PLE.firstrow))),0,
           IF(OFFSET(PLE!$G$15,$M82-$A$15,CG$13)="",10^12,OFFSET(PLE!$G$15,$M82-$A$15,CG$13)))</f>
        <v>1000000000000</v>
      </c>
      <c r="CH82" s="172">
        <f t="array" aca="1" ref="CH82" ca="1">IF(OR($D82&lt;&gt;"Serviço",AND(AUTOEVENTO="Manual",$M82=$A$15),$M82&gt;(ROW(PLE.lastrow)-ROW(PLE.firstrow))),0,
           IF(OFFSET(PLE!$G$15,$M82-$A$15,CH$13)="",10^12,OFFSET(PLE!$G$15,$M82-$A$15,CH$13)))</f>
        <v>1000000000000</v>
      </c>
      <c r="CI82" s="172">
        <f t="array" aca="1" ref="CI82" ca="1">IF(OR($D82&lt;&gt;"Serviço",AND(AUTOEVENTO="Manual",$M82=$A$15),$M82&gt;(ROW(PLE.lastrow)-ROW(PLE.firstrow))),0,
           IF(OFFSET(PLE!$G$15,$M82-$A$15,CI$13)="",10^12,OFFSET(PLE!$G$15,$M82-$A$15,CI$13)))</f>
        <v>1000000000000</v>
      </c>
      <c r="CJ82" s="172">
        <f t="array" aca="1" ref="CJ82" ca="1">IF(OR($D82&lt;&gt;"Serviço",AND(AUTOEVENTO="Manual",$M82=$A$15),$M82&gt;(ROW(PLE.lastrow)-ROW(PLE.firstrow))),0,
           IF(OFFSET(PLE!$G$15,$M82-$A$15,CJ$13)="",10^12,OFFSET(PLE!$G$15,$M82-$A$15,CJ$13)))</f>
        <v>1000000000000</v>
      </c>
      <c r="CK82" s="172">
        <f t="array" aca="1" ref="CK82" ca="1">IF(OR($D82&lt;&gt;"Serviço",AND(AUTOEVENTO="Manual",$M82=$A$15),$M82&gt;(ROW(PLE.lastrow)-ROW(PLE.firstrow))),0,
           IF(OFFSET(PLE!$G$15,$M82-$A$15,CK$13)="",10^12,OFFSET(PLE!$G$15,$M82-$A$15,CK$13)))</f>
        <v>1000000000000</v>
      </c>
      <c r="CL82" s="172">
        <f t="array" aca="1" ref="CL82" ca="1">IF(OR($D82&lt;&gt;"Serviço",AND(AUTOEVENTO="Manual",$M82=$A$15),$M82&gt;(ROW(PLE.lastrow)-ROW(PLE.firstrow))),0,
           IF(OFFSET(PLE!$G$15,$M82-$A$15,CL$13)="",10^12,OFFSET(PLE!$G$15,$M82-$A$15,CL$13)))</f>
        <v>1000000000000</v>
      </c>
      <c r="CM82" s="172">
        <f t="array" aca="1" ref="CM82" ca="1">IF(OR($D82&lt;&gt;"Serviço",AND(AUTOEVENTO="Manual",$M82=$A$15),$M82&gt;(ROW(PLE.lastrow)-ROW(PLE.firstrow))),0,
           IF(OFFSET(PLE!$G$15,$M82-$A$15,CM$13)="",10^12,OFFSET(PLE!$G$15,$M82-$A$15,CM$13)))</f>
        <v>1000000000000</v>
      </c>
    </row>
    <row r="83" spans="1:91" s="696" customFormat="1" ht="38.25" x14ac:dyDescent="0.2">
      <c r="A83" s="694">
        <f t="shared" ca="1" si="45"/>
        <v>14</v>
      </c>
      <c r="B83" s="694" t="str">
        <f ca="1">OFFSET(ORÇAMENTO!C$15,$L83,0)</f>
        <v>S</v>
      </c>
      <c r="C83" s="694" t="str">
        <f ca="1">OFFSET(ORÇAMENTO!L$15,$L83,0)</f>
        <v>F</v>
      </c>
      <c r="D83" s="116" t="str">
        <f ca="1">OFFSET(ORÇAMENTO!N$15,$L83,0)</f>
        <v>Serviço</v>
      </c>
      <c r="E83" s="117" t="str">
        <f ca="1">OFFSET(ORÇAMENTO!O$15,$L83,0)</f>
        <v>1.12.5.</v>
      </c>
      <c r="F83" s="163" t="str">
        <f ca="1">OFFSET(ORÇAMENTO!R$15,$L83,0)</f>
        <v>FABRICAÇÃO E INSTALAÇÃO DE TESOURA INTEIRA EM MADEIRA NÃO APARELHADA, VÃO DE 6 M, PARA TELHA CERÂMICA OU DE CONCRETO, INCLUSO IÇAMENTO. AF_07/2019</v>
      </c>
      <c r="G83" s="164" t="str">
        <f ca="1">IF($D83&lt;&gt;"Serviço","",OFFSET(ORÇAMENTO!S$15,$L83,0))</f>
        <v>UN</v>
      </c>
      <c r="H83" s="122">
        <f t="array" aca="1" ref="H83" ca="1">IF($D83&lt;&gt;"Serviço",0,IF(ACOMPANHAMENTO="BM",ROUND(OFFSET(ORÇAMENTO!AJ$15,$L83,0),15-13*ORÇAMENTO!$AF$7),IF(IFERROR(CÁLCULO.FrentesPreenchidas,0)=0,0,SUM(ROUND(OFFSET($P83,0,1,1,CÁLCULO.FrentesPreenchidas),15-13*ORÇAMENTO!$AF$7)))))</f>
        <v>80</v>
      </c>
      <c r="I83" s="467" t="s">
        <v>1310</v>
      </c>
      <c r="J83" s="653" t="str">
        <f t="array" aca="1" ref="J83" ca="1">IF(OR(B83&lt;&gt;"S",CÁLCULO.FrentesPreenchidas=0),"",IF(AND(ACOMPANHAMENTO="PLE",AUTOEVENTO="Manual",OR(H83&gt;0,ORÇAMENTO!AC83="QUANT."),OR(K83="",M83=0,N83="")),"►E",IF(AND(ACOMPANHAMENTO="PLE",ORÇAMENTO!AC83="QUANT."),"►Q",IF(AND(ACOMPANHAMENTO="PLE",H83&lt;&gt;SUMPRODUCT(($Q$1:$AI$1=1)*ROUND(Q83:AI83,15))),"►S",IF(AND(COUNTIF($P$11:$AI$11,"▼")=0,H83&gt;0,I83=""),"◄M","")))))</f>
        <v/>
      </c>
      <c r="K83" s="654" t="s">
        <v>1393</v>
      </c>
      <c r="L83" s="165">
        <f t="shared" ca="1" si="46"/>
        <v>68</v>
      </c>
      <c r="M83" s="166">
        <f ca="1">IF($D83&lt;&gt;"Serviço","",
          IF(AUTOEVENTO="manual",$A83,
                IF(ISERROR(MATCH($A83,$A$15:OFFSET($A83,-1,0),0)),MAX($M$15:OFFSET(M83,-1,0))+1,
                      INDEX($M$15:OFFSET(M83,-1,0),MATCH($A83,$A$15:OFFSET($A83,-1,0),0)))))</f>
        <v>14</v>
      </c>
      <c r="N83" s="167" t="str">
        <f ca="1">IF($D83&lt;&gt;"Serviço","",
         IF(AUTOEVENTO="Manual",
                IF($A83=0,"&lt;-- defina o número do agrupador",
                       OFFSET(EVENTOS!$D$15,$A83-$A$15,0)),
                OFFSET($F$15,$A83,0)))</f>
        <v>TELHAMENTO</v>
      </c>
      <c r="O83" s="168"/>
      <c r="Q83" s="169">
        <f>4*5</f>
        <v>20</v>
      </c>
      <c r="R83" s="169">
        <f t="shared" ref="R83:T83" si="51">4*5</f>
        <v>20</v>
      </c>
      <c r="S83" s="169">
        <f t="shared" si="51"/>
        <v>20</v>
      </c>
      <c r="T83" s="169">
        <f t="shared" si="51"/>
        <v>20</v>
      </c>
      <c r="U83" s="169"/>
      <c r="V83" s="169"/>
      <c r="W83" s="169"/>
      <c r="X83" s="169"/>
      <c r="Y83" s="169"/>
      <c r="Z83" s="170"/>
      <c r="AA83" s="169"/>
      <c r="AB83" s="169"/>
      <c r="AC83" s="169"/>
      <c r="AD83" s="169"/>
      <c r="AE83" s="169"/>
      <c r="AF83" s="169"/>
      <c r="AG83" s="169"/>
      <c r="AH83" s="170"/>
      <c r="AJ83" s="452">
        <f ca="1">IF(AND($D83="Serviço",AJ$12&lt;&gt;0,$H83&gt;0,OR(AUTOEVENTO&lt;&gt;"manual",$M83&lt;&gt;$A$15)),
        IF(Import.TipoArredondamento&lt;&gt;"TransfereGOV",
              ROUND(OFFSET($P83,0,AJ$13),15-13*ORÇAMENTO!$AF$7)/$H83*OFFSET(ORÇAMENTO!$X$15,ROW(AJ83)-ROW(AJ$15),0),
              ROUND(ROUND(OFFSET($P83,0,AJ$13),15-13*ORÇAMENTO!$AF$7)*OFFSET(ORÇAMENTO!$W$15,ROW(AJ83)-ROW(AJ$15),0),15-13*ORÇAMENTO!$AF$11)),
         0)</f>
        <v>41430.199999999997</v>
      </c>
      <c r="AK83" s="452">
        <f ca="1">IF(AND($D83="Serviço",AK$12&lt;&gt;0,$H83&gt;0,OR(AUTOEVENTO&lt;&gt;"manual",$M83&lt;&gt;$A$15)),
        IF(Import.TipoArredondamento&lt;&gt;"TransfereGOV",
              ROUND(OFFSET($P83,0,AK$13),15-13*ORÇAMENTO!$AF$7)/$H83*OFFSET(ORÇAMENTO!$X$15,ROW(AK83)-ROW(AK$15),0),
              ROUND(ROUND(OFFSET($P83,0,AK$13),15-13*ORÇAMENTO!$AF$7)*OFFSET(ORÇAMENTO!$W$15,ROW(AK83)-ROW(AK$15),0),15-13*ORÇAMENTO!$AF$11)),
         0)</f>
        <v>41430.199999999997</v>
      </c>
      <c r="AL83" s="452">
        <f ca="1">IF(AND($D83="Serviço",AL$12&lt;&gt;0,$H83&gt;0,OR(AUTOEVENTO&lt;&gt;"manual",$M83&lt;&gt;$A$15)),
        IF(Import.TipoArredondamento&lt;&gt;"TransfereGOV",
              ROUND(OFFSET($P83,0,AL$13),15-13*ORÇAMENTO!$AF$7)/$H83*OFFSET(ORÇAMENTO!$X$15,ROW(AL83)-ROW(AL$15),0),
              ROUND(ROUND(OFFSET($P83,0,AL$13),15-13*ORÇAMENTO!$AF$7)*OFFSET(ORÇAMENTO!$W$15,ROW(AL83)-ROW(AL$15),0),15-13*ORÇAMENTO!$AF$11)),
         0)</f>
        <v>41430.199999999997</v>
      </c>
      <c r="AM83" s="452">
        <f ca="1">IF(AND($D83="Serviço",AM$12&lt;&gt;0,$H83&gt;0,OR(AUTOEVENTO&lt;&gt;"manual",$M83&lt;&gt;$A$15)),
        IF(Import.TipoArredondamento&lt;&gt;"TransfereGOV",
              ROUND(OFFSET($P83,0,AM$13),15-13*ORÇAMENTO!$AF$7)/$H83*OFFSET(ORÇAMENTO!$X$15,ROW(AM83)-ROW(AM$15),0),
              ROUND(ROUND(OFFSET($P83,0,AM$13),15-13*ORÇAMENTO!$AF$7)*OFFSET(ORÇAMENTO!$W$15,ROW(AM83)-ROW(AM$15),0),15-13*ORÇAMENTO!$AF$11)),
         0)</f>
        <v>41430.199999999997</v>
      </c>
      <c r="AN83" s="452">
        <f ca="1">IF(AND($D83="Serviço",AN$12&lt;&gt;0,$H83&gt;0,OR(AUTOEVENTO&lt;&gt;"manual",$M83&lt;&gt;$A$15)),
        IF(Import.TipoArredondamento&lt;&gt;"TransfereGOV",
              ROUND(OFFSET($P83,0,AN$13),15-13*ORÇAMENTO!$AF$7)/$H83*OFFSET(ORÇAMENTO!$X$15,ROW(AN83)-ROW(AN$15),0),
              ROUND(ROUND(OFFSET($P83,0,AN$13),15-13*ORÇAMENTO!$AF$7)*OFFSET(ORÇAMENTO!$W$15,ROW(AN83)-ROW(AN$15),0),15-13*ORÇAMENTO!$AF$11)),
         0)</f>
        <v>0</v>
      </c>
      <c r="AO83" s="452">
        <f ca="1">IF(AND($D83="Serviço",AO$12&lt;&gt;0,$H83&gt;0,OR(AUTOEVENTO&lt;&gt;"manual",$M83&lt;&gt;$A$15)),
        IF(Import.TipoArredondamento&lt;&gt;"TransfereGOV",
              ROUND(OFFSET($P83,0,AO$13),15-13*ORÇAMENTO!$AF$7)/$H83*OFFSET(ORÇAMENTO!$X$15,ROW(AO83)-ROW(AO$15),0),
              ROUND(ROUND(OFFSET($P83,0,AO$13),15-13*ORÇAMENTO!$AF$7)*OFFSET(ORÇAMENTO!$W$15,ROW(AO83)-ROW(AO$15),0),15-13*ORÇAMENTO!$AF$11)),
         0)</f>
        <v>0</v>
      </c>
      <c r="AP83" s="452">
        <f ca="1">IF(AND($D83="Serviço",AP$12&lt;&gt;0,$H83&gt;0,OR(AUTOEVENTO&lt;&gt;"manual",$M83&lt;&gt;$A$15)),
        IF(Import.TipoArredondamento&lt;&gt;"TransfereGOV",
              ROUND(OFFSET($P83,0,AP$13),15-13*ORÇAMENTO!$AF$7)/$H83*OFFSET(ORÇAMENTO!$X$15,ROW(AP83)-ROW(AP$15),0),
              ROUND(ROUND(OFFSET($P83,0,AP$13),15-13*ORÇAMENTO!$AF$7)*OFFSET(ORÇAMENTO!$W$15,ROW(AP83)-ROW(AP$15),0),15-13*ORÇAMENTO!$AF$11)),
         0)</f>
        <v>0</v>
      </c>
      <c r="AQ83" s="452">
        <f ca="1">IF(AND($D83="Serviço",AQ$12&lt;&gt;0,$H83&gt;0,OR(AUTOEVENTO&lt;&gt;"manual",$M83&lt;&gt;$A$15)),
        IF(Import.TipoArredondamento&lt;&gt;"TransfereGOV",
              ROUND(OFFSET($P83,0,AQ$13),15-13*ORÇAMENTO!$AF$7)/$H83*OFFSET(ORÇAMENTO!$X$15,ROW(AQ83)-ROW(AQ$15),0),
              ROUND(ROUND(OFFSET($P83,0,AQ$13),15-13*ORÇAMENTO!$AF$7)*OFFSET(ORÇAMENTO!$W$15,ROW(AQ83)-ROW(AQ$15),0),15-13*ORÇAMENTO!$AF$11)),
         0)</f>
        <v>0</v>
      </c>
      <c r="AR83" s="452">
        <f ca="1">IF(AND($D83="Serviço",AR$12&lt;&gt;0,$H83&gt;0,OR(AUTOEVENTO&lt;&gt;"manual",$M83&lt;&gt;$A$15)),
        IF(Import.TipoArredondamento&lt;&gt;"TransfereGOV",
              ROUND(OFFSET($P83,0,AR$13),15-13*ORÇAMENTO!$AF$7)/$H83*OFFSET(ORÇAMENTO!$X$15,ROW(AR83)-ROW(AR$15),0),
              ROUND(ROUND(OFFSET($P83,0,AR$13),15-13*ORÇAMENTO!$AF$7)*OFFSET(ORÇAMENTO!$W$15,ROW(AR83)-ROW(AR$15),0),15-13*ORÇAMENTO!$AF$11)),
         0)</f>
        <v>0</v>
      </c>
      <c r="AS83" s="452">
        <f ca="1">IF(AND($D83="Serviço",AS$12&lt;&gt;0,$H83&gt;0,OR(AUTOEVENTO&lt;&gt;"manual",$M83&lt;&gt;$A$15)),
        IF(Import.TipoArredondamento&lt;&gt;"TransfereGOV",
              ROUND(OFFSET($P83,0,AS$13),15-13*ORÇAMENTO!$AF$7)/$H83*OFFSET(ORÇAMENTO!$X$15,ROW(AS83)-ROW(AS$15),0),
              ROUND(ROUND(OFFSET($P83,0,AS$13),15-13*ORÇAMENTO!$AF$7)*OFFSET(ORÇAMENTO!$W$15,ROW(AS83)-ROW(AS$15),0),15-13*ORÇAMENTO!$AF$11)),
         0)</f>
        <v>0</v>
      </c>
      <c r="AT83" s="452">
        <f ca="1">IF(AND($D83="Serviço",AT$12&lt;&gt;0,$H83&gt;0,OR(AUTOEVENTO&lt;&gt;"manual",$M83&lt;&gt;$A$15)),
        IF(Import.TipoArredondamento&lt;&gt;"TransfereGOV",
              ROUND(OFFSET($P83,0,AT$13),15-13*ORÇAMENTO!$AF$7)/$H83*OFFSET(ORÇAMENTO!$X$15,ROW(AT83)-ROW(AT$15),0),
              ROUND(ROUND(OFFSET($P83,0,AT$13),15-13*ORÇAMENTO!$AF$7)*OFFSET(ORÇAMENTO!$W$15,ROW(AT83)-ROW(AT$15),0),15-13*ORÇAMENTO!$AF$11)),
         0)</f>
        <v>0</v>
      </c>
      <c r="AU83" s="452">
        <f ca="1">IF(AND($D83="Serviço",AU$12&lt;&gt;0,$H83&gt;0,OR(AUTOEVENTO&lt;&gt;"manual",$M83&lt;&gt;$A$15)),
        IF(Import.TipoArredondamento&lt;&gt;"TransfereGOV",
              ROUND(OFFSET($P83,0,AU$13),15-13*ORÇAMENTO!$AF$7)/$H83*OFFSET(ORÇAMENTO!$X$15,ROW(AU83)-ROW(AU$15),0),
              ROUND(ROUND(OFFSET($P83,0,AU$13),15-13*ORÇAMENTO!$AF$7)*OFFSET(ORÇAMENTO!$W$15,ROW(AU83)-ROW(AU$15),0),15-13*ORÇAMENTO!$AF$11)),
         0)</f>
        <v>0</v>
      </c>
      <c r="AV83" s="452">
        <f ca="1">IF(AND($D83="Serviço",AV$12&lt;&gt;0,$H83&gt;0,OR(AUTOEVENTO&lt;&gt;"manual",$M83&lt;&gt;$A$15)),
        IF(Import.TipoArredondamento&lt;&gt;"TransfereGOV",
              ROUND(OFFSET($P83,0,AV$13),15-13*ORÇAMENTO!$AF$7)/$H83*OFFSET(ORÇAMENTO!$X$15,ROW(AV83)-ROW(AV$15),0),
              ROUND(ROUND(OFFSET($P83,0,AV$13),15-13*ORÇAMENTO!$AF$7)*OFFSET(ORÇAMENTO!$W$15,ROW(AV83)-ROW(AV$15),0),15-13*ORÇAMENTO!$AF$11)),
         0)</f>
        <v>0</v>
      </c>
      <c r="AW83" s="452">
        <f ca="1">IF(AND($D83="Serviço",AW$12&lt;&gt;0,$H83&gt;0,OR(AUTOEVENTO&lt;&gt;"manual",$M83&lt;&gt;$A$15)),
        IF(Import.TipoArredondamento&lt;&gt;"TransfereGOV",
              ROUND(OFFSET($P83,0,AW$13),15-13*ORÇAMENTO!$AF$7)/$H83*OFFSET(ORÇAMENTO!$X$15,ROW(AW83)-ROW(AW$15),0),
              ROUND(ROUND(OFFSET($P83,0,AW$13),15-13*ORÇAMENTO!$AF$7)*OFFSET(ORÇAMENTO!$W$15,ROW(AW83)-ROW(AW$15),0),15-13*ORÇAMENTO!$AF$11)),
         0)</f>
        <v>0</v>
      </c>
      <c r="AX83" s="452">
        <f ca="1">IF(AND($D83="Serviço",AX$12&lt;&gt;0,$H83&gt;0,OR(AUTOEVENTO&lt;&gt;"manual",$M83&lt;&gt;$A$15)),
        IF(Import.TipoArredondamento&lt;&gt;"TransfereGOV",
              ROUND(OFFSET($P83,0,AX$13),15-13*ORÇAMENTO!$AF$7)/$H83*OFFSET(ORÇAMENTO!$X$15,ROW(AX83)-ROW(AX$15),0),
              ROUND(ROUND(OFFSET($P83,0,AX$13),15-13*ORÇAMENTO!$AF$7)*OFFSET(ORÇAMENTO!$W$15,ROW(AX83)-ROW(AX$15),0),15-13*ORÇAMENTO!$AF$11)),
         0)</f>
        <v>0</v>
      </c>
      <c r="AY83" s="452">
        <f ca="1">IF(AND($D83="Serviço",AY$12&lt;&gt;0,$H83&gt;0,OR(AUTOEVENTO&lt;&gt;"manual",$M83&lt;&gt;$A$15)),
        IF(Import.TipoArredondamento&lt;&gt;"TransfereGOV",
              ROUND(OFFSET($P83,0,AY$13),15-13*ORÇAMENTO!$AF$7)/$H83*OFFSET(ORÇAMENTO!$X$15,ROW(AY83)-ROW(AY$15),0),
              ROUND(ROUND(OFFSET($P83,0,AY$13),15-13*ORÇAMENTO!$AF$7)*OFFSET(ORÇAMENTO!$W$15,ROW(AY83)-ROW(AY$15),0),15-13*ORÇAMENTO!$AF$11)),
         0)</f>
        <v>0</v>
      </c>
      <c r="AZ83" s="452">
        <f ca="1">IF(AND($D83="Serviço",AZ$12&lt;&gt;0,$H83&gt;0,OR(AUTOEVENTO&lt;&gt;"manual",$M83&lt;&gt;$A$15)),
        IF(Import.TipoArredondamento&lt;&gt;"TransfereGOV",
              ROUND(OFFSET($P83,0,AZ$13),15-13*ORÇAMENTO!$AF$7)/$H83*OFFSET(ORÇAMENTO!$X$15,ROW(AZ83)-ROW(AZ$15),0),
              ROUND(ROUND(OFFSET($P83,0,AZ$13),15-13*ORÇAMENTO!$AF$7)*OFFSET(ORÇAMENTO!$W$15,ROW(AZ83)-ROW(AZ$15),0),15-13*ORÇAMENTO!$AF$11)),
         0)</f>
        <v>0</v>
      </c>
      <c r="BA83" s="452">
        <f ca="1">IF(AND($D83="Serviço",BA$12&lt;&gt;0,$H83&gt;0,OR(AUTOEVENTO&lt;&gt;"manual",$M83&lt;&gt;$A$15)),
        IF(Import.TipoArredondamento&lt;&gt;"TransfereGOV",
              ROUND(OFFSET($P83,0,BA$13),15-13*ORÇAMENTO!$AF$7)/$H83*OFFSET(ORÇAMENTO!$X$15,ROW(BA83)-ROW(BA$15),0),
              ROUND(ROUND(OFFSET($P83,0,BA$13),15-13*ORÇAMENTO!$AF$7)*OFFSET(ORÇAMENTO!$W$15,ROW(BA83)-ROW(BA$15),0),15-13*ORÇAMENTO!$AF$11)),
         0)</f>
        <v>0</v>
      </c>
      <c r="BC83" s="171">
        <f ca="1">IF(OR($D83&lt;&gt;"Serviço",AND(AUTOEVENTO="Manual",$M83=$A$15)),0,
         IF(OFFSET(CRONOPLE!$F$15,$M83-$A$15,BC$13)=0,10^12,OFFSET(CRONOPLE!$F$15,$M83-$A$15,BC$13)))</f>
        <v>4</v>
      </c>
      <c r="BD83" s="171">
        <f ca="1">IF(OR($D83&lt;&gt;"Serviço",AND(AUTOEVENTO="Manual",$M83=$A$15)),0,
         IF(OFFSET(CRONOPLE!$F$15,$M83-$A$15,BD$13)=0,10^12,OFFSET(CRONOPLE!$F$15,$M83-$A$15,BD$13)))</f>
        <v>5</v>
      </c>
      <c r="BE83" s="171">
        <f ca="1">IF(OR($D83&lt;&gt;"Serviço",AND(AUTOEVENTO="Manual",$M83=$A$15)),0,
         IF(OFFSET(CRONOPLE!$F$15,$M83-$A$15,BE$13)=0,10^12,OFFSET(CRONOPLE!$F$15,$M83-$A$15,BE$13)))</f>
        <v>6</v>
      </c>
      <c r="BF83" s="171">
        <f ca="1">IF(OR($D83&lt;&gt;"Serviço",AND(AUTOEVENTO="Manual",$M83=$A$15)),0,
         IF(OFFSET(CRONOPLE!$F$15,$M83-$A$15,BF$13)=0,10^12,OFFSET(CRONOPLE!$F$15,$M83-$A$15,BF$13)))</f>
        <v>6</v>
      </c>
      <c r="BG83" s="171">
        <f ca="1">IF(OR($D83&lt;&gt;"Serviço",AND(AUTOEVENTO="Manual",$M83=$A$15)),0,
         IF(OFFSET(CRONOPLE!$F$15,$M83-$A$15,BG$13)=0,10^12,OFFSET(CRONOPLE!$F$15,$M83-$A$15,BG$13)))</f>
        <v>6</v>
      </c>
      <c r="BH83" s="171">
        <f ca="1">IF(OR($D83&lt;&gt;"Serviço",AND(AUTOEVENTO="Manual",$M83=$A$15)),0,
         IF(OFFSET(CRONOPLE!$F$15,$M83-$A$15,BH$13)=0,10^12,OFFSET(CRONOPLE!$F$15,$M83-$A$15,BH$13)))</f>
        <v>6</v>
      </c>
      <c r="BI83" s="171">
        <f ca="1">IF(OR($D83&lt;&gt;"Serviço",AND(AUTOEVENTO="Manual",$M83=$A$15)),0,
         IF(OFFSET(CRONOPLE!$F$15,$M83-$A$15,BI$13)=0,10^12,OFFSET(CRONOPLE!$F$15,$M83-$A$15,BI$13)))</f>
        <v>7</v>
      </c>
      <c r="BJ83" s="171">
        <f ca="1">IF(OR($D83&lt;&gt;"Serviço",AND(AUTOEVENTO="Manual",$M83=$A$15)),0,
         IF(OFFSET(CRONOPLE!$F$15,$M83-$A$15,BJ$13)=0,10^12,OFFSET(CRONOPLE!$F$15,$M83-$A$15,BJ$13)))</f>
        <v>1000000000000</v>
      </c>
      <c r="BK83" s="171">
        <f ca="1">IF(OR($D83&lt;&gt;"Serviço",AND(AUTOEVENTO="Manual",$M83=$A$15)),0,
         IF(OFFSET(CRONOPLE!$F$15,$M83-$A$15,BK$13)=0,10^12,OFFSET(CRONOPLE!$F$15,$M83-$A$15,BK$13)))</f>
        <v>1000000000000</v>
      </c>
      <c r="BL83" s="171">
        <f ca="1">IF(OR($D83&lt;&gt;"Serviço",AND(AUTOEVENTO="Manual",$M83=$A$15)),0,
         IF(OFFSET(CRONOPLE!$F$15,$M83-$A$15,BL$13)=0,10^12,OFFSET(CRONOPLE!$F$15,$M83-$A$15,BL$13)))</f>
        <v>1000000000000</v>
      </c>
      <c r="BM83" s="171">
        <f ca="1">IF(OR($D83&lt;&gt;"Serviço",AND(AUTOEVENTO="Manual",$M83=$A$15)),0,
         IF(OFFSET(CRONOPLE!$F$15,$M83-$A$15,BM$13)=0,10^12,OFFSET(CRONOPLE!$F$15,$M83-$A$15,BM$13)))</f>
        <v>1000000000000</v>
      </c>
      <c r="BN83" s="171">
        <f ca="1">IF(OR($D83&lt;&gt;"Serviço",AND(AUTOEVENTO="Manual",$M83=$A$15)),0,
         IF(OFFSET(CRONOPLE!$F$15,$M83-$A$15,BN$13)=0,10^12,OFFSET(CRONOPLE!$F$15,$M83-$A$15,BN$13)))</f>
        <v>1000000000000</v>
      </c>
      <c r="BO83" s="171">
        <f ca="1">IF(OR($D83&lt;&gt;"Serviço",AND(AUTOEVENTO="Manual",$M83=$A$15)),0,
         IF(OFFSET(CRONOPLE!$F$15,$M83-$A$15,BO$13)=0,10^12,OFFSET(CRONOPLE!$F$15,$M83-$A$15,BO$13)))</f>
        <v>1000000000000</v>
      </c>
      <c r="BP83" s="171">
        <f ca="1">IF(OR($D83&lt;&gt;"Serviço",AND(AUTOEVENTO="Manual",$M83=$A$15)),0,
         IF(OFFSET(CRONOPLE!$F$15,$M83-$A$15,BP$13)=0,10^12,OFFSET(CRONOPLE!$F$15,$M83-$A$15,BP$13)))</f>
        <v>1000000000000</v>
      </c>
      <c r="BQ83" s="171">
        <f ca="1">IF(OR($D83&lt;&gt;"Serviço",AND(AUTOEVENTO="Manual",$M83=$A$15)),0,
         IF(OFFSET(CRONOPLE!$F$15,$M83-$A$15,BQ$13)=0,10^12,OFFSET(CRONOPLE!$F$15,$M83-$A$15,BQ$13)))</f>
        <v>1000000000000</v>
      </c>
      <c r="BR83" s="171">
        <f ca="1">IF(OR($D83&lt;&gt;"Serviço",AND(AUTOEVENTO="Manual",$M83=$A$15)),0,
         IF(OFFSET(CRONOPLE!$F$15,$M83-$A$15,BR$13)=0,10^12,OFFSET(CRONOPLE!$F$15,$M83-$A$15,BR$13)))</f>
        <v>1000000000000</v>
      </c>
      <c r="BS83" s="171">
        <f ca="1">IF(OR($D83&lt;&gt;"Serviço",AND(AUTOEVENTO="Manual",$M83=$A$15)),0,
         IF(OFFSET(CRONOPLE!$F$15,$M83-$A$15,BS$13)=0,10^12,OFFSET(CRONOPLE!$F$15,$M83-$A$15,BS$13)))</f>
        <v>1000000000000</v>
      </c>
      <c r="BT83" s="171">
        <f ca="1">IF(OR($D83&lt;&gt;"Serviço",AND(AUTOEVENTO="Manual",$M83=$A$15)),0,
         IF(OFFSET(CRONOPLE!$F$15,$M83-$A$15,BT$13)=0,10^12,OFFSET(CRONOPLE!$F$15,$M83-$A$15,BT$13)))</f>
        <v>1000000000000</v>
      </c>
      <c r="BV83" s="172">
        <f t="array" aca="1" ref="BV83" ca="1">IF(OR($D83&lt;&gt;"Serviço",AND(AUTOEVENTO="Manual",$M83=$A$15),$M83&gt;(ROW(PLE.lastrow)-ROW(PLE.firstrow))),0,
           IF(OFFSET(PLE!$G$15,$M83-$A$15,BV$13)="",10^12,OFFSET(PLE!$G$15,$M83-$A$15,BV$13)))</f>
        <v>1000000000000</v>
      </c>
      <c r="BW83" s="172">
        <f t="array" aca="1" ref="BW83" ca="1">IF(OR($D83&lt;&gt;"Serviço",AND(AUTOEVENTO="Manual",$M83=$A$15),$M83&gt;(ROW(PLE.lastrow)-ROW(PLE.firstrow))),0,
           IF(OFFSET(PLE!$G$15,$M83-$A$15,BW$13)="",10^12,OFFSET(PLE!$G$15,$M83-$A$15,BW$13)))</f>
        <v>1000000000000</v>
      </c>
      <c r="BX83" s="172">
        <f t="array" aca="1" ref="BX83" ca="1">IF(OR($D83&lt;&gt;"Serviço",AND(AUTOEVENTO="Manual",$M83=$A$15),$M83&gt;(ROW(PLE.lastrow)-ROW(PLE.firstrow))),0,
           IF(OFFSET(PLE!$G$15,$M83-$A$15,BX$13)="",10^12,OFFSET(PLE!$G$15,$M83-$A$15,BX$13)))</f>
        <v>1000000000000</v>
      </c>
      <c r="BY83" s="172">
        <f t="array" aca="1" ref="BY83" ca="1">IF(OR($D83&lt;&gt;"Serviço",AND(AUTOEVENTO="Manual",$M83=$A$15),$M83&gt;(ROW(PLE.lastrow)-ROW(PLE.firstrow))),0,
           IF(OFFSET(PLE!$G$15,$M83-$A$15,BY$13)="",10^12,OFFSET(PLE!$G$15,$M83-$A$15,BY$13)))</f>
        <v>1000000000000</v>
      </c>
      <c r="BZ83" s="172">
        <f t="array" aca="1" ref="BZ83" ca="1">IF(OR($D83&lt;&gt;"Serviço",AND(AUTOEVENTO="Manual",$M83=$A$15),$M83&gt;(ROW(PLE.lastrow)-ROW(PLE.firstrow))),0,
           IF(OFFSET(PLE!$G$15,$M83-$A$15,BZ$13)="",10^12,OFFSET(PLE!$G$15,$M83-$A$15,BZ$13)))</f>
        <v>1000000000000</v>
      </c>
      <c r="CA83" s="172">
        <f t="array" aca="1" ref="CA83" ca="1">IF(OR($D83&lt;&gt;"Serviço",AND(AUTOEVENTO="Manual",$M83=$A$15),$M83&gt;(ROW(PLE.lastrow)-ROW(PLE.firstrow))),0,
           IF(OFFSET(PLE!$G$15,$M83-$A$15,CA$13)="",10^12,OFFSET(PLE!$G$15,$M83-$A$15,CA$13)))</f>
        <v>1000000000000</v>
      </c>
      <c r="CB83" s="172">
        <f t="array" aca="1" ref="CB83" ca="1">IF(OR($D83&lt;&gt;"Serviço",AND(AUTOEVENTO="Manual",$M83=$A$15),$M83&gt;(ROW(PLE.lastrow)-ROW(PLE.firstrow))),0,
           IF(OFFSET(PLE!$G$15,$M83-$A$15,CB$13)="",10^12,OFFSET(PLE!$G$15,$M83-$A$15,CB$13)))</f>
        <v>1000000000000</v>
      </c>
      <c r="CC83" s="172">
        <f t="array" aca="1" ref="CC83" ca="1">IF(OR($D83&lt;&gt;"Serviço",AND(AUTOEVENTO="Manual",$M83=$A$15),$M83&gt;(ROW(PLE.lastrow)-ROW(PLE.firstrow))),0,
           IF(OFFSET(PLE!$G$15,$M83-$A$15,CC$13)="",10^12,OFFSET(PLE!$G$15,$M83-$A$15,CC$13)))</f>
        <v>1000000000000</v>
      </c>
      <c r="CD83" s="172">
        <f t="array" aca="1" ref="CD83" ca="1">IF(OR($D83&lt;&gt;"Serviço",AND(AUTOEVENTO="Manual",$M83=$A$15),$M83&gt;(ROW(PLE.lastrow)-ROW(PLE.firstrow))),0,
           IF(OFFSET(PLE!$G$15,$M83-$A$15,CD$13)="",10^12,OFFSET(PLE!$G$15,$M83-$A$15,CD$13)))</f>
        <v>1000000000000</v>
      </c>
      <c r="CE83" s="172">
        <f t="array" aca="1" ref="CE83" ca="1">IF(OR($D83&lt;&gt;"Serviço",AND(AUTOEVENTO="Manual",$M83=$A$15),$M83&gt;(ROW(PLE.lastrow)-ROW(PLE.firstrow))),0,
           IF(OFFSET(PLE!$G$15,$M83-$A$15,CE$13)="",10^12,OFFSET(PLE!$G$15,$M83-$A$15,CE$13)))</f>
        <v>1000000000000</v>
      </c>
      <c r="CF83" s="172">
        <f t="array" aca="1" ref="CF83" ca="1">IF(OR($D83&lt;&gt;"Serviço",AND(AUTOEVENTO="Manual",$M83=$A$15),$M83&gt;(ROW(PLE.lastrow)-ROW(PLE.firstrow))),0,
           IF(OFFSET(PLE!$G$15,$M83-$A$15,CF$13)="",10^12,OFFSET(PLE!$G$15,$M83-$A$15,CF$13)))</f>
        <v>1000000000000</v>
      </c>
      <c r="CG83" s="172">
        <f t="array" aca="1" ref="CG83" ca="1">IF(OR($D83&lt;&gt;"Serviço",AND(AUTOEVENTO="Manual",$M83=$A$15),$M83&gt;(ROW(PLE.lastrow)-ROW(PLE.firstrow))),0,
           IF(OFFSET(PLE!$G$15,$M83-$A$15,CG$13)="",10^12,OFFSET(PLE!$G$15,$M83-$A$15,CG$13)))</f>
        <v>1000000000000</v>
      </c>
      <c r="CH83" s="172">
        <f t="array" aca="1" ref="CH83" ca="1">IF(OR($D83&lt;&gt;"Serviço",AND(AUTOEVENTO="Manual",$M83=$A$15),$M83&gt;(ROW(PLE.lastrow)-ROW(PLE.firstrow))),0,
           IF(OFFSET(PLE!$G$15,$M83-$A$15,CH$13)="",10^12,OFFSET(PLE!$G$15,$M83-$A$15,CH$13)))</f>
        <v>1000000000000</v>
      </c>
      <c r="CI83" s="172">
        <f t="array" aca="1" ref="CI83" ca="1">IF(OR($D83&lt;&gt;"Serviço",AND(AUTOEVENTO="Manual",$M83=$A$15),$M83&gt;(ROW(PLE.lastrow)-ROW(PLE.firstrow))),0,
           IF(OFFSET(PLE!$G$15,$M83-$A$15,CI$13)="",10^12,OFFSET(PLE!$G$15,$M83-$A$15,CI$13)))</f>
        <v>1000000000000</v>
      </c>
      <c r="CJ83" s="172">
        <f t="array" aca="1" ref="CJ83" ca="1">IF(OR($D83&lt;&gt;"Serviço",AND(AUTOEVENTO="Manual",$M83=$A$15),$M83&gt;(ROW(PLE.lastrow)-ROW(PLE.firstrow))),0,
           IF(OFFSET(PLE!$G$15,$M83-$A$15,CJ$13)="",10^12,OFFSET(PLE!$G$15,$M83-$A$15,CJ$13)))</f>
        <v>1000000000000</v>
      </c>
      <c r="CK83" s="172">
        <f t="array" aca="1" ref="CK83" ca="1">IF(OR($D83&lt;&gt;"Serviço",AND(AUTOEVENTO="Manual",$M83=$A$15),$M83&gt;(ROW(PLE.lastrow)-ROW(PLE.firstrow))),0,
           IF(OFFSET(PLE!$G$15,$M83-$A$15,CK$13)="",10^12,OFFSET(PLE!$G$15,$M83-$A$15,CK$13)))</f>
        <v>1000000000000</v>
      </c>
      <c r="CL83" s="172">
        <f t="array" aca="1" ref="CL83" ca="1">IF(OR($D83&lt;&gt;"Serviço",AND(AUTOEVENTO="Manual",$M83=$A$15),$M83&gt;(ROW(PLE.lastrow)-ROW(PLE.firstrow))),0,
           IF(OFFSET(PLE!$G$15,$M83-$A$15,CL$13)="",10^12,OFFSET(PLE!$G$15,$M83-$A$15,CL$13)))</f>
        <v>1000000000000</v>
      </c>
      <c r="CM83" s="172">
        <f t="array" aca="1" ref="CM83" ca="1">IF(OR($D83&lt;&gt;"Serviço",AND(AUTOEVENTO="Manual",$M83=$A$15),$M83&gt;(ROW(PLE.lastrow)-ROW(PLE.firstrow))),0,
           IF(OFFSET(PLE!$G$15,$M83-$A$15,CM$13)="",10^12,OFFSET(PLE!$G$15,$M83-$A$15,CM$13)))</f>
        <v>1000000000000</v>
      </c>
    </row>
    <row r="84" spans="1:91" s="696" customFormat="1" ht="12.75" x14ac:dyDescent="0.2">
      <c r="A84" s="694">
        <f t="shared" ca="1" si="45"/>
        <v>0</v>
      </c>
      <c r="B84" s="694">
        <f ca="1">OFFSET(ORÇAMENTO!C$15,$L84,0)</f>
        <v>2</v>
      </c>
      <c r="C84" s="694" t="str">
        <f ca="1">OFFSET(ORÇAMENTO!L$15,$L84,0)</f>
        <v>F</v>
      </c>
      <c r="D84" s="116" t="str">
        <f ca="1">OFFSET(ORÇAMENTO!N$15,$L84,0)</f>
        <v>Nível 2</v>
      </c>
      <c r="E84" s="117" t="str">
        <f ca="1">OFFSET(ORÇAMENTO!O$15,$L84,0)</f>
        <v>1.13.</v>
      </c>
      <c r="F84" s="163" t="str">
        <f ca="1">OFFSET(ORÇAMENTO!R$15,$L84,0)</f>
        <v>FORRO</v>
      </c>
      <c r="G84" s="164" t="str">
        <f ca="1">IF($D84&lt;&gt;"Serviço","",OFFSET(ORÇAMENTO!S$15,$L84,0))</f>
        <v/>
      </c>
      <c r="H84" s="122">
        <f t="array" aca="1" ref="H84" ca="1">IF($D84&lt;&gt;"Serviço",0,IF(ACOMPANHAMENTO="BM",ROUND(OFFSET(ORÇAMENTO!AJ$15,$L84,0),15-13*ORÇAMENTO!$AF$7),IF(IFERROR(CÁLCULO.FrentesPreenchidas,0)=0,0,SUM(ROUND(OFFSET($P84,0,1,1,CÁLCULO.FrentesPreenchidas),15-13*ORÇAMENTO!$AF$7)))))</f>
        <v>0</v>
      </c>
      <c r="I84" s="467"/>
      <c r="J84" s="653" t="str">
        <f t="array" aca="1" ref="J84" ca="1">IF(OR(B84&lt;&gt;"S",CÁLCULO.FrentesPreenchidas=0),"",IF(AND(ACOMPANHAMENTO="PLE",AUTOEVENTO="Manual",OR(H84&gt;0,ORÇAMENTO!AC84="QUANT."),OR(K84="",M84=0,N84="")),"►E",IF(AND(ACOMPANHAMENTO="PLE",ORÇAMENTO!AC84="QUANT."),"►Q",IF(AND(ACOMPANHAMENTO="PLE",H84&lt;&gt;SUMPRODUCT(($Q$1:$AI$1=1)*ROUND(Q84:AI84,15))),"►S",IF(AND(COUNTIF($P$11:$AI$11,"▼")=0,H84&gt;0,I84=""),"◄M","")))))</f>
        <v/>
      </c>
      <c r="K84" s="654"/>
      <c r="L84" s="165">
        <f t="shared" ca="1" si="46"/>
        <v>69</v>
      </c>
      <c r="M84" s="166" t="str">
        <f ca="1">IF($D84&lt;&gt;"Serviço","",
          IF(AUTOEVENTO="manual",$A84,
                IF(ISERROR(MATCH($A84,$A$15:OFFSET($A84,-1,0),0)),MAX($M$15:OFFSET(M84,-1,0))+1,
                      INDEX($M$15:OFFSET(M84,-1,0),MATCH($A84,$A$15:OFFSET($A84,-1,0),0)))))</f>
        <v/>
      </c>
      <c r="N84" s="167" t="str">
        <f ca="1">IF($D84&lt;&gt;"Serviço","",
         IF(AUTOEVENTO="Manual",
                IF($A84=0,"&lt;-- defina o número do agrupador",
                       OFFSET(EVENTOS!$D$15,$A84-$A$15,0)),
                OFFSET($F$15,$A84,0)))</f>
        <v/>
      </c>
      <c r="O84" s="168"/>
      <c r="Q84" s="169"/>
      <c r="R84" s="169"/>
      <c r="S84" s="169"/>
      <c r="T84" s="169"/>
      <c r="U84" s="169"/>
      <c r="V84" s="169"/>
      <c r="W84" s="169"/>
      <c r="X84" s="169"/>
      <c r="Y84" s="169"/>
      <c r="Z84" s="170"/>
      <c r="AA84" s="169"/>
      <c r="AB84" s="169"/>
      <c r="AC84" s="169"/>
      <c r="AD84" s="169"/>
      <c r="AE84" s="169"/>
      <c r="AF84" s="169"/>
      <c r="AG84" s="169"/>
      <c r="AH84" s="170"/>
      <c r="AJ84" s="452">
        <f ca="1">IF(AND($D84="Serviço",AJ$12&lt;&gt;0,$H84&gt;0,OR(AUTOEVENTO&lt;&gt;"manual",$M84&lt;&gt;$A$15)),
        IF(Import.TipoArredondamento&lt;&gt;"TransfereGOV",
              ROUND(OFFSET($P84,0,AJ$13),15-13*ORÇAMENTO!$AF$7)/$H84*OFFSET(ORÇAMENTO!$X$15,ROW(AJ84)-ROW(AJ$15),0),
              ROUND(ROUND(OFFSET($P84,0,AJ$13),15-13*ORÇAMENTO!$AF$7)*OFFSET(ORÇAMENTO!$W$15,ROW(AJ84)-ROW(AJ$15),0),15-13*ORÇAMENTO!$AF$11)),
         0)</f>
        <v>0</v>
      </c>
      <c r="AK84" s="452">
        <f ca="1">IF(AND($D84="Serviço",AK$12&lt;&gt;0,$H84&gt;0,OR(AUTOEVENTO&lt;&gt;"manual",$M84&lt;&gt;$A$15)),
        IF(Import.TipoArredondamento&lt;&gt;"TransfereGOV",
              ROUND(OFFSET($P84,0,AK$13),15-13*ORÇAMENTO!$AF$7)/$H84*OFFSET(ORÇAMENTO!$X$15,ROW(AK84)-ROW(AK$15),0),
              ROUND(ROUND(OFFSET($P84,0,AK$13),15-13*ORÇAMENTO!$AF$7)*OFFSET(ORÇAMENTO!$W$15,ROW(AK84)-ROW(AK$15),0),15-13*ORÇAMENTO!$AF$11)),
         0)</f>
        <v>0</v>
      </c>
      <c r="AL84" s="452">
        <f ca="1">IF(AND($D84="Serviço",AL$12&lt;&gt;0,$H84&gt;0,OR(AUTOEVENTO&lt;&gt;"manual",$M84&lt;&gt;$A$15)),
        IF(Import.TipoArredondamento&lt;&gt;"TransfereGOV",
              ROUND(OFFSET($P84,0,AL$13),15-13*ORÇAMENTO!$AF$7)/$H84*OFFSET(ORÇAMENTO!$X$15,ROW(AL84)-ROW(AL$15),0),
              ROUND(ROUND(OFFSET($P84,0,AL$13),15-13*ORÇAMENTO!$AF$7)*OFFSET(ORÇAMENTO!$W$15,ROW(AL84)-ROW(AL$15),0),15-13*ORÇAMENTO!$AF$11)),
         0)</f>
        <v>0</v>
      </c>
      <c r="AM84" s="452">
        <f ca="1">IF(AND($D84="Serviço",AM$12&lt;&gt;0,$H84&gt;0,OR(AUTOEVENTO&lt;&gt;"manual",$M84&lt;&gt;$A$15)),
        IF(Import.TipoArredondamento&lt;&gt;"TransfereGOV",
              ROUND(OFFSET($P84,0,AM$13),15-13*ORÇAMENTO!$AF$7)/$H84*OFFSET(ORÇAMENTO!$X$15,ROW(AM84)-ROW(AM$15),0),
              ROUND(ROUND(OFFSET($P84,0,AM$13),15-13*ORÇAMENTO!$AF$7)*OFFSET(ORÇAMENTO!$W$15,ROW(AM84)-ROW(AM$15),0),15-13*ORÇAMENTO!$AF$11)),
         0)</f>
        <v>0</v>
      </c>
      <c r="AN84" s="452">
        <f ca="1">IF(AND($D84="Serviço",AN$12&lt;&gt;0,$H84&gt;0,OR(AUTOEVENTO&lt;&gt;"manual",$M84&lt;&gt;$A$15)),
        IF(Import.TipoArredondamento&lt;&gt;"TransfereGOV",
              ROUND(OFFSET($P84,0,AN$13),15-13*ORÇAMENTO!$AF$7)/$H84*OFFSET(ORÇAMENTO!$X$15,ROW(AN84)-ROW(AN$15),0),
              ROUND(ROUND(OFFSET($P84,0,AN$13),15-13*ORÇAMENTO!$AF$7)*OFFSET(ORÇAMENTO!$W$15,ROW(AN84)-ROW(AN$15),0),15-13*ORÇAMENTO!$AF$11)),
         0)</f>
        <v>0</v>
      </c>
      <c r="AO84" s="452">
        <f ca="1">IF(AND($D84="Serviço",AO$12&lt;&gt;0,$H84&gt;0,OR(AUTOEVENTO&lt;&gt;"manual",$M84&lt;&gt;$A$15)),
        IF(Import.TipoArredondamento&lt;&gt;"TransfereGOV",
              ROUND(OFFSET($P84,0,AO$13),15-13*ORÇAMENTO!$AF$7)/$H84*OFFSET(ORÇAMENTO!$X$15,ROW(AO84)-ROW(AO$15),0),
              ROUND(ROUND(OFFSET($P84,0,AO$13),15-13*ORÇAMENTO!$AF$7)*OFFSET(ORÇAMENTO!$W$15,ROW(AO84)-ROW(AO$15),0),15-13*ORÇAMENTO!$AF$11)),
         0)</f>
        <v>0</v>
      </c>
      <c r="AP84" s="452">
        <f ca="1">IF(AND($D84="Serviço",AP$12&lt;&gt;0,$H84&gt;0,OR(AUTOEVENTO&lt;&gt;"manual",$M84&lt;&gt;$A$15)),
        IF(Import.TipoArredondamento&lt;&gt;"TransfereGOV",
              ROUND(OFFSET($P84,0,AP$13),15-13*ORÇAMENTO!$AF$7)/$H84*OFFSET(ORÇAMENTO!$X$15,ROW(AP84)-ROW(AP$15),0),
              ROUND(ROUND(OFFSET($P84,0,AP$13),15-13*ORÇAMENTO!$AF$7)*OFFSET(ORÇAMENTO!$W$15,ROW(AP84)-ROW(AP$15),0),15-13*ORÇAMENTO!$AF$11)),
         0)</f>
        <v>0</v>
      </c>
      <c r="AQ84" s="452">
        <f ca="1">IF(AND($D84="Serviço",AQ$12&lt;&gt;0,$H84&gt;0,OR(AUTOEVENTO&lt;&gt;"manual",$M84&lt;&gt;$A$15)),
        IF(Import.TipoArredondamento&lt;&gt;"TransfereGOV",
              ROUND(OFFSET($P84,0,AQ$13),15-13*ORÇAMENTO!$AF$7)/$H84*OFFSET(ORÇAMENTO!$X$15,ROW(AQ84)-ROW(AQ$15),0),
              ROUND(ROUND(OFFSET($P84,0,AQ$13),15-13*ORÇAMENTO!$AF$7)*OFFSET(ORÇAMENTO!$W$15,ROW(AQ84)-ROW(AQ$15),0),15-13*ORÇAMENTO!$AF$11)),
         0)</f>
        <v>0</v>
      </c>
      <c r="AR84" s="452">
        <f ca="1">IF(AND($D84="Serviço",AR$12&lt;&gt;0,$H84&gt;0,OR(AUTOEVENTO&lt;&gt;"manual",$M84&lt;&gt;$A$15)),
        IF(Import.TipoArredondamento&lt;&gt;"TransfereGOV",
              ROUND(OFFSET($P84,0,AR$13),15-13*ORÇAMENTO!$AF$7)/$H84*OFFSET(ORÇAMENTO!$X$15,ROW(AR84)-ROW(AR$15),0),
              ROUND(ROUND(OFFSET($P84,0,AR$13),15-13*ORÇAMENTO!$AF$7)*OFFSET(ORÇAMENTO!$W$15,ROW(AR84)-ROW(AR$15),0),15-13*ORÇAMENTO!$AF$11)),
         0)</f>
        <v>0</v>
      </c>
      <c r="AS84" s="452">
        <f ca="1">IF(AND($D84="Serviço",AS$12&lt;&gt;0,$H84&gt;0,OR(AUTOEVENTO&lt;&gt;"manual",$M84&lt;&gt;$A$15)),
        IF(Import.TipoArredondamento&lt;&gt;"TransfereGOV",
              ROUND(OFFSET($P84,0,AS$13),15-13*ORÇAMENTO!$AF$7)/$H84*OFFSET(ORÇAMENTO!$X$15,ROW(AS84)-ROW(AS$15),0),
              ROUND(ROUND(OFFSET($P84,0,AS$13),15-13*ORÇAMENTO!$AF$7)*OFFSET(ORÇAMENTO!$W$15,ROW(AS84)-ROW(AS$15),0),15-13*ORÇAMENTO!$AF$11)),
         0)</f>
        <v>0</v>
      </c>
      <c r="AT84" s="452">
        <f ca="1">IF(AND($D84="Serviço",AT$12&lt;&gt;0,$H84&gt;0,OR(AUTOEVENTO&lt;&gt;"manual",$M84&lt;&gt;$A$15)),
        IF(Import.TipoArredondamento&lt;&gt;"TransfereGOV",
              ROUND(OFFSET($P84,0,AT$13),15-13*ORÇAMENTO!$AF$7)/$H84*OFFSET(ORÇAMENTO!$X$15,ROW(AT84)-ROW(AT$15),0),
              ROUND(ROUND(OFFSET($P84,0,AT$13),15-13*ORÇAMENTO!$AF$7)*OFFSET(ORÇAMENTO!$W$15,ROW(AT84)-ROW(AT$15),0),15-13*ORÇAMENTO!$AF$11)),
         0)</f>
        <v>0</v>
      </c>
      <c r="AU84" s="452">
        <f ca="1">IF(AND($D84="Serviço",AU$12&lt;&gt;0,$H84&gt;0,OR(AUTOEVENTO&lt;&gt;"manual",$M84&lt;&gt;$A$15)),
        IF(Import.TipoArredondamento&lt;&gt;"TransfereGOV",
              ROUND(OFFSET($P84,0,AU$13),15-13*ORÇAMENTO!$AF$7)/$H84*OFFSET(ORÇAMENTO!$X$15,ROW(AU84)-ROW(AU$15),0),
              ROUND(ROUND(OFFSET($P84,0,AU$13),15-13*ORÇAMENTO!$AF$7)*OFFSET(ORÇAMENTO!$W$15,ROW(AU84)-ROW(AU$15),0),15-13*ORÇAMENTO!$AF$11)),
         0)</f>
        <v>0</v>
      </c>
      <c r="AV84" s="452">
        <f ca="1">IF(AND($D84="Serviço",AV$12&lt;&gt;0,$H84&gt;0,OR(AUTOEVENTO&lt;&gt;"manual",$M84&lt;&gt;$A$15)),
        IF(Import.TipoArredondamento&lt;&gt;"TransfereGOV",
              ROUND(OFFSET($P84,0,AV$13),15-13*ORÇAMENTO!$AF$7)/$H84*OFFSET(ORÇAMENTO!$X$15,ROW(AV84)-ROW(AV$15),0),
              ROUND(ROUND(OFFSET($P84,0,AV$13),15-13*ORÇAMENTO!$AF$7)*OFFSET(ORÇAMENTO!$W$15,ROW(AV84)-ROW(AV$15),0),15-13*ORÇAMENTO!$AF$11)),
         0)</f>
        <v>0</v>
      </c>
      <c r="AW84" s="452">
        <f ca="1">IF(AND($D84="Serviço",AW$12&lt;&gt;0,$H84&gt;0,OR(AUTOEVENTO&lt;&gt;"manual",$M84&lt;&gt;$A$15)),
        IF(Import.TipoArredondamento&lt;&gt;"TransfereGOV",
              ROUND(OFFSET($P84,0,AW$13),15-13*ORÇAMENTO!$AF$7)/$H84*OFFSET(ORÇAMENTO!$X$15,ROW(AW84)-ROW(AW$15),0),
              ROUND(ROUND(OFFSET($P84,0,AW$13),15-13*ORÇAMENTO!$AF$7)*OFFSET(ORÇAMENTO!$W$15,ROW(AW84)-ROW(AW$15),0),15-13*ORÇAMENTO!$AF$11)),
         0)</f>
        <v>0</v>
      </c>
      <c r="AX84" s="452">
        <f ca="1">IF(AND($D84="Serviço",AX$12&lt;&gt;0,$H84&gt;0,OR(AUTOEVENTO&lt;&gt;"manual",$M84&lt;&gt;$A$15)),
        IF(Import.TipoArredondamento&lt;&gt;"TransfereGOV",
              ROUND(OFFSET($P84,0,AX$13),15-13*ORÇAMENTO!$AF$7)/$H84*OFFSET(ORÇAMENTO!$X$15,ROW(AX84)-ROW(AX$15),0),
              ROUND(ROUND(OFFSET($P84,0,AX$13),15-13*ORÇAMENTO!$AF$7)*OFFSET(ORÇAMENTO!$W$15,ROW(AX84)-ROW(AX$15),0),15-13*ORÇAMENTO!$AF$11)),
         0)</f>
        <v>0</v>
      </c>
      <c r="AY84" s="452">
        <f ca="1">IF(AND($D84="Serviço",AY$12&lt;&gt;0,$H84&gt;0,OR(AUTOEVENTO&lt;&gt;"manual",$M84&lt;&gt;$A$15)),
        IF(Import.TipoArredondamento&lt;&gt;"TransfereGOV",
              ROUND(OFFSET($P84,0,AY$13),15-13*ORÇAMENTO!$AF$7)/$H84*OFFSET(ORÇAMENTO!$X$15,ROW(AY84)-ROW(AY$15),0),
              ROUND(ROUND(OFFSET($P84,0,AY$13),15-13*ORÇAMENTO!$AF$7)*OFFSET(ORÇAMENTO!$W$15,ROW(AY84)-ROW(AY$15),0),15-13*ORÇAMENTO!$AF$11)),
         0)</f>
        <v>0</v>
      </c>
      <c r="AZ84" s="452">
        <f ca="1">IF(AND($D84="Serviço",AZ$12&lt;&gt;0,$H84&gt;0,OR(AUTOEVENTO&lt;&gt;"manual",$M84&lt;&gt;$A$15)),
        IF(Import.TipoArredondamento&lt;&gt;"TransfereGOV",
              ROUND(OFFSET($P84,0,AZ$13),15-13*ORÇAMENTO!$AF$7)/$H84*OFFSET(ORÇAMENTO!$X$15,ROW(AZ84)-ROW(AZ$15),0),
              ROUND(ROUND(OFFSET($P84,0,AZ$13),15-13*ORÇAMENTO!$AF$7)*OFFSET(ORÇAMENTO!$W$15,ROW(AZ84)-ROW(AZ$15),0),15-13*ORÇAMENTO!$AF$11)),
         0)</f>
        <v>0</v>
      </c>
      <c r="BA84" s="452">
        <f ca="1">IF(AND($D84="Serviço",BA$12&lt;&gt;0,$H84&gt;0,OR(AUTOEVENTO&lt;&gt;"manual",$M84&lt;&gt;$A$15)),
        IF(Import.TipoArredondamento&lt;&gt;"TransfereGOV",
              ROUND(OFFSET($P84,0,BA$13),15-13*ORÇAMENTO!$AF$7)/$H84*OFFSET(ORÇAMENTO!$X$15,ROW(BA84)-ROW(BA$15),0),
              ROUND(ROUND(OFFSET($P84,0,BA$13),15-13*ORÇAMENTO!$AF$7)*OFFSET(ORÇAMENTO!$W$15,ROW(BA84)-ROW(BA$15),0),15-13*ORÇAMENTO!$AF$11)),
         0)</f>
        <v>0</v>
      </c>
      <c r="BC84" s="171">
        <f ca="1">IF(OR($D84&lt;&gt;"Serviço",AND(AUTOEVENTO="Manual",$M84=$A$15)),0,
         IF(OFFSET(CRONOPLE!$F$15,$M84-$A$15,BC$13)=0,10^12,OFFSET(CRONOPLE!$F$15,$M84-$A$15,BC$13)))</f>
        <v>0</v>
      </c>
      <c r="BD84" s="171">
        <f ca="1">IF(OR($D84&lt;&gt;"Serviço",AND(AUTOEVENTO="Manual",$M84=$A$15)),0,
         IF(OFFSET(CRONOPLE!$F$15,$M84-$A$15,BD$13)=0,10^12,OFFSET(CRONOPLE!$F$15,$M84-$A$15,BD$13)))</f>
        <v>0</v>
      </c>
      <c r="BE84" s="171">
        <f ca="1">IF(OR($D84&lt;&gt;"Serviço",AND(AUTOEVENTO="Manual",$M84=$A$15)),0,
         IF(OFFSET(CRONOPLE!$F$15,$M84-$A$15,BE$13)=0,10^12,OFFSET(CRONOPLE!$F$15,$M84-$A$15,BE$13)))</f>
        <v>0</v>
      </c>
      <c r="BF84" s="171">
        <f ca="1">IF(OR($D84&lt;&gt;"Serviço",AND(AUTOEVENTO="Manual",$M84=$A$15)),0,
         IF(OFFSET(CRONOPLE!$F$15,$M84-$A$15,BF$13)=0,10^12,OFFSET(CRONOPLE!$F$15,$M84-$A$15,BF$13)))</f>
        <v>0</v>
      </c>
      <c r="BG84" s="171">
        <f ca="1">IF(OR($D84&lt;&gt;"Serviço",AND(AUTOEVENTO="Manual",$M84=$A$15)),0,
         IF(OFFSET(CRONOPLE!$F$15,$M84-$A$15,BG$13)=0,10^12,OFFSET(CRONOPLE!$F$15,$M84-$A$15,BG$13)))</f>
        <v>0</v>
      </c>
      <c r="BH84" s="171">
        <f ca="1">IF(OR($D84&lt;&gt;"Serviço",AND(AUTOEVENTO="Manual",$M84=$A$15)),0,
         IF(OFFSET(CRONOPLE!$F$15,$M84-$A$15,BH$13)=0,10^12,OFFSET(CRONOPLE!$F$15,$M84-$A$15,BH$13)))</f>
        <v>0</v>
      </c>
      <c r="BI84" s="171">
        <f ca="1">IF(OR($D84&lt;&gt;"Serviço",AND(AUTOEVENTO="Manual",$M84=$A$15)),0,
         IF(OFFSET(CRONOPLE!$F$15,$M84-$A$15,BI$13)=0,10^12,OFFSET(CRONOPLE!$F$15,$M84-$A$15,BI$13)))</f>
        <v>0</v>
      </c>
      <c r="BJ84" s="171">
        <f ca="1">IF(OR($D84&lt;&gt;"Serviço",AND(AUTOEVENTO="Manual",$M84=$A$15)),0,
         IF(OFFSET(CRONOPLE!$F$15,$M84-$A$15,BJ$13)=0,10^12,OFFSET(CRONOPLE!$F$15,$M84-$A$15,BJ$13)))</f>
        <v>0</v>
      </c>
      <c r="BK84" s="171">
        <f ca="1">IF(OR($D84&lt;&gt;"Serviço",AND(AUTOEVENTO="Manual",$M84=$A$15)),0,
         IF(OFFSET(CRONOPLE!$F$15,$M84-$A$15,BK$13)=0,10^12,OFFSET(CRONOPLE!$F$15,$M84-$A$15,BK$13)))</f>
        <v>0</v>
      </c>
      <c r="BL84" s="171">
        <f ca="1">IF(OR($D84&lt;&gt;"Serviço",AND(AUTOEVENTO="Manual",$M84=$A$15)),0,
         IF(OFFSET(CRONOPLE!$F$15,$M84-$A$15,BL$13)=0,10^12,OFFSET(CRONOPLE!$F$15,$M84-$A$15,BL$13)))</f>
        <v>0</v>
      </c>
      <c r="BM84" s="171">
        <f ca="1">IF(OR($D84&lt;&gt;"Serviço",AND(AUTOEVENTO="Manual",$M84=$A$15)),0,
         IF(OFFSET(CRONOPLE!$F$15,$M84-$A$15,BM$13)=0,10^12,OFFSET(CRONOPLE!$F$15,$M84-$A$15,BM$13)))</f>
        <v>0</v>
      </c>
      <c r="BN84" s="171">
        <f ca="1">IF(OR($D84&lt;&gt;"Serviço",AND(AUTOEVENTO="Manual",$M84=$A$15)),0,
         IF(OFFSET(CRONOPLE!$F$15,$M84-$A$15,BN$13)=0,10^12,OFFSET(CRONOPLE!$F$15,$M84-$A$15,BN$13)))</f>
        <v>0</v>
      </c>
      <c r="BO84" s="171">
        <f ca="1">IF(OR($D84&lt;&gt;"Serviço",AND(AUTOEVENTO="Manual",$M84=$A$15)),0,
         IF(OFFSET(CRONOPLE!$F$15,$M84-$A$15,BO$13)=0,10^12,OFFSET(CRONOPLE!$F$15,$M84-$A$15,BO$13)))</f>
        <v>0</v>
      </c>
      <c r="BP84" s="171">
        <f ca="1">IF(OR($D84&lt;&gt;"Serviço",AND(AUTOEVENTO="Manual",$M84=$A$15)),0,
         IF(OFFSET(CRONOPLE!$F$15,$M84-$A$15,BP$13)=0,10^12,OFFSET(CRONOPLE!$F$15,$M84-$A$15,BP$13)))</f>
        <v>0</v>
      </c>
      <c r="BQ84" s="171">
        <f ca="1">IF(OR($D84&lt;&gt;"Serviço",AND(AUTOEVENTO="Manual",$M84=$A$15)),0,
         IF(OFFSET(CRONOPLE!$F$15,$M84-$A$15,BQ$13)=0,10^12,OFFSET(CRONOPLE!$F$15,$M84-$A$15,BQ$13)))</f>
        <v>0</v>
      </c>
      <c r="BR84" s="171">
        <f ca="1">IF(OR($D84&lt;&gt;"Serviço",AND(AUTOEVENTO="Manual",$M84=$A$15)),0,
         IF(OFFSET(CRONOPLE!$F$15,$M84-$A$15,BR$13)=0,10^12,OFFSET(CRONOPLE!$F$15,$M84-$A$15,BR$13)))</f>
        <v>0</v>
      </c>
      <c r="BS84" s="171">
        <f ca="1">IF(OR($D84&lt;&gt;"Serviço",AND(AUTOEVENTO="Manual",$M84=$A$15)),0,
         IF(OFFSET(CRONOPLE!$F$15,$M84-$A$15,BS$13)=0,10^12,OFFSET(CRONOPLE!$F$15,$M84-$A$15,BS$13)))</f>
        <v>0</v>
      </c>
      <c r="BT84" s="171">
        <f ca="1">IF(OR($D84&lt;&gt;"Serviço",AND(AUTOEVENTO="Manual",$M84=$A$15)),0,
         IF(OFFSET(CRONOPLE!$F$15,$M84-$A$15,BT$13)=0,10^12,OFFSET(CRONOPLE!$F$15,$M84-$A$15,BT$13)))</f>
        <v>0</v>
      </c>
      <c r="BV84" s="172">
        <f t="array" aca="1" ref="BV84" ca="1">IF(OR($D84&lt;&gt;"Serviço",AND(AUTOEVENTO="Manual",$M84=$A$15),$M84&gt;(ROW(PLE.lastrow)-ROW(PLE.firstrow))),0,
           IF(OFFSET(PLE!$G$15,$M84-$A$15,BV$13)="",10^12,OFFSET(PLE!$G$15,$M84-$A$15,BV$13)))</f>
        <v>0</v>
      </c>
      <c r="BW84" s="172">
        <f t="array" aca="1" ref="BW84" ca="1">IF(OR($D84&lt;&gt;"Serviço",AND(AUTOEVENTO="Manual",$M84=$A$15),$M84&gt;(ROW(PLE.lastrow)-ROW(PLE.firstrow))),0,
           IF(OFFSET(PLE!$G$15,$M84-$A$15,BW$13)="",10^12,OFFSET(PLE!$G$15,$M84-$A$15,BW$13)))</f>
        <v>0</v>
      </c>
      <c r="BX84" s="172">
        <f t="array" aca="1" ref="BX84" ca="1">IF(OR($D84&lt;&gt;"Serviço",AND(AUTOEVENTO="Manual",$M84=$A$15),$M84&gt;(ROW(PLE.lastrow)-ROW(PLE.firstrow))),0,
           IF(OFFSET(PLE!$G$15,$M84-$A$15,BX$13)="",10^12,OFFSET(PLE!$G$15,$M84-$A$15,BX$13)))</f>
        <v>0</v>
      </c>
      <c r="BY84" s="172">
        <f t="array" aca="1" ref="BY84" ca="1">IF(OR($D84&lt;&gt;"Serviço",AND(AUTOEVENTO="Manual",$M84=$A$15),$M84&gt;(ROW(PLE.lastrow)-ROW(PLE.firstrow))),0,
           IF(OFFSET(PLE!$G$15,$M84-$A$15,BY$13)="",10^12,OFFSET(PLE!$G$15,$M84-$A$15,BY$13)))</f>
        <v>0</v>
      </c>
      <c r="BZ84" s="172">
        <f t="array" aca="1" ref="BZ84" ca="1">IF(OR($D84&lt;&gt;"Serviço",AND(AUTOEVENTO="Manual",$M84=$A$15),$M84&gt;(ROW(PLE.lastrow)-ROW(PLE.firstrow))),0,
           IF(OFFSET(PLE!$G$15,$M84-$A$15,BZ$13)="",10^12,OFFSET(PLE!$G$15,$M84-$A$15,BZ$13)))</f>
        <v>0</v>
      </c>
      <c r="CA84" s="172">
        <f t="array" aca="1" ref="CA84" ca="1">IF(OR($D84&lt;&gt;"Serviço",AND(AUTOEVENTO="Manual",$M84=$A$15),$M84&gt;(ROW(PLE.lastrow)-ROW(PLE.firstrow))),0,
           IF(OFFSET(PLE!$G$15,$M84-$A$15,CA$13)="",10^12,OFFSET(PLE!$G$15,$M84-$A$15,CA$13)))</f>
        <v>0</v>
      </c>
      <c r="CB84" s="172">
        <f t="array" aca="1" ref="CB84" ca="1">IF(OR($D84&lt;&gt;"Serviço",AND(AUTOEVENTO="Manual",$M84=$A$15),$M84&gt;(ROW(PLE.lastrow)-ROW(PLE.firstrow))),0,
           IF(OFFSET(PLE!$G$15,$M84-$A$15,CB$13)="",10^12,OFFSET(PLE!$G$15,$M84-$A$15,CB$13)))</f>
        <v>0</v>
      </c>
      <c r="CC84" s="172">
        <f t="array" aca="1" ref="CC84" ca="1">IF(OR($D84&lt;&gt;"Serviço",AND(AUTOEVENTO="Manual",$M84=$A$15),$M84&gt;(ROW(PLE.lastrow)-ROW(PLE.firstrow))),0,
           IF(OFFSET(PLE!$G$15,$M84-$A$15,CC$13)="",10^12,OFFSET(PLE!$G$15,$M84-$A$15,CC$13)))</f>
        <v>0</v>
      </c>
      <c r="CD84" s="172">
        <f t="array" aca="1" ref="CD84" ca="1">IF(OR($D84&lt;&gt;"Serviço",AND(AUTOEVENTO="Manual",$M84=$A$15),$M84&gt;(ROW(PLE.lastrow)-ROW(PLE.firstrow))),0,
           IF(OFFSET(PLE!$G$15,$M84-$A$15,CD$13)="",10^12,OFFSET(PLE!$G$15,$M84-$A$15,CD$13)))</f>
        <v>0</v>
      </c>
      <c r="CE84" s="172">
        <f t="array" aca="1" ref="CE84" ca="1">IF(OR($D84&lt;&gt;"Serviço",AND(AUTOEVENTO="Manual",$M84=$A$15),$M84&gt;(ROW(PLE.lastrow)-ROW(PLE.firstrow))),0,
           IF(OFFSET(PLE!$G$15,$M84-$A$15,CE$13)="",10^12,OFFSET(PLE!$G$15,$M84-$A$15,CE$13)))</f>
        <v>0</v>
      </c>
      <c r="CF84" s="172">
        <f t="array" aca="1" ref="CF84" ca="1">IF(OR($D84&lt;&gt;"Serviço",AND(AUTOEVENTO="Manual",$M84=$A$15),$M84&gt;(ROW(PLE.lastrow)-ROW(PLE.firstrow))),0,
           IF(OFFSET(PLE!$G$15,$M84-$A$15,CF$13)="",10^12,OFFSET(PLE!$G$15,$M84-$A$15,CF$13)))</f>
        <v>0</v>
      </c>
      <c r="CG84" s="172">
        <f t="array" aca="1" ref="CG84" ca="1">IF(OR($D84&lt;&gt;"Serviço",AND(AUTOEVENTO="Manual",$M84=$A$15),$M84&gt;(ROW(PLE.lastrow)-ROW(PLE.firstrow))),0,
           IF(OFFSET(PLE!$G$15,$M84-$A$15,CG$13)="",10^12,OFFSET(PLE!$G$15,$M84-$A$15,CG$13)))</f>
        <v>0</v>
      </c>
      <c r="CH84" s="172">
        <f t="array" aca="1" ref="CH84" ca="1">IF(OR($D84&lt;&gt;"Serviço",AND(AUTOEVENTO="Manual",$M84=$A$15),$M84&gt;(ROW(PLE.lastrow)-ROW(PLE.firstrow))),0,
           IF(OFFSET(PLE!$G$15,$M84-$A$15,CH$13)="",10^12,OFFSET(PLE!$G$15,$M84-$A$15,CH$13)))</f>
        <v>0</v>
      </c>
      <c r="CI84" s="172">
        <f t="array" aca="1" ref="CI84" ca="1">IF(OR($D84&lt;&gt;"Serviço",AND(AUTOEVENTO="Manual",$M84=$A$15),$M84&gt;(ROW(PLE.lastrow)-ROW(PLE.firstrow))),0,
           IF(OFFSET(PLE!$G$15,$M84-$A$15,CI$13)="",10^12,OFFSET(PLE!$G$15,$M84-$A$15,CI$13)))</f>
        <v>0</v>
      </c>
      <c r="CJ84" s="172">
        <f t="array" aca="1" ref="CJ84" ca="1">IF(OR($D84&lt;&gt;"Serviço",AND(AUTOEVENTO="Manual",$M84=$A$15),$M84&gt;(ROW(PLE.lastrow)-ROW(PLE.firstrow))),0,
           IF(OFFSET(PLE!$G$15,$M84-$A$15,CJ$13)="",10^12,OFFSET(PLE!$G$15,$M84-$A$15,CJ$13)))</f>
        <v>0</v>
      </c>
      <c r="CK84" s="172">
        <f t="array" aca="1" ref="CK84" ca="1">IF(OR($D84&lt;&gt;"Serviço",AND(AUTOEVENTO="Manual",$M84=$A$15),$M84&gt;(ROW(PLE.lastrow)-ROW(PLE.firstrow))),0,
           IF(OFFSET(PLE!$G$15,$M84-$A$15,CK$13)="",10^12,OFFSET(PLE!$G$15,$M84-$A$15,CK$13)))</f>
        <v>0</v>
      </c>
      <c r="CL84" s="172">
        <f t="array" aca="1" ref="CL84" ca="1">IF(OR($D84&lt;&gt;"Serviço",AND(AUTOEVENTO="Manual",$M84=$A$15),$M84&gt;(ROW(PLE.lastrow)-ROW(PLE.firstrow))),0,
           IF(OFFSET(PLE!$G$15,$M84-$A$15,CL$13)="",10^12,OFFSET(PLE!$G$15,$M84-$A$15,CL$13)))</f>
        <v>0</v>
      </c>
      <c r="CM84" s="172">
        <f t="array" aca="1" ref="CM84" ca="1">IF(OR($D84&lt;&gt;"Serviço",AND(AUTOEVENTO="Manual",$M84=$A$15),$M84&gt;(ROW(PLE.lastrow)-ROW(PLE.firstrow))),0,
           IF(OFFSET(PLE!$G$15,$M84-$A$15,CM$13)="",10^12,OFFSET(PLE!$G$15,$M84-$A$15,CM$13)))</f>
        <v>0</v>
      </c>
    </row>
    <row r="85" spans="1:91" s="696" customFormat="1" ht="38.25" x14ac:dyDescent="0.2">
      <c r="A85" s="694">
        <f t="shared" ca="1" si="45"/>
        <v>15</v>
      </c>
      <c r="B85" s="694" t="str">
        <f ca="1">OFFSET(ORÇAMENTO!C$15,$L85,0)</f>
        <v>S</v>
      </c>
      <c r="C85" s="694" t="str">
        <f ca="1">OFFSET(ORÇAMENTO!L$15,$L85,0)</f>
        <v>F</v>
      </c>
      <c r="D85" s="116" t="str">
        <f ca="1">OFFSET(ORÇAMENTO!N$15,$L85,0)</f>
        <v>Serviço</v>
      </c>
      <c r="E85" s="117" t="str">
        <f ca="1">OFFSET(ORÇAMENTO!O$15,$L85,0)</f>
        <v>1.13.1.</v>
      </c>
      <c r="F85" s="163" t="str">
        <f ca="1">OFFSET(ORÇAMENTO!R$15,$L85,0)</f>
        <v>FORRO EM RÉGUAS DE PVC, FRISADO, PARA AMBIENTES RESIDENCIAIS, INCLUSIVE ESTRUTURA UNIDIRECIONAL DE FIXAÇÃO. AF_08/2023_PS</v>
      </c>
      <c r="G85" s="164" t="str">
        <f ca="1">IF($D85&lt;&gt;"Serviço","",OFFSET(ORÇAMENTO!S$15,$L85,0))</f>
        <v>M2</v>
      </c>
      <c r="H85" s="122">
        <f t="array" aca="1" ref="H85" ca="1">IF($D85&lt;&gt;"Serviço",0,IF(ACOMPANHAMENTO="BM",ROUND(OFFSET(ORÇAMENTO!AJ$15,$L85,0),15-13*ORÇAMENTO!$AF$7),IF(IFERROR(CÁLCULO.FrentesPreenchidas,0)=0,0,SUM(ROUND(OFFSET($P85,0,1,1,CÁLCULO.FrentesPreenchidas),15-13*ORÇAMENTO!$AF$7)))))</f>
        <v>718</v>
      </c>
      <c r="I85" s="467" t="s">
        <v>1251</v>
      </c>
      <c r="J85" s="653" t="str">
        <f t="array" aca="1" ref="J85" ca="1">IF(OR(B85&lt;&gt;"S",CÁLCULO.FrentesPreenchidas=0),"",IF(AND(ACOMPANHAMENTO="PLE",AUTOEVENTO="Manual",OR(H85&gt;0,ORÇAMENTO!AC85="QUANT."),OR(K85="",M85=0,N85="")),"►E",IF(AND(ACOMPANHAMENTO="PLE",ORÇAMENTO!AC85="QUANT."),"►Q",IF(AND(ACOMPANHAMENTO="PLE",H85&lt;&gt;SUMPRODUCT(($Q$1:$AI$1=1)*ROUND(Q85:AI85,15))),"►S",IF(AND(COUNTIF($P$11:$AI$11,"▼")=0,H85&gt;0,I85=""),"◄M","")))))</f>
        <v/>
      </c>
      <c r="K85" s="654" t="s">
        <v>1398</v>
      </c>
      <c r="L85" s="165">
        <f t="shared" ca="1" si="46"/>
        <v>70</v>
      </c>
      <c r="M85" s="166">
        <f ca="1">IF($D85&lt;&gt;"Serviço","",
          IF(AUTOEVENTO="manual",$A85,
                IF(ISERROR(MATCH($A85,$A$15:OFFSET($A85,-1,0),0)),MAX($M$15:OFFSET(M85,-1,0))+1,
                      INDEX($M$15:OFFSET(M85,-1,0),MATCH($A85,$A$15:OFFSET($A85,-1,0),0)))))</f>
        <v>15</v>
      </c>
      <c r="N85" s="167" t="str">
        <f ca="1">IF($D85&lt;&gt;"Serviço","",
         IF(AUTOEVENTO="Manual",
                IF($A85=0,"&lt;-- defina o número do agrupador",
                       OFFSET(EVENTOS!$D$15,$A85-$A$15,0)),
                OFFSET($F$15,$A85,0)))</f>
        <v>FORROS</v>
      </c>
      <c r="O85" s="168"/>
      <c r="Q85" s="169">
        <f>35.9*5</f>
        <v>179.5</v>
      </c>
      <c r="R85" s="169">
        <f t="shared" ref="R85:T85" si="52">35.9*5</f>
        <v>179.5</v>
      </c>
      <c r="S85" s="169">
        <f t="shared" si="52"/>
        <v>179.5</v>
      </c>
      <c r="T85" s="169">
        <f t="shared" si="52"/>
        <v>179.5</v>
      </c>
      <c r="U85" s="169"/>
      <c r="V85" s="169"/>
      <c r="W85" s="169"/>
      <c r="X85" s="169"/>
      <c r="Y85" s="169"/>
      <c r="Z85" s="170"/>
      <c r="AA85" s="169"/>
      <c r="AB85" s="169"/>
      <c r="AC85" s="169"/>
      <c r="AD85" s="169"/>
      <c r="AE85" s="169"/>
      <c r="AF85" s="169"/>
      <c r="AG85" s="169"/>
      <c r="AH85" s="170"/>
      <c r="AJ85" s="452">
        <f ca="1">IF(AND($D85="Serviço",AJ$12&lt;&gt;0,$H85&gt;0,OR(AUTOEVENTO&lt;&gt;"manual",$M85&lt;&gt;$A$15)),
        IF(Import.TipoArredondamento&lt;&gt;"TransfereGOV",
              ROUND(OFFSET($P85,0,AJ$13),15-13*ORÇAMENTO!$AF$7)/$H85*OFFSET(ORÇAMENTO!$X$15,ROW(AJ85)-ROW(AJ$15),0),
              ROUND(ROUND(OFFSET($P85,0,AJ$13),15-13*ORÇAMENTO!$AF$7)*OFFSET(ORÇAMENTO!$W$15,ROW(AJ85)-ROW(AJ$15),0),15-13*ORÇAMENTO!$AF$11)),
         0)</f>
        <v>12414.22</v>
      </c>
      <c r="AK85" s="452">
        <f ca="1">IF(AND($D85="Serviço",AK$12&lt;&gt;0,$H85&gt;0,OR(AUTOEVENTO&lt;&gt;"manual",$M85&lt;&gt;$A$15)),
        IF(Import.TipoArredondamento&lt;&gt;"TransfereGOV",
              ROUND(OFFSET($P85,0,AK$13),15-13*ORÇAMENTO!$AF$7)/$H85*OFFSET(ORÇAMENTO!$X$15,ROW(AK85)-ROW(AK$15),0),
              ROUND(ROUND(OFFSET($P85,0,AK$13),15-13*ORÇAMENTO!$AF$7)*OFFSET(ORÇAMENTO!$W$15,ROW(AK85)-ROW(AK$15),0),15-13*ORÇAMENTO!$AF$11)),
         0)</f>
        <v>12414.22</v>
      </c>
      <c r="AL85" s="452">
        <f ca="1">IF(AND($D85="Serviço",AL$12&lt;&gt;0,$H85&gt;0,OR(AUTOEVENTO&lt;&gt;"manual",$M85&lt;&gt;$A$15)),
        IF(Import.TipoArredondamento&lt;&gt;"TransfereGOV",
              ROUND(OFFSET($P85,0,AL$13),15-13*ORÇAMENTO!$AF$7)/$H85*OFFSET(ORÇAMENTO!$X$15,ROW(AL85)-ROW(AL$15),0),
              ROUND(ROUND(OFFSET($P85,0,AL$13),15-13*ORÇAMENTO!$AF$7)*OFFSET(ORÇAMENTO!$W$15,ROW(AL85)-ROW(AL$15),0),15-13*ORÇAMENTO!$AF$11)),
         0)</f>
        <v>12414.22</v>
      </c>
      <c r="AM85" s="452">
        <f ca="1">IF(AND($D85="Serviço",AM$12&lt;&gt;0,$H85&gt;0,OR(AUTOEVENTO&lt;&gt;"manual",$M85&lt;&gt;$A$15)),
        IF(Import.TipoArredondamento&lt;&gt;"TransfereGOV",
              ROUND(OFFSET($P85,0,AM$13),15-13*ORÇAMENTO!$AF$7)/$H85*OFFSET(ORÇAMENTO!$X$15,ROW(AM85)-ROW(AM$15),0),
              ROUND(ROUND(OFFSET($P85,0,AM$13),15-13*ORÇAMENTO!$AF$7)*OFFSET(ORÇAMENTO!$W$15,ROW(AM85)-ROW(AM$15),0),15-13*ORÇAMENTO!$AF$11)),
         0)</f>
        <v>12414.22</v>
      </c>
      <c r="AN85" s="452">
        <f ca="1">IF(AND($D85="Serviço",AN$12&lt;&gt;0,$H85&gt;0,OR(AUTOEVENTO&lt;&gt;"manual",$M85&lt;&gt;$A$15)),
        IF(Import.TipoArredondamento&lt;&gt;"TransfereGOV",
              ROUND(OFFSET($P85,0,AN$13),15-13*ORÇAMENTO!$AF$7)/$H85*OFFSET(ORÇAMENTO!$X$15,ROW(AN85)-ROW(AN$15),0),
              ROUND(ROUND(OFFSET($P85,0,AN$13),15-13*ORÇAMENTO!$AF$7)*OFFSET(ORÇAMENTO!$W$15,ROW(AN85)-ROW(AN$15),0),15-13*ORÇAMENTO!$AF$11)),
         0)</f>
        <v>0</v>
      </c>
      <c r="AO85" s="452">
        <f ca="1">IF(AND($D85="Serviço",AO$12&lt;&gt;0,$H85&gt;0,OR(AUTOEVENTO&lt;&gt;"manual",$M85&lt;&gt;$A$15)),
        IF(Import.TipoArredondamento&lt;&gt;"TransfereGOV",
              ROUND(OFFSET($P85,0,AO$13),15-13*ORÇAMENTO!$AF$7)/$H85*OFFSET(ORÇAMENTO!$X$15,ROW(AO85)-ROW(AO$15),0),
              ROUND(ROUND(OFFSET($P85,0,AO$13),15-13*ORÇAMENTO!$AF$7)*OFFSET(ORÇAMENTO!$W$15,ROW(AO85)-ROW(AO$15),0),15-13*ORÇAMENTO!$AF$11)),
         0)</f>
        <v>0</v>
      </c>
      <c r="AP85" s="452">
        <f ca="1">IF(AND($D85="Serviço",AP$12&lt;&gt;0,$H85&gt;0,OR(AUTOEVENTO&lt;&gt;"manual",$M85&lt;&gt;$A$15)),
        IF(Import.TipoArredondamento&lt;&gt;"TransfereGOV",
              ROUND(OFFSET($P85,0,AP$13),15-13*ORÇAMENTO!$AF$7)/$H85*OFFSET(ORÇAMENTO!$X$15,ROW(AP85)-ROW(AP$15),0),
              ROUND(ROUND(OFFSET($P85,0,AP$13),15-13*ORÇAMENTO!$AF$7)*OFFSET(ORÇAMENTO!$W$15,ROW(AP85)-ROW(AP$15),0),15-13*ORÇAMENTO!$AF$11)),
         0)</f>
        <v>0</v>
      </c>
      <c r="AQ85" s="452">
        <f ca="1">IF(AND($D85="Serviço",AQ$12&lt;&gt;0,$H85&gt;0,OR(AUTOEVENTO&lt;&gt;"manual",$M85&lt;&gt;$A$15)),
        IF(Import.TipoArredondamento&lt;&gt;"TransfereGOV",
              ROUND(OFFSET($P85,0,AQ$13),15-13*ORÇAMENTO!$AF$7)/$H85*OFFSET(ORÇAMENTO!$X$15,ROW(AQ85)-ROW(AQ$15),0),
              ROUND(ROUND(OFFSET($P85,0,AQ$13),15-13*ORÇAMENTO!$AF$7)*OFFSET(ORÇAMENTO!$W$15,ROW(AQ85)-ROW(AQ$15),0),15-13*ORÇAMENTO!$AF$11)),
         0)</f>
        <v>0</v>
      </c>
      <c r="AR85" s="452">
        <f ca="1">IF(AND($D85="Serviço",AR$12&lt;&gt;0,$H85&gt;0,OR(AUTOEVENTO&lt;&gt;"manual",$M85&lt;&gt;$A$15)),
        IF(Import.TipoArredondamento&lt;&gt;"TransfereGOV",
              ROUND(OFFSET($P85,0,AR$13),15-13*ORÇAMENTO!$AF$7)/$H85*OFFSET(ORÇAMENTO!$X$15,ROW(AR85)-ROW(AR$15),0),
              ROUND(ROUND(OFFSET($P85,0,AR$13),15-13*ORÇAMENTO!$AF$7)*OFFSET(ORÇAMENTO!$W$15,ROW(AR85)-ROW(AR$15),0),15-13*ORÇAMENTO!$AF$11)),
         0)</f>
        <v>0</v>
      </c>
      <c r="AS85" s="452">
        <f ca="1">IF(AND($D85="Serviço",AS$12&lt;&gt;0,$H85&gt;0,OR(AUTOEVENTO&lt;&gt;"manual",$M85&lt;&gt;$A$15)),
        IF(Import.TipoArredondamento&lt;&gt;"TransfereGOV",
              ROUND(OFFSET($P85,0,AS$13),15-13*ORÇAMENTO!$AF$7)/$H85*OFFSET(ORÇAMENTO!$X$15,ROW(AS85)-ROW(AS$15),0),
              ROUND(ROUND(OFFSET($P85,0,AS$13),15-13*ORÇAMENTO!$AF$7)*OFFSET(ORÇAMENTO!$W$15,ROW(AS85)-ROW(AS$15),0),15-13*ORÇAMENTO!$AF$11)),
         0)</f>
        <v>0</v>
      </c>
      <c r="AT85" s="452">
        <f ca="1">IF(AND($D85="Serviço",AT$12&lt;&gt;0,$H85&gt;0,OR(AUTOEVENTO&lt;&gt;"manual",$M85&lt;&gt;$A$15)),
        IF(Import.TipoArredondamento&lt;&gt;"TransfereGOV",
              ROUND(OFFSET($P85,0,AT$13),15-13*ORÇAMENTO!$AF$7)/$H85*OFFSET(ORÇAMENTO!$X$15,ROW(AT85)-ROW(AT$15),0),
              ROUND(ROUND(OFFSET($P85,0,AT$13),15-13*ORÇAMENTO!$AF$7)*OFFSET(ORÇAMENTO!$W$15,ROW(AT85)-ROW(AT$15),0),15-13*ORÇAMENTO!$AF$11)),
         0)</f>
        <v>0</v>
      </c>
      <c r="AU85" s="452">
        <f ca="1">IF(AND($D85="Serviço",AU$12&lt;&gt;0,$H85&gt;0,OR(AUTOEVENTO&lt;&gt;"manual",$M85&lt;&gt;$A$15)),
        IF(Import.TipoArredondamento&lt;&gt;"TransfereGOV",
              ROUND(OFFSET($P85,0,AU$13),15-13*ORÇAMENTO!$AF$7)/$H85*OFFSET(ORÇAMENTO!$X$15,ROW(AU85)-ROW(AU$15),0),
              ROUND(ROUND(OFFSET($P85,0,AU$13),15-13*ORÇAMENTO!$AF$7)*OFFSET(ORÇAMENTO!$W$15,ROW(AU85)-ROW(AU$15),0),15-13*ORÇAMENTO!$AF$11)),
         0)</f>
        <v>0</v>
      </c>
      <c r="AV85" s="452">
        <f ca="1">IF(AND($D85="Serviço",AV$12&lt;&gt;0,$H85&gt;0,OR(AUTOEVENTO&lt;&gt;"manual",$M85&lt;&gt;$A$15)),
        IF(Import.TipoArredondamento&lt;&gt;"TransfereGOV",
              ROUND(OFFSET($P85,0,AV$13),15-13*ORÇAMENTO!$AF$7)/$H85*OFFSET(ORÇAMENTO!$X$15,ROW(AV85)-ROW(AV$15),0),
              ROUND(ROUND(OFFSET($P85,0,AV$13),15-13*ORÇAMENTO!$AF$7)*OFFSET(ORÇAMENTO!$W$15,ROW(AV85)-ROW(AV$15),0),15-13*ORÇAMENTO!$AF$11)),
         0)</f>
        <v>0</v>
      </c>
      <c r="AW85" s="452">
        <f ca="1">IF(AND($D85="Serviço",AW$12&lt;&gt;0,$H85&gt;0,OR(AUTOEVENTO&lt;&gt;"manual",$M85&lt;&gt;$A$15)),
        IF(Import.TipoArredondamento&lt;&gt;"TransfereGOV",
              ROUND(OFFSET($P85,0,AW$13),15-13*ORÇAMENTO!$AF$7)/$H85*OFFSET(ORÇAMENTO!$X$15,ROW(AW85)-ROW(AW$15),0),
              ROUND(ROUND(OFFSET($P85,0,AW$13),15-13*ORÇAMENTO!$AF$7)*OFFSET(ORÇAMENTO!$W$15,ROW(AW85)-ROW(AW$15),0),15-13*ORÇAMENTO!$AF$11)),
         0)</f>
        <v>0</v>
      </c>
      <c r="AX85" s="452">
        <f ca="1">IF(AND($D85="Serviço",AX$12&lt;&gt;0,$H85&gt;0,OR(AUTOEVENTO&lt;&gt;"manual",$M85&lt;&gt;$A$15)),
        IF(Import.TipoArredondamento&lt;&gt;"TransfereGOV",
              ROUND(OFFSET($P85,0,AX$13),15-13*ORÇAMENTO!$AF$7)/$H85*OFFSET(ORÇAMENTO!$X$15,ROW(AX85)-ROW(AX$15),0),
              ROUND(ROUND(OFFSET($P85,0,AX$13),15-13*ORÇAMENTO!$AF$7)*OFFSET(ORÇAMENTO!$W$15,ROW(AX85)-ROW(AX$15),0),15-13*ORÇAMENTO!$AF$11)),
         0)</f>
        <v>0</v>
      </c>
      <c r="AY85" s="452">
        <f ca="1">IF(AND($D85="Serviço",AY$12&lt;&gt;0,$H85&gt;0,OR(AUTOEVENTO&lt;&gt;"manual",$M85&lt;&gt;$A$15)),
        IF(Import.TipoArredondamento&lt;&gt;"TransfereGOV",
              ROUND(OFFSET($P85,0,AY$13),15-13*ORÇAMENTO!$AF$7)/$H85*OFFSET(ORÇAMENTO!$X$15,ROW(AY85)-ROW(AY$15),0),
              ROUND(ROUND(OFFSET($P85,0,AY$13),15-13*ORÇAMENTO!$AF$7)*OFFSET(ORÇAMENTO!$W$15,ROW(AY85)-ROW(AY$15),0),15-13*ORÇAMENTO!$AF$11)),
         0)</f>
        <v>0</v>
      </c>
      <c r="AZ85" s="452">
        <f ca="1">IF(AND($D85="Serviço",AZ$12&lt;&gt;0,$H85&gt;0,OR(AUTOEVENTO&lt;&gt;"manual",$M85&lt;&gt;$A$15)),
        IF(Import.TipoArredondamento&lt;&gt;"TransfereGOV",
              ROUND(OFFSET($P85,0,AZ$13),15-13*ORÇAMENTO!$AF$7)/$H85*OFFSET(ORÇAMENTO!$X$15,ROW(AZ85)-ROW(AZ$15),0),
              ROUND(ROUND(OFFSET($P85,0,AZ$13),15-13*ORÇAMENTO!$AF$7)*OFFSET(ORÇAMENTO!$W$15,ROW(AZ85)-ROW(AZ$15),0),15-13*ORÇAMENTO!$AF$11)),
         0)</f>
        <v>0</v>
      </c>
      <c r="BA85" s="452">
        <f ca="1">IF(AND($D85="Serviço",BA$12&lt;&gt;0,$H85&gt;0,OR(AUTOEVENTO&lt;&gt;"manual",$M85&lt;&gt;$A$15)),
        IF(Import.TipoArredondamento&lt;&gt;"TransfereGOV",
              ROUND(OFFSET($P85,0,BA$13),15-13*ORÇAMENTO!$AF$7)/$H85*OFFSET(ORÇAMENTO!$X$15,ROW(BA85)-ROW(BA$15),0),
              ROUND(ROUND(OFFSET($P85,0,BA$13),15-13*ORÇAMENTO!$AF$7)*OFFSET(ORÇAMENTO!$W$15,ROW(BA85)-ROW(BA$15),0),15-13*ORÇAMENTO!$AF$11)),
         0)</f>
        <v>0</v>
      </c>
      <c r="BC85" s="171">
        <f ca="1">IF(OR($D85&lt;&gt;"Serviço",AND(AUTOEVENTO="Manual",$M85=$A$15)),0,
         IF(OFFSET(CRONOPLE!$F$15,$M85-$A$15,BC$13)=0,10^12,OFFSET(CRONOPLE!$F$15,$M85-$A$15,BC$13)))</f>
        <v>6</v>
      </c>
      <c r="BD85" s="171">
        <f ca="1">IF(OR($D85&lt;&gt;"Serviço",AND(AUTOEVENTO="Manual",$M85=$A$15)),0,
         IF(OFFSET(CRONOPLE!$F$15,$M85-$A$15,BD$13)=0,10^12,OFFSET(CRONOPLE!$F$15,$M85-$A$15,BD$13)))</f>
        <v>7</v>
      </c>
      <c r="BE85" s="171">
        <f ca="1">IF(OR($D85&lt;&gt;"Serviço",AND(AUTOEVENTO="Manual",$M85=$A$15)),0,
         IF(OFFSET(CRONOPLE!$F$15,$M85-$A$15,BE$13)=0,10^12,OFFSET(CRONOPLE!$F$15,$M85-$A$15,BE$13)))</f>
        <v>7</v>
      </c>
      <c r="BF85" s="171">
        <f ca="1">IF(OR($D85&lt;&gt;"Serviço",AND(AUTOEVENTO="Manual",$M85=$A$15)),0,
         IF(OFFSET(CRONOPLE!$F$15,$M85-$A$15,BF$13)=0,10^12,OFFSET(CRONOPLE!$F$15,$M85-$A$15,BF$13)))</f>
        <v>8</v>
      </c>
      <c r="BG85" s="171">
        <f ca="1">IF(OR($D85&lt;&gt;"Serviço",AND(AUTOEVENTO="Manual",$M85=$A$15)),0,
         IF(OFFSET(CRONOPLE!$F$15,$M85-$A$15,BG$13)=0,10^12,OFFSET(CRONOPLE!$F$15,$M85-$A$15,BG$13)))</f>
        <v>8</v>
      </c>
      <c r="BH85" s="171">
        <f ca="1">IF(OR($D85&lt;&gt;"Serviço",AND(AUTOEVENTO="Manual",$M85=$A$15)),0,
         IF(OFFSET(CRONOPLE!$F$15,$M85-$A$15,BH$13)=0,10^12,OFFSET(CRONOPLE!$F$15,$M85-$A$15,BH$13)))</f>
        <v>6</v>
      </c>
      <c r="BI85" s="171">
        <f ca="1">IF(OR($D85&lt;&gt;"Serviço",AND(AUTOEVENTO="Manual",$M85=$A$15)),0,
         IF(OFFSET(CRONOPLE!$F$15,$M85-$A$15,BI$13)=0,10^12,OFFSET(CRONOPLE!$F$15,$M85-$A$15,BI$13)))</f>
        <v>7</v>
      </c>
      <c r="BJ85" s="171">
        <f ca="1">IF(OR($D85&lt;&gt;"Serviço",AND(AUTOEVENTO="Manual",$M85=$A$15)),0,
         IF(OFFSET(CRONOPLE!$F$15,$M85-$A$15,BJ$13)=0,10^12,OFFSET(CRONOPLE!$F$15,$M85-$A$15,BJ$13)))</f>
        <v>8</v>
      </c>
      <c r="BK85" s="171">
        <f ca="1">IF(OR($D85&lt;&gt;"Serviço",AND(AUTOEVENTO="Manual",$M85=$A$15)),0,
         IF(OFFSET(CRONOPLE!$F$15,$M85-$A$15,BK$13)=0,10^12,OFFSET(CRONOPLE!$F$15,$M85-$A$15,BK$13)))</f>
        <v>1000000000000</v>
      </c>
      <c r="BL85" s="171">
        <f ca="1">IF(OR($D85&lt;&gt;"Serviço",AND(AUTOEVENTO="Manual",$M85=$A$15)),0,
         IF(OFFSET(CRONOPLE!$F$15,$M85-$A$15,BL$13)=0,10^12,OFFSET(CRONOPLE!$F$15,$M85-$A$15,BL$13)))</f>
        <v>1000000000000</v>
      </c>
      <c r="BM85" s="171">
        <f ca="1">IF(OR($D85&lt;&gt;"Serviço",AND(AUTOEVENTO="Manual",$M85=$A$15)),0,
         IF(OFFSET(CRONOPLE!$F$15,$M85-$A$15,BM$13)=0,10^12,OFFSET(CRONOPLE!$F$15,$M85-$A$15,BM$13)))</f>
        <v>1000000000000</v>
      </c>
      <c r="BN85" s="171">
        <f ca="1">IF(OR($D85&lt;&gt;"Serviço",AND(AUTOEVENTO="Manual",$M85=$A$15)),0,
         IF(OFFSET(CRONOPLE!$F$15,$M85-$A$15,BN$13)=0,10^12,OFFSET(CRONOPLE!$F$15,$M85-$A$15,BN$13)))</f>
        <v>1000000000000</v>
      </c>
      <c r="BO85" s="171">
        <f ca="1">IF(OR($D85&lt;&gt;"Serviço",AND(AUTOEVENTO="Manual",$M85=$A$15)),0,
         IF(OFFSET(CRONOPLE!$F$15,$M85-$A$15,BO$13)=0,10^12,OFFSET(CRONOPLE!$F$15,$M85-$A$15,BO$13)))</f>
        <v>1000000000000</v>
      </c>
      <c r="BP85" s="171">
        <f ca="1">IF(OR($D85&lt;&gt;"Serviço",AND(AUTOEVENTO="Manual",$M85=$A$15)),0,
         IF(OFFSET(CRONOPLE!$F$15,$M85-$A$15,BP$13)=0,10^12,OFFSET(CRONOPLE!$F$15,$M85-$A$15,BP$13)))</f>
        <v>1000000000000</v>
      </c>
      <c r="BQ85" s="171">
        <f ca="1">IF(OR($D85&lt;&gt;"Serviço",AND(AUTOEVENTO="Manual",$M85=$A$15)),0,
         IF(OFFSET(CRONOPLE!$F$15,$M85-$A$15,BQ$13)=0,10^12,OFFSET(CRONOPLE!$F$15,$M85-$A$15,BQ$13)))</f>
        <v>1000000000000</v>
      </c>
      <c r="BR85" s="171">
        <f ca="1">IF(OR($D85&lt;&gt;"Serviço",AND(AUTOEVENTO="Manual",$M85=$A$15)),0,
         IF(OFFSET(CRONOPLE!$F$15,$M85-$A$15,BR$13)=0,10^12,OFFSET(CRONOPLE!$F$15,$M85-$A$15,BR$13)))</f>
        <v>1000000000000</v>
      </c>
      <c r="BS85" s="171">
        <f ca="1">IF(OR($D85&lt;&gt;"Serviço",AND(AUTOEVENTO="Manual",$M85=$A$15)),0,
         IF(OFFSET(CRONOPLE!$F$15,$M85-$A$15,BS$13)=0,10^12,OFFSET(CRONOPLE!$F$15,$M85-$A$15,BS$13)))</f>
        <v>1000000000000</v>
      </c>
      <c r="BT85" s="171">
        <f ca="1">IF(OR($D85&lt;&gt;"Serviço",AND(AUTOEVENTO="Manual",$M85=$A$15)),0,
         IF(OFFSET(CRONOPLE!$F$15,$M85-$A$15,BT$13)=0,10^12,OFFSET(CRONOPLE!$F$15,$M85-$A$15,BT$13)))</f>
        <v>1000000000000</v>
      </c>
      <c r="BV85" s="172">
        <f t="array" aca="1" ref="BV85" ca="1">IF(OR($D85&lt;&gt;"Serviço",AND(AUTOEVENTO="Manual",$M85=$A$15),$M85&gt;(ROW(PLE.lastrow)-ROW(PLE.firstrow))),0,
           IF(OFFSET(PLE!$G$15,$M85-$A$15,BV$13)="",10^12,OFFSET(PLE!$G$15,$M85-$A$15,BV$13)))</f>
        <v>1000000000000</v>
      </c>
      <c r="BW85" s="172">
        <f t="array" aca="1" ref="BW85" ca="1">IF(OR($D85&lt;&gt;"Serviço",AND(AUTOEVENTO="Manual",$M85=$A$15),$M85&gt;(ROW(PLE.lastrow)-ROW(PLE.firstrow))),0,
           IF(OFFSET(PLE!$G$15,$M85-$A$15,BW$13)="",10^12,OFFSET(PLE!$G$15,$M85-$A$15,BW$13)))</f>
        <v>1000000000000</v>
      </c>
      <c r="BX85" s="172">
        <f t="array" aca="1" ref="BX85" ca="1">IF(OR($D85&lt;&gt;"Serviço",AND(AUTOEVENTO="Manual",$M85=$A$15),$M85&gt;(ROW(PLE.lastrow)-ROW(PLE.firstrow))),0,
           IF(OFFSET(PLE!$G$15,$M85-$A$15,BX$13)="",10^12,OFFSET(PLE!$G$15,$M85-$A$15,BX$13)))</f>
        <v>1000000000000</v>
      </c>
      <c r="BY85" s="172">
        <f t="array" aca="1" ref="BY85" ca="1">IF(OR($D85&lt;&gt;"Serviço",AND(AUTOEVENTO="Manual",$M85=$A$15),$M85&gt;(ROW(PLE.lastrow)-ROW(PLE.firstrow))),0,
           IF(OFFSET(PLE!$G$15,$M85-$A$15,BY$13)="",10^12,OFFSET(PLE!$G$15,$M85-$A$15,BY$13)))</f>
        <v>1000000000000</v>
      </c>
      <c r="BZ85" s="172">
        <f t="array" aca="1" ref="BZ85" ca="1">IF(OR($D85&lt;&gt;"Serviço",AND(AUTOEVENTO="Manual",$M85=$A$15),$M85&gt;(ROW(PLE.lastrow)-ROW(PLE.firstrow))),0,
           IF(OFFSET(PLE!$G$15,$M85-$A$15,BZ$13)="",10^12,OFFSET(PLE!$G$15,$M85-$A$15,BZ$13)))</f>
        <v>1000000000000</v>
      </c>
      <c r="CA85" s="172">
        <f t="array" aca="1" ref="CA85" ca="1">IF(OR($D85&lt;&gt;"Serviço",AND(AUTOEVENTO="Manual",$M85=$A$15),$M85&gt;(ROW(PLE.lastrow)-ROW(PLE.firstrow))),0,
           IF(OFFSET(PLE!$G$15,$M85-$A$15,CA$13)="",10^12,OFFSET(PLE!$G$15,$M85-$A$15,CA$13)))</f>
        <v>1000000000000</v>
      </c>
      <c r="CB85" s="172">
        <f t="array" aca="1" ref="CB85" ca="1">IF(OR($D85&lt;&gt;"Serviço",AND(AUTOEVENTO="Manual",$M85=$A$15),$M85&gt;(ROW(PLE.lastrow)-ROW(PLE.firstrow))),0,
           IF(OFFSET(PLE!$G$15,$M85-$A$15,CB$13)="",10^12,OFFSET(PLE!$G$15,$M85-$A$15,CB$13)))</f>
        <v>1000000000000</v>
      </c>
      <c r="CC85" s="172">
        <f t="array" aca="1" ref="CC85" ca="1">IF(OR($D85&lt;&gt;"Serviço",AND(AUTOEVENTO="Manual",$M85=$A$15),$M85&gt;(ROW(PLE.lastrow)-ROW(PLE.firstrow))),0,
           IF(OFFSET(PLE!$G$15,$M85-$A$15,CC$13)="",10^12,OFFSET(PLE!$G$15,$M85-$A$15,CC$13)))</f>
        <v>1000000000000</v>
      </c>
      <c r="CD85" s="172">
        <f t="array" aca="1" ref="CD85" ca="1">IF(OR($D85&lt;&gt;"Serviço",AND(AUTOEVENTO="Manual",$M85=$A$15),$M85&gt;(ROW(PLE.lastrow)-ROW(PLE.firstrow))),0,
           IF(OFFSET(PLE!$G$15,$M85-$A$15,CD$13)="",10^12,OFFSET(PLE!$G$15,$M85-$A$15,CD$13)))</f>
        <v>1000000000000</v>
      </c>
      <c r="CE85" s="172">
        <f t="array" aca="1" ref="CE85" ca="1">IF(OR($D85&lt;&gt;"Serviço",AND(AUTOEVENTO="Manual",$M85=$A$15),$M85&gt;(ROW(PLE.lastrow)-ROW(PLE.firstrow))),0,
           IF(OFFSET(PLE!$G$15,$M85-$A$15,CE$13)="",10^12,OFFSET(PLE!$G$15,$M85-$A$15,CE$13)))</f>
        <v>1000000000000</v>
      </c>
      <c r="CF85" s="172">
        <f t="array" aca="1" ref="CF85" ca="1">IF(OR($D85&lt;&gt;"Serviço",AND(AUTOEVENTO="Manual",$M85=$A$15),$M85&gt;(ROW(PLE.lastrow)-ROW(PLE.firstrow))),0,
           IF(OFFSET(PLE!$G$15,$M85-$A$15,CF$13)="",10^12,OFFSET(PLE!$G$15,$M85-$A$15,CF$13)))</f>
        <v>1000000000000</v>
      </c>
      <c r="CG85" s="172">
        <f t="array" aca="1" ref="CG85" ca="1">IF(OR($D85&lt;&gt;"Serviço",AND(AUTOEVENTO="Manual",$M85=$A$15),$M85&gt;(ROW(PLE.lastrow)-ROW(PLE.firstrow))),0,
           IF(OFFSET(PLE!$G$15,$M85-$A$15,CG$13)="",10^12,OFFSET(PLE!$G$15,$M85-$A$15,CG$13)))</f>
        <v>1000000000000</v>
      </c>
      <c r="CH85" s="172">
        <f t="array" aca="1" ref="CH85" ca="1">IF(OR($D85&lt;&gt;"Serviço",AND(AUTOEVENTO="Manual",$M85=$A$15),$M85&gt;(ROW(PLE.lastrow)-ROW(PLE.firstrow))),0,
           IF(OFFSET(PLE!$G$15,$M85-$A$15,CH$13)="",10^12,OFFSET(PLE!$G$15,$M85-$A$15,CH$13)))</f>
        <v>1000000000000</v>
      </c>
      <c r="CI85" s="172">
        <f t="array" aca="1" ref="CI85" ca="1">IF(OR($D85&lt;&gt;"Serviço",AND(AUTOEVENTO="Manual",$M85=$A$15),$M85&gt;(ROW(PLE.lastrow)-ROW(PLE.firstrow))),0,
           IF(OFFSET(PLE!$G$15,$M85-$A$15,CI$13)="",10^12,OFFSET(PLE!$G$15,$M85-$A$15,CI$13)))</f>
        <v>1000000000000</v>
      </c>
      <c r="CJ85" s="172">
        <f t="array" aca="1" ref="CJ85" ca="1">IF(OR($D85&lt;&gt;"Serviço",AND(AUTOEVENTO="Manual",$M85=$A$15),$M85&gt;(ROW(PLE.lastrow)-ROW(PLE.firstrow))),0,
           IF(OFFSET(PLE!$G$15,$M85-$A$15,CJ$13)="",10^12,OFFSET(PLE!$G$15,$M85-$A$15,CJ$13)))</f>
        <v>1000000000000</v>
      </c>
      <c r="CK85" s="172">
        <f t="array" aca="1" ref="CK85" ca="1">IF(OR($D85&lt;&gt;"Serviço",AND(AUTOEVENTO="Manual",$M85=$A$15),$M85&gt;(ROW(PLE.lastrow)-ROW(PLE.firstrow))),0,
           IF(OFFSET(PLE!$G$15,$M85-$A$15,CK$13)="",10^12,OFFSET(PLE!$G$15,$M85-$A$15,CK$13)))</f>
        <v>1000000000000</v>
      </c>
      <c r="CL85" s="172">
        <f t="array" aca="1" ref="CL85" ca="1">IF(OR($D85&lt;&gt;"Serviço",AND(AUTOEVENTO="Manual",$M85=$A$15),$M85&gt;(ROW(PLE.lastrow)-ROW(PLE.firstrow))),0,
           IF(OFFSET(PLE!$G$15,$M85-$A$15,CL$13)="",10^12,OFFSET(PLE!$G$15,$M85-$A$15,CL$13)))</f>
        <v>1000000000000</v>
      </c>
      <c r="CM85" s="172">
        <f t="array" aca="1" ref="CM85" ca="1">IF(OR($D85&lt;&gt;"Serviço",AND(AUTOEVENTO="Manual",$M85=$A$15),$M85&gt;(ROW(PLE.lastrow)-ROW(PLE.firstrow))),0,
           IF(OFFSET(PLE!$G$15,$M85-$A$15,CM$13)="",10^12,OFFSET(PLE!$G$15,$M85-$A$15,CM$13)))</f>
        <v>1000000000000</v>
      </c>
    </row>
    <row r="86" spans="1:91" s="696" customFormat="1" ht="12.75" x14ac:dyDescent="0.2">
      <c r="A86" s="694">
        <f t="shared" ca="1" si="45"/>
        <v>0</v>
      </c>
      <c r="B86" s="694">
        <f ca="1">OFFSET(ORÇAMENTO!C$15,$L86,0)</f>
        <v>2</v>
      </c>
      <c r="C86" s="694" t="str">
        <f ca="1">OFFSET(ORÇAMENTO!L$15,$L86,0)</f>
        <v>F</v>
      </c>
      <c r="D86" s="116" t="str">
        <f ca="1">OFFSET(ORÇAMENTO!N$15,$L86,0)</f>
        <v>Nível 2</v>
      </c>
      <c r="E86" s="117" t="str">
        <f ca="1">OFFSET(ORÇAMENTO!O$15,$L86,0)</f>
        <v>1.14.</v>
      </c>
      <c r="F86" s="163" t="str">
        <f ca="1">OFFSET(ORÇAMENTO!R$15,$L86,0)</f>
        <v>REVESTIMENTOS INTERNOS</v>
      </c>
      <c r="G86" s="164" t="str">
        <f ca="1">IF($D86&lt;&gt;"Serviço","",OFFSET(ORÇAMENTO!S$15,$L86,0))</f>
        <v/>
      </c>
      <c r="H86" s="122">
        <f t="array" aca="1" ref="H86" ca="1">IF($D86&lt;&gt;"Serviço",0,IF(ACOMPANHAMENTO="BM",ROUND(OFFSET(ORÇAMENTO!AJ$15,$L86,0),15-13*ORÇAMENTO!$AF$7),IF(IFERROR(CÁLCULO.FrentesPreenchidas,0)=0,0,SUM(ROUND(OFFSET($P86,0,1,1,CÁLCULO.FrentesPreenchidas),15-13*ORÇAMENTO!$AF$7)))))</f>
        <v>0</v>
      </c>
      <c r="I86" s="467"/>
      <c r="J86" s="653" t="str">
        <f t="array" aca="1" ref="J86" ca="1">IF(OR(B86&lt;&gt;"S",CÁLCULO.FrentesPreenchidas=0),"",IF(AND(ACOMPANHAMENTO="PLE",AUTOEVENTO="Manual",OR(H86&gt;0,ORÇAMENTO!AC86="QUANT."),OR(K86="",M86=0,N86="")),"►E",IF(AND(ACOMPANHAMENTO="PLE",ORÇAMENTO!AC86="QUANT."),"►Q",IF(AND(ACOMPANHAMENTO="PLE",H86&lt;&gt;SUMPRODUCT(($Q$1:$AI$1=1)*ROUND(Q86:AI86,15))),"►S",IF(AND(COUNTIF($P$11:$AI$11,"▼")=0,H86&gt;0,I86=""),"◄M","")))))</f>
        <v/>
      </c>
      <c r="K86" s="654"/>
      <c r="L86" s="165">
        <f t="shared" ca="1" si="46"/>
        <v>71</v>
      </c>
      <c r="M86" s="166" t="str">
        <f ca="1">IF($D86&lt;&gt;"Serviço","",
          IF(AUTOEVENTO="manual",$A86,
                IF(ISERROR(MATCH($A86,$A$15:OFFSET($A86,-1,0),0)),MAX($M$15:OFFSET(M86,-1,0))+1,
                      INDEX($M$15:OFFSET(M86,-1,0),MATCH($A86,$A$15:OFFSET($A86,-1,0),0)))))</f>
        <v/>
      </c>
      <c r="N86" s="167" t="str">
        <f ca="1">IF($D86&lt;&gt;"Serviço","",
         IF(AUTOEVENTO="Manual",
                IF($A86=0,"&lt;-- defina o número do agrupador",
                       OFFSET(EVENTOS!$D$15,$A86-$A$15,0)),
                OFFSET($F$15,$A86,0)))</f>
        <v/>
      </c>
      <c r="O86" s="168"/>
      <c r="Q86" s="169"/>
      <c r="R86" s="169"/>
      <c r="S86" s="169"/>
      <c r="T86" s="169"/>
      <c r="U86" s="169"/>
      <c r="V86" s="169"/>
      <c r="W86" s="169"/>
      <c r="X86" s="169"/>
      <c r="Y86" s="169"/>
      <c r="Z86" s="170"/>
      <c r="AA86" s="169"/>
      <c r="AB86" s="169"/>
      <c r="AC86" s="169"/>
      <c r="AD86" s="169"/>
      <c r="AE86" s="169"/>
      <c r="AF86" s="169"/>
      <c r="AG86" s="169"/>
      <c r="AH86" s="170"/>
      <c r="AJ86" s="452">
        <f ca="1">IF(AND($D86="Serviço",AJ$12&lt;&gt;0,$H86&gt;0,OR(AUTOEVENTO&lt;&gt;"manual",$M86&lt;&gt;$A$15)),
        IF(Import.TipoArredondamento&lt;&gt;"TransfereGOV",
              ROUND(OFFSET($P86,0,AJ$13),15-13*ORÇAMENTO!$AF$7)/$H86*OFFSET(ORÇAMENTO!$X$15,ROW(AJ86)-ROW(AJ$15),0),
              ROUND(ROUND(OFFSET($P86,0,AJ$13),15-13*ORÇAMENTO!$AF$7)*OFFSET(ORÇAMENTO!$W$15,ROW(AJ86)-ROW(AJ$15),0),15-13*ORÇAMENTO!$AF$11)),
         0)</f>
        <v>0</v>
      </c>
      <c r="AK86" s="452">
        <f ca="1">IF(AND($D86="Serviço",AK$12&lt;&gt;0,$H86&gt;0,OR(AUTOEVENTO&lt;&gt;"manual",$M86&lt;&gt;$A$15)),
        IF(Import.TipoArredondamento&lt;&gt;"TransfereGOV",
              ROUND(OFFSET($P86,0,AK$13),15-13*ORÇAMENTO!$AF$7)/$H86*OFFSET(ORÇAMENTO!$X$15,ROW(AK86)-ROW(AK$15),0),
              ROUND(ROUND(OFFSET($P86,0,AK$13),15-13*ORÇAMENTO!$AF$7)*OFFSET(ORÇAMENTO!$W$15,ROW(AK86)-ROW(AK$15),0),15-13*ORÇAMENTO!$AF$11)),
         0)</f>
        <v>0</v>
      </c>
      <c r="AL86" s="452">
        <f ca="1">IF(AND($D86="Serviço",AL$12&lt;&gt;0,$H86&gt;0,OR(AUTOEVENTO&lt;&gt;"manual",$M86&lt;&gt;$A$15)),
        IF(Import.TipoArredondamento&lt;&gt;"TransfereGOV",
              ROUND(OFFSET($P86,0,AL$13),15-13*ORÇAMENTO!$AF$7)/$H86*OFFSET(ORÇAMENTO!$X$15,ROW(AL86)-ROW(AL$15),0),
              ROUND(ROUND(OFFSET($P86,0,AL$13),15-13*ORÇAMENTO!$AF$7)*OFFSET(ORÇAMENTO!$W$15,ROW(AL86)-ROW(AL$15),0),15-13*ORÇAMENTO!$AF$11)),
         0)</f>
        <v>0</v>
      </c>
      <c r="AM86" s="452">
        <f ca="1">IF(AND($D86="Serviço",AM$12&lt;&gt;0,$H86&gt;0,OR(AUTOEVENTO&lt;&gt;"manual",$M86&lt;&gt;$A$15)),
        IF(Import.TipoArredondamento&lt;&gt;"TransfereGOV",
              ROUND(OFFSET($P86,0,AM$13),15-13*ORÇAMENTO!$AF$7)/$H86*OFFSET(ORÇAMENTO!$X$15,ROW(AM86)-ROW(AM$15),0),
              ROUND(ROUND(OFFSET($P86,0,AM$13),15-13*ORÇAMENTO!$AF$7)*OFFSET(ORÇAMENTO!$W$15,ROW(AM86)-ROW(AM$15),0),15-13*ORÇAMENTO!$AF$11)),
         0)</f>
        <v>0</v>
      </c>
      <c r="AN86" s="452">
        <f ca="1">IF(AND($D86="Serviço",AN$12&lt;&gt;0,$H86&gt;0,OR(AUTOEVENTO&lt;&gt;"manual",$M86&lt;&gt;$A$15)),
        IF(Import.TipoArredondamento&lt;&gt;"TransfereGOV",
              ROUND(OFFSET($P86,0,AN$13),15-13*ORÇAMENTO!$AF$7)/$H86*OFFSET(ORÇAMENTO!$X$15,ROW(AN86)-ROW(AN$15),0),
              ROUND(ROUND(OFFSET($P86,0,AN$13),15-13*ORÇAMENTO!$AF$7)*OFFSET(ORÇAMENTO!$W$15,ROW(AN86)-ROW(AN$15),0),15-13*ORÇAMENTO!$AF$11)),
         0)</f>
        <v>0</v>
      </c>
      <c r="AO86" s="452">
        <f ca="1">IF(AND($D86="Serviço",AO$12&lt;&gt;0,$H86&gt;0,OR(AUTOEVENTO&lt;&gt;"manual",$M86&lt;&gt;$A$15)),
        IF(Import.TipoArredondamento&lt;&gt;"TransfereGOV",
              ROUND(OFFSET($P86,0,AO$13),15-13*ORÇAMENTO!$AF$7)/$H86*OFFSET(ORÇAMENTO!$X$15,ROW(AO86)-ROW(AO$15),0),
              ROUND(ROUND(OFFSET($P86,0,AO$13),15-13*ORÇAMENTO!$AF$7)*OFFSET(ORÇAMENTO!$W$15,ROW(AO86)-ROW(AO$15),0),15-13*ORÇAMENTO!$AF$11)),
         0)</f>
        <v>0</v>
      </c>
      <c r="AP86" s="452">
        <f ca="1">IF(AND($D86="Serviço",AP$12&lt;&gt;0,$H86&gt;0,OR(AUTOEVENTO&lt;&gt;"manual",$M86&lt;&gt;$A$15)),
        IF(Import.TipoArredondamento&lt;&gt;"TransfereGOV",
              ROUND(OFFSET($P86,0,AP$13),15-13*ORÇAMENTO!$AF$7)/$H86*OFFSET(ORÇAMENTO!$X$15,ROW(AP86)-ROW(AP$15),0),
              ROUND(ROUND(OFFSET($P86,0,AP$13),15-13*ORÇAMENTO!$AF$7)*OFFSET(ORÇAMENTO!$W$15,ROW(AP86)-ROW(AP$15),0),15-13*ORÇAMENTO!$AF$11)),
         0)</f>
        <v>0</v>
      </c>
      <c r="AQ86" s="452">
        <f ca="1">IF(AND($D86="Serviço",AQ$12&lt;&gt;0,$H86&gt;0,OR(AUTOEVENTO&lt;&gt;"manual",$M86&lt;&gt;$A$15)),
        IF(Import.TipoArredondamento&lt;&gt;"TransfereGOV",
              ROUND(OFFSET($P86,0,AQ$13),15-13*ORÇAMENTO!$AF$7)/$H86*OFFSET(ORÇAMENTO!$X$15,ROW(AQ86)-ROW(AQ$15),0),
              ROUND(ROUND(OFFSET($P86,0,AQ$13),15-13*ORÇAMENTO!$AF$7)*OFFSET(ORÇAMENTO!$W$15,ROW(AQ86)-ROW(AQ$15),0),15-13*ORÇAMENTO!$AF$11)),
         0)</f>
        <v>0</v>
      </c>
      <c r="AR86" s="452">
        <f ca="1">IF(AND($D86="Serviço",AR$12&lt;&gt;0,$H86&gt;0,OR(AUTOEVENTO&lt;&gt;"manual",$M86&lt;&gt;$A$15)),
        IF(Import.TipoArredondamento&lt;&gt;"TransfereGOV",
              ROUND(OFFSET($P86,0,AR$13),15-13*ORÇAMENTO!$AF$7)/$H86*OFFSET(ORÇAMENTO!$X$15,ROW(AR86)-ROW(AR$15),0),
              ROUND(ROUND(OFFSET($P86,0,AR$13),15-13*ORÇAMENTO!$AF$7)*OFFSET(ORÇAMENTO!$W$15,ROW(AR86)-ROW(AR$15),0),15-13*ORÇAMENTO!$AF$11)),
         0)</f>
        <v>0</v>
      </c>
      <c r="AS86" s="452">
        <f ca="1">IF(AND($D86="Serviço",AS$12&lt;&gt;0,$H86&gt;0,OR(AUTOEVENTO&lt;&gt;"manual",$M86&lt;&gt;$A$15)),
        IF(Import.TipoArredondamento&lt;&gt;"TransfereGOV",
              ROUND(OFFSET($P86,0,AS$13),15-13*ORÇAMENTO!$AF$7)/$H86*OFFSET(ORÇAMENTO!$X$15,ROW(AS86)-ROW(AS$15),0),
              ROUND(ROUND(OFFSET($P86,0,AS$13),15-13*ORÇAMENTO!$AF$7)*OFFSET(ORÇAMENTO!$W$15,ROW(AS86)-ROW(AS$15),0),15-13*ORÇAMENTO!$AF$11)),
         0)</f>
        <v>0</v>
      </c>
      <c r="AT86" s="452">
        <f ca="1">IF(AND($D86="Serviço",AT$12&lt;&gt;0,$H86&gt;0,OR(AUTOEVENTO&lt;&gt;"manual",$M86&lt;&gt;$A$15)),
        IF(Import.TipoArredondamento&lt;&gt;"TransfereGOV",
              ROUND(OFFSET($P86,0,AT$13),15-13*ORÇAMENTO!$AF$7)/$H86*OFFSET(ORÇAMENTO!$X$15,ROW(AT86)-ROW(AT$15),0),
              ROUND(ROUND(OFFSET($P86,0,AT$13),15-13*ORÇAMENTO!$AF$7)*OFFSET(ORÇAMENTO!$W$15,ROW(AT86)-ROW(AT$15),0),15-13*ORÇAMENTO!$AF$11)),
         0)</f>
        <v>0</v>
      </c>
      <c r="AU86" s="452">
        <f ca="1">IF(AND($D86="Serviço",AU$12&lt;&gt;0,$H86&gt;0,OR(AUTOEVENTO&lt;&gt;"manual",$M86&lt;&gt;$A$15)),
        IF(Import.TipoArredondamento&lt;&gt;"TransfereGOV",
              ROUND(OFFSET($P86,0,AU$13),15-13*ORÇAMENTO!$AF$7)/$H86*OFFSET(ORÇAMENTO!$X$15,ROW(AU86)-ROW(AU$15),0),
              ROUND(ROUND(OFFSET($P86,0,AU$13),15-13*ORÇAMENTO!$AF$7)*OFFSET(ORÇAMENTO!$W$15,ROW(AU86)-ROW(AU$15),0),15-13*ORÇAMENTO!$AF$11)),
         0)</f>
        <v>0</v>
      </c>
      <c r="AV86" s="452">
        <f ca="1">IF(AND($D86="Serviço",AV$12&lt;&gt;0,$H86&gt;0,OR(AUTOEVENTO&lt;&gt;"manual",$M86&lt;&gt;$A$15)),
        IF(Import.TipoArredondamento&lt;&gt;"TransfereGOV",
              ROUND(OFFSET($P86,0,AV$13),15-13*ORÇAMENTO!$AF$7)/$H86*OFFSET(ORÇAMENTO!$X$15,ROW(AV86)-ROW(AV$15),0),
              ROUND(ROUND(OFFSET($P86,0,AV$13),15-13*ORÇAMENTO!$AF$7)*OFFSET(ORÇAMENTO!$W$15,ROW(AV86)-ROW(AV$15),0),15-13*ORÇAMENTO!$AF$11)),
         0)</f>
        <v>0</v>
      </c>
      <c r="AW86" s="452">
        <f ca="1">IF(AND($D86="Serviço",AW$12&lt;&gt;0,$H86&gt;0,OR(AUTOEVENTO&lt;&gt;"manual",$M86&lt;&gt;$A$15)),
        IF(Import.TipoArredondamento&lt;&gt;"TransfereGOV",
              ROUND(OFFSET($P86,0,AW$13),15-13*ORÇAMENTO!$AF$7)/$H86*OFFSET(ORÇAMENTO!$X$15,ROW(AW86)-ROW(AW$15),0),
              ROUND(ROUND(OFFSET($P86,0,AW$13),15-13*ORÇAMENTO!$AF$7)*OFFSET(ORÇAMENTO!$W$15,ROW(AW86)-ROW(AW$15),0),15-13*ORÇAMENTO!$AF$11)),
         0)</f>
        <v>0</v>
      </c>
      <c r="AX86" s="452">
        <f ca="1">IF(AND($D86="Serviço",AX$12&lt;&gt;0,$H86&gt;0,OR(AUTOEVENTO&lt;&gt;"manual",$M86&lt;&gt;$A$15)),
        IF(Import.TipoArredondamento&lt;&gt;"TransfereGOV",
              ROUND(OFFSET($P86,0,AX$13),15-13*ORÇAMENTO!$AF$7)/$H86*OFFSET(ORÇAMENTO!$X$15,ROW(AX86)-ROW(AX$15),0),
              ROUND(ROUND(OFFSET($P86,0,AX$13),15-13*ORÇAMENTO!$AF$7)*OFFSET(ORÇAMENTO!$W$15,ROW(AX86)-ROW(AX$15),0),15-13*ORÇAMENTO!$AF$11)),
         0)</f>
        <v>0</v>
      </c>
      <c r="AY86" s="452">
        <f ca="1">IF(AND($D86="Serviço",AY$12&lt;&gt;0,$H86&gt;0,OR(AUTOEVENTO&lt;&gt;"manual",$M86&lt;&gt;$A$15)),
        IF(Import.TipoArredondamento&lt;&gt;"TransfereGOV",
              ROUND(OFFSET($P86,0,AY$13),15-13*ORÇAMENTO!$AF$7)/$H86*OFFSET(ORÇAMENTO!$X$15,ROW(AY86)-ROW(AY$15),0),
              ROUND(ROUND(OFFSET($P86,0,AY$13),15-13*ORÇAMENTO!$AF$7)*OFFSET(ORÇAMENTO!$W$15,ROW(AY86)-ROW(AY$15),0),15-13*ORÇAMENTO!$AF$11)),
         0)</f>
        <v>0</v>
      </c>
      <c r="AZ86" s="452">
        <f ca="1">IF(AND($D86="Serviço",AZ$12&lt;&gt;0,$H86&gt;0,OR(AUTOEVENTO&lt;&gt;"manual",$M86&lt;&gt;$A$15)),
        IF(Import.TipoArredondamento&lt;&gt;"TransfereGOV",
              ROUND(OFFSET($P86,0,AZ$13),15-13*ORÇAMENTO!$AF$7)/$H86*OFFSET(ORÇAMENTO!$X$15,ROW(AZ86)-ROW(AZ$15),0),
              ROUND(ROUND(OFFSET($P86,0,AZ$13),15-13*ORÇAMENTO!$AF$7)*OFFSET(ORÇAMENTO!$W$15,ROW(AZ86)-ROW(AZ$15),0),15-13*ORÇAMENTO!$AF$11)),
         0)</f>
        <v>0</v>
      </c>
      <c r="BA86" s="452">
        <f ca="1">IF(AND($D86="Serviço",BA$12&lt;&gt;0,$H86&gt;0,OR(AUTOEVENTO&lt;&gt;"manual",$M86&lt;&gt;$A$15)),
        IF(Import.TipoArredondamento&lt;&gt;"TransfereGOV",
              ROUND(OFFSET($P86,0,BA$13),15-13*ORÇAMENTO!$AF$7)/$H86*OFFSET(ORÇAMENTO!$X$15,ROW(BA86)-ROW(BA$15),0),
              ROUND(ROUND(OFFSET($P86,0,BA$13),15-13*ORÇAMENTO!$AF$7)*OFFSET(ORÇAMENTO!$W$15,ROW(BA86)-ROW(BA$15),0),15-13*ORÇAMENTO!$AF$11)),
         0)</f>
        <v>0</v>
      </c>
      <c r="BC86" s="171">
        <f ca="1">IF(OR($D86&lt;&gt;"Serviço",AND(AUTOEVENTO="Manual",$M86=$A$15)),0,
         IF(OFFSET(CRONOPLE!$F$15,$M86-$A$15,BC$13)=0,10^12,OFFSET(CRONOPLE!$F$15,$M86-$A$15,BC$13)))</f>
        <v>0</v>
      </c>
      <c r="BD86" s="171">
        <f ca="1">IF(OR($D86&lt;&gt;"Serviço",AND(AUTOEVENTO="Manual",$M86=$A$15)),0,
         IF(OFFSET(CRONOPLE!$F$15,$M86-$A$15,BD$13)=0,10^12,OFFSET(CRONOPLE!$F$15,$M86-$A$15,BD$13)))</f>
        <v>0</v>
      </c>
      <c r="BE86" s="171">
        <f ca="1">IF(OR($D86&lt;&gt;"Serviço",AND(AUTOEVENTO="Manual",$M86=$A$15)),0,
         IF(OFFSET(CRONOPLE!$F$15,$M86-$A$15,BE$13)=0,10^12,OFFSET(CRONOPLE!$F$15,$M86-$A$15,BE$13)))</f>
        <v>0</v>
      </c>
      <c r="BF86" s="171">
        <f ca="1">IF(OR($D86&lt;&gt;"Serviço",AND(AUTOEVENTO="Manual",$M86=$A$15)),0,
         IF(OFFSET(CRONOPLE!$F$15,$M86-$A$15,BF$13)=0,10^12,OFFSET(CRONOPLE!$F$15,$M86-$A$15,BF$13)))</f>
        <v>0</v>
      </c>
      <c r="BG86" s="171">
        <f ca="1">IF(OR($D86&lt;&gt;"Serviço",AND(AUTOEVENTO="Manual",$M86=$A$15)),0,
         IF(OFFSET(CRONOPLE!$F$15,$M86-$A$15,BG$13)=0,10^12,OFFSET(CRONOPLE!$F$15,$M86-$A$15,BG$13)))</f>
        <v>0</v>
      </c>
      <c r="BH86" s="171">
        <f ca="1">IF(OR($D86&lt;&gt;"Serviço",AND(AUTOEVENTO="Manual",$M86=$A$15)),0,
         IF(OFFSET(CRONOPLE!$F$15,$M86-$A$15,BH$13)=0,10^12,OFFSET(CRONOPLE!$F$15,$M86-$A$15,BH$13)))</f>
        <v>0</v>
      </c>
      <c r="BI86" s="171">
        <f ca="1">IF(OR($D86&lt;&gt;"Serviço",AND(AUTOEVENTO="Manual",$M86=$A$15)),0,
         IF(OFFSET(CRONOPLE!$F$15,$M86-$A$15,BI$13)=0,10^12,OFFSET(CRONOPLE!$F$15,$M86-$A$15,BI$13)))</f>
        <v>0</v>
      </c>
      <c r="BJ86" s="171">
        <f ca="1">IF(OR($D86&lt;&gt;"Serviço",AND(AUTOEVENTO="Manual",$M86=$A$15)),0,
         IF(OFFSET(CRONOPLE!$F$15,$M86-$A$15,BJ$13)=0,10^12,OFFSET(CRONOPLE!$F$15,$M86-$A$15,BJ$13)))</f>
        <v>0</v>
      </c>
      <c r="BK86" s="171">
        <f ca="1">IF(OR($D86&lt;&gt;"Serviço",AND(AUTOEVENTO="Manual",$M86=$A$15)),0,
         IF(OFFSET(CRONOPLE!$F$15,$M86-$A$15,BK$13)=0,10^12,OFFSET(CRONOPLE!$F$15,$M86-$A$15,BK$13)))</f>
        <v>0</v>
      </c>
      <c r="BL86" s="171">
        <f ca="1">IF(OR($D86&lt;&gt;"Serviço",AND(AUTOEVENTO="Manual",$M86=$A$15)),0,
         IF(OFFSET(CRONOPLE!$F$15,$M86-$A$15,BL$13)=0,10^12,OFFSET(CRONOPLE!$F$15,$M86-$A$15,BL$13)))</f>
        <v>0</v>
      </c>
      <c r="BM86" s="171">
        <f ca="1">IF(OR($D86&lt;&gt;"Serviço",AND(AUTOEVENTO="Manual",$M86=$A$15)),0,
         IF(OFFSET(CRONOPLE!$F$15,$M86-$A$15,BM$13)=0,10^12,OFFSET(CRONOPLE!$F$15,$M86-$A$15,BM$13)))</f>
        <v>0</v>
      </c>
      <c r="BN86" s="171">
        <f ca="1">IF(OR($D86&lt;&gt;"Serviço",AND(AUTOEVENTO="Manual",$M86=$A$15)),0,
         IF(OFFSET(CRONOPLE!$F$15,$M86-$A$15,BN$13)=0,10^12,OFFSET(CRONOPLE!$F$15,$M86-$A$15,BN$13)))</f>
        <v>0</v>
      </c>
      <c r="BO86" s="171">
        <f ca="1">IF(OR($D86&lt;&gt;"Serviço",AND(AUTOEVENTO="Manual",$M86=$A$15)),0,
         IF(OFFSET(CRONOPLE!$F$15,$M86-$A$15,BO$13)=0,10^12,OFFSET(CRONOPLE!$F$15,$M86-$A$15,BO$13)))</f>
        <v>0</v>
      </c>
      <c r="BP86" s="171">
        <f ca="1">IF(OR($D86&lt;&gt;"Serviço",AND(AUTOEVENTO="Manual",$M86=$A$15)),0,
         IF(OFFSET(CRONOPLE!$F$15,$M86-$A$15,BP$13)=0,10^12,OFFSET(CRONOPLE!$F$15,$M86-$A$15,BP$13)))</f>
        <v>0</v>
      </c>
      <c r="BQ86" s="171">
        <f ca="1">IF(OR($D86&lt;&gt;"Serviço",AND(AUTOEVENTO="Manual",$M86=$A$15)),0,
         IF(OFFSET(CRONOPLE!$F$15,$M86-$A$15,BQ$13)=0,10^12,OFFSET(CRONOPLE!$F$15,$M86-$A$15,BQ$13)))</f>
        <v>0</v>
      </c>
      <c r="BR86" s="171">
        <f ca="1">IF(OR($D86&lt;&gt;"Serviço",AND(AUTOEVENTO="Manual",$M86=$A$15)),0,
         IF(OFFSET(CRONOPLE!$F$15,$M86-$A$15,BR$13)=0,10^12,OFFSET(CRONOPLE!$F$15,$M86-$A$15,BR$13)))</f>
        <v>0</v>
      </c>
      <c r="BS86" s="171">
        <f ca="1">IF(OR($D86&lt;&gt;"Serviço",AND(AUTOEVENTO="Manual",$M86=$A$15)),0,
         IF(OFFSET(CRONOPLE!$F$15,$M86-$A$15,BS$13)=0,10^12,OFFSET(CRONOPLE!$F$15,$M86-$A$15,BS$13)))</f>
        <v>0</v>
      </c>
      <c r="BT86" s="171">
        <f ca="1">IF(OR($D86&lt;&gt;"Serviço",AND(AUTOEVENTO="Manual",$M86=$A$15)),0,
         IF(OFFSET(CRONOPLE!$F$15,$M86-$A$15,BT$13)=0,10^12,OFFSET(CRONOPLE!$F$15,$M86-$A$15,BT$13)))</f>
        <v>0</v>
      </c>
      <c r="BV86" s="172">
        <f t="array" aca="1" ref="BV86" ca="1">IF(OR($D86&lt;&gt;"Serviço",AND(AUTOEVENTO="Manual",$M86=$A$15),$M86&gt;(ROW(PLE.lastrow)-ROW(PLE.firstrow))),0,
           IF(OFFSET(PLE!$G$15,$M86-$A$15,BV$13)="",10^12,OFFSET(PLE!$G$15,$M86-$A$15,BV$13)))</f>
        <v>0</v>
      </c>
      <c r="BW86" s="172">
        <f t="array" aca="1" ref="BW86" ca="1">IF(OR($D86&lt;&gt;"Serviço",AND(AUTOEVENTO="Manual",$M86=$A$15),$M86&gt;(ROW(PLE.lastrow)-ROW(PLE.firstrow))),0,
           IF(OFFSET(PLE!$G$15,$M86-$A$15,BW$13)="",10^12,OFFSET(PLE!$G$15,$M86-$A$15,BW$13)))</f>
        <v>0</v>
      </c>
      <c r="BX86" s="172">
        <f t="array" aca="1" ref="BX86" ca="1">IF(OR($D86&lt;&gt;"Serviço",AND(AUTOEVENTO="Manual",$M86=$A$15),$M86&gt;(ROW(PLE.lastrow)-ROW(PLE.firstrow))),0,
           IF(OFFSET(PLE!$G$15,$M86-$A$15,BX$13)="",10^12,OFFSET(PLE!$G$15,$M86-$A$15,BX$13)))</f>
        <v>0</v>
      </c>
      <c r="BY86" s="172">
        <f t="array" aca="1" ref="BY86" ca="1">IF(OR($D86&lt;&gt;"Serviço",AND(AUTOEVENTO="Manual",$M86=$A$15),$M86&gt;(ROW(PLE.lastrow)-ROW(PLE.firstrow))),0,
           IF(OFFSET(PLE!$G$15,$M86-$A$15,BY$13)="",10^12,OFFSET(PLE!$G$15,$M86-$A$15,BY$13)))</f>
        <v>0</v>
      </c>
      <c r="BZ86" s="172">
        <f t="array" aca="1" ref="BZ86" ca="1">IF(OR($D86&lt;&gt;"Serviço",AND(AUTOEVENTO="Manual",$M86=$A$15),$M86&gt;(ROW(PLE.lastrow)-ROW(PLE.firstrow))),0,
           IF(OFFSET(PLE!$G$15,$M86-$A$15,BZ$13)="",10^12,OFFSET(PLE!$G$15,$M86-$A$15,BZ$13)))</f>
        <v>0</v>
      </c>
      <c r="CA86" s="172">
        <f t="array" aca="1" ref="CA86" ca="1">IF(OR($D86&lt;&gt;"Serviço",AND(AUTOEVENTO="Manual",$M86=$A$15),$M86&gt;(ROW(PLE.lastrow)-ROW(PLE.firstrow))),0,
           IF(OFFSET(PLE!$G$15,$M86-$A$15,CA$13)="",10^12,OFFSET(PLE!$G$15,$M86-$A$15,CA$13)))</f>
        <v>0</v>
      </c>
      <c r="CB86" s="172">
        <f t="array" aca="1" ref="CB86" ca="1">IF(OR($D86&lt;&gt;"Serviço",AND(AUTOEVENTO="Manual",$M86=$A$15),$M86&gt;(ROW(PLE.lastrow)-ROW(PLE.firstrow))),0,
           IF(OFFSET(PLE!$G$15,$M86-$A$15,CB$13)="",10^12,OFFSET(PLE!$G$15,$M86-$A$15,CB$13)))</f>
        <v>0</v>
      </c>
      <c r="CC86" s="172">
        <f t="array" aca="1" ref="CC86" ca="1">IF(OR($D86&lt;&gt;"Serviço",AND(AUTOEVENTO="Manual",$M86=$A$15),$M86&gt;(ROW(PLE.lastrow)-ROW(PLE.firstrow))),0,
           IF(OFFSET(PLE!$G$15,$M86-$A$15,CC$13)="",10^12,OFFSET(PLE!$G$15,$M86-$A$15,CC$13)))</f>
        <v>0</v>
      </c>
      <c r="CD86" s="172">
        <f t="array" aca="1" ref="CD86" ca="1">IF(OR($D86&lt;&gt;"Serviço",AND(AUTOEVENTO="Manual",$M86=$A$15),$M86&gt;(ROW(PLE.lastrow)-ROW(PLE.firstrow))),0,
           IF(OFFSET(PLE!$G$15,$M86-$A$15,CD$13)="",10^12,OFFSET(PLE!$G$15,$M86-$A$15,CD$13)))</f>
        <v>0</v>
      </c>
      <c r="CE86" s="172">
        <f t="array" aca="1" ref="CE86" ca="1">IF(OR($D86&lt;&gt;"Serviço",AND(AUTOEVENTO="Manual",$M86=$A$15),$M86&gt;(ROW(PLE.lastrow)-ROW(PLE.firstrow))),0,
           IF(OFFSET(PLE!$G$15,$M86-$A$15,CE$13)="",10^12,OFFSET(PLE!$G$15,$M86-$A$15,CE$13)))</f>
        <v>0</v>
      </c>
      <c r="CF86" s="172">
        <f t="array" aca="1" ref="CF86" ca="1">IF(OR($D86&lt;&gt;"Serviço",AND(AUTOEVENTO="Manual",$M86=$A$15),$M86&gt;(ROW(PLE.lastrow)-ROW(PLE.firstrow))),0,
           IF(OFFSET(PLE!$G$15,$M86-$A$15,CF$13)="",10^12,OFFSET(PLE!$G$15,$M86-$A$15,CF$13)))</f>
        <v>0</v>
      </c>
      <c r="CG86" s="172">
        <f t="array" aca="1" ref="CG86" ca="1">IF(OR($D86&lt;&gt;"Serviço",AND(AUTOEVENTO="Manual",$M86=$A$15),$M86&gt;(ROW(PLE.lastrow)-ROW(PLE.firstrow))),0,
           IF(OFFSET(PLE!$G$15,$M86-$A$15,CG$13)="",10^12,OFFSET(PLE!$G$15,$M86-$A$15,CG$13)))</f>
        <v>0</v>
      </c>
      <c r="CH86" s="172">
        <f t="array" aca="1" ref="CH86" ca="1">IF(OR($D86&lt;&gt;"Serviço",AND(AUTOEVENTO="Manual",$M86=$A$15),$M86&gt;(ROW(PLE.lastrow)-ROW(PLE.firstrow))),0,
           IF(OFFSET(PLE!$G$15,$M86-$A$15,CH$13)="",10^12,OFFSET(PLE!$G$15,$M86-$A$15,CH$13)))</f>
        <v>0</v>
      </c>
      <c r="CI86" s="172">
        <f t="array" aca="1" ref="CI86" ca="1">IF(OR($D86&lt;&gt;"Serviço",AND(AUTOEVENTO="Manual",$M86=$A$15),$M86&gt;(ROW(PLE.lastrow)-ROW(PLE.firstrow))),0,
           IF(OFFSET(PLE!$G$15,$M86-$A$15,CI$13)="",10^12,OFFSET(PLE!$G$15,$M86-$A$15,CI$13)))</f>
        <v>0</v>
      </c>
      <c r="CJ86" s="172">
        <f t="array" aca="1" ref="CJ86" ca="1">IF(OR($D86&lt;&gt;"Serviço",AND(AUTOEVENTO="Manual",$M86=$A$15),$M86&gt;(ROW(PLE.lastrow)-ROW(PLE.firstrow))),0,
           IF(OFFSET(PLE!$G$15,$M86-$A$15,CJ$13)="",10^12,OFFSET(PLE!$G$15,$M86-$A$15,CJ$13)))</f>
        <v>0</v>
      </c>
      <c r="CK86" s="172">
        <f t="array" aca="1" ref="CK86" ca="1">IF(OR($D86&lt;&gt;"Serviço",AND(AUTOEVENTO="Manual",$M86=$A$15),$M86&gt;(ROW(PLE.lastrow)-ROW(PLE.firstrow))),0,
           IF(OFFSET(PLE!$G$15,$M86-$A$15,CK$13)="",10^12,OFFSET(PLE!$G$15,$M86-$A$15,CK$13)))</f>
        <v>0</v>
      </c>
      <c r="CL86" s="172">
        <f t="array" aca="1" ref="CL86" ca="1">IF(OR($D86&lt;&gt;"Serviço",AND(AUTOEVENTO="Manual",$M86=$A$15),$M86&gt;(ROW(PLE.lastrow)-ROW(PLE.firstrow))),0,
           IF(OFFSET(PLE!$G$15,$M86-$A$15,CL$13)="",10^12,OFFSET(PLE!$G$15,$M86-$A$15,CL$13)))</f>
        <v>0</v>
      </c>
      <c r="CM86" s="172">
        <f t="array" aca="1" ref="CM86" ca="1">IF(OR($D86&lt;&gt;"Serviço",AND(AUTOEVENTO="Manual",$M86=$A$15),$M86&gt;(ROW(PLE.lastrow)-ROW(PLE.firstrow))),0,
           IF(OFFSET(PLE!$G$15,$M86-$A$15,CM$13)="",10^12,OFFSET(PLE!$G$15,$M86-$A$15,CM$13)))</f>
        <v>0</v>
      </c>
    </row>
    <row r="87" spans="1:91" s="696" customFormat="1" ht="38.25" x14ac:dyDescent="0.2">
      <c r="A87" s="694">
        <f t="shared" ca="1" si="45"/>
        <v>16</v>
      </c>
      <c r="B87" s="694" t="str">
        <f ca="1">OFFSET(ORÇAMENTO!C$15,$L87,0)</f>
        <v>S</v>
      </c>
      <c r="C87" s="694" t="str">
        <f ca="1">OFFSET(ORÇAMENTO!L$15,$L87,0)</f>
        <v>F</v>
      </c>
      <c r="D87" s="116" t="str">
        <f ca="1">OFFSET(ORÇAMENTO!N$15,$L87,0)</f>
        <v>Serviço</v>
      </c>
      <c r="E87" s="117" t="str">
        <f ca="1">OFFSET(ORÇAMENTO!O$15,$L87,0)</f>
        <v>1.14.1.</v>
      </c>
      <c r="F87" s="163" t="str">
        <f ca="1">OFFSET(ORÇAMENTO!R$15,$L87,0)</f>
        <v>CHAPISCO APLICADO EM ALVENARIAS E ESTRUTURAS DE CONCRETO INTERNAS, COM COLHER DE PEDREIRO. ARGAMASSA TRAÇO 1:3 COM PREPARO EM BETONEIRA 400L. AF_10/2022</v>
      </c>
      <c r="G87" s="164" t="str">
        <f ca="1">IF($D87&lt;&gt;"Serviço","",OFFSET(ORÇAMENTO!S$15,$L87,0))</f>
        <v>M2</v>
      </c>
      <c r="H87" s="122">
        <f t="array" aca="1" ref="H87" ca="1">IF($D87&lt;&gt;"Serviço",0,IF(ACOMPANHAMENTO="BM",ROUND(OFFSET(ORÇAMENTO!AJ$15,$L87,0),15-13*ORÇAMENTO!$AF$7),IF(IFERROR(CÁLCULO.FrentesPreenchidas,0)=0,0,SUM(ROUND(OFFSET($P87,0,1,1,CÁLCULO.FrentesPreenchidas),15-13*ORÇAMENTO!$AF$7)))))</f>
        <v>2722</v>
      </c>
      <c r="I87" s="467" t="s">
        <v>1253</v>
      </c>
      <c r="J87" s="653" t="str">
        <f t="array" aca="1" ref="J87" ca="1">IF(OR(B87&lt;&gt;"S",CÁLCULO.FrentesPreenchidas=0),"",IF(AND(ACOMPANHAMENTO="PLE",AUTOEVENTO="Manual",OR(H87&gt;0,ORÇAMENTO!AC87="QUANT."),OR(K87="",M87=0,N87="")),"►E",IF(AND(ACOMPANHAMENTO="PLE",ORÇAMENTO!AC87="QUANT."),"►Q",IF(AND(ACOMPANHAMENTO="PLE",H87&lt;&gt;SUMPRODUCT(($Q$1:$AI$1=1)*ROUND(Q87:AI87,15))),"►S",IF(AND(COUNTIF($P$11:$AI$11,"▼")=0,H87&gt;0,I87=""),"◄M","")))))</f>
        <v/>
      </c>
      <c r="K87" s="654" t="s">
        <v>1409</v>
      </c>
      <c r="L87" s="165">
        <f t="shared" ca="1" si="46"/>
        <v>72</v>
      </c>
      <c r="M87" s="166">
        <f ca="1">IF($D87&lt;&gt;"Serviço","",
          IF(AUTOEVENTO="manual",$A87,
                IF(ISERROR(MATCH($A87,$A$15:OFFSET($A87,-1,0),0)),MAX($M$15:OFFSET(M87,-1,0))+1,
                      INDEX($M$15:OFFSET(M87,-1,0),MATCH($A87,$A$15:OFFSET($A87,-1,0),0)))))</f>
        <v>16</v>
      </c>
      <c r="N87" s="167" t="str">
        <f ca="1">IF($D87&lt;&gt;"Serviço","",
         IF(AUTOEVENTO="Manual",
                IF($A87=0,"&lt;-- defina o número do agrupador",
                       OFFSET(EVENTOS!$D$15,$A87-$A$15,0)),
                OFFSET($F$15,$A87,0)))</f>
        <v>REVESTIMENTOS INTERNOS DE PAREDES</v>
      </c>
      <c r="O87" s="168"/>
      <c r="Q87" s="169">
        <f>136.1*5</f>
        <v>680.5</v>
      </c>
      <c r="R87" s="169">
        <f t="shared" ref="R87:T87" si="53">136.1*5</f>
        <v>680.5</v>
      </c>
      <c r="S87" s="169">
        <f t="shared" si="53"/>
        <v>680.5</v>
      </c>
      <c r="T87" s="169">
        <f t="shared" si="53"/>
        <v>680.5</v>
      </c>
      <c r="U87" s="169"/>
      <c r="V87" s="169"/>
      <c r="W87" s="169"/>
      <c r="X87" s="169"/>
      <c r="Y87" s="169"/>
      <c r="Z87" s="170"/>
      <c r="AA87" s="169"/>
      <c r="AB87" s="169"/>
      <c r="AC87" s="169"/>
      <c r="AD87" s="169"/>
      <c r="AE87" s="169"/>
      <c r="AF87" s="169"/>
      <c r="AG87" s="169"/>
      <c r="AH87" s="170"/>
      <c r="AJ87" s="452">
        <f ca="1">IF(AND($D87="Serviço",AJ$12&lt;&gt;0,$H87&gt;0,OR(AUTOEVENTO&lt;&gt;"manual",$M87&lt;&gt;$A$15)),
        IF(Import.TipoArredondamento&lt;&gt;"TransfereGOV",
              ROUND(OFFSET($P87,0,AJ$13),15-13*ORÇAMENTO!$AF$7)/$H87*OFFSET(ORÇAMENTO!$X$15,ROW(AJ87)-ROW(AJ$15),0),
              ROUND(ROUND(OFFSET($P87,0,AJ$13),15-13*ORÇAMENTO!$AF$7)*OFFSET(ORÇAMENTO!$W$15,ROW(AJ87)-ROW(AJ$15),0),15-13*ORÇAMENTO!$AF$11)),
         0)</f>
        <v>3790.39</v>
      </c>
      <c r="AK87" s="452">
        <f ca="1">IF(AND($D87="Serviço",AK$12&lt;&gt;0,$H87&gt;0,OR(AUTOEVENTO&lt;&gt;"manual",$M87&lt;&gt;$A$15)),
        IF(Import.TipoArredondamento&lt;&gt;"TransfereGOV",
              ROUND(OFFSET($P87,0,AK$13),15-13*ORÇAMENTO!$AF$7)/$H87*OFFSET(ORÇAMENTO!$X$15,ROW(AK87)-ROW(AK$15),0),
              ROUND(ROUND(OFFSET($P87,0,AK$13),15-13*ORÇAMENTO!$AF$7)*OFFSET(ORÇAMENTO!$W$15,ROW(AK87)-ROW(AK$15),0),15-13*ORÇAMENTO!$AF$11)),
         0)</f>
        <v>3790.39</v>
      </c>
      <c r="AL87" s="452">
        <f ca="1">IF(AND($D87="Serviço",AL$12&lt;&gt;0,$H87&gt;0,OR(AUTOEVENTO&lt;&gt;"manual",$M87&lt;&gt;$A$15)),
        IF(Import.TipoArredondamento&lt;&gt;"TransfereGOV",
              ROUND(OFFSET($P87,0,AL$13),15-13*ORÇAMENTO!$AF$7)/$H87*OFFSET(ORÇAMENTO!$X$15,ROW(AL87)-ROW(AL$15),0),
              ROUND(ROUND(OFFSET($P87,0,AL$13),15-13*ORÇAMENTO!$AF$7)*OFFSET(ORÇAMENTO!$W$15,ROW(AL87)-ROW(AL$15),0),15-13*ORÇAMENTO!$AF$11)),
         0)</f>
        <v>3790.39</v>
      </c>
      <c r="AM87" s="452">
        <f ca="1">IF(AND($D87="Serviço",AM$12&lt;&gt;0,$H87&gt;0,OR(AUTOEVENTO&lt;&gt;"manual",$M87&lt;&gt;$A$15)),
        IF(Import.TipoArredondamento&lt;&gt;"TransfereGOV",
              ROUND(OFFSET($P87,0,AM$13),15-13*ORÇAMENTO!$AF$7)/$H87*OFFSET(ORÇAMENTO!$X$15,ROW(AM87)-ROW(AM$15),0),
              ROUND(ROUND(OFFSET($P87,0,AM$13),15-13*ORÇAMENTO!$AF$7)*OFFSET(ORÇAMENTO!$W$15,ROW(AM87)-ROW(AM$15),0),15-13*ORÇAMENTO!$AF$11)),
         0)</f>
        <v>3790.39</v>
      </c>
      <c r="AN87" s="452">
        <f ca="1">IF(AND($D87="Serviço",AN$12&lt;&gt;0,$H87&gt;0,OR(AUTOEVENTO&lt;&gt;"manual",$M87&lt;&gt;$A$15)),
        IF(Import.TipoArredondamento&lt;&gt;"TransfereGOV",
              ROUND(OFFSET($P87,0,AN$13),15-13*ORÇAMENTO!$AF$7)/$H87*OFFSET(ORÇAMENTO!$X$15,ROW(AN87)-ROW(AN$15),0),
              ROUND(ROUND(OFFSET($P87,0,AN$13),15-13*ORÇAMENTO!$AF$7)*OFFSET(ORÇAMENTO!$W$15,ROW(AN87)-ROW(AN$15),0),15-13*ORÇAMENTO!$AF$11)),
         0)</f>
        <v>0</v>
      </c>
      <c r="AO87" s="452">
        <f ca="1">IF(AND($D87="Serviço",AO$12&lt;&gt;0,$H87&gt;0,OR(AUTOEVENTO&lt;&gt;"manual",$M87&lt;&gt;$A$15)),
        IF(Import.TipoArredondamento&lt;&gt;"TransfereGOV",
              ROUND(OFFSET($P87,0,AO$13),15-13*ORÇAMENTO!$AF$7)/$H87*OFFSET(ORÇAMENTO!$X$15,ROW(AO87)-ROW(AO$15),0),
              ROUND(ROUND(OFFSET($P87,0,AO$13),15-13*ORÇAMENTO!$AF$7)*OFFSET(ORÇAMENTO!$W$15,ROW(AO87)-ROW(AO$15),0),15-13*ORÇAMENTO!$AF$11)),
         0)</f>
        <v>0</v>
      </c>
      <c r="AP87" s="452">
        <f ca="1">IF(AND($D87="Serviço",AP$12&lt;&gt;0,$H87&gt;0,OR(AUTOEVENTO&lt;&gt;"manual",$M87&lt;&gt;$A$15)),
        IF(Import.TipoArredondamento&lt;&gt;"TransfereGOV",
              ROUND(OFFSET($P87,0,AP$13),15-13*ORÇAMENTO!$AF$7)/$H87*OFFSET(ORÇAMENTO!$X$15,ROW(AP87)-ROW(AP$15),0),
              ROUND(ROUND(OFFSET($P87,0,AP$13),15-13*ORÇAMENTO!$AF$7)*OFFSET(ORÇAMENTO!$W$15,ROW(AP87)-ROW(AP$15),0),15-13*ORÇAMENTO!$AF$11)),
         0)</f>
        <v>0</v>
      </c>
      <c r="AQ87" s="452">
        <f ca="1">IF(AND($D87="Serviço",AQ$12&lt;&gt;0,$H87&gt;0,OR(AUTOEVENTO&lt;&gt;"manual",$M87&lt;&gt;$A$15)),
        IF(Import.TipoArredondamento&lt;&gt;"TransfereGOV",
              ROUND(OFFSET($P87,0,AQ$13),15-13*ORÇAMENTO!$AF$7)/$H87*OFFSET(ORÇAMENTO!$X$15,ROW(AQ87)-ROW(AQ$15),0),
              ROUND(ROUND(OFFSET($P87,0,AQ$13),15-13*ORÇAMENTO!$AF$7)*OFFSET(ORÇAMENTO!$W$15,ROW(AQ87)-ROW(AQ$15),0),15-13*ORÇAMENTO!$AF$11)),
         0)</f>
        <v>0</v>
      </c>
      <c r="AR87" s="452">
        <f ca="1">IF(AND($D87="Serviço",AR$12&lt;&gt;0,$H87&gt;0,OR(AUTOEVENTO&lt;&gt;"manual",$M87&lt;&gt;$A$15)),
        IF(Import.TipoArredondamento&lt;&gt;"TransfereGOV",
              ROUND(OFFSET($P87,0,AR$13),15-13*ORÇAMENTO!$AF$7)/$H87*OFFSET(ORÇAMENTO!$X$15,ROW(AR87)-ROW(AR$15),0),
              ROUND(ROUND(OFFSET($P87,0,AR$13),15-13*ORÇAMENTO!$AF$7)*OFFSET(ORÇAMENTO!$W$15,ROW(AR87)-ROW(AR$15),0),15-13*ORÇAMENTO!$AF$11)),
         0)</f>
        <v>0</v>
      </c>
      <c r="AS87" s="452">
        <f ca="1">IF(AND($D87="Serviço",AS$12&lt;&gt;0,$H87&gt;0,OR(AUTOEVENTO&lt;&gt;"manual",$M87&lt;&gt;$A$15)),
        IF(Import.TipoArredondamento&lt;&gt;"TransfereGOV",
              ROUND(OFFSET($P87,0,AS$13),15-13*ORÇAMENTO!$AF$7)/$H87*OFFSET(ORÇAMENTO!$X$15,ROW(AS87)-ROW(AS$15),0),
              ROUND(ROUND(OFFSET($P87,0,AS$13),15-13*ORÇAMENTO!$AF$7)*OFFSET(ORÇAMENTO!$W$15,ROW(AS87)-ROW(AS$15),0),15-13*ORÇAMENTO!$AF$11)),
         0)</f>
        <v>0</v>
      </c>
      <c r="AT87" s="452">
        <f ca="1">IF(AND($D87="Serviço",AT$12&lt;&gt;0,$H87&gt;0,OR(AUTOEVENTO&lt;&gt;"manual",$M87&lt;&gt;$A$15)),
        IF(Import.TipoArredondamento&lt;&gt;"TransfereGOV",
              ROUND(OFFSET($P87,0,AT$13),15-13*ORÇAMENTO!$AF$7)/$H87*OFFSET(ORÇAMENTO!$X$15,ROW(AT87)-ROW(AT$15),0),
              ROUND(ROUND(OFFSET($P87,0,AT$13),15-13*ORÇAMENTO!$AF$7)*OFFSET(ORÇAMENTO!$W$15,ROW(AT87)-ROW(AT$15),0),15-13*ORÇAMENTO!$AF$11)),
         0)</f>
        <v>0</v>
      </c>
      <c r="AU87" s="452">
        <f ca="1">IF(AND($D87="Serviço",AU$12&lt;&gt;0,$H87&gt;0,OR(AUTOEVENTO&lt;&gt;"manual",$M87&lt;&gt;$A$15)),
        IF(Import.TipoArredondamento&lt;&gt;"TransfereGOV",
              ROUND(OFFSET($P87,0,AU$13),15-13*ORÇAMENTO!$AF$7)/$H87*OFFSET(ORÇAMENTO!$X$15,ROW(AU87)-ROW(AU$15),0),
              ROUND(ROUND(OFFSET($P87,0,AU$13),15-13*ORÇAMENTO!$AF$7)*OFFSET(ORÇAMENTO!$W$15,ROW(AU87)-ROW(AU$15),0),15-13*ORÇAMENTO!$AF$11)),
         0)</f>
        <v>0</v>
      </c>
      <c r="AV87" s="452">
        <f ca="1">IF(AND($D87="Serviço",AV$12&lt;&gt;0,$H87&gt;0,OR(AUTOEVENTO&lt;&gt;"manual",$M87&lt;&gt;$A$15)),
        IF(Import.TipoArredondamento&lt;&gt;"TransfereGOV",
              ROUND(OFFSET($P87,0,AV$13),15-13*ORÇAMENTO!$AF$7)/$H87*OFFSET(ORÇAMENTO!$X$15,ROW(AV87)-ROW(AV$15),0),
              ROUND(ROUND(OFFSET($P87,0,AV$13),15-13*ORÇAMENTO!$AF$7)*OFFSET(ORÇAMENTO!$W$15,ROW(AV87)-ROW(AV$15),0),15-13*ORÇAMENTO!$AF$11)),
         0)</f>
        <v>0</v>
      </c>
      <c r="AW87" s="452">
        <f ca="1">IF(AND($D87="Serviço",AW$12&lt;&gt;0,$H87&gt;0,OR(AUTOEVENTO&lt;&gt;"manual",$M87&lt;&gt;$A$15)),
        IF(Import.TipoArredondamento&lt;&gt;"TransfereGOV",
              ROUND(OFFSET($P87,0,AW$13),15-13*ORÇAMENTO!$AF$7)/$H87*OFFSET(ORÇAMENTO!$X$15,ROW(AW87)-ROW(AW$15),0),
              ROUND(ROUND(OFFSET($P87,0,AW$13),15-13*ORÇAMENTO!$AF$7)*OFFSET(ORÇAMENTO!$W$15,ROW(AW87)-ROW(AW$15),0),15-13*ORÇAMENTO!$AF$11)),
         0)</f>
        <v>0</v>
      </c>
      <c r="AX87" s="452">
        <f ca="1">IF(AND($D87="Serviço",AX$12&lt;&gt;0,$H87&gt;0,OR(AUTOEVENTO&lt;&gt;"manual",$M87&lt;&gt;$A$15)),
        IF(Import.TipoArredondamento&lt;&gt;"TransfereGOV",
              ROUND(OFFSET($P87,0,AX$13),15-13*ORÇAMENTO!$AF$7)/$H87*OFFSET(ORÇAMENTO!$X$15,ROW(AX87)-ROW(AX$15),0),
              ROUND(ROUND(OFFSET($P87,0,AX$13),15-13*ORÇAMENTO!$AF$7)*OFFSET(ORÇAMENTO!$W$15,ROW(AX87)-ROW(AX$15),0),15-13*ORÇAMENTO!$AF$11)),
         0)</f>
        <v>0</v>
      </c>
      <c r="AY87" s="452">
        <f ca="1">IF(AND($D87="Serviço",AY$12&lt;&gt;0,$H87&gt;0,OR(AUTOEVENTO&lt;&gt;"manual",$M87&lt;&gt;$A$15)),
        IF(Import.TipoArredondamento&lt;&gt;"TransfereGOV",
              ROUND(OFFSET($P87,0,AY$13),15-13*ORÇAMENTO!$AF$7)/$H87*OFFSET(ORÇAMENTO!$X$15,ROW(AY87)-ROW(AY$15),0),
              ROUND(ROUND(OFFSET($P87,0,AY$13),15-13*ORÇAMENTO!$AF$7)*OFFSET(ORÇAMENTO!$W$15,ROW(AY87)-ROW(AY$15),0),15-13*ORÇAMENTO!$AF$11)),
         0)</f>
        <v>0</v>
      </c>
      <c r="AZ87" s="452">
        <f ca="1">IF(AND($D87="Serviço",AZ$12&lt;&gt;0,$H87&gt;0,OR(AUTOEVENTO&lt;&gt;"manual",$M87&lt;&gt;$A$15)),
        IF(Import.TipoArredondamento&lt;&gt;"TransfereGOV",
              ROUND(OFFSET($P87,0,AZ$13),15-13*ORÇAMENTO!$AF$7)/$H87*OFFSET(ORÇAMENTO!$X$15,ROW(AZ87)-ROW(AZ$15),0),
              ROUND(ROUND(OFFSET($P87,0,AZ$13),15-13*ORÇAMENTO!$AF$7)*OFFSET(ORÇAMENTO!$W$15,ROW(AZ87)-ROW(AZ$15),0),15-13*ORÇAMENTO!$AF$11)),
         0)</f>
        <v>0</v>
      </c>
      <c r="BA87" s="452">
        <f ca="1">IF(AND($D87="Serviço",BA$12&lt;&gt;0,$H87&gt;0,OR(AUTOEVENTO&lt;&gt;"manual",$M87&lt;&gt;$A$15)),
        IF(Import.TipoArredondamento&lt;&gt;"TransfereGOV",
              ROUND(OFFSET($P87,0,BA$13),15-13*ORÇAMENTO!$AF$7)/$H87*OFFSET(ORÇAMENTO!$X$15,ROW(BA87)-ROW(BA$15),0),
              ROUND(ROUND(OFFSET($P87,0,BA$13),15-13*ORÇAMENTO!$AF$7)*OFFSET(ORÇAMENTO!$W$15,ROW(BA87)-ROW(BA$15),0),15-13*ORÇAMENTO!$AF$11)),
         0)</f>
        <v>0</v>
      </c>
      <c r="BC87" s="171">
        <f ca="1">IF(OR($D87&lt;&gt;"Serviço",AND(AUTOEVENTO="Manual",$M87=$A$15)),0,
         IF(OFFSET(CRONOPLE!$F$15,$M87-$A$15,BC$13)=0,10^12,OFFSET(CRONOPLE!$F$15,$M87-$A$15,BC$13)))</f>
        <v>5</v>
      </c>
      <c r="BD87" s="171">
        <f ca="1">IF(OR($D87&lt;&gt;"Serviço",AND(AUTOEVENTO="Manual",$M87=$A$15)),0,
         IF(OFFSET(CRONOPLE!$F$15,$M87-$A$15,BD$13)=0,10^12,OFFSET(CRONOPLE!$F$15,$M87-$A$15,BD$13)))</f>
        <v>5</v>
      </c>
      <c r="BE87" s="171">
        <f ca="1">IF(OR($D87&lt;&gt;"Serviço",AND(AUTOEVENTO="Manual",$M87=$A$15)),0,
         IF(OFFSET(CRONOPLE!$F$15,$M87-$A$15,BE$13)=0,10^12,OFFSET(CRONOPLE!$F$15,$M87-$A$15,BE$13)))</f>
        <v>7</v>
      </c>
      <c r="BF87" s="171">
        <f ca="1">IF(OR($D87&lt;&gt;"Serviço",AND(AUTOEVENTO="Manual",$M87=$A$15)),0,
         IF(OFFSET(CRONOPLE!$F$15,$M87-$A$15,BF$13)=0,10^12,OFFSET(CRONOPLE!$F$15,$M87-$A$15,BF$13)))</f>
        <v>7</v>
      </c>
      <c r="BG87" s="171">
        <f ca="1">IF(OR($D87&lt;&gt;"Serviço",AND(AUTOEVENTO="Manual",$M87=$A$15)),0,
         IF(OFFSET(CRONOPLE!$F$15,$M87-$A$15,BG$13)=0,10^12,OFFSET(CRONOPLE!$F$15,$M87-$A$15,BG$13)))</f>
        <v>7</v>
      </c>
      <c r="BH87" s="171">
        <f ca="1">IF(OR($D87&lt;&gt;"Serviço",AND(AUTOEVENTO="Manual",$M87=$A$15)),0,
         IF(OFFSET(CRONOPLE!$F$15,$M87-$A$15,BH$13)=0,10^12,OFFSET(CRONOPLE!$F$15,$M87-$A$15,BH$13)))</f>
        <v>1000000000000</v>
      </c>
      <c r="BI87" s="171">
        <f ca="1">IF(OR($D87&lt;&gt;"Serviço",AND(AUTOEVENTO="Manual",$M87=$A$15)),0,
         IF(OFFSET(CRONOPLE!$F$15,$M87-$A$15,BI$13)=0,10^12,OFFSET(CRONOPLE!$F$15,$M87-$A$15,BI$13)))</f>
        <v>7</v>
      </c>
      <c r="BJ87" s="171">
        <f ca="1">IF(OR($D87&lt;&gt;"Serviço",AND(AUTOEVENTO="Manual",$M87=$A$15)),0,
         IF(OFFSET(CRONOPLE!$F$15,$M87-$A$15,BJ$13)=0,10^12,OFFSET(CRONOPLE!$F$15,$M87-$A$15,BJ$13)))</f>
        <v>8</v>
      </c>
      <c r="BK87" s="171">
        <f ca="1">IF(OR($D87&lt;&gt;"Serviço",AND(AUTOEVENTO="Manual",$M87=$A$15)),0,
         IF(OFFSET(CRONOPLE!$F$15,$M87-$A$15,BK$13)=0,10^12,OFFSET(CRONOPLE!$F$15,$M87-$A$15,BK$13)))</f>
        <v>1000000000000</v>
      </c>
      <c r="BL87" s="171">
        <f ca="1">IF(OR($D87&lt;&gt;"Serviço",AND(AUTOEVENTO="Manual",$M87=$A$15)),0,
         IF(OFFSET(CRONOPLE!$F$15,$M87-$A$15,BL$13)=0,10^12,OFFSET(CRONOPLE!$F$15,$M87-$A$15,BL$13)))</f>
        <v>1000000000000</v>
      </c>
      <c r="BM87" s="171">
        <f ca="1">IF(OR($D87&lt;&gt;"Serviço",AND(AUTOEVENTO="Manual",$M87=$A$15)),0,
         IF(OFFSET(CRONOPLE!$F$15,$M87-$A$15,BM$13)=0,10^12,OFFSET(CRONOPLE!$F$15,$M87-$A$15,BM$13)))</f>
        <v>1000000000000</v>
      </c>
      <c r="BN87" s="171">
        <f ca="1">IF(OR($D87&lt;&gt;"Serviço",AND(AUTOEVENTO="Manual",$M87=$A$15)),0,
         IF(OFFSET(CRONOPLE!$F$15,$M87-$A$15,BN$13)=0,10^12,OFFSET(CRONOPLE!$F$15,$M87-$A$15,BN$13)))</f>
        <v>1000000000000</v>
      </c>
      <c r="BO87" s="171">
        <f ca="1">IF(OR($D87&lt;&gt;"Serviço",AND(AUTOEVENTO="Manual",$M87=$A$15)),0,
         IF(OFFSET(CRONOPLE!$F$15,$M87-$A$15,BO$13)=0,10^12,OFFSET(CRONOPLE!$F$15,$M87-$A$15,BO$13)))</f>
        <v>1000000000000</v>
      </c>
      <c r="BP87" s="171">
        <f ca="1">IF(OR($D87&lt;&gt;"Serviço",AND(AUTOEVENTO="Manual",$M87=$A$15)),0,
         IF(OFFSET(CRONOPLE!$F$15,$M87-$A$15,BP$13)=0,10^12,OFFSET(CRONOPLE!$F$15,$M87-$A$15,BP$13)))</f>
        <v>1000000000000</v>
      </c>
      <c r="BQ87" s="171">
        <f ca="1">IF(OR($D87&lt;&gt;"Serviço",AND(AUTOEVENTO="Manual",$M87=$A$15)),0,
         IF(OFFSET(CRONOPLE!$F$15,$M87-$A$15,BQ$13)=0,10^12,OFFSET(CRONOPLE!$F$15,$M87-$A$15,BQ$13)))</f>
        <v>1000000000000</v>
      </c>
      <c r="BR87" s="171">
        <f ca="1">IF(OR($D87&lt;&gt;"Serviço",AND(AUTOEVENTO="Manual",$M87=$A$15)),0,
         IF(OFFSET(CRONOPLE!$F$15,$M87-$A$15,BR$13)=0,10^12,OFFSET(CRONOPLE!$F$15,$M87-$A$15,BR$13)))</f>
        <v>1000000000000</v>
      </c>
      <c r="BS87" s="171">
        <f ca="1">IF(OR($D87&lt;&gt;"Serviço",AND(AUTOEVENTO="Manual",$M87=$A$15)),0,
         IF(OFFSET(CRONOPLE!$F$15,$M87-$A$15,BS$13)=0,10^12,OFFSET(CRONOPLE!$F$15,$M87-$A$15,BS$13)))</f>
        <v>1000000000000</v>
      </c>
      <c r="BT87" s="171">
        <f ca="1">IF(OR($D87&lt;&gt;"Serviço",AND(AUTOEVENTO="Manual",$M87=$A$15)),0,
         IF(OFFSET(CRONOPLE!$F$15,$M87-$A$15,BT$13)=0,10^12,OFFSET(CRONOPLE!$F$15,$M87-$A$15,BT$13)))</f>
        <v>1000000000000</v>
      </c>
      <c r="BV87" s="172">
        <f t="array" aca="1" ref="BV87" ca="1">IF(OR($D87&lt;&gt;"Serviço",AND(AUTOEVENTO="Manual",$M87=$A$15),$M87&gt;(ROW(PLE.lastrow)-ROW(PLE.firstrow))),0,
           IF(OFFSET(PLE!$G$15,$M87-$A$15,BV$13)="",10^12,OFFSET(PLE!$G$15,$M87-$A$15,BV$13)))</f>
        <v>1000000000000</v>
      </c>
      <c r="BW87" s="172">
        <f t="array" aca="1" ref="BW87" ca="1">IF(OR($D87&lt;&gt;"Serviço",AND(AUTOEVENTO="Manual",$M87=$A$15),$M87&gt;(ROW(PLE.lastrow)-ROW(PLE.firstrow))),0,
           IF(OFFSET(PLE!$G$15,$M87-$A$15,BW$13)="",10^12,OFFSET(PLE!$G$15,$M87-$A$15,BW$13)))</f>
        <v>1000000000000</v>
      </c>
      <c r="BX87" s="172">
        <f t="array" aca="1" ref="BX87" ca="1">IF(OR($D87&lt;&gt;"Serviço",AND(AUTOEVENTO="Manual",$M87=$A$15),$M87&gt;(ROW(PLE.lastrow)-ROW(PLE.firstrow))),0,
           IF(OFFSET(PLE!$G$15,$M87-$A$15,BX$13)="",10^12,OFFSET(PLE!$G$15,$M87-$A$15,BX$13)))</f>
        <v>1000000000000</v>
      </c>
      <c r="BY87" s="172">
        <f t="array" aca="1" ref="BY87" ca="1">IF(OR($D87&lt;&gt;"Serviço",AND(AUTOEVENTO="Manual",$M87=$A$15),$M87&gt;(ROW(PLE.lastrow)-ROW(PLE.firstrow))),0,
           IF(OFFSET(PLE!$G$15,$M87-$A$15,BY$13)="",10^12,OFFSET(PLE!$G$15,$M87-$A$15,BY$13)))</f>
        <v>1000000000000</v>
      </c>
      <c r="BZ87" s="172">
        <f t="array" aca="1" ref="BZ87" ca="1">IF(OR($D87&lt;&gt;"Serviço",AND(AUTOEVENTO="Manual",$M87=$A$15),$M87&gt;(ROW(PLE.lastrow)-ROW(PLE.firstrow))),0,
           IF(OFFSET(PLE!$G$15,$M87-$A$15,BZ$13)="",10^12,OFFSET(PLE!$G$15,$M87-$A$15,BZ$13)))</f>
        <v>1000000000000</v>
      </c>
      <c r="CA87" s="172">
        <f t="array" aca="1" ref="CA87" ca="1">IF(OR($D87&lt;&gt;"Serviço",AND(AUTOEVENTO="Manual",$M87=$A$15),$M87&gt;(ROW(PLE.lastrow)-ROW(PLE.firstrow))),0,
           IF(OFFSET(PLE!$G$15,$M87-$A$15,CA$13)="",10^12,OFFSET(PLE!$G$15,$M87-$A$15,CA$13)))</f>
        <v>1000000000000</v>
      </c>
      <c r="CB87" s="172">
        <f t="array" aca="1" ref="CB87" ca="1">IF(OR($D87&lt;&gt;"Serviço",AND(AUTOEVENTO="Manual",$M87=$A$15),$M87&gt;(ROW(PLE.lastrow)-ROW(PLE.firstrow))),0,
           IF(OFFSET(PLE!$G$15,$M87-$A$15,CB$13)="",10^12,OFFSET(PLE!$G$15,$M87-$A$15,CB$13)))</f>
        <v>1000000000000</v>
      </c>
      <c r="CC87" s="172">
        <f t="array" aca="1" ref="CC87" ca="1">IF(OR($D87&lt;&gt;"Serviço",AND(AUTOEVENTO="Manual",$M87=$A$15),$M87&gt;(ROW(PLE.lastrow)-ROW(PLE.firstrow))),0,
           IF(OFFSET(PLE!$G$15,$M87-$A$15,CC$13)="",10^12,OFFSET(PLE!$G$15,$M87-$A$15,CC$13)))</f>
        <v>1000000000000</v>
      </c>
      <c r="CD87" s="172">
        <f t="array" aca="1" ref="CD87" ca="1">IF(OR($D87&lt;&gt;"Serviço",AND(AUTOEVENTO="Manual",$M87=$A$15),$M87&gt;(ROW(PLE.lastrow)-ROW(PLE.firstrow))),0,
           IF(OFFSET(PLE!$G$15,$M87-$A$15,CD$13)="",10^12,OFFSET(PLE!$G$15,$M87-$A$15,CD$13)))</f>
        <v>1000000000000</v>
      </c>
      <c r="CE87" s="172">
        <f t="array" aca="1" ref="CE87" ca="1">IF(OR($D87&lt;&gt;"Serviço",AND(AUTOEVENTO="Manual",$M87=$A$15),$M87&gt;(ROW(PLE.lastrow)-ROW(PLE.firstrow))),0,
           IF(OFFSET(PLE!$G$15,$M87-$A$15,CE$13)="",10^12,OFFSET(PLE!$G$15,$M87-$A$15,CE$13)))</f>
        <v>1000000000000</v>
      </c>
      <c r="CF87" s="172">
        <f t="array" aca="1" ref="CF87" ca="1">IF(OR($D87&lt;&gt;"Serviço",AND(AUTOEVENTO="Manual",$M87=$A$15),$M87&gt;(ROW(PLE.lastrow)-ROW(PLE.firstrow))),0,
           IF(OFFSET(PLE!$G$15,$M87-$A$15,CF$13)="",10^12,OFFSET(PLE!$G$15,$M87-$A$15,CF$13)))</f>
        <v>1000000000000</v>
      </c>
      <c r="CG87" s="172">
        <f t="array" aca="1" ref="CG87" ca="1">IF(OR($D87&lt;&gt;"Serviço",AND(AUTOEVENTO="Manual",$M87=$A$15),$M87&gt;(ROW(PLE.lastrow)-ROW(PLE.firstrow))),0,
           IF(OFFSET(PLE!$G$15,$M87-$A$15,CG$13)="",10^12,OFFSET(PLE!$G$15,$M87-$A$15,CG$13)))</f>
        <v>1000000000000</v>
      </c>
      <c r="CH87" s="172">
        <f t="array" aca="1" ref="CH87" ca="1">IF(OR($D87&lt;&gt;"Serviço",AND(AUTOEVENTO="Manual",$M87=$A$15),$M87&gt;(ROW(PLE.lastrow)-ROW(PLE.firstrow))),0,
           IF(OFFSET(PLE!$G$15,$M87-$A$15,CH$13)="",10^12,OFFSET(PLE!$G$15,$M87-$A$15,CH$13)))</f>
        <v>1000000000000</v>
      </c>
      <c r="CI87" s="172">
        <f t="array" aca="1" ref="CI87" ca="1">IF(OR($D87&lt;&gt;"Serviço",AND(AUTOEVENTO="Manual",$M87=$A$15),$M87&gt;(ROW(PLE.lastrow)-ROW(PLE.firstrow))),0,
           IF(OFFSET(PLE!$G$15,$M87-$A$15,CI$13)="",10^12,OFFSET(PLE!$G$15,$M87-$A$15,CI$13)))</f>
        <v>1000000000000</v>
      </c>
      <c r="CJ87" s="172">
        <f t="array" aca="1" ref="CJ87" ca="1">IF(OR($D87&lt;&gt;"Serviço",AND(AUTOEVENTO="Manual",$M87=$A$15),$M87&gt;(ROW(PLE.lastrow)-ROW(PLE.firstrow))),0,
           IF(OFFSET(PLE!$G$15,$M87-$A$15,CJ$13)="",10^12,OFFSET(PLE!$G$15,$M87-$A$15,CJ$13)))</f>
        <v>1000000000000</v>
      </c>
      <c r="CK87" s="172">
        <f t="array" aca="1" ref="CK87" ca="1">IF(OR($D87&lt;&gt;"Serviço",AND(AUTOEVENTO="Manual",$M87=$A$15),$M87&gt;(ROW(PLE.lastrow)-ROW(PLE.firstrow))),0,
           IF(OFFSET(PLE!$G$15,$M87-$A$15,CK$13)="",10^12,OFFSET(PLE!$G$15,$M87-$A$15,CK$13)))</f>
        <v>1000000000000</v>
      </c>
      <c r="CL87" s="172">
        <f t="array" aca="1" ref="CL87" ca="1">IF(OR($D87&lt;&gt;"Serviço",AND(AUTOEVENTO="Manual",$M87=$A$15),$M87&gt;(ROW(PLE.lastrow)-ROW(PLE.firstrow))),0,
           IF(OFFSET(PLE!$G$15,$M87-$A$15,CL$13)="",10^12,OFFSET(PLE!$G$15,$M87-$A$15,CL$13)))</f>
        <v>1000000000000</v>
      </c>
      <c r="CM87" s="172">
        <f t="array" aca="1" ref="CM87" ca="1">IF(OR($D87&lt;&gt;"Serviço",AND(AUTOEVENTO="Manual",$M87=$A$15),$M87&gt;(ROW(PLE.lastrow)-ROW(PLE.firstrow))),0,
           IF(OFFSET(PLE!$G$15,$M87-$A$15,CM$13)="",10^12,OFFSET(PLE!$G$15,$M87-$A$15,CM$13)))</f>
        <v>1000000000000</v>
      </c>
    </row>
    <row r="88" spans="1:91" s="696" customFormat="1" ht="51" x14ac:dyDescent="0.2">
      <c r="A88" s="694">
        <f t="shared" ca="1" si="45"/>
        <v>17</v>
      </c>
      <c r="B88" s="694" t="str">
        <f ca="1">OFFSET(ORÇAMENTO!C$15,$L88,0)</f>
        <v>S</v>
      </c>
      <c r="C88" s="694" t="str">
        <f ca="1">OFFSET(ORÇAMENTO!L$15,$L88,0)</f>
        <v>F</v>
      </c>
      <c r="D88" s="116" t="str">
        <f ca="1">OFFSET(ORÇAMENTO!N$15,$L88,0)</f>
        <v>Serviço</v>
      </c>
      <c r="E88" s="117" t="str">
        <f ca="1">OFFSET(ORÇAMENTO!O$15,$L88,0)</f>
        <v>1.14.2.</v>
      </c>
      <c r="F88" s="163" t="str">
        <f ca="1">OFFSET(ORÇAMENTO!R$15,$L88,0)</f>
        <v>CHAPISCO APLICADO NO TETO OU EM ALVENARIA E ESTRUTURA, COM ROLO PARA TEXTURA ACRÍLICA. ARGAMASSA TRAÇO 1:4 E EMULSÃO POLIMÉRICA (ADESIVO) COM PREPARO EM BETONEIRA 400L. AF_10/2022</v>
      </c>
      <c r="G88" s="164" t="str">
        <f ca="1">IF($D88&lt;&gt;"Serviço","",OFFSET(ORÇAMENTO!S$15,$L88,0))</f>
        <v>M2</v>
      </c>
      <c r="H88" s="122">
        <f t="array" aca="1" ref="H88" ca="1">IF($D88&lt;&gt;"Serviço",0,IF(ACOMPANHAMENTO="BM",ROUND(OFFSET(ORÇAMENTO!AJ$15,$L88,0),15-13*ORÇAMENTO!$AF$7),IF(IFERROR(CÁLCULO.FrentesPreenchidas,0)=0,0,SUM(ROUND(OFFSET($P88,0,1,1,CÁLCULO.FrentesPreenchidas),15-13*ORÇAMENTO!$AF$7)))))</f>
        <v>88</v>
      </c>
      <c r="I88" s="467" t="s">
        <v>1252</v>
      </c>
      <c r="J88" s="653" t="str">
        <f t="array" aca="1" ref="J88" ca="1">IF(OR(B88&lt;&gt;"S",CÁLCULO.FrentesPreenchidas=0),"",IF(AND(ACOMPANHAMENTO="PLE",AUTOEVENTO="Manual",OR(H88&gt;0,ORÇAMENTO!AC88="QUANT."),OR(K88="",M88=0,N88="")),"►E",IF(AND(ACOMPANHAMENTO="PLE",ORÇAMENTO!AC88="QUANT."),"►Q",IF(AND(ACOMPANHAMENTO="PLE",H88&lt;&gt;SUMPRODUCT(($Q$1:$AI$1=1)*ROUND(Q88:AI88,15))),"►S",IF(AND(COUNTIF($P$11:$AI$11,"▼")=0,H88&gt;0,I88=""),"◄M","")))))</f>
        <v/>
      </c>
      <c r="K88" s="654" t="s">
        <v>1408</v>
      </c>
      <c r="L88" s="165">
        <f t="shared" ca="1" si="46"/>
        <v>73</v>
      </c>
      <c r="M88" s="166">
        <f ca="1">IF($D88&lt;&gt;"Serviço","",
          IF(AUTOEVENTO="manual",$A88,
                IF(ISERROR(MATCH($A88,$A$15:OFFSET($A88,-1,0),0)),MAX($M$15:OFFSET(M88,-1,0))+1,
                      INDEX($M$15:OFFSET(M88,-1,0),MATCH($A88,$A$15:OFFSET($A88,-1,0),0)))))</f>
        <v>17</v>
      </c>
      <c r="N88" s="167" t="str">
        <f ca="1">IF($D88&lt;&gt;"Serviço","",
         IF(AUTOEVENTO="Manual",
                IF($A88=0,"&lt;-- defina o número do agrupador",
                       OFFSET(EVENTOS!$D$15,$A88-$A$15,0)),
                OFFSET($F$15,$A88,0)))</f>
        <v>REVESTIMENTOS INTERNOS DE TETO</v>
      </c>
      <c r="O88" s="168"/>
      <c r="Q88" s="169">
        <f>4.4*5</f>
        <v>22</v>
      </c>
      <c r="R88" s="169">
        <f t="shared" ref="R88:T88" si="54">4.4*5</f>
        <v>22</v>
      </c>
      <c r="S88" s="169">
        <f t="shared" si="54"/>
        <v>22</v>
      </c>
      <c r="T88" s="169">
        <f t="shared" si="54"/>
        <v>22</v>
      </c>
      <c r="U88" s="169"/>
      <c r="V88" s="169"/>
      <c r="W88" s="169"/>
      <c r="X88" s="169"/>
      <c r="Y88" s="169"/>
      <c r="Z88" s="170"/>
      <c r="AA88" s="169"/>
      <c r="AB88" s="169"/>
      <c r="AC88" s="169"/>
      <c r="AD88" s="169"/>
      <c r="AE88" s="169"/>
      <c r="AF88" s="169"/>
      <c r="AG88" s="169"/>
      <c r="AH88" s="170"/>
      <c r="AJ88" s="452">
        <f ca="1">IF(AND($D88="Serviço",AJ$12&lt;&gt;0,$H88&gt;0,OR(AUTOEVENTO&lt;&gt;"manual",$M88&lt;&gt;$A$15)),
        IF(Import.TipoArredondamento&lt;&gt;"TransfereGOV",
              ROUND(OFFSET($P88,0,AJ$13),15-13*ORÇAMENTO!$AF$7)/$H88*OFFSET(ORÇAMENTO!$X$15,ROW(AJ88)-ROW(AJ$15),0),
              ROUND(ROUND(OFFSET($P88,0,AJ$13),15-13*ORÇAMENTO!$AF$7)*OFFSET(ORÇAMENTO!$W$15,ROW(AJ88)-ROW(AJ$15),0),15-13*ORÇAMENTO!$AF$11)),
         0)</f>
        <v>151.13999999999999</v>
      </c>
      <c r="AK88" s="452">
        <f ca="1">IF(AND($D88="Serviço",AK$12&lt;&gt;0,$H88&gt;0,OR(AUTOEVENTO&lt;&gt;"manual",$M88&lt;&gt;$A$15)),
        IF(Import.TipoArredondamento&lt;&gt;"TransfereGOV",
              ROUND(OFFSET($P88,0,AK$13),15-13*ORÇAMENTO!$AF$7)/$H88*OFFSET(ORÇAMENTO!$X$15,ROW(AK88)-ROW(AK$15),0),
              ROUND(ROUND(OFFSET($P88,0,AK$13),15-13*ORÇAMENTO!$AF$7)*OFFSET(ORÇAMENTO!$W$15,ROW(AK88)-ROW(AK$15),0),15-13*ORÇAMENTO!$AF$11)),
         0)</f>
        <v>151.13999999999999</v>
      </c>
      <c r="AL88" s="452">
        <f ca="1">IF(AND($D88="Serviço",AL$12&lt;&gt;0,$H88&gt;0,OR(AUTOEVENTO&lt;&gt;"manual",$M88&lt;&gt;$A$15)),
        IF(Import.TipoArredondamento&lt;&gt;"TransfereGOV",
              ROUND(OFFSET($P88,0,AL$13),15-13*ORÇAMENTO!$AF$7)/$H88*OFFSET(ORÇAMENTO!$X$15,ROW(AL88)-ROW(AL$15),0),
              ROUND(ROUND(OFFSET($P88,0,AL$13),15-13*ORÇAMENTO!$AF$7)*OFFSET(ORÇAMENTO!$W$15,ROW(AL88)-ROW(AL$15),0),15-13*ORÇAMENTO!$AF$11)),
         0)</f>
        <v>151.13999999999999</v>
      </c>
      <c r="AM88" s="452">
        <f ca="1">IF(AND($D88="Serviço",AM$12&lt;&gt;0,$H88&gt;0,OR(AUTOEVENTO&lt;&gt;"manual",$M88&lt;&gt;$A$15)),
        IF(Import.TipoArredondamento&lt;&gt;"TransfereGOV",
              ROUND(OFFSET($P88,0,AM$13),15-13*ORÇAMENTO!$AF$7)/$H88*OFFSET(ORÇAMENTO!$X$15,ROW(AM88)-ROW(AM$15),0),
              ROUND(ROUND(OFFSET($P88,0,AM$13),15-13*ORÇAMENTO!$AF$7)*OFFSET(ORÇAMENTO!$W$15,ROW(AM88)-ROW(AM$15),0),15-13*ORÇAMENTO!$AF$11)),
         0)</f>
        <v>151.13999999999999</v>
      </c>
      <c r="AN88" s="452">
        <f ca="1">IF(AND($D88="Serviço",AN$12&lt;&gt;0,$H88&gt;0,OR(AUTOEVENTO&lt;&gt;"manual",$M88&lt;&gt;$A$15)),
        IF(Import.TipoArredondamento&lt;&gt;"TransfereGOV",
              ROUND(OFFSET($P88,0,AN$13),15-13*ORÇAMENTO!$AF$7)/$H88*OFFSET(ORÇAMENTO!$X$15,ROW(AN88)-ROW(AN$15),0),
              ROUND(ROUND(OFFSET($P88,0,AN$13),15-13*ORÇAMENTO!$AF$7)*OFFSET(ORÇAMENTO!$W$15,ROW(AN88)-ROW(AN$15),0),15-13*ORÇAMENTO!$AF$11)),
         0)</f>
        <v>0</v>
      </c>
      <c r="AO88" s="452">
        <f ca="1">IF(AND($D88="Serviço",AO$12&lt;&gt;0,$H88&gt;0,OR(AUTOEVENTO&lt;&gt;"manual",$M88&lt;&gt;$A$15)),
        IF(Import.TipoArredondamento&lt;&gt;"TransfereGOV",
              ROUND(OFFSET($P88,0,AO$13),15-13*ORÇAMENTO!$AF$7)/$H88*OFFSET(ORÇAMENTO!$X$15,ROW(AO88)-ROW(AO$15),0),
              ROUND(ROUND(OFFSET($P88,0,AO$13),15-13*ORÇAMENTO!$AF$7)*OFFSET(ORÇAMENTO!$W$15,ROW(AO88)-ROW(AO$15),0),15-13*ORÇAMENTO!$AF$11)),
         0)</f>
        <v>0</v>
      </c>
      <c r="AP88" s="452">
        <f ca="1">IF(AND($D88="Serviço",AP$12&lt;&gt;0,$H88&gt;0,OR(AUTOEVENTO&lt;&gt;"manual",$M88&lt;&gt;$A$15)),
        IF(Import.TipoArredondamento&lt;&gt;"TransfereGOV",
              ROUND(OFFSET($P88,0,AP$13),15-13*ORÇAMENTO!$AF$7)/$H88*OFFSET(ORÇAMENTO!$X$15,ROW(AP88)-ROW(AP$15),0),
              ROUND(ROUND(OFFSET($P88,0,AP$13),15-13*ORÇAMENTO!$AF$7)*OFFSET(ORÇAMENTO!$W$15,ROW(AP88)-ROW(AP$15),0),15-13*ORÇAMENTO!$AF$11)),
         0)</f>
        <v>0</v>
      </c>
      <c r="AQ88" s="452">
        <f ca="1">IF(AND($D88="Serviço",AQ$12&lt;&gt;0,$H88&gt;0,OR(AUTOEVENTO&lt;&gt;"manual",$M88&lt;&gt;$A$15)),
        IF(Import.TipoArredondamento&lt;&gt;"TransfereGOV",
              ROUND(OFFSET($P88,0,AQ$13),15-13*ORÇAMENTO!$AF$7)/$H88*OFFSET(ORÇAMENTO!$X$15,ROW(AQ88)-ROW(AQ$15),0),
              ROUND(ROUND(OFFSET($P88,0,AQ$13),15-13*ORÇAMENTO!$AF$7)*OFFSET(ORÇAMENTO!$W$15,ROW(AQ88)-ROW(AQ$15),0),15-13*ORÇAMENTO!$AF$11)),
         0)</f>
        <v>0</v>
      </c>
      <c r="AR88" s="452">
        <f ca="1">IF(AND($D88="Serviço",AR$12&lt;&gt;0,$H88&gt;0,OR(AUTOEVENTO&lt;&gt;"manual",$M88&lt;&gt;$A$15)),
        IF(Import.TipoArredondamento&lt;&gt;"TransfereGOV",
              ROUND(OFFSET($P88,0,AR$13),15-13*ORÇAMENTO!$AF$7)/$H88*OFFSET(ORÇAMENTO!$X$15,ROW(AR88)-ROW(AR$15),0),
              ROUND(ROUND(OFFSET($P88,0,AR$13),15-13*ORÇAMENTO!$AF$7)*OFFSET(ORÇAMENTO!$W$15,ROW(AR88)-ROW(AR$15),0),15-13*ORÇAMENTO!$AF$11)),
         0)</f>
        <v>0</v>
      </c>
      <c r="AS88" s="452">
        <f ca="1">IF(AND($D88="Serviço",AS$12&lt;&gt;0,$H88&gt;0,OR(AUTOEVENTO&lt;&gt;"manual",$M88&lt;&gt;$A$15)),
        IF(Import.TipoArredondamento&lt;&gt;"TransfereGOV",
              ROUND(OFFSET($P88,0,AS$13),15-13*ORÇAMENTO!$AF$7)/$H88*OFFSET(ORÇAMENTO!$X$15,ROW(AS88)-ROW(AS$15),0),
              ROUND(ROUND(OFFSET($P88,0,AS$13),15-13*ORÇAMENTO!$AF$7)*OFFSET(ORÇAMENTO!$W$15,ROW(AS88)-ROW(AS$15),0),15-13*ORÇAMENTO!$AF$11)),
         0)</f>
        <v>0</v>
      </c>
      <c r="AT88" s="452">
        <f ca="1">IF(AND($D88="Serviço",AT$12&lt;&gt;0,$H88&gt;0,OR(AUTOEVENTO&lt;&gt;"manual",$M88&lt;&gt;$A$15)),
        IF(Import.TipoArredondamento&lt;&gt;"TransfereGOV",
              ROUND(OFFSET($P88,0,AT$13),15-13*ORÇAMENTO!$AF$7)/$H88*OFFSET(ORÇAMENTO!$X$15,ROW(AT88)-ROW(AT$15),0),
              ROUND(ROUND(OFFSET($P88,0,AT$13),15-13*ORÇAMENTO!$AF$7)*OFFSET(ORÇAMENTO!$W$15,ROW(AT88)-ROW(AT$15),0),15-13*ORÇAMENTO!$AF$11)),
         0)</f>
        <v>0</v>
      </c>
      <c r="AU88" s="452">
        <f ca="1">IF(AND($D88="Serviço",AU$12&lt;&gt;0,$H88&gt;0,OR(AUTOEVENTO&lt;&gt;"manual",$M88&lt;&gt;$A$15)),
        IF(Import.TipoArredondamento&lt;&gt;"TransfereGOV",
              ROUND(OFFSET($P88,0,AU$13),15-13*ORÇAMENTO!$AF$7)/$H88*OFFSET(ORÇAMENTO!$X$15,ROW(AU88)-ROW(AU$15),0),
              ROUND(ROUND(OFFSET($P88,0,AU$13),15-13*ORÇAMENTO!$AF$7)*OFFSET(ORÇAMENTO!$W$15,ROW(AU88)-ROW(AU$15),0),15-13*ORÇAMENTO!$AF$11)),
         0)</f>
        <v>0</v>
      </c>
      <c r="AV88" s="452">
        <f ca="1">IF(AND($D88="Serviço",AV$12&lt;&gt;0,$H88&gt;0,OR(AUTOEVENTO&lt;&gt;"manual",$M88&lt;&gt;$A$15)),
        IF(Import.TipoArredondamento&lt;&gt;"TransfereGOV",
              ROUND(OFFSET($P88,0,AV$13),15-13*ORÇAMENTO!$AF$7)/$H88*OFFSET(ORÇAMENTO!$X$15,ROW(AV88)-ROW(AV$15),0),
              ROUND(ROUND(OFFSET($P88,0,AV$13),15-13*ORÇAMENTO!$AF$7)*OFFSET(ORÇAMENTO!$W$15,ROW(AV88)-ROW(AV$15),0),15-13*ORÇAMENTO!$AF$11)),
         0)</f>
        <v>0</v>
      </c>
      <c r="AW88" s="452">
        <f ca="1">IF(AND($D88="Serviço",AW$12&lt;&gt;0,$H88&gt;0,OR(AUTOEVENTO&lt;&gt;"manual",$M88&lt;&gt;$A$15)),
        IF(Import.TipoArredondamento&lt;&gt;"TransfereGOV",
              ROUND(OFFSET($P88,0,AW$13),15-13*ORÇAMENTO!$AF$7)/$H88*OFFSET(ORÇAMENTO!$X$15,ROW(AW88)-ROW(AW$15),0),
              ROUND(ROUND(OFFSET($P88,0,AW$13),15-13*ORÇAMENTO!$AF$7)*OFFSET(ORÇAMENTO!$W$15,ROW(AW88)-ROW(AW$15),0),15-13*ORÇAMENTO!$AF$11)),
         0)</f>
        <v>0</v>
      </c>
      <c r="AX88" s="452">
        <f ca="1">IF(AND($D88="Serviço",AX$12&lt;&gt;0,$H88&gt;0,OR(AUTOEVENTO&lt;&gt;"manual",$M88&lt;&gt;$A$15)),
        IF(Import.TipoArredondamento&lt;&gt;"TransfereGOV",
              ROUND(OFFSET($P88,0,AX$13),15-13*ORÇAMENTO!$AF$7)/$H88*OFFSET(ORÇAMENTO!$X$15,ROW(AX88)-ROW(AX$15),0),
              ROUND(ROUND(OFFSET($P88,0,AX$13),15-13*ORÇAMENTO!$AF$7)*OFFSET(ORÇAMENTO!$W$15,ROW(AX88)-ROW(AX$15),0),15-13*ORÇAMENTO!$AF$11)),
         0)</f>
        <v>0</v>
      </c>
      <c r="AY88" s="452">
        <f ca="1">IF(AND($D88="Serviço",AY$12&lt;&gt;0,$H88&gt;0,OR(AUTOEVENTO&lt;&gt;"manual",$M88&lt;&gt;$A$15)),
        IF(Import.TipoArredondamento&lt;&gt;"TransfereGOV",
              ROUND(OFFSET($P88,0,AY$13),15-13*ORÇAMENTO!$AF$7)/$H88*OFFSET(ORÇAMENTO!$X$15,ROW(AY88)-ROW(AY$15),0),
              ROUND(ROUND(OFFSET($P88,0,AY$13),15-13*ORÇAMENTO!$AF$7)*OFFSET(ORÇAMENTO!$W$15,ROW(AY88)-ROW(AY$15),0),15-13*ORÇAMENTO!$AF$11)),
         0)</f>
        <v>0</v>
      </c>
      <c r="AZ88" s="452">
        <f ca="1">IF(AND($D88="Serviço",AZ$12&lt;&gt;0,$H88&gt;0,OR(AUTOEVENTO&lt;&gt;"manual",$M88&lt;&gt;$A$15)),
        IF(Import.TipoArredondamento&lt;&gt;"TransfereGOV",
              ROUND(OFFSET($P88,0,AZ$13),15-13*ORÇAMENTO!$AF$7)/$H88*OFFSET(ORÇAMENTO!$X$15,ROW(AZ88)-ROW(AZ$15),0),
              ROUND(ROUND(OFFSET($P88,0,AZ$13),15-13*ORÇAMENTO!$AF$7)*OFFSET(ORÇAMENTO!$W$15,ROW(AZ88)-ROW(AZ$15),0),15-13*ORÇAMENTO!$AF$11)),
         0)</f>
        <v>0</v>
      </c>
      <c r="BA88" s="452">
        <f ca="1">IF(AND($D88="Serviço",BA$12&lt;&gt;0,$H88&gt;0,OR(AUTOEVENTO&lt;&gt;"manual",$M88&lt;&gt;$A$15)),
        IF(Import.TipoArredondamento&lt;&gt;"TransfereGOV",
              ROUND(OFFSET($P88,0,BA$13),15-13*ORÇAMENTO!$AF$7)/$H88*OFFSET(ORÇAMENTO!$X$15,ROW(BA88)-ROW(BA$15),0),
              ROUND(ROUND(OFFSET($P88,0,BA$13),15-13*ORÇAMENTO!$AF$7)*OFFSET(ORÇAMENTO!$W$15,ROW(BA88)-ROW(BA$15),0),15-13*ORÇAMENTO!$AF$11)),
         0)</f>
        <v>0</v>
      </c>
      <c r="BC88" s="171">
        <f ca="1">IF(OR($D88&lt;&gt;"Serviço",AND(AUTOEVENTO="Manual",$M88=$A$15)),0,
         IF(OFFSET(CRONOPLE!$F$15,$M88-$A$15,BC$13)=0,10^12,OFFSET(CRONOPLE!$F$15,$M88-$A$15,BC$13)))</f>
        <v>5</v>
      </c>
      <c r="BD88" s="171">
        <f ca="1">IF(OR($D88&lt;&gt;"Serviço",AND(AUTOEVENTO="Manual",$M88=$A$15)),0,
         IF(OFFSET(CRONOPLE!$F$15,$M88-$A$15,BD$13)=0,10^12,OFFSET(CRONOPLE!$F$15,$M88-$A$15,BD$13)))</f>
        <v>6</v>
      </c>
      <c r="BE88" s="171">
        <f ca="1">IF(OR($D88&lt;&gt;"Serviço",AND(AUTOEVENTO="Manual",$M88=$A$15)),0,
         IF(OFFSET(CRONOPLE!$F$15,$M88-$A$15,BE$13)=0,10^12,OFFSET(CRONOPLE!$F$15,$M88-$A$15,BE$13)))</f>
        <v>7</v>
      </c>
      <c r="BF88" s="171">
        <f ca="1">IF(OR($D88&lt;&gt;"Serviço",AND(AUTOEVENTO="Manual",$M88=$A$15)),0,
         IF(OFFSET(CRONOPLE!$F$15,$M88-$A$15,BF$13)=0,10^12,OFFSET(CRONOPLE!$F$15,$M88-$A$15,BF$13)))</f>
        <v>7</v>
      </c>
      <c r="BG88" s="171">
        <f ca="1">IF(OR($D88&lt;&gt;"Serviço",AND(AUTOEVENTO="Manual",$M88=$A$15)),0,
         IF(OFFSET(CRONOPLE!$F$15,$M88-$A$15,BG$13)=0,10^12,OFFSET(CRONOPLE!$F$15,$M88-$A$15,BG$13)))</f>
        <v>7</v>
      </c>
      <c r="BH88" s="171">
        <f ca="1">IF(OR($D88&lt;&gt;"Serviço",AND(AUTOEVENTO="Manual",$M88=$A$15)),0,
         IF(OFFSET(CRONOPLE!$F$15,$M88-$A$15,BH$13)=0,10^12,OFFSET(CRONOPLE!$F$15,$M88-$A$15,BH$13)))</f>
        <v>6</v>
      </c>
      <c r="BI88" s="171">
        <f ca="1">IF(OR($D88&lt;&gt;"Serviço",AND(AUTOEVENTO="Manual",$M88=$A$15)),0,
         IF(OFFSET(CRONOPLE!$F$15,$M88-$A$15,BI$13)=0,10^12,OFFSET(CRONOPLE!$F$15,$M88-$A$15,BI$13)))</f>
        <v>7</v>
      </c>
      <c r="BJ88" s="171">
        <f ca="1">IF(OR($D88&lt;&gt;"Serviço",AND(AUTOEVENTO="Manual",$M88=$A$15)),0,
         IF(OFFSET(CRONOPLE!$F$15,$M88-$A$15,BJ$13)=0,10^12,OFFSET(CRONOPLE!$F$15,$M88-$A$15,BJ$13)))</f>
        <v>8</v>
      </c>
      <c r="BK88" s="171">
        <f ca="1">IF(OR($D88&lt;&gt;"Serviço",AND(AUTOEVENTO="Manual",$M88=$A$15)),0,
         IF(OFFSET(CRONOPLE!$F$15,$M88-$A$15,BK$13)=0,10^12,OFFSET(CRONOPLE!$F$15,$M88-$A$15,BK$13)))</f>
        <v>1000000000000</v>
      </c>
      <c r="BL88" s="171">
        <f ca="1">IF(OR($D88&lt;&gt;"Serviço",AND(AUTOEVENTO="Manual",$M88=$A$15)),0,
         IF(OFFSET(CRONOPLE!$F$15,$M88-$A$15,BL$13)=0,10^12,OFFSET(CRONOPLE!$F$15,$M88-$A$15,BL$13)))</f>
        <v>1000000000000</v>
      </c>
      <c r="BM88" s="171">
        <f ca="1">IF(OR($D88&lt;&gt;"Serviço",AND(AUTOEVENTO="Manual",$M88=$A$15)),0,
         IF(OFFSET(CRONOPLE!$F$15,$M88-$A$15,BM$13)=0,10^12,OFFSET(CRONOPLE!$F$15,$M88-$A$15,BM$13)))</f>
        <v>1000000000000</v>
      </c>
      <c r="BN88" s="171">
        <f ca="1">IF(OR($D88&lt;&gt;"Serviço",AND(AUTOEVENTO="Manual",$M88=$A$15)),0,
         IF(OFFSET(CRONOPLE!$F$15,$M88-$A$15,BN$13)=0,10^12,OFFSET(CRONOPLE!$F$15,$M88-$A$15,BN$13)))</f>
        <v>1000000000000</v>
      </c>
      <c r="BO88" s="171">
        <f ca="1">IF(OR($D88&lt;&gt;"Serviço",AND(AUTOEVENTO="Manual",$M88=$A$15)),0,
         IF(OFFSET(CRONOPLE!$F$15,$M88-$A$15,BO$13)=0,10^12,OFFSET(CRONOPLE!$F$15,$M88-$A$15,BO$13)))</f>
        <v>1000000000000</v>
      </c>
      <c r="BP88" s="171">
        <f ca="1">IF(OR($D88&lt;&gt;"Serviço",AND(AUTOEVENTO="Manual",$M88=$A$15)),0,
         IF(OFFSET(CRONOPLE!$F$15,$M88-$A$15,BP$13)=0,10^12,OFFSET(CRONOPLE!$F$15,$M88-$A$15,BP$13)))</f>
        <v>1000000000000</v>
      </c>
      <c r="BQ88" s="171">
        <f ca="1">IF(OR($D88&lt;&gt;"Serviço",AND(AUTOEVENTO="Manual",$M88=$A$15)),0,
         IF(OFFSET(CRONOPLE!$F$15,$M88-$A$15,BQ$13)=0,10^12,OFFSET(CRONOPLE!$F$15,$M88-$A$15,BQ$13)))</f>
        <v>1000000000000</v>
      </c>
      <c r="BR88" s="171">
        <f ca="1">IF(OR($D88&lt;&gt;"Serviço",AND(AUTOEVENTO="Manual",$M88=$A$15)),0,
         IF(OFFSET(CRONOPLE!$F$15,$M88-$A$15,BR$13)=0,10^12,OFFSET(CRONOPLE!$F$15,$M88-$A$15,BR$13)))</f>
        <v>1000000000000</v>
      </c>
      <c r="BS88" s="171">
        <f ca="1">IF(OR($D88&lt;&gt;"Serviço",AND(AUTOEVENTO="Manual",$M88=$A$15)),0,
         IF(OFFSET(CRONOPLE!$F$15,$M88-$A$15,BS$13)=0,10^12,OFFSET(CRONOPLE!$F$15,$M88-$A$15,BS$13)))</f>
        <v>1000000000000</v>
      </c>
      <c r="BT88" s="171">
        <f ca="1">IF(OR($D88&lt;&gt;"Serviço",AND(AUTOEVENTO="Manual",$M88=$A$15)),0,
         IF(OFFSET(CRONOPLE!$F$15,$M88-$A$15,BT$13)=0,10^12,OFFSET(CRONOPLE!$F$15,$M88-$A$15,BT$13)))</f>
        <v>1000000000000</v>
      </c>
      <c r="BV88" s="172">
        <f t="array" aca="1" ref="BV88" ca="1">IF(OR($D88&lt;&gt;"Serviço",AND(AUTOEVENTO="Manual",$M88=$A$15),$M88&gt;(ROW(PLE.lastrow)-ROW(PLE.firstrow))),0,
           IF(OFFSET(PLE!$G$15,$M88-$A$15,BV$13)="",10^12,OFFSET(PLE!$G$15,$M88-$A$15,BV$13)))</f>
        <v>1000000000000</v>
      </c>
      <c r="BW88" s="172">
        <f t="array" aca="1" ref="BW88" ca="1">IF(OR($D88&lt;&gt;"Serviço",AND(AUTOEVENTO="Manual",$M88=$A$15),$M88&gt;(ROW(PLE.lastrow)-ROW(PLE.firstrow))),0,
           IF(OFFSET(PLE!$G$15,$M88-$A$15,BW$13)="",10^12,OFFSET(PLE!$G$15,$M88-$A$15,BW$13)))</f>
        <v>1000000000000</v>
      </c>
      <c r="BX88" s="172">
        <f t="array" aca="1" ref="BX88" ca="1">IF(OR($D88&lt;&gt;"Serviço",AND(AUTOEVENTO="Manual",$M88=$A$15),$M88&gt;(ROW(PLE.lastrow)-ROW(PLE.firstrow))),0,
           IF(OFFSET(PLE!$G$15,$M88-$A$15,BX$13)="",10^12,OFFSET(PLE!$G$15,$M88-$A$15,BX$13)))</f>
        <v>1000000000000</v>
      </c>
      <c r="BY88" s="172">
        <f t="array" aca="1" ref="BY88" ca="1">IF(OR($D88&lt;&gt;"Serviço",AND(AUTOEVENTO="Manual",$M88=$A$15),$M88&gt;(ROW(PLE.lastrow)-ROW(PLE.firstrow))),0,
           IF(OFFSET(PLE!$G$15,$M88-$A$15,BY$13)="",10^12,OFFSET(PLE!$G$15,$M88-$A$15,BY$13)))</f>
        <v>1000000000000</v>
      </c>
      <c r="BZ88" s="172">
        <f t="array" aca="1" ref="BZ88" ca="1">IF(OR($D88&lt;&gt;"Serviço",AND(AUTOEVENTO="Manual",$M88=$A$15),$M88&gt;(ROW(PLE.lastrow)-ROW(PLE.firstrow))),0,
           IF(OFFSET(PLE!$G$15,$M88-$A$15,BZ$13)="",10^12,OFFSET(PLE!$G$15,$M88-$A$15,BZ$13)))</f>
        <v>1000000000000</v>
      </c>
      <c r="CA88" s="172">
        <f t="array" aca="1" ref="CA88" ca="1">IF(OR($D88&lt;&gt;"Serviço",AND(AUTOEVENTO="Manual",$M88=$A$15),$M88&gt;(ROW(PLE.lastrow)-ROW(PLE.firstrow))),0,
           IF(OFFSET(PLE!$G$15,$M88-$A$15,CA$13)="",10^12,OFFSET(PLE!$G$15,$M88-$A$15,CA$13)))</f>
        <v>1000000000000</v>
      </c>
      <c r="CB88" s="172">
        <f t="array" aca="1" ref="CB88" ca="1">IF(OR($D88&lt;&gt;"Serviço",AND(AUTOEVENTO="Manual",$M88=$A$15),$M88&gt;(ROW(PLE.lastrow)-ROW(PLE.firstrow))),0,
           IF(OFFSET(PLE!$G$15,$M88-$A$15,CB$13)="",10^12,OFFSET(PLE!$G$15,$M88-$A$15,CB$13)))</f>
        <v>1000000000000</v>
      </c>
      <c r="CC88" s="172">
        <f t="array" aca="1" ref="CC88" ca="1">IF(OR($D88&lt;&gt;"Serviço",AND(AUTOEVENTO="Manual",$M88=$A$15),$M88&gt;(ROW(PLE.lastrow)-ROW(PLE.firstrow))),0,
           IF(OFFSET(PLE!$G$15,$M88-$A$15,CC$13)="",10^12,OFFSET(PLE!$G$15,$M88-$A$15,CC$13)))</f>
        <v>1000000000000</v>
      </c>
      <c r="CD88" s="172">
        <f t="array" aca="1" ref="CD88" ca="1">IF(OR($D88&lt;&gt;"Serviço",AND(AUTOEVENTO="Manual",$M88=$A$15),$M88&gt;(ROW(PLE.lastrow)-ROW(PLE.firstrow))),0,
           IF(OFFSET(PLE!$G$15,$M88-$A$15,CD$13)="",10^12,OFFSET(PLE!$G$15,$M88-$A$15,CD$13)))</f>
        <v>1000000000000</v>
      </c>
      <c r="CE88" s="172">
        <f t="array" aca="1" ref="CE88" ca="1">IF(OR($D88&lt;&gt;"Serviço",AND(AUTOEVENTO="Manual",$M88=$A$15),$M88&gt;(ROW(PLE.lastrow)-ROW(PLE.firstrow))),0,
           IF(OFFSET(PLE!$G$15,$M88-$A$15,CE$13)="",10^12,OFFSET(PLE!$G$15,$M88-$A$15,CE$13)))</f>
        <v>1000000000000</v>
      </c>
      <c r="CF88" s="172">
        <f t="array" aca="1" ref="CF88" ca="1">IF(OR($D88&lt;&gt;"Serviço",AND(AUTOEVENTO="Manual",$M88=$A$15),$M88&gt;(ROW(PLE.lastrow)-ROW(PLE.firstrow))),0,
           IF(OFFSET(PLE!$G$15,$M88-$A$15,CF$13)="",10^12,OFFSET(PLE!$G$15,$M88-$A$15,CF$13)))</f>
        <v>1000000000000</v>
      </c>
      <c r="CG88" s="172">
        <f t="array" aca="1" ref="CG88" ca="1">IF(OR($D88&lt;&gt;"Serviço",AND(AUTOEVENTO="Manual",$M88=$A$15),$M88&gt;(ROW(PLE.lastrow)-ROW(PLE.firstrow))),0,
           IF(OFFSET(PLE!$G$15,$M88-$A$15,CG$13)="",10^12,OFFSET(PLE!$G$15,$M88-$A$15,CG$13)))</f>
        <v>1000000000000</v>
      </c>
      <c r="CH88" s="172">
        <f t="array" aca="1" ref="CH88" ca="1">IF(OR($D88&lt;&gt;"Serviço",AND(AUTOEVENTO="Manual",$M88=$A$15),$M88&gt;(ROW(PLE.lastrow)-ROW(PLE.firstrow))),0,
           IF(OFFSET(PLE!$G$15,$M88-$A$15,CH$13)="",10^12,OFFSET(PLE!$G$15,$M88-$A$15,CH$13)))</f>
        <v>1000000000000</v>
      </c>
      <c r="CI88" s="172">
        <f t="array" aca="1" ref="CI88" ca="1">IF(OR($D88&lt;&gt;"Serviço",AND(AUTOEVENTO="Manual",$M88=$A$15),$M88&gt;(ROW(PLE.lastrow)-ROW(PLE.firstrow))),0,
           IF(OFFSET(PLE!$G$15,$M88-$A$15,CI$13)="",10^12,OFFSET(PLE!$G$15,$M88-$A$15,CI$13)))</f>
        <v>1000000000000</v>
      </c>
      <c r="CJ88" s="172">
        <f t="array" aca="1" ref="CJ88" ca="1">IF(OR($D88&lt;&gt;"Serviço",AND(AUTOEVENTO="Manual",$M88=$A$15),$M88&gt;(ROW(PLE.lastrow)-ROW(PLE.firstrow))),0,
           IF(OFFSET(PLE!$G$15,$M88-$A$15,CJ$13)="",10^12,OFFSET(PLE!$G$15,$M88-$A$15,CJ$13)))</f>
        <v>1000000000000</v>
      </c>
      <c r="CK88" s="172">
        <f t="array" aca="1" ref="CK88" ca="1">IF(OR($D88&lt;&gt;"Serviço",AND(AUTOEVENTO="Manual",$M88=$A$15),$M88&gt;(ROW(PLE.lastrow)-ROW(PLE.firstrow))),0,
           IF(OFFSET(PLE!$G$15,$M88-$A$15,CK$13)="",10^12,OFFSET(PLE!$G$15,$M88-$A$15,CK$13)))</f>
        <v>1000000000000</v>
      </c>
      <c r="CL88" s="172">
        <f t="array" aca="1" ref="CL88" ca="1">IF(OR($D88&lt;&gt;"Serviço",AND(AUTOEVENTO="Manual",$M88=$A$15),$M88&gt;(ROW(PLE.lastrow)-ROW(PLE.firstrow))),0,
           IF(OFFSET(PLE!$G$15,$M88-$A$15,CL$13)="",10^12,OFFSET(PLE!$G$15,$M88-$A$15,CL$13)))</f>
        <v>1000000000000</v>
      </c>
      <c r="CM88" s="172">
        <f t="array" aca="1" ref="CM88" ca="1">IF(OR($D88&lt;&gt;"Serviço",AND(AUTOEVENTO="Manual",$M88=$A$15),$M88&gt;(ROW(PLE.lastrow)-ROW(PLE.firstrow))),0,
           IF(OFFSET(PLE!$G$15,$M88-$A$15,CM$13)="",10^12,OFFSET(PLE!$G$15,$M88-$A$15,CM$13)))</f>
        <v>1000000000000</v>
      </c>
    </row>
    <row r="89" spans="1:91" s="696" customFormat="1" ht="51" x14ac:dyDescent="0.2">
      <c r="A89" s="694">
        <f t="shared" ca="1" si="45"/>
        <v>16</v>
      </c>
      <c r="B89" s="694" t="str">
        <f ca="1">OFFSET(ORÇAMENTO!C$15,$L89,0)</f>
        <v>S</v>
      </c>
      <c r="C89" s="694" t="str">
        <f ca="1">OFFSET(ORÇAMENTO!L$15,$L89,0)</f>
        <v>F</v>
      </c>
      <c r="D89" s="116" t="str">
        <f ca="1">OFFSET(ORÇAMENTO!N$15,$L89,0)</f>
        <v>Serviço</v>
      </c>
      <c r="E89" s="117" t="str">
        <f ca="1">OFFSET(ORÇAMENTO!O$15,$L89,0)</f>
        <v>1.14.3.</v>
      </c>
      <c r="F89" s="163" t="str">
        <f ca="1">OFFSET(ORÇAMENTO!R$15,$L89,0)</f>
        <v>EMBOÇO, EM ARGAMASSA TRAÇO 1:2:8, PREPARO MECÂNICO, APLICADO MANUALMENTE EM PAREDES INTERNAS, PARA AMBIENTES COM ÁREA MENOR QUE 5M², E = 10MM, COM TALISCAS. AF_03/2024</v>
      </c>
      <c r="G89" s="164" t="str">
        <f ca="1">IF($D89&lt;&gt;"Serviço","",OFFSET(ORÇAMENTO!S$15,$L89,0))</f>
        <v>M2</v>
      </c>
      <c r="H89" s="122">
        <f t="array" aca="1" ref="H89" ca="1">IF($D89&lt;&gt;"Serviço",0,IF(ACOMPANHAMENTO="BM",ROUND(OFFSET(ORÇAMENTO!AJ$15,$L89,0),15-13*ORÇAMENTO!$AF$7),IF(IFERROR(CÁLCULO.FrentesPreenchidas,0)=0,0,SUM(ROUND(OFFSET($P89,0,1,1,CÁLCULO.FrentesPreenchidas),15-13*ORÇAMENTO!$AF$7)))))</f>
        <v>93.96</v>
      </c>
      <c r="I89" s="467" t="s">
        <v>1254</v>
      </c>
      <c r="J89" s="653" t="str">
        <f t="array" aca="1" ref="J89" ca="1">IF(OR(B89&lt;&gt;"S",CÁLCULO.FrentesPreenchidas=0),"",IF(AND(ACOMPANHAMENTO="PLE",AUTOEVENTO="Manual",OR(H89&gt;0,ORÇAMENTO!AC89="QUANT."),OR(K89="",M89=0,N89="")),"►E",IF(AND(ACOMPANHAMENTO="PLE",ORÇAMENTO!AC89="QUANT."),"►Q",IF(AND(ACOMPANHAMENTO="PLE",H89&lt;&gt;SUMPRODUCT(($Q$1:$AI$1=1)*ROUND(Q89:AI89,15))),"►S",IF(AND(COUNTIF($P$11:$AI$11,"▼")=0,H89&gt;0,I89=""),"◄M","")))))</f>
        <v/>
      </c>
      <c r="K89" s="654" t="s">
        <v>1409</v>
      </c>
      <c r="L89" s="165">
        <f t="shared" ca="1" si="46"/>
        <v>74</v>
      </c>
      <c r="M89" s="166">
        <f ca="1">IF($D89&lt;&gt;"Serviço","",
          IF(AUTOEVENTO="manual",$A89,
                IF(ISERROR(MATCH($A89,$A$15:OFFSET($A89,-1,0),0)),MAX($M$15:OFFSET(M89,-1,0))+1,
                      INDEX($M$15:OFFSET(M89,-1,0),MATCH($A89,$A$15:OFFSET($A89,-1,0),0)))))</f>
        <v>16</v>
      </c>
      <c r="N89" s="167" t="str">
        <f ca="1">IF($D89&lt;&gt;"Serviço","",
         IF(AUTOEVENTO="Manual",
                IF($A89=0,"&lt;-- defina o número do agrupador",
                       OFFSET(EVENTOS!$D$15,$A89-$A$15,0)),
                OFFSET($F$15,$A89,0)))</f>
        <v>REVESTIMENTOS INTERNOS DE PAREDES</v>
      </c>
      <c r="O89" s="168"/>
      <c r="Q89" s="169">
        <f>23.49</f>
        <v>23.49</v>
      </c>
      <c r="R89" s="169">
        <f t="shared" ref="R89:T89" si="55">23.49</f>
        <v>23.49</v>
      </c>
      <c r="S89" s="169">
        <f t="shared" si="55"/>
        <v>23.49</v>
      </c>
      <c r="T89" s="169">
        <f t="shared" si="55"/>
        <v>23.49</v>
      </c>
      <c r="U89" s="169"/>
      <c r="V89" s="169"/>
      <c r="W89" s="169"/>
      <c r="X89" s="169"/>
      <c r="Y89" s="169"/>
      <c r="Z89" s="170"/>
      <c r="AA89" s="169"/>
      <c r="AB89" s="169"/>
      <c r="AC89" s="169"/>
      <c r="AD89" s="169"/>
      <c r="AE89" s="169"/>
      <c r="AF89" s="169"/>
      <c r="AG89" s="169"/>
      <c r="AH89" s="170"/>
      <c r="AJ89" s="452">
        <f ca="1">IF(AND($D89="Serviço",AJ$12&lt;&gt;0,$H89&gt;0,OR(AUTOEVENTO&lt;&gt;"manual",$M89&lt;&gt;$A$15)),
        IF(Import.TipoArredondamento&lt;&gt;"TransfereGOV",
              ROUND(OFFSET($P89,0,AJ$13),15-13*ORÇAMENTO!$AF$7)/$H89*OFFSET(ORÇAMENTO!$X$15,ROW(AJ89)-ROW(AJ$15),0),
              ROUND(ROUND(OFFSET($P89,0,AJ$13),15-13*ORÇAMENTO!$AF$7)*OFFSET(ORÇAMENTO!$W$15,ROW(AJ89)-ROW(AJ$15),0),15-13*ORÇAMENTO!$AF$11)),
         0)</f>
        <v>868.19</v>
      </c>
      <c r="AK89" s="452">
        <f ca="1">IF(AND($D89="Serviço",AK$12&lt;&gt;0,$H89&gt;0,OR(AUTOEVENTO&lt;&gt;"manual",$M89&lt;&gt;$A$15)),
        IF(Import.TipoArredondamento&lt;&gt;"TransfereGOV",
              ROUND(OFFSET($P89,0,AK$13),15-13*ORÇAMENTO!$AF$7)/$H89*OFFSET(ORÇAMENTO!$X$15,ROW(AK89)-ROW(AK$15),0),
              ROUND(ROUND(OFFSET($P89,0,AK$13),15-13*ORÇAMENTO!$AF$7)*OFFSET(ORÇAMENTO!$W$15,ROW(AK89)-ROW(AK$15),0),15-13*ORÇAMENTO!$AF$11)),
         0)</f>
        <v>868.19</v>
      </c>
      <c r="AL89" s="452">
        <f ca="1">IF(AND($D89="Serviço",AL$12&lt;&gt;0,$H89&gt;0,OR(AUTOEVENTO&lt;&gt;"manual",$M89&lt;&gt;$A$15)),
        IF(Import.TipoArredondamento&lt;&gt;"TransfereGOV",
              ROUND(OFFSET($P89,0,AL$13),15-13*ORÇAMENTO!$AF$7)/$H89*OFFSET(ORÇAMENTO!$X$15,ROW(AL89)-ROW(AL$15),0),
              ROUND(ROUND(OFFSET($P89,0,AL$13),15-13*ORÇAMENTO!$AF$7)*OFFSET(ORÇAMENTO!$W$15,ROW(AL89)-ROW(AL$15),0),15-13*ORÇAMENTO!$AF$11)),
         0)</f>
        <v>868.19</v>
      </c>
      <c r="AM89" s="452">
        <f ca="1">IF(AND($D89="Serviço",AM$12&lt;&gt;0,$H89&gt;0,OR(AUTOEVENTO&lt;&gt;"manual",$M89&lt;&gt;$A$15)),
        IF(Import.TipoArredondamento&lt;&gt;"TransfereGOV",
              ROUND(OFFSET($P89,0,AM$13),15-13*ORÇAMENTO!$AF$7)/$H89*OFFSET(ORÇAMENTO!$X$15,ROW(AM89)-ROW(AM$15),0),
              ROUND(ROUND(OFFSET($P89,0,AM$13),15-13*ORÇAMENTO!$AF$7)*OFFSET(ORÇAMENTO!$W$15,ROW(AM89)-ROW(AM$15),0),15-13*ORÇAMENTO!$AF$11)),
         0)</f>
        <v>868.19</v>
      </c>
      <c r="AN89" s="452">
        <f ca="1">IF(AND($D89="Serviço",AN$12&lt;&gt;0,$H89&gt;0,OR(AUTOEVENTO&lt;&gt;"manual",$M89&lt;&gt;$A$15)),
        IF(Import.TipoArredondamento&lt;&gt;"TransfereGOV",
              ROUND(OFFSET($P89,0,AN$13),15-13*ORÇAMENTO!$AF$7)/$H89*OFFSET(ORÇAMENTO!$X$15,ROW(AN89)-ROW(AN$15),0),
              ROUND(ROUND(OFFSET($P89,0,AN$13),15-13*ORÇAMENTO!$AF$7)*OFFSET(ORÇAMENTO!$W$15,ROW(AN89)-ROW(AN$15),0),15-13*ORÇAMENTO!$AF$11)),
         0)</f>
        <v>0</v>
      </c>
      <c r="AO89" s="452">
        <f ca="1">IF(AND($D89="Serviço",AO$12&lt;&gt;0,$H89&gt;0,OR(AUTOEVENTO&lt;&gt;"manual",$M89&lt;&gt;$A$15)),
        IF(Import.TipoArredondamento&lt;&gt;"TransfereGOV",
              ROUND(OFFSET($P89,0,AO$13),15-13*ORÇAMENTO!$AF$7)/$H89*OFFSET(ORÇAMENTO!$X$15,ROW(AO89)-ROW(AO$15),0),
              ROUND(ROUND(OFFSET($P89,0,AO$13),15-13*ORÇAMENTO!$AF$7)*OFFSET(ORÇAMENTO!$W$15,ROW(AO89)-ROW(AO$15),0),15-13*ORÇAMENTO!$AF$11)),
         0)</f>
        <v>0</v>
      </c>
      <c r="AP89" s="452">
        <f ca="1">IF(AND($D89="Serviço",AP$12&lt;&gt;0,$H89&gt;0,OR(AUTOEVENTO&lt;&gt;"manual",$M89&lt;&gt;$A$15)),
        IF(Import.TipoArredondamento&lt;&gt;"TransfereGOV",
              ROUND(OFFSET($P89,0,AP$13),15-13*ORÇAMENTO!$AF$7)/$H89*OFFSET(ORÇAMENTO!$X$15,ROW(AP89)-ROW(AP$15),0),
              ROUND(ROUND(OFFSET($P89,0,AP$13),15-13*ORÇAMENTO!$AF$7)*OFFSET(ORÇAMENTO!$W$15,ROW(AP89)-ROW(AP$15),0),15-13*ORÇAMENTO!$AF$11)),
         0)</f>
        <v>0</v>
      </c>
      <c r="AQ89" s="452">
        <f ca="1">IF(AND($D89="Serviço",AQ$12&lt;&gt;0,$H89&gt;0,OR(AUTOEVENTO&lt;&gt;"manual",$M89&lt;&gt;$A$15)),
        IF(Import.TipoArredondamento&lt;&gt;"TransfereGOV",
              ROUND(OFFSET($P89,0,AQ$13),15-13*ORÇAMENTO!$AF$7)/$H89*OFFSET(ORÇAMENTO!$X$15,ROW(AQ89)-ROW(AQ$15),0),
              ROUND(ROUND(OFFSET($P89,0,AQ$13),15-13*ORÇAMENTO!$AF$7)*OFFSET(ORÇAMENTO!$W$15,ROW(AQ89)-ROW(AQ$15),0),15-13*ORÇAMENTO!$AF$11)),
         0)</f>
        <v>0</v>
      </c>
      <c r="AR89" s="452">
        <f ca="1">IF(AND($D89="Serviço",AR$12&lt;&gt;0,$H89&gt;0,OR(AUTOEVENTO&lt;&gt;"manual",$M89&lt;&gt;$A$15)),
        IF(Import.TipoArredondamento&lt;&gt;"TransfereGOV",
              ROUND(OFFSET($P89,0,AR$13),15-13*ORÇAMENTO!$AF$7)/$H89*OFFSET(ORÇAMENTO!$X$15,ROW(AR89)-ROW(AR$15),0),
              ROUND(ROUND(OFFSET($P89,0,AR$13),15-13*ORÇAMENTO!$AF$7)*OFFSET(ORÇAMENTO!$W$15,ROW(AR89)-ROW(AR$15),0),15-13*ORÇAMENTO!$AF$11)),
         0)</f>
        <v>0</v>
      </c>
      <c r="AS89" s="452">
        <f ca="1">IF(AND($D89="Serviço",AS$12&lt;&gt;0,$H89&gt;0,OR(AUTOEVENTO&lt;&gt;"manual",$M89&lt;&gt;$A$15)),
        IF(Import.TipoArredondamento&lt;&gt;"TransfereGOV",
              ROUND(OFFSET($P89,0,AS$13),15-13*ORÇAMENTO!$AF$7)/$H89*OFFSET(ORÇAMENTO!$X$15,ROW(AS89)-ROW(AS$15),0),
              ROUND(ROUND(OFFSET($P89,0,AS$13),15-13*ORÇAMENTO!$AF$7)*OFFSET(ORÇAMENTO!$W$15,ROW(AS89)-ROW(AS$15),0),15-13*ORÇAMENTO!$AF$11)),
         0)</f>
        <v>0</v>
      </c>
      <c r="AT89" s="452">
        <f ca="1">IF(AND($D89="Serviço",AT$12&lt;&gt;0,$H89&gt;0,OR(AUTOEVENTO&lt;&gt;"manual",$M89&lt;&gt;$A$15)),
        IF(Import.TipoArredondamento&lt;&gt;"TransfereGOV",
              ROUND(OFFSET($P89,0,AT$13),15-13*ORÇAMENTO!$AF$7)/$H89*OFFSET(ORÇAMENTO!$X$15,ROW(AT89)-ROW(AT$15),0),
              ROUND(ROUND(OFFSET($P89,0,AT$13),15-13*ORÇAMENTO!$AF$7)*OFFSET(ORÇAMENTO!$W$15,ROW(AT89)-ROW(AT$15),0),15-13*ORÇAMENTO!$AF$11)),
         0)</f>
        <v>0</v>
      </c>
      <c r="AU89" s="452">
        <f ca="1">IF(AND($D89="Serviço",AU$12&lt;&gt;0,$H89&gt;0,OR(AUTOEVENTO&lt;&gt;"manual",$M89&lt;&gt;$A$15)),
        IF(Import.TipoArredondamento&lt;&gt;"TransfereGOV",
              ROUND(OFFSET($P89,0,AU$13),15-13*ORÇAMENTO!$AF$7)/$H89*OFFSET(ORÇAMENTO!$X$15,ROW(AU89)-ROW(AU$15),0),
              ROUND(ROUND(OFFSET($P89,0,AU$13),15-13*ORÇAMENTO!$AF$7)*OFFSET(ORÇAMENTO!$W$15,ROW(AU89)-ROW(AU$15),0),15-13*ORÇAMENTO!$AF$11)),
         0)</f>
        <v>0</v>
      </c>
      <c r="AV89" s="452">
        <f ca="1">IF(AND($D89="Serviço",AV$12&lt;&gt;0,$H89&gt;0,OR(AUTOEVENTO&lt;&gt;"manual",$M89&lt;&gt;$A$15)),
        IF(Import.TipoArredondamento&lt;&gt;"TransfereGOV",
              ROUND(OFFSET($P89,0,AV$13),15-13*ORÇAMENTO!$AF$7)/$H89*OFFSET(ORÇAMENTO!$X$15,ROW(AV89)-ROW(AV$15),0),
              ROUND(ROUND(OFFSET($P89,0,AV$13),15-13*ORÇAMENTO!$AF$7)*OFFSET(ORÇAMENTO!$W$15,ROW(AV89)-ROW(AV$15),0),15-13*ORÇAMENTO!$AF$11)),
         0)</f>
        <v>0</v>
      </c>
      <c r="AW89" s="452">
        <f ca="1">IF(AND($D89="Serviço",AW$12&lt;&gt;0,$H89&gt;0,OR(AUTOEVENTO&lt;&gt;"manual",$M89&lt;&gt;$A$15)),
        IF(Import.TipoArredondamento&lt;&gt;"TransfereGOV",
              ROUND(OFFSET($P89,0,AW$13),15-13*ORÇAMENTO!$AF$7)/$H89*OFFSET(ORÇAMENTO!$X$15,ROW(AW89)-ROW(AW$15),0),
              ROUND(ROUND(OFFSET($P89,0,AW$13),15-13*ORÇAMENTO!$AF$7)*OFFSET(ORÇAMENTO!$W$15,ROW(AW89)-ROW(AW$15),0),15-13*ORÇAMENTO!$AF$11)),
         0)</f>
        <v>0</v>
      </c>
      <c r="AX89" s="452">
        <f ca="1">IF(AND($D89="Serviço",AX$12&lt;&gt;0,$H89&gt;0,OR(AUTOEVENTO&lt;&gt;"manual",$M89&lt;&gt;$A$15)),
        IF(Import.TipoArredondamento&lt;&gt;"TransfereGOV",
              ROUND(OFFSET($P89,0,AX$13),15-13*ORÇAMENTO!$AF$7)/$H89*OFFSET(ORÇAMENTO!$X$15,ROW(AX89)-ROW(AX$15),0),
              ROUND(ROUND(OFFSET($P89,0,AX$13),15-13*ORÇAMENTO!$AF$7)*OFFSET(ORÇAMENTO!$W$15,ROW(AX89)-ROW(AX$15),0),15-13*ORÇAMENTO!$AF$11)),
         0)</f>
        <v>0</v>
      </c>
      <c r="AY89" s="452">
        <f ca="1">IF(AND($D89="Serviço",AY$12&lt;&gt;0,$H89&gt;0,OR(AUTOEVENTO&lt;&gt;"manual",$M89&lt;&gt;$A$15)),
        IF(Import.TipoArredondamento&lt;&gt;"TransfereGOV",
              ROUND(OFFSET($P89,0,AY$13),15-13*ORÇAMENTO!$AF$7)/$H89*OFFSET(ORÇAMENTO!$X$15,ROW(AY89)-ROW(AY$15),0),
              ROUND(ROUND(OFFSET($P89,0,AY$13),15-13*ORÇAMENTO!$AF$7)*OFFSET(ORÇAMENTO!$W$15,ROW(AY89)-ROW(AY$15),0),15-13*ORÇAMENTO!$AF$11)),
         0)</f>
        <v>0</v>
      </c>
      <c r="AZ89" s="452">
        <f ca="1">IF(AND($D89="Serviço",AZ$12&lt;&gt;0,$H89&gt;0,OR(AUTOEVENTO&lt;&gt;"manual",$M89&lt;&gt;$A$15)),
        IF(Import.TipoArredondamento&lt;&gt;"TransfereGOV",
              ROUND(OFFSET($P89,0,AZ$13),15-13*ORÇAMENTO!$AF$7)/$H89*OFFSET(ORÇAMENTO!$X$15,ROW(AZ89)-ROW(AZ$15),0),
              ROUND(ROUND(OFFSET($P89,0,AZ$13),15-13*ORÇAMENTO!$AF$7)*OFFSET(ORÇAMENTO!$W$15,ROW(AZ89)-ROW(AZ$15),0),15-13*ORÇAMENTO!$AF$11)),
         0)</f>
        <v>0</v>
      </c>
      <c r="BA89" s="452">
        <f ca="1">IF(AND($D89="Serviço",BA$12&lt;&gt;0,$H89&gt;0,OR(AUTOEVENTO&lt;&gt;"manual",$M89&lt;&gt;$A$15)),
        IF(Import.TipoArredondamento&lt;&gt;"TransfereGOV",
              ROUND(OFFSET($P89,0,BA$13),15-13*ORÇAMENTO!$AF$7)/$H89*OFFSET(ORÇAMENTO!$X$15,ROW(BA89)-ROW(BA$15),0),
              ROUND(ROUND(OFFSET($P89,0,BA$13),15-13*ORÇAMENTO!$AF$7)*OFFSET(ORÇAMENTO!$W$15,ROW(BA89)-ROW(BA$15),0),15-13*ORÇAMENTO!$AF$11)),
         0)</f>
        <v>0</v>
      </c>
      <c r="BC89" s="171">
        <f ca="1">IF(OR($D89&lt;&gt;"Serviço",AND(AUTOEVENTO="Manual",$M89=$A$15)),0,
         IF(OFFSET(CRONOPLE!$F$15,$M89-$A$15,BC$13)=0,10^12,OFFSET(CRONOPLE!$F$15,$M89-$A$15,BC$13)))</f>
        <v>5</v>
      </c>
      <c r="BD89" s="171">
        <f ca="1">IF(OR($D89&lt;&gt;"Serviço",AND(AUTOEVENTO="Manual",$M89=$A$15)),0,
         IF(OFFSET(CRONOPLE!$F$15,$M89-$A$15,BD$13)=0,10^12,OFFSET(CRONOPLE!$F$15,$M89-$A$15,BD$13)))</f>
        <v>5</v>
      </c>
      <c r="BE89" s="171">
        <f ca="1">IF(OR($D89&lt;&gt;"Serviço",AND(AUTOEVENTO="Manual",$M89=$A$15)),0,
         IF(OFFSET(CRONOPLE!$F$15,$M89-$A$15,BE$13)=0,10^12,OFFSET(CRONOPLE!$F$15,$M89-$A$15,BE$13)))</f>
        <v>7</v>
      </c>
      <c r="BF89" s="171">
        <f ca="1">IF(OR($D89&lt;&gt;"Serviço",AND(AUTOEVENTO="Manual",$M89=$A$15)),0,
         IF(OFFSET(CRONOPLE!$F$15,$M89-$A$15,BF$13)=0,10^12,OFFSET(CRONOPLE!$F$15,$M89-$A$15,BF$13)))</f>
        <v>7</v>
      </c>
      <c r="BG89" s="171">
        <f ca="1">IF(OR($D89&lt;&gt;"Serviço",AND(AUTOEVENTO="Manual",$M89=$A$15)),0,
         IF(OFFSET(CRONOPLE!$F$15,$M89-$A$15,BG$13)=0,10^12,OFFSET(CRONOPLE!$F$15,$M89-$A$15,BG$13)))</f>
        <v>7</v>
      </c>
      <c r="BH89" s="171">
        <f ca="1">IF(OR($D89&lt;&gt;"Serviço",AND(AUTOEVENTO="Manual",$M89=$A$15)),0,
         IF(OFFSET(CRONOPLE!$F$15,$M89-$A$15,BH$13)=0,10^12,OFFSET(CRONOPLE!$F$15,$M89-$A$15,BH$13)))</f>
        <v>1000000000000</v>
      </c>
      <c r="BI89" s="171">
        <f ca="1">IF(OR($D89&lt;&gt;"Serviço",AND(AUTOEVENTO="Manual",$M89=$A$15)),0,
         IF(OFFSET(CRONOPLE!$F$15,$M89-$A$15,BI$13)=0,10^12,OFFSET(CRONOPLE!$F$15,$M89-$A$15,BI$13)))</f>
        <v>7</v>
      </c>
      <c r="BJ89" s="171">
        <f ca="1">IF(OR($D89&lt;&gt;"Serviço",AND(AUTOEVENTO="Manual",$M89=$A$15)),0,
         IF(OFFSET(CRONOPLE!$F$15,$M89-$A$15,BJ$13)=0,10^12,OFFSET(CRONOPLE!$F$15,$M89-$A$15,BJ$13)))</f>
        <v>8</v>
      </c>
      <c r="BK89" s="171">
        <f ca="1">IF(OR($D89&lt;&gt;"Serviço",AND(AUTOEVENTO="Manual",$M89=$A$15)),0,
         IF(OFFSET(CRONOPLE!$F$15,$M89-$A$15,BK$13)=0,10^12,OFFSET(CRONOPLE!$F$15,$M89-$A$15,BK$13)))</f>
        <v>1000000000000</v>
      </c>
      <c r="BL89" s="171">
        <f ca="1">IF(OR($D89&lt;&gt;"Serviço",AND(AUTOEVENTO="Manual",$M89=$A$15)),0,
         IF(OFFSET(CRONOPLE!$F$15,$M89-$A$15,BL$13)=0,10^12,OFFSET(CRONOPLE!$F$15,$M89-$A$15,BL$13)))</f>
        <v>1000000000000</v>
      </c>
      <c r="BM89" s="171">
        <f ca="1">IF(OR($D89&lt;&gt;"Serviço",AND(AUTOEVENTO="Manual",$M89=$A$15)),0,
         IF(OFFSET(CRONOPLE!$F$15,$M89-$A$15,BM$13)=0,10^12,OFFSET(CRONOPLE!$F$15,$M89-$A$15,BM$13)))</f>
        <v>1000000000000</v>
      </c>
      <c r="BN89" s="171">
        <f ca="1">IF(OR($D89&lt;&gt;"Serviço",AND(AUTOEVENTO="Manual",$M89=$A$15)),0,
         IF(OFFSET(CRONOPLE!$F$15,$M89-$A$15,BN$13)=0,10^12,OFFSET(CRONOPLE!$F$15,$M89-$A$15,BN$13)))</f>
        <v>1000000000000</v>
      </c>
      <c r="BO89" s="171">
        <f ca="1">IF(OR($D89&lt;&gt;"Serviço",AND(AUTOEVENTO="Manual",$M89=$A$15)),0,
         IF(OFFSET(CRONOPLE!$F$15,$M89-$A$15,BO$13)=0,10^12,OFFSET(CRONOPLE!$F$15,$M89-$A$15,BO$13)))</f>
        <v>1000000000000</v>
      </c>
      <c r="BP89" s="171">
        <f ca="1">IF(OR($D89&lt;&gt;"Serviço",AND(AUTOEVENTO="Manual",$M89=$A$15)),0,
         IF(OFFSET(CRONOPLE!$F$15,$M89-$A$15,BP$13)=0,10^12,OFFSET(CRONOPLE!$F$15,$M89-$A$15,BP$13)))</f>
        <v>1000000000000</v>
      </c>
      <c r="BQ89" s="171">
        <f ca="1">IF(OR($D89&lt;&gt;"Serviço",AND(AUTOEVENTO="Manual",$M89=$A$15)),0,
         IF(OFFSET(CRONOPLE!$F$15,$M89-$A$15,BQ$13)=0,10^12,OFFSET(CRONOPLE!$F$15,$M89-$A$15,BQ$13)))</f>
        <v>1000000000000</v>
      </c>
      <c r="BR89" s="171">
        <f ca="1">IF(OR($D89&lt;&gt;"Serviço",AND(AUTOEVENTO="Manual",$M89=$A$15)),0,
         IF(OFFSET(CRONOPLE!$F$15,$M89-$A$15,BR$13)=0,10^12,OFFSET(CRONOPLE!$F$15,$M89-$A$15,BR$13)))</f>
        <v>1000000000000</v>
      </c>
      <c r="BS89" s="171">
        <f ca="1">IF(OR($D89&lt;&gt;"Serviço",AND(AUTOEVENTO="Manual",$M89=$A$15)),0,
         IF(OFFSET(CRONOPLE!$F$15,$M89-$A$15,BS$13)=0,10^12,OFFSET(CRONOPLE!$F$15,$M89-$A$15,BS$13)))</f>
        <v>1000000000000</v>
      </c>
      <c r="BT89" s="171">
        <f ca="1">IF(OR($D89&lt;&gt;"Serviço",AND(AUTOEVENTO="Manual",$M89=$A$15)),0,
         IF(OFFSET(CRONOPLE!$F$15,$M89-$A$15,BT$13)=0,10^12,OFFSET(CRONOPLE!$F$15,$M89-$A$15,BT$13)))</f>
        <v>1000000000000</v>
      </c>
      <c r="BV89" s="172">
        <f t="array" aca="1" ref="BV89" ca="1">IF(OR($D89&lt;&gt;"Serviço",AND(AUTOEVENTO="Manual",$M89=$A$15),$M89&gt;(ROW(PLE.lastrow)-ROW(PLE.firstrow))),0,
           IF(OFFSET(PLE!$G$15,$M89-$A$15,BV$13)="",10^12,OFFSET(PLE!$G$15,$M89-$A$15,BV$13)))</f>
        <v>1000000000000</v>
      </c>
      <c r="BW89" s="172">
        <f t="array" aca="1" ref="BW89" ca="1">IF(OR($D89&lt;&gt;"Serviço",AND(AUTOEVENTO="Manual",$M89=$A$15),$M89&gt;(ROW(PLE.lastrow)-ROW(PLE.firstrow))),0,
           IF(OFFSET(PLE!$G$15,$M89-$A$15,BW$13)="",10^12,OFFSET(PLE!$G$15,$M89-$A$15,BW$13)))</f>
        <v>1000000000000</v>
      </c>
      <c r="BX89" s="172">
        <f t="array" aca="1" ref="BX89" ca="1">IF(OR($D89&lt;&gt;"Serviço",AND(AUTOEVENTO="Manual",$M89=$A$15),$M89&gt;(ROW(PLE.lastrow)-ROW(PLE.firstrow))),0,
           IF(OFFSET(PLE!$G$15,$M89-$A$15,BX$13)="",10^12,OFFSET(PLE!$G$15,$M89-$A$15,BX$13)))</f>
        <v>1000000000000</v>
      </c>
      <c r="BY89" s="172">
        <f t="array" aca="1" ref="BY89" ca="1">IF(OR($D89&lt;&gt;"Serviço",AND(AUTOEVENTO="Manual",$M89=$A$15),$M89&gt;(ROW(PLE.lastrow)-ROW(PLE.firstrow))),0,
           IF(OFFSET(PLE!$G$15,$M89-$A$15,BY$13)="",10^12,OFFSET(PLE!$G$15,$M89-$A$15,BY$13)))</f>
        <v>1000000000000</v>
      </c>
      <c r="BZ89" s="172">
        <f t="array" aca="1" ref="BZ89" ca="1">IF(OR($D89&lt;&gt;"Serviço",AND(AUTOEVENTO="Manual",$M89=$A$15),$M89&gt;(ROW(PLE.lastrow)-ROW(PLE.firstrow))),0,
           IF(OFFSET(PLE!$G$15,$M89-$A$15,BZ$13)="",10^12,OFFSET(PLE!$G$15,$M89-$A$15,BZ$13)))</f>
        <v>1000000000000</v>
      </c>
      <c r="CA89" s="172">
        <f t="array" aca="1" ref="CA89" ca="1">IF(OR($D89&lt;&gt;"Serviço",AND(AUTOEVENTO="Manual",$M89=$A$15),$M89&gt;(ROW(PLE.lastrow)-ROW(PLE.firstrow))),0,
           IF(OFFSET(PLE!$G$15,$M89-$A$15,CA$13)="",10^12,OFFSET(PLE!$G$15,$M89-$A$15,CA$13)))</f>
        <v>1000000000000</v>
      </c>
      <c r="CB89" s="172">
        <f t="array" aca="1" ref="CB89" ca="1">IF(OR($D89&lt;&gt;"Serviço",AND(AUTOEVENTO="Manual",$M89=$A$15),$M89&gt;(ROW(PLE.lastrow)-ROW(PLE.firstrow))),0,
           IF(OFFSET(PLE!$G$15,$M89-$A$15,CB$13)="",10^12,OFFSET(PLE!$G$15,$M89-$A$15,CB$13)))</f>
        <v>1000000000000</v>
      </c>
      <c r="CC89" s="172">
        <f t="array" aca="1" ref="CC89" ca="1">IF(OR($D89&lt;&gt;"Serviço",AND(AUTOEVENTO="Manual",$M89=$A$15),$M89&gt;(ROW(PLE.lastrow)-ROW(PLE.firstrow))),0,
           IF(OFFSET(PLE!$G$15,$M89-$A$15,CC$13)="",10^12,OFFSET(PLE!$G$15,$M89-$A$15,CC$13)))</f>
        <v>1000000000000</v>
      </c>
      <c r="CD89" s="172">
        <f t="array" aca="1" ref="CD89" ca="1">IF(OR($D89&lt;&gt;"Serviço",AND(AUTOEVENTO="Manual",$M89=$A$15),$M89&gt;(ROW(PLE.lastrow)-ROW(PLE.firstrow))),0,
           IF(OFFSET(PLE!$G$15,$M89-$A$15,CD$13)="",10^12,OFFSET(PLE!$G$15,$M89-$A$15,CD$13)))</f>
        <v>1000000000000</v>
      </c>
      <c r="CE89" s="172">
        <f t="array" aca="1" ref="CE89" ca="1">IF(OR($D89&lt;&gt;"Serviço",AND(AUTOEVENTO="Manual",$M89=$A$15),$M89&gt;(ROW(PLE.lastrow)-ROW(PLE.firstrow))),0,
           IF(OFFSET(PLE!$G$15,$M89-$A$15,CE$13)="",10^12,OFFSET(PLE!$G$15,$M89-$A$15,CE$13)))</f>
        <v>1000000000000</v>
      </c>
      <c r="CF89" s="172">
        <f t="array" aca="1" ref="CF89" ca="1">IF(OR($D89&lt;&gt;"Serviço",AND(AUTOEVENTO="Manual",$M89=$A$15),$M89&gt;(ROW(PLE.lastrow)-ROW(PLE.firstrow))),0,
           IF(OFFSET(PLE!$G$15,$M89-$A$15,CF$13)="",10^12,OFFSET(PLE!$G$15,$M89-$A$15,CF$13)))</f>
        <v>1000000000000</v>
      </c>
      <c r="CG89" s="172">
        <f t="array" aca="1" ref="CG89" ca="1">IF(OR($D89&lt;&gt;"Serviço",AND(AUTOEVENTO="Manual",$M89=$A$15),$M89&gt;(ROW(PLE.lastrow)-ROW(PLE.firstrow))),0,
           IF(OFFSET(PLE!$G$15,$M89-$A$15,CG$13)="",10^12,OFFSET(PLE!$G$15,$M89-$A$15,CG$13)))</f>
        <v>1000000000000</v>
      </c>
      <c r="CH89" s="172">
        <f t="array" aca="1" ref="CH89" ca="1">IF(OR($D89&lt;&gt;"Serviço",AND(AUTOEVENTO="Manual",$M89=$A$15),$M89&gt;(ROW(PLE.lastrow)-ROW(PLE.firstrow))),0,
           IF(OFFSET(PLE!$G$15,$M89-$A$15,CH$13)="",10^12,OFFSET(PLE!$G$15,$M89-$A$15,CH$13)))</f>
        <v>1000000000000</v>
      </c>
      <c r="CI89" s="172">
        <f t="array" aca="1" ref="CI89" ca="1">IF(OR($D89&lt;&gt;"Serviço",AND(AUTOEVENTO="Manual",$M89=$A$15),$M89&gt;(ROW(PLE.lastrow)-ROW(PLE.firstrow))),0,
           IF(OFFSET(PLE!$G$15,$M89-$A$15,CI$13)="",10^12,OFFSET(PLE!$G$15,$M89-$A$15,CI$13)))</f>
        <v>1000000000000</v>
      </c>
      <c r="CJ89" s="172">
        <f t="array" aca="1" ref="CJ89" ca="1">IF(OR($D89&lt;&gt;"Serviço",AND(AUTOEVENTO="Manual",$M89=$A$15),$M89&gt;(ROW(PLE.lastrow)-ROW(PLE.firstrow))),0,
           IF(OFFSET(PLE!$G$15,$M89-$A$15,CJ$13)="",10^12,OFFSET(PLE!$G$15,$M89-$A$15,CJ$13)))</f>
        <v>1000000000000</v>
      </c>
      <c r="CK89" s="172">
        <f t="array" aca="1" ref="CK89" ca="1">IF(OR($D89&lt;&gt;"Serviço",AND(AUTOEVENTO="Manual",$M89=$A$15),$M89&gt;(ROW(PLE.lastrow)-ROW(PLE.firstrow))),0,
           IF(OFFSET(PLE!$G$15,$M89-$A$15,CK$13)="",10^12,OFFSET(PLE!$G$15,$M89-$A$15,CK$13)))</f>
        <v>1000000000000</v>
      </c>
      <c r="CL89" s="172">
        <f t="array" aca="1" ref="CL89" ca="1">IF(OR($D89&lt;&gt;"Serviço",AND(AUTOEVENTO="Manual",$M89=$A$15),$M89&gt;(ROW(PLE.lastrow)-ROW(PLE.firstrow))),0,
           IF(OFFSET(PLE!$G$15,$M89-$A$15,CL$13)="",10^12,OFFSET(PLE!$G$15,$M89-$A$15,CL$13)))</f>
        <v>1000000000000</v>
      </c>
      <c r="CM89" s="172">
        <f t="array" aca="1" ref="CM89" ca="1">IF(OR($D89&lt;&gt;"Serviço",AND(AUTOEVENTO="Manual",$M89=$A$15),$M89&gt;(ROW(PLE.lastrow)-ROW(PLE.firstrow))),0,
           IF(OFFSET(PLE!$G$15,$M89-$A$15,CM$13)="",10^12,OFFSET(PLE!$G$15,$M89-$A$15,CM$13)))</f>
        <v>1000000000000</v>
      </c>
    </row>
    <row r="90" spans="1:91" s="696" customFormat="1" ht="63.75" x14ac:dyDescent="0.2">
      <c r="A90" s="694">
        <f t="shared" ca="1" si="45"/>
        <v>16</v>
      </c>
      <c r="B90" s="694" t="str">
        <f ca="1">OFFSET(ORÇAMENTO!C$15,$L90,0)</f>
        <v>S</v>
      </c>
      <c r="C90" s="694" t="str">
        <f ca="1">OFFSET(ORÇAMENTO!L$15,$L90,0)</f>
        <v>F</v>
      </c>
      <c r="D90" s="116" t="str">
        <f ca="1">OFFSET(ORÇAMENTO!N$15,$L90,0)</f>
        <v>Serviço</v>
      </c>
      <c r="E90" s="117" t="str">
        <f ca="1">OFFSET(ORÇAMENTO!O$15,$L90,0)</f>
        <v>1.14.4.</v>
      </c>
      <c r="F90" s="163" t="str">
        <f ca="1">OFFSET(ORÇAMENTO!R$15,$L90,0)</f>
        <v>MASSA ÚNICA, EM ARGAMASSA TRAÇO 1:2:8, PREPARO MECÂNICO, APLICADA MANUALMENTE EM PAREDES INTERNAS DE AMBIENTES COM ÁREA ENTRE 5M² E 10M², E = 10MM, COM TALISCAS. AF_03/2024</v>
      </c>
      <c r="G90" s="164" t="str">
        <f ca="1">IF($D90&lt;&gt;"Serviço","",OFFSET(ORÇAMENTO!S$15,$L90,0))</f>
        <v>M2</v>
      </c>
      <c r="H90" s="122">
        <f t="array" aca="1" ref="H90" ca="1">IF($D90&lt;&gt;"Serviço",0,IF(ACOMPANHAMENTO="BM",ROUND(OFFSET(ORÇAMENTO!AJ$15,$L90,0),15-13*ORÇAMENTO!$AF$7),IF(IFERROR(CÁLCULO.FrentesPreenchidas,0)=0,0,SUM(ROUND(OFFSET($P90,0,1,1,CÁLCULO.FrentesPreenchidas),15-13*ORÇAMENTO!$AF$7)))))</f>
        <v>1601</v>
      </c>
      <c r="I90" s="467" t="s">
        <v>1256</v>
      </c>
      <c r="J90" s="653" t="str">
        <f t="array" aca="1" ref="J90" ca="1">IF(OR(B90&lt;&gt;"S",CÁLCULO.FrentesPreenchidas=0),"",IF(AND(ACOMPANHAMENTO="PLE",AUTOEVENTO="Manual",OR(H90&gt;0,ORÇAMENTO!AC90="QUANT."),OR(K90="",M90=0,N90="")),"►E",IF(AND(ACOMPANHAMENTO="PLE",ORÇAMENTO!AC90="QUANT."),"►Q",IF(AND(ACOMPANHAMENTO="PLE",H90&lt;&gt;SUMPRODUCT(($Q$1:$AI$1=1)*ROUND(Q90:AI90,15))),"►S",IF(AND(COUNTIF($P$11:$AI$11,"▼")=0,H90&gt;0,I90=""),"◄M","")))))</f>
        <v/>
      </c>
      <c r="K90" s="654" t="s">
        <v>1409</v>
      </c>
      <c r="L90" s="165">
        <f t="shared" ca="1" si="46"/>
        <v>75</v>
      </c>
      <c r="M90" s="166">
        <f ca="1">IF($D90&lt;&gt;"Serviço","",
          IF(AUTOEVENTO="manual",$A90,
                IF(ISERROR(MATCH($A90,$A$15:OFFSET($A90,-1,0),0)),MAX($M$15:OFFSET(M90,-1,0))+1,
                      INDEX($M$15:OFFSET(M90,-1,0),MATCH($A90,$A$15:OFFSET($A90,-1,0),0)))))</f>
        <v>16</v>
      </c>
      <c r="N90" s="167" t="str">
        <f ca="1">IF($D90&lt;&gt;"Serviço","",
         IF(AUTOEVENTO="Manual",
                IF($A90=0,"&lt;-- defina o número do agrupador",
                       OFFSET(EVENTOS!$D$15,$A90-$A$15,0)),
                OFFSET($F$15,$A90,0)))</f>
        <v>REVESTIMENTOS INTERNOS DE PAREDES</v>
      </c>
      <c r="O90" s="168"/>
      <c r="Q90" s="169">
        <f>80.05*5</f>
        <v>400.25</v>
      </c>
      <c r="R90" s="169">
        <f t="shared" ref="R90:T90" si="56">80.05*5</f>
        <v>400.25</v>
      </c>
      <c r="S90" s="169">
        <f t="shared" si="56"/>
        <v>400.25</v>
      </c>
      <c r="T90" s="169">
        <f t="shared" si="56"/>
        <v>400.25</v>
      </c>
      <c r="U90" s="169"/>
      <c r="V90" s="169"/>
      <c r="W90" s="169"/>
      <c r="X90" s="169"/>
      <c r="Y90" s="169"/>
      <c r="Z90" s="170"/>
      <c r="AA90" s="169"/>
      <c r="AB90" s="169"/>
      <c r="AC90" s="169"/>
      <c r="AD90" s="169"/>
      <c r="AE90" s="169"/>
      <c r="AF90" s="169"/>
      <c r="AG90" s="169"/>
      <c r="AH90" s="170"/>
      <c r="AJ90" s="452">
        <f ca="1">IF(AND($D90="Serviço",AJ$12&lt;&gt;0,$H90&gt;0,OR(AUTOEVENTO&lt;&gt;"manual",$M90&lt;&gt;$A$15)),
        IF(Import.TipoArredondamento&lt;&gt;"TransfereGOV",
              ROUND(OFFSET($P90,0,AJ$13),15-13*ORÇAMENTO!$AF$7)/$H90*OFFSET(ORÇAMENTO!$X$15,ROW(AJ90)-ROW(AJ$15),0),
              ROUND(ROUND(OFFSET($P90,0,AJ$13),15-13*ORÇAMENTO!$AF$7)*OFFSET(ORÇAMENTO!$W$15,ROW(AJ90)-ROW(AJ$15),0),15-13*ORÇAMENTO!$AF$11)),
         0)</f>
        <v>13264.29</v>
      </c>
      <c r="AK90" s="452">
        <f ca="1">IF(AND($D90="Serviço",AK$12&lt;&gt;0,$H90&gt;0,OR(AUTOEVENTO&lt;&gt;"manual",$M90&lt;&gt;$A$15)),
        IF(Import.TipoArredondamento&lt;&gt;"TransfereGOV",
              ROUND(OFFSET($P90,0,AK$13),15-13*ORÇAMENTO!$AF$7)/$H90*OFFSET(ORÇAMENTO!$X$15,ROW(AK90)-ROW(AK$15),0),
              ROUND(ROUND(OFFSET($P90,0,AK$13),15-13*ORÇAMENTO!$AF$7)*OFFSET(ORÇAMENTO!$W$15,ROW(AK90)-ROW(AK$15),0),15-13*ORÇAMENTO!$AF$11)),
         0)</f>
        <v>13264.29</v>
      </c>
      <c r="AL90" s="452">
        <f ca="1">IF(AND($D90="Serviço",AL$12&lt;&gt;0,$H90&gt;0,OR(AUTOEVENTO&lt;&gt;"manual",$M90&lt;&gt;$A$15)),
        IF(Import.TipoArredondamento&lt;&gt;"TransfereGOV",
              ROUND(OFFSET($P90,0,AL$13),15-13*ORÇAMENTO!$AF$7)/$H90*OFFSET(ORÇAMENTO!$X$15,ROW(AL90)-ROW(AL$15),0),
              ROUND(ROUND(OFFSET($P90,0,AL$13),15-13*ORÇAMENTO!$AF$7)*OFFSET(ORÇAMENTO!$W$15,ROW(AL90)-ROW(AL$15),0),15-13*ORÇAMENTO!$AF$11)),
         0)</f>
        <v>13264.29</v>
      </c>
      <c r="AM90" s="452">
        <f ca="1">IF(AND($D90="Serviço",AM$12&lt;&gt;0,$H90&gt;0,OR(AUTOEVENTO&lt;&gt;"manual",$M90&lt;&gt;$A$15)),
        IF(Import.TipoArredondamento&lt;&gt;"TransfereGOV",
              ROUND(OFFSET($P90,0,AM$13),15-13*ORÇAMENTO!$AF$7)/$H90*OFFSET(ORÇAMENTO!$X$15,ROW(AM90)-ROW(AM$15),0),
              ROUND(ROUND(OFFSET($P90,0,AM$13),15-13*ORÇAMENTO!$AF$7)*OFFSET(ORÇAMENTO!$W$15,ROW(AM90)-ROW(AM$15),0),15-13*ORÇAMENTO!$AF$11)),
         0)</f>
        <v>13264.29</v>
      </c>
      <c r="AN90" s="452">
        <f ca="1">IF(AND($D90="Serviço",AN$12&lt;&gt;0,$H90&gt;0,OR(AUTOEVENTO&lt;&gt;"manual",$M90&lt;&gt;$A$15)),
        IF(Import.TipoArredondamento&lt;&gt;"TransfereGOV",
              ROUND(OFFSET($P90,0,AN$13),15-13*ORÇAMENTO!$AF$7)/$H90*OFFSET(ORÇAMENTO!$X$15,ROW(AN90)-ROW(AN$15),0),
              ROUND(ROUND(OFFSET($P90,0,AN$13),15-13*ORÇAMENTO!$AF$7)*OFFSET(ORÇAMENTO!$W$15,ROW(AN90)-ROW(AN$15),0),15-13*ORÇAMENTO!$AF$11)),
         0)</f>
        <v>0</v>
      </c>
      <c r="AO90" s="452">
        <f ca="1">IF(AND($D90="Serviço",AO$12&lt;&gt;0,$H90&gt;0,OR(AUTOEVENTO&lt;&gt;"manual",$M90&lt;&gt;$A$15)),
        IF(Import.TipoArredondamento&lt;&gt;"TransfereGOV",
              ROUND(OFFSET($P90,0,AO$13),15-13*ORÇAMENTO!$AF$7)/$H90*OFFSET(ORÇAMENTO!$X$15,ROW(AO90)-ROW(AO$15),0),
              ROUND(ROUND(OFFSET($P90,0,AO$13),15-13*ORÇAMENTO!$AF$7)*OFFSET(ORÇAMENTO!$W$15,ROW(AO90)-ROW(AO$15),0),15-13*ORÇAMENTO!$AF$11)),
         0)</f>
        <v>0</v>
      </c>
      <c r="AP90" s="452">
        <f ca="1">IF(AND($D90="Serviço",AP$12&lt;&gt;0,$H90&gt;0,OR(AUTOEVENTO&lt;&gt;"manual",$M90&lt;&gt;$A$15)),
        IF(Import.TipoArredondamento&lt;&gt;"TransfereGOV",
              ROUND(OFFSET($P90,0,AP$13),15-13*ORÇAMENTO!$AF$7)/$H90*OFFSET(ORÇAMENTO!$X$15,ROW(AP90)-ROW(AP$15),0),
              ROUND(ROUND(OFFSET($P90,0,AP$13),15-13*ORÇAMENTO!$AF$7)*OFFSET(ORÇAMENTO!$W$15,ROW(AP90)-ROW(AP$15),0),15-13*ORÇAMENTO!$AF$11)),
         0)</f>
        <v>0</v>
      </c>
      <c r="AQ90" s="452">
        <f ca="1">IF(AND($D90="Serviço",AQ$12&lt;&gt;0,$H90&gt;0,OR(AUTOEVENTO&lt;&gt;"manual",$M90&lt;&gt;$A$15)),
        IF(Import.TipoArredondamento&lt;&gt;"TransfereGOV",
              ROUND(OFFSET($P90,0,AQ$13),15-13*ORÇAMENTO!$AF$7)/$H90*OFFSET(ORÇAMENTO!$X$15,ROW(AQ90)-ROW(AQ$15),0),
              ROUND(ROUND(OFFSET($P90,0,AQ$13),15-13*ORÇAMENTO!$AF$7)*OFFSET(ORÇAMENTO!$W$15,ROW(AQ90)-ROW(AQ$15),0),15-13*ORÇAMENTO!$AF$11)),
         0)</f>
        <v>0</v>
      </c>
      <c r="AR90" s="452">
        <f ca="1">IF(AND($D90="Serviço",AR$12&lt;&gt;0,$H90&gt;0,OR(AUTOEVENTO&lt;&gt;"manual",$M90&lt;&gt;$A$15)),
        IF(Import.TipoArredondamento&lt;&gt;"TransfereGOV",
              ROUND(OFFSET($P90,0,AR$13),15-13*ORÇAMENTO!$AF$7)/$H90*OFFSET(ORÇAMENTO!$X$15,ROW(AR90)-ROW(AR$15),0),
              ROUND(ROUND(OFFSET($P90,0,AR$13),15-13*ORÇAMENTO!$AF$7)*OFFSET(ORÇAMENTO!$W$15,ROW(AR90)-ROW(AR$15),0),15-13*ORÇAMENTO!$AF$11)),
         0)</f>
        <v>0</v>
      </c>
      <c r="AS90" s="452">
        <f ca="1">IF(AND($D90="Serviço",AS$12&lt;&gt;0,$H90&gt;0,OR(AUTOEVENTO&lt;&gt;"manual",$M90&lt;&gt;$A$15)),
        IF(Import.TipoArredondamento&lt;&gt;"TransfereGOV",
              ROUND(OFFSET($P90,0,AS$13),15-13*ORÇAMENTO!$AF$7)/$H90*OFFSET(ORÇAMENTO!$X$15,ROW(AS90)-ROW(AS$15),0),
              ROUND(ROUND(OFFSET($P90,0,AS$13),15-13*ORÇAMENTO!$AF$7)*OFFSET(ORÇAMENTO!$W$15,ROW(AS90)-ROW(AS$15),0),15-13*ORÇAMENTO!$AF$11)),
         0)</f>
        <v>0</v>
      </c>
      <c r="AT90" s="452">
        <f ca="1">IF(AND($D90="Serviço",AT$12&lt;&gt;0,$H90&gt;0,OR(AUTOEVENTO&lt;&gt;"manual",$M90&lt;&gt;$A$15)),
        IF(Import.TipoArredondamento&lt;&gt;"TransfereGOV",
              ROUND(OFFSET($P90,0,AT$13),15-13*ORÇAMENTO!$AF$7)/$H90*OFFSET(ORÇAMENTO!$X$15,ROW(AT90)-ROW(AT$15),0),
              ROUND(ROUND(OFFSET($P90,0,AT$13),15-13*ORÇAMENTO!$AF$7)*OFFSET(ORÇAMENTO!$W$15,ROW(AT90)-ROW(AT$15),0),15-13*ORÇAMENTO!$AF$11)),
         0)</f>
        <v>0</v>
      </c>
      <c r="AU90" s="452">
        <f ca="1">IF(AND($D90="Serviço",AU$12&lt;&gt;0,$H90&gt;0,OR(AUTOEVENTO&lt;&gt;"manual",$M90&lt;&gt;$A$15)),
        IF(Import.TipoArredondamento&lt;&gt;"TransfereGOV",
              ROUND(OFFSET($P90,0,AU$13),15-13*ORÇAMENTO!$AF$7)/$H90*OFFSET(ORÇAMENTO!$X$15,ROW(AU90)-ROW(AU$15),0),
              ROUND(ROUND(OFFSET($P90,0,AU$13),15-13*ORÇAMENTO!$AF$7)*OFFSET(ORÇAMENTO!$W$15,ROW(AU90)-ROW(AU$15),0),15-13*ORÇAMENTO!$AF$11)),
         0)</f>
        <v>0</v>
      </c>
      <c r="AV90" s="452">
        <f ca="1">IF(AND($D90="Serviço",AV$12&lt;&gt;0,$H90&gt;0,OR(AUTOEVENTO&lt;&gt;"manual",$M90&lt;&gt;$A$15)),
        IF(Import.TipoArredondamento&lt;&gt;"TransfereGOV",
              ROUND(OFFSET($P90,0,AV$13),15-13*ORÇAMENTO!$AF$7)/$H90*OFFSET(ORÇAMENTO!$X$15,ROW(AV90)-ROW(AV$15),0),
              ROUND(ROUND(OFFSET($P90,0,AV$13),15-13*ORÇAMENTO!$AF$7)*OFFSET(ORÇAMENTO!$W$15,ROW(AV90)-ROW(AV$15),0),15-13*ORÇAMENTO!$AF$11)),
         0)</f>
        <v>0</v>
      </c>
      <c r="AW90" s="452">
        <f ca="1">IF(AND($D90="Serviço",AW$12&lt;&gt;0,$H90&gt;0,OR(AUTOEVENTO&lt;&gt;"manual",$M90&lt;&gt;$A$15)),
        IF(Import.TipoArredondamento&lt;&gt;"TransfereGOV",
              ROUND(OFFSET($P90,0,AW$13),15-13*ORÇAMENTO!$AF$7)/$H90*OFFSET(ORÇAMENTO!$X$15,ROW(AW90)-ROW(AW$15),0),
              ROUND(ROUND(OFFSET($P90,0,AW$13),15-13*ORÇAMENTO!$AF$7)*OFFSET(ORÇAMENTO!$W$15,ROW(AW90)-ROW(AW$15),0),15-13*ORÇAMENTO!$AF$11)),
         0)</f>
        <v>0</v>
      </c>
      <c r="AX90" s="452">
        <f ca="1">IF(AND($D90="Serviço",AX$12&lt;&gt;0,$H90&gt;0,OR(AUTOEVENTO&lt;&gt;"manual",$M90&lt;&gt;$A$15)),
        IF(Import.TipoArredondamento&lt;&gt;"TransfereGOV",
              ROUND(OFFSET($P90,0,AX$13),15-13*ORÇAMENTO!$AF$7)/$H90*OFFSET(ORÇAMENTO!$X$15,ROW(AX90)-ROW(AX$15),0),
              ROUND(ROUND(OFFSET($P90,0,AX$13),15-13*ORÇAMENTO!$AF$7)*OFFSET(ORÇAMENTO!$W$15,ROW(AX90)-ROW(AX$15),0),15-13*ORÇAMENTO!$AF$11)),
         0)</f>
        <v>0</v>
      </c>
      <c r="AY90" s="452">
        <f ca="1">IF(AND($D90="Serviço",AY$12&lt;&gt;0,$H90&gt;0,OR(AUTOEVENTO&lt;&gt;"manual",$M90&lt;&gt;$A$15)),
        IF(Import.TipoArredondamento&lt;&gt;"TransfereGOV",
              ROUND(OFFSET($P90,0,AY$13),15-13*ORÇAMENTO!$AF$7)/$H90*OFFSET(ORÇAMENTO!$X$15,ROW(AY90)-ROW(AY$15),0),
              ROUND(ROUND(OFFSET($P90,0,AY$13),15-13*ORÇAMENTO!$AF$7)*OFFSET(ORÇAMENTO!$W$15,ROW(AY90)-ROW(AY$15),0),15-13*ORÇAMENTO!$AF$11)),
         0)</f>
        <v>0</v>
      </c>
      <c r="AZ90" s="452">
        <f ca="1">IF(AND($D90="Serviço",AZ$12&lt;&gt;0,$H90&gt;0,OR(AUTOEVENTO&lt;&gt;"manual",$M90&lt;&gt;$A$15)),
        IF(Import.TipoArredondamento&lt;&gt;"TransfereGOV",
              ROUND(OFFSET($P90,0,AZ$13),15-13*ORÇAMENTO!$AF$7)/$H90*OFFSET(ORÇAMENTO!$X$15,ROW(AZ90)-ROW(AZ$15),0),
              ROUND(ROUND(OFFSET($P90,0,AZ$13),15-13*ORÇAMENTO!$AF$7)*OFFSET(ORÇAMENTO!$W$15,ROW(AZ90)-ROW(AZ$15),0),15-13*ORÇAMENTO!$AF$11)),
         0)</f>
        <v>0</v>
      </c>
      <c r="BA90" s="452">
        <f ca="1">IF(AND($D90="Serviço",BA$12&lt;&gt;0,$H90&gt;0,OR(AUTOEVENTO&lt;&gt;"manual",$M90&lt;&gt;$A$15)),
        IF(Import.TipoArredondamento&lt;&gt;"TransfereGOV",
              ROUND(OFFSET($P90,0,BA$13),15-13*ORÇAMENTO!$AF$7)/$H90*OFFSET(ORÇAMENTO!$X$15,ROW(BA90)-ROW(BA$15),0),
              ROUND(ROUND(OFFSET($P90,0,BA$13),15-13*ORÇAMENTO!$AF$7)*OFFSET(ORÇAMENTO!$W$15,ROW(BA90)-ROW(BA$15),0),15-13*ORÇAMENTO!$AF$11)),
         0)</f>
        <v>0</v>
      </c>
      <c r="BC90" s="171">
        <f ca="1">IF(OR($D90&lt;&gt;"Serviço",AND(AUTOEVENTO="Manual",$M90=$A$15)),0,
         IF(OFFSET(CRONOPLE!$F$15,$M90-$A$15,BC$13)=0,10^12,OFFSET(CRONOPLE!$F$15,$M90-$A$15,BC$13)))</f>
        <v>5</v>
      </c>
      <c r="BD90" s="171">
        <f ca="1">IF(OR($D90&lt;&gt;"Serviço",AND(AUTOEVENTO="Manual",$M90=$A$15)),0,
         IF(OFFSET(CRONOPLE!$F$15,$M90-$A$15,BD$13)=0,10^12,OFFSET(CRONOPLE!$F$15,$M90-$A$15,BD$13)))</f>
        <v>5</v>
      </c>
      <c r="BE90" s="171">
        <f ca="1">IF(OR($D90&lt;&gt;"Serviço",AND(AUTOEVENTO="Manual",$M90=$A$15)),0,
         IF(OFFSET(CRONOPLE!$F$15,$M90-$A$15,BE$13)=0,10^12,OFFSET(CRONOPLE!$F$15,$M90-$A$15,BE$13)))</f>
        <v>7</v>
      </c>
      <c r="BF90" s="171">
        <f ca="1">IF(OR($D90&lt;&gt;"Serviço",AND(AUTOEVENTO="Manual",$M90=$A$15)),0,
         IF(OFFSET(CRONOPLE!$F$15,$M90-$A$15,BF$13)=0,10^12,OFFSET(CRONOPLE!$F$15,$M90-$A$15,BF$13)))</f>
        <v>7</v>
      </c>
      <c r="BG90" s="171">
        <f ca="1">IF(OR($D90&lt;&gt;"Serviço",AND(AUTOEVENTO="Manual",$M90=$A$15)),0,
         IF(OFFSET(CRONOPLE!$F$15,$M90-$A$15,BG$13)=0,10^12,OFFSET(CRONOPLE!$F$15,$M90-$A$15,BG$13)))</f>
        <v>7</v>
      </c>
      <c r="BH90" s="171">
        <f ca="1">IF(OR($D90&lt;&gt;"Serviço",AND(AUTOEVENTO="Manual",$M90=$A$15)),0,
         IF(OFFSET(CRONOPLE!$F$15,$M90-$A$15,BH$13)=0,10^12,OFFSET(CRONOPLE!$F$15,$M90-$A$15,BH$13)))</f>
        <v>1000000000000</v>
      </c>
      <c r="BI90" s="171">
        <f ca="1">IF(OR($D90&lt;&gt;"Serviço",AND(AUTOEVENTO="Manual",$M90=$A$15)),0,
         IF(OFFSET(CRONOPLE!$F$15,$M90-$A$15,BI$13)=0,10^12,OFFSET(CRONOPLE!$F$15,$M90-$A$15,BI$13)))</f>
        <v>7</v>
      </c>
      <c r="BJ90" s="171">
        <f ca="1">IF(OR($D90&lt;&gt;"Serviço",AND(AUTOEVENTO="Manual",$M90=$A$15)),0,
         IF(OFFSET(CRONOPLE!$F$15,$M90-$A$15,BJ$13)=0,10^12,OFFSET(CRONOPLE!$F$15,$M90-$A$15,BJ$13)))</f>
        <v>8</v>
      </c>
      <c r="BK90" s="171">
        <f ca="1">IF(OR($D90&lt;&gt;"Serviço",AND(AUTOEVENTO="Manual",$M90=$A$15)),0,
         IF(OFFSET(CRONOPLE!$F$15,$M90-$A$15,BK$13)=0,10^12,OFFSET(CRONOPLE!$F$15,$M90-$A$15,BK$13)))</f>
        <v>1000000000000</v>
      </c>
      <c r="BL90" s="171">
        <f ca="1">IF(OR($D90&lt;&gt;"Serviço",AND(AUTOEVENTO="Manual",$M90=$A$15)),0,
         IF(OFFSET(CRONOPLE!$F$15,$M90-$A$15,BL$13)=0,10^12,OFFSET(CRONOPLE!$F$15,$M90-$A$15,BL$13)))</f>
        <v>1000000000000</v>
      </c>
      <c r="BM90" s="171">
        <f ca="1">IF(OR($D90&lt;&gt;"Serviço",AND(AUTOEVENTO="Manual",$M90=$A$15)),0,
         IF(OFFSET(CRONOPLE!$F$15,$M90-$A$15,BM$13)=0,10^12,OFFSET(CRONOPLE!$F$15,$M90-$A$15,BM$13)))</f>
        <v>1000000000000</v>
      </c>
      <c r="BN90" s="171">
        <f ca="1">IF(OR($D90&lt;&gt;"Serviço",AND(AUTOEVENTO="Manual",$M90=$A$15)),0,
         IF(OFFSET(CRONOPLE!$F$15,$M90-$A$15,BN$13)=0,10^12,OFFSET(CRONOPLE!$F$15,$M90-$A$15,BN$13)))</f>
        <v>1000000000000</v>
      </c>
      <c r="BO90" s="171">
        <f ca="1">IF(OR($D90&lt;&gt;"Serviço",AND(AUTOEVENTO="Manual",$M90=$A$15)),0,
         IF(OFFSET(CRONOPLE!$F$15,$M90-$A$15,BO$13)=0,10^12,OFFSET(CRONOPLE!$F$15,$M90-$A$15,BO$13)))</f>
        <v>1000000000000</v>
      </c>
      <c r="BP90" s="171">
        <f ca="1">IF(OR($D90&lt;&gt;"Serviço",AND(AUTOEVENTO="Manual",$M90=$A$15)),0,
         IF(OFFSET(CRONOPLE!$F$15,$M90-$A$15,BP$13)=0,10^12,OFFSET(CRONOPLE!$F$15,$M90-$A$15,BP$13)))</f>
        <v>1000000000000</v>
      </c>
      <c r="BQ90" s="171">
        <f ca="1">IF(OR($D90&lt;&gt;"Serviço",AND(AUTOEVENTO="Manual",$M90=$A$15)),0,
         IF(OFFSET(CRONOPLE!$F$15,$M90-$A$15,BQ$13)=0,10^12,OFFSET(CRONOPLE!$F$15,$M90-$A$15,BQ$13)))</f>
        <v>1000000000000</v>
      </c>
      <c r="BR90" s="171">
        <f ca="1">IF(OR($D90&lt;&gt;"Serviço",AND(AUTOEVENTO="Manual",$M90=$A$15)),0,
         IF(OFFSET(CRONOPLE!$F$15,$M90-$A$15,BR$13)=0,10^12,OFFSET(CRONOPLE!$F$15,$M90-$A$15,BR$13)))</f>
        <v>1000000000000</v>
      </c>
      <c r="BS90" s="171">
        <f ca="1">IF(OR($D90&lt;&gt;"Serviço",AND(AUTOEVENTO="Manual",$M90=$A$15)),0,
         IF(OFFSET(CRONOPLE!$F$15,$M90-$A$15,BS$13)=0,10^12,OFFSET(CRONOPLE!$F$15,$M90-$A$15,BS$13)))</f>
        <v>1000000000000</v>
      </c>
      <c r="BT90" s="171">
        <f ca="1">IF(OR($D90&lt;&gt;"Serviço",AND(AUTOEVENTO="Manual",$M90=$A$15)),0,
         IF(OFFSET(CRONOPLE!$F$15,$M90-$A$15,BT$13)=0,10^12,OFFSET(CRONOPLE!$F$15,$M90-$A$15,BT$13)))</f>
        <v>1000000000000</v>
      </c>
      <c r="BV90" s="172">
        <f t="array" aca="1" ref="BV90" ca="1">IF(OR($D90&lt;&gt;"Serviço",AND(AUTOEVENTO="Manual",$M90=$A$15),$M90&gt;(ROW(PLE.lastrow)-ROW(PLE.firstrow))),0,
           IF(OFFSET(PLE!$G$15,$M90-$A$15,BV$13)="",10^12,OFFSET(PLE!$G$15,$M90-$A$15,BV$13)))</f>
        <v>1000000000000</v>
      </c>
      <c r="BW90" s="172">
        <f t="array" aca="1" ref="BW90" ca="1">IF(OR($D90&lt;&gt;"Serviço",AND(AUTOEVENTO="Manual",$M90=$A$15),$M90&gt;(ROW(PLE.lastrow)-ROW(PLE.firstrow))),0,
           IF(OFFSET(PLE!$G$15,$M90-$A$15,BW$13)="",10^12,OFFSET(PLE!$G$15,$M90-$A$15,BW$13)))</f>
        <v>1000000000000</v>
      </c>
      <c r="BX90" s="172">
        <f t="array" aca="1" ref="BX90" ca="1">IF(OR($D90&lt;&gt;"Serviço",AND(AUTOEVENTO="Manual",$M90=$A$15),$M90&gt;(ROW(PLE.lastrow)-ROW(PLE.firstrow))),0,
           IF(OFFSET(PLE!$G$15,$M90-$A$15,BX$13)="",10^12,OFFSET(PLE!$G$15,$M90-$A$15,BX$13)))</f>
        <v>1000000000000</v>
      </c>
      <c r="BY90" s="172">
        <f t="array" aca="1" ref="BY90" ca="1">IF(OR($D90&lt;&gt;"Serviço",AND(AUTOEVENTO="Manual",$M90=$A$15),$M90&gt;(ROW(PLE.lastrow)-ROW(PLE.firstrow))),0,
           IF(OFFSET(PLE!$G$15,$M90-$A$15,BY$13)="",10^12,OFFSET(PLE!$G$15,$M90-$A$15,BY$13)))</f>
        <v>1000000000000</v>
      </c>
      <c r="BZ90" s="172">
        <f t="array" aca="1" ref="BZ90" ca="1">IF(OR($D90&lt;&gt;"Serviço",AND(AUTOEVENTO="Manual",$M90=$A$15),$M90&gt;(ROW(PLE.lastrow)-ROW(PLE.firstrow))),0,
           IF(OFFSET(PLE!$G$15,$M90-$A$15,BZ$13)="",10^12,OFFSET(PLE!$G$15,$M90-$A$15,BZ$13)))</f>
        <v>1000000000000</v>
      </c>
      <c r="CA90" s="172">
        <f t="array" aca="1" ref="CA90" ca="1">IF(OR($D90&lt;&gt;"Serviço",AND(AUTOEVENTO="Manual",$M90=$A$15),$M90&gt;(ROW(PLE.lastrow)-ROW(PLE.firstrow))),0,
           IF(OFFSET(PLE!$G$15,$M90-$A$15,CA$13)="",10^12,OFFSET(PLE!$G$15,$M90-$A$15,CA$13)))</f>
        <v>1000000000000</v>
      </c>
      <c r="CB90" s="172">
        <f t="array" aca="1" ref="CB90" ca="1">IF(OR($D90&lt;&gt;"Serviço",AND(AUTOEVENTO="Manual",$M90=$A$15),$M90&gt;(ROW(PLE.lastrow)-ROW(PLE.firstrow))),0,
           IF(OFFSET(PLE!$G$15,$M90-$A$15,CB$13)="",10^12,OFFSET(PLE!$G$15,$M90-$A$15,CB$13)))</f>
        <v>1000000000000</v>
      </c>
      <c r="CC90" s="172">
        <f t="array" aca="1" ref="CC90" ca="1">IF(OR($D90&lt;&gt;"Serviço",AND(AUTOEVENTO="Manual",$M90=$A$15),$M90&gt;(ROW(PLE.lastrow)-ROW(PLE.firstrow))),0,
           IF(OFFSET(PLE!$G$15,$M90-$A$15,CC$13)="",10^12,OFFSET(PLE!$G$15,$M90-$A$15,CC$13)))</f>
        <v>1000000000000</v>
      </c>
      <c r="CD90" s="172">
        <f t="array" aca="1" ref="CD90" ca="1">IF(OR($D90&lt;&gt;"Serviço",AND(AUTOEVENTO="Manual",$M90=$A$15),$M90&gt;(ROW(PLE.lastrow)-ROW(PLE.firstrow))),0,
           IF(OFFSET(PLE!$G$15,$M90-$A$15,CD$13)="",10^12,OFFSET(PLE!$G$15,$M90-$A$15,CD$13)))</f>
        <v>1000000000000</v>
      </c>
      <c r="CE90" s="172">
        <f t="array" aca="1" ref="CE90" ca="1">IF(OR($D90&lt;&gt;"Serviço",AND(AUTOEVENTO="Manual",$M90=$A$15),$M90&gt;(ROW(PLE.lastrow)-ROW(PLE.firstrow))),0,
           IF(OFFSET(PLE!$G$15,$M90-$A$15,CE$13)="",10^12,OFFSET(PLE!$G$15,$M90-$A$15,CE$13)))</f>
        <v>1000000000000</v>
      </c>
      <c r="CF90" s="172">
        <f t="array" aca="1" ref="CF90" ca="1">IF(OR($D90&lt;&gt;"Serviço",AND(AUTOEVENTO="Manual",$M90=$A$15),$M90&gt;(ROW(PLE.lastrow)-ROW(PLE.firstrow))),0,
           IF(OFFSET(PLE!$G$15,$M90-$A$15,CF$13)="",10^12,OFFSET(PLE!$G$15,$M90-$A$15,CF$13)))</f>
        <v>1000000000000</v>
      </c>
      <c r="CG90" s="172">
        <f t="array" aca="1" ref="CG90" ca="1">IF(OR($D90&lt;&gt;"Serviço",AND(AUTOEVENTO="Manual",$M90=$A$15),$M90&gt;(ROW(PLE.lastrow)-ROW(PLE.firstrow))),0,
           IF(OFFSET(PLE!$G$15,$M90-$A$15,CG$13)="",10^12,OFFSET(PLE!$G$15,$M90-$A$15,CG$13)))</f>
        <v>1000000000000</v>
      </c>
      <c r="CH90" s="172">
        <f t="array" aca="1" ref="CH90" ca="1">IF(OR($D90&lt;&gt;"Serviço",AND(AUTOEVENTO="Manual",$M90=$A$15),$M90&gt;(ROW(PLE.lastrow)-ROW(PLE.firstrow))),0,
           IF(OFFSET(PLE!$G$15,$M90-$A$15,CH$13)="",10^12,OFFSET(PLE!$G$15,$M90-$A$15,CH$13)))</f>
        <v>1000000000000</v>
      </c>
      <c r="CI90" s="172">
        <f t="array" aca="1" ref="CI90" ca="1">IF(OR($D90&lt;&gt;"Serviço",AND(AUTOEVENTO="Manual",$M90=$A$15),$M90&gt;(ROW(PLE.lastrow)-ROW(PLE.firstrow))),0,
           IF(OFFSET(PLE!$G$15,$M90-$A$15,CI$13)="",10^12,OFFSET(PLE!$G$15,$M90-$A$15,CI$13)))</f>
        <v>1000000000000</v>
      </c>
      <c r="CJ90" s="172">
        <f t="array" aca="1" ref="CJ90" ca="1">IF(OR($D90&lt;&gt;"Serviço",AND(AUTOEVENTO="Manual",$M90=$A$15),$M90&gt;(ROW(PLE.lastrow)-ROW(PLE.firstrow))),0,
           IF(OFFSET(PLE!$G$15,$M90-$A$15,CJ$13)="",10^12,OFFSET(PLE!$G$15,$M90-$A$15,CJ$13)))</f>
        <v>1000000000000</v>
      </c>
      <c r="CK90" s="172">
        <f t="array" aca="1" ref="CK90" ca="1">IF(OR($D90&lt;&gt;"Serviço",AND(AUTOEVENTO="Manual",$M90=$A$15),$M90&gt;(ROW(PLE.lastrow)-ROW(PLE.firstrow))),0,
           IF(OFFSET(PLE!$G$15,$M90-$A$15,CK$13)="",10^12,OFFSET(PLE!$G$15,$M90-$A$15,CK$13)))</f>
        <v>1000000000000</v>
      </c>
      <c r="CL90" s="172">
        <f t="array" aca="1" ref="CL90" ca="1">IF(OR($D90&lt;&gt;"Serviço",AND(AUTOEVENTO="Manual",$M90=$A$15),$M90&gt;(ROW(PLE.lastrow)-ROW(PLE.firstrow))),0,
           IF(OFFSET(PLE!$G$15,$M90-$A$15,CL$13)="",10^12,OFFSET(PLE!$G$15,$M90-$A$15,CL$13)))</f>
        <v>1000000000000</v>
      </c>
      <c r="CM90" s="172">
        <f t="array" aca="1" ref="CM90" ca="1">IF(OR($D90&lt;&gt;"Serviço",AND(AUTOEVENTO="Manual",$M90=$A$15),$M90&gt;(ROW(PLE.lastrow)-ROW(PLE.firstrow))),0,
           IF(OFFSET(PLE!$G$15,$M90-$A$15,CM$13)="",10^12,OFFSET(PLE!$G$15,$M90-$A$15,CM$13)))</f>
        <v>1000000000000</v>
      </c>
    </row>
    <row r="91" spans="1:91" s="696" customFormat="1" ht="12.75" customHeight="1" x14ac:dyDescent="0.2">
      <c r="A91" s="694">
        <f t="shared" ca="1" si="45"/>
        <v>16</v>
      </c>
      <c r="B91" s="694" t="str">
        <f ca="1">OFFSET(ORÇAMENTO!C$15,$L91,0)</f>
        <v>S</v>
      </c>
      <c r="C91" s="694" t="str">
        <f ca="1">OFFSET(ORÇAMENTO!L$15,$L91,0)</f>
        <v>F</v>
      </c>
      <c r="D91" s="116" t="str">
        <f ca="1">OFFSET(ORÇAMENTO!N$15,$L91,0)</f>
        <v>Serviço</v>
      </c>
      <c r="E91" s="117" t="str">
        <f ca="1">OFFSET(ORÇAMENTO!O$15,$L91,0)</f>
        <v>1.14.5.</v>
      </c>
      <c r="F91" s="163" t="str">
        <f ca="1">OFFSET(ORÇAMENTO!R$15,$L91,0)</f>
        <v>MASSA ÚNICA, EM ARGAMASSA TRAÇO 1:2:8 PREPARO MECÂNICO, APLICADA MANUALMENTE EM PAREDES INTERNAS DE AMBIENTES COM ÁREA MAIOR QUE 10M², E = 10MM, COM TALISCAS. AF_03/2024</v>
      </c>
      <c r="G91" s="164" t="str">
        <f ca="1">IF($D91&lt;&gt;"Serviço","",OFFSET(ORÇAMENTO!S$15,$L91,0))</f>
        <v>M2</v>
      </c>
      <c r="H91" s="122">
        <f t="array" aca="1" ref="H91" ca="1">IF($D91&lt;&gt;"Serviço",0,IF(ACOMPANHAMENTO="BM",ROUND(OFFSET(ORÇAMENTO!AJ$15,$L91,0),15-13*ORÇAMENTO!$AF$7),IF(IFERROR(CÁLCULO.FrentesPreenchidas,0)=0,0,SUM(ROUND(OFFSET($P91,0,1,1,CÁLCULO.FrentesPreenchidas),15-13*ORÇAMENTO!$AF$7)))))</f>
        <v>651.20000000000005</v>
      </c>
      <c r="I91" s="467" t="s">
        <v>1255</v>
      </c>
      <c r="J91" s="653" t="str">
        <f t="array" aca="1" ref="J91" ca="1">IF(OR(B91&lt;&gt;"S",CÁLCULO.FrentesPreenchidas=0),"",IF(AND(ACOMPANHAMENTO="PLE",AUTOEVENTO="Manual",OR(H91&gt;0,ORÇAMENTO!AC91="QUANT."),OR(K91="",M91=0,N91="")),"►E",IF(AND(ACOMPANHAMENTO="PLE",ORÇAMENTO!AC91="QUANT."),"►Q",IF(AND(ACOMPANHAMENTO="PLE",H91&lt;&gt;SUMPRODUCT(($Q$1:$AI$1=1)*ROUND(Q91:AI91,15))),"►S",IF(AND(COUNTIF($P$11:$AI$11,"▼")=0,H91&gt;0,I91=""),"◄M","")))))</f>
        <v/>
      </c>
      <c r="K91" s="654" t="s">
        <v>1409</v>
      </c>
      <c r="L91" s="165">
        <f t="shared" ca="1" si="46"/>
        <v>76</v>
      </c>
      <c r="M91" s="166">
        <f ca="1">IF($D91&lt;&gt;"Serviço","",
          IF(AUTOEVENTO="manual",$A91,
                IF(ISERROR(MATCH($A91,$A$15:OFFSET($A91,-1,0),0)),MAX($M$15:OFFSET(M91,-1,0))+1,
                      INDEX($M$15:OFFSET(M91,-1,0),MATCH($A91,$A$15:OFFSET($A91,-1,0),0)))))</f>
        <v>16</v>
      </c>
      <c r="N91" s="167" t="str">
        <f ca="1">IF($D91&lt;&gt;"Serviço","",
         IF(AUTOEVENTO="Manual",
                IF($A91=0,"&lt;-- defina o número do agrupador",
                       OFFSET(EVENTOS!$D$15,$A91-$A$15,0)),
                OFFSET($F$15,$A91,0)))</f>
        <v>REVESTIMENTOS INTERNOS DE PAREDES</v>
      </c>
      <c r="O91" s="168"/>
      <c r="Q91" s="169">
        <f>32.56*5</f>
        <v>162.80000000000001</v>
      </c>
      <c r="R91" s="169">
        <f t="shared" ref="R91:T91" si="57">32.56*5</f>
        <v>162.80000000000001</v>
      </c>
      <c r="S91" s="169">
        <f t="shared" si="57"/>
        <v>162.80000000000001</v>
      </c>
      <c r="T91" s="169">
        <f t="shared" si="57"/>
        <v>162.80000000000001</v>
      </c>
      <c r="U91" s="169"/>
      <c r="V91" s="169"/>
      <c r="W91" s="169"/>
      <c r="X91" s="169"/>
      <c r="Y91" s="169"/>
      <c r="Z91" s="170"/>
      <c r="AA91" s="169"/>
      <c r="AB91" s="169"/>
      <c r="AC91" s="169"/>
      <c r="AD91" s="169"/>
      <c r="AE91" s="169"/>
      <c r="AF91" s="169"/>
      <c r="AG91" s="169"/>
      <c r="AH91" s="170"/>
      <c r="AJ91" s="452">
        <f ca="1">IF(AND($D91="Serviço",AJ$12&lt;&gt;0,$H91&gt;0,OR(AUTOEVENTO&lt;&gt;"manual",$M91&lt;&gt;$A$15)),
        IF(Import.TipoArredondamento&lt;&gt;"TransfereGOV",
              ROUND(OFFSET($P91,0,AJ$13),15-13*ORÇAMENTO!$AF$7)/$H91*OFFSET(ORÇAMENTO!$X$15,ROW(AJ91)-ROW(AJ$15),0),
              ROUND(ROUND(OFFSET($P91,0,AJ$13),15-13*ORÇAMENTO!$AF$7)*OFFSET(ORÇAMENTO!$W$15,ROW(AJ91)-ROW(AJ$15),0),15-13*ORÇAMENTO!$AF$11)),
         0)</f>
        <v>4757.0200000000004</v>
      </c>
      <c r="AK91" s="452">
        <f ca="1">IF(AND($D91="Serviço",AK$12&lt;&gt;0,$H91&gt;0,OR(AUTOEVENTO&lt;&gt;"manual",$M91&lt;&gt;$A$15)),
        IF(Import.TipoArredondamento&lt;&gt;"TransfereGOV",
              ROUND(OFFSET($P91,0,AK$13),15-13*ORÇAMENTO!$AF$7)/$H91*OFFSET(ORÇAMENTO!$X$15,ROW(AK91)-ROW(AK$15),0),
              ROUND(ROUND(OFFSET($P91,0,AK$13),15-13*ORÇAMENTO!$AF$7)*OFFSET(ORÇAMENTO!$W$15,ROW(AK91)-ROW(AK$15),0),15-13*ORÇAMENTO!$AF$11)),
         0)</f>
        <v>4757.0200000000004</v>
      </c>
      <c r="AL91" s="452">
        <f ca="1">IF(AND($D91="Serviço",AL$12&lt;&gt;0,$H91&gt;0,OR(AUTOEVENTO&lt;&gt;"manual",$M91&lt;&gt;$A$15)),
        IF(Import.TipoArredondamento&lt;&gt;"TransfereGOV",
              ROUND(OFFSET($P91,0,AL$13),15-13*ORÇAMENTO!$AF$7)/$H91*OFFSET(ORÇAMENTO!$X$15,ROW(AL91)-ROW(AL$15),0),
              ROUND(ROUND(OFFSET($P91,0,AL$13),15-13*ORÇAMENTO!$AF$7)*OFFSET(ORÇAMENTO!$W$15,ROW(AL91)-ROW(AL$15),0),15-13*ORÇAMENTO!$AF$11)),
         0)</f>
        <v>4757.0200000000004</v>
      </c>
      <c r="AM91" s="452">
        <f ca="1">IF(AND($D91="Serviço",AM$12&lt;&gt;0,$H91&gt;0,OR(AUTOEVENTO&lt;&gt;"manual",$M91&lt;&gt;$A$15)),
        IF(Import.TipoArredondamento&lt;&gt;"TransfereGOV",
              ROUND(OFFSET($P91,0,AM$13),15-13*ORÇAMENTO!$AF$7)/$H91*OFFSET(ORÇAMENTO!$X$15,ROW(AM91)-ROW(AM$15),0),
              ROUND(ROUND(OFFSET($P91,0,AM$13),15-13*ORÇAMENTO!$AF$7)*OFFSET(ORÇAMENTO!$W$15,ROW(AM91)-ROW(AM$15),0),15-13*ORÇAMENTO!$AF$11)),
         0)</f>
        <v>4757.0200000000004</v>
      </c>
      <c r="AN91" s="452">
        <f ca="1">IF(AND($D91="Serviço",AN$12&lt;&gt;0,$H91&gt;0,OR(AUTOEVENTO&lt;&gt;"manual",$M91&lt;&gt;$A$15)),
        IF(Import.TipoArredondamento&lt;&gt;"TransfereGOV",
              ROUND(OFFSET($P91,0,AN$13),15-13*ORÇAMENTO!$AF$7)/$H91*OFFSET(ORÇAMENTO!$X$15,ROW(AN91)-ROW(AN$15),0),
              ROUND(ROUND(OFFSET($P91,0,AN$13),15-13*ORÇAMENTO!$AF$7)*OFFSET(ORÇAMENTO!$W$15,ROW(AN91)-ROW(AN$15),0),15-13*ORÇAMENTO!$AF$11)),
         0)</f>
        <v>0</v>
      </c>
      <c r="AO91" s="452">
        <f ca="1">IF(AND($D91="Serviço",AO$12&lt;&gt;0,$H91&gt;0,OR(AUTOEVENTO&lt;&gt;"manual",$M91&lt;&gt;$A$15)),
        IF(Import.TipoArredondamento&lt;&gt;"TransfereGOV",
              ROUND(OFFSET($P91,0,AO$13),15-13*ORÇAMENTO!$AF$7)/$H91*OFFSET(ORÇAMENTO!$X$15,ROW(AO91)-ROW(AO$15),0),
              ROUND(ROUND(OFFSET($P91,0,AO$13),15-13*ORÇAMENTO!$AF$7)*OFFSET(ORÇAMENTO!$W$15,ROW(AO91)-ROW(AO$15),0),15-13*ORÇAMENTO!$AF$11)),
         0)</f>
        <v>0</v>
      </c>
      <c r="AP91" s="452">
        <f ca="1">IF(AND($D91="Serviço",AP$12&lt;&gt;0,$H91&gt;0,OR(AUTOEVENTO&lt;&gt;"manual",$M91&lt;&gt;$A$15)),
        IF(Import.TipoArredondamento&lt;&gt;"TransfereGOV",
              ROUND(OFFSET($P91,0,AP$13),15-13*ORÇAMENTO!$AF$7)/$H91*OFFSET(ORÇAMENTO!$X$15,ROW(AP91)-ROW(AP$15),0),
              ROUND(ROUND(OFFSET($P91,0,AP$13),15-13*ORÇAMENTO!$AF$7)*OFFSET(ORÇAMENTO!$W$15,ROW(AP91)-ROW(AP$15),0),15-13*ORÇAMENTO!$AF$11)),
         0)</f>
        <v>0</v>
      </c>
      <c r="AQ91" s="452">
        <f ca="1">IF(AND($D91="Serviço",AQ$12&lt;&gt;0,$H91&gt;0,OR(AUTOEVENTO&lt;&gt;"manual",$M91&lt;&gt;$A$15)),
        IF(Import.TipoArredondamento&lt;&gt;"TransfereGOV",
              ROUND(OFFSET($P91,0,AQ$13),15-13*ORÇAMENTO!$AF$7)/$H91*OFFSET(ORÇAMENTO!$X$15,ROW(AQ91)-ROW(AQ$15),0),
              ROUND(ROUND(OFFSET($P91,0,AQ$13),15-13*ORÇAMENTO!$AF$7)*OFFSET(ORÇAMENTO!$W$15,ROW(AQ91)-ROW(AQ$15),0),15-13*ORÇAMENTO!$AF$11)),
         0)</f>
        <v>0</v>
      </c>
      <c r="AR91" s="452">
        <f ca="1">IF(AND($D91="Serviço",AR$12&lt;&gt;0,$H91&gt;0,OR(AUTOEVENTO&lt;&gt;"manual",$M91&lt;&gt;$A$15)),
        IF(Import.TipoArredondamento&lt;&gt;"TransfereGOV",
              ROUND(OFFSET($P91,0,AR$13),15-13*ORÇAMENTO!$AF$7)/$H91*OFFSET(ORÇAMENTO!$X$15,ROW(AR91)-ROW(AR$15),0),
              ROUND(ROUND(OFFSET($P91,0,AR$13),15-13*ORÇAMENTO!$AF$7)*OFFSET(ORÇAMENTO!$W$15,ROW(AR91)-ROW(AR$15),0),15-13*ORÇAMENTO!$AF$11)),
         0)</f>
        <v>0</v>
      </c>
      <c r="AS91" s="452">
        <f ca="1">IF(AND($D91="Serviço",AS$12&lt;&gt;0,$H91&gt;0,OR(AUTOEVENTO&lt;&gt;"manual",$M91&lt;&gt;$A$15)),
        IF(Import.TipoArredondamento&lt;&gt;"TransfereGOV",
              ROUND(OFFSET($P91,0,AS$13),15-13*ORÇAMENTO!$AF$7)/$H91*OFFSET(ORÇAMENTO!$X$15,ROW(AS91)-ROW(AS$15),0),
              ROUND(ROUND(OFFSET($P91,0,AS$13),15-13*ORÇAMENTO!$AF$7)*OFFSET(ORÇAMENTO!$W$15,ROW(AS91)-ROW(AS$15),0),15-13*ORÇAMENTO!$AF$11)),
         0)</f>
        <v>0</v>
      </c>
      <c r="AT91" s="452">
        <f ca="1">IF(AND($D91="Serviço",AT$12&lt;&gt;0,$H91&gt;0,OR(AUTOEVENTO&lt;&gt;"manual",$M91&lt;&gt;$A$15)),
        IF(Import.TipoArredondamento&lt;&gt;"TransfereGOV",
              ROUND(OFFSET($P91,0,AT$13),15-13*ORÇAMENTO!$AF$7)/$H91*OFFSET(ORÇAMENTO!$X$15,ROW(AT91)-ROW(AT$15),0),
              ROUND(ROUND(OFFSET($P91,0,AT$13),15-13*ORÇAMENTO!$AF$7)*OFFSET(ORÇAMENTO!$W$15,ROW(AT91)-ROW(AT$15),0),15-13*ORÇAMENTO!$AF$11)),
         0)</f>
        <v>0</v>
      </c>
      <c r="AU91" s="452">
        <f ca="1">IF(AND($D91="Serviço",AU$12&lt;&gt;0,$H91&gt;0,OR(AUTOEVENTO&lt;&gt;"manual",$M91&lt;&gt;$A$15)),
        IF(Import.TipoArredondamento&lt;&gt;"TransfereGOV",
              ROUND(OFFSET($P91,0,AU$13),15-13*ORÇAMENTO!$AF$7)/$H91*OFFSET(ORÇAMENTO!$X$15,ROW(AU91)-ROW(AU$15),0),
              ROUND(ROUND(OFFSET($P91,0,AU$13),15-13*ORÇAMENTO!$AF$7)*OFFSET(ORÇAMENTO!$W$15,ROW(AU91)-ROW(AU$15),0),15-13*ORÇAMENTO!$AF$11)),
         0)</f>
        <v>0</v>
      </c>
      <c r="AV91" s="452">
        <f ca="1">IF(AND($D91="Serviço",AV$12&lt;&gt;0,$H91&gt;0,OR(AUTOEVENTO&lt;&gt;"manual",$M91&lt;&gt;$A$15)),
        IF(Import.TipoArredondamento&lt;&gt;"TransfereGOV",
              ROUND(OFFSET($P91,0,AV$13),15-13*ORÇAMENTO!$AF$7)/$H91*OFFSET(ORÇAMENTO!$X$15,ROW(AV91)-ROW(AV$15),0),
              ROUND(ROUND(OFFSET($P91,0,AV$13),15-13*ORÇAMENTO!$AF$7)*OFFSET(ORÇAMENTO!$W$15,ROW(AV91)-ROW(AV$15),0),15-13*ORÇAMENTO!$AF$11)),
         0)</f>
        <v>0</v>
      </c>
      <c r="AW91" s="452">
        <f ca="1">IF(AND($D91="Serviço",AW$12&lt;&gt;0,$H91&gt;0,OR(AUTOEVENTO&lt;&gt;"manual",$M91&lt;&gt;$A$15)),
        IF(Import.TipoArredondamento&lt;&gt;"TransfereGOV",
              ROUND(OFFSET($P91,0,AW$13),15-13*ORÇAMENTO!$AF$7)/$H91*OFFSET(ORÇAMENTO!$X$15,ROW(AW91)-ROW(AW$15),0),
              ROUND(ROUND(OFFSET($P91,0,AW$13),15-13*ORÇAMENTO!$AF$7)*OFFSET(ORÇAMENTO!$W$15,ROW(AW91)-ROW(AW$15),0),15-13*ORÇAMENTO!$AF$11)),
         0)</f>
        <v>0</v>
      </c>
      <c r="AX91" s="452">
        <f ca="1">IF(AND($D91="Serviço",AX$12&lt;&gt;0,$H91&gt;0,OR(AUTOEVENTO&lt;&gt;"manual",$M91&lt;&gt;$A$15)),
        IF(Import.TipoArredondamento&lt;&gt;"TransfereGOV",
              ROUND(OFFSET($P91,0,AX$13),15-13*ORÇAMENTO!$AF$7)/$H91*OFFSET(ORÇAMENTO!$X$15,ROW(AX91)-ROW(AX$15),0),
              ROUND(ROUND(OFFSET($P91,0,AX$13),15-13*ORÇAMENTO!$AF$7)*OFFSET(ORÇAMENTO!$W$15,ROW(AX91)-ROW(AX$15),0),15-13*ORÇAMENTO!$AF$11)),
         0)</f>
        <v>0</v>
      </c>
      <c r="AY91" s="452">
        <f ca="1">IF(AND($D91="Serviço",AY$12&lt;&gt;0,$H91&gt;0,OR(AUTOEVENTO&lt;&gt;"manual",$M91&lt;&gt;$A$15)),
        IF(Import.TipoArredondamento&lt;&gt;"TransfereGOV",
              ROUND(OFFSET($P91,0,AY$13),15-13*ORÇAMENTO!$AF$7)/$H91*OFFSET(ORÇAMENTO!$X$15,ROW(AY91)-ROW(AY$15),0),
              ROUND(ROUND(OFFSET($P91,0,AY$13),15-13*ORÇAMENTO!$AF$7)*OFFSET(ORÇAMENTO!$W$15,ROW(AY91)-ROW(AY$15),0),15-13*ORÇAMENTO!$AF$11)),
         0)</f>
        <v>0</v>
      </c>
      <c r="AZ91" s="452">
        <f ca="1">IF(AND($D91="Serviço",AZ$12&lt;&gt;0,$H91&gt;0,OR(AUTOEVENTO&lt;&gt;"manual",$M91&lt;&gt;$A$15)),
        IF(Import.TipoArredondamento&lt;&gt;"TransfereGOV",
              ROUND(OFFSET($P91,0,AZ$13),15-13*ORÇAMENTO!$AF$7)/$H91*OFFSET(ORÇAMENTO!$X$15,ROW(AZ91)-ROW(AZ$15),0),
              ROUND(ROUND(OFFSET($P91,0,AZ$13),15-13*ORÇAMENTO!$AF$7)*OFFSET(ORÇAMENTO!$W$15,ROW(AZ91)-ROW(AZ$15),0),15-13*ORÇAMENTO!$AF$11)),
         0)</f>
        <v>0</v>
      </c>
      <c r="BA91" s="452">
        <f ca="1">IF(AND($D91="Serviço",BA$12&lt;&gt;0,$H91&gt;0,OR(AUTOEVENTO&lt;&gt;"manual",$M91&lt;&gt;$A$15)),
        IF(Import.TipoArredondamento&lt;&gt;"TransfereGOV",
              ROUND(OFFSET($P91,0,BA$13),15-13*ORÇAMENTO!$AF$7)/$H91*OFFSET(ORÇAMENTO!$X$15,ROW(BA91)-ROW(BA$15),0),
              ROUND(ROUND(OFFSET($P91,0,BA$13),15-13*ORÇAMENTO!$AF$7)*OFFSET(ORÇAMENTO!$W$15,ROW(BA91)-ROW(BA$15),0),15-13*ORÇAMENTO!$AF$11)),
         0)</f>
        <v>0</v>
      </c>
      <c r="BC91" s="171">
        <f ca="1">IF(OR($D91&lt;&gt;"Serviço",AND(AUTOEVENTO="Manual",$M91=$A$15)),0,
         IF(OFFSET(CRONOPLE!$F$15,$M91-$A$15,BC$13)=0,10^12,OFFSET(CRONOPLE!$F$15,$M91-$A$15,BC$13)))</f>
        <v>5</v>
      </c>
      <c r="BD91" s="171">
        <f ca="1">IF(OR($D91&lt;&gt;"Serviço",AND(AUTOEVENTO="Manual",$M91=$A$15)),0,
         IF(OFFSET(CRONOPLE!$F$15,$M91-$A$15,BD$13)=0,10^12,OFFSET(CRONOPLE!$F$15,$M91-$A$15,BD$13)))</f>
        <v>5</v>
      </c>
      <c r="BE91" s="171">
        <f ca="1">IF(OR($D91&lt;&gt;"Serviço",AND(AUTOEVENTO="Manual",$M91=$A$15)),0,
         IF(OFFSET(CRONOPLE!$F$15,$M91-$A$15,BE$13)=0,10^12,OFFSET(CRONOPLE!$F$15,$M91-$A$15,BE$13)))</f>
        <v>7</v>
      </c>
      <c r="BF91" s="171">
        <f ca="1">IF(OR($D91&lt;&gt;"Serviço",AND(AUTOEVENTO="Manual",$M91=$A$15)),0,
         IF(OFFSET(CRONOPLE!$F$15,$M91-$A$15,BF$13)=0,10^12,OFFSET(CRONOPLE!$F$15,$M91-$A$15,BF$13)))</f>
        <v>7</v>
      </c>
      <c r="BG91" s="171">
        <f ca="1">IF(OR($D91&lt;&gt;"Serviço",AND(AUTOEVENTO="Manual",$M91=$A$15)),0,
         IF(OFFSET(CRONOPLE!$F$15,$M91-$A$15,BG$13)=0,10^12,OFFSET(CRONOPLE!$F$15,$M91-$A$15,BG$13)))</f>
        <v>7</v>
      </c>
      <c r="BH91" s="171">
        <f ca="1">IF(OR($D91&lt;&gt;"Serviço",AND(AUTOEVENTO="Manual",$M91=$A$15)),0,
         IF(OFFSET(CRONOPLE!$F$15,$M91-$A$15,BH$13)=0,10^12,OFFSET(CRONOPLE!$F$15,$M91-$A$15,BH$13)))</f>
        <v>1000000000000</v>
      </c>
      <c r="BI91" s="171">
        <f ca="1">IF(OR($D91&lt;&gt;"Serviço",AND(AUTOEVENTO="Manual",$M91=$A$15)),0,
         IF(OFFSET(CRONOPLE!$F$15,$M91-$A$15,BI$13)=0,10^12,OFFSET(CRONOPLE!$F$15,$M91-$A$15,BI$13)))</f>
        <v>7</v>
      </c>
      <c r="BJ91" s="171">
        <f ca="1">IF(OR($D91&lt;&gt;"Serviço",AND(AUTOEVENTO="Manual",$M91=$A$15)),0,
         IF(OFFSET(CRONOPLE!$F$15,$M91-$A$15,BJ$13)=0,10^12,OFFSET(CRONOPLE!$F$15,$M91-$A$15,BJ$13)))</f>
        <v>8</v>
      </c>
      <c r="BK91" s="171">
        <f ca="1">IF(OR($D91&lt;&gt;"Serviço",AND(AUTOEVENTO="Manual",$M91=$A$15)),0,
         IF(OFFSET(CRONOPLE!$F$15,$M91-$A$15,BK$13)=0,10^12,OFFSET(CRONOPLE!$F$15,$M91-$A$15,BK$13)))</f>
        <v>1000000000000</v>
      </c>
      <c r="BL91" s="171">
        <f ca="1">IF(OR($D91&lt;&gt;"Serviço",AND(AUTOEVENTO="Manual",$M91=$A$15)),0,
         IF(OFFSET(CRONOPLE!$F$15,$M91-$A$15,BL$13)=0,10^12,OFFSET(CRONOPLE!$F$15,$M91-$A$15,BL$13)))</f>
        <v>1000000000000</v>
      </c>
      <c r="BM91" s="171">
        <f ca="1">IF(OR($D91&lt;&gt;"Serviço",AND(AUTOEVENTO="Manual",$M91=$A$15)),0,
         IF(OFFSET(CRONOPLE!$F$15,$M91-$A$15,BM$13)=0,10^12,OFFSET(CRONOPLE!$F$15,$M91-$A$15,BM$13)))</f>
        <v>1000000000000</v>
      </c>
      <c r="BN91" s="171">
        <f ca="1">IF(OR($D91&lt;&gt;"Serviço",AND(AUTOEVENTO="Manual",$M91=$A$15)),0,
         IF(OFFSET(CRONOPLE!$F$15,$M91-$A$15,BN$13)=0,10^12,OFFSET(CRONOPLE!$F$15,$M91-$A$15,BN$13)))</f>
        <v>1000000000000</v>
      </c>
      <c r="BO91" s="171">
        <f ca="1">IF(OR($D91&lt;&gt;"Serviço",AND(AUTOEVENTO="Manual",$M91=$A$15)),0,
         IF(OFFSET(CRONOPLE!$F$15,$M91-$A$15,BO$13)=0,10^12,OFFSET(CRONOPLE!$F$15,$M91-$A$15,BO$13)))</f>
        <v>1000000000000</v>
      </c>
      <c r="BP91" s="171">
        <f ca="1">IF(OR($D91&lt;&gt;"Serviço",AND(AUTOEVENTO="Manual",$M91=$A$15)),0,
         IF(OFFSET(CRONOPLE!$F$15,$M91-$A$15,BP$13)=0,10^12,OFFSET(CRONOPLE!$F$15,$M91-$A$15,BP$13)))</f>
        <v>1000000000000</v>
      </c>
      <c r="BQ91" s="171">
        <f ca="1">IF(OR($D91&lt;&gt;"Serviço",AND(AUTOEVENTO="Manual",$M91=$A$15)),0,
         IF(OFFSET(CRONOPLE!$F$15,$M91-$A$15,BQ$13)=0,10^12,OFFSET(CRONOPLE!$F$15,$M91-$A$15,BQ$13)))</f>
        <v>1000000000000</v>
      </c>
      <c r="BR91" s="171">
        <f ca="1">IF(OR($D91&lt;&gt;"Serviço",AND(AUTOEVENTO="Manual",$M91=$A$15)),0,
         IF(OFFSET(CRONOPLE!$F$15,$M91-$A$15,BR$13)=0,10^12,OFFSET(CRONOPLE!$F$15,$M91-$A$15,BR$13)))</f>
        <v>1000000000000</v>
      </c>
      <c r="BS91" s="171">
        <f ca="1">IF(OR($D91&lt;&gt;"Serviço",AND(AUTOEVENTO="Manual",$M91=$A$15)),0,
         IF(OFFSET(CRONOPLE!$F$15,$M91-$A$15,BS$13)=0,10^12,OFFSET(CRONOPLE!$F$15,$M91-$A$15,BS$13)))</f>
        <v>1000000000000</v>
      </c>
      <c r="BT91" s="171">
        <f ca="1">IF(OR($D91&lt;&gt;"Serviço",AND(AUTOEVENTO="Manual",$M91=$A$15)),0,
         IF(OFFSET(CRONOPLE!$F$15,$M91-$A$15,BT$13)=0,10^12,OFFSET(CRONOPLE!$F$15,$M91-$A$15,BT$13)))</f>
        <v>1000000000000</v>
      </c>
      <c r="BV91" s="172">
        <f t="array" aca="1" ref="BV91" ca="1">IF(OR($D91&lt;&gt;"Serviço",AND(AUTOEVENTO="Manual",$M91=$A$15),$M91&gt;(ROW(PLE.lastrow)-ROW(PLE.firstrow))),0,
           IF(OFFSET(PLE!$G$15,$M91-$A$15,BV$13)="",10^12,OFFSET(PLE!$G$15,$M91-$A$15,BV$13)))</f>
        <v>1000000000000</v>
      </c>
      <c r="BW91" s="172">
        <f t="array" aca="1" ref="BW91" ca="1">IF(OR($D91&lt;&gt;"Serviço",AND(AUTOEVENTO="Manual",$M91=$A$15),$M91&gt;(ROW(PLE.lastrow)-ROW(PLE.firstrow))),0,
           IF(OFFSET(PLE!$G$15,$M91-$A$15,BW$13)="",10^12,OFFSET(PLE!$G$15,$M91-$A$15,BW$13)))</f>
        <v>1000000000000</v>
      </c>
      <c r="BX91" s="172">
        <f t="array" aca="1" ref="BX91" ca="1">IF(OR($D91&lt;&gt;"Serviço",AND(AUTOEVENTO="Manual",$M91=$A$15),$M91&gt;(ROW(PLE.lastrow)-ROW(PLE.firstrow))),0,
           IF(OFFSET(PLE!$G$15,$M91-$A$15,BX$13)="",10^12,OFFSET(PLE!$G$15,$M91-$A$15,BX$13)))</f>
        <v>1000000000000</v>
      </c>
      <c r="BY91" s="172">
        <f t="array" aca="1" ref="BY91" ca="1">IF(OR($D91&lt;&gt;"Serviço",AND(AUTOEVENTO="Manual",$M91=$A$15),$M91&gt;(ROW(PLE.lastrow)-ROW(PLE.firstrow))),0,
           IF(OFFSET(PLE!$G$15,$M91-$A$15,BY$13)="",10^12,OFFSET(PLE!$G$15,$M91-$A$15,BY$13)))</f>
        <v>1000000000000</v>
      </c>
      <c r="BZ91" s="172">
        <f t="array" aca="1" ref="BZ91" ca="1">IF(OR($D91&lt;&gt;"Serviço",AND(AUTOEVENTO="Manual",$M91=$A$15),$M91&gt;(ROW(PLE.lastrow)-ROW(PLE.firstrow))),0,
           IF(OFFSET(PLE!$G$15,$M91-$A$15,BZ$13)="",10^12,OFFSET(PLE!$G$15,$M91-$A$15,BZ$13)))</f>
        <v>1000000000000</v>
      </c>
      <c r="CA91" s="172">
        <f t="array" aca="1" ref="CA91" ca="1">IF(OR($D91&lt;&gt;"Serviço",AND(AUTOEVENTO="Manual",$M91=$A$15),$M91&gt;(ROW(PLE.lastrow)-ROW(PLE.firstrow))),0,
           IF(OFFSET(PLE!$G$15,$M91-$A$15,CA$13)="",10^12,OFFSET(PLE!$G$15,$M91-$A$15,CA$13)))</f>
        <v>1000000000000</v>
      </c>
      <c r="CB91" s="172">
        <f t="array" aca="1" ref="CB91" ca="1">IF(OR($D91&lt;&gt;"Serviço",AND(AUTOEVENTO="Manual",$M91=$A$15),$M91&gt;(ROW(PLE.lastrow)-ROW(PLE.firstrow))),0,
           IF(OFFSET(PLE!$G$15,$M91-$A$15,CB$13)="",10^12,OFFSET(PLE!$G$15,$M91-$A$15,CB$13)))</f>
        <v>1000000000000</v>
      </c>
      <c r="CC91" s="172">
        <f t="array" aca="1" ref="CC91" ca="1">IF(OR($D91&lt;&gt;"Serviço",AND(AUTOEVENTO="Manual",$M91=$A$15),$M91&gt;(ROW(PLE.lastrow)-ROW(PLE.firstrow))),0,
           IF(OFFSET(PLE!$G$15,$M91-$A$15,CC$13)="",10^12,OFFSET(PLE!$G$15,$M91-$A$15,CC$13)))</f>
        <v>1000000000000</v>
      </c>
      <c r="CD91" s="172">
        <f t="array" aca="1" ref="CD91" ca="1">IF(OR($D91&lt;&gt;"Serviço",AND(AUTOEVENTO="Manual",$M91=$A$15),$M91&gt;(ROW(PLE.lastrow)-ROW(PLE.firstrow))),0,
           IF(OFFSET(PLE!$G$15,$M91-$A$15,CD$13)="",10^12,OFFSET(PLE!$G$15,$M91-$A$15,CD$13)))</f>
        <v>1000000000000</v>
      </c>
      <c r="CE91" s="172">
        <f t="array" aca="1" ref="CE91" ca="1">IF(OR($D91&lt;&gt;"Serviço",AND(AUTOEVENTO="Manual",$M91=$A$15),$M91&gt;(ROW(PLE.lastrow)-ROW(PLE.firstrow))),0,
           IF(OFFSET(PLE!$G$15,$M91-$A$15,CE$13)="",10^12,OFFSET(PLE!$G$15,$M91-$A$15,CE$13)))</f>
        <v>1000000000000</v>
      </c>
      <c r="CF91" s="172">
        <f t="array" aca="1" ref="CF91" ca="1">IF(OR($D91&lt;&gt;"Serviço",AND(AUTOEVENTO="Manual",$M91=$A$15),$M91&gt;(ROW(PLE.lastrow)-ROW(PLE.firstrow))),0,
           IF(OFFSET(PLE!$G$15,$M91-$A$15,CF$13)="",10^12,OFFSET(PLE!$G$15,$M91-$A$15,CF$13)))</f>
        <v>1000000000000</v>
      </c>
      <c r="CG91" s="172">
        <f t="array" aca="1" ref="CG91" ca="1">IF(OR($D91&lt;&gt;"Serviço",AND(AUTOEVENTO="Manual",$M91=$A$15),$M91&gt;(ROW(PLE.lastrow)-ROW(PLE.firstrow))),0,
           IF(OFFSET(PLE!$G$15,$M91-$A$15,CG$13)="",10^12,OFFSET(PLE!$G$15,$M91-$A$15,CG$13)))</f>
        <v>1000000000000</v>
      </c>
      <c r="CH91" s="172">
        <f t="array" aca="1" ref="CH91" ca="1">IF(OR($D91&lt;&gt;"Serviço",AND(AUTOEVENTO="Manual",$M91=$A$15),$M91&gt;(ROW(PLE.lastrow)-ROW(PLE.firstrow))),0,
           IF(OFFSET(PLE!$G$15,$M91-$A$15,CH$13)="",10^12,OFFSET(PLE!$G$15,$M91-$A$15,CH$13)))</f>
        <v>1000000000000</v>
      </c>
      <c r="CI91" s="172">
        <f t="array" aca="1" ref="CI91" ca="1">IF(OR($D91&lt;&gt;"Serviço",AND(AUTOEVENTO="Manual",$M91=$A$15),$M91&gt;(ROW(PLE.lastrow)-ROW(PLE.firstrow))),0,
           IF(OFFSET(PLE!$G$15,$M91-$A$15,CI$13)="",10^12,OFFSET(PLE!$G$15,$M91-$A$15,CI$13)))</f>
        <v>1000000000000</v>
      </c>
      <c r="CJ91" s="172">
        <f t="array" aca="1" ref="CJ91" ca="1">IF(OR($D91&lt;&gt;"Serviço",AND(AUTOEVENTO="Manual",$M91=$A$15),$M91&gt;(ROW(PLE.lastrow)-ROW(PLE.firstrow))),0,
           IF(OFFSET(PLE!$G$15,$M91-$A$15,CJ$13)="",10^12,OFFSET(PLE!$G$15,$M91-$A$15,CJ$13)))</f>
        <v>1000000000000</v>
      </c>
      <c r="CK91" s="172">
        <f t="array" aca="1" ref="CK91" ca="1">IF(OR($D91&lt;&gt;"Serviço",AND(AUTOEVENTO="Manual",$M91=$A$15),$M91&gt;(ROW(PLE.lastrow)-ROW(PLE.firstrow))),0,
           IF(OFFSET(PLE!$G$15,$M91-$A$15,CK$13)="",10^12,OFFSET(PLE!$G$15,$M91-$A$15,CK$13)))</f>
        <v>1000000000000</v>
      </c>
      <c r="CL91" s="172">
        <f t="array" aca="1" ref="CL91" ca="1">IF(OR($D91&lt;&gt;"Serviço",AND(AUTOEVENTO="Manual",$M91=$A$15),$M91&gt;(ROW(PLE.lastrow)-ROW(PLE.firstrow))),0,
           IF(OFFSET(PLE!$G$15,$M91-$A$15,CL$13)="",10^12,OFFSET(PLE!$G$15,$M91-$A$15,CL$13)))</f>
        <v>1000000000000</v>
      </c>
      <c r="CM91" s="172">
        <f t="array" aca="1" ref="CM91" ca="1">IF(OR($D91&lt;&gt;"Serviço",AND(AUTOEVENTO="Manual",$M91=$A$15),$M91&gt;(ROW(PLE.lastrow)-ROW(PLE.firstrow))),0,
           IF(OFFSET(PLE!$G$15,$M91-$A$15,CM$13)="",10^12,OFFSET(PLE!$G$15,$M91-$A$15,CM$13)))</f>
        <v>1000000000000</v>
      </c>
    </row>
    <row r="92" spans="1:91" s="696" customFormat="1" ht="38.25" x14ac:dyDescent="0.2">
      <c r="A92" s="694">
        <f t="shared" ca="1" si="45"/>
        <v>17</v>
      </c>
      <c r="B92" s="694" t="str">
        <f ca="1">OFFSET(ORÇAMENTO!C$15,$L92,0)</f>
        <v>S</v>
      </c>
      <c r="C92" s="694" t="str">
        <f ca="1">OFFSET(ORÇAMENTO!L$15,$L92,0)</f>
        <v>F</v>
      </c>
      <c r="D92" s="116" t="str">
        <f ca="1">OFFSET(ORÇAMENTO!N$15,$L92,0)</f>
        <v>Serviço</v>
      </c>
      <c r="E92" s="117" t="str">
        <f ca="1">OFFSET(ORÇAMENTO!O$15,$L92,0)</f>
        <v>1.14.6.</v>
      </c>
      <c r="F92" s="163" t="str">
        <f ca="1">OFFSET(ORÇAMENTO!R$15,$L92,0)</f>
        <v>MASSA ÚNICA, EM ARGAMASSA TRAÇO 1:2:8, PREPARO MECÂNICO, APLICADA MANUALMENTE EM TETO, E = 10MM, COM TALISCAS. AF_03/2024</v>
      </c>
      <c r="G92" s="164" t="str">
        <f ca="1">IF($D92&lt;&gt;"Serviço","",OFFSET(ORÇAMENTO!S$15,$L92,0))</f>
        <v>M2</v>
      </c>
      <c r="H92" s="122">
        <f t="array" aca="1" ref="H92" ca="1">IF($D92&lt;&gt;"Serviço",0,IF(ACOMPANHAMENTO="BM",ROUND(OFFSET(ORÇAMENTO!AJ$15,$L92,0),15-13*ORÇAMENTO!$AF$7),IF(IFERROR(CÁLCULO.FrentesPreenchidas,0)=0,0,SUM(ROUND(OFFSET($P92,0,1,1,CÁLCULO.FrentesPreenchidas),15-13*ORÇAMENTO!$AF$7)))))</f>
        <v>88.8</v>
      </c>
      <c r="I92" s="467" t="s">
        <v>1257</v>
      </c>
      <c r="J92" s="653" t="str">
        <f t="array" aca="1" ref="J92" ca="1">IF(OR(B92&lt;&gt;"S",CÁLCULO.FrentesPreenchidas=0),"",IF(AND(ACOMPANHAMENTO="PLE",AUTOEVENTO="Manual",OR(H92&gt;0,ORÇAMENTO!AC92="QUANT."),OR(K92="",M92=0,N92="")),"►E",IF(AND(ACOMPANHAMENTO="PLE",ORÇAMENTO!AC92="QUANT."),"►Q",IF(AND(ACOMPANHAMENTO="PLE",H92&lt;&gt;SUMPRODUCT(($Q$1:$AI$1=1)*ROUND(Q92:AI92,15))),"►S",IF(AND(COUNTIF($P$11:$AI$11,"▼")=0,H92&gt;0,I92=""),"◄M","")))))</f>
        <v/>
      </c>
      <c r="K92" s="654" t="s">
        <v>1408</v>
      </c>
      <c r="L92" s="165">
        <f t="shared" ca="1" si="46"/>
        <v>77</v>
      </c>
      <c r="M92" s="166">
        <f ca="1">IF($D92&lt;&gt;"Serviço","",
          IF(AUTOEVENTO="manual",$A92,
                IF(ISERROR(MATCH($A92,$A$15:OFFSET($A92,-1,0),0)),MAX($M$15:OFFSET(M92,-1,0))+1,
                      INDEX($M$15:OFFSET(M92,-1,0),MATCH($A92,$A$15:OFFSET($A92,-1,0),0)))))</f>
        <v>17</v>
      </c>
      <c r="N92" s="167" t="str">
        <f ca="1">IF($D92&lt;&gt;"Serviço","",
         IF(AUTOEVENTO="Manual",
                IF($A92=0,"&lt;-- defina o número do agrupador",
                       OFFSET(EVENTOS!$D$15,$A92-$A$15,0)),
                OFFSET($F$15,$A92,0)))</f>
        <v>REVESTIMENTOS INTERNOS DE TETO</v>
      </c>
      <c r="O92" s="168"/>
      <c r="Q92" s="169">
        <f>4.44*5</f>
        <v>22.200000000000003</v>
      </c>
      <c r="R92" s="169">
        <f t="shared" ref="R92:T92" si="58">4.44*5</f>
        <v>22.200000000000003</v>
      </c>
      <c r="S92" s="169">
        <f t="shared" si="58"/>
        <v>22.200000000000003</v>
      </c>
      <c r="T92" s="169">
        <f t="shared" si="58"/>
        <v>22.200000000000003</v>
      </c>
      <c r="U92" s="169"/>
      <c r="V92" s="169"/>
      <c r="W92" s="169"/>
      <c r="X92" s="169"/>
      <c r="Y92" s="169"/>
      <c r="Z92" s="170"/>
      <c r="AA92" s="169"/>
      <c r="AB92" s="169"/>
      <c r="AC92" s="169"/>
      <c r="AD92" s="169"/>
      <c r="AE92" s="169"/>
      <c r="AF92" s="169"/>
      <c r="AG92" s="169"/>
      <c r="AH92" s="170"/>
      <c r="AJ92" s="452">
        <f ca="1">IF(AND($D92="Serviço",AJ$12&lt;&gt;0,$H92&gt;0,OR(AUTOEVENTO&lt;&gt;"manual",$M92&lt;&gt;$A$15)),
        IF(Import.TipoArredondamento&lt;&gt;"TransfereGOV",
              ROUND(OFFSET($P92,0,AJ$13),15-13*ORÇAMENTO!$AF$7)/$H92*OFFSET(ORÇAMENTO!$X$15,ROW(AJ92)-ROW(AJ$15),0),
              ROUND(ROUND(OFFSET($P92,0,AJ$13),15-13*ORÇAMENTO!$AF$7)*OFFSET(ORÇAMENTO!$W$15,ROW(AJ92)-ROW(AJ$15),0),15-13*ORÇAMENTO!$AF$11)),
         0)</f>
        <v>899.77</v>
      </c>
      <c r="AK92" s="452">
        <f ca="1">IF(AND($D92="Serviço",AK$12&lt;&gt;0,$H92&gt;0,OR(AUTOEVENTO&lt;&gt;"manual",$M92&lt;&gt;$A$15)),
        IF(Import.TipoArredondamento&lt;&gt;"TransfereGOV",
              ROUND(OFFSET($P92,0,AK$13),15-13*ORÇAMENTO!$AF$7)/$H92*OFFSET(ORÇAMENTO!$X$15,ROW(AK92)-ROW(AK$15),0),
              ROUND(ROUND(OFFSET($P92,0,AK$13),15-13*ORÇAMENTO!$AF$7)*OFFSET(ORÇAMENTO!$W$15,ROW(AK92)-ROW(AK$15),0),15-13*ORÇAMENTO!$AF$11)),
         0)</f>
        <v>899.77</v>
      </c>
      <c r="AL92" s="452">
        <f ca="1">IF(AND($D92="Serviço",AL$12&lt;&gt;0,$H92&gt;0,OR(AUTOEVENTO&lt;&gt;"manual",$M92&lt;&gt;$A$15)),
        IF(Import.TipoArredondamento&lt;&gt;"TransfereGOV",
              ROUND(OFFSET($P92,0,AL$13),15-13*ORÇAMENTO!$AF$7)/$H92*OFFSET(ORÇAMENTO!$X$15,ROW(AL92)-ROW(AL$15),0),
              ROUND(ROUND(OFFSET($P92,0,AL$13),15-13*ORÇAMENTO!$AF$7)*OFFSET(ORÇAMENTO!$W$15,ROW(AL92)-ROW(AL$15),0),15-13*ORÇAMENTO!$AF$11)),
         0)</f>
        <v>899.77</v>
      </c>
      <c r="AM92" s="452">
        <f ca="1">IF(AND($D92="Serviço",AM$12&lt;&gt;0,$H92&gt;0,OR(AUTOEVENTO&lt;&gt;"manual",$M92&lt;&gt;$A$15)),
        IF(Import.TipoArredondamento&lt;&gt;"TransfereGOV",
              ROUND(OFFSET($P92,0,AM$13),15-13*ORÇAMENTO!$AF$7)/$H92*OFFSET(ORÇAMENTO!$X$15,ROW(AM92)-ROW(AM$15),0),
              ROUND(ROUND(OFFSET($P92,0,AM$13),15-13*ORÇAMENTO!$AF$7)*OFFSET(ORÇAMENTO!$W$15,ROW(AM92)-ROW(AM$15),0),15-13*ORÇAMENTO!$AF$11)),
         0)</f>
        <v>899.77</v>
      </c>
      <c r="AN92" s="452">
        <f ca="1">IF(AND($D92="Serviço",AN$12&lt;&gt;0,$H92&gt;0,OR(AUTOEVENTO&lt;&gt;"manual",$M92&lt;&gt;$A$15)),
        IF(Import.TipoArredondamento&lt;&gt;"TransfereGOV",
              ROUND(OFFSET($P92,0,AN$13),15-13*ORÇAMENTO!$AF$7)/$H92*OFFSET(ORÇAMENTO!$X$15,ROW(AN92)-ROW(AN$15),0),
              ROUND(ROUND(OFFSET($P92,0,AN$13),15-13*ORÇAMENTO!$AF$7)*OFFSET(ORÇAMENTO!$W$15,ROW(AN92)-ROW(AN$15),0),15-13*ORÇAMENTO!$AF$11)),
         0)</f>
        <v>0</v>
      </c>
      <c r="AO92" s="452">
        <f ca="1">IF(AND($D92="Serviço",AO$12&lt;&gt;0,$H92&gt;0,OR(AUTOEVENTO&lt;&gt;"manual",$M92&lt;&gt;$A$15)),
        IF(Import.TipoArredondamento&lt;&gt;"TransfereGOV",
              ROUND(OFFSET($P92,0,AO$13),15-13*ORÇAMENTO!$AF$7)/$H92*OFFSET(ORÇAMENTO!$X$15,ROW(AO92)-ROW(AO$15),0),
              ROUND(ROUND(OFFSET($P92,0,AO$13),15-13*ORÇAMENTO!$AF$7)*OFFSET(ORÇAMENTO!$W$15,ROW(AO92)-ROW(AO$15),0),15-13*ORÇAMENTO!$AF$11)),
         0)</f>
        <v>0</v>
      </c>
      <c r="AP92" s="452">
        <f ca="1">IF(AND($D92="Serviço",AP$12&lt;&gt;0,$H92&gt;0,OR(AUTOEVENTO&lt;&gt;"manual",$M92&lt;&gt;$A$15)),
        IF(Import.TipoArredondamento&lt;&gt;"TransfereGOV",
              ROUND(OFFSET($P92,0,AP$13),15-13*ORÇAMENTO!$AF$7)/$H92*OFFSET(ORÇAMENTO!$X$15,ROW(AP92)-ROW(AP$15),0),
              ROUND(ROUND(OFFSET($P92,0,AP$13),15-13*ORÇAMENTO!$AF$7)*OFFSET(ORÇAMENTO!$W$15,ROW(AP92)-ROW(AP$15),0),15-13*ORÇAMENTO!$AF$11)),
         0)</f>
        <v>0</v>
      </c>
      <c r="AQ92" s="452">
        <f ca="1">IF(AND($D92="Serviço",AQ$12&lt;&gt;0,$H92&gt;0,OR(AUTOEVENTO&lt;&gt;"manual",$M92&lt;&gt;$A$15)),
        IF(Import.TipoArredondamento&lt;&gt;"TransfereGOV",
              ROUND(OFFSET($P92,0,AQ$13),15-13*ORÇAMENTO!$AF$7)/$H92*OFFSET(ORÇAMENTO!$X$15,ROW(AQ92)-ROW(AQ$15),0),
              ROUND(ROUND(OFFSET($P92,0,AQ$13),15-13*ORÇAMENTO!$AF$7)*OFFSET(ORÇAMENTO!$W$15,ROW(AQ92)-ROW(AQ$15),0),15-13*ORÇAMENTO!$AF$11)),
         0)</f>
        <v>0</v>
      </c>
      <c r="AR92" s="452">
        <f ca="1">IF(AND($D92="Serviço",AR$12&lt;&gt;0,$H92&gt;0,OR(AUTOEVENTO&lt;&gt;"manual",$M92&lt;&gt;$A$15)),
        IF(Import.TipoArredondamento&lt;&gt;"TransfereGOV",
              ROUND(OFFSET($P92,0,AR$13),15-13*ORÇAMENTO!$AF$7)/$H92*OFFSET(ORÇAMENTO!$X$15,ROW(AR92)-ROW(AR$15),0),
              ROUND(ROUND(OFFSET($P92,0,AR$13),15-13*ORÇAMENTO!$AF$7)*OFFSET(ORÇAMENTO!$W$15,ROW(AR92)-ROW(AR$15),0),15-13*ORÇAMENTO!$AF$11)),
         0)</f>
        <v>0</v>
      </c>
      <c r="AS92" s="452">
        <f ca="1">IF(AND($D92="Serviço",AS$12&lt;&gt;0,$H92&gt;0,OR(AUTOEVENTO&lt;&gt;"manual",$M92&lt;&gt;$A$15)),
        IF(Import.TipoArredondamento&lt;&gt;"TransfereGOV",
              ROUND(OFFSET($P92,0,AS$13),15-13*ORÇAMENTO!$AF$7)/$H92*OFFSET(ORÇAMENTO!$X$15,ROW(AS92)-ROW(AS$15),0),
              ROUND(ROUND(OFFSET($P92,0,AS$13),15-13*ORÇAMENTO!$AF$7)*OFFSET(ORÇAMENTO!$W$15,ROW(AS92)-ROW(AS$15),0),15-13*ORÇAMENTO!$AF$11)),
         0)</f>
        <v>0</v>
      </c>
      <c r="AT92" s="452">
        <f ca="1">IF(AND($D92="Serviço",AT$12&lt;&gt;0,$H92&gt;0,OR(AUTOEVENTO&lt;&gt;"manual",$M92&lt;&gt;$A$15)),
        IF(Import.TipoArredondamento&lt;&gt;"TransfereGOV",
              ROUND(OFFSET($P92,0,AT$13),15-13*ORÇAMENTO!$AF$7)/$H92*OFFSET(ORÇAMENTO!$X$15,ROW(AT92)-ROW(AT$15),0),
              ROUND(ROUND(OFFSET($P92,0,AT$13),15-13*ORÇAMENTO!$AF$7)*OFFSET(ORÇAMENTO!$W$15,ROW(AT92)-ROW(AT$15),0),15-13*ORÇAMENTO!$AF$11)),
         0)</f>
        <v>0</v>
      </c>
      <c r="AU92" s="452">
        <f ca="1">IF(AND($D92="Serviço",AU$12&lt;&gt;0,$H92&gt;0,OR(AUTOEVENTO&lt;&gt;"manual",$M92&lt;&gt;$A$15)),
        IF(Import.TipoArredondamento&lt;&gt;"TransfereGOV",
              ROUND(OFFSET($P92,0,AU$13),15-13*ORÇAMENTO!$AF$7)/$H92*OFFSET(ORÇAMENTO!$X$15,ROW(AU92)-ROW(AU$15),0),
              ROUND(ROUND(OFFSET($P92,0,AU$13),15-13*ORÇAMENTO!$AF$7)*OFFSET(ORÇAMENTO!$W$15,ROW(AU92)-ROW(AU$15),0),15-13*ORÇAMENTO!$AF$11)),
         0)</f>
        <v>0</v>
      </c>
      <c r="AV92" s="452">
        <f ca="1">IF(AND($D92="Serviço",AV$12&lt;&gt;0,$H92&gt;0,OR(AUTOEVENTO&lt;&gt;"manual",$M92&lt;&gt;$A$15)),
        IF(Import.TipoArredondamento&lt;&gt;"TransfereGOV",
              ROUND(OFFSET($P92,0,AV$13),15-13*ORÇAMENTO!$AF$7)/$H92*OFFSET(ORÇAMENTO!$X$15,ROW(AV92)-ROW(AV$15),0),
              ROUND(ROUND(OFFSET($P92,0,AV$13),15-13*ORÇAMENTO!$AF$7)*OFFSET(ORÇAMENTO!$W$15,ROW(AV92)-ROW(AV$15),0),15-13*ORÇAMENTO!$AF$11)),
         0)</f>
        <v>0</v>
      </c>
      <c r="AW92" s="452">
        <f ca="1">IF(AND($D92="Serviço",AW$12&lt;&gt;0,$H92&gt;0,OR(AUTOEVENTO&lt;&gt;"manual",$M92&lt;&gt;$A$15)),
        IF(Import.TipoArredondamento&lt;&gt;"TransfereGOV",
              ROUND(OFFSET($P92,0,AW$13),15-13*ORÇAMENTO!$AF$7)/$H92*OFFSET(ORÇAMENTO!$X$15,ROW(AW92)-ROW(AW$15),0),
              ROUND(ROUND(OFFSET($P92,0,AW$13),15-13*ORÇAMENTO!$AF$7)*OFFSET(ORÇAMENTO!$W$15,ROW(AW92)-ROW(AW$15),0),15-13*ORÇAMENTO!$AF$11)),
         0)</f>
        <v>0</v>
      </c>
      <c r="AX92" s="452">
        <f ca="1">IF(AND($D92="Serviço",AX$12&lt;&gt;0,$H92&gt;0,OR(AUTOEVENTO&lt;&gt;"manual",$M92&lt;&gt;$A$15)),
        IF(Import.TipoArredondamento&lt;&gt;"TransfereGOV",
              ROUND(OFFSET($P92,0,AX$13),15-13*ORÇAMENTO!$AF$7)/$H92*OFFSET(ORÇAMENTO!$X$15,ROW(AX92)-ROW(AX$15),0),
              ROUND(ROUND(OFFSET($P92,0,AX$13),15-13*ORÇAMENTO!$AF$7)*OFFSET(ORÇAMENTO!$W$15,ROW(AX92)-ROW(AX$15),0),15-13*ORÇAMENTO!$AF$11)),
         0)</f>
        <v>0</v>
      </c>
      <c r="AY92" s="452">
        <f ca="1">IF(AND($D92="Serviço",AY$12&lt;&gt;0,$H92&gt;0,OR(AUTOEVENTO&lt;&gt;"manual",$M92&lt;&gt;$A$15)),
        IF(Import.TipoArredondamento&lt;&gt;"TransfereGOV",
              ROUND(OFFSET($P92,0,AY$13),15-13*ORÇAMENTO!$AF$7)/$H92*OFFSET(ORÇAMENTO!$X$15,ROW(AY92)-ROW(AY$15),0),
              ROUND(ROUND(OFFSET($P92,0,AY$13),15-13*ORÇAMENTO!$AF$7)*OFFSET(ORÇAMENTO!$W$15,ROW(AY92)-ROW(AY$15),0),15-13*ORÇAMENTO!$AF$11)),
         0)</f>
        <v>0</v>
      </c>
      <c r="AZ92" s="452">
        <f ca="1">IF(AND($D92="Serviço",AZ$12&lt;&gt;0,$H92&gt;0,OR(AUTOEVENTO&lt;&gt;"manual",$M92&lt;&gt;$A$15)),
        IF(Import.TipoArredondamento&lt;&gt;"TransfereGOV",
              ROUND(OFFSET($P92,0,AZ$13),15-13*ORÇAMENTO!$AF$7)/$H92*OFFSET(ORÇAMENTO!$X$15,ROW(AZ92)-ROW(AZ$15),0),
              ROUND(ROUND(OFFSET($P92,0,AZ$13),15-13*ORÇAMENTO!$AF$7)*OFFSET(ORÇAMENTO!$W$15,ROW(AZ92)-ROW(AZ$15),0),15-13*ORÇAMENTO!$AF$11)),
         0)</f>
        <v>0</v>
      </c>
      <c r="BA92" s="452">
        <f ca="1">IF(AND($D92="Serviço",BA$12&lt;&gt;0,$H92&gt;0,OR(AUTOEVENTO&lt;&gt;"manual",$M92&lt;&gt;$A$15)),
        IF(Import.TipoArredondamento&lt;&gt;"TransfereGOV",
              ROUND(OFFSET($P92,0,BA$13),15-13*ORÇAMENTO!$AF$7)/$H92*OFFSET(ORÇAMENTO!$X$15,ROW(BA92)-ROW(BA$15),0),
              ROUND(ROUND(OFFSET($P92,0,BA$13),15-13*ORÇAMENTO!$AF$7)*OFFSET(ORÇAMENTO!$W$15,ROW(BA92)-ROW(BA$15),0),15-13*ORÇAMENTO!$AF$11)),
         0)</f>
        <v>0</v>
      </c>
      <c r="BC92" s="171">
        <f ca="1">IF(OR($D92&lt;&gt;"Serviço",AND(AUTOEVENTO="Manual",$M92=$A$15)),0,
         IF(OFFSET(CRONOPLE!$F$15,$M92-$A$15,BC$13)=0,10^12,OFFSET(CRONOPLE!$F$15,$M92-$A$15,BC$13)))</f>
        <v>5</v>
      </c>
      <c r="BD92" s="171">
        <f ca="1">IF(OR($D92&lt;&gt;"Serviço",AND(AUTOEVENTO="Manual",$M92=$A$15)),0,
         IF(OFFSET(CRONOPLE!$F$15,$M92-$A$15,BD$13)=0,10^12,OFFSET(CRONOPLE!$F$15,$M92-$A$15,BD$13)))</f>
        <v>6</v>
      </c>
      <c r="BE92" s="171">
        <f ca="1">IF(OR($D92&lt;&gt;"Serviço",AND(AUTOEVENTO="Manual",$M92=$A$15)),0,
         IF(OFFSET(CRONOPLE!$F$15,$M92-$A$15,BE$13)=0,10^12,OFFSET(CRONOPLE!$F$15,$M92-$A$15,BE$13)))</f>
        <v>7</v>
      </c>
      <c r="BF92" s="171">
        <f ca="1">IF(OR($D92&lt;&gt;"Serviço",AND(AUTOEVENTO="Manual",$M92=$A$15)),0,
         IF(OFFSET(CRONOPLE!$F$15,$M92-$A$15,BF$13)=0,10^12,OFFSET(CRONOPLE!$F$15,$M92-$A$15,BF$13)))</f>
        <v>7</v>
      </c>
      <c r="BG92" s="171">
        <f ca="1">IF(OR($D92&lt;&gt;"Serviço",AND(AUTOEVENTO="Manual",$M92=$A$15)),0,
         IF(OFFSET(CRONOPLE!$F$15,$M92-$A$15,BG$13)=0,10^12,OFFSET(CRONOPLE!$F$15,$M92-$A$15,BG$13)))</f>
        <v>7</v>
      </c>
      <c r="BH92" s="171">
        <f ca="1">IF(OR($D92&lt;&gt;"Serviço",AND(AUTOEVENTO="Manual",$M92=$A$15)),0,
         IF(OFFSET(CRONOPLE!$F$15,$M92-$A$15,BH$13)=0,10^12,OFFSET(CRONOPLE!$F$15,$M92-$A$15,BH$13)))</f>
        <v>6</v>
      </c>
      <c r="BI92" s="171">
        <f ca="1">IF(OR($D92&lt;&gt;"Serviço",AND(AUTOEVENTO="Manual",$M92=$A$15)),0,
         IF(OFFSET(CRONOPLE!$F$15,$M92-$A$15,BI$13)=0,10^12,OFFSET(CRONOPLE!$F$15,$M92-$A$15,BI$13)))</f>
        <v>7</v>
      </c>
      <c r="BJ92" s="171">
        <f ca="1">IF(OR($D92&lt;&gt;"Serviço",AND(AUTOEVENTO="Manual",$M92=$A$15)),0,
         IF(OFFSET(CRONOPLE!$F$15,$M92-$A$15,BJ$13)=0,10^12,OFFSET(CRONOPLE!$F$15,$M92-$A$15,BJ$13)))</f>
        <v>8</v>
      </c>
      <c r="BK92" s="171">
        <f ca="1">IF(OR($D92&lt;&gt;"Serviço",AND(AUTOEVENTO="Manual",$M92=$A$15)),0,
         IF(OFFSET(CRONOPLE!$F$15,$M92-$A$15,BK$13)=0,10^12,OFFSET(CRONOPLE!$F$15,$M92-$A$15,BK$13)))</f>
        <v>1000000000000</v>
      </c>
      <c r="BL92" s="171">
        <f ca="1">IF(OR($D92&lt;&gt;"Serviço",AND(AUTOEVENTO="Manual",$M92=$A$15)),0,
         IF(OFFSET(CRONOPLE!$F$15,$M92-$A$15,BL$13)=0,10^12,OFFSET(CRONOPLE!$F$15,$M92-$A$15,BL$13)))</f>
        <v>1000000000000</v>
      </c>
      <c r="BM92" s="171">
        <f ca="1">IF(OR($D92&lt;&gt;"Serviço",AND(AUTOEVENTO="Manual",$M92=$A$15)),0,
         IF(OFFSET(CRONOPLE!$F$15,$M92-$A$15,BM$13)=0,10^12,OFFSET(CRONOPLE!$F$15,$M92-$A$15,BM$13)))</f>
        <v>1000000000000</v>
      </c>
      <c r="BN92" s="171">
        <f ca="1">IF(OR($D92&lt;&gt;"Serviço",AND(AUTOEVENTO="Manual",$M92=$A$15)),0,
         IF(OFFSET(CRONOPLE!$F$15,$M92-$A$15,BN$13)=0,10^12,OFFSET(CRONOPLE!$F$15,$M92-$A$15,BN$13)))</f>
        <v>1000000000000</v>
      </c>
      <c r="BO92" s="171">
        <f ca="1">IF(OR($D92&lt;&gt;"Serviço",AND(AUTOEVENTO="Manual",$M92=$A$15)),0,
         IF(OFFSET(CRONOPLE!$F$15,$M92-$A$15,BO$13)=0,10^12,OFFSET(CRONOPLE!$F$15,$M92-$A$15,BO$13)))</f>
        <v>1000000000000</v>
      </c>
      <c r="BP92" s="171">
        <f ca="1">IF(OR($D92&lt;&gt;"Serviço",AND(AUTOEVENTO="Manual",$M92=$A$15)),0,
         IF(OFFSET(CRONOPLE!$F$15,$M92-$A$15,BP$13)=0,10^12,OFFSET(CRONOPLE!$F$15,$M92-$A$15,BP$13)))</f>
        <v>1000000000000</v>
      </c>
      <c r="BQ92" s="171">
        <f ca="1">IF(OR($D92&lt;&gt;"Serviço",AND(AUTOEVENTO="Manual",$M92=$A$15)),0,
         IF(OFFSET(CRONOPLE!$F$15,$M92-$A$15,BQ$13)=0,10^12,OFFSET(CRONOPLE!$F$15,$M92-$A$15,BQ$13)))</f>
        <v>1000000000000</v>
      </c>
      <c r="BR92" s="171">
        <f ca="1">IF(OR($D92&lt;&gt;"Serviço",AND(AUTOEVENTO="Manual",$M92=$A$15)),0,
         IF(OFFSET(CRONOPLE!$F$15,$M92-$A$15,BR$13)=0,10^12,OFFSET(CRONOPLE!$F$15,$M92-$A$15,BR$13)))</f>
        <v>1000000000000</v>
      </c>
      <c r="BS92" s="171">
        <f ca="1">IF(OR($D92&lt;&gt;"Serviço",AND(AUTOEVENTO="Manual",$M92=$A$15)),0,
         IF(OFFSET(CRONOPLE!$F$15,$M92-$A$15,BS$13)=0,10^12,OFFSET(CRONOPLE!$F$15,$M92-$A$15,BS$13)))</f>
        <v>1000000000000</v>
      </c>
      <c r="BT92" s="171">
        <f ca="1">IF(OR($D92&lt;&gt;"Serviço",AND(AUTOEVENTO="Manual",$M92=$A$15)),0,
         IF(OFFSET(CRONOPLE!$F$15,$M92-$A$15,BT$13)=0,10^12,OFFSET(CRONOPLE!$F$15,$M92-$A$15,BT$13)))</f>
        <v>1000000000000</v>
      </c>
      <c r="BV92" s="172">
        <f t="array" aca="1" ref="BV92" ca="1">IF(OR($D92&lt;&gt;"Serviço",AND(AUTOEVENTO="Manual",$M92=$A$15),$M92&gt;(ROW(PLE.lastrow)-ROW(PLE.firstrow))),0,
           IF(OFFSET(PLE!$G$15,$M92-$A$15,BV$13)="",10^12,OFFSET(PLE!$G$15,$M92-$A$15,BV$13)))</f>
        <v>1000000000000</v>
      </c>
      <c r="BW92" s="172">
        <f t="array" aca="1" ref="BW92" ca="1">IF(OR($D92&lt;&gt;"Serviço",AND(AUTOEVENTO="Manual",$M92=$A$15),$M92&gt;(ROW(PLE.lastrow)-ROW(PLE.firstrow))),0,
           IF(OFFSET(PLE!$G$15,$M92-$A$15,BW$13)="",10^12,OFFSET(PLE!$G$15,$M92-$A$15,BW$13)))</f>
        <v>1000000000000</v>
      </c>
      <c r="BX92" s="172">
        <f t="array" aca="1" ref="BX92" ca="1">IF(OR($D92&lt;&gt;"Serviço",AND(AUTOEVENTO="Manual",$M92=$A$15),$M92&gt;(ROW(PLE.lastrow)-ROW(PLE.firstrow))),0,
           IF(OFFSET(PLE!$G$15,$M92-$A$15,BX$13)="",10^12,OFFSET(PLE!$G$15,$M92-$A$15,BX$13)))</f>
        <v>1000000000000</v>
      </c>
      <c r="BY92" s="172">
        <f t="array" aca="1" ref="BY92" ca="1">IF(OR($D92&lt;&gt;"Serviço",AND(AUTOEVENTO="Manual",$M92=$A$15),$M92&gt;(ROW(PLE.lastrow)-ROW(PLE.firstrow))),0,
           IF(OFFSET(PLE!$G$15,$M92-$A$15,BY$13)="",10^12,OFFSET(PLE!$G$15,$M92-$A$15,BY$13)))</f>
        <v>1000000000000</v>
      </c>
      <c r="BZ92" s="172">
        <f t="array" aca="1" ref="BZ92" ca="1">IF(OR($D92&lt;&gt;"Serviço",AND(AUTOEVENTO="Manual",$M92=$A$15),$M92&gt;(ROW(PLE.lastrow)-ROW(PLE.firstrow))),0,
           IF(OFFSET(PLE!$G$15,$M92-$A$15,BZ$13)="",10^12,OFFSET(PLE!$G$15,$M92-$A$15,BZ$13)))</f>
        <v>1000000000000</v>
      </c>
      <c r="CA92" s="172">
        <f t="array" aca="1" ref="CA92" ca="1">IF(OR($D92&lt;&gt;"Serviço",AND(AUTOEVENTO="Manual",$M92=$A$15),$M92&gt;(ROW(PLE.lastrow)-ROW(PLE.firstrow))),0,
           IF(OFFSET(PLE!$G$15,$M92-$A$15,CA$13)="",10^12,OFFSET(PLE!$G$15,$M92-$A$15,CA$13)))</f>
        <v>1000000000000</v>
      </c>
      <c r="CB92" s="172">
        <f t="array" aca="1" ref="CB92" ca="1">IF(OR($D92&lt;&gt;"Serviço",AND(AUTOEVENTO="Manual",$M92=$A$15),$M92&gt;(ROW(PLE.lastrow)-ROW(PLE.firstrow))),0,
           IF(OFFSET(PLE!$G$15,$M92-$A$15,CB$13)="",10^12,OFFSET(PLE!$G$15,$M92-$A$15,CB$13)))</f>
        <v>1000000000000</v>
      </c>
      <c r="CC92" s="172">
        <f t="array" aca="1" ref="CC92" ca="1">IF(OR($D92&lt;&gt;"Serviço",AND(AUTOEVENTO="Manual",$M92=$A$15),$M92&gt;(ROW(PLE.lastrow)-ROW(PLE.firstrow))),0,
           IF(OFFSET(PLE!$G$15,$M92-$A$15,CC$13)="",10^12,OFFSET(PLE!$G$15,$M92-$A$15,CC$13)))</f>
        <v>1000000000000</v>
      </c>
      <c r="CD92" s="172">
        <f t="array" aca="1" ref="CD92" ca="1">IF(OR($D92&lt;&gt;"Serviço",AND(AUTOEVENTO="Manual",$M92=$A$15),$M92&gt;(ROW(PLE.lastrow)-ROW(PLE.firstrow))),0,
           IF(OFFSET(PLE!$G$15,$M92-$A$15,CD$13)="",10^12,OFFSET(PLE!$G$15,$M92-$A$15,CD$13)))</f>
        <v>1000000000000</v>
      </c>
      <c r="CE92" s="172">
        <f t="array" aca="1" ref="CE92" ca="1">IF(OR($D92&lt;&gt;"Serviço",AND(AUTOEVENTO="Manual",$M92=$A$15),$M92&gt;(ROW(PLE.lastrow)-ROW(PLE.firstrow))),0,
           IF(OFFSET(PLE!$G$15,$M92-$A$15,CE$13)="",10^12,OFFSET(PLE!$G$15,$M92-$A$15,CE$13)))</f>
        <v>1000000000000</v>
      </c>
      <c r="CF92" s="172">
        <f t="array" aca="1" ref="CF92" ca="1">IF(OR($D92&lt;&gt;"Serviço",AND(AUTOEVENTO="Manual",$M92=$A$15),$M92&gt;(ROW(PLE.lastrow)-ROW(PLE.firstrow))),0,
           IF(OFFSET(PLE!$G$15,$M92-$A$15,CF$13)="",10^12,OFFSET(PLE!$G$15,$M92-$A$15,CF$13)))</f>
        <v>1000000000000</v>
      </c>
      <c r="CG92" s="172">
        <f t="array" aca="1" ref="CG92" ca="1">IF(OR($D92&lt;&gt;"Serviço",AND(AUTOEVENTO="Manual",$M92=$A$15),$M92&gt;(ROW(PLE.lastrow)-ROW(PLE.firstrow))),0,
           IF(OFFSET(PLE!$G$15,$M92-$A$15,CG$13)="",10^12,OFFSET(PLE!$G$15,$M92-$A$15,CG$13)))</f>
        <v>1000000000000</v>
      </c>
      <c r="CH92" s="172">
        <f t="array" aca="1" ref="CH92" ca="1">IF(OR($D92&lt;&gt;"Serviço",AND(AUTOEVENTO="Manual",$M92=$A$15),$M92&gt;(ROW(PLE.lastrow)-ROW(PLE.firstrow))),0,
           IF(OFFSET(PLE!$G$15,$M92-$A$15,CH$13)="",10^12,OFFSET(PLE!$G$15,$M92-$A$15,CH$13)))</f>
        <v>1000000000000</v>
      </c>
      <c r="CI92" s="172">
        <f t="array" aca="1" ref="CI92" ca="1">IF(OR($D92&lt;&gt;"Serviço",AND(AUTOEVENTO="Manual",$M92=$A$15),$M92&gt;(ROW(PLE.lastrow)-ROW(PLE.firstrow))),0,
           IF(OFFSET(PLE!$G$15,$M92-$A$15,CI$13)="",10^12,OFFSET(PLE!$G$15,$M92-$A$15,CI$13)))</f>
        <v>1000000000000</v>
      </c>
      <c r="CJ92" s="172">
        <f t="array" aca="1" ref="CJ92" ca="1">IF(OR($D92&lt;&gt;"Serviço",AND(AUTOEVENTO="Manual",$M92=$A$15),$M92&gt;(ROW(PLE.lastrow)-ROW(PLE.firstrow))),0,
           IF(OFFSET(PLE!$G$15,$M92-$A$15,CJ$13)="",10^12,OFFSET(PLE!$G$15,$M92-$A$15,CJ$13)))</f>
        <v>1000000000000</v>
      </c>
      <c r="CK92" s="172">
        <f t="array" aca="1" ref="CK92" ca="1">IF(OR($D92&lt;&gt;"Serviço",AND(AUTOEVENTO="Manual",$M92=$A$15),$M92&gt;(ROW(PLE.lastrow)-ROW(PLE.firstrow))),0,
           IF(OFFSET(PLE!$G$15,$M92-$A$15,CK$13)="",10^12,OFFSET(PLE!$G$15,$M92-$A$15,CK$13)))</f>
        <v>1000000000000</v>
      </c>
      <c r="CL92" s="172">
        <f t="array" aca="1" ref="CL92" ca="1">IF(OR($D92&lt;&gt;"Serviço",AND(AUTOEVENTO="Manual",$M92=$A$15),$M92&gt;(ROW(PLE.lastrow)-ROW(PLE.firstrow))),0,
           IF(OFFSET(PLE!$G$15,$M92-$A$15,CL$13)="",10^12,OFFSET(PLE!$G$15,$M92-$A$15,CL$13)))</f>
        <v>1000000000000</v>
      </c>
      <c r="CM92" s="172">
        <f t="array" aca="1" ref="CM92" ca="1">IF(OR($D92&lt;&gt;"Serviço",AND(AUTOEVENTO="Manual",$M92=$A$15),$M92&gt;(ROW(PLE.lastrow)-ROW(PLE.firstrow))),0,
           IF(OFFSET(PLE!$G$15,$M92-$A$15,CM$13)="",10^12,OFFSET(PLE!$G$15,$M92-$A$15,CM$13)))</f>
        <v>1000000000000</v>
      </c>
    </row>
    <row r="93" spans="1:91" s="696" customFormat="1" ht="12.75" x14ac:dyDescent="0.2">
      <c r="A93" s="694">
        <f t="shared" ca="1" si="45"/>
        <v>0</v>
      </c>
      <c r="B93" s="694">
        <f ca="1">OFFSET(ORÇAMENTO!C$15,$L93,0)</f>
        <v>2</v>
      </c>
      <c r="C93" s="694" t="str">
        <f ca="1">OFFSET(ORÇAMENTO!L$15,$L93,0)</f>
        <v>F</v>
      </c>
      <c r="D93" s="116" t="str">
        <f ca="1">OFFSET(ORÇAMENTO!N$15,$L93,0)</f>
        <v>Nível 2</v>
      </c>
      <c r="E93" s="117" t="str">
        <f ca="1">OFFSET(ORÇAMENTO!O$15,$L93,0)</f>
        <v>1.15.</v>
      </c>
      <c r="F93" s="163" t="str">
        <f ca="1">OFFSET(ORÇAMENTO!R$15,$L93,0)</f>
        <v>REVESTIMENTOS CERÂMICOS</v>
      </c>
      <c r="G93" s="164" t="str">
        <f ca="1">IF($D93&lt;&gt;"Serviço","",OFFSET(ORÇAMENTO!S$15,$L93,0))</f>
        <v/>
      </c>
      <c r="H93" s="122">
        <f t="array" aca="1" ref="H93" ca="1">IF($D93&lt;&gt;"Serviço",0,IF(ACOMPANHAMENTO="BM",ROUND(OFFSET(ORÇAMENTO!AJ$15,$L93,0),15-13*ORÇAMENTO!$AF$7),IF(IFERROR(CÁLCULO.FrentesPreenchidas,0)=0,0,SUM(ROUND(OFFSET($P93,0,1,1,CÁLCULO.FrentesPreenchidas),15-13*ORÇAMENTO!$AF$7)))))</f>
        <v>0</v>
      </c>
      <c r="I93" s="467"/>
      <c r="J93" s="653" t="str">
        <f t="array" aca="1" ref="J93" ca="1">IF(OR(B93&lt;&gt;"S",CÁLCULO.FrentesPreenchidas=0),"",IF(AND(ACOMPANHAMENTO="PLE",AUTOEVENTO="Manual",OR(H93&gt;0,ORÇAMENTO!AC93="QUANT."),OR(K93="",M93=0,N93="")),"►E",IF(AND(ACOMPANHAMENTO="PLE",ORÇAMENTO!AC93="QUANT."),"►Q",IF(AND(ACOMPANHAMENTO="PLE",H93&lt;&gt;SUMPRODUCT(($Q$1:$AI$1=1)*ROUND(Q93:AI93,15))),"►S",IF(AND(COUNTIF($P$11:$AI$11,"▼")=0,H93&gt;0,I93=""),"◄M","")))))</f>
        <v/>
      </c>
      <c r="K93" s="654"/>
      <c r="L93" s="165">
        <f t="shared" ca="1" si="46"/>
        <v>78</v>
      </c>
      <c r="M93" s="166" t="str">
        <f ca="1">IF($D93&lt;&gt;"Serviço","",
          IF(AUTOEVENTO="manual",$A93,
                IF(ISERROR(MATCH($A93,$A$15:OFFSET($A93,-1,0),0)),MAX($M$15:OFFSET(M93,-1,0))+1,
                      INDEX($M$15:OFFSET(M93,-1,0),MATCH($A93,$A$15:OFFSET($A93,-1,0),0)))))</f>
        <v/>
      </c>
      <c r="N93" s="167" t="str">
        <f ca="1">IF($D93&lt;&gt;"Serviço","",
         IF(AUTOEVENTO="Manual",
                IF($A93=0,"&lt;-- defina o número do agrupador",
                       OFFSET(EVENTOS!$D$15,$A93-$A$15,0)),
                OFFSET($F$15,$A93,0)))</f>
        <v/>
      </c>
      <c r="O93" s="168"/>
      <c r="Q93" s="169"/>
      <c r="R93" s="169"/>
      <c r="S93" s="169"/>
      <c r="T93" s="169"/>
      <c r="U93" s="169"/>
      <c r="V93" s="169"/>
      <c r="W93" s="169"/>
      <c r="X93" s="169"/>
      <c r="Y93" s="169"/>
      <c r="Z93" s="170"/>
      <c r="AA93" s="169"/>
      <c r="AB93" s="169"/>
      <c r="AC93" s="169"/>
      <c r="AD93" s="169"/>
      <c r="AE93" s="169"/>
      <c r="AF93" s="169"/>
      <c r="AG93" s="169"/>
      <c r="AH93" s="170"/>
      <c r="AJ93" s="452">
        <f ca="1">IF(AND($D93="Serviço",AJ$12&lt;&gt;0,$H93&gt;0,OR(AUTOEVENTO&lt;&gt;"manual",$M93&lt;&gt;$A$15)),
        IF(Import.TipoArredondamento&lt;&gt;"TransfereGOV",
              ROUND(OFFSET($P93,0,AJ$13),15-13*ORÇAMENTO!$AF$7)/$H93*OFFSET(ORÇAMENTO!$X$15,ROW(AJ93)-ROW(AJ$15),0),
              ROUND(ROUND(OFFSET($P93,0,AJ$13),15-13*ORÇAMENTO!$AF$7)*OFFSET(ORÇAMENTO!$W$15,ROW(AJ93)-ROW(AJ$15),0),15-13*ORÇAMENTO!$AF$11)),
         0)</f>
        <v>0</v>
      </c>
      <c r="AK93" s="452">
        <f ca="1">IF(AND($D93="Serviço",AK$12&lt;&gt;0,$H93&gt;0,OR(AUTOEVENTO&lt;&gt;"manual",$M93&lt;&gt;$A$15)),
        IF(Import.TipoArredondamento&lt;&gt;"TransfereGOV",
              ROUND(OFFSET($P93,0,AK$13),15-13*ORÇAMENTO!$AF$7)/$H93*OFFSET(ORÇAMENTO!$X$15,ROW(AK93)-ROW(AK$15),0),
              ROUND(ROUND(OFFSET($P93,0,AK$13),15-13*ORÇAMENTO!$AF$7)*OFFSET(ORÇAMENTO!$W$15,ROW(AK93)-ROW(AK$15),0),15-13*ORÇAMENTO!$AF$11)),
         0)</f>
        <v>0</v>
      </c>
      <c r="AL93" s="452">
        <f ca="1">IF(AND($D93="Serviço",AL$12&lt;&gt;0,$H93&gt;0,OR(AUTOEVENTO&lt;&gt;"manual",$M93&lt;&gt;$A$15)),
        IF(Import.TipoArredondamento&lt;&gt;"TransfereGOV",
              ROUND(OFFSET($P93,0,AL$13),15-13*ORÇAMENTO!$AF$7)/$H93*OFFSET(ORÇAMENTO!$X$15,ROW(AL93)-ROW(AL$15),0),
              ROUND(ROUND(OFFSET($P93,0,AL$13),15-13*ORÇAMENTO!$AF$7)*OFFSET(ORÇAMENTO!$W$15,ROW(AL93)-ROW(AL$15),0),15-13*ORÇAMENTO!$AF$11)),
         0)</f>
        <v>0</v>
      </c>
      <c r="AM93" s="452">
        <f ca="1">IF(AND($D93="Serviço",AM$12&lt;&gt;0,$H93&gt;0,OR(AUTOEVENTO&lt;&gt;"manual",$M93&lt;&gt;$A$15)),
        IF(Import.TipoArredondamento&lt;&gt;"TransfereGOV",
              ROUND(OFFSET($P93,0,AM$13),15-13*ORÇAMENTO!$AF$7)/$H93*OFFSET(ORÇAMENTO!$X$15,ROW(AM93)-ROW(AM$15),0),
              ROUND(ROUND(OFFSET($P93,0,AM$13),15-13*ORÇAMENTO!$AF$7)*OFFSET(ORÇAMENTO!$W$15,ROW(AM93)-ROW(AM$15),0),15-13*ORÇAMENTO!$AF$11)),
         0)</f>
        <v>0</v>
      </c>
      <c r="AN93" s="452">
        <f ca="1">IF(AND($D93="Serviço",AN$12&lt;&gt;0,$H93&gt;0,OR(AUTOEVENTO&lt;&gt;"manual",$M93&lt;&gt;$A$15)),
        IF(Import.TipoArredondamento&lt;&gt;"TransfereGOV",
              ROUND(OFFSET($P93,0,AN$13),15-13*ORÇAMENTO!$AF$7)/$H93*OFFSET(ORÇAMENTO!$X$15,ROW(AN93)-ROW(AN$15),0),
              ROUND(ROUND(OFFSET($P93,0,AN$13),15-13*ORÇAMENTO!$AF$7)*OFFSET(ORÇAMENTO!$W$15,ROW(AN93)-ROW(AN$15),0),15-13*ORÇAMENTO!$AF$11)),
         0)</f>
        <v>0</v>
      </c>
      <c r="AO93" s="452">
        <f ca="1">IF(AND($D93="Serviço",AO$12&lt;&gt;0,$H93&gt;0,OR(AUTOEVENTO&lt;&gt;"manual",$M93&lt;&gt;$A$15)),
        IF(Import.TipoArredondamento&lt;&gt;"TransfereGOV",
              ROUND(OFFSET($P93,0,AO$13),15-13*ORÇAMENTO!$AF$7)/$H93*OFFSET(ORÇAMENTO!$X$15,ROW(AO93)-ROW(AO$15),0),
              ROUND(ROUND(OFFSET($P93,0,AO$13),15-13*ORÇAMENTO!$AF$7)*OFFSET(ORÇAMENTO!$W$15,ROW(AO93)-ROW(AO$15),0),15-13*ORÇAMENTO!$AF$11)),
         0)</f>
        <v>0</v>
      </c>
      <c r="AP93" s="452">
        <f ca="1">IF(AND($D93="Serviço",AP$12&lt;&gt;0,$H93&gt;0,OR(AUTOEVENTO&lt;&gt;"manual",$M93&lt;&gt;$A$15)),
        IF(Import.TipoArredondamento&lt;&gt;"TransfereGOV",
              ROUND(OFFSET($P93,0,AP$13),15-13*ORÇAMENTO!$AF$7)/$H93*OFFSET(ORÇAMENTO!$X$15,ROW(AP93)-ROW(AP$15),0),
              ROUND(ROUND(OFFSET($P93,0,AP$13),15-13*ORÇAMENTO!$AF$7)*OFFSET(ORÇAMENTO!$W$15,ROW(AP93)-ROW(AP$15),0),15-13*ORÇAMENTO!$AF$11)),
         0)</f>
        <v>0</v>
      </c>
      <c r="AQ93" s="452">
        <f ca="1">IF(AND($D93="Serviço",AQ$12&lt;&gt;0,$H93&gt;0,OR(AUTOEVENTO&lt;&gt;"manual",$M93&lt;&gt;$A$15)),
        IF(Import.TipoArredondamento&lt;&gt;"TransfereGOV",
              ROUND(OFFSET($P93,0,AQ$13),15-13*ORÇAMENTO!$AF$7)/$H93*OFFSET(ORÇAMENTO!$X$15,ROW(AQ93)-ROW(AQ$15),0),
              ROUND(ROUND(OFFSET($P93,0,AQ$13),15-13*ORÇAMENTO!$AF$7)*OFFSET(ORÇAMENTO!$W$15,ROW(AQ93)-ROW(AQ$15),0),15-13*ORÇAMENTO!$AF$11)),
         0)</f>
        <v>0</v>
      </c>
      <c r="AR93" s="452">
        <f ca="1">IF(AND($D93="Serviço",AR$12&lt;&gt;0,$H93&gt;0,OR(AUTOEVENTO&lt;&gt;"manual",$M93&lt;&gt;$A$15)),
        IF(Import.TipoArredondamento&lt;&gt;"TransfereGOV",
              ROUND(OFFSET($P93,0,AR$13),15-13*ORÇAMENTO!$AF$7)/$H93*OFFSET(ORÇAMENTO!$X$15,ROW(AR93)-ROW(AR$15),0),
              ROUND(ROUND(OFFSET($P93,0,AR$13),15-13*ORÇAMENTO!$AF$7)*OFFSET(ORÇAMENTO!$W$15,ROW(AR93)-ROW(AR$15),0),15-13*ORÇAMENTO!$AF$11)),
         0)</f>
        <v>0</v>
      </c>
      <c r="AS93" s="452">
        <f ca="1">IF(AND($D93="Serviço",AS$12&lt;&gt;0,$H93&gt;0,OR(AUTOEVENTO&lt;&gt;"manual",$M93&lt;&gt;$A$15)),
        IF(Import.TipoArredondamento&lt;&gt;"TransfereGOV",
              ROUND(OFFSET($P93,0,AS$13),15-13*ORÇAMENTO!$AF$7)/$H93*OFFSET(ORÇAMENTO!$X$15,ROW(AS93)-ROW(AS$15),0),
              ROUND(ROUND(OFFSET($P93,0,AS$13),15-13*ORÇAMENTO!$AF$7)*OFFSET(ORÇAMENTO!$W$15,ROW(AS93)-ROW(AS$15),0),15-13*ORÇAMENTO!$AF$11)),
         0)</f>
        <v>0</v>
      </c>
      <c r="AT93" s="452">
        <f ca="1">IF(AND($D93="Serviço",AT$12&lt;&gt;0,$H93&gt;0,OR(AUTOEVENTO&lt;&gt;"manual",$M93&lt;&gt;$A$15)),
        IF(Import.TipoArredondamento&lt;&gt;"TransfereGOV",
              ROUND(OFFSET($P93,0,AT$13),15-13*ORÇAMENTO!$AF$7)/$H93*OFFSET(ORÇAMENTO!$X$15,ROW(AT93)-ROW(AT$15),0),
              ROUND(ROUND(OFFSET($P93,0,AT$13),15-13*ORÇAMENTO!$AF$7)*OFFSET(ORÇAMENTO!$W$15,ROW(AT93)-ROW(AT$15),0),15-13*ORÇAMENTO!$AF$11)),
         0)</f>
        <v>0</v>
      </c>
      <c r="AU93" s="452">
        <f ca="1">IF(AND($D93="Serviço",AU$12&lt;&gt;0,$H93&gt;0,OR(AUTOEVENTO&lt;&gt;"manual",$M93&lt;&gt;$A$15)),
        IF(Import.TipoArredondamento&lt;&gt;"TransfereGOV",
              ROUND(OFFSET($P93,0,AU$13),15-13*ORÇAMENTO!$AF$7)/$H93*OFFSET(ORÇAMENTO!$X$15,ROW(AU93)-ROW(AU$15),0),
              ROUND(ROUND(OFFSET($P93,0,AU$13),15-13*ORÇAMENTO!$AF$7)*OFFSET(ORÇAMENTO!$W$15,ROW(AU93)-ROW(AU$15),0),15-13*ORÇAMENTO!$AF$11)),
         0)</f>
        <v>0</v>
      </c>
      <c r="AV93" s="452">
        <f ca="1">IF(AND($D93="Serviço",AV$12&lt;&gt;0,$H93&gt;0,OR(AUTOEVENTO&lt;&gt;"manual",$M93&lt;&gt;$A$15)),
        IF(Import.TipoArredondamento&lt;&gt;"TransfereGOV",
              ROUND(OFFSET($P93,0,AV$13),15-13*ORÇAMENTO!$AF$7)/$H93*OFFSET(ORÇAMENTO!$X$15,ROW(AV93)-ROW(AV$15),0),
              ROUND(ROUND(OFFSET($P93,0,AV$13),15-13*ORÇAMENTO!$AF$7)*OFFSET(ORÇAMENTO!$W$15,ROW(AV93)-ROW(AV$15),0),15-13*ORÇAMENTO!$AF$11)),
         0)</f>
        <v>0</v>
      </c>
      <c r="AW93" s="452">
        <f ca="1">IF(AND($D93="Serviço",AW$12&lt;&gt;0,$H93&gt;0,OR(AUTOEVENTO&lt;&gt;"manual",$M93&lt;&gt;$A$15)),
        IF(Import.TipoArredondamento&lt;&gt;"TransfereGOV",
              ROUND(OFFSET($P93,0,AW$13),15-13*ORÇAMENTO!$AF$7)/$H93*OFFSET(ORÇAMENTO!$X$15,ROW(AW93)-ROW(AW$15),0),
              ROUND(ROUND(OFFSET($P93,0,AW$13),15-13*ORÇAMENTO!$AF$7)*OFFSET(ORÇAMENTO!$W$15,ROW(AW93)-ROW(AW$15),0),15-13*ORÇAMENTO!$AF$11)),
         0)</f>
        <v>0</v>
      </c>
      <c r="AX93" s="452">
        <f ca="1">IF(AND($D93="Serviço",AX$12&lt;&gt;0,$H93&gt;0,OR(AUTOEVENTO&lt;&gt;"manual",$M93&lt;&gt;$A$15)),
        IF(Import.TipoArredondamento&lt;&gt;"TransfereGOV",
              ROUND(OFFSET($P93,0,AX$13),15-13*ORÇAMENTO!$AF$7)/$H93*OFFSET(ORÇAMENTO!$X$15,ROW(AX93)-ROW(AX$15),0),
              ROUND(ROUND(OFFSET($P93,0,AX$13),15-13*ORÇAMENTO!$AF$7)*OFFSET(ORÇAMENTO!$W$15,ROW(AX93)-ROW(AX$15),0),15-13*ORÇAMENTO!$AF$11)),
         0)</f>
        <v>0</v>
      </c>
      <c r="AY93" s="452">
        <f ca="1">IF(AND($D93="Serviço",AY$12&lt;&gt;0,$H93&gt;0,OR(AUTOEVENTO&lt;&gt;"manual",$M93&lt;&gt;$A$15)),
        IF(Import.TipoArredondamento&lt;&gt;"TransfereGOV",
              ROUND(OFFSET($P93,0,AY$13),15-13*ORÇAMENTO!$AF$7)/$H93*OFFSET(ORÇAMENTO!$X$15,ROW(AY93)-ROW(AY$15),0),
              ROUND(ROUND(OFFSET($P93,0,AY$13),15-13*ORÇAMENTO!$AF$7)*OFFSET(ORÇAMENTO!$W$15,ROW(AY93)-ROW(AY$15),0),15-13*ORÇAMENTO!$AF$11)),
         0)</f>
        <v>0</v>
      </c>
      <c r="AZ93" s="452">
        <f ca="1">IF(AND($D93="Serviço",AZ$12&lt;&gt;0,$H93&gt;0,OR(AUTOEVENTO&lt;&gt;"manual",$M93&lt;&gt;$A$15)),
        IF(Import.TipoArredondamento&lt;&gt;"TransfereGOV",
              ROUND(OFFSET($P93,0,AZ$13),15-13*ORÇAMENTO!$AF$7)/$H93*OFFSET(ORÇAMENTO!$X$15,ROW(AZ93)-ROW(AZ$15),0),
              ROUND(ROUND(OFFSET($P93,0,AZ$13),15-13*ORÇAMENTO!$AF$7)*OFFSET(ORÇAMENTO!$W$15,ROW(AZ93)-ROW(AZ$15),0),15-13*ORÇAMENTO!$AF$11)),
         0)</f>
        <v>0</v>
      </c>
      <c r="BA93" s="452">
        <f ca="1">IF(AND($D93="Serviço",BA$12&lt;&gt;0,$H93&gt;0,OR(AUTOEVENTO&lt;&gt;"manual",$M93&lt;&gt;$A$15)),
        IF(Import.TipoArredondamento&lt;&gt;"TransfereGOV",
              ROUND(OFFSET($P93,0,BA$13),15-13*ORÇAMENTO!$AF$7)/$H93*OFFSET(ORÇAMENTO!$X$15,ROW(BA93)-ROW(BA$15),0),
              ROUND(ROUND(OFFSET($P93,0,BA$13),15-13*ORÇAMENTO!$AF$7)*OFFSET(ORÇAMENTO!$W$15,ROW(BA93)-ROW(BA$15),0),15-13*ORÇAMENTO!$AF$11)),
         0)</f>
        <v>0</v>
      </c>
      <c r="BC93" s="171">
        <f ca="1">IF(OR($D93&lt;&gt;"Serviço",AND(AUTOEVENTO="Manual",$M93=$A$15)),0,
         IF(OFFSET(CRONOPLE!$F$15,$M93-$A$15,BC$13)=0,10^12,OFFSET(CRONOPLE!$F$15,$M93-$A$15,BC$13)))</f>
        <v>0</v>
      </c>
      <c r="BD93" s="171">
        <f ca="1">IF(OR($D93&lt;&gt;"Serviço",AND(AUTOEVENTO="Manual",$M93=$A$15)),0,
         IF(OFFSET(CRONOPLE!$F$15,$M93-$A$15,BD$13)=0,10^12,OFFSET(CRONOPLE!$F$15,$M93-$A$15,BD$13)))</f>
        <v>0</v>
      </c>
      <c r="BE93" s="171">
        <f ca="1">IF(OR($D93&lt;&gt;"Serviço",AND(AUTOEVENTO="Manual",$M93=$A$15)),0,
         IF(OFFSET(CRONOPLE!$F$15,$M93-$A$15,BE$13)=0,10^12,OFFSET(CRONOPLE!$F$15,$M93-$A$15,BE$13)))</f>
        <v>0</v>
      </c>
      <c r="BF93" s="171">
        <f ca="1">IF(OR($D93&lt;&gt;"Serviço",AND(AUTOEVENTO="Manual",$M93=$A$15)),0,
         IF(OFFSET(CRONOPLE!$F$15,$M93-$A$15,BF$13)=0,10^12,OFFSET(CRONOPLE!$F$15,$M93-$A$15,BF$13)))</f>
        <v>0</v>
      </c>
      <c r="BG93" s="171">
        <f ca="1">IF(OR($D93&lt;&gt;"Serviço",AND(AUTOEVENTO="Manual",$M93=$A$15)),0,
         IF(OFFSET(CRONOPLE!$F$15,$M93-$A$15,BG$13)=0,10^12,OFFSET(CRONOPLE!$F$15,$M93-$A$15,BG$13)))</f>
        <v>0</v>
      </c>
      <c r="BH93" s="171">
        <f ca="1">IF(OR($D93&lt;&gt;"Serviço",AND(AUTOEVENTO="Manual",$M93=$A$15)),0,
         IF(OFFSET(CRONOPLE!$F$15,$M93-$A$15,BH$13)=0,10^12,OFFSET(CRONOPLE!$F$15,$M93-$A$15,BH$13)))</f>
        <v>0</v>
      </c>
      <c r="BI93" s="171">
        <f ca="1">IF(OR($D93&lt;&gt;"Serviço",AND(AUTOEVENTO="Manual",$M93=$A$15)),0,
         IF(OFFSET(CRONOPLE!$F$15,$M93-$A$15,BI$13)=0,10^12,OFFSET(CRONOPLE!$F$15,$M93-$A$15,BI$13)))</f>
        <v>0</v>
      </c>
      <c r="BJ93" s="171">
        <f ca="1">IF(OR($D93&lt;&gt;"Serviço",AND(AUTOEVENTO="Manual",$M93=$A$15)),0,
         IF(OFFSET(CRONOPLE!$F$15,$M93-$A$15,BJ$13)=0,10^12,OFFSET(CRONOPLE!$F$15,$M93-$A$15,BJ$13)))</f>
        <v>0</v>
      </c>
      <c r="BK93" s="171">
        <f ca="1">IF(OR($D93&lt;&gt;"Serviço",AND(AUTOEVENTO="Manual",$M93=$A$15)),0,
         IF(OFFSET(CRONOPLE!$F$15,$M93-$A$15,BK$13)=0,10^12,OFFSET(CRONOPLE!$F$15,$M93-$A$15,BK$13)))</f>
        <v>0</v>
      </c>
      <c r="BL93" s="171">
        <f ca="1">IF(OR($D93&lt;&gt;"Serviço",AND(AUTOEVENTO="Manual",$M93=$A$15)),0,
         IF(OFFSET(CRONOPLE!$F$15,$M93-$A$15,BL$13)=0,10^12,OFFSET(CRONOPLE!$F$15,$M93-$A$15,BL$13)))</f>
        <v>0</v>
      </c>
      <c r="BM93" s="171">
        <f ca="1">IF(OR($D93&lt;&gt;"Serviço",AND(AUTOEVENTO="Manual",$M93=$A$15)),0,
         IF(OFFSET(CRONOPLE!$F$15,$M93-$A$15,BM$13)=0,10^12,OFFSET(CRONOPLE!$F$15,$M93-$A$15,BM$13)))</f>
        <v>0</v>
      </c>
      <c r="BN93" s="171">
        <f ca="1">IF(OR($D93&lt;&gt;"Serviço",AND(AUTOEVENTO="Manual",$M93=$A$15)),0,
         IF(OFFSET(CRONOPLE!$F$15,$M93-$A$15,BN$13)=0,10^12,OFFSET(CRONOPLE!$F$15,$M93-$A$15,BN$13)))</f>
        <v>0</v>
      </c>
      <c r="BO93" s="171">
        <f ca="1">IF(OR($D93&lt;&gt;"Serviço",AND(AUTOEVENTO="Manual",$M93=$A$15)),0,
         IF(OFFSET(CRONOPLE!$F$15,$M93-$A$15,BO$13)=0,10^12,OFFSET(CRONOPLE!$F$15,$M93-$A$15,BO$13)))</f>
        <v>0</v>
      </c>
      <c r="BP93" s="171">
        <f ca="1">IF(OR($D93&lt;&gt;"Serviço",AND(AUTOEVENTO="Manual",$M93=$A$15)),0,
         IF(OFFSET(CRONOPLE!$F$15,$M93-$A$15,BP$13)=0,10^12,OFFSET(CRONOPLE!$F$15,$M93-$A$15,BP$13)))</f>
        <v>0</v>
      </c>
      <c r="BQ93" s="171">
        <f ca="1">IF(OR($D93&lt;&gt;"Serviço",AND(AUTOEVENTO="Manual",$M93=$A$15)),0,
         IF(OFFSET(CRONOPLE!$F$15,$M93-$A$15,BQ$13)=0,10^12,OFFSET(CRONOPLE!$F$15,$M93-$A$15,BQ$13)))</f>
        <v>0</v>
      </c>
      <c r="BR93" s="171">
        <f ca="1">IF(OR($D93&lt;&gt;"Serviço",AND(AUTOEVENTO="Manual",$M93=$A$15)),0,
         IF(OFFSET(CRONOPLE!$F$15,$M93-$A$15,BR$13)=0,10^12,OFFSET(CRONOPLE!$F$15,$M93-$A$15,BR$13)))</f>
        <v>0</v>
      </c>
      <c r="BS93" s="171">
        <f ca="1">IF(OR($D93&lt;&gt;"Serviço",AND(AUTOEVENTO="Manual",$M93=$A$15)),0,
         IF(OFFSET(CRONOPLE!$F$15,$M93-$A$15,BS$13)=0,10^12,OFFSET(CRONOPLE!$F$15,$M93-$A$15,BS$13)))</f>
        <v>0</v>
      </c>
      <c r="BT93" s="171">
        <f ca="1">IF(OR($D93&lt;&gt;"Serviço",AND(AUTOEVENTO="Manual",$M93=$A$15)),0,
         IF(OFFSET(CRONOPLE!$F$15,$M93-$A$15,BT$13)=0,10^12,OFFSET(CRONOPLE!$F$15,$M93-$A$15,BT$13)))</f>
        <v>0</v>
      </c>
      <c r="BV93" s="172">
        <f t="array" aca="1" ref="BV93" ca="1">IF(OR($D93&lt;&gt;"Serviço",AND(AUTOEVENTO="Manual",$M93=$A$15),$M93&gt;(ROW(PLE.lastrow)-ROW(PLE.firstrow))),0,
           IF(OFFSET(PLE!$G$15,$M93-$A$15,BV$13)="",10^12,OFFSET(PLE!$G$15,$M93-$A$15,BV$13)))</f>
        <v>0</v>
      </c>
      <c r="BW93" s="172">
        <f t="array" aca="1" ref="BW93" ca="1">IF(OR($D93&lt;&gt;"Serviço",AND(AUTOEVENTO="Manual",$M93=$A$15),$M93&gt;(ROW(PLE.lastrow)-ROW(PLE.firstrow))),0,
           IF(OFFSET(PLE!$G$15,$M93-$A$15,BW$13)="",10^12,OFFSET(PLE!$G$15,$M93-$A$15,BW$13)))</f>
        <v>0</v>
      </c>
      <c r="BX93" s="172">
        <f t="array" aca="1" ref="BX93" ca="1">IF(OR($D93&lt;&gt;"Serviço",AND(AUTOEVENTO="Manual",$M93=$A$15),$M93&gt;(ROW(PLE.lastrow)-ROW(PLE.firstrow))),0,
           IF(OFFSET(PLE!$G$15,$M93-$A$15,BX$13)="",10^12,OFFSET(PLE!$G$15,$M93-$A$15,BX$13)))</f>
        <v>0</v>
      </c>
      <c r="BY93" s="172">
        <f t="array" aca="1" ref="BY93" ca="1">IF(OR($D93&lt;&gt;"Serviço",AND(AUTOEVENTO="Manual",$M93=$A$15),$M93&gt;(ROW(PLE.lastrow)-ROW(PLE.firstrow))),0,
           IF(OFFSET(PLE!$G$15,$M93-$A$15,BY$13)="",10^12,OFFSET(PLE!$G$15,$M93-$A$15,BY$13)))</f>
        <v>0</v>
      </c>
      <c r="BZ93" s="172">
        <f t="array" aca="1" ref="BZ93" ca="1">IF(OR($D93&lt;&gt;"Serviço",AND(AUTOEVENTO="Manual",$M93=$A$15),$M93&gt;(ROW(PLE.lastrow)-ROW(PLE.firstrow))),0,
           IF(OFFSET(PLE!$G$15,$M93-$A$15,BZ$13)="",10^12,OFFSET(PLE!$G$15,$M93-$A$15,BZ$13)))</f>
        <v>0</v>
      </c>
      <c r="CA93" s="172">
        <f t="array" aca="1" ref="CA93" ca="1">IF(OR($D93&lt;&gt;"Serviço",AND(AUTOEVENTO="Manual",$M93=$A$15),$M93&gt;(ROW(PLE.lastrow)-ROW(PLE.firstrow))),0,
           IF(OFFSET(PLE!$G$15,$M93-$A$15,CA$13)="",10^12,OFFSET(PLE!$G$15,$M93-$A$15,CA$13)))</f>
        <v>0</v>
      </c>
      <c r="CB93" s="172">
        <f t="array" aca="1" ref="CB93" ca="1">IF(OR($D93&lt;&gt;"Serviço",AND(AUTOEVENTO="Manual",$M93=$A$15),$M93&gt;(ROW(PLE.lastrow)-ROW(PLE.firstrow))),0,
           IF(OFFSET(PLE!$G$15,$M93-$A$15,CB$13)="",10^12,OFFSET(PLE!$G$15,$M93-$A$15,CB$13)))</f>
        <v>0</v>
      </c>
      <c r="CC93" s="172">
        <f t="array" aca="1" ref="CC93" ca="1">IF(OR($D93&lt;&gt;"Serviço",AND(AUTOEVENTO="Manual",$M93=$A$15),$M93&gt;(ROW(PLE.lastrow)-ROW(PLE.firstrow))),0,
           IF(OFFSET(PLE!$G$15,$M93-$A$15,CC$13)="",10^12,OFFSET(PLE!$G$15,$M93-$A$15,CC$13)))</f>
        <v>0</v>
      </c>
      <c r="CD93" s="172">
        <f t="array" aca="1" ref="CD93" ca="1">IF(OR($D93&lt;&gt;"Serviço",AND(AUTOEVENTO="Manual",$M93=$A$15),$M93&gt;(ROW(PLE.lastrow)-ROW(PLE.firstrow))),0,
           IF(OFFSET(PLE!$G$15,$M93-$A$15,CD$13)="",10^12,OFFSET(PLE!$G$15,$M93-$A$15,CD$13)))</f>
        <v>0</v>
      </c>
      <c r="CE93" s="172">
        <f t="array" aca="1" ref="CE93" ca="1">IF(OR($D93&lt;&gt;"Serviço",AND(AUTOEVENTO="Manual",$M93=$A$15),$M93&gt;(ROW(PLE.lastrow)-ROW(PLE.firstrow))),0,
           IF(OFFSET(PLE!$G$15,$M93-$A$15,CE$13)="",10^12,OFFSET(PLE!$G$15,$M93-$A$15,CE$13)))</f>
        <v>0</v>
      </c>
      <c r="CF93" s="172">
        <f t="array" aca="1" ref="CF93" ca="1">IF(OR($D93&lt;&gt;"Serviço",AND(AUTOEVENTO="Manual",$M93=$A$15),$M93&gt;(ROW(PLE.lastrow)-ROW(PLE.firstrow))),0,
           IF(OFFSET(PLE!$G$15,$M93-$A$15,CF$13)="",10^12,OFFSET(PLE!$G$15,$M93-$A$15,CF$13)))</f>
        <v>0</v>
      </c>
      <c r="CG93" s="172">
        <f t="array" aca="1" ref="CG93" ca="1">IF(OR($D93&lt;&gt;"Serviço",AND(AUTOEVENTO="Manual",$M93=$A$15),$M93&gt;(ROW(PLE.lastrow)-ROW(PLE.firstrow))),0,
           IF(OFFSET(PLE!$G$15,$M93-$A$15,CG$13)="",10^12,OFFSET(PLE!$G$15,$M93-$A$15,CG$13)))</f>
        <v>0</v>
      </c>
      <c r="CH93" s="172">
        <f t="array" aca="1" ref="CH93" ca="1">IF(OR($D93&lt;&gt;"Serviço",AND(AUTOEVENTO="Manual",$M93=$A$15),$M93&gt;(ROW(PLE.lastrow)-ROW(PLE.firstrow))),0,
           IF(OFFSET(PLE!$G$15,$M93-$A$15,CH$13)="",10^12,OFFSET(PLE!$G$15,$M93-$A$15,CH$13)))</f>
        <v>0</v>
      </c>
      <c r="CI93" s="172">
        <f t="array" aca="1" ref="CI93" ca="1">IF(OR($D93&lt;&gt;"Serviço",AND(AUTOEVENTO="Manual",$M93=$A$15),$M93&gt;(ROW(PLE.lastrow)-ROW(PLE.firstrow))),0,
           IF(OFFSET(PLE!$G$15,$M93-$A$15,CI$13)="",10^12,OFFSET(PLE!$G$15,$M93-$A$15,CI$13)))</f>
        <v>0</v>
      </c>
      <c r="CJ93" s="172">
        <f t="array" aca="1" ref="CJ93" ca="1">IF(OR($D93&lt;&gt;"Serviço",AND(AUTOEVENTO="Manual",$M93=$A$15),$M93&gt;(ROW(PLE.lastrow)-ROW(PLE.firstrow))),0,
           IF(OFFSET(PLE!$G$15,$M93-$A$15,CJ$13)="",10^12,OFFSET(PLE!$G$15,$M93-$A$15,CJ$13)))</f>
        <v>0</v>
      </c>
      <c r="CK93" s="172">
        <f t="array" aca="1" ref="CK93" ca="1">IF(OR($D93&lt;&gt;"Serviço",AND(AUTOEVENTO="Manual",$M93=$A$15),$M93&gt;(ROW(PLE.lastrow)-ROW(PLE.firstrow))),0,
           IF(OFFSET(PLE!$G$15,$M93-$A$15,CK$13)="",10^12,OFFSET(PLE!$G$15,$M93-$A$15,CK$13)))</f>
        <v>0</v>
      </c>
      <c r="CL93" s="172">
        <f t="array" aca="1" ref="CL93" ca="1">IF(OR($D93&lt;&gt;"Serviço",AND(AUTOEVENTO="Manual",$M93=$A$15),$M93&gt;(ROW(PLE.lastrow)-ROW(PLE.firstrow))),0,
           IF(OFFSET(PLE!$G$15,$M93-$A$15,CL$13)="",10^12,OFFSET(PLE!$G$15,$M93-$A$15,CL$13)))</f>
        <v>0</v>
      </c>
      <c r="CM93" s="172">
        <f t="array" aca="1" ref="CM93" ca="1">IF(OR($D93&lt;&gt;"Serviço",AND(AUTOEVENTO="Manual",$M93=$A$15),$M93&gt;(ROW(PLE.lastrow)-ROW(PLE.firstrow))),0,
           IF(OFFSET(PLE!$G$15,$M93-$A$15,CM$13)="",10^12,OFFSET(PLE!$G$15,$M93-$A$15,CM$13)))</f>
        <v>0</v>
      </c>
    </row>
    <row r="94" spans="1:91" s="696" customFormat="1" ht="51" x14ac:dyDescent="0.2">
      <c r="A94" s="694">
        <f t="shared" ca="1" si="45"/>
        <v>16</v>
      </c>
      <c r="B94" s="694" t="str">
        <f ca="1">OFFSET(ORÇAMENTO!C$15,$L94,0)</f>
        <v>S</v>
      </c>
      <c r="C94" s="694" t="str">
        <f ca="1">OFFSET(ORÇAMENTO!L$15,$L94,0)</f>
        <v>F</v>
      </c>
      <c r="D94" s="116" t="str">
        <f ca="1">OFFSET(ORÇAMENTO!N$15,$L94,0)</f>
        <v>Serviço</v>
      </c>
      <c r="E94" s="117" t="str">
        <f ca="1">OFFSET(ORÇAMENTO!O$15,$L94,0)</f>
        <v>1.15.1.</v>
      </c>
      <c r="F94" s="163" t="str">
        <f ca="1">OFFSET(ORÇAMENTO!R$15,$L94,0)</f>
        <v>REVESTIMENTO CERÂMICO PARA PAREDES INTERNAS COM PLACAS TIPO ESMALTADA DE DIMENSÕES 20X20 CM APLICADAS A MEIA ALTURA DAS PAREDES. AF_02/2023_PE</v>
      </c>
      <c r="G94" s="164" t="str">
        <f ca="1">IF($D94&lt;&gt;"Serviço","",OFFSET(ORÇAMENTO!S$15,$L94,0))</f>
        <v>M2</v>
      </c>
      <c r="H94" s="122">
        <f t="array" aca="1" ref="H94" ca="1">IF($D94&lt;&gt;"Serviço",0,IF(ACOMPANHAMENTO="BM",ROUND(OFFSET(ORÇAMENTO!AJ$15,$L94,0),15-13*ORÇAMENTO!$AF$7),IF(IFERROR(CÁLCULO.FrentesPreenchidas,0)=0,0,SUM(ROUND(OFFSET($P94,0,1,1,CÁLCULO.FrentesPreenchidas),15-13*ORÇAMENTO!$AF$7)))))</f>
        <v>393</v>
      </c>
      <c r="I94" s="467" t="s">
        <v>1258</v>
      </c>
      <c r="J94" s="653" t="str">
        <f t="array" aca="1" ref="J94" ca="1">IF(OR(B94&lt;&gt;"S",CÁLCULO.FrentesPreenchidas=0),"",IF(AND(ACOMPANHAMENTO="PLE",AUTOEVENTO="Manual",OR(H94&gt;0,ORÇAMENTO!AC94="QUANT."),OR(K94="",M94=0,N94="")),"►E",IF(AND(ACOMPANHAMENTO="PLE",ORÇAMENTO!AC94="QUANT."),"►Q",IF(AND(ACOMPANHAMENTO="PLE",H94&lt;&gt;SUMPRODUCT(($Q$1:$AI$1=1)*ROUND(Q94:AI94,15))),"►S",IF(AND(COUNTIF($P$11:$AI$11,"▼")=0,H94&gt;0,I94=""),"◄M","")))))</f>
        <v/>
      </c>
      <c r="K94" s="654" t="s">
        <v>1409</v>
      </c>
      <c r="L94" s="165">
        <f t="shared" ca="1" si="46"/>
        <v>79</v>
      </c>
      <c r="M94" s="166">
        <f ca="1">IF($D94&lt;&gt;"Serviço","",
          IF(AUTOEVENTO="manual",$A94,
                IF(ISERROR(MATCH($A94,$A$15:OFFSET($A94,-1,0),0)),MAX($M$15:OFFSET(M94,-1,0))+1,
                      INDEX($M$15:OFFSET(M94,-1,0),MATCH($A94,$A$15:OFFSET($A94,-1,0),0)))))</f>
        <v>16</v>
      </c>
      <c r="N94" s="167" t="str">
        <f ca="1">IF($D94&lt;&gt;"Serviço","",
         IF(AUTOEVENTO="Manual",
                IF($A94=0,"&lt;-- defina o número do agrupador",
                       OFFSET(EVENTOS!$D$15,$A94-$A$15,0)),
                OFFSET($F$15,$A94,0)))</f>
        <v>REVESTIMENTOS INTERNOS DE PAREDES</v>
      </c>
      <c r="O94" s="168"/>
      <c r="Q94" s="169">
        <f>19.65*5</f>
        <v>98.25</v>
      </c>
      <c r="R94" s="169">
        <f t="shared" ref="R94:T94" si="59">19.65*5</f>
        <v>98.25</v>
      </c>
      <c r="S94" s="169">
        <f t="shared" si="59"/>
        <v>98.25</v>
      </c>
      <c r="T94" s="169">
        <f t="shared" si="59"/>
        <v>98.25</v>
      </c>
      <c r="U94" s="169"/>
      <c r="V94" s="169"/>
      <c r="W94" s="169"/>
      <c r="X94" s="169"/>
      <c r="Y94" s="169"/>
      <c r="Z94" s="170"/>
      <c r="AA94" s="169"/>
      <c r="AB94" s="169"/>
      <c r="AC94" s="169"/>
      <c r="AD94" s="169"/>
      <c r="AE94" s="169"/>
      <c r="AF94" s="169"/>
      <c r="AG94" s="169"/>
      <c r="AH94" s="170"/>
      <c r="AJ94" s="452">
        <f ca="1">IF(AND($D94="Serviço",AJ$12&lt;&gt;0,$H94&gt;0,OR(AUTOEVENTO&lt;&gt;"manual",$M94&lt;&gt;$A$15)),
        IF(Import.TipoArredondamento&lt;&gt;"TransfereGOV",
              ROUND(OFFSET($P94,0,AJ$13),15-13*ORÇAMENTO!$AF$7)/$H94*OFFSET(ORÇAMENTO!$X$15,ROW(AJ94)-ROW(AJ$15),0),
              ROUND(ROUND(OFFSET($P94,0,AJ$13),15-13*ORÇAMENTO!$AF$7)*OFFSET(ORÇAMENTO!$W$15,ROW(AJ94)-ROW(AJ$15),0),15-13*ORÇAMENTO!$AF$11)),
         0)</f>
        <v>7522.02</v>
      </c>
      <c r="AK94" s="452">
        <f ca="1">IF(AND($D94="Serviço",AK$12&lt;&gt;0,$H94&gt;0,OR(AUTOEVENTO&lt;&gt;"manual",$M94&lt;&gt;$A$15)),
        IF(Import.TipoArredondamento&lt;&gt;"TransfereGOV",
              ROUND(OFFSET($P94,0,AK$13),15-13*ORÇAMENTO!$AF$7)/$H94*OFFSET(ORÇAMENTO!$X$15,ROW(AK94)-ROW(AK$15),0),
              ROUND(ROUND(OFFSET($P94,0,AK$13),15-13*ORÇAMENTO!$AF$7)*OFFSET(ORÇAMENTO!$W$15,ROW(AK94)-ROW(AK$15),0),15-13*ORÇAMENTO!$AF$11)),
         0)</f>
        <v>7522.02</v>
      </c>
      <c r="AL94" s="452">
        <f ca="1">IF(AND($D94="Serviço",AL$12&lt;&gt;0,$H94&gt;0,OR(AUTOEVENTO&lt;&gt;"manual",$M94&lt;&gt;$A$15)),
        IF(Import.TipoArredondamento&lt;&gt;"TransfereGOV",
              ROUND(OFFSET($P94,0,AL$13),15-13*ORÇAMENTO!$AF$7)/$H94*OFFSET(ORÇAMENTO!$X$15,ROW(AL94)-ROW(AL$15),0),
              ROUND(ROUND(OFFSET($P94,0,AL$13),15-13*ORÇAMENTO!$AF$7)*OFFSET(ORÇAMENTO!$W$15,ROW(AL94)-ROW(AL$15),0),15-13*ORÇAMENTO!$AF$11)),
         0)</f>
        <v>7522.02</v>
      </c>
      <c r="AM94" s="452">
        <f ca="1">IF(AND($D94="Serviço",AM$12&lt;&gt;0,$H94&gt;0,OR(AUTOEVENTO&lt;&gt;"manual",$M94&lt;&gt;$A$15)),
        IF(Import.TipoArredondamento&lt;&gt;"TransfereGOV",
              ROUND(OFFSET($P94,0,AM$13),15-13*ORÇAMENTO!$AF$7)/$H94*OFFSET(ORÇAMENTO!$X$15,ROW(AM94)-ROW(AM$15),0),
              ROUND(ROUND(OFFSET($P94,0,AM$13),15-13*ORÇAMENTO!$AF$7)*OFFSET(ORÇAMENTO!$W$15,ROW(AM94)-ROW(AM$15),0),15-13*ORÇAMENTO!$AF$11)),
         0)</f>
        <v>7522.02</v>
      </c>
      <c r="AN94" s="452">
        <f ca="1">IF(AND($D94="Serviço",AN$12&lt;&gt;0,$H94&gt;0,OR(AUTOEVENTO&lt;&gt;"manual",$M94&lt;&gt;$A$15)),
        IF(Import.TipoArredondamento&lt;&gt;"TransfereGOV",
              ROUND(OFFSET($P94,0,AN$13),15-13*ORÇAMENTO!$AF$7)/$H94*OFFSET(ORÇAMENTO!$X$15,ROW(AN94)-ROW(AN$15),0),
              ROUND(ROUND(OFFSET($P94,0,AN$13),15-13*ORÇAMENTO!$AF$7)*OFFSET(ORÇAMENTO!$W$15,ROW(AN94)-ROW(AN$15),0),15-13*ORÇAMENTO!$AF$11)),
         0)</f>
        <v>0</v>
      </c>
      <c r="AO94" s="452">
        <f ca="1">IF(AND($D94="Serviço",AO$12&lt;&gt;0,$H94&gt;0,OR(AUTOEVENTO&lt;&gt;"manual",$M94&lt;&gt;$A$15)),
        IF(Import.TipoArredondamento&lt;&gt;"TransfereGOV",
              ROUND(OFFSET($P94,0,AO$13),15-13*ORÇAMENTO!$AF$7)/$H94*OFFSET(ORÇAMENTO!$X$15,ROW(AO94)-ROW(AO$15),0),
              ROUND(ROUND(OFFSET($P94,0,AO$13),15-13*ORÇAMENTO!$AF$7)*OFFSET(ORÇAMENTO!$W$15,ROW(AO94)-ROW(AO$15),0),15-13*ORÇAMENTO!$AF$11)),
         0)</f>
        <v>0</v>
      </c>
      <c r="AP94" s="452">
        <f ca="1">IF(AND($D94="Serviço",AP$12&lt;&gt;0,$H94&gt;0,OR(AUTOEVENTO&lt;&gt;"manual",$M94&lt;&gt;$A$15)),
        IF(Import.TipoArredondamento&lt;&gt;"TransfereGOV",
              ROUND(OFFSET($P94,0,AP$13),15-13*ORÇAMENTO!$AF$7)/$H94*OFFSET(ORÇAMENTO!$X$15,ROW(AP94)-ROW(AP$15),0),
              ROUND(ROUND(OFFSET($P94,0,AP$13),15-13*ORÇAMENTO!$AF$7)*OFFSET(ORÇAMENTO!$W$15,ROW(AP94)-ROW(AP$15),0),15-13*ORÇAMENTO!$AF$11)),
         0)</f>
        <v>0</v>
      </c>
      <c r="AQ94" s="452">
        <f ca="1">IF(AND($D94="Serviço",AQ$12&lt;&gt;0,$H94&gt;0,OR(AUTOEVENTO&lt;&gt;"manual",$M94&lt;&gt;$A$15)),
        IF(Import.TipoArredondamento&lt;&gt;"TransfereGOV",
              ROUND(OFFSET($P94,0,AQ$13),15-13*ORÇAMENTO!$AF$7)/$H94*OFFSET(ORÇAMENTO!$X$15,ROW(AQ94)-ROW(AQ$15),0),
              ROUND(ROUND(OFFSET($P94,0,AQ$13),15-13*ORÇAMENTO!$AF$7)*OFFSET(ORÇAMENTO!$W$15,ROW(AQ94)-ROW(AQ$15),0),15-13*ORÇAMENTO!$AF$11)),
         0)</f>
        <v>0</v>
      </c>
      <c r="AR94" s="452">
        <f ca="1">IF(AND($D94="Serviço",AR$12&lt;&gt;0,$H94&gt;0,OR(AUTOEVENTO&lt;&gt;"manual",$M94&lt;&gt;$A$15)),
        IF(Import.TipoArredondamento&lt;&gt;"TransfereGOV",
              ROUND(OFFSET($P94,0,AR$13),15-13*ORÇAMENTO!$AF$7)/$H94*OFFSET(ORÇAMENTO!$X$15,ROW(AR94)-ROW(AR$15),0),
              ROUND(ROUND(OFFSET($P94,0,AR$13),15-13*ORÇAMENTO!$AF$7)*OFFSET(ORÇAMENTO!$W$15,ROW(AR94)-ROW(AR$15),0),15-13*ORÇAMENTO!$AF$11)),
         0)</f>
        <v>0</v>
      </c>
      <c r="AS94" s="452">
        <f ca="1">IF(AND($D94="Serviço",AS$12&lt;&gt;0,$H94&gt;0,OR(AUTOEVENTO&lt;&gt;"manual",$M94&lt;&gt;$A$15)),
        IF(Import.TipoArredondamento&lt;&gt;"TransfereGOV",
              ROUND(OFFSET($P94,0,AS$13),15-13*ORÇAMENTO!$AF$7)/$H94*OFFSET(ORÇAMENTO!$X$15,ROW(AS94)-ROW(AS$15),0),
              ROUND(ROUND(OFFSET($P94,0,AS$13),15-13*ORÇAMENTO!$AF$7)*OFFSET(ORÇAMENTO!$W$15,ROW(AS94)-ROW(AS$15),0),15-13*ORÇAMENTO!$AF$11)),
         0)</f>
        <v>0</v>
      </c>
      <c r="AT94" s="452">
        <f ca="1">IF(AND($D94="Serviço",AT$12&lt;&gt;0,$H94&gt;0,OR(AUTOEVENTO&lt;&gt;"manual",$M94&lt;&gt;$A$15)),
        IF(Import.TipoArredondamento&lt;&gt;"TransfereGOV",
              ROUND(OFFSET($P94,0,AT$13),15-13*ORÇAMENTO!$AF$7)/$H94*OFFSET(ORÇAMENTO!$X$15,ROW(AT94)-ROW(AT$15),0),
              ROUND(ROUND(OFFSET($P94,0,AT$13),15-13*ORÇAMENTO!$AF$7)*OFFSET(ORÇAMENTO!$W$15,ROW(AT94)-ROW(AT$15),0),15-13*ORÇAMENTO!$AF$11)),
         0)</f>
        <v>0</v>
      </c>
      <c r="AU94" s="452">
        <f ca="1">IF(AND($D94="Serviço",AU$12&lt;&gt;0,$H94&gt;0,OR(AUTOEVENTO&lt;&gt;"manual",$M94&lt;&gt;$A$15)),
        IF(Import.TipoArredondamento&lt;&gt;"TransfereGOV",
              ROUND(OFFSET($P94,0,AU$13),15-13*ORÇAMENTO!$AF$7)/$H94*OFFSET(ORÇAMENTO!$X$15,ROW(AU94)-ROW(AU$15),0),
              ROUND(ROUND(OFFSET($P94,0,AU$13),15-13*ORÇAMENTO!$AF$7)*OFFSET(ORÇAMENTO!$W$15,ROW(AU94)-ROW(AU$15),0),15-13*ORÇAMENTO!$AF$11)),
         0)</f>
        <v>0</v>
      </c>
      <c r="AV94" s="452">
        <f ca="1">IF(AND($D94="Serviço",AV$12&lt;&gt;0,$H94&gt;0,OR(AUTOEVENTO&lt;&gt;"manual",$M94&lt;&gt;$A$15)),
        IF(Import.TipoArredondamento&lt;&gt;"TransfereGOV",
              ROUND(OFFSET($P94,0,AV$13),15-13*ORÇAMENTO!$AF$7)/$H94*OFFSET(ORÇAMENTO!$X$15,ROW(AV94)-ROW(AV$15),0),
              ROUND(ROUND(OFFSET($P94,0,AV$13),15-13*ORÇAMENTO!$AF$7)*OFFSET(ORÇAMENTO!$W$15,ROW(AV94)-ROW(AV$15),0),15-13*ORÇAMENTO!$AF$11)),
         0)</f>
        <v>0</v>
      </c>
      <c r="AW94" s="452">
        <f ca="1">IF(AND($D94="Serviço",AW$12&lt;&gt;0,$H94&gt;0,OR(AUTOEVENTO&lt;&gt;"manual",$M94&lt;&gt;$A$15)),
        IF(Import.TipoArredondamento&lt;&gt;"TransfereGOV",
              ROUND(OFFSET($P94,0,AW$13),15-13*ORÇAMENTO!$AF$7)/$H94*OFFSET(ORÇAMENTO!$X$15,ROW(AW94)-ROW(AW$15),0),
              ROUND(ROUND(OFFSET($P94,0,AW$13),15-13*ORÇAMENTO!$AF$7)*OFFSET(ORÇAMENTO!$W$15,ROW(AW94)-ROW(AW$15),0),15-13*ORÇAMENTO!$AF$11)),
         0)</f>
        <v>0</v>
      </c>
      <c r="AX94" s="452">
        <f ca="1">IF(AND($D94="Serviço",AX$12&lt;&gt;0,$H94&gt;0,OR(AUTOEVENTO&lt;&gt;"manual",$M94&lt;&gt;$A$15)),
        IF(Import.TipoArredondamento&lt;&gt;"TransfereGOV",
              ROUND(OFFSET($P94,0,AX$13),15-13*ORÇAMENTO!$AF$7)/$H94*OFFSET(ORÇAMENTO!$X$15,ROW(AX94)-ROW(AX$15),0),
              ROUND(ROUND(OFFSET($P94,0,AX$13),15-13*ORÇAMENTO!$AF$7)*OFFSET(ORÇAMENTO!$W$15,ROW(AX94)-ROW(AX$15),0),15-13*ORÇAMENTO!$AF$11)),
         0)</f>
        <v>0</v>
      </c>
      <c r="AY94" s="452">
        <f ca="1">IF(AND($D94="Serviço",AY$12&lt;&gt;0,$H94&gt;0,OR(AUTOEVENTO&lt;&gt;"manual",$M94&lt;&gt;$A$15)),
        IF(Import.TipoArredondamento&lt;&gt;"TransfereGOV",
              ROUND(OFFSET($P94,0,AY$13),15-13*ORÇAMENTO!$AF$7)/$H94*OFFSET(ORÇAMENTO!$X$15,ROW(AY94)-ROW(AY$15),0),
              ROUND(ROUND(OFFSET($P94,0,AY$13),15-13*ORÇAMENTO!$AF$7)*OFFSET(ORÇAMENTO!$W$15,ROW(AY94)-ROW(AY$15),0),15-13*ORÇAMENTO!$AF$11)),
         0)</f>
        <v>0</v>
      </c>
      <c r="AZ94" s="452">
        <f ca="1">IF(AND($D94="Serviço",AZ$12&lt;&gt;0,$H94&gt;0,OR(AUTOEVENTO&lt;&gt;"manual",$M94&lt;&gt;$A$15)),
        IF(Import.TipoArredondamento&lt;&gt;"TransfereGOV",
              ROUND(OFFSET($P94,0,AZ$13),15-13*ORÇAMENTO!$AF$7)/$H94*OFFSET(ORÇAMENTO!$X$15,ROW(AZ94)-ROW(AZ$15),0),
              ROUND(ROUND(OFFSET($P94,0,AZ$13),15-13*ORÇAMENTO!$AF$7)*OFFSET(ORÇAMENTO!$W$15,ROW(AZ94)-ROW(AZ$15),0),15-13*ORÇAMENTO!$AF$11)),
         0)</f>
        <v>0</v>
      </c>
      <c r="BA94" s="452">
        <f ca="1">IF(AND($D94="Serviço",BA$12&lt;&gt;0,$H94&gt;0,OR(AUTOEVENTO&lt;&gt;"manual",$M94&lt;&gt;$A$15)),
        IF(Import.TipoArredondamento&lt;&gt;"TransfereGOV",
              ROUND(OFFSET($P94,0,BA$13),15-13*ORÇAMENTO!$AF$7)/$H94*OFFSET(ORÇAMENTO!$X$15,ROW(BA94)-ROW(BA$15),0),
              ROUND(ROUND(OFFSET($P94,0,BA$13),15-13*ORÇAMENTO!$AF$7)*OFFSET(ORÇAMENTO!$W$15,ROW(BA94)-ROW(BA$15),0),15-13*ORÇAMENTO!$AF$11)),
         0)</f>
        <v>0</v>
      </c>
      <c r="BC94" s="171">
        <f ca="1">IF(OR($D94&lt;&gt;"Serviço",AND(AUTOEVENTO="Manual",$M94=$A$15)),0,
         IF(OFFSET(CRONOPLE!$F$15,$M94-$A$15,BC$13)=0,10^12,OFFSET(CRONOPLE!$F$15,$M94-$A$15,BC$13)))</f>
        <v>5</v>
      </c>
      <c r="BD94" s="171">
        <f ca="1">IF(OR($D94&lt;&gt;"Serviço",AND(AUTOEVENTO="Manual",$M94=$A$15)),0,
         IF(OFFSET(CRONOPLE!$F$15,$M94-$A$15,BD$13)=0,10^12,OFFSET(CRONOPLE!$F$15,$M94-$A$15,BD$13)))</f>
        <v>5</v>
      </c>
      <c r="BE94" s="171">
        <f ca="1">IF(OR($D94&lt;&gt;"Serviço",AND(AUTOEVENTO="Manual",$M94=$A$15)),0,
         IF(OFFSET(CRONOPLE!$F$15,$M94-$A$15,BE$13)=0,10^12,OFFSET(CRONOPLE!$F$15,$M94-$A$15,BE$13)))</f>
        <v>7</v>
      </c>
      <c r="BF94" s="171">
        <f ca="1">IF(OR($D94&lt;&gt;"Serviço",AND(AUTOEVENTO="Manual",$M94=$A$15)),0,
         IF(OFFSET(CRONOPLE!$F$15,$M94-$A$15,BF$13)=0,10^12,OFFSET(CRONOPLE!$F$15,$M94-$A$15,BF$13)))</f>
        <v>7</v>
      </c>
      <c r="BG94" s="171">
        <f ca="1">IF(OR($D94&lt;&gt;"Serviço",AND(AUTOEVENTO="Manual",$M94=$A$15)),0,
         IF(OFFSET(CRONOPLE!$F$15,$M94-$A$15,BG$13)=0,10^12,OFFSET(CRONOPLE!$F$15,$M94-$A$15,BG$13)))</f>
        <v>7</v>
      </c>
      <c r="BH94" s="171">
        <f ca="1">IF(OR($D94&lt;&gt;"Serviço",AND(AUTOEVENTO="Manual",$M94=$A$15)),0,
         IF(OFFSET(CRONOPLE!$F$15,$M94-$A$15,BH$13)=0,10^12,OFFSET(CRONOPLE!$F$15,$M94-$A$15,BH$13)))</f>
        <v>1000000000000</v>
      </c>
      <c r="BI94" s="171">
        <f ca="1">IF(OR($D94&lt;&gt;"Serviço",AND(AUTOEVENTO="Manual",$M94=$A$15)),0,
         IF(OFFSET(CRONOPLE!$F$15,$M94-$A$15,BI$13)=0,10^12,OFFSET(CRONOPLE!$F$15,$M94-$A$15,BI$13)))</f>
        <v>7</v>
      </c>
      <c r="BJ94" s="171">
        <f ca="1">IF(OR($D94&lt;&gt;"Serviço",AND(AUTOEVENTO="Manual",$M94=$A$15)),0,
         IF(OFFSET(CRONOPLE!$F$15,$M94-$A$15,BJ$13)=0,10^12,OFFSET(CRONOPLE!$F$15,$M94-$A$15,BJ$13)))</f>
        <v>8</v>
      </c>
      <c r="BK94" s="171">
        <f ca="1">IF(OR($D94&lt;&gt;"Serviço",AND(AUTOEVENTO="Manual",$M94=$A$15)),0,
         IF(OFFSET(CRONOPLE!$F$15,$M94-$A$15,BK$13)=0,10^12,OFFSET(CRONOPLE!$F$15,$M94-$A$15,BK$13)))</f>
        <v>1000000000000</v>
      </c>
      <c r="BL94" s="171">
        <f ca="1">IF(OR($D94&lt;&gt;"Serviço",AND(AUTOEVENTO="Manual",$M94=$A$15)),0,
         IF(OFFSET(CRONOPLE!$F$15,$M94-$A$15,BL$13)=0,10^12,OFFSET(CRONOPLE!$F$15,$M94-$A$15,BL$13)))</f>
        <v>1000000000000</v>
      </c>
      <c r="BM94" s="171">
        <f ca="1">IF(OR($D94&lt;&gt;"Serviço",AND(AUTOEVENTO="Manual",$M94=$A$15)),0,
         IF(OFFSET(CRONOPLE!$F$15,$M94-$A$15,BM$13)=0,10^12,OFFSET(CRONOPLE!$F$15,$M94-$A$15,BM$13)))</f>
        <v>1000000000000</v>
      </c>
      <c r="BN94" s="171">
        <f ca="1">IF(OR($D94&lt;&gt;"Serviço",AND(AUTOEVENTO="Manual",$M94=$A$15)),0,
         IF(OFFSET(CRONOPLE!$F$15,$M94-$A$15,BN$13)=0,10^12,OFFSET(CRONOPLE!$F$15,$M94-$A$15,BN$13)))</f>
        <v>1000000000000</v>
      </c>
      <c r="BO94" s="171">
        <f ca="1">IF(OR($D94&lt;&gt;"Serviço",AND(AUTOEVENTO="Manual",$M94=$A$15)),0,
         IF(OFFSET(CRONOPLE!$F$15,$M94-$A$15,BO$13)=0,10^12,OFFSET(CRONOPLE!$F$15,$M94-$A$15,BO$13)))</f>
        <v>1000000000000</v>
      </c>
      <c r="BP94" s="171">
        <f ca="1">IF(OR($D94&lt;&gt;"Serviço",AND(AUTOEVENTO="Manual",$M94=$A$15)),0,
         IF(OFFSET(CRONOPLE!$F$15,$M94-$A$15,BP$13)=0,10^12,OFFSET(CRONOPLE!$F$15,$M94-$A$15,BP$13)))</f>
        <v>1000000000000</v>
      </c>
      <c r="BQ94" s="171">
        <f ca="1">IF(OR($D94&lt;&gt;"Serviço",AND(AUTOEVENTO="Manual",$M94=$A$15)),0,
         IF(OFFSET(CRONOPLE!$F$15,$M94-$A$15,BQ$13)=0,10^12,OFFSET(CRONOPLE!$F$15,$M94-$A$15,BQ$13)))</f>
        <v>1000000000000</v>
      </c>
      <c r="BR94" s="171">
        <f ca="1">IF(OR($D94&lt;&gt;"Serviço",AND(AUTOEVENTO="Manual",$M94=$A$15)),0,
         IF(OFFSET(CRONOPLE!$F$15,$M94-$A$15,BR$13)=0,10^12,OFFSET(CRONOPLE!$F$15,$M94-$A$15,BR$13)))</f>
        <v>1000000000000</v>
      </c>
      <c r="BS94" s="171">
        <f ca="1">IF(OR($D94&lt;&gt;"Serviço",AND(AUTOEVENTO="Manual",$M94=$A$15)),0,
         IF(OFFSET(CRONOPLE!$F$15,$M94-$A$15,BS$13)=0,10^12,OFFSET(CRONOPLE!$F$15,$M94-$A$15,BS$13)))</f>
        <v>1000000000000</v>
      </c>
      <c r="BT94" s="171">
        <f ca="1">IF(OR($D94&lt;&gt;"Serviço",AND(AUTOEVENTO="Manual",$M94=$A$15)),0,
         IF(OFFSET(CRONOPLE!$F$15,$M94-$A$15,BT$13)=0,10^12,OFFSET(CRONOPLE!$F$15,$M94-$A$15,BT$13)))</f>
        <v>1000000000000</v>
      </c>
      <c r="BV94" s="172">
        <f t="array" aca="1" ref="BV94" ca="1">IF(OR($D94&lt;&gt;"Serviço",AND(AUTOEVENTO="Manual",$M94=$A$15),$M94&gt;(ROW(PLE.lastrow)-ROW(PLE.firstrow))),0,
           IF(OFFSET(PLE!$G$15,$M94-$A$15,BV$13)="",10^12,OFFSET(PLE!$G$15,$M94-$A$15,BV$13)))</f>
        <v>1000000000000</v>
      </c>
      <c r="BW94" s="172">
        <f t="array" aca="1" ref="BW94" ca="1">IF(OR($D94&lt;&gt;"Serviço",AND(AUTOEVENTO="Manual",$M94=$A$15),$M94&gt;(ROW(PLE.lastrow)-ROW(PLE.firstrow))),0,
           IF(OFFSET(PLE!$G$15,$M94-$A$15,BW$13)="",10^12,OFFSET(PLE!$G$15,$M94-$A$15,BW$13)))</f>
        <v>1000000000000</v>
      </c>
      <c r="BX94" s="172">
        <f t="array" aca="1" ref="BX94" ca="1">IF(OR($D94&lt;&gt;"Serviço",AND(AUTOEVENTO="Manual",$M94=$A$15),$M94&gt;(ROW(PLE.lastrow)-ROW(PLE.firstrow))),0,
           IF(OFFSET(PLE!$G$15,$M94-$A$15,BX$13)="",10^12,OFFSET(PLE!$G$15,$M94-$A$15,BX$13)))</f>
        <v>1000000000000</v>
      </c>
      <c r="BY94" s="172">
        <f t="array" aca="1" ref="BY94" ca="1">IF(OR($D94&lt;&gt;"Serviço",AND(AUTOEVENTO="Manual",$M94=$A$15),$M94&gt;(ROW(PLE.lastrow)-ROW(PLE.firstrow))),0,
           IF(OFFSET(PLE!$G$15,$M94-$A$15,BY$13)="",10^12,OFFSET(PLE!$G$15,$M94-$A$15,BY$13)))</f>
        <v>1000000000000</v>
      </c>
      <c r="BZ94" s="172">
        <f t="array" aca="1" ref="BZ94" ca="1">IF(OR($D94&lt;&gt;"Serviço",AND(AUTOEVENTO="Manual",$M94=$A$15),$M94&gt;(ROW(PLE.lastrow)-ROW(PLE.firstrow))),0,
           IF(OFFSET(PLE!$G$15,$M94-$A$15,BZ$13)="",10^12,OFFSET(PLE!$G$15,$M94-$A$15,BZ$13)))</f>
        <v>1000000000000</v>
      </c>
      <c r="CA94" s="172">
        <f t="array" aca="1" ref="CA94" ca="1">IF(OR($D94&lt;&gt;"Serviço",AND(AUTOEVENTO="Manual",$M94=$A$15),$M94&gt;(ROW(PLE.lastrow)-ROW(PLE.firstrow))),0,
           IF(OFFSET(PLE!$G$15,$M94-$A$15,CA$13)="",10^12,OFFSET(PLE!$G$15,$M94-$A$15,CA$13)))</f>
        <v>1000000000000</v>
      </c>
      <c r="CB94" s="172">
        <f t="array" aca="1" ref="CB94" ca="1">IF(OR($D94&lt;&gt;"Serviço",AND(AUTOEVENTO="Manual",$M94=$A$15),$M94&gt;(ROW(PLE.lastrow)-ROW(PLE.firstrow))),0,
           IF(OFFSET(PLE!$G$15,$M94-$A$15,CB$13)="",10^12,OFFSET(PLE!$G$15,$M94-$A$15,CB$13)))</f>
        <v>1000000000000</v>
      </c>
      <c r="CC94" s="172">
        <f t="array" aca="1" ref="CC94" ca="1">IF(OR($D94&lt;&gt;"Serviço",AND(AUTOEVENTO="Manual",$M94=$A$15),$M94&gt;(ROW(PLE.lastrow)-ROW(PLE.firstrow))),0,
           IF(OFFSET(PLE!$G$15,$M94-$A$15,CC$13)="",10^12,OFFSET(PLE!$G$15,$M94-$A$15,CC$13)))</f>
        <v>1000000000000</v>
      </c>
      <c r="CD94" s="172">
        <f t="array" aca="1" ref="CD94" ca="1">IF(OR($D94&lt;&gt;"Serviço",AND(AUTOEVENTO="Manual",$M94=$A$15),$M94&gt;(ROW(PLE.lastrow)-ROW(PLE.firstrow))),0,
           IF(OFFSET(PLE!$G$15,$M94-$A$15,CD$13)="",10^12,OFFSET(PLE!$G$15,$M94-$A$15,CD$13)))</f>
        <v>1000000000000</v>
      </c>
      <c r="CE94" s="172">
        <f t="array" aca="1" ref="CE94" ca="1">IF(OR($D94&lt;&gt;"Serviço",AND(AUTOEVENTO="Manual",$M94=$A$15),$M94&gt;(ROW(PLE.lastrow)-ROW(PLE.firstrow))),0,
           IF(OFFSET(PLE!$G$15,$M94-$A$15,CE$13)="",10^12,OFFSET(PLE!$G$15,$M94-$A$15,CE$13)))</f>
        <v>1000000000000</v>
      </c>
      <c r="CF94" s="172">
        <f t="array" aca="1" ref="CF94" ca="1">IF(OR($D94&lt;&gt;"Serviço",AND(AUTOEVENTO="Manual",$M94=$A$15),$M94&gt;(ROW(PLE.lastrow)-ROW(PLE.firstrow))),0,
           IF(OFFSET(PLE!$G$15,$M94-$A$15,CF$13)="",10^12,OFFSET(PLE!$G$15,$M94-$A$15,CF$13)))</f>
        <v>1000000000000</v>
      </c>
      <c r="CG94" s="172">
        <f t="array" aca="1" ref="CG94" ca="1">IF(OR($D94&lt;&gt;"Serviço",AND(AUTOEVENTO="Manual",$M94=$A$15),$M94&gt;(ROW(PLE.lastrow)-ROW(PLE.firstrow))),0,
           IF(OFFSET(PLE!$G$15,$M94-$A$15,CG$13)="",10^12,OFFSET(PLE!$G$15,$M94-$A$15,CG$13)))</f>
        <v>1000000000000</v>
      </c>
      <c r="CH94" s="172">
        <f t="array" aca="1" ref="CH94" ca="1">IF(OR($D94&lt;&gt;"Serviço",AND(AUTOEVENTO="Manual",$M94=$A$15),$M94&gt;(ROW(PLE.lastrow)-ROW(PLE.firstrow))),0,
           IF(OFFSET(PLE!$G$15,$M94-$A$15,CH$13)="",10^12,OFFSET(PLE!$G$15,$M94-$A$15,CH$13)))</f>
        <v>1000000000000</v>
      </c>
      <c r="CI94" s="172">
        <f t="array" aca="1" ref="CI94" ca="1">IF(OR($D94&lt;&gt;"Serviço",AND(AUTOEVENTO="Manual",$M94=$A$15),$M94&gt;(ROW(PLE.lastrow)-ROW(PLE.firstrow))),0,
           IF(OFFSET(PLE!$G$15,$M94-$A$15,CI$13)="",10^12,OFFSET(PLE!$G$15,$M94-$A$15,CI$13)))</f>
        <v>1000000000000</v>
      </c>
      <c r="CJ94" s="172">
        <f t="array" aca="1" ref="CJ94" ca="1">IF(OR($D94&lt;&gt;"Serviço",AND(AUTOEVENTO="Manual",$M94=$A$15),$M94&gt;(ROW(PLE.lastrow)-ROW(PLE.firstrow))),0,
           IF(OFFSET(PLE!$G$15,$M94-$A$15,CJ$13)="",10^12,OFFSET(PLE!$G$15,$M94-$A$15,CJ$13)))</f>
        <v>1000000000000</v>
      </c>
      <c r="CK94" s="172">
        <f t="array" aca="1" ref="CK94" ca="1">IF(OR($D94&lt;&gt;"Serviço",AND(AUTOEVENTO="Manual",$M94=$A$15),$M94&gt;(ROW(PLE.lastrow)-ROW(PLE.firstrow))),0,
           IF(OFFSET(PLE!$G$15,$M94-$A$15,CK$13)="",10^12,OFFSET(PLE!$G$15,$M94-$A$15,CK$13)))</f>
        <v>1000000000000</v>
      </c>
      <c r="CL94" s="172">
        <f t="array" aca="1" ref="CL94" ca="1">IF(OR($D94&lt;&gt;"Serviço",AND(AUTOEVENTO="Manual",$M94=$A$15),$M94&gt;(ROW(PLE.lastrow)-ROW(PLE.firstrow))),0,
           IF(OFFSET(PLE!$G$15,$M94-$A$15,CL$13)="",10^12,OFFSET(PLE!$G$15,$M94-$A$15,CL$13)))</f>
        <v>1000000000000</v>
      </c>
      <c r="CM94" s="172">
        <f t="array" aca="1" ref="CM94" ca="1">IF(OR($D94&lt;&gt;"Serviço",AND(AUTOEVENTO="Manual",$M94=$A$15),$M94&gt;(ROW(PLE.lastrow)-ROW(PLE.firstrow))),0,
           IF(OFFSET(PLE!$G$15,$M94-$A$15,CM$13)="",10^12,OFFSET(PLE!$G$15,$M94-$A$15,CM$13)))</f>
        <v>1000000000000</v>
      </c>
    </row>
    <row r="95" spans="1:91" s="696" customFormat="1" ht="12.75" customHeight="1" x14ac:dyDescent="0.2">
      <c r="A95" s="694">
        <f t="shared" ca="1" si="45"/>
        <v>16</v>
      </c>
      <c r="B95" s="694" t="str">
        <f ca="1">OFFSET(ORÇAMENTO!C$15,$L95,0)</f>
        <v>S</v>
      </c>
      <c r="C95" s="694" t="str">
        <f ca="1">OFFSET(ORÇAMENTO!L$15,$L95,0)</f>
        <v>F</v>
      </c>
      <c r="D95" s="116" t="str">
        <f ca="1">OFFSET(ORÇAMENTO!N$15,$L95,0)</f>
        <v>Serviço</v>
      </c>
      <c r="E95" s="117" t="str">
        <f ca="1">OFFSET(ORÇAMENTO!O$15,$L95,0)</f>
        <v>1.15.2.</v>
      </c>
      <c r="F95" s="163" t="str">
        <f ca="1">OFFSET(ORÇAMENTO!R$15,$L95,0)</f>
        <v>REVESTIMENTO CERÂMICO PARA PAREDES INTERNAS COM PLACAS TIPO ESMALTADA DE DIMENSÕES 20X20 CM APLICADAS NA ALTURA INTEIRA DAS PAREDES. AF_02/2023_PE</v>
      </c>
      <c r="G95" s="164" t="str">
        <f ca="1">IF($D95&lt;&gt;"Serviço","",OFFSET(ORÇAMENTO!S$15,$L95,0))</f>
        <v>M2</v>
      </c>
      <c r="H95" s="122">
        <f t="array" aca="1" ref="H95" ca="1">IF($D95&lt;&gt;"Serviço",0,IF(ACOMPANHAMENTO="BM",ROUND(OFFSET(ORÇAMENTO!AJ$15,$L95,0),15-13*ORÇAMENTO!$AF$7),IF(IFERROR(CÁLCULO.FrentesPreenchidas,0)=0,0,SUM(ROUND(OFFSET($P95,0,1,1,CÁLCULO.FrentesPreenchidas),15-13*ORÇAMENTO!$AF$7)))))</f>
        <v>76.8</v>
      </c>
      <c r="I95" s="467" t="s">
        <v>1259</v>
      </c>
      <c r="J95" s="653" t="str">
        <f t="array" aca="1" ref="J95" ca="1">IF(OR(B95&lt;&gt;"S",CÁLCULO.FrentesPreenchidas=0),"",IF(AND(ACOMPANHAMENTO="PLE",AUTOEVENTO="Manual",OR(H95&gt;0,ORÇAMENTO!AC95="QUANT."),OR(K95="",M95=0,N95="")),"►E",IF(AND(ACOMPANHAMENTO="PLE",ORÇAMENTO!AC95="QUANT."),"►Q",IF(AND(ACOMPANHAMENTO="PLE",H95&lt;&gt;SUMPRODUCT(($Q$1:$AI$1=1)*ROUND(Q95:AI95,15))),"►S",IF(AND(COUNTIF($P$11:$AI$11,"▼")=0,H95&gt;0,I95=""),"◄M","")))))</f>
        <v/>
      </c>
      <c r="K95" s="654" t="s">
        <v>1409</v>
      </c>
      <c r="L95" s="165">
        <f t="shared" ca="1" si="46"/>
        <v>80</v>
      </c>
      <c r="M95" s="166">
        <f ca="1">IF($D95&lt;&gt;"Serviço","",
          IF(AUTOEVENTO="manual",$A95,
                IF(ISERROR(MATCH($A95,$A$15:OFFSET($A95,-1,0),0)),MAX($M$15:OFFSET(M95,-1,0))+1,
                      INDEX($M$15:OFFSET(M95,-1,0),MATCH($A95,$A$15:OFFSET($A95,-1,0),0)))))</f>
        <v>16</v>
      </c>
      <c r="N95" s="167" t="str">
        <f ca="1">IF($D95&lt;&gt;"Serviço","",
         IF(AUTOEVENTO="Manual",
                IF($A95=0,"&lt;-- defina o número do agrupador",
                       OFFSET(EVENTOS!$D$15,$A95-$A$15,0)),
                OFFSET($F$15,$A95,0)))</f>
        <v>REVESTIMENTOS INTERNOS DE PAREDES</v>
      </c>
      <c r="O95" s="168"/>
      <c r="Q95" s="169">
        <f>3.84*5</f>
        <v>19.2</v>
      </c>
      <c r="R95" s="169">
        <f t="shared" ref="R95:T95" si="60">3.84*5</f>
        <v>19.2</v>
      </c>
      <c r="S95" s="169">
        <f t="shared" si="60"/>
        <v>19.2</v>
      </c>
      <c r="T95" s="169">
        <f t="shared" si="60"/>
        <v>19.2</v>
      </c>
      <c r="U95" s="169"/>
      <c r="V95" s="169"/>
      <c r="W95" s="169"/>
      <c r="X95" s="169"/>
      <c r="Y95" s="169"/>
      <c r="Z95" s="170"/>
      <c r="AA95" s="169"/>
      <c r="AB95" s="169"/>
      <c r="AC95" s="169"/>
      <c r="AD95" s="169"/>
      <c r="AE95" s="169"/>
      <c r="AF95" s="169"/>
      <c r="AG95" s="169"/>
      <c r="AH95" s="170"/>
      <c r="AJ95" s="452">
        <f ca="1">IF(AND($D95="Serviço",AJ$12&lt;&gt;0,$H95&gt;0,OR(AUTOEVENTO&lt;&gt;"manual",$M95&lt;&gt;$A$15)),
        IF(Import.TipoArredondamento&lt;&gt;"TransfereGOV",
              ROUND(OFFSET($P95,0,AJ$13),15-13*ORÇAMENTO!$AF$7)/$H95*OFFSET(ORÇAMENTO!$X$15,ROW(AJ95)-ROW(AJ$15),0),
              ROUND(ROUND(OFFSET($P95,0,AJ$13),15-13*ORÇAMENTO!$AF$7)*OFFSET(ORÇAMENTO!$W$15,ROW(AJ95)-ROW(AJ$15),0),15-13*ORÇAMENTO!$AF$11)),
         0)</f>
        <v>1341.31</v>
      </c>
      <c r="AK95" s="452">
        <f ca="1">IF(AND($D95="Serviço",AK$12&lt;&gt;0,$H95&gt;0,OR(AUTOEVENTO&lt;&gt;"manual",$M95&lt;&gt;$A$15)),
        IF(Import.TipoArredondamento&lt;&gt;"TransfereGOV",
              ROUND(OFFSET($P95,0,AK$13),15-13*ORÇAMENTO!$AF$7)/$H95*OFFSET(ORÇAMENTO!$X$15,ROW(AK95)-ROW(AK$15),0),
              ROUND(ROUND(OFFSET($P95,0,AK$13),15-13*ORÇAMENTO!$AF$7)*OFFSET(ORÇAMENTO!$W$15,ROW(AK95)-ROW(AK$15),0),15-13*ORÇAMENTO!$AF$11)),
         0)</f>
        <v>1341.31</v>
      </c>
      <c r="AL95" s="452">
        <f ca="1">IF(AND($D95="Serviço",AL$12&lt;&gt;0,$H95&gt;0,OR(AUTOEVENTO&lt;&gt;"manual",$M95&lt;&gt;$A$15)),
        IF(Import.TipoArredondamento&lt;&gt;"TransfereGOV",
              ROUND(OFFSET($P95,0,AL$13),15-13*ORÇAMENTO!$AF$7)/$H95*OFFSET(ORÇAMENTO!$X$15,ROW(AL95)-ROW(AL$15),0),
              ROUND(ROUND(OFFSET($P95,0,AL$13),15-13*ORÇAMENTO!$AF$7)*OFFSET(ORÇAMENTO!$W$15,ROW(AL95)-ROW(AL$15),0),15-13*ORÇAMENTO!$AF$11)),
         0)</f>
        <v>1341.31</v>
      </c>
      <c r="AM95" s="452">
        <f ca="1">IF(AND($D95="Serviço",AM$12&lt;&gt;0,$H95&gt;0,OR(AUTOEVENTO&lt;&gt;"manual",$M95&lt;&gt;$A$15)),
        IF(Import.TipoArredondamento&lt;&gt;"TransfereGOV",
              ROUND(OFFSET($P95,0,AM$13),15-13*ORÇAMENTO!$AF$7)/$H95*OFFSET(ORÇAMENTO!$X$15,ROW(AM95)-ROW(AM$15),0),
              ROUND(ROUND(OFFSET($P95,0,AM$13),15-13*ORÇAMENTO!$AF$7)*OFFSET(ORÇAMENTO!$W$15,ROW(AM95)-ROW(AM$15),0),15-13*ORÇAMENTO!$AF$11)),
         0)</f>
        <v>1341.31</v>
      </c>
      <c r="AN95" s="452">
        <f ca="1">IF(AND($D95="Serviço",AN$12&lt;&gt;0,$H95&gt;0,OR(AUTOEVENTO&lt;&gt;"manual",$M95&lt;&gt;$A$15)),
        IF(Import.TipoArredondamento&lt;&gt;"TransfereGOV",
              ROUND(OFFSET($P95,0,AN$13),15-13*ORÇAMENTO!$AF$7)/$H95*OFFSET(ORÇAMENTO!$X$15,ROW(AN95)-ROW(AN$15),0),
              ROUND(ROUND(OFFSET($P95,0,AN$13),15-13*ORÇAMENTO!$AF$7)*OFFSET(ORÇAMENTO!$W$15,ROW(AN95)-ROW(AN$15),0),15-13*ORÇAMENTO!$AF$11)),
         0)</f>
        <v>0</v>
      </c>
      <c r="AO95" s="452">
        <f ca="1">IF(AND($D95="Serviço",AO$12&lt;&gt;0,$H95&gt;0,OR(AUTOEVENTO&lt;&gt;"manual",$M95&lt;&gt;$A$15)),
        IF(Import.TipoArredondamento&lt;&gt;"TransfereGOV",
              ROUND(OFFSET($P95,0,AO$13),15-13*ORÇAMENTO!$AF$7)/$H95*OFFSET(ORÇAMENTO!$X$15,ROW(AO95)-ROW(AO$15),0),
              ROUND(ROUND(OFFSET($P95,0,AO$13),15-13*ORÇAMENTO!$AF$7)*OFFSET(ORÇAMENTO!$W$15,ROW(AO95)-ROW(AO$15),0),15-13*ORÇAMENTO!$AF$11)),
         0)</f>
        <v>0</v>
      </c>
      <c r="AP95" s="452">
        <f ca="1">IF(AND($D95="Serviço",AP$12&lt;&gt;0,$H95&gt;0,OR(AUTOEVENTO&lt;&gt;"manual",$M95&lt;&gt;$A$15)),
        IF(Import.TipoArredondamento&lt;&gt;"TransfereGOV",
              ROUND(OFFSET($P95,0,AP$13),15-13*ORÇAMENTO!$AF$7)/$H95*OFFSET(ORÇAMENTO!$X$15,ROW(AP95)-ROW(AP$15),0),
              ROUND(ROUND(OFFSET($P95,0,AP$13),15-13*ORÇAMENTO!$AF$7)*OFFSET(ORÇAMENTO!$W$15,ROW(AP95)-ROW(AP$15),0),15-13*ORÇAMENTO!$AF$11)),
         0)</f>
        <v>0</v>
      </c>
      <c r="AQ95" s="452">
        <f ca="1">IF(AND($D95="Serviço",AQ$12&lt;&gt;0,$H95&gt;0,OR(AUTOEVENTO&lt;&gt;"manual",$M95&lt;&gt;$A$15)),
        IF(Import.TipoArredondamento&lt;&gt;"TransfereGOV",
              ROUND(OFFSET($P95,0,AQ$13),15-13*ORÇAMENTO!$AF$7)/$H95*OFFSET(ORÇAMENTO!$X$15,ROW(AQ95)-ROW(AQ$15),0),
              ROUND(ROUND(OFFSET($P95,0,AQ$13),15-13*ORÇAMENTO!$AF$7)*OFFSET(ORÇAMENTO!$W$15,ROW(AQ95)-ROW(AQ$15),0),15-13*ORÇAMENTO!$AF$11)),
         0)</f>
        <v>0</v>
      </c>
      <c r="AR95" s="452">
        <f ca="1">IF(AND($D95="Serviço",AR$12&lt;&gt;0,$H95&gt;0,OR(AUTOEVENTO&lt;&gt;"manual",$M95&lt;&gt;$A$15)),
        IF(Import.TipoArredondamento&lt;&gt;"TransfereGOV",
              ROUND(OFFSET($P95,0,AR$13),15-13*ORÇAMENTO!$AF$7)/$H95*OFFSET(ORÇAMENTO!$X$15,ROW(AR95)-ROW(AR$15),0),
              ROUND(ROUND(OFFSET($P95,0,AR$13),15-13*ORÇAMENTO!$AF$7)*OFFSET(ORÇAMENTO!$W$15,ROW(AR95)-ROW(AR$15),0),15-13*ORÇAMENTO!$AF$11)),
         0)</f>
        <v>0</v>
      </c>
      <c r="AS95" s="452">
        <f ca="1">IF(AND($D95="Serviço",AS$12&lt;&gt;0,$H95&gt;0,OR(AUTOEVENTO&lt;&gt;"manual",$M95&lt;&gt;$A$15)),
        IF(Import.TipoArredondamento&lt;&gt;"TransfereGOV",
              ROUND(OFFSET($P95,0,AS$13),15-13*ORÇAMENTO!$AF$7)/$H95*OFFSET(ORÇAMENTO!$X$15,ROW(AS95)-ROW(AS$15),0),
              ROUND(ROUND(OFFSET($P95,0,AS$13),15-13*ORÇAMENTO!$AF$7)*OFFSET(ORÇAMENTO!$W$15,ROW(AS95)-ROW(AS$15),0),15-13*ORÇAMENTO!$AF$11)),
         0)</f>
        <v>0</v>
      </c>
      <c r="AT95" s="452">
        <f ca="1">IF(AND($D95="Serviço",AT$12&lt;&gt;0,$H95&gt;0,OR(AUTOEVENTO&lt;&gt;"manual",$M95&lt;&gt;$A$15)),
        IF(Import.TipoArredondamento&lt;&gt;"TransfereGOV",
              ROUND(OFFSET($P95,0,AT$13),15-13*ORÇAMENTO!$AF$7)/$H95*OFFSET(ORÇAMENTO!$X$15,ROW(AT95)-ROW(AT$15),0),
              ROUND(ROUND(OFFSET($P95,0,AT$13),15-13*ORÇAMENTO!$AF$7)*OFFSET(ORÇAMENTO!$W$15,ROW(AT95)-ROW(AT$15),0),15-13*ORÇAMENTO!$AF$11)),
         0)</f>
        <v>0</v>
      </c>
      <c r="AU95" s="452">
        <f ca="1">IF(AND($D95="Serviço",AU$12&lt;&gt;0,$H95&gt;0,OR(AUTOEVENTO&lt;&gt;"manual",$M95&lt;&gt;$A$15)),
        IF(Import.TipoArredondamento&lt;&gt;"TransfereGOV",
              ROUND(OFFSET($P95,0,AU$13),15-13*ORÇAMENTO!$AF$7)/$H95*OFFSET(ORÇAMENTO!$X$15,ROW(AU95)-ROW(AU$15),0),
              ROUND(ROUND(OFFSET($P95,0,AU$13),15-13*ORÇAMENTO!$AF$7)*OFFSET(ORÇAMENTO!$W$15,ROW(AU95)-ROW(AU$15),0),15-13*ORÇAMENTO!$AF$11)),
         0)</f>
        <v>0</v>
      </c>
      <c r="AV95" s="452">
        <f ca="1">IF(AND($D95="Serviço",AV$12&lt;&gt;0,$H95&gt;0,OR(AUTOEVENTO&lt;&gt;"manual",$M95&lt;&gt;$A$15)),
        IF(Import.TipoArredondamento&lt;&gt;"TransfereGOV",
              ROUND(OFFSET($P95,0,AV$13),15-13*ORÇAMENTO!$AF$7)/$H95*OFFSET(ORÇAMENTO!$X$15,ROW(AV95)-ROW(AV$15),0),
              ROUND(ROUND(OFFSET($P95,0,AV$13),15-13*ORÇAMENTO!$AF$7)*OFFSET(ORÇAMENTO!$W$15,ROW(AV95)-ROW(AV$15),0),15-13*ORÇAMENTO!$AF$11)),
         0)</f>
        <v>0</v>
      </c>
      <c r="AW95" s="452">
        <f ca="1">IF(AND($D95="Serviço",AW$12&lt;&gt;0,$H95&gt;0,OR(AUTOEVENTO&lt;&gt;"manual",$M95&lt;&gt;$A$15)),
        IF(Import.TipoArredondamento&lt;&gt;"TransfereGOV",
              ROUND(OFFSET($P95,0,AW$13),15-13*ORÇAMENTO!$AF$7)/$H95*OFFSET(ORÇAMENTO!$X$15,ROW(AW95)-ROW(AW$15),0),
              ROUND(ROUND(OFFSET($P95,0,AW$13),15-13*ORÇAMENTO!$AF$7)*OFFSET(ORÇAMENTO!$W$15,ROW(AW95)-ROW(AW$15),0),15-13*ORÇAMENTO!$AF$11)),
         0)</f>
        <v>0</v>
      </c>
      <c r="AX95" s="452">
        <f ca="1">IF(AND($D95="Serviço",AX$12&lt;&gt;0,$H95&gt;0,OR(AUTOEVENTO&lt;&gt;"manual",$M95&lt;&gt;$A$15)),
        IF(Import.TipoArredondamento&lt;&gt;"TransfereGOV",
              ROUND(OFFSET($P95,0,AX$13),15-13*ORÇAMENTO!$AF$7)/$H95*OFFSET(ORÇAMENTO!$X$15,ROW(AX95)-ROW(AX$15),0),
              ROUND(ROUND(OFFSET($P95,0,AX$13),15-13*ORÇAMENTO!$AF$7)*OFFSET(ORÇAMENTO!$W$15,ROW(AX95)-ROW(AX$15),0),15-13*ORÇAMENTO!$AF$11)),
         0)</f>
        <v>0</v>
      </c>
      <c r="AY95" s="452">
        <f ca="1">IF(AND($D95="Serviço",AY$12&lt;&gt;0,$H95&gt;0,OR(AUTOEVENTO&lt;&gt;"manual",$M95&lt;&gt;$A$15)),
        IF(Import.TipoArredondamento&lt;&gt;"TransfereGOV",
              ROUND(OFFSET($P95,0,AY$13),15-13*ORÇAMENTO!$AF$7)/$H95*OFFSET(ORÇAMENTO!$X$15,ROW(AY95)-ROW(AY$15),0),
              ROUND(ROUND(OFFSET($P95,0,AY$13),15-13*ORÇAMENTO!$AF$7)*OFFSET(ORÇAMENTO!$W$15,ROW(AY95)-ROW(AY$15),0),15-13*ORÇAMENTO!$AF$11)),
         0)</f>
        <v>0</v>
      </c>
      <c r="AZ95" s="452">
        <f ca="1">IF(AND($D95="Serviço",AZ$12&lt;&gt;0,$H95&gt;0,OR(AUTOEVENTO&lt;&gt;"manual",$M95&lt;&gt;$A$15)),
        IF(Import.TipoArredondamento&lt;&gt;"TransfereGOV",
              ROUND(OFFSET($P95,0,AZ$13),15-13*ORÇAMENTO!$AF$7)/$H95*OFFSET(ORÇAMENTO!$X$15,ROW(AZ95)-ROW(AZ$15),0),
              ROUND(ROUND(OFFSET($P95,0,AZ$13),15-13*ORÇAMENTO!$AF$7)*OFFSET(ORÇAMENTO!$W$15,ROW(AZ95)-ROW(AZ$15),0),15-13*ORÇAMENTO!$AF$11)),
         0)</f>
        <v>0</v>
      </c>
      <c r="BA95" s="452">
        <f ca="1">IF(AND($D95="Serviço",BA$12&lt;&gt;0,$H95&gt;0,OR(AUTOEVENTO&lt;&gt;"manual",$M95&lt;&gt;$A$15)),
        IF(Import.TipoArredondamento&lt;&gt;"TransfereGOV",
              ROUND(OFFSET($P95,0,BA$13),15-13*ORÇAMENTO!$AF$7)/$H95*OFFSET(ORÇAMENTO!$X$15,ROW(BA95)-ROW(BA$15),0),
              ROUND(ROUND(OFFSET($P95,0,BA$13),15-13*ORÇAMENTO!$AF$7)*OFFSET(ORÇAMENTO!$W$15,ROW(BA95)-ROW(BA$15),0),15-13*ORÇAMENTO!$AF$11)),
         0)</f>
        <v>0</v>
      </c>
      <c r="BC95" s="171">
        <f ca="1">IF(OR($D95&lt;&gt;"Serviço",AND(AUTOEVENTO="Manual",$M95=$A$15)),0,
         IF(OFFSET(CRONOPLE!$F$15,$M95-$A$15,BC$13)=0,10^12,OFFSET(CRONOPLE!$F$15,$M95-$A$15,BC$13)))</f>
        <v>5</v>
      </c>
      <c r="BD95" s="171">
        <f ca="1">IF(OR($D95&lt;&gt;"Serviço",AND(AUTOEVENTO="Manual",$M95=$A$15)),0,
         IF(OFFSET(CRONOPLE!$F$15,$M95-$A$15,BD$13)=0,10^12,OFFSET(CRONOPLE!$F$15,$M95-$A$15,BD$13)))</f>
        <v>5</v>
      </c>
      <c r="BE95" s="171">
        <f ca="1">IF(OR($D95&lt;&gt;"Serviço",AND(AUTOEVENTO="Manual",$M95=$A$15)),0,
         IF(OFFSET(CRONOPLE!$F$15,$M95-$A$15,BE$13)=0,10^12,OFFSET(CRONOPLE!$F$15,$M95-$A$15,BE$13)))</f>
        <v>7</v>
      </c>
      <c r="BF95" s="171">
        <f ca="1">IF(OR($D95&lt;&gt;"Serviço",AND(AUTOEVENTO="Manual",$M95=$A$15)),0,
         IF(OFFSET(CRONOPLE!$F$15,$M95-$A$15,BF$13)=0,10^12,OFFSET(CRONOPLE!$F$15,$M95-$A$15,BF$13)))</f>
        <v>7</v>
      </c>
      <c r="BG95" s="171">
        <f ca="1">IF(OR($D95&lt;&gt;"Serviço",AND(AUTOEVENTO="Manual",$M95=$A$15)),0,
         IF(OFFSET(CRONOPLE!$F$15,$M95-$A$15,BG$13)=0,10^12,OFFSET(CRONOPLE!$F$15,$M95-$A$15,BG$13)))</f>
        <v>7</v>
      </c>
      <c r="BH95" s="171">
        <f ca="1">IF(OR($D95&lt;&gt;"Serviço",AND(AUTOEVENTO="Manual",$M95=$A$15)),0,
         IF(OFFSET(CRONOPLE!$F$15,$M95-$A$15,BH$13)=0,10^12,OFFSET(CRONOPLE!$F$15,$M95-$A$15,BH$13)))</f>
        <v>1000000000000</v>
      </c>
      <c r="BI95" s="171">
        <f ca="1">IF(OR($D95&lt;&gt;"Serviço",AND(AUTOEVENTO="Manual",$M95=$A$15)),0,
         IF(OFFSET(CRONOPLE!$F$15,$M95-$A$15,BI$13)=0,10^12,OFFSET(CRONOPLE!$F$15,$M95-$A$15,BI$13)))</f>
        <v>7</v>
      </c>
      <c r="BJ95" s="171">
        <f ca="1">IF(OR($D95&lt;&gt;"Serviço",AND(AUTOEVENTO="Manual",$M95=$A$15)),0,
         IF(OFFSET(CRONOPLE!$F$15,$M95-$A$15,BJ$13)=0,10^12,OFFSET(CRONOPLE!$F$15,$M95-$A$15,BJ$13)))</f>
        <v>8</v>
      </c>
      <c r="BK95" s="171">
        <f ca="1">IF(OR($D95&lt;&gt;"Serviço",AND(AUTOEVENTO="Manual",$M95=$A$15)),0,
         IF(OFFSET(CRONOPLE!$F$15,$M95-$A$15,BK$13)=0,10^12,OFFSET(CRONOPLE!$F$15,$M95-$A$15,BK$13)))</f>
        <v>1000000000000</v>
      </c>
      <c r="BL95" s="171">
        <f ca="1">IF(OR($D95&lt;&gt;"Serviço",AND(AUTOEVENTO="Manual",$M95=$A$15)),0,
         IF(OFFSET(CRONOPLE!$F$15,$M95-$A$15,BL$13)=0,10^12,OFFSET(CRONOPLE!$F$15,$M95-$A$15,BL$13)))</f>
        <v>1000000000000</v>
      </c>
      <c r="BM95" s="171">
        <f ca="1">IF(OR($D95&lt;&gt;"Serviço",AND(AUTOEVENTO="Manual",$M95=$A$15)),0,
         IF(OFFSET(CRONOPLE!$F$15,$M95-$A$15,BM$13)=0,10^12,OFFSET(CRONOPLE!$F$15,$M95-$A$15,BM$13)))</f>
        <v>1000000000000</v>
      </c>
      <c r="BN95" s="171">
        <f ca="1">IF(OR($D95&lt;&gt;"Serviço",AND(AUTOEVENTO="Manual",$M95=$A$15)),0,
         IF(OFFSET(CRONOPLE!$F$15,$M95-$A$15,BN$13)=0,10^12,OFFSET(CRONOPLE!$F$15,$M95-$A$15,BN$13)))</f>
        <v>1000000000000</v>
      </c>
      <c r="BO95" s="171">
        <f ca="1">IF(OR($D95&lt;&gt;"Serviço",AND(AUTOEVENTO="Manual",$M95=$A$15)),0,
         IF(OFFSET(CRONOPLE!$F$15,$M95-$A$15,BO$13)=0,10^12,OFFSET(CRONOPLE!$F$15,$M95-$A$15,BO$13)))</f>
        <v>1000000000000</v>
      </c>
      <c r="BP95" s="171">
        <f ca="1">IF(OR($D95&lt;&gt;"Serviço",AND(AUTOEVENTO="Manual",$M95=$A$15)),0,
         IF(OFFSET(CRONOPLE!$F$15,$M95-$A$15,BP$13)=0,10^12,OFFSET(CRONOPLE!$F$15,$M95-$A$15,BP$13)))</f>
        <v>1000000000000</v>
      </c>
      <c r="BQ95" s="171">
        <f ca="1">IF(OR($D95&lt;&gt;"Serviço",AND(AUTOEVENTO="Manual",$M95=$A$15)),0,
         IF(OFFSET(CRONOPLE!$F$15,$M95-$A$15,BQ$13)=0,10^12,OFFSET(CRONOPLE!$F$15,$M95-$A$15,BQ$13)))</f>
        <v>1000000000000</v>
      </c>
      <c r="BR95" s="171">
        <f ca="1">IF(OR($D95&lt;&gt;"Serviço",AND(AUTOEVENTO="Manual",$M95=$A$15)),0,
         IF(OFFSET(CRONOPLE!$F$15,$M95-$A$15,BR$13)=0,10^12,OFFSET(CRONOPLE!$F$15,$M95-$A$15,BR$13)))</f>
        <v>1000000000000</v>
      </c>
      <c r="BS95" s="171">
        <f ca="1">IF(OR($D95&lt;&gt;"Serviço",AND(AUTOEVENTO="Manual",$M95=$A$15)),0,
         IF(OFFSET(CRONOPLE!$F$15,$M95-$A$15,BS$13)=0,10^12,OFFSET(CRONOPLE!$F$15,$M95-$A$15,BS$13)))</f>
        <v>1000000000000</v>
      </c>
      <c r="BT95" s="171">
        <f ca="1">IF(OR($D95&lt;&gt;"Serviço",AND(AUTOEVENTO="Manual",$M95=$A$15)),0,
         IF(OFFSET(CRONOPLE!$F$15,$M95-$A$15,BT$13)=0,10^12,OFFSET(CRONOPLE!$F$15,$M95-$A$15,BT$13)))</f>
        <v>1000000000000</v>
      </c>
      <c r="BV95" s="172">
        <f t="array" aca="1" ref="BV95" ca="1">IF(OR($D95&lt;&gt;"Serviço",AND(AUTOEVENTO="Manual",$M95=$A$15),$M95&gt;(ROW(PLE.lastrow)-ROW(PLE.firstrow))),0,
           IF(OFFSET(PLE!$G$15,$M95-$A$15,BV$13)="",10^12,OFFSET(PLE!$G$15,$M95-$A$15,BV$13)))</f>
        <v>1000000000000</v>
      </c>
      <c r="BW95" s="172">
        <f t="array" aca="1" ref="BW95" ca="1">IF(OR($D95&lt;&gt;"Serviço",AND(AUTOEVENTO="Manual",$M95=$A$15),$M95&gt;(ROW(PLE.lastrow)-ROW(PLE.firstrow))),0,
           IF(OFFSET(PLE!$G$15,$M95-$A$15,BW$13)="",10^12,OFFSET(PLE!$G$15,$M95-$A$15,BW$13)))</f>
        <v>1000000000000</v>
      </c>
      <c r="BX95" s="172">
        <f t="array" aca="1" ref="BX95" ca="1">IF(OR($D95&lt;&gt;"Serviço",AND(AUTOEVENTO="Manual",$M95=$A$15),$M95&gt;(ROW(PLE.lastrow)-ROW(PLE.firstrow))),0,
           IF(OFFSET(PLE!$G$15,$M95-$A$15,BX$13)="",10^12,OFFSET(PLE!$G$15,$M95-$A$15,BX$13)))</f>
        <v>1000000000000</v>
      </c>
      <c r="BY95" s="172">
        <f t="array" aca="1" ref="BY95" ca="1">IF(OR($D95&lt;&gt;"Serviço",AND(AUTOEVENTO="Manual",$M95=$A$15),$M95&gt;(ROW(PLE.lastrow)-ROW(PLE.firstrow))),0,
           IF(OFFSET(PLE!$G$15,$M95-$A$15,BY$13)="",10^12,OFFSET(PLE!$G$15,$M95-$A$15,BY$13)))</f>
        <v>1000000000000</v>
      </c>
      <c r="BZ95" s="172">
        <f t="array" aca="1" ref="BZ95" ca="1">IF(OR($D95&lt;&gt;"Serviço",AND(AUTOEVENTO="Manual",$M95=$A$15),$M95&gt;(ROW(PLE.lastrow)-ROW(PLE.firstrow))),0,
           IF(OFFSET(PLE!$G$15,$M95-$A$15,BZ$13)="",10^12,OFFSET(PLE!$G$15,$M95-$A$15,BZ$13)))</f>
        <v>1000000000000</v>
      </c>
      <c r="CA95" s="172">
        <f t="array" aca="1" ref="CA95" ca="1">IF(OR($D95&lt;&gt;"Serviço",AND(AUTOEVENTO="Manual",$M95=$A$15),$M95&gt;(ROW(PLE.lastrow)-ROW(PLE.firstrow))),0,
           IF(OFFSET(PLE!$G$15,$M95-$A$15,CA$13)="",10^12,OFFSET(PLE!$G$15,$M95-$A$15,CA$13)))</f>
        <v>1000000000000</v>
      </c>
      <c r="CB95" s="172">
        <f t="array" aca="1" ref="CB95" ca="1">IF(OR($D95&lt;&gt;"Serviço",AND(AUTOEVENTO="Manual",$M95=$A$15),$M95&gt;(ROW(PLE.lastrow)-ROW(PLE.firstrow))),0,
           IF(OFFSET(PLE!$G$15,$M95-$A$15,CB$13)="",10^12,OFFSET(PLE!$G$15,$M95-$A$15,CB$13)))</f>
        <v>1000000000000</v>
      </c>
      <c r="CC95" s="172">
        <f t="array" aca="1" ref="CC95" ca="1">IF(OR($D95&lt;&gt;"Serviço",AND(AUTOEVENTO="Manual",$M95=$A$15),$M95&gt;(ROW(PLE.lastrow)-ROW(PLE.firstrow))),0,
           IF(OFFSET(PLE!$G$15,$M95-$A$15,CC$13)="",10^12,OFFSET(PLE!$G$15,$M95-$A$15,CC$13)))</f>
        <v>1000000000000</v>
      </c>
      <c r="CD95" s="172">
        <f t="array" aca="1" ref="CD95" ca="1">IF(OR($D95&lt;&gt;"Serviço",AND(AUTOEVENTO="Manual",$M95=$A$15),$M95&gt;(ROW(PLE.lastrow)-ROW(PLE.firstrow))),0,
           IF(OFFSET(PLE!$G$15,$M95-$A$15,CD$13)="",10^12,OFFSET(PLE!$G$15,$M95-$A$15,CD$13)))</f>
        <v>1000000000000</v>
      </c>
      <c r="CE95" s="172">
        <f t="array" aca="1" ref="CE95" ca="1">IF(OR($D95&lt;&gt;"Serviço",AND(AUTOEVENTO="Manual",$M95=$A$15),$M95&gt;(ROW(PLE.lastrow)-ROW(PLE.firstrow))),0,
           IF(OFFSET(PLE!$G$15,$M95-$A$15,CE$13)="",10^12,OFFSET(PLE!$G$15,$M95-$A$15,CE$13)))</f>
        <v>1000000000000</v>
      </c>
      <c r="CF95" s="172">
        <f t="array" aca="1" ref="CF95" ca="1">IF(OR($D95&lt;&gt;"Serviço",AND(AUTOEVENTO="Manual",$M95=$A$15),$M95&gt;(ROW(PLE.lastrow)-ROW(PLE.firstrow))),0,
           IF(OFFSET(PLE!$G$15,$M95-$A$15,CF$13)="",10^12,OFFSET(PLE!$G$15,$M95-$A$15,CF$13)))</f>
        <v>1000000000000</v>
      </c>
      <c r="CG95" s="172">
        <f t="array" aca="1" ref="CG95" ca="1">IF(OR($D95&lt;&gt;"Serviço",AND(AUTOEVENTO="Manual",$M95=$A$15),$M95&gt;(ROW(PLE.lastrow)-ROW(PLE.firstrow))),0,
           IF(OFFSET(PLE!$G$15,$M95-$A$15,CG$13)="",10^12,OFFSET(PLE!$G$15,$M95-$A$15,CG$13)))</f>
        <v>1000000000000</v>
      </c>
      <c r="CH95" s="172">
        <f t="array" aca="1" ref="CH95" ca="1">IF(OR($D95&lt;&gt;"Serviço",AND(AUTOEVENTO="Manual",$M95=$A$15),$M95&gt;(ROW(PLE.lastrow)-ROW(PLE.firstrow))),0,
           IF(OFFSET(PLE!$G$15,$M95-$A$15,CH$13)="",10^12,OFFSET(PLE!$G$15,$M95-$A$15,CH$13)))</f>
        <v>1000000000000</v>
      </c>
      <c r="CI95" s="172">
        <f t="array" aca="1" ref="CI95" ca="1">IF(OR($D95&lt;&gt;"Serviço",AND(AUTOEVENTO="Manual",$M95=$A$15),$M95&gt;(ROW(PLE.lastrow)-ROW(PLE.firstrow))),0,
           IF(OFFSET(PLE!$G$15,$M95-$A$15,CI$13)="",10^12,OFFSET(PLE!$G$15,$M95-$A$15,CI$13)))</f>
        <v>1000000000000</v>
      </c>
      <c r="CJ95" s="172">
        <f t="array" aca="1" ref="CJ95" ca="1">IF(OR($D95&lt;&gt;"Serviço",AND(AUTOEVENTO="Manual",$M95=$A$15),$M95&gt;(ROW(PLE.lastrow)-ROW(PLE.firstrow))),0,
           IF(OFFSET(PLE!$G$15,$M95-$A$15,CJ$13)="",10^12,OFFSET(PLE!$G$15,$M95-$A$15,CJ$13)))</f>
        <v>1000000000000</v>
      </c>
      <c r="CK95" s="172">
        <f t="array" aca="1" ref="CK95" ca="1">IF(OR($D95&lt;&gt;"Serviço",AND(AUTOEVENTO="Manual",$M95=$A$15),$M95&gt;(ROW(PLE.lastrow)-ROW(PLE.firstrow))),0,
           IF(OFFSET(PLE!$G$15,$M95-$A$15,CK$13)="",10^12,OFFSET(PLE!$G$15,$M95-$A$15,CK$13)))</f>
        <v>1000000000000</v>
      </c>
      <c r="CL95" s="172">
        <f t="array" aca="1" ref="CL95" ca="1">IF(OR($D95&lt;&gt;"Serviço",AND(AUTOEVENTO="Manual",$M95=$A$15),$M95&gt;(ROW(PLE.lastrow)-ROW(PLE.firstrow))),0,
           IF(OFFSET(PLE!$G$15,$M95-$A$15,CL$13)="",10^12,OFFSET(PLE!$G$15,$M95-$A$15,CL$13)))</f>
        <v>1000000000000</v>
      </c>
      <c r="CM95" s="172">
        <f t="array" aca="1" ref="CM95" ca="1">IF(OR($D95&lt;&gt;"Serviço",AND(AUTOEVENTO="Manual",$M95=$A$15),$M95&gt;(ROW(PLE.lastrow)-ROW(PLE.firstrow))),0,
           IF(OFFSET(PLE!$G$15,$M95-$A$15,CM$13)="",10^12,OFFSET(PLE!$G$15,$M95-$A$15,CM$13)))</f>
        <v>1000000000000</v>
      </c>
    </row>
    <row r="96" spans="1:91" s="696" customFormat="1" ht="12.75" x14ac:dyDescent="0.2">
      <c r="A96" s="694">
        <f t="shared" ca="1" si="45"/>
        <v>0</v>
      </c>
      <c r="B96" s="694">
        <f ca="1">OFFSET(ORÇAMENTO!C$15,$L96,0)</f>
        <v>2</v>
      </c>
      <c r="C96" s="694" t="str">
        <f ca="1">OFFSET(ORÇAMENTO!L$15,$L96,0)</f>
        <v>F</v>
      </c>
      <c r="D96" s="116" t="str">
        <f ca="1">OFFSET(ORÇAMENTO!N$15,$L96,0)</f>
        <v>Nível 2</v>
      </c>
      <c r="E96" s="117" t="str">
        <f ca="1">OFFSET(ORÇAMENTO!O$15,$L96,0)</f>
        <v>1.16.</v>
      </c>
      <c r="F96" s="163" t="str">
        <f ca="1">OFFSET(ORÇAMENTO!R$15,$L96,0)</f>
        <v>REVESTIMENTOS EXTERNOS</v>
      </c>
      <c r="G96" s="164" t="str">
        <f ca="1">IF($D96&lt;&gt;"Serviço","",OFFSET(ORÇAMENTO!S$15,$L96,0))</f>
        <v/>
      </c>
      <c r="H96" s="122">
        <f t="array" aca="1" ref="H96" ca="1">IF($D96&lt;&gt;"Serviço",0,IF(ACOMPANHAMENTO="BM",ROUND(OFFSET(ORÇAMENTO!AJ$15,$L96,0),15-13*ORÇAMENTO!$AF$7),IF(IFERROR(CÁLCULO.FrentesPreenchidas,0)=0,0,SUM(ROUND(OFFSET($P96,0,1,1,CÁLCULO.FrentesPreenchidas),15-13*ORÇAMENTO!$AF$7)))))</f>
        <v>0</v>
      </c>
      <c r="I96" s="467"/>
      <c r="J96" s="653" t="str">
        <f t="array" aca="1" ref="J96" ca="1">IF(OR(B96&lt;&gt;"S",CÁLCULO.FrentesPreenchidas=0),"",IF(AND(ACOMPANHAMENTO="PLE",AUTOEVENTO="Manual",OR(H96&gt;0,ORÇAMENTO!AC96="QUANT."),OR(K96="",M96=0,N96="")),"►E",IF(AND(ACOMPANHAMENTO="PLE",ORÇAMENTO!AC96="QUANT."),"►Q",IF(AND(ACOMPANHAMENTO="PLE",H96&lt;&gt;SUMPRODUCT(($Q$1:$AI$1=1)*ROUND(Q96:AI96,15))),"►S",IF(AND(COUNTIF($P$11:$AI$11,"▼")=0,H96&gt;0,I96=""),"◄M","")))))</f>
        <v/>
      </c>
      <c r="K96" s="654"/>
      <c r="L96" s="165">
        <f t="shared" ca="1" si="46"/>
        <v>81</v>
      </c>
      <c r="M96" s="166" t="str">
        <f ca="1">IF($D96&lt;&gt;"Serviço","",
          IF(AUTOEVENTO="manual",$A96,
                IF(ISERROR(MATCH($A96,$A$15:OFFSET($A96,-1,0),0)),MAX($M$15:OFFSET(M96,-1,0))+1,
                      INDEX($M$15:OFFSET(M96,-1,0),MATCH($A96,$A$15:OFFSET($A96,-1,0),0)))))</f>
        <v/>
      </c>
      <c r="N96" s="167" t="str">
        <f ca="1">IF($D96&lt;&gt;"Serviço","",
         IF(AUTOEVENTO="Manual",
                IF($A96=0,"&lt;-- defina o número do agrupador",
                       OFFSET(EVENTOS!$D$15,$A96-$A$15,0)),
                OFFSET($F$15,$A96,0)))</f>
        <v/>
      </c>
      <c r="O96" s="168"/>
      <c r="Q96" s="169"/>
      <c r="R96" s="169"/>
      <c r="S96" s="169"/>
      <c r="T96" s="169"/>
      <c r="U96" s="169"/>
      <c r="V96" s="169"/>
      <c r="W96" s="169"/>
      <c r="X96" s="169"/>
      <c r="Y96" s="169"/>
      <c r="Z96" s="170"/>
      <c r="AA96" s="169"/>
      <c r="AB96" s="169"/>
      <c r="AC96" s="169"/>
      <c r="AD96" s="169"/>
      <c r="AE96" s="169"/>
      <c r="AF96" s="169"/>
      <c r="AG96" s="169"/>
      <c r="AH96" s="170"/>
      <c r="AJ96" s="452">
        <f ca="1">IF(AND($D96="Serviço",AJ$12&lt;&gt;0,$H96&gt;0,OR(AUTOEVENTO&lt;&gt;"manual",$M96&lt;&gt;$A$15)),
        IF(Import.TipoArredondamento&lt;&gt;"TransfereGOV",
              ROUND(OFFSET($P96,0,AJ$13),15-13*ORÇAMENTO!$AF$7)/$H96*OFFSET(ORÇAMENTO!$X$15,ROW(AJ96)-ROW(AJ$15),0),
              ROUND(ROUND(OFFSET($P96,0,AJ$13),15-13*ORÇAMENTO!$AF$7)*OFFSET(ORÇAMENTO!$W$15,ROW(AJ96)-ROW(AJ$15),0),15-13*ORÇAMENTO!$AF$11)),
         0)</f>
        <v>0</v>
      </c>
      <c r="AK96" s="452">
        <f ca="1">IF(AND($D96="Serviço",AK$12&lt;&gt;0,$H96&gt;0,OR(AUTOEVENTO&lt;&gt;"manual",$M96&lt;&gt;$A$15)),
        IF(Import.TipoArredondamento&lt;&gt;"TransfereGOV",
              ROUND(OFFSET($P96,0,AK$13),15-13*ORÇAMENTO!$AF$7)/$H96*OFFSET(ORÇAMENTO!$X$15,ROW(AK96)-ROW(AK$15),0),
              ROUND(ROUND(OFFSET($P96,0,AK$13),15-13*ORÇAMENTO!$AF$7)*OFFSET(ORÇAMENTO!$W$15,ROW(AK96)-ROW(AK$15),0),15-13*ORÇAMENTO!$AF$11)),
         0)</f>
        <v>0</v>
      </c>
      <c r="AL96" s="452">
        <f ca="1">IF(AND($D96="Serviço",AL$12&lt;&gt;0,$H96&gt;0,OR(AUTOEVENTO&lt;&gt;"manual",$M96&lt;&gt;$A$15)),
        IF(Import.TipoArredondamento&lt;&gt;"TransfereGOV",
              ROUND(OFFSET($P96,0,AL$13),15-13*ORÇAMENTO!$AF$7)/$H96*OFFSET(ORÇAMENTO!$X$15,ROW(AL96)-ROW(AL$15),0),
              ROUND(ROUND(OFFSET($P96,0,AL$13),15-13*ORÇAMENTO!$AF$7)*OFFSET(ORÇAMENTO!$W$15,ROW(AL96)-ROW(AL$15),0),15-13*ORÇAMENTO!$AF$11)),
         0)</f>
        <v>0</v>
      </c>
      <c r="AM96" s="452">
        <f ca="1">IF(AND($D96="Serviço",AM$12&lt;&gt;0,$H96&gt;0,OR(AUTOEVENTO&lt;&gt;"manual",$M96&lt;&gt;$A$15)),
        IF(Import.TipoArredondamento&lt;&gt;"TransfereGOV",
              ROUND(OFFSET($P96,0,AM$13),15-13*ORÇAMENTO!$AF$7)/$H96*OFFSET(ORÇAMENTO!$X$15,ROW(AM96)-ROW(AM$15),0),
              ROUND(ROUND(OFFSET($P96,0,AM$13),15-13*ORÇAMENTO!$AF$7)*OFFSET(ORÇAMENTO!$W$15,ROW(AM96)-ROW(AM$15),0),15-13*ORÇAMENTO!$AF$11)),
         0)</f>
        <v>0</v>
      </c>
      <c r="AN96" s="452">
        <f ca="1">IF(AND($D96="Serviço",AN$12&lt;&gt;0,$H96&gt;0,OR(AUTOEVENTO&lt;&gt;"manual",$M96&lt;&gt;$A$15)),
        IF(Import.TipoArredondamento&lt;&gt;"TransfereGOV",
              ROUND(OFFSET($P96,0,AN$13),15-13*ORÇAMENTO!$AF$7)/$H96*OFFSET(ORÇAMENTO!$X$15,ROW(AN96)-ROW(AN$15),0),
              ROUND(ROUND(OFFSET($P96,0,AN$13),15-13*ORÇAMENTO!$AF$7)*OFFSET(ORÇAMENTO!$W$15,ROW(AN96)-ROW(AN$15),0),15-13*ORÇAMENTO!$AF$11)),
         0)</f>
        <v>0</v>
      </c>
      <c r="AO96" s="452">
        <f ca="1">IF(AND($D96="Serviço",AO$12&lt;&gt;0,$H96&gt;0,OR(AUTOEVENTO&lt;&gt;"manual",$M96&lt;&gt;$A$15)),
        IF(Import.TipoArredondamento&lt;&gt;"TransfereGOV",
              ROUND(OFFSET($P96,0,AO$13),15-13*ORÇAMENTO!$AF$7)/$H96*OFFSET(ORÇAMENTO!$X$15,ROW(AO96)-ROW(AO$15),0),
              ROUND(ROUND(OFFSET($P96,0,AO$13),15-13*ORÇAMENTO!$AF$7)*OFFSET(ORÇAMENTO!$W$15,ROW(AO96)-ROW(AO$15),0),15-13*ORÇAMENTO!$AF$11)),
         0)</f>
        <v>0</v>
      </c>
      <c r="AP96" s="452">
        <f ca="1">IF(AND($D96="Serviço",AP$12&lt;&gt;0,$H96&gt;0,OR(AUTOEVENTO&lt;&gt;"manual",$M96&lt;&gt;$A$15)),
        IF(Import.TipoArredondamento&lt;&gt;"TransfereGOV",
              ROUND(OFFSET($P96,0,AP$13),15-13*ORÇAMENTO!$AF$7)/$H96*OFFSET(ORÇAMENTO!$X$15,ROW(AP96)-ROW(AP$15),0),
              ROUND(ROUND(OFFSET($P96,0,AP$13),15-13*ORÇAMENTO!$AF$7)*OFFSET(ORÇAMENTO!$W$15,ROW(AP96)-ROW(AP$15),0),15-13*ORÇAMENTO!$AF$11)),
         0)</f>
        <v>0</v>
      </c>
      <c r="AQ96" s="452">
        <f ca="1">IF(AND($D96="Serviço",AQ$12&lt;&gt;0,$H96&gt;0,OR(AUTOEVENTO&lt;&gt;"manual",$M96&lt;&gt;$A$15)),
        IF(Import.TipoArredondamento&lt;&gt;"TransfereGOV",
              ROUND(OFFSET($P96,0,AQ$13),15-13*ORÇAMENTO!$AF$7)/$H96*OFFSET(ORÇAMENTO!$X$15,ROW(AQ96)-ROW(AQ$15),0),
              ROUND(ROUND(OFFSET($P96,0,AQ$13),15-13*ORÇAMENTO!$AF$7)*OFFSET(ORÇAMENTO!$W$15,ROW(AQ96)-ROW(AQ$15),0),15-13*ORÇAMENTO!$AF$11)),
         0)</f>
        <v>0</v>
      </c>
      <c r="AR96" s="452">
        <f ca="1">IF(AND($D96="Serviço",AR$12&lt;&gt;0,$H96&gt;0,OR(AUTOEVENTO&lt;&gt;"manual",$M96&lt;&gt;$A$15)),
        IF(Import.TipoArredondamento&lt;&gt;"TransfereGOV",
              ROUND(OFFSET($P96,0,AR$13),15-13*ORÇAMENTO!$AF$7)/$H96*OFFSET(ORÇAMENTO!$X$15,ROW(AR96)-ROW(AR$15),0),
              ROUND(ROUND(OFFSET($P96,0,AR$13),15-13*ORÇAMENTO!$AF$7)*OFFSET(ORÇAMENTO!$W$15,ROW(AR96)-ROW(AR$15),0),15-13*ORÇAMENTO!$AF$11)),
         0)</f>
        <v>0</v>
      </c>
      <c r="AS96" s="452">
        <f ca="1">IF(AND($D96="Serviço",AS$12&lt;&gt;0,$H96&gt;0,OR(AUTOEVENTO&lt;&gt;"manual",$M96&lt;&gt;$A$15)),
        IF(Import.TipoArredondamento&lt;&gt;"TransfereGOV",
              ROUND(OFFSET($P96,0,AS$13),15-13*ORÇAMENTO!$AF$7)/$H96*OFFSET(ORÇAMENTO!$X$15,ROW(AS96)-ROW(AS$15),0),
              ROUND(ROUND(OFFSET($P96,0,AS$13),15-13*ORÇAMENTO!$AF$7)*OFFSET(ORÇAMENTO!$W$15,ROW(AS96)-ROW(AS$15),0),15-13*ORÇAMENTO!$AF$11)),
         0)</f>
        <v>0</v>
      </c>
      <c r="AT96" s="452">
        <f ca="1">IF(AND($D96="Serviço",AT$12&lt;&gt;0,$H96&gt;0,OR(AUTOEVENTO&lt;&gt;"manual",$M96&lt;&gt;$A$15)),
        IF(Import.TipoArredondamento&lt;&gt;"TransfereGOV",
              ROUND(OFFSET($P96,0,AT$13),15-13*ORÇAMENTO!$AF$7)/$H96*OFFSET(ORÇAMENTO!$X$15,ROW(AT96)-ROW(AT$15),0),
              ROUND(ROUND(OFFSET($P96,0,AT$13),15-13*ORÇAMENTO!$AF$7)*OFFSET(ORÇAMENTO!$W$15,ROW(AT96)-ROW(AT$15),0),15-13*ORÇAMENTO!$AF$11)),
         0)</f>
        <v>0</v>
      </c>
      <c r="AU96" s="452">
        <f ca="1">IF(AND($D96="Serviço",AU$12&lt;&gt;0,$H96&gt;0,OR(AUTOEVENTO&lt;&gt;"manual",$M96&lt;&gt;$A$15)),
        IF(Import.TipoArredondamento&lt;&gt;"TransfereGOV",
              ROUND(OFFSET($P96,0,AU$13),15-13*ORÇAMENTO!$AF$7)/$H96*OFFSET(ORÇAMENTO!$X$15,ROW(AU96)-ROW(AU$15),0),
              ROUND(ROUND(OFFSET($P96,0,AU$13),15-13*ORÇAMENTO!$AF$7)*OFFSET(ORÇAMENTO!$W$15,ROW(AU96)-ROW(AU$15),0),15-13*ORÇAMENTO!$AF$11)),
         0)</f>
        <v>0</v>
      </c>
      <c r="AV96" s="452">
        <f ca="1">IF(AND($D96="Serviço",AV$12&lt;&gt;0,$H96&gt;0,OR(AUTOEVENTO&lt;&gt;"manual",$M96&lt;&gt;$A$15)),
        IF(Import.TipoArredondamento&lt;&gt;"TransfereGOV",
              ROUND(OFFSET($P96,0,AV$13),15-13*ORÇAMENTO!$AF$7)/$H96*OFFSET(ORÇAMENTO!$X$15,ROW(AV96)-ROW(AV$15),0),
              ROUND(ROUND(OFFSET($P96,0,AV$13),15-13*ORÇAMENTO!$AF$7)*OFFSET(ORÇAMENTO!$W$15,ROW(AV96)-ROW(AV$15),0),15-13*ORÇAMENTO!$AF$11)),
         0)</f>
        <v>0</v>
      </c>
      <c r="AW96" s="452">
        <f ca="1">IF(AND($D96="Serviço",AW$12&lt;&gt;0,$H96&gt;0,OR(AUTOEVENTO&lt;&gt;"manual",$M96&lt;&gt;$A$15)),
        IF(Import.TipoArredondamento&lt;&gt;"TransfereGOV",
              ROUND(OFFSET($P96,0,AW$13),15-13*ORÇAMENTO!$AF$7)/$H96*OFFSET(ORÇAMENTO!$X$15,ROW(AW96)-ROW(AW$15),0),
              ROUND(ROUND(OFFSET($P96,0,AW$13),15-13*ORÇAMENTO!$AF$7)*OFFSET(ORÇAMENTO!$W$15,ROW(AW96)-ROW(AW$15),0),15-13*ORÇAMENTO!$AF$11)),
         0)</f>
        <v>0</v>
      </c>
      <c r="AX96" s="452">
        <f ca="1">IF(AND($D96="Serviço",AX$12&lt;&gt;0,$H96&gt;0,OR(AUTOEVENTO&lt;&gt;"manual",$M96&lt;&gt;$A$15)),
        IF(Import.TipoArredondamento&lt;&gt;"TransfereGOV",
              ROUND(OFFSET($P96,0,AX$13),15-13*ORÇAMENTO!$AF$7)/$H96*OFFSET(ORÇAMENTO!$X$15,ROW(AX96)-ROW(AX$15),0),
              ROUND(ROUND(OFFSET($P96,0,AX$13),15-13*ORÇAMENTO!$AF$7)*OFFSET(ORÇAMENTO!$W$15,ROW(AX96)-ROW(AX$15),0),15-13*ORÇAMENTO!$AF$11)),
         0)</f>
        <v>0</v>
      </c>
      <c r="AY96" s="452">
        <f ca="1">IF(AND($D96="Serviço",AY$12&lt;&gt;0,$H96&gt;0,OR(AUTOEVENTO&lt;&gt;"manual",$M96&lt;&gt;$A$15)),
        IF(Import.TipoArredondamento&lt;&gt;"TransfereGOV",
              ROUND(OFFSET($P96,0,AY$13),15-13*ORÇAMENTO!$AF$7)/$H96*OFFSET(ORÇAMENTO!$X$15,ROW(AY96)-ROW(AY$15),0),
              ROUND(ROUND(OFFSET($P96,0,AY$13),15-13*ORÇAMENTO!$AF$7)*OFFSET(ORÇAMENTO!$W$15,ROW(AY96)-ROW(AY$15),0),15-13*ORÇAMENTO!$AF$11)),
         0)</f>
        <v>0</v>
      </c>
      <c r="AZ96" s="452">
        <f ca="1">IF(AND($D96="Serviço",AZ$12&lt;&gt;0,$H96&gt;0,OR(AUTOEVENTO&lt;&gt;"manual",$M96&lt;&gt;$A$15)),
        IF(Import.TipoArredondamento&lt;&gt;"TransfereGOV",
              ROUND(OFFSET($P96,0,AZ$13),15-13*ORÇAMENTO!$AF$7)/$H96*OFFSET(ORÇAMENTO!$X$15,ROW(AZ96)-ROW(AZ$15),0),
              ROUND(ROUND(OFFSET($P96,0,AZ$13),15-13*ORÇAMENTO!$AF$7)*OFFSET(ORÇAMENTO!$W$15,ROW(AZ96)-ROW(AZ$15),0),15-13*ORÇAMENTO!$AF$11)),
         0)</f>
        <v>0</v>
      </c>
      <c r="BA96" s="452">
        <f ca="1">IF(AND($D96="Serviço",BA$12&lt;&gt;0,$H96&gt;0,OR(AUTOEVENTO&lt;&gt;"manual",$M96&lt;&gt;$A$15)),
        IF(Import.TipoArredondamento&lt;&gt;"TransfereGOV",
              ROUND(OFFSET($P96,0,BA$13),15-13*ORÇAMENTO!$AF$7)/$H96*OFFSET(ORÇAMENTO!$X$15,ROW(BA96)-ROW(BA$15),0),
              ROUND(ROUND(OFFSET($P96,0,BA$13),15-13*ORÇAMENTO!$AF$7)*OFFSET(ORÇAMENTO!$W$15,ROW(BA96)-ROW(BA$15),0),15-13*ORÇAMENTO!$AF$11)),
         0)</f>
        <v>0</v>
      </c>
      <c r="BC96" s="171">
        <f ca="1">IF(OR($D96&lt;&gt;"Serviço",AND(AUTOEVENTO="Manual",$M96=$A$15)),0,
         IF(OFFSET(CRONOPLE!$F$15,$M96-$A$15,BC$13)=0,10^12,OFFSET(CRONOPLE!$F$15,$M96-$A$15,BC$13)))</f>
        <v>0</v>
      </c>
      <c r="BD96" s="171">
        <f ca="1">IF(OR($D96&lt;&gt;"Serviço",AND(AUTOEVENTO="Manual",$M96=$A$15)),0,
         IF(OFFSET(CRONOPLE!$F$15,$M96-$A$15,BD$13)=0,10^12,OFFSET(CRONOPLE!$F$15,$M96-$A$15,BD$13)))</f>
        <v>0</v>
      </c>
      <c r="BE96" s="171">
        <f ca="1">IF(OR($D96&lt;&gt;"Serviço",AND(AUTOEVENTO="Manual",$M96=$A$15)),0,
         IF(OFFSET(CRONOPLE!$F$15,$M96-$A$15,BE$13)=0,10^12,OFFSET(CRONOPLE!$F$15,$M96-$A$15,BE$13)))</f>
        <v>0</v>
      </c>
      <c r="BF96" s="171">
        <f ca="1">IF(OR($D96&lt;&gt;"Serviço",AND(AUTOEVENTO="Manual",$M96=$A$15)),0,
         IF(OFFSET(CRONOPLE!$F$15,$M96-$A$15,BF$13)=0,10^12,OFFSET(CRONOPLE!$F$15,$M96-$A$15,BF$13)))</f>
        <v>0</v>
      </c>
      <c r="BG96" s="171">
        <f ca="1">IF(OR($D96&lt;&gt;"Serviço",AND(AUTOEVENTO="Manual",$M96=$A$15)),0,
         IF(OFFSET(CRONOPLE!$F$15,$M96-$A$15,BG$13)=0,10^12,OFFSET(CRONOPLE!$F$15,$M96-$A$15,BG$13)))</f>
        <v>0</v>
      </c>
      <c r="BH96" s="171">
        <f ca="1">IF(OR($D96&lt;&gt;"Serviço",AND(AUTOEVENTO="Manual",$M96=$A$15)),0,
         IF(OFFSET(CRONOPLE!$F$15,$M96-$A$15,BH$13)=0,10^12,OFFSET(CRONOPLE!$F$15,$M96-$A$15,BH$13)))</f>
        <v>0</v>
      </c>
      <c r="BI96" s="171">
        <f ca="1">IF(OR($D96&lt;&gt;"Serviço",AND(AUTOEVENTO="Manual",$M96=$A$15)),0,
         IF(OFFSET(CRONOPLE!$F$15,$M96-$A$15,BI$13)=0,10^12,OFFSET(CRONOPLE!$F$15,$M96-$A$15,BI$13)))</f>
        <v>0</v>
      </c>
      <c r="BJ96" s="171">
        <f ca="1">IF(OR($D96&lt;&gt;"Serviço",AND(AUTOEVENTO="Manual",$M96=$A$15)),0,
         IF(OFFSET(CRONOPLE!$F$15,$M96-$A$15,BJ$13)=0,10^12,OFFSET(CRONOPLE!$F$15,$M96-$A$15,BJ$13)))</f>
        <v>0</v>
      </c>
      <c r="BK96" s="171">
        <f ca="1">IF(OR($D96&lt;&gt;"Serviço",AND(AUTOEVENTO="Manual",$M96=$A$15)),0,
         IF(OFFSET(CRONOPLE!$F$15,$M96-$A$15,BK$13)=0,10^12,OFFSET(CRONOPLE!$F$15,$M96-$A$15,BK$13)))</f>
        <v>0</v>
      </c>
      <c r="BL96" s="171">
        <f ca="1">IF(OR($D96&lt;&gt;"Serviço",AND(AUTOEVENTO="Manual",$M96=$A$15)),0,
         IF(OFFSET(CRONOPLE!$F$15,$M96-$A$15,BL$13)=0,10^12,OFFSET(CRONOPLE!$F$15,$M96-$A$15,BL$13)))</f>
        <v>0</v>
      </c>
      <c r="BM96" s="171">
        <f ca="1">IF(OR($D96&lt;&gt;"Serviço",AND(AUTOEVENTO="Manual",$M96=$A$15)),0,
         IF(OFFSET(CRONOPLE!$F$15,$M96-$A$15,BM$13)=0,10^12,OFFSET(CRONOPLE!$F$15,$M96-$A$15,BM$13)))</f>
        <v>0</v>
      </c>
      <c r="BN96" s="171">
        <f ca="1">IF(OR($D96&lt;&gt;"Serviço",AND(AUTOEVENTO="Manual",$M96=$A$15)),0,
         IF(OFFSET(CRONOPLE!$F$15,$M96-$A$15,BN$13)=0,10^12,OFFSET(CRONOPLE!$F$15,$M96-$A$15,BN$13)))</f>
        <v>0</v>
      </c>
      <c r="BO96" s="171">
        <f ca="1">IF(OR($D96&lt;&gt;"Serviço",AND(AUTOEVENTO="Manual",$M96=$A$15)),0,
         IF(OFFSET(CRONOPLE!$F$15,$M96-$A$15,BO$13)=0,10^12,OFFSET(CRONOPLE!$F$15,$M96-$A$15,BO$13)))</f>
        <v>0</v>
      </c>
      <c r="BP96" s="171">
        <f ca="1">IF(OR($D96&lt;&gt;"Serviço",AND(AUTOEVENTO="Manual",$M96=$A$15)),0,
         IF(OFFSET(CRONOPLE!$F$15,$M96-$A$15,BP$13)=0,10^12,OFFSET(CRONOPLE!$F$15,$M96-$A$15,BP$13)))</f>
        <v>0</v>
      </c>
      <c r="BQ96" s="171">
        <f ca="1">IF(OR($D96&lt;&gt;"Serviço",AND(AUTOEVENTO="Manual",$M96=$A$15)),0,
         IF(OFFSET(CRONOPLE!$F$15,$M96-$A$15,BQ$13)=0,10^12,OFFSET(CRONOPLE!$F$15,$M96-$A$15,BQ$13)))</f>
        <v>0</v>
      </c>
      <c r="BR96" s="171">
        <f ca="1">IF(OR($D96&lt;&gt;"Serviço",AND(AUTOEVENTO="Manual",$M96=$A$15)),0,
         IF(OFFSET(CRONOPLE!$F$15,$M96-$A$15,BR$13)=0,10^12,OFFSET(CRONOPLE!$F$15,$M96-$A$15,BR$13)))</f>
        <v>0</v>
      </c>
      <c r="BS96" s="171">
        <f ca="1">IF(OR($D96&lt;&gt;"Serviço",AND(AUTOEVENTO="Manual",$M96=$A$15)),0,
         IF(OFFSET(CRONOPLE!$F$15,$M96-$A$15,BS$13)=0,10^12,OFFSET(CRONOPLE!$F$15,$M96-$A$15,BS$13)))</f>
        <v>0</v>
      </c>
      <c r="BT96" s="171">
        <f ca="1">IF(OR($D96&lt;&gt;"Serviço",AND(AUTOEVENTO="Manual",$M96=$A$15)),0,
         IF(OFFSET(CRONOPLE!$F$15,$M96-$A$15,BT$13)=0,10^12,OFFSET(CRONOPLE!$F$15,$M96-$A$15,BT$13)))</f>
        <v>0</v>
      </c>
      <c r="BV96" s="172">
        <f t="array" aca="1" ref="BV96" ca="1">IF(OR($D96&lt;&gt;"Serviço",AND(AUTOEVENTO="Manual",$M96=$A$15),$M96&gt;(ROW(PLE.lastrow)-ROW(PLE.firstrow))),0,
           IF(OFFSET(PLE!$G$15,$M96-$A$15,BV$13)="",10^12,OFFSET(PLE!$G$15,$M96-$A$15,BV$13)))</f>
        <v>0</v>
      </c>
      <c r="BW96" s="172">
        <f t="array" aca="1" ref="BW96" ca="1">IF(OR($D96&lt;&gt;"Serviço",AND(AUTOEVENTO="Manual",$M96=$A$15),$M96&gt;(ROW(PLE.lastrow)-ROW(PLE.firstrow))),0,
           IF(OFFSET(PLE!$G$15,$M96-$A$15,BW$13)="",10^12,OFFSET(PLE!$G$15,$M96-$A$15,BW$13)))</f>
        <v>0</v>
      </c>
      <c r="BX96" s="172">
        <f t="array" aca="1" ref="BX96" ca="1">IF(OR($D96&lt;&gt;"Serviço",AND(AUTOEVENTO="Manual",$M96=$A$15),$M96&gt;(ROW(PLE.lastrow)-ROW(PLE.firstrow))),0,
           IF(OFFSET(PLE!$G$15,$M96-$A$15,BX$13)="",10^12,OFFSET(PLE!$G$15,$M96-$A$15,BX$13)))</f>
        <v>0</v>
      </c>
      <c r="BY96" s="172">
        <f t="array" aca="1" ref="BY96" ca="1">IF(OR($D96&lt;&gt;"Serviço",AND(AUTOEVENTO="Manual",$M96=$A$15),$M96&gt;(ROW(PLE.lastrow)-ROW(PLE.firstrow))),0,
           IF(OFFSET(PLE!$G$15,$M96-$A$15,BY$13)="",10^12,OFFSET(PLE!$G$15,$M96-$A$15,BY$13)))</f>
        <v>0</v>
      </c>
      <c r="BZ96" s="172">
        <f t="array" aca="1" ref="BZ96" ca="1">IF(OR($D96&lt;&gt;"Serviço",AND(AUTOEVENTO="Manual",$M96=$A$15),$M96&gt;(ROW(PLE.lastrow)-ROW(PLE.firstrow))),0,
           IF(OFFSET(PLE!$G$15,$M96-$A$15,BZ$13)="",10^12,OFFSET(PLE!$G$15,$M96-$A$15,BZ$13)))</f>
        <v>0</v>
      </c>
      <c r="CA96" s="172">
        <f t="array" aca="1" ref="CA96" ca="1">IF(OR($D96&lt;&gt;"Serviço",AND(AUTOEVENTO="Manual",$M96=$A$15),$M96&gt;(ROW(PLE.lastrow)-ROW(PLE.firstrow))),0,
           IF(OFFSET(PLE!$G$15,$M96-$A$15,CA$13)="",10^12,OFFSET(PLE!$G$15,$M96-$A$15,CA$13)))</f>
        <v>0</v>
      </c>
      <c r="CB96" s="172">
        <f t="array" aca="1" ref="CB96" ca="1">IF(OR($D96&lt;&gt;"Serviço",AND(AUTOEVENTO="Manual",$M96=$A$15),$M96&gt;(ROW(PLE.lastrow)-ROW(PLE.firstrow))),0,
           IF(OFFSET(PLE!$G$15,$M96-$A$15,CB$13)="",10^12,OFFSET(PLE!$G$15,$M96-$A$15,CB$13)))</f>
        <v>0</v>
      </c>
      <c r="CC96" s="172">
        <f t="array" aca="1" ref="CC96" ca="1">IF(OR($D96&lt;&gt;"Serviço",AND(AUTOEVENTO="Manual",$M96=$A$15),$M96&gt;(ROW(PLE.lastrow)-ROW(PLE.firstrow))),0,
           IF(OFFSET(PLE!$G$15,$M96-$A$15,CC$13)="",10^12,OFFSET(PLE!$G$15,$M96-$A$15,CC$13)))</f>
        <v>0</v>
      </c>
      <c r="CD96" s="172">
        <f t="array" aca="1" ref="CD96" ca="1">IF(OR($D96&lt;&gt;"Serviço",AND(AUTOEVENTO="Manual",$M96=$A$15),$M96&gt;(ROW(PLE.lastrow)-ROW(PLE.firstrow))),0,
           IF(OFFSET(PLE!$G$15,$M96-$A$15,CD$13)="",10^12,OFFSET(PLE!$G$15,$M96-$A$15,CD$13)))</f>
        <v>0</v>
      </c>
      <c r="CE96" s="172">
        <f t="array" aca="1" ref="CE96" ca="1">IF(OR($D96&lt;&gt;"Serviço",AND(AUTOEVENTO="Manual",$M96=$A$15),$M96&gt;(ROW(PLE.lastrow)-ROW(PLE.firstrow))),0,
           IF(OFFSET(PLE!$G$15,$M96-$A$15,CE$13)="",10^12,OFFSET(PLE!$G$15,$M96-$A$15,CE$13)))</f>
        <v>0</v>
      </c>
      <c r="CF96" s="172">
        <f t="array" aca="1" ref="CF96" ca="1">IF(OR($D96&lt;&gt;"Serviço",AND(AUTOEVENTO="Manual",$M96=$A$15),$M96&gt;(ROW(PLE.lastrow)-ROW(PLE.firstrow))),0,
           IF(OFFSET(PLE!$G$15,$M96-$A$15,CF$13)="",10^12,OFFSET(PLE!$G$15,$M96-$A$15,CF$13)))</f>
        <v>0</v>
      </c>
      <c r="CG96" s="172">
        <f t="array" aca="1" ref="CG96" ca="1">IF(OR($D96&lt;&gt;"Serviço",AND(AUTOEVENTO="Manual",$M96=$A$15),$M96&gt;(ROW(PLE.lastrow)-ROW(PLE.firstrow))),0,
           IF(OFFSET(PLE!$G$15,$M96-$A$15,CG$13)="",10^12,OFFSET(PLE!$G$15,$M96-$A$15,CG$13)))</f>
        <v>0</v>
      </c>
      <c r="CH96" s="172">
        <f t="array" aca="1" ref="CH96" ca="1">IF(OR($D96&lt;&gt;"Serviço",AND(AUTOEVENTO="Manual",$M96=$A$15),$M96&gt;(ROW(PLE.lastrow)-ROW(PLE.firstrow))),0,
           IF(OFFSET(PLE!$G$15,$M96-$A$15,CH$13)="",10^12,OFFSET(PLE!$G$15,$M96-$A$15,CH$13)))</f>
        <v>0</v>
      </c>
      <c r="CI96" s="172">
        <f t="array" aca="1" ref="CI96" ca="1">IF(OR($D96&lt;&gt;"Serviço",AND(AUTOEVENTO="Manual",$M96=$A$15),$M96&gt;(ROW(PLE.lastrow)-ROW(PLE.firstrow))),0,
           IF(OFFSET(PLE!$G$15,$M96-$A$15,CI$13)="",10^12,OFFSET(PLE!$G$15,$M96-$A$15,CI$13)))</f>
        <v>0</v>
      </c>
      <c r="CJ96" s="172">
        <f t="array" aca="1" ref="CJ96" ca="1">IF(OR($D96&lt;&gt;"Serviço",AND(AUTOEVENTO="Manual",$M96=$A$15),$M96&gt;(ROW(PLE.lastrow)-ROW(PLE.firstrow))),0,
           IF(OFFSET(PLE!$G$15,$M96-$A$15,CJ$13)="",10^12,OFFSET(PLE!$G$15,$M96-$A$15,CJ$13)))</f>
        <v>0</v>
      </c>
      <c r="CK96" s="172">
        <f t="array" aca="1" ref="CK96" ca="1">IF(OR($D96&lt;&gt;"Serviço",AND(AUTOEVENTO="Manual",$M96=$A$15),$M96&gt;(ROW(PLE.lastrow)-ROW(PLE.firstrow))),0,
           IF(OFFSET(PLE!$G$15,$M96-$A$15,CK$13)="",10^12,OFFSET(PLE!$G$15,$M96-$A$15,CK$13)))</f>
        <v>0</v>
      </c>
      <c r="CL96" s="172">
        <f t="array" aca="1" ref="CL96" ca="1">IF(OR($D96&lt;&gt;"Serviço",AND(AUTOEVENTO="Manual",$M96=$A$15),$M96&gt;(ROW(PLE.lastrow)-ROW(PLE.firstrow))),0,
           IF(OFFSET(PLE!$G$15,$M96-$A$15,CL$13)="",10^12,OFFSET(PLE!$G$15,$M96-$A$15,CL$13)))</f>
        <v>0</v>
      </c>
      <c r="CM96" s="172">
        <f t="array" aca="1" ref="CM96" ca="1">IF(OR($D96&lt;&gt;"Serviço",AND(AUTOEVENTO="Manual",$M96=$A$15),$M96&gt;(ROW(PLE.lastrow)-ROW(PLE.firstrow))),0,
           IF(OFFSET(PLE!$G$15,$M96-$A$15,CM$13)="",10^12,OFFSET(PLE!$G$15,$M96-$A$15,CM$13)))</f>
        <v>0</v>
      </c>
    </row>
    <row r="97" spans="1:91" s="696" customFormat="1" ht="63.75" x14ac:dyDescent="0.2">
      <c r="A97" s="694">
        <f t="shared" ca="1" si="45"/>
        <v>19</v>
      </c>
      <c r="B97" s="694" t="str">
        <f ca="1">OFFSET(ORÇAMENTO!C$15,$L97,0)</f>
        <v>S</v>
      </c>
      <c r="C97" s="694" t="str">
        <f ca="1">OFFSET(ORÇAMENTO!L$15,$L97,0)</f>
        <v>F</v>
      </c>
      <c r="D97" s="116" t="str">
        <f ca="1">OFFSET(ORÇAMENTO!N$15,$L97,0)</f>
        <v>Serviço</v>
      </c>
      <c r="E97" s="117" t="str">
        <f ca="1">OFFSET(ORÇAMENTO!O$15,$L97,0)</f>
        <v>1.16.1.</v>
      </c>
      <c r="F97" s="163" t="str">
        <f ca="1">OFFSET(ORÇAMENTO!R$15,$L97,0)</f>
        <v>CHAPISCO APLICADO EM ALVENARIA (COM PRESENÇA DE VÃOS) E ESTRUTURAS DE CONCRETO DE FACHADA, COM COLHER DE PEDREIRO. ARGAMASSA TRAÇO 1:3 COM PREPARO EM BETONEIRA 400L. AF_10/2022</v>
      </c>
      <c r="G97" s="164" t="str">
        <f ca="1">IF($D97&lt;&gt;"Serviço","",OFFSET(ORÇAMENTO!S$15,$L97,0))</f>
        <v>M2</v>
      </c>
      <c r="H97" s="122">
        <f t="array" aca="1" ref="H97" ca="1">IF($D97&lt;&gt;"Serviço",0,IF(ACOMPANHAMENTO="BM",ROUND(OFFSET(ORÇAMENTO!AJ$15,$L97,0),15-13*ORÇAMENTO!$AF$7),IF(IFERROR(CÁLCULO.FrentesPreenchidas,0)=0,0,SUM(ROUND(OFFSET($P97,0,1,1,CÁLCULO.FrentesPreenchidas),15-13*ORÇAMENTO!$AF$7)))))</f>
        <v>607</v>
      </c>
      <c r="I97" s="467" t="s">
        <v>1260</v>
      </c>
      <c r="J97" s="653" t="str">
        <f t="array" aca="1" ref="J97" ca="1">IF(OR(B97&lt;&gt;"S",CÁLCULO.FrentesPreenchidas=0),"",IF(AND(ACOMPANHAMENTO="PLE",AUTOEVENTO="Manual",OR(H97&gt;0,ORÇAMENTO!AC97="QUANT."),OR(K97="",M97=0,N97="")),"►E",IF(AND(ACOMPANHAMENTO="PLE",ORÇAMENTO!AC97="QUANT."),"►Q",IF(AND(ACOMPANHAMENTO="PLE",H97&lt;&gt;SUMPRODUCT(($Q$1:$AI$1=1)*ROUND(Q97:AI97,15))),"►S",IF(AND(COUNTIF($P$11:$AI$11,"▼")=0,H97&gt;0,I97=""),"◄M","")))))</f>
        <v/>
      </c>
      <c r="K97" s="654" t="s">
        <v>1407</v>
      </c>
      <c r="L97" s="165">
        <f t="shared" ca="1" si="46"/>
        <v>82</v>
      </c>
      <c r="M97" s="166">
        <f ca="1">IF($D97&lt;&gt;"Serviço","",
          IF(AUTOEVENTO="manual",$A97,
                IF(ISERROR(MATCH($A97,$A$15:OFFSET($A97,-1,0),0)),MAX($M$15:OFFSET(M97,-1,0))+1,
                      INDEX($M$15:OFFSET(M97,-1,0),MATCH($A97,$A$15:OFFSET($A97,-1,0),0)))))</f>
        <v>19</v>
      </c>
      <c r="N97" s="167" t="str">
        <f ca="1">IF($D97&lt;&gt;"Serviço","",
         IF(AUTOEVENTO="Manual",
                IF($A97=0,"&lt;-- defina o número do agrupador",
                       OFFSET(EVENTOS!$D$15,$A97-$A$15,0)),
                OFFSET($F$15,$A97,0)))</f>
        <v>REVESTIMENTOS EXTERNOS DE PAREDES</v>
      </c>
      <c r="O97" s="168"/>
      <c r="Q97" s="169">
        <f>30.35*5</f>
        <v>151.75</v>
      </c>
      <c r="R97" s="169">
        <f t="shared" ref="R97:T97" si="61">30.35*5</f>
        <v>151.75</v>
      </c>
      <c r="S97" s="169">
        <f t="shared" si="61"/>
        <v>151.75</v>
      </c>
      <c r="T97" s="169">
        <f t="shared" si="61"/>
        <v>151.75</v>
      </c>
      <c r="U97" s="169"/>
      <c r="V97" s="169"/>
      <c r="W97" s="169"/>
      <c r="X97" s="169"/>
      <c r="Y97" s="169"/>
      <c r="Z97" s="170"/>
      <c r="AA97" s="169"/>
      <c r="AB97" s="169"/>
      <c r="AC97" s="169"/>
      <c r="AD97" s="169"/>
      <c r="AE97" s="169"/>
      <c r="AF97" s="169"/>
      <c r="AG97" s="169"/>
      <c r="AH97" s="170"/>
      <c r="AJ97" s="452">
        <f ca="1">IF(AND($D97="Serviço",AJ$12&lt;&gt;0,$H97&gt;0,OR(AUTOEVENTO&lt;&gt;"manual",$M97&lt;&gt;$A$15)),
        IF(Import.TipoArredondamento&lt;&gt;"TransfereGOV",
              ROUND(OFFSET($P97,0,AJ$13),15-13*ORÇAMENTO!$AF$7)/$H97*OFFSET(ORÇAMENTO!$X$15,ROW(AJ97)-ROW(AJ$15),0),
              ROUND(ROUND(OFFSET($P97,0,AJ$13),15-13*ORÇAMENTO!$AF$7)*OFFSET(ORÇAMENTO!$W$15,ROW(AJ97)-ROW(AJ$15),0),15-13*ORÇAMENTO!$AF$11)),
         0)</f>
        <v>1529.64</v>
      </c>
      <c r="AK97" s="452">
        <f ca="1">IF(AND($D97="Serviço",AK$12&lt;&gt;0,$H97&gt;0,OR(AUTOEVENTO&lt;&gt;"manual",$M97&lt;&gt;$A$15)),
        IF(Import.TipoArredondamento&lt;&gt;"TransfereGOV",
              ROUND(OFFSET($P97,0,AK$13),15-13*ORÇAMENTO!$AF$7)/$H97*OFFSET(ORÇAMENTO!$X$15,ROW(AK97)-ROW(AK$15),0),
              ROUND(ROUND(OFFSET($P97,0,AK$13),15-13*ORÇAMENTO!$AF$7)*OFFSET(ORÇAMENTO!$W$15,ROW(AK97)-ROW(AK$15),0),15-13*ORÇAMENTO!$AF$11)),
         0)</f>
        <v>1529.64</v>
      </c>
      <c r="AL97" s="452">
        <f ca="1">IF(AND($D97="Serviço",AL$12&lt;&gt;0,$H97&gt;0,OR(AUTOEVENTO&lt;&gt;"manual",$M97&lt;&gt;$A$15)),
        IF(Import.TipoArredondamento&lt;&gt;"TransfereGOV",
              ROUND(OFFSET($P97,0,AL$13),15-13*ORÇAMENTO!$AF$7)/$H97*OFFSET(ORÇAMENTO!$X$15,ROW(AL97)-ROW(AL$15),0),
              ROUND(ROUND(OFFSET($P97,0,AL$13),15-13*ORÇAMENTO!$AF$7)*OFFSET(ORÇAMENTO!$W$15,ROW(AL97)-ROW(AL$15),0),15-13*ORÇAMENTO!$AF$11)),
         0)</f>
        <v>1529.64</v>
      </c>
      <c r="AM97" s="452">
        <f ca="1">IF(AND($D97="Serviço",AM$12&lt;&gt;0,$H97&gt;0,OR(AUTOEVENTO&lt;&gt;"manual",$M97&lt;&gt;$A$15)),
        IF(Import.TipoArredondamento&lt;&gt;"TransfereGOV",
              ROUND(OFFSET($P97,0,AM$13),15-13*ORÇAMENTO!$AF$7)/$H97*OFFSET(ORÇAMENTO!$X$15,ROW(AM97)-ROW(AM$15),0),
              ROUND(ROUND(OFFSET($P97,0,AM$13),15-13*ORÇAMENTO!$AF$7)*OFFSET(ORÇAMENTO!$W$15,ROW(AM97)-ROW(AM$15),0),15-13*ORÇAMENTO!$AF$11)),
         0)</f>
        <v>1529.64</v>
      </c>
      <c r="AN97" s="452">
        <f ca="1">IF(AND($D97="Serviço",AN$12&lt;&gt;0,$H97&gt;0,OR(AUTOEVENTO&lt;&gt;"manual",$M97&lt;&gt;$A$15)),
        IF(Import.TipoArredondamento&lt;&gt;"TransfereGOV",
              ROUND(OFFSET($P97,0,AN$13),15-13*ORÇAMENTO!$AF$7)/$H97*OFFSET(ORÇAMENTO!$X$15,ROW(AN97)-ROW(AN$15),0),
              ROUND(ROUND(OFFSET($P97,0,AN$13),15-13*ORÇAMENTO!$AF$7)*OFFSET(ORÇAMENTO!$W$15,ROW(AN97)-ROW(AN$15),0),15-13*ORÇAMENTO!$AF$11)),
         0)</f>
        <v>0</v>
      </c>
      <c r="AO97" s="452">
        <f ca="1">IF(AND($D97="Serviço",AO$12&lt;&gt;0,$H97&gt;0,OR(AUTOEVENTO&lt;&gt;"manual",$M97&lt;&gt;$A$15)),
        IF(Import.TipoArredondamento&lt;&gt;"TransfereGOV",
              ROUND(OFFSET($P97,0,AO$13),15-13*ORÇAMENTO!$AF$7)/$H97*OFFSET(ORÇAMENTO!$X$15,ROW(AO97)-ROW(AO$15),0),
              ROUND(ROUND(OFFSET($P97,0,AO$13),15-13*ORÇAMENTO!$AF$7)*OFFSET(ORÇAMENTO!$W$15,ROW(AO97)-ROW(AO$15),0),15-13*ORÇAMENTO!$AF$11)),
         0)</f>
        <v>0</v>
      </c>
      <c r="AP97" s="452">
        <f ca="1">IF(AND($D97="Serviço",AP$12&lt;&gt;0,$H97&gt;0,OR(AUTOEVENTO&lt;&gt;"manual",$M97&lt;&gt;$A$15)),
        IF(Import.TipoArredondamento&lt;&gt;"TransfereGOV",
              ROUND(OFFSET($P97,0,AP$13),15-13*ORÇAMENTO!$AF$7)/$H97*OFFSET(ORÇAMENTO!$X$15,ROW(AP97)-ROW(AP$15),0),
              ROUND(ROUND(OFFSET($P97,0,AP$13),15-13*ORÇAMENTO!$AF$7)*OFFSET(ORÇAMENTO!$W$15,ROW(AP97)-ROW(AP$15),0),15-13*ORÇAMENTO!$AF$11)),
         0)</f>
        <v>0</v>
      </c>
      <c r="AQ97" s="452">
        <f ca="1">IF(AND($D97="Serviço",AQ$12&lt;&gt;0,$H97&gt;0,OR(AUTOEVENTO&lt;&gt;"manual",$M97&lt;&gt;$A$15)),
        IF(Import.TipoArredondamento&lt;&gt;"TransfereGOV",
              ROUND(OFFSET($P97,0,AQ$13),15-13*ORÇAMENTO!$AF$7)/$H97*OFFSET(ORÇAMENTO!$X$15,ROW(AQ97)-ROW(AQ$15),0),
              ROUND(ROUND(OFFSET($P97,0,AQ$13),15-13*ORÇAMENTO!$AF$7)*OFFSET(ORÇAMENTO!$W$15,ROW(AQ97)-ROW(AQ$15),0),15-13*ORÇAMENTO!$AF$11)),
         0)</f>
        <v>0</v>
      </c>
      <c r="AR97" s="452">
        <f ca="1">IF(AND($D97="Serviço",AR$12&lt;&gt;0,$H97&gt;0,OR(AUTOEVENTO&lt;&gt;"manual",$M97&lt;&gt;$A$15)),
        IF(Import.TipoArredondamento&lt;&gt;"TransfereGOV",
              ROUND(OFFSET($P97,0,AR$13),15-13*ORÇAMENTO!$AF$7)/$H97*OFFSET(ORÇAMENTO!$X$15,ROW(AR97)-ROW(AR$15),0),
              ROUND(ROUND(OFFSET($P97,0,AR$13),15-13*ORÇAMENTO!$AF$7)*OFFSET(ORÇAMENTO!$W$15,ROW(AR97)-ROW(AR$15),0),15-13*ORÇAMENTO!$AF$11)),
         0)</f>
        <v>0</v>
      </c>
      <c r="AS97" s="452">
        <f ca="1">IF(AND($D97="Serviço",AS$12&lt;&gt;0,$H97&gt;0,OR(AUTOEVENTO&lt;&gt;"manual",$M97&lt;&gt;$A$15)),
        IF(Import.TipoArredondamento&lt;&gt;"TransfereGOV",
              ROUND(OFFSET($P97,0,AS$13),15-13*ORÇAMENTO!$AF$7)/$H97*OFFSET(ORÇAMENTO!$X$15,ROW(AS97)-ROW(AS$15),0),
              ROUND(ROUND(OFFSET($P97,0,AS$13),15-13*ORÇAMENTO!$AF$7)*OFFSET(ORÇAMENTO!$W$15,ROW(AS97)-ROW(AS$15),0),15-13*ORÇAMENTO!$AF$11)),
         0)</f>
        <v>0</v>
      </c>
      <c r="AT97" s="452">
        <f ca="1">IF(AND($D97="Serviço",AT$12&lt;&gt;0,$H97&gt;0,OR(AUTOEVENTO&lt;&gt;"manual",$M97&lt;&gt;$A$15)),
        IF(Import.TipoArredondamento&lt;&gt;"TransfereGOV",
              ROUND(OFFSET($P97,0,AT$13),15-13*ORÇAMENTO!$AF$7)/$H97*OFFSET(ORÇAMENTO!$X$15,ROW(AT97)-ROW(AT$15),0),
              ROUND(ROUND(OFFSET($P97,0,AT$13),15-13*ORÇAMENTO!$AF$7)*OFFSET(ORÇAMENTO!$W$15,ROW(AT97)-ROW(AT$15),0),15-13*ORÇAMENTO!$AF$11)),
         0)</f>
        <v>0</v>
      </c>
      <c r="AU97" s="452">
        <f ca="1">IF(AND($D97="Serviço",AU$12&lt;&gt;0,$H97&gt;0,OR(AUTOEVENTO&lt;&gt;"manual",$M97&lt;&gt;$A$15)),
        IF(Import.TipoArredondamento&lt;&gt;"TransfereGOV",
              ROUND(OFFSET($P97,0,AU$13),15-13*ORÇAMENTO!$AF$7)/$H97*OFFSET(ORÇAMENTO!$X$15,ROW(AU97)-ROW(AU$15),0),
              ROUND(ROUND(OFFSET($P97,0,AU$13),15-13*ORÇAMENTO!$AF$7)*OFFSET(ORÇAMENTO!$W$15,ROW(AU97)-ROW(AU$15),0),15-13*ORÇAMENTO!$AF$11)),
         0)</f>
        <v>0</v>
      </c>
      <c r="AV97" s="452">
        <f ca="1">IF(AND($D97="Serviço",AV$12&lt;&gt;0,$H97&gt;0,OR(AUTOEVENTO&lt;&gt;"manual",$M97&lt;&gt;$A$15)),
        IF(Import.TipoArredondamento&lt;&gt;"TransfereGOV",
              ROUND(OFFSET($P97,0,AV$13),15-13*ORÇAMENTO!$AF$7)/$H97*OFFSET(ORÇAMENTO!$X$15,ROW(AV97)-ROW(AV$15),0),
              ROUND(ROUND(OFFSET($P97,0,AV$13),15-13*ORÇAMENTO!$AF$7)*OFFSET(ORÇAMENTO!$W$15,ROW(AV97)-ROW(AV$15),0),15-13*ORÇAMENTO!$AF$11)),
         0)</f>
        <v>0</v>
      </c>
      <c r="AW97" s="452">
        <f ca="1">IF(AND($D97="Serviço",AW$12&lt;&gt;0,$H97&gt;0,OR(AUTOEVENTO&lt;&gt;"manual",$M97&lt;&gt;$A$15)),
        IF(Import.TipoArredondamento&lt;&gt;"TransfereGOV",
              ROUND(OFFSET($P97,0,AW$13),15-13*ORÇAMENTO!$AF$7)/$H97*OFFSET(ORÇAMENTO!$X$15,ROW(AW97)-ROW(AW$15),0),
              ROUND(ROUND(OFFSET($P97,0,AW$13),15-13*ORÇAMENTO!$AF$7)*OFFSET(ORÇAMENTO!$W$15,ROW(AW97)-ROW(AW$15),0),15-13*ORÇAMENTO!$AF$11)),
         0)</f>
        <v>0</v>
      </c>
      <c r="AX97" s="452">
        <f ca="1">IF(AND($D97="Serviço",AX$12&lt;&gt;0,$H97&gt;0,OR(AUTOEVENTO&lt;&gt;"manual",$M97&lt;&gt;$A$15)),
        IF(Import.TipoArredondamento&lt;&gt;"TransfereGOV",
              ROUND(OFFSET($P97,0,AX$13),15-13*ORÇAMENTO!$AF$7)/$H97*OFFSET(ORÇAMENTO!$X$15,ROW(AX97)-ROW(AX$15),0),
              ROUND(ROUND(OFFSET($P97,0,AX$13),15-13*ORÇAMENTO!$AF$7)*OFFSET(ORÇAMENTO!$W$15,ROW(AX97)-ROW(AX$15),0),15-13*ORÇAMENTO!$AF$11)),
         0)</f>
        <v>0</v>
      </c>
      <c r="AY97" s="452">
        <f ca="1">IF(AND($D97="Serviço",AY$12&lt;&gt;0,$H97&gt;0,OR(AUTOEVENTO&lt;&gt;"manual",$M97&lt;&gt;$A$15)),
        IF(Import.TipoArredondamento&lt;&gt;"TransfereGOV",
              ROUND(OFFSET($P97,0,AY$13),15-13*ORÇAMENTO!$AF$7)/$H97*OFFSET(ORÇAMENTO!$X$15,ROW(AY97)-ROW(AY$15),0),
              ROUND(ROUND(OFFSET($P97,0,AY$13),15-13*ORÇAMENTO!$AF$7)*OFFSET(ORÇAMENTO!$W$15,ROW(AY97)-ROW(AY$15),0),15-13*ORÇAMENTO!$AF$11)),
         0)</f>
        <v>0</v>
      </c>
      <c r="AZ97" s="452">
        <f ca="1">IF(AND($D97="Serviço",AZ$12&lt;&gt;0,$H97&gt;0,OR(AUTOEVENTO&lt;&gt;"manual",$M97&lt;&gt;$A$15)),
        IF(Import.TipoArredondamento&lt;&gt;"TransfereGOV",
              ROUND(OFFSET($P97,0,AZ$13),15-13*ORÇAMENTO!$AF$7)/$H97*OFFSET(ORÇAMENTO!$X$15,ROW(AZ97)-ROW(AZ$15),0),
              ROUND(ROUND(OFFSET($P97,0,AZ$13),15-13*ORÇAMENTO!$AF$7)*OFFSET(ORÇAMENTO!$W$15,ROW(AZ97)-ROW(AZ$15),0),15-13*ORÇAMENTO!$AF$11)),
         0)</f>
        <v>0</v>
      </c>
      <c r="BA97" s="452">
        <f ca="1">IF(AND($D97="Serviço",BA$12&lt;&gt;0,$H97&gt;0,OR(AUTOEVENTO&lt;&gt;"manual",$M97&lt;&gt;$A$15)),
        IF(Import.TipoArredondamento&lt;&gt;"TransfereGOV",
              ROUND(OFFSET($P97,0,BA$13),15-13*ORÇAMENTO!$AF$7)/$H97*OFFSET(ORÇAMENTO!$X$15,ROW(BA97)-ROW(BA$15),0),
              ROUND(ROUND(OFFSET($P97,0,BA$13),15-13*ORÇAMENTO!$AF$7)*OFFSET(ORÇAMENTO!$W$15,ROW(BA97)-ROW(BA$15),0),15-13*ORÇAMENTO!$AF$11)),
         0)</f>
        <v>0</v>
      </c>
      <c r="BC97" s="171">
        <f ca="1">IF(OR($D97&lt;&gt;"Serviço",AND(AUTOEVENTO="Manual",$M97=$A$15)),0,
         IF(OFFSET(CRONOPLE!$F$15,$M97-$A$15,BC$13)=0,10^12,OFFSET(CRONOPLE!$F$15,$M97-$A$15,BC$13)))</f>
        <v>4</v>
      </c>
      <c r="BD97" s="171">
        <f ca="1">IF(OR($D97&lt;&gt;"Serviço",AND(AUTOEVENTO="Manual",$M97=$A$15)),0,
         IF(OFFSET(CRONOPLE!$F$15,$M97-$A$15,BD$13)=0,10^12,OFFSET(CRONOPLE!$F$15,$M97-$A$15,BD$13)))</f>
        <v>5</v>
      </c>
      <c r="BE97" s="171">
        <f ca="1">IF(OR($D97&lt;&gt;"Serviço",AND(AUTOEVENTO="Manual",$M97=$A$15)),0,
         IF(OFFSET(CRONOPLE!$F$15,$M97-$A$15,BE$13)=0,10^12,OFFSET(CRONOPLE!$F$15,$M97-$A$15,BE$13)))</f>
        <v>6</v>
      </c>
      <c r="BF97" s="171">
        <f ca="1">IF(OR($D97&lt;&gt;"Serviço",AND(AUTOEVENTO="Manual",$M97=$A$15)),0,
         IF(OFFSET(CRONOPLE!$F$15,$M97-$A$15,BF$13)=0,10^12,OFFSET(CRONOPLE!$F$15,$M97-$A$15,BF$13)))</f>
        <v>7</v>
      </c>
      <c r="BG97" s="171">
        <f ca="1">IF(OR($D97&lt;&gt;"Serviço",AND(AUTOEVENTO="Manual",$M97=$A$15)),0,
         IF(OFFSET(CRONOPLE!$F$15,$M97-$A$15,BG$13)=0,10^12,OFFSET(CRONOPLE!$F$15,$M97-$A$15,BG$13)))</f>
        <v>7</v>
      </c>
      <c r="BH97" s="171">
        <f ca="1">IF(OR($D97&lt;&gt;"Serviço",AND(AUTOEVENTO="Manual",$M97=$A$15)),0,
         IF(OFFSET(CRONOPLE!$F$15,$M97-$A$15,BH$13)=0,10^12,OFFSET(CRONOPLE!$F$15,$M97-$A$15,BH$13)))</f>
        <v>1000000000000</v>
      </c>
      <c r="BI97" s="171">
        <f ca="1">IF(OR($D97&lt;&gt;"Serviço",AND(AUTOEVENTO="Manual",$M97=$A$15)),0,
         IF(OFFSET(CRONOPLE!$F$15,$M97-$A$15,BI$13)=0,10^12,OFFSET(CRONOPLE!$F$15,$M97-$A$15,BI$13)))</f>
        <v>1000000000000</v>
      </c>
      <c r="BJ97" s="171">
        <f ca="1">IF(OR($D97&lt;&gt;"Serviço",AND(AUTOEVENTO="Manual",$M97=$A$15)),0,
         IF(OFFSET(CRONOPLE!$F$15,$M97-$A$15,BJ$13)=0,10^12,OFFSET(CRONOPLE!$F$15,$M97-$A$15,BJ$13)))</f>
        <v>1000000000000</v>
      </c>
      <c r="BK97" s="171">
        <f ca="1">IF(OR($D97&lt;&gt;"Serviço",AND(AUTOEVENTO="Manual",$M97=$A$15)),0,
         IF(OFFSET(CRONOPLE!$F$15,$M97-$A$15,BK$13)=0,10^12,OFFSET(CRONOPLE!$F$15,$M97-$A$15,BK$13)))</f>
        <v>9</v>
      </c>
      <c r="BL97" s="171">
        <f ca="1">IF(OR($D97&lt;&gt;"Serviço",AND(AUTOEVENTO="Manual",$M97=$A$15)),0,
         IF(OFFSET(CRONOPLE!$F$15,$M97-$A$15,BL$13)=0,10^12,OFFSET(CRONOPLE!$F$15,$M97-$A$15,BL$13)))</f>
        <v>1000000000000</v>
      </c>
      <c r="BM97" s="171">
        <f ca="1">IF(OR($D97&lt;&gt;"Serviço",AND(AUTOEVENTO="Manual",$M97=$A$15)),0,
         IF(OFFSET(CRONOPLE!$F$15,$M97-$A$15,BM$13)=0,10^12,OFFSET(CRONOPLE!$F$15,$M97-$A$15,BM$13)))</f>
        <v>1000000000000</v>
      </c>
      <c r="BN97" s="171">
        <f ca="1">IF(OR($D97&lt;&gt;"Serviço",AND(AUTOEVENTO="Manual",$M97=$A$15)),0,
         IF(OFFSET(CRONOPLE!$F$15,$M97-$A$15,BN$13)=0,10^12,OFFSET(CRONOPLE!$F$15,$M97-$A$15,BN$13)))</f>
        <v>1000000000000</v>
      </c>
      <c r="BO97" s="171">
        <f ca="1">IF(OR($D97&lt;&gt;"Serviço",AND(AUTOEVENTO="Manual",$M97=$A$15)),0,
         IF(OFFSET(CRONOPLE!$F$15,$M97-$A$15,BO$13)=0,10^12,OFFSET(CRONOPLE!$F$15,$M97-$A$15,BO$13)))</f>
        <v>1000000000000</v>
      </c>
      <c r="BP97" s="171">
        <f ca="1">IF(OR($D97&lt;&gt;"Serviço",AND(AUTOEVENTO="Manual",$M97=$A$15)),0,
         IF(OFFSET(CRONOPLE!$F$15,$M97-$A$15,BP$13)=0,10^12,OFFSET(CRONOPLE!$F$15,$M97-$A$15,BP$13)))</f>
        <v>1000000000000</v>
      </c>
      <c r="BQ97" s="171">
        <f ca="1">IF(OR($D97&lt;&gt;"Serviço",AND(AUTOEVENTO="Manual",$M97=$A$15)),0,
         IF(OFFSET(CRONOPLE!$F$15,$M97-$A$15,BQ$13)=0,10^12,OFFSET(CRONOPLE!$F$15,$M97-$A$15,BQ$13)))</f>
        <v>1000000000000</v>
      </c>
      <c r="BR97" s="171">
        <f ca="1">IF(OR($D97&lt;&gt;"Serviço",AND(AUTOEVENTO="Manual",$M97=$A$15)),0,
         IF(OFFSET(CRONOPLE!$F$15,$M97-$A$15,BR$13)=0,10^12,OFFSET(CRONOPLE!$F$15,$M97-$A$15,BR$13)))</f>
        <v>1000000000000</v>
      </c>
      <c r="BS97" s="171">
        <f ca="1">IF(OR($D97&lt;&gt;"Serviço",AND(AUTOEVENTO="Manual",$M97=$A$15)),0,
         IF(OFFSET(CRONOPLE!$F$15,$M97-$A$15,BS$13)=0,10^12,OFFSET(CRONOPLE!$F$15,$M97-$A$15,BS$13)))</f>
        <v>1000000000000</v>
      </c>
      <c r="BT97" s="171">
        <f ca="1">IF(OR($D97&lt;&gt;"Serviço",AND(AUTOEVENTO="Manual",$M97=$A$15)),0,
         IF(OFFSET(CRONOPLE!$F$15,$M97-$A$15,BT$13)=0,10^12,OFFSET(CRONOPLE!$F$15,$M97-$A$15,BT$13)))</f>
        <v>1000000000000</v>
      </c>
      <c r="BV97" s="172">
        <f t="array" aca="1" ref="BV97" ca="1">IF(OR($D97&lt;&gt;"Serviço",AND(AUTOEVENTO="Manual",$M97=$A$15),$M97&gt;(ROW(PLE.lastrow)-ROW(PLE.firstrow))),0,
           IF(OFFSET(PLE!$G$15,$M97-$A$15,BV$13)="",10^12,OFFSET(PLE!$G$15,$M97-$A$15,BV$13)))</f>
        <v>1000000000000</v>
      </c>
      <c r="BW97" s="172">
        <f t="array" aca="1" ref="BW97" ca="1">IF(OR($D97&lt;&gt;"Serviço",AND(AUTOEVENTO="Manual",$M97=$A$15),$M97&gt;(ROW(PLE.lastrow)-ROW(PLE.firstrow))),0,
           IF(OFFSET(PLE!$G$15,$M97-$A$15,BW$13)="",10^12,OFFSET(PLE!$G$15,$M97-$A$15,BW$13)))</f>
        <v>1000000000000</v>
      </c>
      <c r="BX97" s="172">
        <f t="array" aca="1" ref="BX97" ca="1">IF(OR($D97&lt;&gt;"Serviço",AND(AUTOEVENTO="Manual",$M97=$A$15),$M97&gt;(ROW(PLE.lastrow)-ROW(PLE.firstrow))),0,
           IF(OFFSET(PLE!$G$15,$M97-$A$15,BX$13)="",10^12,OFFSET(PLE!$G$15,$M97-$A$15,BX$13)))</f>
        <v>1000000000000</v>
      </c>
      <c r="BY97" s="172">
        <f t="array" aca="1" ref="BY97" ca="1">IF(OR($D97&lt;&gt;"Serviço",AND(AUTOEVENTO="Manual",$M97=$A$15),$M97&gt;(ROW(PLE.lastrow)-ROW(PLE.firstrow))),0,
           IF(OFFSET(PLE!$G$15,$M97-$A$15,BY$13)="",10^12,OFFSET(PLE!$G$15,$M97-$A$15,BY$13)))</f>
        <v>1000000000000</v>
      </c>
      <c r="BZ97" s="172">
        <f t="array" aca="1" ref="BZ97" ca="1">IF(OR($D97&lt;&gt;"Serviço",AND(AUTOEVENTO="Manual",$M97=$A$15),$M97&gt;(ROW(PLE.lastrow)-ROW(PLE.firstrow))),0,
           IF(OFFSET(PLE!$G$15,$M97-$A$15,BZ$13)="",10^12,OFFSET(PLE!$G$15,$M97-$A$15,BZ$13)))</f>
        <v>1000000000000</v>
      </c>
      <c r="CA97" s="172">
        <f t="array" aca="1" ref="CA97" ca="1">IF(OR($D97&lt;&gt;"Serviço",AND(AUTOEVENTO="Manual",$M97=$A$15),$M97&gt;(ROW(PLE.lastrow)-ROW(PLE.firstrow))),0,
           IF(OFFSET(PLE!$G$15,$M97-$A$15,CA$13)="",10^12,OFFSET(PLE!$G$15,$M97-$A$15,CA$13)))</f>
        <v>1000000000000</v>
      </c>
      <c r="CB97" s="172">
        <f t="array" aca="1" ref="CB97" ca="1">IF(OR($D97&lt;&gt;"Serviço",AND(AUTOEVENTO="Manual",$M97=$A$15),$M97&gt;(ROW(PLE.lastrow)-ROW(PLE.firstrow))),0,
           IF(OFFSET(PLE!$G$15,$M97-$A$15,CB$13)="",10^12,OFFSET(PLE!$G$15,$M97-$A$15,CB$13)))</f>
        <v>1000000000000</v>
      </c>
      <c r="CC97" s="172">
        <f t="array" aca="1" ref="CC97" ca="1">IF(OR($D97&lt;&gt;"Serviço",AND(AUTOEVENTO="Manual",$M97=$A$15),$M97&gt;(ROW(PLE.lastrow)-ROW(PLE.firstrow))),0,
           IF(OFFSET(PLE!$G$15,$M97-$A$15,CC$13)="",10^12,OFFSET(PLE!$G$15,$M97-$A$15,CC$13)))</f>
        <v>1000000000000</v>
      </c>
      <c r="CD97" s="172">
        <f t="array" aca="1" ref="CD97" ca="1">IF(OR($D97&lt;&gt;"Serviço",AND(AUTOEVENTO="Manual",$M97=$A$15),$M97&gt;(ROW(PLE.lastrow)-ROW(PLE.firstrow))),0,
           IF(OFFSET(PLE!$G$15,$M97-$A$15,CD$13)="",10^12,OFFSET(PLE!$G$15,$M97-$A$15,CD$13)))</f>
        <v>1000000000000</v>
      </c>
      <c r="CE97" s="172">
        <f t="array" aca="1" ref="CE97" ca="1">IF(OR($D97&lt;&gt;"Serviço",AND(AUTOEVENTO="Manual",$M97=$A$15),$M97&gt;(ROW(PLE.lastrow)-ROW(PLE.firstrow))),0,
           IF(OFFSET(PLE!$G$15,$M97-$A$15,CE$13)="",10^12,OFFSET(PLE!$G$15,$M97-$A$15,CE$13)))</f>
        <v>1000000000000</v>
      </c>
      <c r="CF97" s="172">
        <f t="array" aca="1" ref="CF97" ca="1">IF(OR($D97&lt;&gt;"Serviço",AND(AUTOEVENTO="Manual",$M97=$A$15),$M97&gt;(ROW(PLE.lastrow)-ROW(PLE.firstrow))),0,
           IF(OFFSET(PLE!$G$15,$M97-$A$15,CF$13)="",10^12,OFFSET(PLE!$G$15,$M97-$A$15,CF$13)))</f>
        <v>1000000000000</v>
      </c>
      <c r="CG97" s="172">
        <f t="array" aca="1" ref="CG97" ca="1">IF(OR($D97&lt;&gt;"Serviço",AND(AUTOEVENTO="Manual",$M97=$A$15),$M97&gt;(ROW(PLE.lastrow)-ROW(PLE.firstrow))),0,
           IF(OFFSET(PLE!$G$15,$M97-$A$15,CG$13)="",10^12,OFFSET(PLE!$G$15,$M97-$A$15,CG$13)))</f>
        <v>1000000000000</v>
      </c>
      <c r="CH97" s="172">
        <f t="array" aca="1" ref="CH97" ca="1">IF(OR($D97&lt;&gt;"Serviço",AND(AUTOEVENTO="Manual",$M97=$A$15),$M97&gt;(ROW(PLE.lastrow)-ROW(PLE.firstrow))),0,
           IF(OFFSET(PLE!$G$15,$M97-$A$15,CH$13)="",10^12,OFFSET(PLE!$G$15,$M97-$A$15,CH$13)))</f>
        <v>1000000000000</v>
      </c>
      <c r="CI97" s="172">
        <f t="array" aca="1" ref="CI97" ca="1">IF(OR($D97&lt;&gt;"Serviço",AND(AUTOEVENTO="Manual",$M97=$A$15),$M97&gt;(ROW(PLE.lastrow)-ROW(PLE.firstrow))),0,
           IF(OFFSET(PLE!$G$15,$M97-$A$15,CI$13)="",10^12,OFFSET(PLE!$G$15,$M97-$A$15,CI$13)))</f>
        <v>1000000000000</v>
      </c>
      <c r="CJ97" s="172">
        <f t="array" aca="1" ref="CJ97" ca="1">IF(OR($D97&lt;&gt;"Serviço",AND(AUTOEVENTO="Manual",$M97=$A$15),$M97&gt;(ROW(PLE.lastrow)-ROW(PLE.firstrow))),0,
           IF(OFFSET(PLE!$G$15,$M97-$A$15,CJ$13)="",10^12,OFFSET(PLE!$G$15,$M97-$A$15,CJ$13)))</f>
        <v>1000000000000</v>
      </c>
      <c r="CK97" s="172">
        <f t="array" aca="1" ref="CK97" ca="1">IF(OR($D97&lt;&gt;"Serviço",AND(AUTOEVENTO="Manual",$M97=$A$15),$M97&gt;(ROW(PLE.lastrow)-ROW(PLE.firstrow))),0,
           IF(OFFSET(PLE!$G$15,$M97-$A$15,CK$13)="",10^12,OFFSET(PLE!$G$15,$M97-$A$15,CK$13)))</f>
        <v>1000000000000</v>
      </c>
      <c r="CL97" s="172">
        <f t="array" aca="1" ref="CL97" ca="1">IF(OR($D97&lt;&gt;"Serviço",AND(AUTOEVENTO="Manual",$M97=$A$15),$M97&gt;(ROW(PLE.lastrow)-ROW(PLE.firstrow))),0,
           IF(OFFSET(PLE!$G$15,$M97-$A$15,CL$13)="",10^12,OFFSET(PLE!$G$15,$M97-$A$15,CL$13)))</f>
        <v>1000000000000</v>
      </c>
      <c r="CM97" s="172">
        <f t="array" aca="1" ref="CM97" ca="1">IF(OR($D97&lt;&gt;"Serviço",AND(AUTOEVENTO="Manual",$M97=$A$15),$M97&gt;(ROW(PLE.lastrow)-ROW(PLE.firstrow))),0,
           IF(OFFSET(PLE!$G$15,$M97-$A$15,CM$13)="",10^12,OFFSET(PLE!$G$15,$M97-$A$15,CM$13)))</f>
        <v>1000000000000</v>
      </c>
    </row>
    <row r="98" spans="1:91" s="696" customFormat="1" ht="63.75" x14ac:dyDescent="0.2">
      <c r="A98" s="694">
        <f t="shared" ca="1" si="45"/>
        <v>19</v>
      </c>
      <c r="B98" s="694" t="str">
        <f ca="1">OFFSET(ORÇAMENTO!C$15,$L98,0)</f>
        <v>S</v>
      </c>
      <c r="C98" s="694" t="str">
        <f ca="1">OFFSET(ORÇAMENTO!L$15,$L98,0)</f>
        <v>F</v>
      </c>
      <c r="D98" s="116" t="str">
        <f ca="1">OFFSET(ORÇAMENTO!N$15,$L98,0)</f>
        <v>Serviço</v>
      </c>
      <c r="E98" s="117" t="str">
        <f ca="1">OFFSET(ORÇAMENTO!O$15,$L98,0)</f>
        <v>1.16.2.</v>
      </c>
      <c r="F98" s="163" t="str">
        <f ca="1">OFFSET(ORÇAMENTO!R$15,$L98,0)</f>
        <v>CHAPISCO APLICADO EM ALVENARIA (SEM PRESENÇA DE VÃOS) E ESTRUTURAS DE CONCRETO DE FACHADA, COM COLHER DE PEDREIRO. ARGAMASSA TRAÇO 1:3 COM PREPARO EM BETONEIRA 400L. AF_10/2022</v>
      </c>
      <c r="G98" s="164" t="str">
        <f ca="1">IF($D98&lt;&gt;"Serviço","",OFFSET(ORÇAMENTO!S$15,$L98,0))</f>
        <v>M2</v>
      </c>
      <c r="H98" s="122">
        <f t="array" aca="1" ref="H98" ca="1">IF($D98&lt;&gt;"Serviço",0,IF(ACOMPANHAMENTO="BM",ROUND(OFFSET(ORÇAMENTO!AJ$15,$L98,0),15-13*ORÇAMENTO!$AF$7),IF(IFERROR(CÁLCULO.FrentesPreenchidas,0)=0,0,SUM(ROUND(OFFSET($P98,0,1,1,CÁLCULO.FrentesPreenchidas),15-13*ORÇAMENTO!$AF$7)))))</f>
        <v>609</v>
      </c>
      <c r="I98" s="467" t="s">
        <v>1261</v>
      </c>
      <c r="J98" s="653" t="str">
        <f t="array" aca="1" ref="J98" ca="1">IF(OR(B98&lt;&gt;"S",CÁLCULO.FrentesPreenchidas=0),"",IF(AND(ACOMPANHAMENTO="PLE",AUTOEVENTO="Manual",OR(H98&gt;0,ORÇAMENTO!AC98="QUANT."),OR(K98="",M98=0,N98="")),"►E",IF(AND(ACOMPANHAMENTO="PLE",ORÇAMENTO!AC98="QUANT."),"►Q",IF(AND(ACOMPANHAMENTO="PLE",H98&lt;&gt;SUMPRODUCT(($Q$1:$AI$1=1)*ROUND(Q98:AI98,15))),"►S",IF(AND(COUNTIF($P$11:$AI$11,"▼")=0,H98&gt;0,I98=""),"◄M","")))))</f>
        <v/>
      </c>
      <c r="K98" s="654" t="s">
        <v>1407</v>
      </c>
      <c r="L98" s="165">
        <f t="shared" ca="1" si="46"/>
        <v>83</v>
      </c>
      <c r="M98" s="166">
        <f ca="1">IF($D98&lt;&gt;"Serviço","",
          IF(AUTOEVENTO="manual",$A98,
                IF(ISERROR(MATCH($A98,$A$15:OFFSET($A98,-1,0),0)),MAX($M$15:OFFSET(M98,-1,0))+1,
                      INDEX($M$15:OFFSET(M98,-1,0),MATCH($A98,$A$15:OFFSET($A98,-1,0),0)))))</f>
        <v>19</v>
      </c>
      <c r="N98" s="167" t="str">
        <f ca="1">IF($D98&lt;&gt;"Serviço","",
         IF(AUTOEVENTO="Manual",
                IF($A98=0,"&lt;-- defina o número do agrupador",
                       OFFSET(EVENTOS!$D$15,$A98-$A$15,0)),
                OFFSET($F$15,$A98,0)))</f>
        <v>REVESTIMENTOS EXTERNOS DE PAREDES</v>
      </c>
      <c r="O98" s="168"/>
      <c r="Q98" s="169">
        <f>30.45*5</f>
        <v>152.25</v>
      </c>
      <c r="R98" s="169">
        <f t="shared" ref="R98:T99" si="62">30.45*5</f>
        <v>152.25</v>
      </c>
      <c r="S98" s="169">
        <f t="shared" si="62"/>
        <v>152.25</v>
      </c>
      <c r="T98" s="169">
        <f t="shared" si="62"/>
        <v>152.25</v>
      </c>
      <c r="U98" s="169"/>
      <c r="V98" s="169"/>
      <c r="W98" s="169"/>
      <c r="X98" s="169"/>
      <c r="Y98" s="169"/>
      <c r="Z98" s="170"/>
      <c r="AA98" s="169"/>
      <c r="AB98" s="169"/>
      <c r="AC98" s="169"/>
      <c r="AD98" s="169"/>
      <c r="AE98" s="169"/>
      <c r="AF98" s="169"/>
      <c r="AG98" s="169"/>
      <c r="AH98" s="170"/>
      <c r="AJ98" s="452">
        <f ca="1">IF(AND($D98="Serviço",AJ$12&lt;&gt;0,$H98&gt;0,OR(AUTOEVENTO&lt;&gt;"manual",$M98&lt;&gt;$A$15)),
        IF(Import.TipoArredondamento&lt;&gt;"TransfereGOV",
              ROUND(OFFSET($P98,0,AJ$13),15-13*ORÇAMENTO!$AF$7)/$H98*OFFSET(ORÇAMENTO!$X$15,ROW(AJ98)-ROW(AJ$15),0),
              ROUND(ROUND(OFFSET($P98,0,AJ$13),15-13*ORÇAMENTO!$AF$7)*OFFSET(ORÇAMENTO!$W$15,ROW(AJ98)-ROW(AJ$15),0),15-13*ORÇAMENTO!$AF$11)),
         0)</f>
        <v>1315.44</v>
      </c>
      <c r="AK98" s="452">
        <f ca="1">IF(AND($D98="Serviço",AK$12&lt;&gt;0,$H98&gt;0,OR(AUTOEVENTO&lt;&gt;"manual",$M98&lt;&gt;$A$15)),
        IF(Import.TipoArredondamento&lt;&gt;"TransfereGOV",
              ROUND(OFFSET($P98,0,AK$13),15-13*ORÇAMENTO!$AF$7)/$H98*OFFSET(ORÇAMENTO!$X$15,ROW(AK98)-ROW(AK$15),0),
              ROUND(ROUND(OFFSET($P98,0,AK$13),15-13*ORÇAMENTO!$AF$7)*OFFSET(ORÇAMENTO!$W$15,ROW(AK98)-ROW(AK$15),0),15-13*ORÇAMENTO!$AF$11)),
         0)</f>
        <v>1315.44</v>
      </c>
      <c r="AL98" s="452">
        <f ca="1">IF(AND($D98="Serviço",AL$12&lt;&gt;0,$H98&gt;0,OR(AUTOEVENTO&lt;&gt;"manual",$M98&lt;&gt;$A$15)),
        IF(Import.TipoArredondamento&lt;&gt;"TransfereGOV",
              ROUND(OFFSET($P98,0,AL$13),15-13*ORÇAMENTO!$AF$7)/$H98*OFFSET(ORÇAMENTO!$X$15,ROW(AL98)-ROW(AL$15),0),
              ROUND(ROUND(OFFSET($P98,0,AL$13),15-13*ORÇAMENTO!$AF$7)*OFFSET(ORÇAMENTO!$W$15,ROW(AL98)-ROW(AL$15),0),15-13*ORÇAMENTO!$AF$11)),
         0)</f>
        <v>1315.44</v>
      </c>
      <c r="AM98" s="452">
        <f ca="1">IF(AND($D98="Serviço",AM$12&lt;&gt;0,$H98&gt;0,OR(AUTOEVENTO&lt;&gt;"manual",$M98&lt;&gt;$A$15)),
        IF(Import.TipoArredondamento&lt;&gt;"TransfereGOV",
              ROUND(OFFSET($P98,0,AM$13),15-13*ORÇAMENTO!$AF$7)/$H98*OFFSET(ORÇAMENTO!$X$15,ROW(AM98)-ROW(AM$15),0),
              ROUND(ROUND(OFFSET($P98,0,AM$13),15-13*ORÇAMENTO!$AF$7)*OFFSET(ORÇAMENTO!$W$15,ROW(AM98)-ROW(AM$15),0),15-13*ORÇAMENTO!$AF$11)),
         0)</f>
        <v>1315.44</v>
      </c>
      <c r="AN98" s="452">
        <f ca="1">IF(AND($D98="Serviço",AN$12&lt;&gt;0,$H98&gt;0,OR(AUTOEVENTO&lt;&gt;"manual",$M98&lt;&gt;$A$15)),
        IF(Import.TipoArredondamento&lt;&gt;"TransfereGOV",
              ROUND(OFFSET($P98,0,AN$13),15-13*ORÇAMENTO!$AF$7)/$H98*OFFSET(ORÇAMENTO!$X$15,ROW(AN98)-ROW(AN$15),0),
              ROUND(ROUND(OFFSET($P98,0,AN$13),15-13*ORÇAMENTO!$AF$7)*OFFSET(ORÇAMENTO!$W$15,ROW(AN98)-ROW(AN$15),0),15-13*ORÇAMENTO!$AF$11)),
         0)</f>
        <v>0</v>
      </c>
      <c r="AO98" s="452">
        <f ca="1">IF(AND($D98="Serviço",AO$12&lt;&gt;0,$H98&gt;0,OR(AUTOEVENTO&lt;&gt;"manual",$M98&lt;&gt;$A$15)),
        IF(Import.TipoArredondamento&lt;&gt;"TransfereGOV",
              ROUND(OFFSET($P98,0,AO$13),15-13*ORÇAMENTO!$AF$7)/$H98*OFFSET(ORÇAMENTO!$X$15,ROW(AO98)-ROW(AO$15),0),
              ROUND(ROUND(OFFSET($P98,0,AO$13),15-13*ORÇAMENTO!$AF$7)*OFFSET(ORÇAMENTO!$W$15,ROW(AO98)-ROW(AO$15),0),15-13*ORÇAMENTO!$AF$11)),
         0)</f>
        <v>0</v>
      </c>
      <c r="AP98" s="452">
        <f ca="1">IF(AND($D98="Serviço",AP$12&lt;&gt;0,$H98&gt;0,OR(AUTOEVENTO&lt;&gt;"manual",$M98&lt;&gt;$A$15)),
        IF(Import.TipoArredondamento&lt;&gt;"TransfereGOV",
              ROUND(OFFSET($P98,0,AP$13),15-13*ORÇAMENTO!$AF$7)/$H98*OFFSET(ORÇAMENTO!$X$15,ROW(AP98)-ROW(AP$15),0),
              ROUND(ROUND(OFFSET($P98,0,AP$13),15-13*ORÇAMENTO!$AF$7)*OFFSET(ORÇAMENTO!$W$15,ROW(AP98)-ROW(AP$15),0),15-13*ORÇAMENTO!$AF$11)),
         0)</f>
        <v>0</v>
      </c>
      <c r="AQ98" s="452">
        <f ca="1">IF(AND($D98="Serviço",AQ$12&lt;&gt;0,$H98&gt;0,OR(AUTOEVENTO&lt;&gt;"manual",$M98&lt;&gt;$A$15)),
        IF(Import.TipoArredondamento&lt;&gt;"TransfereGOV",
              ROUND(OFFSET($P98,0,AQ$13),15-13*ORÇAMENTO!$AF$7)/$H98*OFFSET(ORÇAMENTO!$X$15,ROW(AQ98)-ROW(AQ$15),0),
              ROUND(ROUND(OFFSET($P98,0,AQ$13),15-13*ORÇAMENTO!$AF$7)*OFFSET(ORÇAMENTO!$W$15,ROW(AQ98)-ROW(AQ$15),0),15-13*ORÇAMENTO!$AF$11)),
         0)</f>
        <v>0</v>
      </c>
      <c r="AR98" s="452">
        <f ca="1">IF(AND($D98="Serviço",AR$12&lt;&gt;0,$H98&gt;0,OR(AUTOEVENTO&lt;&gt;"manual",$M98&lt;&gt;$A$15)),
        IF(Import.TipoArredondamento&lt;&gt;"TransfereGOV",
              ROUND(OFFSET($P98,0,AR$13),15-13*ORÇAMENTO!$AF$7)/$H98*OFFSET(ORÇAMENTO!$X$15,ROW(AR98)-ROW(AR$15),0),
              ROUND(ROUND(OFFSET($P98,0,AR$13),15-13*ORÇAMENTO!$AF$7)*OFFSET(ORÇAMENTO!$W$15,ROW(AR98)-ROW(AR$15),0),15-13*ORÇAMENTO!$AF$11)),
         0)</f>
        <v>0</v>
      </c>
      <c r="AS98" s="452">
        <f ca="1">IF(AND($D98="Serviço",AS$12&lt;&gt;0,$H98&gt;0,OR(AUTOEVENTO&lt;&gt;"manual",$M98&lt;&gt;$A$15)),
        IF(Import.TipoArredondamento&lt;&gt;"TransfereGOV",
              ROUND(OFFSET($P98,0,AS$13),15-13*ORÇAMENTO!$AF$7)/$H98*OFFSET(ORÇAMENTO!$X$15,ROW(AS98)-ROW(AS$15),0),
              ROUND(ROUND(OFFSET($P98,0,AS$13),15-13*ORÇAMENTO!$AF$7)*OFFSET(ORÇAMENTO!$W$15,ROW(AS98)-ROW(AS$15),0),15-13*ORÇAMENTO!$AF$11)),
         0)</f>
        <v>0</v>
      </c>
      <c r="AT98" s="452">
        <f ca="1">IF(AND($D98="Serviço",AT$12&lt;&gt;0,$H98&gt;0,OR(AUTOEVENTO&lt;&gt;"manual",$M98&lt;&gt;$A$15)),
        IF(Import.TipoArredondamento&lt;&gt;"TransfereGOV",
              ROUND(OFFSET($P98,0,AT$13),15-13*ORÇAMENTO!$AF$7)/$H98*OFFSET(ORÇAMENTO!$X$15,ROW(AT98)-ROW(AT$15),0),
              ROUND(ROUND(OFFSET($P98,0,AT$13),15-13*ORÇAMENTO!$AF$7)*OFFSET(ORÇAMENTO!$W$15,ROW(AT98)-ROW(AT$15),0),15-13*ORÇAMENTO!$AF$11)),
         0)</f>
        <v>0</v>
      </c>
      <c r="AU98" s="452">
        <f ca="1">IF(AND($D98="Serviço",AU$12&lt;&gt;0,$H98&gt;0,OR(AUTOEVENTO&lt;&gt;"manual",$M98&lt;&gt;$A$15)),
        IF(Import.TipoArredondamento&lt;&gt;"TransfereGOV",
              ROUND(OFFSET($P98,0,AU$13),15-13*ORÇAMENTO!$AF$7)/$H98*OFFSET(ORÇAMENTO!$X$15,ROW(AU98)-ROW(AU$15),0),
              ROUND(ROUND(OFFSET($P98,0,AU$13),15-13*ORÇAMENTO!$AF$7)*OFFSET(ORÇAMENTO!$W$15,ROW(AU98)-ROW(AU$15),0),15-13*ORÇAMENTO!$AF$11)),
         0)</f>
        <v>0</v>
      </c>
      <c r="AV98" s="452">
        <f ca="1">IF(AND($D98="Serviço",AV$12&lt;&gt;0,$H98&gt;0,OR(AUTOEVENTO&lt;&gt;"manual",$M98&lt;&gt;$A$15)),
        IF(Import.TipoArredondamento&lt;&gt;"TransfereGOV",
              ROUND(OFFSET($P98,0,AV$13),15-13*ORÇAMENTO!$AF$7)/$H98*OFFSET(ORÇAMENTO!$X$15,ROW(AV98)-ROW(AV$15),0),
              ROUND(ROUND(OFFSET($P98,0,AV$13),15-13*ORÇAMENTO!$AF$7)*OFFSET(ORÇAMENTO!$W$15,ROW(AV98)-ROW(AV$15),0),15-13*ORÇAMENTO!$AF$11)),
         0)</f>
        <v>0</v>
      </c>
      <c r="AW98" s="452">
        <f ca="1">IF(AND($D98="Serviço",AW$12&lt;&gt;0,$H98&gt;0,OR(AUTOEVENTO&lt;&gt;"manual",$M98&lt;&gt;$A$15)),
        IF(Import.TipoArredondamento&lt;&gt;"TransfereGOV",
              ROUND(OFFSET($P98,0,AW$13),15-13*ORÇAMENTO!$AF$7)/$H98*OFFSET(ORÇAMENTO!$X$15,ROW(AW98)-ROW(AW$15),0),
              ROUND(ROUND(OFFSET($P98,0,AW$13),15-13*ORÇAMENTO!$AF$7)*OFFSET(ORÇAMENTO!$W$15,ROW(AW98)-ROW(AW$15),0),15-13*ORÇAMENTO!$AF$11)),
         0)</f>
        <v>0</v>
      </c>
      <c r="AX98" s="452">
        <f ca="1">IF(AND($D98="Serviço",AX$12&lt;&gt;0,$H98&gt;0,OR(AUTOEVENTO&lt;&gt;"manual",$M98&lt;&gt;$A$15)),
        IF(Import.TipoArredondamento&lt;&gt;"TransfereGOV",
              ROUND(OFFSET($P98,0,AX$13),15-13*ORÇAMENTO!$AF$7)/$H98*OFFSET(ORÇAMENTO!$X$15,ROW(AX98)-ROW(AX$15),0),
              ROUND(ROUND(OFFSET($P98,0,AX$13),15-13*ORÇAMENTO!$AF$7)*OFFSET(ORÇAMENTO!$W$15,ROW(AX98)-ROW(AX$15),0),15-13*ORÇAMENTO!$AF$11)),
         0)</f>
        <v>0</v>
      </c>
      <c r="AY98" s="452">
        <f ca="1">IF(AND($D98="Serviço",AY$12&lt;&gt;0,$H98&gt;0,OR(AUTOEVENTO&lt;&gt;"manual",$M98&lt;&gt;$A$15)),
        IF(Import.TipoArredondamento&lt;&gt;"TransfereGOV",
              ROUND(OFFSET($P98,0,AY$13),15-13*ORÇAMENTO!$AF$7)/$H98*OFFSET(ORÇAMENTO!$X$15,ROW(AY98)-ROW(AY$15),0),
              ROUND(ROUND(OFFSET($P98,0,AY$13),15-13*ORÇAMENTO!$AF$7)*OFFSET(ORÇAMENTO!$W$15,ROW(AY98)-ROW(AY$15),0),15-13*ORÇAMENTO!$AF$11)),
         0)</f>
        <v>0</v>
      </c>
      <c r="AZ98" s="452">
        <f ca="1">IF(AND($D98="Serviço",AZ$12&lt;&gt;0,$H98&gt;0,OR(AUTOEVENTO&lt;&gt;"manual",$M98&lt;&gt;$A$15)),
        IF(Import.TipoArredondamento&lt;&gt;"TransfereGOV",
              ROUND(OFFSET($P98,0,AZ$13),15-13*ORÇAMENTO!$AF$7)/$H98*OFFSET(ORÇAMENTO!$X$15,ROW(AZ98)-ROW(AZ$15),0),
              ROUND(ROUND(OFFSET($P98,0,AZ$13),15-13*ORÇAMENTO!$AF$7)*OFFSET(ORÇAMENTO!$W$15,ROW(AZ98)-ROW(AZ$15),0),15-13*ORÇAMENTO!$AF$11)),
         0)</f>
        <v>0</v>
      </c>
      <c r="BA98" s="452">
        <f ca="1">IF(AND($D98="Serviço",BA$12&lt;&gt;0,$H98&gt;0,OR(AUTOEVENTO&lt;&gt;"manual",$M98&lt;&gt;$A$15)),
        IF(Import.TipoArredondamento&lt;&gt;"TransfereGOV",
              ROUND(OFFSET($P98,0,BA$13),15-13*ORÇAMENTO!$AF$7)/$H98*OFFSET(ORÇAMENTO!$X$15,ROW(BA98)-ROW(BA$15),0),
              ROUND(ROUND(OFFSET($P98,0,BA$13),15-13*ORÇAMENTO!$AF$7)*OFFSET(ORÇAMENTO!$W$15,ROW(BA98)-ROW(BA$15),0),15-13*ORÇAMENTO!$AF$11)),
         0)</f>
        <v>0</v>
      </c>
      <c r="BC98" s="171">
        <f ca="1">IF(OR($D98&lt;&gt;"Serviço",AND(AUTOEVENTO="Manual",$M98=$A$15)),0,
         IF(OFFSET(CRONOPLE!$F$15,$M98-$A$15,BC$13)=0,10^12,OFFSET(CRONOPLE!$F$15,$M98-$A$15,BC$13)))</f>
        <v>4</v>
      </c>
      <c r="BD98" s="171">
        <f ca="1">IF(OR($D98&lt;&gt;"Serviço",AND(AUTOEVENTO="Manual",$M98=$A$15)),0,
         IF(OFFSET(CRONOPLE!$F$15,$M98-$A$15,BD$13)=0,10^12,OFFSET(CRONOPLE!$F$15,$M98-$A$15,BD$13)))</f>
        <v>5</v>
      </c>
      <c r="BE98" s="171">
        <f ca="1">IF(OR($D98&lt;&gt;"Serviço",AND(AUTOEVENTO="Manual",$M98=$A$15)),0,
         IF(OFFSET(CRONOPLE!$F$15,$M98-$A$15,BE$13)=0,10^12,OFFSET(CRONOPLE!$F$15,$M98-$A$15,BE$13)))</f>
        <v>6</v>
      </c>
      <c r="BF98" s="171">
        <f ca="1">IF(OR($D98&lt;&gt;"Serviço",AND(AUTOEVENTO="Manual",$M98=$A$15)),0,
         IF(OFFSET(CRONOPLE!$F$15,$M98-$A$15,BF$13)=0,10^12,OFFSET(CRONOPLE!$F$15,$M98-$A$15,BF$13)))</f>
        <v>7</v>
      </c>
      <c r="BG98" s="171">
        <f ca="1">IF(OR($D98&lt;&gt;"Serviço",AND(AUTOEVENTO="Manual",$M98=$A$15)),0,
         IF(OFFSET(CRONOPLE!$F$15,$M98-$A$15,BG$13)=0,10^12,OFFSET(CRONOPLE!$F$15,$M98-$A$15,BG$13)))</f>
        <v>7</v>
      </c>
      <c r="BH98" s="171">
        <f ca="1">IF(OR($D98&lt;&gt;"Serviço",AND(AUTOEVENTO="Manual",$M98=$A$15)),0,
         IF(OFFSET(CRONOPLE!$F$15,$M98-$A$15,BH$13)=0,10^12,OFFSET(CRONOPLE!$F$15,$M98-$A$15,BH$13)))</f>
        <v>1000000000000</v>
      </c>
      <c r="BI98" s="171">
        <f ca="1">IF(OR($D98&lt;&gt;"Serviço",AND(AUTOEVENTO="Manual",$M98=$A$15)),0,
         IF(OFFSET(CRONOPLE!$F$15,$M98-$A$15,BI$13)=0,10^12,OFFSET(CRONOPLE!$F$15,$M98-$A$15,BI$13)))</f>
        <v>1000000000000</v>
      </c>
      <c r="BJ98" s="171">
        <f ca="1">IF(OR($D98&lt;&gt;"Serviço",AND(AUTOEVENTO="Manual",$M98=$A$15)),0,
         IF(OFFSET(CRONOPLE!$F$15,$M98-$A$15,BJ$13)=0,10^12,OFFSET(CRONOPLE!$F$15,$M98-$A$15,BJ$13)))</f>
        <v>1000000000000</v>
      </c>
      <c r="BK98" s="171">
        <f ca="1">IF(OR($D98&lt;&gt;"Serviço",AND(AUTOEVENTO="Manual",$M98=$A$15)),0,
         IF(OFFSET(CRONOPLE!$F$15,$M98-$A$15,BK$13)=0,10^12,OFFSET(CRONOPLE!$F$15,$M98-$A$15,BK$13)))</f>
        <v>9</v>
      </c>
      <c r="BL98" s="171">
        <f ca="1">IF(OR($D98&lt;&gt;"Serviço",AND(AUTOEVENTO="Manual",$M98=$A$15)),0,
         IF(OFFSET(CRONOPLE!$F$15,$M98-$A$15,BL$13)=0,10^12,OFFSET(CRONOPLE!$F$15,$M98-$A$15,BL$13)))</f>
        <v>1000000000000</v>
      </c>
      <c r="BM98" s="171">
        <f ca="1">IF(OR($D98&lt;&gt;"Serviço",AND(AUTOEVENTO="Manual",$M98=$A$15)),0,
         IF(OFFSET(CRONOPLE!$F$15,$M98-$A$15,BM$13)=0,10^12,OFFSET(CRONOPLE!$F$15,$M98-$A$15,BM$13)))</f>
        <v>1000000000000</v>
      </c>
      <c r="BN98" s="171">
        <f ca="1">IF(OR($D98&lt;&gt;"Serviço",AND(AUTOEVENTO="Manual",$M98=$A$15)),0,
         IF(OFFSET(CRONOPLE!$F$15,$M98-$A$15,BN$13)=0,10^12,OFFSET(CRONOPLE!$F$15,$M98-$A$15,BN$13)))</f>
        <v>1000000000000</v>
      </c>
      <c r="BO98" s="171">
        <f ca="1">IF(OR($D98&lt;&gt;"Serviço",AND(AUTOEVENTO="Manual",$M98=$A$15)),0,
         IF(OFFSET(CRONOPLE!$F$15,$M98-$A$15,BO$13)=0,10^12,OFFSET(CRONOPLE!$F$15,$M98-$A$15,BO$13)))</f>
        <v>1000000000000</v>
      </c>
      <c r="BP98" s="171">
        <f ca="1">IF(OR($D98&lt;&gt;"Serviço",AND(AUTOEVENTO="Manual",$M98=$A$15)),0,
         IF(OFFSET(CRONOPLE!$F$15,$M98-$A$15,BP$13)=0,10^12,OFFSET(CRONOPLE!$F$15,$M98-$A$15,BP$13)))</f>
        <v>1000000000000</v>
      </c>
      <c r="BQ98" s="171">
        <f ca="1">IF(OR($D98&lt;&gt;"Serviço",AND(AUTOEVENTO="Manual",$M98=$A$15)),0,
         IF(OFFSET(CRONOPLE!$F$15,$M98-$A$15,BQ$13)=0,10^12,OFFSET(CRONOPLE!$F$15,$M98-$A$15,BQ$13)))</f>
        <v>1000000000000</v>
      </c>
      <c r="BR98" s="171">
        <f ca="1">IF(OR($D98&lt;&gt;"Serviço",AND(AUTOEVENTO="Manual",$M98=$A$15)),0,
         IF(OFFSET(CRONOPLE!$F$15,$M98-$A$15,BR$13)=0,10^12,OFFSET(CRONOPLE!$F$15,$M98-$A$15,BR$13)))</f>
        <v>1000000000000</v>
      </c>
      <c r="BS98" s="171">
        <f ca="1">IF(OR($D98&lt;&gt;"Serviço",AND(AUTOEVENTO="Manual",$M98=$A$15)),0,
         IF(OFFSET(CRONOPLE!$F$15,$M98-$A$15,BS$13)=0,10^12,OFFSET(CRONOPLE!$F$15,$M98-$A$15,BS$13)))</f>
        <v>1000000000000</v>
      </c>
      <c r="BT98" s="171">
        <f ca="1">IF(OR($D98&lt;&gt;"Serviço",AND(AUTOEVENTO="Manual",$M98=$A$15)),0,
         IF(OFFSET(CRONOPLE!$F$15,$M98-$A$15,BT$13)=0,10^12,OFFSET(CRONOPLE!$F$15,$M98-$A$15,BT$13)))</f>
        <v>1000000000000</v>
      </c>
      <c r="BV98" s="172">
        <f t="array" aca="1" ref="BV98" ca="1">IF(OR($D98&lt;&gt;"Serviço",AND(AUTOEVENTO="Manual",$M98=$A$15),$M98&gt;(ROW(PLE.lastrow)-ROW(PLE.firstrow))),0,
           IF(OFFSET(PLE!$G$15,$M98-$A$15,BV$13)="",10^12,OFFSET(PLE!$G$15,$M98-$A$15,BV$13)))</f>
        <v>1000000000000</v>
      </c>
      <c r="BW98" s="172">
        <f t="array" aca="1" ref="BW98" ca="1">IF(OR($D98&lt;&gt;"Serviço",AND(AUTOEVENTO="Manual",$M98=$A$15),$M98&gt;(ROW(PLE.lastrow)-ROW(PLE.firstrow))),0,
           IF(OFFSET(PLE!$G$15,$M98-$A$15,BW$13)="",10^12,OFFSET(PLE!$G$15,$M98-$A$15,BW$13)))</f>
        <v>1000000000000</v>
      </c>
      <c r="BX98" s="172">
        <f t="array" aca="1" ref="BX98" ca="1">IF(OR($D98&lt;&gt;"Serviço",AND(AUTOEVENTO="Manual",$M98=$A$15),$M98&gt;(ROW(PLE.lastrow)-ROW(PLE.firstrow))),0,
           IF(OFFSET(PLE!$G$15,$M98-$A$15,BX$13)="",10^12,OFFSET(PLE!$G$15,$M98-$A$15,BX$13)))</f>
        <v>1000000000000</v>
      </c>
      <c r="BY98" s="172">
        <f t="array" aca="1" ref="BY98" ca="1">IF(OR($D98&lt;&gt;"Serviço",AND(AUTOEVENTO="Manual",$M98=$A$15),$M98&gt;(ROW(PLE.lastrow)-ROW(PLE.firstrow))),0,
           IF(OFFSET(PLE!$G$15,$M98-$A$15,BY$13)="",10^12,OFFSET(PLE!$G$15,$M98-$A$15,BY$13)))</f>
        <v>1000000000000</v>
      </c>
      <c r="BZ98" s="172">
        <f t="array" aca="1" ref="BZ98" ca="1">IF(OR($D98&lt;&gt;"Serviço",AND(AUTOEVENTO="Manual",$M98=$A$15),$M98&gt;(ROW(PLE.lastrow)-ROW(PLE.firstrow))),0,
           IF(OFFSET(PLE!$G$15,$M98-$A$15,BZ$13)="",10^12,OFFSET(PLE!$G$15,$M98-$A$15,BZ$13)))</f>
        <v>1000000000000</v>
      </c>
      <c r="CA98" s="172">
        <f t="array" aca="1" ref="CA98" ca="1">IF(OR($D98&lt;&gt;"Serviço",AND(AUTOEVENTO="Manual",$M98=$A$15),$M98&gt;(ROW(PLE.lastrow)-ROW(PLE.firstrow))),0,
           IF(OFFSET(PLE!$G$15,$M98-$A$15,CA$13)="",10^12,OFFSET(PLE!$G$15,$M98-$A$15,CA$13)))</f>
        <v>1000000000000</v>
      </c>
      <c r="CB98" s="172">
        <f t="array" aca="1" ref="CB98" ca="1">IF(OR($D98&lt;&gt;"Serviço",AND(AUTOEVENTO="Manual",$M98=$A$15),$M98&gt;(ROW(PLE.lastrow)-ROW(PLE.firstrow))),0,
           IF(OFFSET(PLE!$G$15,$M98-$A$15,CB$13)="",10^12,OFFSET(PLE!$G$15,$M98-$A$15,CB$13)))</f>
        <v>1000000000000</v>
      </c>
      <c r="CC98" s="172">
        <f t="array" aca="1" ref="CC98" ca="1">IF(OR($D98&lt;&gt;"Serviço",AND(AUTOEVENTO="Manual",$M98=$A$15),$M98&gt;(ROW(PLE.lastrow)-ROW(PLE.firstrow))),0,
           IF(OFFSET(PLE!$G$15,$M98-$A$15,CC$13)="",10^12,OFFSET(PLE!$G$15,$M98-$A$15,CC$13)))</f>
        <v>1000000000000</v>
      </c>
      <c r="CD98" s="172">
        <f t="array" aca="1" ref="CD98" ca="1">IF(OR($D98&lt;&gt;"Serviço",AND(AUTOEVENTO="Manual",$M98=$A$15),$M98&gt;(ROW(PLE.lastrow)-ROW(PLE.firstrow))),0,
           IF(OFFSET(PLE!$G$15,$M98-$A$15,CD$13)="",10^12,OFFSET(PLE!$G$15,$M98-$A$15,CD$13)))</f>
        <v>1000000000000</v>
      </c>
      <c r="CE98" s="172">
        <f t="array" aca="1" ref="CE98" ca="1">IF(OR($D98&lt;&gt;"Serviço",AND(AUTOEVENTO="Manual",$M98=$A$15),$M98&gt;(ROW(PLE.lastrow)-ROW(PLE.firstrow))),0,
           IF(OFFSET(PLE!$G$15,$M98-$A$15,CE$13)="",10^12,OFFSET(PLE!$G$15,$M98-$A$15,CE$13)))</f>
        <v>1000000000000</v>
      </c>
      <c r="CF98" s="172">
        <f t="array" aca="1" ref="CF98" ca="1">IF(OR($D98&lt;&gt;"Serviço",AND(AUTOEVENTO="Manual",$M98=$A$15),$M98&gt;(ROW(PLE.lastrow)-ROW(PLE.firstrow))),0,
           IF(OFFSET(PLE!$G$15,$M98-$A$15,CF$13)="",10^12,OFFSET(PLE!$G$15,$M98-$A$15,CF$13)))</f>
        <v>1000000000000</v>
      </c>
      <c r="CG98" s="172">
        <f t="array" aca="1" ref="CG98" ca="1">IF(OR($D98&lt;&gt;"Serviço",AND(AUTOEVENTO="Manual",$M98=$A$15),$M98&gt;(ROW(PLE.lastrow)-ROW(PLE.firstrow))),0,
           IF(OFFSET(PLE!$G$15,$M98-$A$15,CG$13)="",10^12,OFFSET(PLE!$G$15,$M98-$A$15,CG$13)))</f>
        <v>1000000000000</v>
      </c>
      <c r="CH98" s="172">
        <f t="array" aca="1" ref="CH98" ca="1">IF(OR($D98&lt;&gt;"Serviço",AND(AUTOEVENTO="Manual",$M98=$A$15),$M98&gt;(ROW(PLE.lastrow)-ROW(PLE.firstrow))),0,
           IF(OFFSET(PLE!$G$15,$M98-$A$15,CH$13)="",10^12,OFFSET(PLE!$G$15,$M98-$A$15,CH$13)))</f>
        <v>1000000000000</v>
      </c>
      <c r="CI98" s="172">
        <f t="array" aca="1" ref="CI98" ca="1">IF(OR($D98&lt;&gt;"Serviço",AND(AUTOEVENTO="Manual",$M98=$A$15),$M98&gt;(ROW(PLE.lastrow)-ROW(PLE.firstrow))),0,
           IF(OFFSET(PLE!$G$15,$M98-$A$15,CI$13)="",10^12,OFFSET(PLE!$G$15,$M98-$A$15,CI$13)))</f>
        <v>1000000000000</v>
      </c>
      <c r="CJ98" s="172">
        <f t="array" aca="1" ref="CJ98" ca="1">IF(OR($D98&lt;&gt;"Serviço",AND(AUTOEVENTO="Manual",$M98=$A$15),$M98&gt;(ROW(PLE.lastrow)-ROW(PLE.firstrow))),0,
           IF(OFFSET(PLE!$G$15,$M98-$A$15,CJ$13)="",10^12,OFFSET(PLE!$G$15,$M98-$A$15,CJ$13)))</f>
        <v>1000000000000</v>
      </c>
      <c r="CK98" s="172">
        <f t="array" aca="1" ref="CK98" ca="1">IF(OR($D98&lt;&gt;"Serviço",AND(AUTOEVENTO="Manual",$M98=$A$15),$M98&gt;(ROW(PLE.lastrow)-ROW(PLE.firstrow))),0,
           IF(OFFSET(PLE!$G$15,$M98-$A$15,CK$13)="",10^12,OFFSET(PLE!$G$15,$M98-$A$15,CK$13)))</f>
        <v>1000000000000</v>
      </c>
      <c r="CL98" s="172">
        <f t="array" aca="1" ref="CL98" ca="1">IF(OR($D98&lt;&gt;"Serviço",AND(AUTOEVENTO="Manual",$M98=$A$15),$M98&gt;(ROW(PLE.lastrow)-ROW(PLE.firstrow))),0,
           IF(OFFSET(PLE!$G$15,$M98-$A$15,CL$13)="",10^12,OFFSET(PLE!$G$15,$M98-$A$15,CL$13)))</f>
        <v>1000000000000</v>
      </c>
      <c r="CM98" s="172">
        <f t="array" aca="1" ref="CM98" ca="1">IF(OR($D98&lt;&gt;"Serviço",AND(AUTOEVENTO="Manual",$M98=$A$15),$M98&gt;(ROW(PLE.lastrow)-ROW(PLE.firstrow))),0,
           IF(OFFSET(PLE!$G$15,$M98-$A$15,CM$13)="",10^12,OFFSET(PLE!$G$15,$M98-$A$15,CM$13)))</f>
        <v>1000000000000</v>
      </c>
    </row>
    <row r="99" spans="1:91" s="696" customFormat="1" ht="12.75" customHeight="1" x14ac:dyDescent="0.2">
      <c r="A99" s="694">
        <f t="shared" ca="1" si="45"/>
        <v>19</v>
      </c>
      <c r="B99" s="694" t="str">
        <f ca="1">OFFSET(ORÇAMENTO!C$15,$L99,0)</f>
        <v>S</v>
      </c>
      <c r="C99" s="694" t="str">
        <f ca="1">OFFSET(ORÇAMENTO!L$15,$L99,0)</f>
        <v>F</v>
      </c>
      <c r="D99" s="116" t="str">
        <f ca="1">OFFSET(ORÇAMENTO!N$15,$L99,0)</f>
        <v>Serviço</v>
      </c>
      <c r="E99" s="117" t="str">
        <f ca="1">OFFSET(ORÇAMENTO!O$15,$L99,0)</f>
        <v>1.16.3.</v>
      </c>
      <c r="F99" s="163" t="str">
        <f ca="1">OFFSET(ORÇAMENTO!R$15,$L99,0)</f>
        <v>EMBOÇO OU MASSA ÚNICA EM ARGAMASSA TRAÇO 1:2:8, PREPARO MECÂNICO COM BETONEIRA 400 L, APLICADA MANUALMENTE EM PANOS CEGOS DE FACHADA (SEM PRESENÇA DE VÃOS), ESPESSURA DE 25 MM. AF_08/2022</v>
      </c>
      <c r="G99" s="164" t="str">
        <f ca="1">IF($D99&lt;&gt;"Serviço","",OFFSET(ORÇAMENTO!S$15,$L99,0))</f>
        <v>M2</v>
      </c>
      <c r="H99" s="122">
        <f t="array" aca="1" ref="H99" ca="1">IF($D99&lt;&gt;"Serviço",0,IF(ACOMPANHAMENTO="BM",ROUND(OFFSET(ORÇAMENTO!AJ$15,$L99,0),15-13*ORÇAMENTO!$AF$7),IF(IFERROR(CÁLCULO.FrentesPreenchidas,0)=0,0,SUM(ROUND(OFFSET($P99,0,1,1,CÁLCULO.FrentesPreenchidas),15-13*ORÇAMENTO!$AF$7)))))</f>
        <v>609</v>
      </c>
      <c r="I99" s="467" t="s">
        <v>1262</v>
      </c>
      <c r="J99" s="653" t="str">
        <f t="array" aca="1" ref="J99" ca="1">IF(OR(B99&lt;&gt;"S",CÁLCULO.FrentesPreenchidas=0),"",IF(AND(ACOMPANHAMENTO="PLE",AUTOEVENTO="Manual",OR(H99&gt;0,ORÇAMENTO!AC99="QUANT."),OR(K99="",M99=0,N99="")),"►E",IF(AND(ACOMPANHAMENTO="PLE",ORÇAMENTO!AC99="QUANT."),"►Q",IF(AND(ACOMPANHAMENTO="PLE",H99&lt;&gt;SUMPRODUCT(($Q$1:$AI$1=1)*ROUND(Q99:AI99,15))),"►S",IF(AND(COUNTIF($P$11:$AI$11,"▼")=0,H99&gt;0,I99=""),"◄M","")))))</f>
        <v/>
      </c>
      <c r="K99" s="654" t="s">
        <v>1407</v>
      </c>
      <c r="L99" s="165">
        <f t="shared" ca="1" si="46"/>
        <v>84</v>
      </c>
      <c r="M99" s="166">
        <f ca="1">IF($D99&lt;&gt;"Serviço","",
          IF(AUTOEVENTO="manual",$A99,
                IF(ISERROR(MATCH($A99,$A$15:OFFSET($A99,-1,0),0)),MAX($M$15:OFFSET(M99,-1,0))+1,
                      INDEX($M$15:OFFSET(M99,-1,0),MATCH($A99,$A$15:OFFSET($A99,-1,0),0)))))</f>
        <v>19</v>
      </c>
      <c r="N99" s="167" t="str">
        <f ca="1">IF($D99&lt;&gt;"Serviço","",
         IF(AUTOEVENTO="Manual",
                IF($A99=0,"&lt;-- defina o número do agrupador",
                       OFFSET(EVENTOS!$D$15,$A99-$A$15,0)),
                OFFSET($F$15,$A99,0)))</f>
        <v>REVESTIMENTOS EXTERNOS DE PAREDES</v>
      </c>
      <c r="O99" s="168"/>
      <c r="Q99" s="169">
        <f>30.45*5</f>
        <v>152.25</v>
      </c>
      <c r="R99" s="169">
        <f t="shared" si="62"/>
        <v>152.25</v>
      </c>
      <c r="S99" s="169">
        <f t="shared" si="62"/>
        <v>152.25</v>
      </c>
      <c r="T99" s="169">
        <f t="shared" si="62"/>
        <v>152.25</v>
      </c>
      <c r="U99" s="169"/>
      <c r="V99" s="169"/>
      <c r="W99" s="169"/>
      <c r="X99" s="169"/>
      <c r="Y99" s="169"/>
      <c r="Z99" s="170"/>
      <c r="AA99" s="169"/>
      <c r="AB99" s="169"/>
      <c r="AC99" s="169"/>
      <c r="AD99" s="169"/>
      <c r="AE99" s="169"/>
      <c r="AF99" s="169"/>
      <c r="AG99" s="169"/>
      <c r="AH99" s="170"/>
      <c r="AJ99" s="452">
        <f ca="1">IF(AND($D99="Serviço",AJ$12&lt;&gt;0,$H99&gt;0,OR(AUTOEVENTO&lt;&gt;"manual",$M99&lt;&gt;$A$15)),
        IF(Import.TipoArredondamento&lt;&gt;"TransfereGOV",
              ROUND(OFFSET($P99,0,AJ$13),15-13*ORÇAMENTO!$AF$7)/$H99*OFFSET(ORÇAMENTO!$X$15,ROW(AJ99)-ROW(AJ$15),0),
              ROUND(ROUND(OFFSET($P99,0,AJ$13),15-13*ORÇAMENTO!$AF$7)*OFFSET(ORÇAMENTO!$W$15,ROW(AJ99)-ROW(AJ$15),0),15-13*ORÇAMENTO!$AF$11)),
         0)</f>
        <v>7662.74</v>
      </c>
      <c r="AK99" s="452">
        <f ca="1">IF(AND($D99="Serviço",AK$12&lt;&gt;0,$H99&gt;0,OR(AUTOEVENTO&lt;&gt;"manual",$M99&lt;&gt;$A$15)),
        IF(Import.TipoArredondamento&lt;&gt;"TransfereGOV",
              ROUND(OFFSET($P99,0,AK$13),15-13*ORÇAMENTO!$AF$7)/$H99*OFFSET(ORÇAMENTO!$X$15,ROW(AK99)-ROW(AK$15),0),
              ROUND(ROUND(OFFSET($P99,0,AK$13),15-13*ORÇAMENTO!$AF$7)*OFFSET(ORÇAMENTO!$W$15,ROW(AK99)-ROW(AK$15),0),15-13*ORÇAMENTO!$AF$11)),
         0)</f>
        <v>7662.74</v>
      </c>
      <c r="AL99" s="452">
        <f ca="1">IF(AND($D99="Serviço",AL$12&lt;&gt;0,$H99&gt;0,OR(AUTOEVENTO&lt;&gt;"manual",$M99&lt;&gt;$A$15)),
        IF(Import.TipoArredondamento&lt;&gt;"TransfereGOV",
              ROUND(OFFSET($P99,0,AL$13),15-13*ORÇAMENTO!$AF$7)/$H99*OFFSET(ORÇAMENTO!$X$15,ROW(AL99)-ROW(AL$15),0),
              ROUND(ROUND(OFFSET($P99,0,AL$13),15-13*ORÇAMENTO!$AF$7)*OFFSET(ORÇAMENTO!$W$15,ROW(AL99)-ROW(AL$15),0),15-13*ORÇAMENTO!$AF$11)),
         0)</f>
        <v>7662.74</v>
      </c>
      <c r="AM99" s="452">
        <f ca="1">IF(AND($D99="Serviço",AM$12&lt;&gt;0,$H99&gt;0,OR(AUTOEVENTO&lt;&gt;"manual",$M99&lt;&gt;$A$15)),
        IF(Import.TipoArredondamento&lt;&gt;"TransfereGOV",
              ROUND(OFFSET($P99,0,AM$13),15-13*ORÇAMENTO!$AF$7)/$H99*OFFSET(ORÇAMENTO!$X$15,ROW(AM99)-ROW(AM$15),0),
              ROUND(ROUND(OFFSET($P99,0,AM$13),15-13*ORÇAMENTO!$AF$7)*OFFSET(ORÇAMENTO!$W$15,ROW(AM99)-ROW(AM$15),0),15-13*ORÇAMENTO!$AF$11)),
         0)</f>
        <v>7662.74</v>
      </c>
      <c r="AN99" s="452">
        <f ca="1">IF(AND($D99="Serviço",AN$12&lt;&gt;0,$H99&gt;0,OR(AUTOEVENTO&lt;&gt;"manual",$M99&lt;&gt;$A$15)),
        IF(Import.TipoArredondamento&lt;&gt;"TransfereGOV",
              ROUND(OFFSET($P99,0,AN$13),15-13*ORÇAMENTO!$AF$7)/$H99*OFFSET(ORÇAMENTO!$X$15,ROW(AN99)-ROW(AN$15),0),
              ROUND(ROUND(OFFSET($P99,0,AN$13),15-13*ORÇAMENTO!$AF$7)*OFFSET(ORÇAMENTO!$W$15,ROW(AN99)-ROW(AN$15),0),15-13*ORÇAMENTO!$AF$11)),
         0)</f>
        <v>0</v>
      </c>
      <c r="AO99" s="452">
        <f ca="1">IF(AND($D99="Serviço",AO$12&lt;&gt;0,$H99&gt;0,OR(AUTOEVENTO&lt;&gt;"manual",$M99&lt;&gt;$A$15)),
        IF(Import.TipoArredondamento&lt;&gt;"TransfereGOV",
              ROUND(OFFSET($P99,0,AO$13),15-13*ORÇAMENTO!$AF$7)/$H99*OFFSET(ORÇAMENTO!$X$15,ROW(AO99)-ROW(AO$15),0),
              ROUND(ROUND(OFFSET($P99,0,AO$13),15-13*ORÇAMENTO!$AF$7)*OFFSET(ORÇAMENTO!$W$15,ROW(AO99)-ROW(AO$15),0),15-13*ORÇAMENTO!$AF$11)),
         0)</f>
        <v>0</v>
      </c>
      <c r="AP99" s="452">
        <f ca="1">IF(AND($D99="Serviço",AP$12&lt;&gt;0,$H99&gt;0,OR(AUTOEVENTO&lt;&gt;"manual",$M99&lt;&gt;$A$15)),
        IF(Import.TipoArredondamento&lt;&gt;"TransfereGOV",
              ROUND(OFFSET($P99,0,AP$13),15-13*ORÇAMENTO!$AF$7)/$H99*OFFSET(ORÇAMENTO!$X$15,ROW(AP99)-ROW(AP$15),0),
              ROUND(ROUND(OFFSET($P99,0,AP$13),15-13*ORÇAMENTO!$AF$7)*OFFSET(ORÇAMENTO!$W$15,ROW(AP99)-ROW(AP$15),0),15-13*ORÇAMENTO!$AF$11)),
         0)</f>
        <v>0</v>
      </c>
      <c r="AQ99" s="452">
        <f ca="1">IF(AND($D99="Serviço",AQ$12&lt;&gt;0,$H99&gt;0,OR(AUTOEVENTO&lt;&gt;"manual",$M99&lt;&gt;$A$15)),
        IF(Import.TipoArredondamento&lt;&gt;"TransfereGOV",
              ROUND(OFFSET($P99,0,AQ$13),15-13*ORÇAMENTO!$AF$7)/$H99*OFFSET(ORÇAMENTO!$X$15,ROW(AQ99)-ROW(AQ$15),0),
              ROUND(ROUND(OFFSET($P99,0,AQ$13),15-13*ORÇAMENTO!$AF$7)*OFFSET(ORÇAMENTO!$W$15,ROW(AQ99)-ROW(AQ$15),0),15-13*ORÇAMENTO!$AF$11)),
         0)</f>
        <v>0</v>
      </c>
      <c r="AR99" s="452">
        <f ca="1">IF(AND($D99="Serviço",AR$12&lt;&gt;0,$H99&gt;0,OR(AUTOEVENTO&lt;&gt;"manual",$M99&lt;&gt;$A$15)),
        IF(Import.TipoArredondamento&lt;&gt;"TransfereGOV",
              ROUND(OFFSET($P99,0,AR$13),15-13*ORÇAMENTO!$AF$7)/$H99*OFFSET(ORÇAMENTO!$X$15,ROW(AR99)-ROW(AR$15),0),
              ROUND(ROUND(OFFSET($P99,0,AR$13),15-13*ORÇAMENTO!$AF$7)*OFFSET(ORÇAMENTO!$W$15,ROW(AR99)-ROW(AR$15),0),15-13*ORÇAMENTO!$AF$11)),
         0)</f>
        <v>0</v>
      </c>
      <c r="AS99" s="452">
        <f ca="1">IF(AND($D99="Serviço",AS$12&lt;&gt;0,$H99&gt;0,OR(AUTOEVENTO&lt;&gt;"manual",$M99&lt;&gt;$A$15)),
        IF(Import.TipoArredondamento&lt;&gt;"TransfereGOV",
              ROUND(OFFSET($P99,0,AS$13),15-13*ORÇAMENTO!$AF$7)/$H99*OFFSET(ORÇAMENTO!$X$15,ROW(AS99)-ROW(AS$15),0),
              ROUND(ROUND(OFFSET($P99,0,AS$13),15-13*ORÇAMENTO!$AF$7)*OFFSET(ORÇAMENTO!$W$15,ROW(AS99)-ROW(AS$15),0),15-13*ORÇAMENTO!$AF$11)),
         0)</f>
        <v>0</v>
      </c>
      <c r="AT99" s="452">
        <f ca="1">IF(AND($D99="Serviço",AT$12&lt;&gt;0,$H99&gt;0,OR(AUTOEVENTO&lt;&gt;"manual",$M99&lt;&gt;$A$15)),
        IF(Import.TipoArredondamento&lt;&gt;"TransfereGOV",
              ROUND(OFFSET($P99,0,AT$13),15-13*ORÇAMENTO!$AF$7)/$H99*OFFSET(ORÇAMENTO!$X$15,ROW(AT99)-ROW(AT$15),0),
              ROUND(ROUND(OFFSET($P99,0,AT$13),15-13*ORÇAMENTO!$AF$7)*OFFSET(ORÇAMENTO!$W$15,ROW(AT99)-ROW(AT$15),0),15-13*ORÇAMENTO!$AF$11)),
         0)</f>
        <v>0</v>
      </c>
      <c r="AU99" s="452">
        <f ca="1">IF(AND($D99="Serviço",AU$12&lt;&gt;0,$H99&gt;0,OR(AUTOEVENTO&lt;&gt;"manual",$M99&lt;&gt;$A$15)),
        IF(Import.TipoArredondamento&lt;&gt;"TransfereGOV",
              ROUND(OFFSET($P99,0,AU$13),15-13*ORÇAMENTO!$AF$7)/$H99*OFFSET(ORÇAMENTO!$X$15,ROW(AU99)-ROW(AU$15),0),
              ROUND(ROUND(OFFSET($P99,0,AU$13),15-13*ORÇAMENTO!$AF$7)*OFFSET(ORÇAMENTO!$W$15,ROW(AU99)-ROW(AU$15),0),15-13*ORÇAMENTO!$AF$11)),
         0)</f>
        <v>0</v>
      </c>
      <c r="AV99" s="452">
        <f ca="1">IF(AND($D99="Serviço",AV$12&lt;&gt;0,$H99&gt;0,OR(AUTOEVENTO&lt;&gt;"manual",$M99&lt;&gt;$A$15)),
        IF(Import.TipoArredondamento&lt;&gt;"TransfereGOV",
              ROUND(OFFSET($P99,0,AV$13),15-13*ORÇAMENTO!$AF$7)/$H99*OFFSET(ORÇAMENTO!$X$15,ROW(AV99)-ROW(AV$15),0),
              ROUND(ROUND(OFFSET($P99,0,AV$13),15-13*ORÇAMENTO!$AF$7)*OFFSET(ORÇAMENTO!$W$15,ROW(AV99)-ROW(AV$15),0),15-13*ORÇAMENTO!$AF$11)),
         0)</f>
        <v>0</v>
      </c>
      <c r="AW99" s="452">
        <f ca="1">IF(AND($D99="Serviço",AW$12&lt;&gt;0,$H99&gt;0,OR(AUTOEVENTO&lt;&gt;"manual",$M99&lt;&gt;$A$15)),
        IF(Import.TipoArredondamento&lt;&gt;"TransfereGOV",
              ROUND(OFFSET($P99,0,AW$13),15-13*ORÇAMENTO!$AF$7)/$H99*OFFSET(ORÇAMENTO!$X$15,ROW(AW99)-ROW(AW$15),0),
              ROUND(ROUND(OFFSET($P99,0,AW$13),15-13*ORÇAMENTO!$AF$7)*OFFSET(ORÇAMENTO!$W$15,ROW(AW99)-ROW(AW$15),0),15-13*ORÇAMENTO!$AF$11)),
         0)</f>
        <v>0</v>
      </c>
      <c r="AX99" s="452">
        <f ca="1">IF(AND($D99="Serviço",AX$12&lt;&gt;0,$H99&gt;0,OR(AUTOEVENTO&lt;&gt;"manual",$M99&lt;&gt;$A$15)),
        IF(Import.TipoArredondamento&lt;&gt;"TransfereGOV",
              ROUND(OFFSET($P99,0,AX$13),15-13*ORÇAMENTO!$AF$7)/$H99*OFFSET(ORÇAMENTO!$X$15,ROW(AX99)-ROW(AX$15),0),
              ROUND(ROUND(OFFSET($P99,0,AX$13),15-13*ORÇAMENTO!$AF$7)*OFFSET(ORÇAMENTO!$W$15,ROW(AX99)-ROW(AX$15),0),15-13*ORÇAMENTO!$AF$11)),
         0)</f>
        <v>0</v>
      </c>
      <c r="AY99" s="452">
        <f ca="1">IF(AND($D99="Serviço",AY$12&lt;&gt;0,$H99&gt;0,OR(AUTOEVENTO&lt;&gt;"manual",$M99&lt;&gt;$A$15)),
        IF(Import.TipoArredondamento&lt;&gt;"TransfereGOV",
              ROUND(OFFSET($P99,0,AY$13),15-13*ORÇAMENTO!$AF$7)/$H99*OFFSET(ORÇAMENTO!$X$15,ROW(AY99)-ROW(AY$15),0),
              ROUND(ROUND(OFFSET($P99,0,AY$13),15-13*ORÇAMENTO!$AF$7)*OFFSET(ORÇAMENTO!$W$15,ROW(AY99)-ROW(AY$15),0),15-13*ORÇAMENTO!$AF$11)),
         0)</f>
        <v>0</v>
      </c>
      <c r="AZ99" s="452">
        <f ca="1">IF(AND($D99="Serviço",AZ$12&lt;&gt;0,$H99&gt;0,OR(AUTOEVENTO&lt;&gt;"manual",$M99&lt;&gt;$A$15)),
        IF(Import.TipoArredondamento&lt;&gt;"TransfereGOV",
              ROUND(OFFSET($P99,0,AZ$13),15-13*ORÇAMENTO!$AF$7)/$H99*OFFSET(ORÇAMENTO!$X$15,ROW(AZ99)-ROW(AZ$15),0),
              ROUND(ROUND(OFFSET($P99,0,AZ$13),15-13*ORÇAMENTO!$AF$7)*OFFSET(ORÇAMENTO!$W$15,ROW(AZ99)-ROW(AZ$15),0),15-13*ORÇAMENTO!$AF$11)),
         0)</f>
        <v>0</v>
      </c>
      <c r="BA99" s="452">
        <f ca="1">IF(AND($D99="Serviço",BA$12&lt;&gt;0,$H99&gt;0,OR(AUTOEVENTO&lt;&gt;"manual",$M99&lt;&gt;$A$15)),
        IF(Import.TipoArredondamento&lt;&gt;"TransfereGOV",
              ROUND(OFFSET($P99,0,BA$13),15-13*ORÇAMENTO!$AF$7)/$H99*OFFSET(ORÇAMENTO!$X$15,ROW(BA99)-ROW(BA$15),0),
              ROUND(ROUND(OFFSET($P99,0,BA$13),15-13*ORÇAMENTO!$AF$7)*OFFSET(ORÇAMENTO!$W$15,ROW(BA99)-ROW(BA$15),0),15-13*ORÇAMENTO!$AF$11)),
         0)</f>
        <v>0</v>
      </c>
      <c r="BC99" s="171">
        <f ca="1">IF(OR($D99&lt;&gt;"Serviço",AND(AUTOEVENTO="Manual",$M99=$A$15)),0,
         IF(OFFSET(CRONOPLE!$F$15,$M99-$A$15,BC$13)=0,10^12,OFFSET(CRONOPLE!$F$15,$M99-$A$15,BC$13)))</f>
        <v>4</v>
      </c>
      <c r="BD99" s="171">
        <f ca="1">IF(OR($D99&lt;&gt;"Serviço",AND(AUTOEVENTO="Manual",$M99=$A$15)),0,
         IF(OFFSET(CRONOPLE!$F$15,$M99-$A$15,BD$13)=0,10^12,OFFSET(CRONOPLE!$F$15,$M99-$A$15,BD$13)))</f>
        <v>5</v>
      </c>
      <c r="BE99" s="171">
        <f ca="1">IF(OR($D99&lt;&gt;"Serviço",AND(AUTOEVENTO="Manual",$M99=$A$15)),0,
         IF(OFFSET(CRONOPLE!$F$15,$M99-$A$15,BE$13)=0,10^12,OFFSET(CRONOPLE!$F$15,$M99-$A$15,BE$13)))</f>
        <v>6</v>
      </c>
      <c r="BF99" s="171">
        <f ca="1">IF(OR($D99&lt;&gt;"Serviço",AND(AUTOEVENTO="Manual",$M99=$A$15)),0,
         IF(OFFSET(CRONOPLE!$F$15,$M99-$A$15,BF$13)=0,10^12,OFFSET(CRONOPLE!$F$15,$M99-$A$15,BF$13)))</f>
        <v>7</v>
      </c>
      <c r="BG99" s="171">
        <f ca="1">IF(OR($D99&lt;&gt;"Serviço",AND(AUTOEVENTO="Manual",$M99=$A$15)),0,
         IF(OFFSET(CRONOPLE!$F$15,$M99-$A$15,BG$13)=0,10^12,OFFSET(CRONOPLE!$F$15,$M99-$A$15,BG$13)))</f>
        <v>7</v>
      </c>
      <c r="BH99" s="171">
        <f ca="1">IF(OR($D99&lt;&gt;"Serviço",AND(AUTOEVENTO="Manual",$M99=$A$15)),0,
         IF(OFFSET(CRONOPLE!$F$15,$M99-$A$15,BH$13)=0,10^12,OFFSET(CRONOPLE!$F$15,$M99-$A$15,BH$13)))</f>
        <v>1000000000000</v>
      </c>
      <c r="BI99" s="171">
        <f ca="1">IF(OR($D99&lt;&gt;"Serviço",AND(AUTOEVENTO="Manual",$M99=$A$15)),0,
         IF(OFFSET(CRONOPLE!$F$15,$M99-$A$15,BI$13)=0,10^12,OFFSET(CRONOPLE!$F$15,$M99-$A$15,BI$13)))</f>
        <v>1000000000000</v>
      </c>
      <c r="BJ99" s="171">
        <f ca="1">IF(OR($D99&lt;&gt;"Serviço",AND(AUTOEVENTO="Manual",$M99=$A$15)),0,
         IF(OFFSET(CRONOPLE!$F$15,$M99-$A$15,BJ$13)=0,10^12,OFFSET(CRONOPLE!$F$15,$M99-$A$15,BJ$13)))</f>
        <v>1000000000000</v>
      </c>
      <c r="BK99" s="171">
        <f ca="1">IF(OR($D99&lt;&gt;"Serviço",AND(AUTOEVENTO="Manual",$M99=$A$15)),0,
         IF(OFFSET(CRONOPLE!$F$15,$M99-$A$15,BK$13)=0,10^12,OFFSET(CRONOPLE!$F$15,$M99-$A$15,BK$13)))</f>
        <v>9</v>
      </c>
      <c r="BL99" s="171">
        <f ca="1">IF(OR($D99&lt;&gt;"Serviço",AND(AUTOEVENTO="Manual",$M99=$A$15)),0,
         IF(OFFSET(CRONOPLE!$F$15,$M99-$A$15,BL$13)=0,10^12,OFFSET(CRONOPLE!$F$15,$M99-$A$15,BL$13)))</f>
        <v>1000000000000</v>
      </c>
      <c r="BM99" s="171">
        <f ca="1">IF(OR($D99&lt;&gt;"Serviço",AND(AUTOEVENTO="Manual",$M99=$A$15)),0,
         IF(OFFSET(CRONOPLE!$F$15,$M99-$A$15,BM$13)=0,10^12,OFFSET(CRONOPLE!$F$15,$M99-$A$15,BM$13)))</f>
        <v>1000000000000</v>
      </c>
      <c r="BN99" s="171">
        <f ca="1">IF(OR($D99&lt;&gt;"Serviço",AND(AUTOEVENTO="Manual",$M99=$A$15)),0,
         IF(OFFSET(CRONOPLE!$F$15,$M99-$A$15,BN$13)=0,10^12,OFFSET(CRONOPLE!$F$15,$M99-$A$15,BN$13)))</f>
        <v>1000000000000</v>
      </c>
      <c r="BO99" s="171">
        <f ca="1">IF(OR($D99&lt;&gt;"Serviço",AND(AUTOEVENTO="Manual",$M99=$A$15)),0,
         IF(OFFSET(CRONOPLE!$F$15,$M99-$A$15,BO$13)=0,10^12,OFFSET(CRONOPLE!$F$15,$M99-$A$15,BO$13)))</f>
        <v>1000000000000</v>
      </c>
      <c r="BP99" s="171">
        <f ca="1">IF(OR($D99&lt;&gt;"Serviço",AND(AUTOEVENTO="Manual",$M99=$A$15)),0,
         IF(OFFSET(CRONOPLE!$F$15,$M99-$A$15,BP$13)=0,10^12,OFFSET(CRONOPLE!$F$15,$M99-$A$15,BP$13)))</f>
        <v>1000000000000</v>
      </c>
      <c r="BQ99" s="171">
        <f ca="1">IF(OR($D99&lt;&gt;"Serviço",AND(AUTOEVENTO="Manual",$M99=$A$15)),0,
         IF(OFFSET(CRONOPLE!$F$15,$M99-$A$15,BQ$13)=0,10^12,OFFSET(CRONOPLE!$F$15,$M99-$A$15,BQ$13)))</f>
        <v>1000000000000</v>
      </c>
      <c r="BR99" s="171">
        <f ca="1">IF(OR($D99&lt;&gt;"Serviço",AND(AUTOEVENTO="Manual",$M99=$A$15)),0,
         IF(OFFSET(CRONOPLE!$F$15,$M99-$A$15,BR$13)=0,10^12,OFFSET(CRONOPLE!$F$15,$M99-$A$15,BR$13)))</f>
        <v>1000000000000</v>
      </c>
      <c r="BS99" s="171">
        <f ca="1">IF(OR($D99&lt;&gt;"Serviço",AND(AUTOEVENTO="Manual",$M99=$A$15)),0,
         IF(OFFSET(CRONOPLE!$F$15,$M99-$A$15,BS$13)=0,10^12,OFFSET(CRONOPLE!$F$15,$M99-$A$15,BS$13)))</f>
        <v>1000000000000</v>
      </c>
      <c r="BT99" s="171">
        <f ca="1">IF(OR($D99&lt;&gt;"Serviço",AND(AUTOEVENTO="Manual",$M99=$A$15)),0,
         IF(OFFSET(CRONOPLE!$F$15,$M99-$A$15,BT$13)=0,10^12,OFFSET(CRONOPLE!$F$15,$M99-$A$15,BT$13)))</f>
        <v>1000000000000</v>
      </c>
      <c r="BV99" s="172">
        <f t="array" aca="1" ref="BV99" ca="1">IF(OR($D99&lt;&gt;"Serviço",AND(AUTOEVENTO="Manual",$M99=$A$15),$M99&gt;(ROW(PLE.lastrow)-ROW(PLE.firstrow))),0,
           IF(OFFSET(PLE!$G$15,$M99-$A$15,BV$13)="",10^12,OFFSET(PLE!$G$15,$M99-$A$15,BV$13)))</f>
        <v>1000000000000</v>
      </c>
      <c r="BW99" s="172">
        <f t="array" aca="1" ref="BW99" ca="1">IF(OR($D99&lt;&gt;"Serviço",AND(AUTOEVENTO="Manual",$M99=$A$15),$M99&gt;(ROW(PLE.lastrow)-ROW(PLE.firstrow))),0,
           IF(OFFSET(PLE!$G$15,$M99-$A$15,BW$13)="",10^12,OFFSET(PLE!$G$15,$M99-$A$15,BW$13)))</f>
        <v>1000000000000</v>
      </c>
      <c r="BX99" s="172">
        <f t="array" aca="1" ref="BX99" ca="1">IF(OR($D99&lt;&gt;"Serviço",AND(AUTOEVENTO="Manual",$M99=$A$15),$M99&gt;(ROW(PLE.lastrow)-ROW(PLE.firstrow))),0,
           IF(OFFSET(PLE!$G$15,$M99-$A$15,BX$13)="",10^12,OFFSET(PLE!$G$15,$M99-$A$15,BX$13)))</f>
        <v>1000000000000</v>
      </c>
      <c r="BY99" s="172">
        <f t="array" aca="1" ref="BY99" ca="1">IF(OR($D99&lt;&gt;"Serviço",AND(AUTOEVENTO="Manual",$M99=$A$15),$M99&gt;(ROW(PLE.lastrow)-ROW(PLE.firstrow))),0,
           IF(OFFSET(PLE!$G$15,$M99-$A$15,BY$13)="",10^12,OFFSET(PLE!$G$15,$M99-$A$15,BY$13)))</f>
        <v>1000000000000</v>
      </c>
      <c r="BZ99" s="172">
        <f t="array" aca="1" ref="BZ99" ca="1">IF(OR($D99&lt;&gt;"Serviço",AND(AUTOEVENTO="Manual",$M99=$A$15),$M99&gt;(ROW(PLE.lastrow)-ROW(PLE.firstrow))),0,
           IF(OFFSET(PLE!$G$15,$M99-$A$15,BZ$13)="",10^12,OFFSET(PLE!$G$15,$M99-$A$15,BZ$13)))</f>
        <v>1000000000000</v>
      </c>
      <c r="CA99" s="172">
        <f t="array" aca="1" ref="CA99" ca="1">IF(OR($D99&lt;&gt;"Serviço",AND(AUTOEVENTO="Manual",$M99=$A$15),$M99&gt;(ROW(PLE.lastrow)-ROW(PLE.firstrow))),0,
           IF(OFFSET(PLE!$G$15,$M99-$A$15,CA$13)="",10^12,OFFSET(PLE!$G$15,$M99-$A$15,CA$13)))</f>
        <v>1000000000000</v>
      </c>
      <c r="CB99" s="172">
        <f t="array" aca="1" ref="CB99" ca="1">IF(OR($D99&lt;&gt;"Serviço",AND(AUTOEVENTO="Manual",$M99=$A$15),$M99&gt;(ROW(PLE.lastrow)-ROW(PLE.firstrow))),0,
           IF(OFFSET(PLE!$G$15,$M99-$A$15,CB$13)="",10^12,OFFSET(PLE!$G$15,$M99-$A$15,CB$13)))</f>
        <v>1000000000000</v>
      </c>
      <c r="CC99" s="172">
        <f t="array" aca="1" ref="CC99" ca="1">IF(OR($D99&lt;&gt;"Serviço",AND(AUTOEVENTO="Manual",$M99=$A$15),$M99&gt;(ROW(PLE.lastrow)-ROW(PLE.firstrow))),0,
           IF(OFFSET(PLE!$G$15,$M99-$A$15,CC$13)="",10^12,OFFSET(PLE!$G$15,$M99-$A$15,CC$13)))</f>
        <v>1000000000000</v>
      </c>
      <c r="CD99" s="172">
        <f t="array" aca="1" ref="CD99" ca="1">IF(OR($D99&lt;&gt;"Serviço",AND(AUTOEVENTO="Manual",$M99=$A$15),$M99&gt;(ROW(PLE.lastrow)-ROW(PLE.firstrow))),0,
           IF(OFFSET(PLE!$G$15,$M99-$A$15,CD$13)="",10^12,OFFSET(PLE!$G$15,$M99-$A$15,CD$13)))</f>
        <v>1000000000000</v>
      </c>
      <c r="CE99" s="172">
        <f t="array" aca="1" ref="CE99" ca="1">IF(OR($D99&lt;&gt;"Serviço",AND(AUTOEVENTO="Manual",$M99=$A$15),$M99&gt;(ROW(PLE.lastrow)-ROW(PLE.firstrow))),0,
           IF(OFFSET(PLE!$G$15,$M99-$A$15,CE$13)="",10^12,OFFSET(PLE!$G$15,$M99-$A$15,CE$13)))</f>
        <v>1000000000000</v>
      </c>
      <c r="CF99" s="172">
        <f t="array" aca="1" ref="CF99" ca="1">IF(OR($D99&lt;&gt;"Serviço",AND(AUTOEVENTO="Manual",$M99=$A$15),$M99&gt;(ROW(PLE.lastrow)-ROW(PLE.firstrow))),0,
           IF(OFFSET(PLE!$G$15,$M99-$A$15,CF$13)="",10^12,OFFSET(PLE!$G$15,$M99-$A$15,CF$13)))</f>
        <v>1000000000000</v>
      </c>
      <c r="CG99" s="172">
        <f t="array" aca="1" ref="CG99" ca="1">IF(OR($D99&lt;&gt;"Serviço",AND(AUTOEVENTO="Manual",$M99=$A$15),$M99&gt;(ROW(PLE.lastrow)-ROW(PLE.firstrow))),0,
           IF(OFFSET(PLE!$G$15,$M99-$A$15,CG$13)="",10^12,OFFSET(PLE!$G$15,$M99-$A$15,CG$13)))</f>
        <v>1000000000000</v>
      </c>
      <c r="CH99" s="172">
        <f t="array" aca="1" ref="CH99" ca="1">IF(OR($D99&lt;&gt;"Serviço",AND(AUTOEVENTO="Manual",$M99=$A$15),$M99&gt;(ROW(PLE.lastrow)-ROW(PLE.firstrow))),0,
           IF(OFFSET(PLE!$G$15,$M99-$A$15,CH$13)="",10^12,OFFSET(PLE!$G$15,$M99-$A$15,CH$13)))</f>
        <v>1000000000000</v>
      </c>
      <c r="CI99" s="172">
        <f t="array" aca="1" ref="CI99" ca="1">IF(OR($D99&lt;&gt;"Serviço",AND(AUTOEVENTO="Manual",$M99=$A$15),$M99&gt;(ROW(PLE.lastrow)-ROW(PLE.firstrow))),0,
           IF(OFFSET(PLE!$G$15,$M99-$A$15,CI$13)="",10^12,OFFSET(PLE!$G$15,$M99-$A$15,CI$13)))</f>
        <v>1000000000000</v>
      </c>
      <c r="CJ99" s="172">
        <f t="array" aca="1" ref="CJ99" ca="1">IF(OR($D99&lt;&gt;"Serviço",AND(AUTOEVENTO="Manual",$M99=$A$15),$M99&gt;(ROW(PLE.lastrow)-ROW(PLE.firstrow))),0,
           IF(OFFSET(PLE!$G$15,$M99-$A$15,CJ$13)="",10^12,OFFSET(PLE!$G$15,$M99-$A$15,CJ$13)))</f>
        <v>1000000000000</v>
      </c>
      <c r="CK99" s="172">
        <f t="array" aca="1" ref="CK99" ca="1">IF(OR($D99&lt;&gt;"Serviço",AND(AUTOEVENTO="Manual",$M99=$A$15),$M99&gt;(ROW(PLE.lastrow)-ROW(PLE.firstrow))),0,
           IF(OFFSET(PLE!$G$15,$M99-$A$15,CK$13)="",10^12,OFFSET(PLE!$G$15,$M99-$A$15,CK$13)))</f>
        <v>1000000000000</v>
      </c>
      <c r="CL99" s="172">
        <f t="array" aca="1" ref="CL99" ca="1">IF(OR($D99&lt;&gt;"Serviço",AND(AUTOEVENTO="Manual",$M99=$A$15),$M99&gt;(ROW(PLE.lastrow)-ROW(PLE.firstrow))),0,
           IF(OFFSET(PLE!$G$15,$M99-$A$15,CL$13)="",10^12,OFFSET(PLE!$G$15,$M99-$A$15,CL$13)))</f>
        <v>1000000000000</v>
      </c>
      <c r="CM99" s="172">
        <f t="array" aca="1" ref="CM99" ca="1">IF(OR($D99&lt;&gt;"Serviço",AND(AUTOEVENTO="Manual",$M99=$A$15),$M99&gt;(ROW(PLE.lastrow)-ROW(PLE.firstrow))),0,
           IF(OFFSET(PLE!$G$15,$M99-$A$15,CM$13)="",10^12,OFFSET(PLE!$G$15,$M99-$A$15,CM$13)))</f>
        <v>1000000000000</v>
      </c>
    </row>
    <row r="100" spans="1:91" s="696" customFormat="1" ht="51" x14ac:dyDescent="0.2">
      <c r="A100" s="694">
        <f t="shared" ca="1" si="45"/>
        <v>19</v>
      </c>
      <c r="B100" s="694" t="str">
        <f ca="1">OFFSET(ORÇAMENTO!C$15,$L100,0)</f>
        <v>S</v>
      </c>
      <c r="C100" s="694" t="str">
        <f ca="1">OFFSET(ORÇAMENTO!L$15,$L100,0)</f>
        <v>F</v>
      </c>
      <c r="D100" s="116" t="str">
        <f ca="1">OFFSET(ORÇAMENTO!N$15,$L100,0)</f>
        <v>Serviço</v>
      </c>
      <c r="E100" s="117" t="str">
        <f ca="1">OFFSET(ORÇAMENTO!O$15,$L100,0)</f>
        <v>1.16.4.</v>
      </c>
      <c r="F100" s="163" t="str">
        <f ca="1">OFFSET(ORÇAMENTO!R$15,$L100,0)</f>
        <v>EMBOÇO OU MASSA ÚNICA EM ARGAMASSA TRAÇO 1:2:8, PREPARO MECÂNICO COM BETONEIRA 400 L, APLICADA MANUALMENTE EM PANOS DE FACHADA COM PRESENÇA DE VÃOS, ESPESSURA DE 25 MM. AF_08/2022</v>
      </c>
      <c r="G100" s="164" t="str">
        <f ca="1">IF($D100&lt;&gt;"Serviço","",OFFSET(ORÇAMENTO!S$15,$L100,0))</f>
        <v>M2</v>
      </c>
      <c r="H100" s="122">
        <f t="array" aca="1" ref="H100" ca="1">IF($D100&lt;&gt;"Serviço",0,IF(ACOMPANHAMENTO="BM",ROUND(OFFSET(ORÇAMENTO!AJ$15,$L100,0),15-13*ORÇAMENTO!$AF$7),IF(IFERROR(CÁLCULO.FrentesPreenchidas,0)=0,0,SUM(ROUND(OFFSET($P100,0,1,1,CÁLCULO.FrentesPreenchidas),15-13*ORÇAMENTO!$AF$7)))))</f>
        <v>607</v>
      </c>
      <c r="I100" s="467" t="s">
        <v>1262</v>
      </c>
      <c r="J100" s="653" t="str">
        <f t="array" aca="1" ref="J100" ca="1">IF(OR(B100&lt;&gt;"S",CÁLCULO.FrentesPreenchidas=0),"",IF(AND(ACOMPANHAMENTO="PLE",AUTOEVENTO="Manual",OR(H100&gt;0,ORÇAMENTO!AC100="QUANT."),OR(K100="",M100=0,N100="")),"►E",IF(AND(ACOMPANHAMENTO="PLE",ORÇAMENTO!AC100="QUANT."),"►Q",IF(AND(ACOMPANHAMENTO="PLE",H100&lt;&gt;SUMPRODUCT(($Q$1:$AI$1=1)*ROUND(Q100:AI100,15))),"►S",IF(AND(COUNTIF($P$11:$AI$11,"▼")=0,H100&gt;0,I100=""),"◄M","")))))</f>
        <v/>
      </c>
      <c r="K100" s="654" t="s">
        <v>1407</v>
      </c>
      <c r="L100" s="165">
        <f t="shared" ca="1" si="46"/>
        <v>85</v>
      </c>
      <c r="M100" s="166">
        <f ca="1">IF($D100&lt;&gt;"Serviço","",
          IF(AUTOEVENTO="manual",$A100,
                IF(ISERROR(MATCH($A100,$A$15:OFFSET($A100,-1,0),0)),MAX($M$15:OFFSET(M100,-1,0))+1,
                      INDEX($M$15:OFFSET(M100,-1,0),MATCH($A100,$A$15:OFFSET($A100,-1,0),0)))))</f>
        <v>19</v>
      </c>
      <c r="N100" s="167" t="str">
        <f ca="1">IF($D100&lt;&gt;"Serviço","",
         IF(AUTOEVENTO="Manual",
                IF($A100=0,"&lt;-- defina o número do agrupador",
                       OFFSET(EVENTOS!$D$15,$A100-$A$15,0)),
                OFFSET($F$15,$A100,0)))</f>
        <v>REVESTIMENTOS EXTERNOS DE PAREDES</v>
      </c>
      <c r="O100" s="168"/>
      <c r="Q100" s="169">
        <f>30.35*5</f>
        <v>151.75</v>
      </c>
      <c r="R100" s="169">
        <f t="shared" ref="R100:T100" si="63">30.35*5</f>
        <v>151.75</v>
      </c>
      <c r="S100" s="169">
        <f t="shared" si="63"/>
        <v>151.75</v>
      </c>
      <c r="T100" s="169">
        <f t="shared" si="63"/>
        <v>151.75</v>
      </c>
      <c r="U100" s="169"/>
      <c r="V100" s="169"/>
      <c r="W100" s="169"/>
      <c r="X100" s="169"/>
      <c r="Y100" s="169"/>
      <c r="Z100" s="170"/>
      <c r="AA100" s="169"/>
      <c r="AB100" s="169"/>
      <c r="AC100" s="169"/>
      <c r="AD100" s="169"/>
      <c r="AE100" s="169"/>
      <c r="AF100" s="169"/>
      <c r="AG100" s="169"/>
      <c r="AH100" s="170"/>
      <c r="AJ100" s="452">
        <f ca="1">IF(AND($D100="Serviço",AJ$12&lt;&gt;0,$H100&gt;0,OR(AUTOEVENTO&lt;&gt;"manual",$M100&lt;&gt;$A$15)),
        IF(Import.TipoArredondamento&lt;&gt;"TransfereGOV",
              ROUND(OFFSET($P100,0,AJ$13),15-13*ORÇAMENTO!$AF$7)/$H100*OFFSET(ORÇAMENTO!$X$15,ROW(AJ100)-ROW(AJ$15),0),
              ROUND(ROUND(OFFSET($P100,0,AJ$13),15-13*ORÇAMENTO!$AF$7)*OFFSET(ORÇAMENTO!$W$15,ROW(AJ100)-ROW(AJ$15),0),15-13*ORÇAMENTO!$AF$11)),
         0)</f>
        <v>10326.59</v>
      </c>
      <c r="AK100" s="452">
        <f ca="1">IF(AND($D100="Serviço",AK$12&lt;&gt;0,$H100&gt;0,OR(AUTOEVENTO&lt;&gt;"manual",$M100&lt;&gt;$A$15)),
        IF(Import.TipoArredondamento&lt;&gt;"TransfereGOV",
              ROUND(OFFSET($P100,0,AK$13),15-13*ORÇAMENTO!$AF$7)/$H100*OFFSET(ORÇAMENTO!$X$15,ROW(AK100)-ROW(AK$15),0),
              ROUND(ROUND(OFFSET($P100,0,AK$13),15-13*ORÇAMENTO!$AF$7)*OFFSET(ORÇAMENTO!$W$15,ROW(AK100)-ROW(AK$15),0),15-13*ORÇAMENTO!$AF$11)),
         0)</f>
        <v>10326.59</v>
      </c>
      <c r="AL100" s="452">
        <f ca="1">IF(AND($D100="Serviço",AL$12&lt;&gt;0,$H100&gt;0,OR(AUTOEVENTO&lt;&gt;"manual",$M100&lt;&gt;$A$15)),
        IF(Import.TipoArredondamento&lt;&gt;"TransfereGOV",
              ROUND(OFFSET($P100,0,AL$13),15-13*ORÇAMENTO!$AF$7)/$H100*OFFSET(ORÇAMENTO!$X$15,ROW(AL100)-ROW(AL$15),0),
              ROUND(ROUND(OFFSET($P100,0,AL$13),15-13*ORÇAMENTO!$AF$7)*OFFSET(ORÇAMENTO!$W$15,ROW(AL100)-ROW(AL$15),0),15-13*ORÇAMENTO!$AF$11)),
         0)</f>
        <v>10326.59</v>
      </c>
      <c r="AM100" s="452">
        <f ca="1">IF(AND($D100="Serviço",AM$12&lt;&gt;0,$H100&gt;0,OR(AUTOEVENTO&lt;&gt;"manual",$M100&lt;&gt;$A$15)),
        IF(Import.TipoArredondamento&lt;&gt;"TransfereGOV",
              ROUND(OFFSET($P100,0,AM$13),15-13*ORÇAMENTO!$AF$7)/$H100*OFFSET(ORÇAMENTO!$X$15,ROW(AM100)-ROW(AM$15),0),
              ROUND(ROUND(OFFSET($P100,0,AM$13),15-13*ORÇAMENTO!$AF$7)*OFFSET(ORÇAMENTO!$W$15,ROW(AM100)-ROW(AM$15),0),15-13*ORÇAMENTO!$AF$11)),
         0)</f>
        <v>10326.59</v>
      </c>
      <c r="AN100" s="452">
        <f ca="1">IF(AND($D100="Serviço",AN$12&lt;&gt;0,$H100&gt;0,OR(AUTOEVENTO&lt;&gt;"manual",$M100&lt;&gt;$A$15)),
        IF(Import.TipoArredondamento&lt;&gt;"TransfereGOV",
              ROUND(OFFSET($P100,0,AN$13),15-13*ORÇAMENTO!$AF$7)/$H100*OFFSET(ORÇAMENTO!$X$15,ROW(AN100)-ROW(AN$15),0),
              ROUND(ROUND(OFFSET($P100,0,AN$13),15-13*ORÇAMENTO!$AF$7)*OFFSET(ORÇAMENTO!$W$15,ROW(AN100)-ROW(AN$15),0),15-13*ORÇAMENTO!$AF$11)),
         0)</f>
        <v>0</v>
      </c>
      <c r="AO100" s="452">
        <f ca="1">IF(AND($D100="Serviço",AO$12&lt;&gt;0,$H100&gt;0,OR(AUTOEVENTO&lt;&gt;"manual",$M100&lt;&gt;$A$15)),
        IF(Import.TipoArredondamento&lt;&gt;"TransfereGOV",
              ROUND(OFFSET($P100,0,AO$13),15-13*ORÇAMENTO!$AF$7)/$H100*OFFSET(ORÇAMENTO!$X$15,ROW(AO100)-ROW(AO$15),0),
              ROUND(ROUND(OFFSET($P100,0,AO$13),15-13*ORÇAMENTO!$AF$7)*OFFSET(ORÇAMENTO!$W$15,ROW(AO100)-ROW(AO$15),0),15-13*ORÇAMENTO!$AF$11)),
         0)</f>
        <v>0</v>
      </c>
      <c r="AP100" s="452">
        <f ca="1">IF(AND($D100="Serviço",AP$12&lt;&gt;0,$H100&gt;0,OR(AUTOEVENTO&lt;&gt;"manual",$M100&lt;&gt;$A$15)),
        IF(Import.TipoArredondamento&lt;&gt;"TransfereGOV",
              ROUND(OFFSET($P100,0,AP$13),15-13*ORÇAMENTO!$AF$7)/$H100*OFFSET(ORÇAMENTO!$X$15,ROW(AP100)-ROW(AP$15),0),
              ROUND(ROUND(OFFSET($P100,0,AP$13),15-13*ORÇAMENTO!$AF$7)*OFFSET(ORÇAMENTO!$W$15,ROW(AP100)-ROW(AP$15),0),15-13*ORÇAMENTO!$AF$11)),
         0)</f>
        <v>0</v>
      </c>
      <c r="AQ100" s="452">
        <f ca="1">IF(AND($D100="Serviço",AQ$12&lt;&gt;0,$H100&gt;0,OR(AUTOEVENTO&lt;&gt;"manual",$M100&lt;&gt;$A$15)),
        IF(Import.TipoArredondamento&lt;&gt;"TransfereGOV",
              ROUND(OFFSET($P100,0,AQ$13),15-13*ORÇAMENTO!$AF$7)/$H100*OFFSET(ORÇAMENTO!$X$15,ROW(AQ100)-ROW(AQ$15),0),
              ROUND(ROUND(OFFSET($P100,0,AQ$13),15-13*ORÇAMENTO!$AF$7)*OFFSET(ORÇAMENTO!$W$15,ROW(AQ100)-ROW(AQ$15),0),15-13*ORÇAMENTO!$AF$11)),
         0)</f>
        <v>0</v>
      </c>
      <c r="AR100" s="452">
        <f ca="1">IF(AND($D100="Serviço",AR$12&lt;&gt;0,$H100&gt;0,OR(AUTOEVENTO&lt;&gt;"manual",$M100&lt;&gt;$A$15)),
        IF(Import.TipoArredondamento&lt;&gt;"TransfereGOV",
              ROUND(OFFSET($P100,0,AR$13),15-13*ORÇAMENTO!$AF$7)/$H100*OFFSET(ORÇAMENTO!$X$15,ROW(AR100)-ROW(AR$15),0),
              ROUND(ROUND(OFFSET($P100,0,AR$13),15-13*ORÇAMENTO!$AF$7)*OFFSET(ORÇAMENTO!$W$15,ROW(AR100)-ROW(AR$15),0),15-13*ORÇAMENTO!$AF$11)),
         0)</f>
        <v>0</v>
      </c>
      <c r="AS100" s="452">
        <f ca="1">IF(AND($D100="Serviço",AS$12&lt;&gt;0,$H100&gt;0,OR(AUTOEVENTO&lt;&gt;"manual",$M100&lt;&gt;$A$15)),
        IF(Import.TipoArredondamento&lt;&gt;"TransfereGOV",
              ROUND(OFFSET($P100,0,AS$13),15-13*ORÇAMENTO!$AF$7)/$H100*OFFSET(ORÇAMENTO!$X$15,ROW(AS100)-ROW(AS$15),0),
              ROUND(ROUND(OFFSET($P100,0,AS$13),15-13*ORÇAMENTO!$AF$7)*OFFSET(ORÇAMENTO!$W$15,ROW(AS100)-ROW(AS$15),0),15-13*ORÇAMENTO!$AF$11)),
         0)</f>
        <v>0</v>
      </c>
      <c r="AT100" s="452">
        <f ca="1">IF(AND($D100="Serviço",AT$12&lt;&gt;0,$H100&gt;0,OR(AUTOEVENTO&lt;&gt;"manual",$M100&lt;&gt;$A$15)),
        IF(Import.TipoArredondamento&lt;&gt;"TransfereGOV",
              ROUND(OFFSET($P100,0,AT$13),15-13*ORÇAMENTO!$AF$7)/$H100*OFFSET(ORÇAMENTO!$X$15,ROW(AT100)-ROW(AT$15),0),
              ROUND(ROUND(OFFSET($P100,0,AT$13),15-13*ORÇAMENTO!$AF$7)*OFFSET(ORÇAMENTO!$W$15,ROW(AT100)-ROW(AT$15),0),15-13*ORÇAMENTO!$AF$11)),
         0)</f>
        <v>0</v>
      </c>
      <c r="AU100" s="452">
        <f ca="1">IF(AND($D100="Serviço",AU$12&lt;&gt;0,$H100&gt;0,OR(AUTOEVENTO&lt;&gt;"manual",$M100&lt;&gt;$A$15)),
        IF(Import.TipoArredondamento&lt;&gt;"TransfereGOV",
              ROUND(OFFSET($P100,0,AU$13),15-13*ORÇAMENTO!$AF$7)/$H100*OFFSET(ORÇAMENTO!$X$15,ROW(AU100)-ROW(AU$15),0),
              ROUND(ROUND(OFFSET($P100,0,AU$13),15-13*ORÇAMENTO!$AF$7)*OFFSET(ORÇAMENTO!$W$15,ROW(AU100)-ROW(AU$15),0),15-13*ORÇAMENTO!$AF$11)),
         0)</f>
        <v>0</v>
      </c>
      <c r="AV100" s="452">
        <f ca="1">IF(AND($D100="Serviço",AV$12&lt;&gt;0,$H100&gt;0,OR(AUTOEVENTO&lt;&gt;"manual",$M100&lt;&gt;$A$15)),
        IF(Import.TipoArredondamento&lt;&gt;"TransfereGOV",
              ROUND(OFFSET($P100,0,AV$13),15-13*ORÇAMENTO!$AF$7)/$H100*OFFSET(ORÇAMENTO!$X$15,ROW(AV100)-ROW(AV$15),0),
              ROUND(ROUND(OFFSET($P100,0,AV$13),15-13*ORÇAMENTO!$AF$7)*OFFSET(ORÇAMENTO!$W$15,ROW(AV100)-ROW(AV$15),0),15-13*ORÇAMENTO!$AF$11)),
         0)</f>
        <v>0</v>
      </c>
      <c r="AW100" s="452">
        <f ca="1">IF(AND($D100="Serviço",AW$12&lt;&gt;0,$H100&gt;0,OR(AUTOEVENTO&lt;&gt;"manual",$M100&lt;&gt;$A$15)),
        IF(Import.TipoArredondamento&lt;&gt;"TransfereGOV",
              ROUND(OFFSET($P100,0,AW$13),15-13*ORÇAMENTO!$AF$7)/$H100*OFFSET(ORÇAMENTO!$X$15,ROW(AW100)-ROW(AW$15),0),
              ROUND(ROUND(OFFSET($P100,0,AW$13),15-13*ORÇAMENTO!$AF$7)*OFFSET(ORÇAMENTO!$W$15,ROW(AW100)-ROW(AW$15),0),15-13*ORÇAMENTO!$AF$11)),
         0)</f>
        <v>0</v>
      </c>
      <c r="AX100" s="452">
        <f ca="1">IF(AND($D100="Serviço",AX$12&lt;&gt;0,$H100&gt;0,OR(AUTOEVENTO&lt;&gt;"manual",$M100&lt;&gt;$A$15)),
        IF(Import.TipoArredondamento&lt;&gt;"TransfereGOV",
              ROUND(OFFSET($P100,0,AX$13),15-13*ORÇAMENTO!$AF$7)/$H100*OFFSET(ORÇAMENTO!$X$15,ROW(AX100)-ROW(AX$15),0),
              ROUND(ROUND(OFFSET($P100,0,AX$13),15-13*ORÇAMENTO!$AF$7)*OFFSET(ORÇAMENTO!$W$15,ROW(AX100)-ROW(AX$15),0),15-13*ORÇAMENTO!$AF$11)),
         0)</f>
        <v>0</v>
      </c>
      <c r="AY100" s="452">
        <f ca="1">IF(AND($D100="Serviço",AY$12&lt;&gt;0,$H100&gt;0,OR(AUTOEVENTO&lt;&gt;"manual",$M100&lt;&gt;$A$15)),
        IF(Import.TipoArredondamento&lt;&gt;"TransfereGOV",
              ROUND(OFFSET($P100,0,AY$13),15-13*ORÇAMENTO!$AF$7)/$H100*OFFSET(ORÇAMENTO!$X$15,ROW(AY100)-ROW(AY$15),0),
              ROUND(ROUND(OFFSET($P100,0,AY$13),15-13*ORÇAMENTO!$AF$7)*OFFSET(ORÇAMENTO!$W$15,ROW(AY100)-ROW(AY$15),0),15-13*ORÇAMENTO!$AF$11)),
         0)</f>
        <v>0</v>
      </c>
      <c r="AZ100" s="452">
        <f ca="1">IF(AND($D100="Serviço",AZ$12&lt;&gt;0,$H100&gt;0,OR(AUTOEVENTO&lt;&gt;"manual",$M100&lt;&gt;$A$15)),
        IF(Import.TipoArredondamento&lt;&gt;"TransfereGOV",
              ROUND(OFFSET($P100,0,AZ$13),15-13*ORÇAMENTO!$AF$7)/$H100*OFFSET(ORÇAMENTO!$X$15,ROW(AZ100)-ROW(AZ$15),0),
              ROUND(ROUND(OFFSET($P100,0,AZ$13),15-13*ORÇAMENTO!$AF$7)*OFFSET(ORÇAMENTO!$W$15,ROW(AZ100)-ROW(AZ$15),0),15-13*ORÇAMENTO!$AF$11)),
         0)</f>
        <v>0</v>
      </c>
      <c r="BA100" s="452">
        <f ca="1">IF(AND($D100="Serviço",BA$12&lt;&gt;0,$H100&gt;0,OR(AUTOEVENTO&lt;&gt;"manual",$M100&lt;&gt;$A$15)),
        IF(Import.TipoArredondamento&lt;&gt;"TransfereGOV",
              ROUND(OFFSET($P100,0,BA$13),15-13*ORÇAMENTO!$AF$7)/$H100*OFFSET(ORÇAMENTO!$X$15,ROW(BA100)-ROW(BA$15),0),
              ROUND(ROUND(OFFSET($P100,0,BA$13),15-13*ORÇAMENTO!$AF$7)*OFFSET(ORÇAMENTO!$W$15,ROW(BA100)-ROW(BA$15),0),15-13*ORÇAMENTO!$AF$11)),
         0)</f>
        <v>0</v>
      </c>
      <c r="BC100" s="171">
        <f ca="1">IF(OR($D100&lt;&gt;"Serviço",AND(AUTOEVENTO="Manual",$M100=$A$15)),0,
         IF(OFFSET(CRONOPLE!$F$15,$M100-$A$15,BC$13)=0,10^12,OFFSET(CRONOPLE!$F$15,$M100-$A$15,BC$13)))</f>
        <v>4</v>
      </c>
      <c r="BD100" s="171">
        <f ca="1">IF(OR($D100&lt;&gt;"Serviço",AND(AUTOEVENTO="Manual",$M100=$A$15)),0,
         IF(OFFSET(CRONOPLE!$F$15,$M100-$A$15,BD$13)=0,10^12,OFFSET(CRONOPLE!$F$15,$M100-$A$15,BD$13)))</f>
        <v>5</v>
      </c>
      <c r="BE100" s="171">
        <f ca="1">IF(OR($D100&lt;&gt;"Serviço",AND(AUTOEVENTO="Manual",$M100=$A$15)),0,
         IF(OFFSET(CRONOPLE!$F$15,$M100-$A$15,BE$13)=0,10^12,OFFSET(CRONOPLE!$F$15,$M100-$A$15,BE$13)))</f>
        <v>6</v>
      </c>
      <c r="BF100" s="171">
        <f ca="1">IF(OR($D100&lt;&gt;"Serviço",AND(AUTOEVENTO="Manual",$M100=$A$15)),0,
         IF(OFFSET(CRONOPLE!$F$15,$M100-$A$15,BF$13)=0,10^12,OFFSET(CRONOPLE!$F$15,$M100-$A$15,BF$13)))</f>
        <v>7</v>
      </c>
      <c r="BG100" s="171">
        <f ca="1">IF(OR($D100&lt;&gt;"Serviço",AND(AUTOEVENTO="Manual",$M100=$A$15)),0,
         IF(OFFSET(CRONOPLE!$F$15,$M100-$A$15,BG$13)=0,10^12,OFFSET(CRONOPLE!$F$15,$M100-$A$15,BG$13)))</f>
        <v>7</v>
      </c>
      <c r="BH100" s="171">
        <f ca="1">IF(OR($D100&lt;&gt;"Serviço",AND(AUTOEVENTO="Manual",$M100=$A$15)),0,
         IF(OFFSET(CRONOPLE!$F$15,$M100-$A$15,BH$13)=0,10^12,OFFSET(CRONOPLE!$F$15,$M100-$A$15,BH$13)))</f>
        <v>1000000000000</v>
      </c>
      <c r="BI100" s="171">
        <f ca="1">IF(OR($D100&lt;&gt;"Serviço",AND(AUTOEVENTO="Manual",$M100=$A$15)),0,
         IF(OFFSET(CRONOPLE!$F$15,$M100-$A$15,BI$13)=0,10^12,OFFSET(CRONOPLE!$F$15,$M100-$A$15,BI$13)))</f>
        <v>1000000000000</v>
      </c>
      <c r="BJ100" s="171">
        <f ca="1">IF(OR($D100&lt;&gt;"Serviço",AND(AUTOEVENTO="Manual",$M100=$A$15)),0,
         IF(OFFSET(CRONOPLE!$F$15,$M100-$A$15,BJ$13)=0,10^12,OFFSET(CRONOPLE!$F$15,$M100-$A$15,BJ$13)))</f>
        <v>1000000000000</v>
      </c>
      <c r="BK100" s="171">
        <f ca="1">IF(OR($D100&lt;&gt;"Serviço",AND(AUTOEVENTO="Manual",$M100=$A$15)),0,
         IF(OFFSET(CRONOPLE!$F$15,$M100-$A$15,BK$13)=0,10^12,OFFSET(CRONOPLE!$F$15,$M100-$A$15,BK$13)))</f>
        <v>9</v>
      </c>
      <c r="BL100" s="171">
        <f ca="1">IF(OR($D100&lt;&gt;"Serviço",AND(AUTOEVENTO="Manual",$M100=$A$15)),0,
         IF(OFFSET(CRONOPLE!$F$15,$M100-$A$15,BL$13)=0,10^12,OFFSET(CRONOPLE!$F$15,$M100-$A$15,BL$13)))</f>
        <v>1000000000000</v>
      </c>
      <c r="BM100" s="171">
        <f ca="1">IF(OR($D100&lt;&gt;"Serviço",AND(AUTOEVENTO="Manual",$M100=$A$15)),0,
         IF(OFFSET(CRONOPLE!$F$15,$M100-$A$15,BM$13)=0,10^12,OFFSET(CRONOPLE!$F$15,$M100-$A$15,BM$13)))</f>
        <v>1000000000000</v>
      </c>
      <c r="BN100" s="171">
        <f ca="1">IF(OR($D100&lt;&gt;"Serviço",AND(AUTOEVENTO="Manual",$M100=$A$15)),0,
         IF(OFFSET(CRONOPLE!$F$15,$M100-$A$15,BN$13)=0,10^12,OFFSET(CRONOPLE!$F$15,$M100-$A$15,BN$13)))</f>
        <v>1000000000000</v>
      </c>
      <c r="BO100" s="171">
        <f ca="1">IF(OR($D100&lt;&gt;"Serviço",AND(AUTOEVENTO="Manual",$M100=$A$15)),0,
         IF(OFFSET(CRONOPLE!$F$15,$M100-$A$15,BO$13)=0,10^12,OFFSET(CRONOPLE!$F$15,$M100-$A$15,BO$13)))</f>
        <v>1000000000000</v>
      </c>
      <c r="BP100" s="171">
        <f ca="1">IF(OR($D100&lt;&gt;"Serviço",AND(AUTOEVENTO="Manual",$M100=$A$15)),0,
         IF(OFFSET(CRONOPLE!$F$15,$M100-$A$15,BP$13)=0,10^12,OFFSET(CRONOPLE!$F$15,$M100-$A$15,BP$13)))</f>
        <v>1000000000000</v>
      </c>
      <c r="BQ100" s="171">
        <f ca="1">IF(OR($D100&lt;&gt;"Serviço",AND(AUTOEVENTO="Manual",$M100=$A$15)),0,
         IF(OFFSET(CRONOPLE!$F$15,$M100-$A$15,BQ$13)=0,10^12,OFFSET(CRONOPLE!$F$15,$M100-$A$15,BQ$13)))</f>
        <v>1000000000000</v>
      </c>
      <c r="BR100" s="171">
        <f ca="1">IF(OR($D100&lt;&gt;"Serviço",AND(AUTOEVENTO="Manual",$M100=$A$15)),0,
         IF(OFFSET(CRONOPLE!$F$15,$M100-$A$15,BR$13)=0,10^12,OFFSET(CRONOPLE!$F$15,$M100-$A$15,BR$13)))</f>
        <v>1000000000000</v>
      </c>
      <c r="BS100" s="171">
        <f ca="1">IF(OR($D100&lt;&gt;"Serviço",AND(AUTOEVENTO="Manual",$M100=$A$15)),0,
         IF(OFFSET(CRONOPLE!$F$15,$M100-$A$15,BS$13)=0,10^12,OFFSET(CRONOPLE!$F$15,$M100-$A$15,BS$13)))</f>
        <v>1000000000000</v>
      </c>
      <c r="BT100" s="171">
        <f ca="1">IF(OR($D100&lt;&gt;"Serviço",AND(AUTOEVENTO="Manual",$M100=$A$15)),0,
         IF(OFFSET(CRONOPLE!$F$15,$M100-$A$15,BT$13)=0,10^12,OFFSET(CRONOPLE!$F$15,$M100-$A$15,BT$13)))</f>
        <v>1000000000000</v>
      </c>
      <c r="BV100" s="172">
        <f t="array" aca="1" ref="BV100" ca="1">IF(OR($D100&lt;&gt;"Serviço",AND(AUTOEVENTO="Manual",$M100=$A$15),$M100&gt;(ROW(PLE.lastrow)-ROW(PLE.firstrow))),0,
           IF(OFFSET(PLE!$G$15,$M100-$A$15,BV$13)="",10^12,OFFSET(PLE!$G$15,$M100-$A$15,BV$13)))</f>
        <v>1000000000000</v>
      </c>
      <c r="BW100" s="172">
        <f t="array" aca="1" ref="BW100" ca="1">IF(OR($D100&lt;&gt;"Serviço",AND(AUTOEVENTO="Manual",$M100=$A$15),$M100&gt;(ROW(PLE.lastrow)-ROW(PLE.firstrow))),0,
           IF(OFFSET(PLE!$G$15,$M100-$A$15,BW$13)="",10^12,OFFSET(PLE!$G$15,$M100-$A$15,BW$13)))</f>
        <v>1000000000000</v>
      </c>
      <c r="BX100" s="172">
        <f t="array" aca="1" ref="BX100" ca="1">IF(OR($D100&lt;&gt;"Serviço",AND(AUTOEVENTO="Manual",$M100=$A$15),$M100&gt;(ROW(PLE.lastrow)-ROW(PLE.firstrow))),0,
           IF(OFFSET(PLE!$G$15,$M100-$A$15,BX$13)="",10^12,OFFSET(PLE!$G$15,$M100-$A$15,BX$13)))</f>
        <v>1000000000000</v>
      </c>
      <c r="BY100" s="172">
        <f t="array" aca="1" ref="BY100" ca="1">IF(OR($D100&lt;&gt;"Serviço",AND(AUTOEVENTO="Manual",$M100=$A$15),$M100&gt;(ROW(PLE.lastrow)-ROW(PLE.firstrow))),0,
           IF(OFFSET(PLE!$G$15,$M100-$A$15,BY$13)="",10^12,OFFSET(PLE!$G$15,$M100-$A$15,BY$13)))</f>
        <v>1000000000000</v>
      </c>
      <c r="BZ100" s="172">
        <f t="array" aca="1" ref="BZ100" ca="1">IF(OR($D100&lt;&gt;"Serviço",AND(AUTOEVENTO="Manual",$M100=$A$15),$M100&gt;(ROW(PLE.lastrow)-ROW(PLE.firstrow))),0,
           IF(OFFSET(PLE!$G$15,$M100-$A$15,BZ$13)="",10^12,OFFSET(PLE!$G$15,$M100-$A$15,BZ$13)))</f>
        <v>1000000000000</v>
      </c>
      <c r="CA100" s="172">
        <f t="array" aca="1" ref="CA100" ca="1">IF(OR($D100&lt;&gt;"Serviço",AND(AUTOEVENTO="Manual",$M100=$A$15),$M100&gt;(ROW(PLE.lastrow)-ROW(PLE.firstrow))),0,
           IF(OFFSET(PLE!$G$15,$M100-$A$15,CA$13)="",10^12,OFFSET(PLE!$G$15,$M100-$A$15,CA$13)))</f>
        <v>1000000000000</v>
      </c>
      <c r="CB100" s="172">
        <f t="array" aca="1" ref="CB100" ca="1">IF(OR($D100&lt;&gt;"Serviço",AND(AUTOEVENTO="Manual",$M100=$A$15),$M100&gt;(ROW(PLE.lastrow)-ROW(PLE.firstrow))),0,
           IF(OFFSET(PLE!$G$15,$M100-$A$15,CB$13)="",10^12,OFFSET(PLE!$G$15,$M100-$A$15,CB$13)))</f>
        <v>1000000000000</v>
      </c>
      <c r="CC100" s="172">
        <f t="array" aca="1" ref="CC100" ca="1">IF(OR($D100&lt;&gt;"Serviço",AND(AUTOEVENTO="Manual",$M100=$A$15),$M100&gt;(ROW(PLE.lastrow)-ROW(PLE.firstrow))),0,
           IF(OFFSET(PLE!$G$15,$M100-$A$15,CC$13)="",10^12,OFFSET(PLE!$G$15,$M100-$A$15,CC$13)))</f>
        <v>1000000000000</v>
      </c>
      <c r="CD100" s="172">
        <f t="array" aca="1" ref="CD100" ca="1">IF(OR($D100&lt;&gt;"Serviço",AND(AUTOEVENTO="Manual",$M100=$A$15),$M100&gt;(ROW(PLE.lastrow)-ROW(PLE.firstrow))),0,
           IF(OFFSET(PLE!$G$15,$M100-$A$15,CD$13)="",10^12,OFFSET(PLE!$G$15,$M100-$A$15,CD$13)))</f>
        <v>1000000000000</v>
      </c>
      <c r="CE100" s="172">
        <f t="array" aca="1" ref="CE100" ca="1">IF(OR($D100&lt;&gt;"Serviço",AND(AUTOEVENTO="Manual",$M100=$A$15),$M100&gt;(ROW(PLE.lastrow)-ROW(PLE.firstrow))),0,
           IF(OFFSET(PLE!$G$15,$M100-$A$15,CE$13)="",10^12,OFFSET(PLE!$G$15,$M100-$A$15,CE$13)))</f>
        <v>1000000000000</v>
      </c>
      <c r="CF100" s="172">
        <f t="array" aca="1" ref="CF100" ca="1">IF(OR($D100&lt;&gt;"Serviço",AND(AUTOEVENTO="Manual",$M100=$A$15),$M100&gt;(ROW(PLE.lastrow)-ROW(PLE.firstrow))),0,
           IF(OFFSET(PLE!$G$15,$M100-$A$15,CF$13)="",10^12,OFFSET(PLE!$G$15,$M100-$A$15,CF$13)))</f>
        <v>1000000000000</v>
      </c>
      <c r="CG100" s="172">
        <f t="array" aca="1" ref="CG100" ca="1">IF(OR($D100&lt;&gt;"Serviço",AND(AUTOEVENTO="Manual",$M100=$A$15),$M100&gt;(ROW(PLE.lastrow)-ROW(PLE.firstrow))),0,
           IF(OFFSET(PLE!$G$15,$M100-$A$15,CG$13)="",10^12,OFFSET(PLE!$G$15,$M100-$A$15,CG$13)))</f>
        <v>1000000000000</v>
      </c>
      <c r="CH100" s="172">
        <f t="array" aca="1" ref="CH100" ca="1">IF(OR($D100&lt;&gt;"Serviço",AND(AUTOEVENTO="Manual",$M100=$A$15),$M100&gt;(ROW(PLE.lastrow)-ROW(PLE.firstrow))),0,
           IF(OFFSET(PLE!$G$15,$M100-$A$15,CH$13)="",10^12,OFFSET(PLE!$G$15,$M100-$A$15,CH$13)))</f>
        <v>1000000000000</v>
      </c>
      <c r="CI100" s="172">
        <f t="array" aca="1" ref="CI100" ca="1">IF(OR($D100&lt;&gt;"Serviço",AND(AUTOEVENTO="Manual",$M100=$A$15),$M100&gt;(ROW(PLE.lastrow)-ROW(PLE.firstrow))),0,
           IF(OFFSET(PLE!$G$15,$M100-$A$15,CI$13)="",10^12,OFFSET(PLE!$G$15,$M100-$A$15,CI$13)))</f>
        <v>1000000000000</v>
      </c>
      <c r="CJ100" s="172">
        <f t="array" aca="1" ref="CJ100" ca="1">IF(OR($D100&lt;&gt;"Serviço",AND(AUTOEVENTO="Manual",$M100=$A$15),$M100&gt;(ROW(PLE.lastrow)-ROW(PLE.firstrow))),0,
           IF(OFFSET(PLE!$G$15,$M100-$A$15,CJ$13)="",10^12,OFFSET(PLE!$G$15,$M100-$A$15,CJ$13)))</f>
        <v>1000000000000</v>
      </c>
      <c r="CK100" s="172">
        <f t="array" aca="1" ref="CK100" ca="1">IF(OR($D100&lt;&gt;"Serviço",AND(AUTOEVENTO="Manual",$M100=$A$15),$M100&gt;(ROW(PLE.lastrow)-ROW(PLE.firstrow))),0,
           IF(OFFSET(PLE!$G$15,$M100-$A$15,CK$13)="",10^12,OFFSET(PLE!$G$15,$M100-$A$15,CK$13)))</f>
        <v>1000000000000</v>
      </c>
      <c r="CL100" s="172">
        <f t="array" aca="1" ref="CL100" ca="1">IF(OR($D100&lt;&gt;"Serviço",AND(AUTOEVENTO="Manual",$M100=$A$15),$M100&gt;(ROW(PLE.lastrow)-ROW(PLE.firstrow))),0,
           IF(OFFSET(PLE!$G$15,$M100-$A$15,CL$13)="",10^12,OFFSET(PLE!$G$15,$M100-$A$15,CL$13)))</f>
        <v>1000000000000</v>
      </c>
      <c r="CM100" s="172">
        <f t="array" aca="1" ref="CM100" ca="1">IF(OR($D100&lt;&gt;"Serviço",AND(AUTOEVENTO="Manual",$M100=$A$15),$M100&gt;(ROW(PLE.lastrow)-ROW(PLE.firstrow))),0,
           IF(OFFSET(PLE!$G$15,$M100-$A$15,CM$13)="",10^12,OFFSET(PLE!$G$15,$M100-$A$15,CM$13)))</f>
        <v>1000000000000</v>
      </c>
    </row>
    <row r="101" spans="1:91" s="696" customFormat="1" ht="12.75" x14ac:dyDescent="0.2">
      <c r="A101" s="694">
        <f t="shared" ca="1" si="45"/>
        <v>0</v>
      </c>
      <c r="B101" s="694">
        <f ca="1">OFFSET(ORÇAMENTO!C$15,$L101,0)</f>
        <v>2</v>
      </c>
      <c r="C101" s="694" t="str">
        <f ca="1">OFFSET(ORÇAMENTO!L$15,$L101,0)</f>
        <v>F</v>
      </c>
      <c r="D101" s="116" t="str">
        <f ca="1">OFFSET(ORÇAMENTO!N$15,$L101,0)</f>
        <v>Nível 2</v>
      </c>
      <c r="E101" s="117" t="str">
        <f ca="1">OFFSET(ORÇAMENTO!O$15,$L101,0)</f>
        <v>1.17.</v>
      </c>
      <c r="F101" s="163" t="str">
        <f ca="1">OFFSET(ORÇAMENTO!R$15,$L101,0)</f>
        <v>PINTURAS INTERNAS</v>
      </c>
      <c r="G101" s="164" t="str">
        <f ca="1">IF($D101&lt;&gt;"Serviço","",OFFSET(ORÇAMENTO!S$15,$L101,0))</f>
        <v/>
      </c>
      <c r="H101" s="122">
        <f t="array" aca="1" ref="H101" ca="1">IF($D101&lt;&gt;"Serviço",0,IF(ACOMPANHAMENTO="BM",ROUND(OFFSET(ORÇAMENTO!AJ$15,$L101,0),15-13*ORÇAMENTO!$AF$7),IF(IFERROR(CÁLCULO.FrentesPreenchidas,0)=0,0,SUM(ROUND(OFFSET($P101,0,1,1,CÁLCULO.FrentesPreenchidas),15-13*ORÇAMENTO!$AF$7)))))</f>
        <v>0</v>
      </c>
      <c r="I101" s="467"/>
      <c r="J101" s="653" t="str">
        <f t="array" aca="1" ref="J101" ca="1">IF(OR(B101&lt;&gt;"S",CÁLCULO.FrentesPreenchidas=0),"",IF(AND(ACOMPANHAMENTO="PLE",AUTOEVENTO="Manual",OR(H101&gt;0,ORÇAMENTO!AC101="QUANT."),OR(K101="",M101=0,N101="")),"►E",IF(AND(ACOMPANHAMENTO="PLE",ORÇAMENTO!AC101="QUANT."),"►Q",IF(AND(ACOMPANHAMENTO="PLE",H101&lt;&gt;SUMPRODUCT(($Q$1:$AI$1=1)*ROUND(Q101:AI101,15))),"►S",IF(AND(COUNTIF($P$11:$AI$11,"▼")=0,H101&gt;0,I101=""),"◄M","")))))</f>
        <v/>
      </c>
      <c r="K101" s="654"/>
      <c r="L101" s="165">
        <f t="shared" ca="1" si="46"/>
        <v>86</v>
      </c>
      <c r="M101" s="166" t="str">
        <f ca="1">IF($D101&lt;&gt;"Serviço","",
          IF(AUTOEVENTO="manual",$A101,
                IF(ISERROR(MATCH($A101,$A$15:OFFSET($A101,-1,0),0)),MAX($M$15:OFFSET(M101,-1,0))+1,
                      INDEX($M$15:OFFSET(M101,-1,0),MATCH($A101,$A$15:OFFSET($A101,-1,0),0)))))</f>
        <v/>
      </c>
      <c r="N101" s="167" t="str">
        <f ca="1">IF($D101&lt;&gt;"Serviço","",
         IF(AUTOEVENTO="Manual",
                IF($A101=0,"&lt;-- defina o número do agrupador",
                       OFFSET(EVENTOS!$D$15,$A101-$A$15,0)),
                OFFSET($F$15,$A101,0)))</f>
        <v/>
      </c>
      <c r="O101" s="168"/>
      <c r="Q101" s="169"/>
      <c r="R101" s="169"/>
      <c r="S101" s="169"/>
      <c r="T101" s="169"/>
      <c r="U101" s="169"/>
      <c r="V101" s="169"/>
      <c r="W101" s="169"/>
      <c r="X101" s="169"/>
      <c r="Y101" s="169"/>
      <c r="Z101" s="170"/>
      <c r="AA101" s="169"/>
      <c r="AB101" s="169"/>
      <c r="AC101" s="169"/>
      <c r="AD101" s="169"/>
      <c r="AE101" s="169"/>
      <c r="AF101" s="169"/>
      <c r="AG101" s="169"/>
      <c r="AH101" s="170"/>
      <c r="AJ101" s="452">
        <f ca="1">IF(AND($D101="Serviço",AJ$12&lt;&gt;0,$H101&gt;0,OR(AUTOEVENTO&lt;&gt;"manual",$M101&lt;&gt;$A$15)),
        IF(Import.TipoArredondamento&lt;&gt;"TransfereGOV",
              ROUND(OFFSET($P101,0,AJ$13),15-13*ORÇAMENTO!$AF$7)/$H101*OFFSET(ORÇAMENTO!$X$15,ROW(AJ101)-ROW(AJ$15),0),
              ROUND(ROUND(OFFSET($P101,0,AJ$13),15-13*ORÇAMENTO!$AF$7)*OFFSET(ORÇAMENTO!$W$15,ROW(AJ101)-ROW(AJ$15),0),15-13*ORÇAMENTO!$AF$11)),
         0)</f>
        <v>0</v>
      </c>
      <c r="AK101" s="452">
        <f ca="1">IF(AND($D101="Serviço",AK$12&lt;&gt;0,$H101&gt;0,OR(AUTOEVENTO&lt;&gt;"manual",$M101&lt;&gt;$A$15)),
        IF(Import.TipoArredondamento&lt;&gt;"TransfereGOV",
              ROUND(OFFSET($P101,0,AK$13),15-13*ORÇAMENTO!$AF$7)/$H101*OFFSET(ORÇAMENTO!$X$15,ROW(AK101)-ROW(AK$15),0),
              ROUND(ROUND(OFFSET($P101,0,AK$13),15-13*ORÇAMENTO!$AF$7)*OFFSET(ORÇAMENTO!$W$15,ROW(AK101)-ROW(AK$15),0),15-13*ORÇAMENTO!$AF$11)),
         0)</f>
        <v>0</v>
      </c>
      <c r="AL101" s="452">
        <f ca="1">IF(AND($D101="Serviço",AL$12&lt;&gt;0,$H101&gt;0,OR(AUTOEVENTO&lt;&gt;"manual",$M101&lt;&gt;$A$15)),
        IF(Import.TipoArredondamento&lt;&gt;"TransfereGOV",
              ROUND(OFFSET($P101,0,AL$13),15-13*ORÇAMENTO!$AF$7)/$H101*OFFSET(ORÇAMENTO!$X$15,ROW(AL101)-ROW(AL$15),0),
              ROUND(ROUND(OFFSET($P101,0,AL$13),15-13*ORÇAMENTO!$AF$7)*OFFSET(ORÇAMENTO!$W$15,ROW(AL101)-ROW(AL$15),0),15-13*ORÇAMENTO!$AF$11)),
         0)</f>
        <v>0</v>
      </c>
      <c r="AM101" s="452">
        <f ca="1">IF(AND($D101="Serviço",AM$12&lt;&gt;0,$H101&gt;0,OR(AUTOEVENTO&lt;&gt;"manual",$M101&lt;&gt;$A$15)),
        IF(Import.TipoArredondamento&lt;&gt;"TransfereGOV",
              ROUND(OFFSET($P101,0,AM$13),15-13*ORÇAMENTO!$AF$7)/$H101*OFFSET(ORÇAMENTO!$X$15,ROW(AM101)-ROW(AM$15),0),
              ROUND(ROUND(OFFSET($P101,0,AM$13),15-13*ORÇAMENTO!$AF$7)*OFFSET(ORÇAMENTO!$W$15,ROW(AM101)-ROW(AM$15),0),15-13*ORÇAMENTO!$AF$11)),
         0)</f>
        <v>0</v>
      </c>
      <c r="AN101" s="452">
        <f ca="1">IF(AND($D101="Serviço",AN$12&lt;&gt;0,$H101&gt;0,OR(AUTOEVENTO&lt;&gt;"manual",$M101&lt;&gt;$A$15)),
        IF(Import.TipoArredondamento&lt;&gt;"TransfereGOV",
              ROUND(OFFSET($P101,0,AN$13),15-13*ORÇAMENTO!$AF$7)/$H101*OFFSET(ORÇAMENTO!$X$15,ROW(AN101)-ROW(AN$15),0),
              ROUND(ROUND(OFFSET($P101,0,AN$13),15-13*ORÇAMENTO!$AF$7)*OFFSET(ORÇAMENTO!$W$15,ROW(AN101)-ROW(AN$15),0),15-13*ORÇAMENTO!$AF$11)),
         0)</f>
        <v>0</v>
      </c>
      <c r="AO101" s="452">
        <f ca="1">IF(AND($D101="Serviço",AO$12&lt;&gt;0,$H101&gt;0,OR(AUTOEVENTO&lt;&gt;"manual",$M101&lt;&gt;$A$15)),
        IF(Import.TipoArredondamento&lt;&gt;"TransfereGOV",
              ROUND(OFFSET($P101,0,AO$13),15-13*ORÇAMENTO!$AF$7)/$H101*OFFSET(ORÇAMENTO!$X$15,ROW(AO101)-ROW(AO$15),0),
              ROUND(ROUND(OFFSET($P101,0,AO$13),15-13*ORÇAMENTO!$AF$7)*OFFSET(ORÇAMENTO!$W$15,ROW(AO101)-ROW(AO$15),0),15-13*ORÇAMENTO!$AF$11)),
         0)</f>
        <v>0</v>
      </c>
      <c r="AP101" s="452">
        <f ca="1">IF(AND($D101="Serviço",AP$12&lt;&gt;0,$H101&gt;0,OR(AUTOEVENTO&lt;&gt;"manual",$M101&lt;&gt;$A$15)),
        IF(Import.TipoArredondamento&lt;&gt;"TransfereGOV",
              ROUND(OFFSET($P101,0,AP$13),15-13*ORÇAMENTO!$AF$7)/$H101*OFFSET(ORÇAMENTO!$X$15,ROW(AP101)-ROW(AP$15),0),
              ROUND(ROUND(OFFSET($P101,0,AP$13),15-13*ORÇAMENTO!$AF$7)*OFFSET(ORÇAMENTO!$W$15,ROW(AP101)-ROW(AP$15),0),15-13*ORÇAMENTO!$AF$11)),
         0)</f>
        <v>0</v>
      </c>
      <c r="AQ101" s="452">
        <f ca="1">IF(AND($D101="Serviço",AQ$12&lt;&gt;0,$H101&gt;0,OR(AUTOEVENTO&lt;&gt;"manual",$M101&lt;&gt;$A$15)),
        IF(Import.TipoArredondamento&lt;&gt;"TransfereGOV",
              ROUND(OFFSET($P101,0,AQ$13),15-13*ORÇAMENTO!$AF$7)/$H101*OFFSET(ORÇAMENTO!$X$15,ROW(AQ101)-ROW(AQ$15),0),
              ROUND(ROUND(OFFSET($P101,0,AQ$13),15-13*ORÇAMENTO!$AF$7)*OFFSET(ORÇAMENTO!$W$15,ROW(AQ101)-ROW(AQ$15),0),15-13*ORÇAMENTO!$AF$11)),
         0)</f>
        <v>0</v>
      </c>
      <c r="AR101" s="452">
        <f ca="1">IF(AND($D101="Serviço",AR$12&lt;&gt;0,$H101&gt;0,OR(AUTOEVENTO&lt;&gt;"manual",$M101&lt;&gt;$A$15)),
        IF(Import.TipoArredondamento&lt;&gt;"TransfereGOV",
              ROUND(OFFSET($P101,0,AR$13),15-13*ORÇAMENTO!$AF$7)/$H101*OFFSET(ORÇAMENTO!$X$15,ROW(AR101)-ROW(AR$15),0),
              ROUND(ROUND(OFFSET($P101,0,AR$13),15-13*ORÇAMENTO!$AF$7)*OFFSET(ORÇAMENTO!$W$15,ROW(AR101)-ROW(AR$15),0),15-13*ORÇAMENTO!$AF$11)),
         0)</f>
        <v>0</v>
      </c>
      <c r="AS101" s="452">
        <f ca="1">IF(AND($D101="Serviço",AS$12&lt;&gt;0,$H101&gt;0,OR(AUTOEVENTO&lt;&gt;"manual",$M101&lt;&gt;$A$15)),
        IF(Import.TipoArredondamento&lt;&gt;"TransfereGOV",
              ROUND(OFFSET($P101,0,AS$13),15-13*ORÇAMENTO!$AF$7)/$H101*OFFSET(ORÇAMENTO!$X$15,ROW(AS101)-ROW(AS$15),0),
              ROUND(ROUND(OFFSET($P101,0,AS$13),15-13*ORÇAMENTO!$AF$7)*OFFSET(ORÇAMENTO!$W$15,ROW(AS101)-ROW(AS$15),0),15-13*ORÇAMENTO!$AF$11)),
         0)</f>
        <v>0</v>
      </c>
      <c r="AT101" s="452">
        <f ca="1">IF(AND($D101="Serviço",AT$12&lt;&gt;0,$H101&gt;0,OR(AUTOEVENTO&lt;&gt;"manual",$M101&lt;&gt;$A$15)),
        IF(Import.TipoArredondamento&lt;&gt;"TransfereGOV",
              ROUND(OFFSET($P101,0,AT$13),15-13*ORÇAMENTO!$AF$7)/$H101*OFFSET(ORÇAMENTO!$X$15,ROW(AT101)-ROW(AT$15),0),
              ROUND(ROUND(OFFSET($P101,0,AT$13),15-13*ORÇAMENTO!$AF$7)*OFFSET(ORÇAMENTO!$W$15,ROW(AT101)-ROW(AT$15),0),15-13*ORÇAMENTO!$AF$11)),
         0)</f>
        <v>0</v>
      </c>
      <c r="AU101" s="452">
        <f ca="1">IF(AND($D101="Serviço",AU$12&lt;&gt;0,$H101&gt;0,OR(AUTOEVENTO&lt;&gt;"manual",$M101&lt;&gt;$A$15)),
        IF(Import.TipoArredondamento&lt;&gt;"TransfereGOV",
              ROUND(OFFSET($P101,0,AU$13),15-13*ORÇAMENTO!$AF$7)/$H101*OFFSET(ORÇAMENTO!$X$15,ROW(AU101)-ROW(AU$15),0),
              ROUND(ROUND(OFFSET($P101,0,AU$13),15-13*ORÇAMENTO!$AF$7)*OFFSET(ORÇAMENTO!$W$15,ROW(AU101)-ROW(AU$15),0),15-13*ORÇAMENTO!$AF$11)),
         0)</f>
        <v>0</v>
      </c>
      <c r="AV101" s="452">
        <f ca="1">IF(AND($D101="Serviço",AV$12&lt;&gt;0,$H101&gt;0,OR(AUTOEVENTO&lt;&gt;"manual",$M101&lt;&gt;$A$15)),
        IF(Import.TipoArredondamento&lt;&gt;"TransfereGOV",
              ROUND(OFFSET($P101,0,AV$13),15-13*ORÇAMENTO!$AF$7)/$H101*OFFSET(ORÇAMENTO!$X$15,ROW(AV101)-ROW(AV$15),0),
              ROUND(ROUND(OFFSET($P101,0,AV$13),15-13*ORÇAMENTO!$AF$7)*OFFSET(ORÇAMENTO!$W$15,ROW(AV101)-ROW(AV$15),0),15-13*ORÇAMENTO!$AF$11)),
         0)</f>
        <v>0</v>
      </c>
      <c r="AW101" s="452">
        <f ca="1">IF(AND($D101="Serviço",AW$12&lt;&gt;0,$H101&gt;0,OR(AUTOEVENTO&lt;&gt;"manual",$M101&lt;&gt;$A$15)),
        IF(Import.TipoArredondamento&lt;&gt;"TransfereGOV",
              ROUND(OFFSET($P101,0,AW$13),15-13*ORÇAMENTO!$AF$7)/$H101*OFFSET(ORÇAMENTO!$X$15,ROW(AW101)-ROW(AW$15),0),
              ROUND(ROUND(OFFSET($P101,0,AW$13),15-13*ORÇAMENTO!$AF$7)*OFFSET(ORÇAMENTO!$W$15,ROW(AW101)-ROW(AW$15),0),15-13*ORÇAMENTO!$AF$11)),
         0)</f>
        <v>0</v>
      </c>
      <c r="AX101" s="452">
        <f ca="1">IF(AND($D101="Serviço",AX$12&lt;&gt;0,$H101&gt;0,OR(AUTOEVENTO&lt;&gt;"manual",$M101&lt;&gt;$A$15)),
        IF(Import.TipoArredondamento&lt;&gt;"TransfereGOV",
              ROUND(OFFSET($P101,0,AX$13),15-13*ORÇAMENTO!$AF$7)/$H101*OFFSET(ORÇAMENTO!$X$15,ROW(AX101)-ROW(AX$15),0),
              ROUND(ROUND(OFFSET($P101,0,AX$13),15-13*ORÇAMENTO!$AF$7)*OFFSET(ORÇAMENTO!$W$15,ROW(AX101)-ROW(AX$15),0),15-13*ORÇAMENTO!$AF$11)),
         0)</f>
        <v>0</v>
      </c>
      <c r="AY101" s="452">
        <f ca="1">IF(AND($D101="Serviço",AY$12&lt;&gt;0,$H101&gt;0,OR(AUTOEVENTO&lt;&gt;"manual",$M101&lt;&gt;$A$15)),
        IF(Import.TipoArredondamento&lt;&gt;"TransfereGOV",
              ROUND(OFFSET($P101,0,AY$13),15-13*ORÇAMENTO!$AF$7)/$H101*OFFSET(ORÇAMENTO!$X$15,ROW(AY101)-ROW(AY$15),0),
              ROUND(ROUND(OFFSET($P101,0,AY$13),15-13*ORÇAMENTO!$AF$7)*OFFSET(ORÇAMENTO!$W$15,ROW(AY101)-ROW(AY$15),0),15-13*ORÇAMENTO!$AF$11)),
         0)</f>
        <v>0</v>
      </c>
      <c r="AZ101" s="452">
        <f ca="1">IF(AND($D101="Serviço",AZ$12&lt;&gt;0,$H101&gt;0,OR(AUTOEVENTO&lt;&gt;"manual",$M101&lt;&gt;$A$15)),
        IF(Import.TipoArredondamento&lt;&gt;"TransfereGOV",
              ROUND(OFFSET($P101,0,AZ$13),15-13*ORÇAMENTO!$AF$7)/$H101*OFFSET(ORÇAMENTO!$X$15,ROW(AZ101)-ROW(AZ$15),0),
              ROUND(ROUND(OFFSET($P101,0,AZ$13),15-13*ORÇAMENTO!$AF$7)*OFFSET(ORÇAMENTO!$W$15,ROW(AZ101)-ROW(AZ$15),0),15-13*ORÇAMENTO!$AF$11)),
         0)</f>
        <v>0</v>
      </c>
      <c r="BA101" s="452">
        <f ca="1">IF(AND($D101="Serviço",BA$12&lt;&gt;0,$H101&gt;0,OR(AUTOEVENTO&lt;&gt;"manual",$M101&lt;&gt;$A$15)),
        IF(Import.TipoArredondamento&lt;&gt;"TransfereGOV",
              ROUND(OFFSET($P101,0,BA$13),15-13*ORÇAMENTO!$AF$7)/$H101*OFFSET(ORÇAMENTO!$X$15,ROW(BA101)-ROW(BA$15),0),
              ROUND(ROUND(OFFSET($P101,0,BA$13),15-13*ORÇAMENTO!$AF$7)*OFFSET(ORÇAMENTO!$W$15,ROW(BA101)-ROW(BA$15),0),15-13*ORÇAMENTO!$AF$11)),
         0)</f>
        <v>0</v>
      </c>
      <c r="BC101" s="171">
        <f ca="1">IF(OR($D101&lt;&gt;"Serviço",AND(AUTOEVENTO="Manual",$M101=$A$15)),0,
         IF(OFFSET(CRONOPLE!$F$15,$M101-$A$15,BC$13)=0,10^12,OFFSET(CRONOPLE!$F$15,$M101-$A$15,BC$13)))</f>
        <v>0</v>
      </c>
      <c r="BD101" s="171">
        <f ca="1">IF(OR($D101&lt;&gt;"Serviço",AND(AUTOEVENTO="Manual",$M101=$A$15)),0,
         IF(OFFSET(CRONOPLE!$F$15,$M101-$A$15,BD$13)=0,10^12,OFFSET(CRONOPLE!$F$15,$M101-$A$15,BD$13)))</f>
        <v>0</v>
      </c>
      <c r="BE101" s="171">
        <f ca="1">IF(OR($D101&lt;&gt;"Serviço",AND(AUTOEVENTO="Manual",$M101=$A$15)),0,
         IF(OFFSET(CRONOPLE!$F$15,$M101-$A$15,BE$13)=0,10^12,OFFSET(CRONOPLE!$F$15,$M101-$A$15,BE$13)))</f>
        <v>0</v>
      </c>
      <c r="BF101" s="171">
        <f ca="1">IF(OR($D101&lt;&gt;"Serviço",AND(AUTOEVENTO="Manual",$M101=$A$15)),0,
         IF(OFFSET(CRONOPLE!$F$15,$M101-$A$15,BF$13)=0,10^12,OFFSET(CRONOPLE!$F$15,$M101-$A$15,BF$13)))</f>
        <v>0</v>
      </c>
      <c r="BG101" s="171">
        <f ca="1">IF(OR($D101&lt;&gt;"Serviço",AND(AUTOEVENTO="Manual",$M101=$A$15)),0,
         IF(OFFSET(CRONOPLE!$F$15,$M101-$A$15,BG$13)=0,10^12,OFFSET(CRONOPLE!$F$15,$M101-$A$15,BG$13)))</f>
        <v>0</v>
      </c>
      <c r="BH101" s="171">
        <f ca="1">IF(OR($D101&lt;&gt;"Serviço",AND(AUTOEVENTO="Manual",$M101=$A$15)),0,
         IF(OFFSET(CRONOPLE!$F$15,$M101-$A$15,BH$13)=0,10^12,OFFSET(CRONOPLE!$F$15,$M101-$A$15,BH$13)))</f>
        <v>0</v>
      </c>
      <c r="BI101" s="171">
        <f ca="1">IF(OR($D101&lt;&gt;"Serviço",AND(AUTOEVENTO="Manual",$M101=$A$15)),0,
         IF(OFFSET(CRONOPLE!$F$15,$M101-$A$15,BI$13)=0,10^12,OFFSET(CRONOPLE!$F$15,$M101-$A$15,BI$13)))</f>
        <v>0</v>
      </c>
      <c r="BJ101" s="171">
        <f ca="1">IF(OR($D101&lt;&gt;"Serviço",AND(AUTOEVENTO="Manual",$M101=$A$15)),0,
         IF(OFFSET(CRONOPLE!$F$15,$M101-$A$15,BJ$13)=0,10^12,OFFSET(CRONOPLE!$F$15,$M101-$A$15,BJ$13)))</f>
        <v>0</v>
      </c>
      <c r="BK101" s="171">
        <f ca="1">IF(OR($D101&lt;&gt;"Serviço",AND(AUTOEVENTO="Manual",$M101=$A$15)),0,
         IF(OFFSET(CRONOPLE!$F$15,$M101-$A$15,BK$13)=0,10^12,OFFSET(CRONOPLE!$F$15,$M101-$A$15,BK$13)))</f>
        <v>0</v>
      </c>
      <c r="BL101" s="171">
        <f ca="1">IF(OR($D101&lt;&gt;"Serviço",AND(AUTOEVENTO="Manual",$M101=$A$15)),0,
         IF(OFFSET(CRONOPLE!$F$15,$M101-$A$15,BL$13)=0,10^12,OFFSET(CRONOPLE!$F$15,$M101-$A$15,BL$13)))</f>
        <v>0</v>
      </c>
      <c r="BM101" s="171">
        <f ca="1">IF(OR($D101&lt;&gt;"Serviço",AND(AUTOEVENTO="Manual",$M101=$A$15)),0,
         IF(OFFSET(CRONOPLE!$F$15,$M101-$A$15,BM$13)=0,10^12,OFFSET(CRONOPLE!$F$15,$M101-$A$15,BM$13)))</f>
        <v>0</v>
      </c>
      <c r="BN101" s="171">
        <f ca="1">IF(OR($D101&lt;&gt;"Serviço",AND(AUTOEVENTO="Manual",$M101=$A$15)),0,
         IF(OFFSET(CRONOPLE!$F$15,$M101-$A$15,BN$13)=0,10^12,OFFSET(CRONOPLE!$F$15,$M101-$A$15,BN$13)))</f>
        <v>0</v>
      </c>
      <c r="BO101" s="171">
        <f ca="1">IF(OR($D101&lt;&gt;"Serviço",AND(AUTOEVENTO="Manual",$M101=$A$15)),0,
         IF(OFFSET(CRONOPLE!$F$15,$M101-$A$15,BO$13)=0,10^12,OFFSET(CRONOPLE!$F$15,$M101-$A$15,BO$13)))</f>
        <v>0</v>
      </c>
      <c r="BP101" s="171">
        <f ca="1">IF(OR($D101&lt;&gt;"Serviço",AND(AUTOEVENTO="Manual",$M101=$A$15)),0,
         IF(OFFSET(CRONOPLE!$F$15,$M101-$A$15,BP$13)=0,10^12,OFFSET(CRONOPLE!$F$15,$M101-$A$15,BP$13)))</f>
        <v>0</v>
      </c>
      <c r="BQ101" s="171">
        <f ca="1">IF(OR($D101&lt;&gt;"Serviço",AND(AUTOEVENTO="Manual",$M101=$A$15)),0,
         IF(OFFSET(CRONOPLE!$F$15,$M101-$A$15,BQ$13)=0,10^12,OFFSET(CRONOPLE!$F$15,$M101-$A$15,BQ$13)))</f>
        <v>0</v>
      </c>
      <c r="BR101" s="171">
        <f ca="1">IF(OR($D101&lt;&gt;"Serviço",AND(AUTOEVENTO="Manual",$M101=$A$15)),0,
         IF(OFFSET(CRONOPLE!$F$15,$M101-$A$15,BR$13)=0,10^12,OFFSET(CRONOPLE!$F$15,$M101-$A$15,BR$13)))</f>
        <v>0</v>
      </c>
      <c r="BS101" s="171">
        <f ca="1">IF(OR($D101&lt;&gt;"Serviço",AND(AUTOEVENTO="Manual",$M101=$A$15)),0,
         IF(OFFSET(CRONOPLE!$F$15,$M101-$A$15,BS$13)=0,10^12,OFFSET(CRONOPLE!$F$15,$M101-$A$15,BS$13)))</f>
        <v>0</v>
      </c>
      <c r="BT101" s="171">
        <f ca="1">IF(OR($D101&lt;&gt;"Serviço",AND(AUTOEVENTO="Manual",$M101=$A$15)),0,
         IF(OFFSET(CRONOPLE!$F$15,$M101-$A$15,BT$13)=0,10^12,OFFSET(CRONOPLE!$F$15,$M101-$A$15,BT$13)))</f>
        <v>0</v>
      </c>
      <c r="BV101" s="172">
        <f t="array" aca="1" ref="BV101" ca="1">IF(OR($D101&lt;&gt;"Serviço",AND(AUTOEVENTO="Manual",$M101=$A$15),$M101&gt;(ROW(PLE.lastrow)-ROW(PLE.firstrow))),0,
           IF(OFFSET(PLE!$G$15,$M101-$A$15,BV$13)="",10^12,OFFSET(PLE!$G$15,$M101-$A$15,BV$13)))</f>
        <v>0</v>
      </c>
      <c r="BW101" s="172">
        <f t="array" aca="1" ref="BW101" ca="1">IF(OR($D101&lt;&gt;"Serviço",AND(AUTOEVENTO="Manual",$M101=$A$15),$M101&gt;(ROW(PLE.lastrow)-ROW(PLE.firstrow))),0,
           IF(OFFSET(PLE!$G$15,$M101-$A$15,BW$13)="",10^12,OFFSET(PLE!$G$15,$M101-$A$15,BW$13)))</f>
        <v>0</v>
      </c>
      <c r="BX101" s="172">
        <f t="array" aca="1" ref="BX101" ca="1">IF(OR($D101&lt;&gt;"Serviço",AND(AUTOEVENTO="Manual",$M101=$A$15),$M101&gt;(ROW(PLE.lastrow)-ROW(PLE.firstrow))),0,
           IF(OFFSET(PLE!$G$15,$M101-$A$15,BX$13)="",10^12,OFFSET(PLE!$G$15,$M101-$A$15,BX$13)))</f>
        <v>0</v>
      </c>
      <c r="BY101" s="172">
        <f t="array" aca="1" ref="BY101" ca="1">IF(OR($D101&lt;&gt;"Serviço",AND(AUTOEVENTO="Manual",$M101=$A$15),$M101&gt;(ROW(PLE.lastrow)-ROW(PLE.firstrow))),0,
           IF(OFFSET(PLE!$G$15,$M101-$A$15,BY$13)="",10^12,OFFSET(PLE!$G$15,$M101-$A$15,BY$13)))</f>
        <v>0</v>
      </c>
      <c r="BZ101" s="172">
        <f t="array" aca="1" ref="BZ101" ca="1">IF(OR($D101&lt;&gt;"Serviço",AND(AUTOEVENTO="Manual",$M101=$A$15),$M101&gt;(ROW(PLE.lastrow)-ROW(PLE.firstrow))),0,
           IF(OFFSET(PLE!$G$15,$M101-$A$15,BZ$13)="",10^12,OFFSET(PLE!$G$15,$M101-$A$15,BZ$13)))</f>
        <v>0</v>
      </c>
      <c r="CA101" s="172">
        <f t="array" aca="1" ref="CA101" ca="1">IF(OR($D101&lt;&gt;"Serviço",AND(AUTOEVENTO="Manual",$M101=$A$15),$M101&gt;(ROW(PLE.lastrow)-ROW(PLE.firstrow))),0,
           IF(OFFSET(PLE!$G$15,$M101-$A$15,CA$13)="",10^12,OFFSET(PLE!$G$15,$M101-$A$15,CA$13)))</f>
        <v>0</v>
      </c>
      <c r="CB101" s="172">
        <f t="array" aca="1" ref="CB101" ca="1">IF(OR($D101&lt;&gt;"Serviço",AND(AUTOEVENTO="Manual",$M101=$A$15),$M101&gt;(ROW(PLE.lastrow)-ROW(PLE.firstrow))),0,
           IF(OFFSET(PLE!$G$15,$M101-$A$15,CB$13)="",10^12,OFFSET(PLE!$G$15,$M101-$A$15,CB$13)))</f>
        <v>0</v>
      </c>
      <c r="CC101" s="172">
        <f t="array" aca="1" ref="CC101" ca="1">IF(OR($D101&lt;&gt;"Serviço",AND(AUTOEVENTO="Manual",$M101=$A$15),$M101&gt;(ROW(PLE.lastrow)-ROW(PLE.firstrow))),0,
           IF(OFFSET(PLE!$G$15,$M101-$A$15,CC$13)="",10^12,OFFSET(PLE!$G$15,$M101-$A$15,CC$13)))</f>
        <v>0</v>
      </c>
      <c r="CD101" s="172">
        <f t="array" aca="1" ref="CD101" ca="1">IF(OR($D101&lt;&gt;"Serviço",AND(AUTOEVENTO="Manual",$M101=$A$15),$M101&gt;(ROW(PLE.lastrow)-ROW(PLE.firstrow))),0,
           IF(OFFSET(PLE!$G$15,$M101-$A$15,CD$13)="",10^12,OFFSET(PLE!$G$15,$M101-$A$15,CD$13)))</f>
        <v>0</v>
      </c>
      <c r="CE101" s="172">
        <f t="array" aca="1" ref="CE101" ca="1">IF(OR($D101&lt;&gt;"Serviço",AND(AUTOEVENTO="Manual",$M101=$A$15),$M101&gt;(ROW(PLE.lastrow)-ROW(PLE.firstrow))),0,
           IF(OFFSET(PLE!$G$15,$M101-$A$15,CE$13)="",10^12,OFFSET(PLE!$G$15,$M101-$A$15,CE$13)))</f>
        <v>0</v>
      </c>
      <c r="CF101" s="172">
        <f t="array" aca="1" ref="CF101" ca="1">IF(OR($D101&lt;&gt;"Serviço",AND(AUTOEVENTO="Manual",$M101=$A$15),$M101&gt;(ROW(PLE.lastrow)-ROW(PLE.firstrow))),0,
           IF(OFFSET(PLE!$G$15,$M101-$A$15,CF$13)="",10^12,OFFSET(PLE!$G$15,$M101-$A$15,CF$13)))</f>
        <v>0</v>
      </c>
      <c r="CG101" s="172">
        <f t="array" aca="1" ref="CG101" ca="1">IF(OR($D101&lt;&gt;"Serviço",AND(AUTOEVENTO="Manual",$M101=$A$15),$M101&gt;(ROW(PLE.lastrow)-ROW(PLE.firstrow))),0,
           IF(OFFSET(PLE!$G$15,$M101-$A$15,CG$13)="",10^12,OFFSET(PLE!$G$15,$M101-$A$15,CG$13)))</f>
        <v>0</v>
      </c>
      <c r="CH101" s="172">
        <f t="array" aca="1" ref="CH101" ca="1">IF(OR($D101&lt;&gt;"Serviço",AND(AUTOEVENTO="Manual",$M101=$A$15),$M101&gt;(ROW(PLE.lastrow)-ROW(PLE.firstrow))),0,
           IF(OFFSET(PLE!$G$15,$M101-$A$15,CH$13)="",10^12,OFFSET(PLE!$G$15,$M101-$A$15,CH$13)))</f>
        <v>0</v>
      </c>
      <c r="CI101" s="172">
        <f t="array" aca="1" ref="CI101" ca="1">IF(OR($D101&lt;&gt;"Serviço",AND(AUTOEVENTO="Manual",$M101=$A$15),$M101&gt;(ROW(PLE.lastrow)-ROW(PLE.firstrow))),0,
           IF(OFFSET(PLE!$G$15,$M101-$A$15,CI$13)="",10^12,OFFSET(PLE!$G$15,$M101-$A$15,CI$13)))</f>
        <v>0</v>
      </c>
      <c r="CJ101" s="172">
        <f t="array" aca="1" ref="CJ101" ca="1">IF(OR($D101&lt;&gt;"Serviço",AND(AUTOEVENTO="Manual",$M101=$A$15),$M101&gt;(ROW(PLE.lastrow)-ROW(PLE.firstrow))),0,
           IF(OFFSET(PLE!$G$15,$M101-$A$15,CJ$13)="",10^12,OFFSET(PLE!$G$15,$M101-$A$15,CJ$13)))</f>
        <v>0</v>
      </c>
      <c r="CK101" s="172">
        <f t="array" aca="1" ref="CK101" ca="1">IF(OR($D101&lt;&gt;"Serviço",AND(AUTOEVENTO="Manual",$M101=$A$15),$M101&gt;(ROW(PLE.lastrow)-ROW(PLE.firstrow))),0,
           IF(OFFSET(PLE!$G$15,$M101-$A$15,CK$13)="",10^12,OFFSET(PLE!$G$15,$M101-$A$15,CK$13)))</f>
        <v>0</v>
      </c>
      <c r="CL101" s="172">
        <f t="array" aca="1" ref="CL101" ca="1">IF(OR($D101&lt;&gt;"Serviço",AND(AUTOEVENTO="Manual",$M101=$A$15),$M101&gt;(ROW(PLE.lastrow)-ROW(PLE.firstrow))),0,
           IF(OFFSET(PLE!$G$15,$M101-$A$15,CL$13)="",10^12,OFFSET(PLE!$G$15,$M101-$A$15,CL$13)))</f>
        <v>0</v>
      </c>
      <c r="CM101" s="172">
        <f t="array" aca="1" ref="CM101" ca="1">IF(OR($D101&lt;&gt;"Serviço",AND(AUTOEVENTO="Manual",$M101=$A$15),$M101&gt;(ROW(PLE.lastrow)-ROW(PLE.firstrow))),0,
           IF(OFFSET(PLE!$G$15,$M101-$A$15,CM$13)="",10^12,OFFSET(PLE!$G$15,$M101-$A$15,CM$13)))</f>
        <v>0</v>
      </c>
    </row>
    <row r="102" spans="1:91" s="696" customFormat="1" ht="63.75" x14ac:dyDescent="0.2">
      <c r="A102" s="694">
        <f t="shared" ca="1" si="45"/>
        <v>22</v>
      </c>
      <c r="B102" s="694" t="str">
        <f ca="1">OFFSET(ORÇAMENTO!C$15,$L102,0)</f>
        <v>S</v>
      </c>
      <c r="C102" s="694" t="str">
        <f ca="1">OFFSET(ORÇAMENTO!L$15,$L102,0)</f>
        <v>F</v>
      </c>
      <c r="D102" s="116" t="str">
        <f ca="1">OFFSET(ORÇAMENTO!N$15,$L102,0)</f>
        <v>Serviço</v>
      </c>
      <c r="E102" s="117" t="str">
        <f ca="1">OFFSET(ORÇAMENTO!O$15,$L102,0)</f>
        <v>1.17.1.</v>
      </c>
      <c r="F102" s="163" t="str">
        <f ca="1">OFFSET(ORÇAMENTO!R$15,$L102,0)</f>
        <v>FUNDO SELADOR ACRÍLICO, APLICAÇÃO MANUAL EM PAREDE, UMA DEMÃO. AF_04/2023</v>
      </c>
      <c r="G102" s="164" t="str">
        <f ca="1">IF($D102&lt;&gt;"Serviço","",OFFSET(ORÇAMENTO!S$15,$L102,0))</f>
        <v>M2</v>
      </c>
      <c r="H102" s="122">
        <f t="array" aca="1" ref="H102" ca="1">IF($D102&lt;&gt;"Serviço",0,IF(ACOMPANHAMENTO="BM",ROUND(OFFSET(ORÇAMENTO!AJ$15,$L102,0),15-13*ORÇAMENTO!$AF$7),IF(IFERROR(CÁLCULO.FrentesPreenchidas,0)=0,0,SUM(ROUND(OFFSET($P102,0,1,1,CÁLCULO.FrentesPreenchidas),15-13*ORÇAMENTO!$AF$7)))))</f>
        <v>2252.1999999999998</v>
      </c>
      <c r="I102" s="467" t="s">
        <v>1263</v>
      </c>
      <c r="J102" s="653" t="str">
        <f t="array" aca="1" ref="J102" ca="1">IF(OR(B102&lt;&gt;"S",CÁLCULO.FrentesPreenchidas=0),"",IF(AND(ACOMPANHAMENTO="PLE",AUTOEVENTO="Manual",OR(H102&gt;0,ORÇAMENTO!AC102="QUANT."),OR(K102="",M102=0,N102="")),"►E",IF(AND(ACOMPANHAMENTO="PLE",ORÇAMENTO!AC102="QUANT."),"►Q",IF(AND(ACOMPANHAMENTO="PLE",H102&lt;&gt;SUMPRODUCT(($Q$1:$AI$1=1)*ROUND(Q102:AI102,15))),"►S",IF(AND(COUNTIF($P$11:$AI$11,"▼")=0,H102&gt;0,I102=""),"◄M","")))))</f>
        <v/>
      </c>
      <c r="K102" s="654" t="s">
        <v>1414</v>
      </c>
      <c r="L102" s="165">
        <f t="shared" ca="1" si="46"/>
        <v>87</v>
      </c>
      <c r="M102" s="166">
        <f ca="1">IF($D102&lt;&gt;"Serviço","",
          IF(AUTOEVENTO="manual",$A102,
                IF(ISERROR(MATCH($A102,$A$15:OFFSET($A102,-1,0),0)),MAX($M$15:OFFSET(M102,-1,0))+1,
                      INDEX($M$15:OFFSET(M102,-1,0),MATCH($A102,$A$15:OFFSET($A102,-1,0),0)))))</f>
        <v>22</v>
      </c>
      <c r="N102" s="167" t="str">
        <f ca="1">IF($D102&lt;&gt;"Serviço","",
         IF(AUTOEVENTO="Manual",
                IF($A102=0,"&lt;-- defina o número do agrupador",
                       OFFSET(EVENTOS!$D$15,$A102-$A$15,0)),
                OFFSET($F$15,$A102,0)))</f>
        <v>PINTURA DD PAREDES INTERNAS</v>
      </c>
      <c r="O102" s="168"/>
      <c r="Q102" s="169">
        <f>112.61*5</f>
        <v>563.04999999999995</v>
      </c>
      <c r="R102" s="169">
        <f t="shared" ref="R102:T102" si="64">112.61*5</f>
        <v>563.04999999999995</v>
      </c>
      <c r="S102" s="169">
        <f t="shared" si="64"/>
        <v>563.04999999999995</v>
      </c>
      <c r="T102" s="169">
        <f t="shared" si="64"/>
        <v>563.04999999999995</v>
      </c>
      <c r="U102" s="169"/>
      <c r="V102" s="169"/>
      <c r="W102" s="169"/>
      <c r="X102" s="169"/>
      <c r="Y102" s="169"/>
      <c r="Z102" s="170"/>
      <c r="AA102" s="169"/>
      <c r="AB102" s="169"/>
      <c r="AC102" s="169"/>
      <c r="AD102" s="169"/>
      <c r="AE102" s="169"/>
      <c r="AF102" s="169"/>
      <c r="AG102" s="169"/>
      <c r="AH102" s="170"/>
      <c r="AJ102" s="452">
        <f ca="1">IF(AND($D102="Serviço",AJ$12&lt;&gt;0,$H102&gt;0,OR(AUTOEVENTO&lt;&gt;"manual",$M102&lt;&gt;$A$15)),
        IF(Import.TipoArredondamento&lt;&gt;"TransfereGOV",
              ROUND(OFFSET($P102,0,AJ$13),15-13*ORÇAMENTO!$AF$7)/$H102*OFFSET(ORÇAMENTO!$X$15,ROW(AJ102)-ROW(AJ$15),0),
              ROUND(ROUND(OFFSET($P102,0,AJ$13),15-13*ORÇAMENTO!$AF$7)*OFFSET(ORÇAMENTO!$W$15,ROW(AJ102)-ROW(AJ$15),0),15-13*ORÇAMENTO!$AF$11)),
         0)</f>
        <v>3023.58</v>
      </c>
      <c r="AK102" s="452">
        <f ca="1">IF(AND($D102="Serviço",AK$12&lt;&gt;0,$H102&gt;0,OR(AUTOEVENTO&lt;&gt;"manual",$M102&lt;&gt;$A$15)),
        IF(Import.TipoArredondamento&lt;&gt;"TransfereGOV",
              ROUND(OFFSET($P102,0,AK$13),15-13*ORÇAMENTO!$AF$7)/$H102*OFFSET(ORÇAMENTO!$X$15,ROW(AK102)-ROW(AK$15),0),
              ROUND(ROUND(OFFSET($P102,0,AK$13),15-13*ORÇAMENTO!$AF$7)*OFFSET(ORÇAMENTO!$W$15,ROW(AK102)-ROW(AK$15),0),15-13*ORÇAMENTO!$AF$11)),
         0)</f>
        <v>3023.58</v>
      </c>
      <c r="AL102" s="452">
        <f ca="1">IF(AND($D102="Serviço",AL$12&lt;&gt;0,$H102&gt;0,OR(AUTOEVENTO&lt;&gt;"manual",$M102&lt;&gt;$A$15)),
        IF(Import.TipoArredondamento&lt;&gt;"TransfereGOV",
              ROUND(OFFSET($P102,0,AL$13),15-13*ORÇAMENTO!$AF$7)/$H102*OFFSET(ORÇAMENTO!$X$15,ROW(AL102)-ROW(AL$15),0),
              ROUND(ROUND(OFFSET($P102,0,AL$13),15-13*ORÇAMENTO!$AF$7)*OFFSET(ORÇAMENTO!$W$15,ROW(AL102)-ROW(AL$15),0),15-13*ORÇAMENTO!$AF$11)),
         0)</f>
        <v>3023.58</v>
      </c>
      <c r="AM102" s="452">
        <f ca="1">IF(AND($D102="Serviço",AM$12&lt;&gt;0,$H102&gt;0,OR(AUTOEVENTO&lt;&gt;"manual",$M102&lt;&gt;$A$15)),
        IF(Import.TipoArredondamento&lt;&gt;"TransfereGOV",
              ROUND(OFFSET($P102,0,AM$13),15-13*ORÇAMENTO!$AF$7)/$H102*OFFSET(ORÇAMENTO!$X$15,ROW(AM102)-ROW(AM$15),0),
              ROUND(ROUND(OFFSET($P102,0,AM$13),15-13*ORÇAMENTO!$AF$7)*OFFSET(ORÇAMENTO!$W$15,ROW(AM102)-ROW(AM$15),0),15-13*ORÇAMENTO!$AF$11)),
         0)</f>
        <v>3023.58</v>
      </c>
      <c r="AN102" s="452">
        <f ca="1">IF(AND($D102="Serviço",AN$12&lt;&gt;0,$H102&gt;0,OR(AUTOEVENTO&lt;&gt;"manual",$M102&lt;&gt;$A$15)),
        IF(Import.TipoArredondamento&lt;&gt;"TransfereGOV",
              ROUND(OFFSET($P102,0,AN$13),15-13*ORÇAMENTO!$AF$7)/$H102*OFFSET(ORÇAMENTO!$X$15,ROW(AN102)-ROW(AN$15),0),
              ROUND(ROUND(OFFSET($P102,0,AN$13),15-13*ORÇAMENTO!$AF$7)*OFFSET(ORÇAMENTO!$W$15,ROW(AN102)-ROW(AN$15),0),15-13*ORÇAMENTO!$AF$11)),
         0)</f>
        <v>0</v>
      </c>
      <c r="AO102" s="452">
        <f ca="1">IF(AND($D102="Serviço",AO$12&lt;&gt;0,$H102&gt;0,OR(AUTOEVENTO&lt;&gt;"manual",$M102&lt;&gt;$A$15)),
        IF(Import.TipoArredondamento&lt;&gt;"TransfereGOV",
              ROUND(OFFSET($P102,0,AO$13),15-13*ORÇAMENTO!$AF$7)/$H102*OFFSET(ORÇAMENTO!$X$15,ROW(AO102)-ROW(AO$15),0),
              ROUND(ROUND(OFFSET($P102,0,AO$13),15-13*ORÇAMENTO!$AF$7)*OFFSET(ORÇAMENTO!$W$15,ROW(AO102)-ROW(AO$15),0),15-13*ORÇAMENTO!$AF$11)),
         0)</f>
        <v>0</v>
      </c>
      <c r="AP102" s="452">
        <f ca="1">IF(AND($D102="Serviço",AP$12&lt;&gt;0,$H102&gt;0,OR(AUTOEVENTO&lt;&gt;"manual",$M102&lt;&gt;$A$15)),
        IF(Import.TipoArredondamento&lt;&gt;"TransfereGOV",
              ROUND(OFFSET($P102,0,AP$13),15-13*ORÇAMENTO!$AF$7)/$H102*OFFSET(ORÇAMENTO!$X$15,ROW(AP102)-ROW(AP$15),0),
              ROUND(ROUND(OFFSET($P102,0,AP$13),15-13*ORÇAMENTO!$AF$7)*OFFSET(ORÇAMENTO!$W$15,ROW(AP102)-ROW(AP$15),0),15-13*ORÇAMENTO!$AF$11)),
         0)</f>
        <v>0</v>
      </c>
      <c r="AQ102" s="452">
        <f ca="1">IF(AND($D102="Serviço",AQ$12&lt;&gt;0,$H102&gt;0,OR(AUTOEVENTO&lt;&gt;"manual",$M102&lt;&gt;$A$15)),
        IF(Import.TipoArredondamento&lt;&gt;"TransfereGOV",
              ROUND(OFFSET($P102,0,AQ$13),15-13*ORÇAMENTO!$AF$7)/$H102*OFFSET(ORÇAMENTO!$X$15,ROW(AQ102)-ROW(AQ$15),0),
              ROUND(ROUND(OFFSET($P102,0,AQ$13),15-13*ORÇAMENTO!$AF$7)*OFFSET(ORÇAMENTO!$W$15,ROW(AQ102)-ROW(AQ$15),0),15-13*ORÇAMENTO!$AF$11)),
         0)</f>
        <v>0</v>
      </c>
      <c r="AR102" s="452">
        <f ca="1">IF(AND($D102="Serviço",AR$12&lt;&gt;0,$H102&gt;0,OR(AUTOEVENTO&lt;&gt;"manual",$M102&lt;&gt;$A$15)),
        IF(Import.TipoArredondamento&lt;&gt;"TransfereGOV",
              ROUND(OFFSET($P102,0,AR$13),15-13*ORÇAMENTO!$AF$7)/$H102*OFFSET(ORÇAMENTO!$X$15,ROW(AR102)-ROW(AR$15),0),
              ROUND(ROUND(OFFSET($P102,0,AR$13),15-13*ORÇAMENTO!$AF$7)*OFFSET(ORÇAMENTO!$W$15,ROW(AR102)-ROW(AR$15),0),15-13*ORÇAMENTO!$AF$11)),
         0)</f>
        <v>0</v>
      </c>
      <c r="AS102" s="452">
        <f ca="1">IF(AND($D102="Serviço",AS$12&lt;&gt;0,$H102&gt;0,OR(AUTOEVENTO&lt;&gt;"manual",$M102&lt;&gt;$A$15)),
        IF(Import.TipoArredondamento&lt;&gt;"TransfereGOV",
              ROUND(OFFSET($P102,0,AS$13),15-13*ORÇAMENTO!$AF$7)/$H102*OFFSET(ORÇAMENTO!$X$15,ROW(AS102)-ROW(AS$15),0),
              ROUND(ROUND(OFFSET($P102,0,AS$13),15-13*ORÇAMENTO!$AF$7)*OFFSET(ORÇAMENTO!$W$15,ROW(AS102)-ROW(AS$15),0),15-13*ORÇAMENTO!$AF$11)),
         0)</f>
        <v>0</v>
      </c>
      <c r="AT102" s="452">
        <f ca="1">IF(AND($D102="Serviço",AT$12&lt;&gt;0,$H102&gt;0,OR(AUTOEVENTO&lt;&gt;"manual",$M102&lt;&gt;$A$15)),
        IF(Import.TipoArredondamento&lt;&gt;"TransfereGOV",
              ROUND(OFFSET($P102,0,AT$13),15-13*ORÇAMENTO!$AF$7)/$H102*OFFSET(ORÇAMENTO!$X$15,ROW(AT102)-ROW(AT$15),0),
              ROUND(ROUND(OFFSET($P102,0,AT$13),15-13*ORÇAMENTO!$AF$7)*OFFSET(ORÇAMENTO!$W$15,ROW(AT102)-ROW(AT$15),0),15-13*ORÇAMENTO!$AF$11)),
         0)</f>
        <v>0</v>
      </c>
      <c r="AU102" s="452">
        <f ca="1">IF(AND($D102="Serviço",AU$12&lt;&gt;0,$H102&gt;0,OR(AUTOEVENTO&lt;&gt;"manual",$M102&lt;&gt;$A$15)),
        IF(Import.TipoArredondamento&lt;&gt;"TransfereGOV",
              ROUND(OFFSET($P102,0,AU$13),15-13*ORÇAMENTO!$AF$7)/$H102*OFFSET(ORÇAMENTO!$X$15,ROW(AU102)-ROW(AU$15),0),
              ROUND(ROUND(OFFSET($P102,0,AU$13),15-13*ORÇAMENTO!$AF$7)*OFFSET(ORÇAMENTO!$W$15,ROW(AU102)-ROW(AU$15),0),15-13*ORÇAMENTO!$AF$11)),
         0)</f>
        <v>0</v>
      </c>
      <c r="AV102" s="452">
        <f ca="1">IF(AND($D102="Serviço",AV$12&lt;&gt;0,$H102&gt;0,OR(AUTOEVENTO&lt;&gt;"manual",$M102&lt;&gt;$A$15)),
        IF(Import.TipoArredondamento&lt;&gt;"TransfereGOV",
              ROUND(OFFSET($P102,0,AV$13),15-13*ORÇAMENTO!$AF$7)/$H102*OFFSET(ORÇAMENTO!$X$15,ROW(AV102)-ROW(AV$15),0),
              ROUND(ROUND(OFFSET($P102,0,AV$13),15-13*ORÇAMENTO!$AF$7)*OFFSET(ORÇAMENTO!$W$15,ROW(AV102)-ROW(AV$15),0),15-13*ORÇAMENTO!$AF$11)),
         0)</f>
        <v>0</v>
      </c>
      <c r="AW102" s="452">
        <f ca="1">IF(AND($D102="Serviço",AW$12&lt;&gt;0,$H102&gt;0,OR(AUTOEVENTO&lt;&gt;"manual",$M102&lt;&gt;$A$15)),
        IF(Import.TipoArredondamento&lt;&gt;"TransfereGOV",
              ROUND(OFFSET($P102,0,AW$13),15-13*ORÇAMENTO!$AF$7)/$H102*OFFSET(ORÇAMENTO!$X$15,ROW(AW102)-ROW(AW$15),0),
              ROUND(ROUND(OFFSET($P102,0,AW$13),15-13*ORÇAMENTO!$AF$7)*OFFSET(ORÇAMENTO!$W$15,ROW(AW102)-ROW(AW$15),0),15-13*ORÇAMENTO!$AF$11)),
         0)</f>
        <v>0</v>
      </c>
      <c r="AX102" s="452">
        <f ca="1">IF(AND($D102="Serviço",AX$12&lt;&gt;0,$H102&gt;0,OR(AUTOEVENTO&lt;&gt;"manual",$M102&lt;&gt;$A$15)),
        IF(Import.TipoArredondamento&lt;&gt;"TransfereGOV",
              ROUND(OFFSET($P102,0,AX$13),15-13*ORÇAMENTO!$AF$7)/$H102*OFFSET(ORÇAMENTO!$X$15,ROW(AX102)-ROW(AX$15),0),
              ROUND(ROUND(OFFSET($P102,0,AX$13),15-13*ORÇAMENTO!$AF$7)*OFFSET(ORÇAMENTO!$W$15,ROW(AX102)-ROW(AX$15),0),15-13*ORÇAMENTO!$AF$11)),
         0)</f>
        <v>0</v>
      </c>
      <c r="AY102" s="452">
        <f ca="1">IF(AND($D102="Serviço",AY$12&lt;&gt;0,$H102&gt;0,OR(AUTOEVENTO&lt;&gt;"manual",$M102&lt;&gt;$A$15)),
        IF(Import.TipoArredondamento&lt;&gt;"TransfereGOV",
              ROUND(OFFSET($P102,0,AY$13),15-13*ORÇAMENTO!$AF$7)/$H102*OFFSET(ORÇAMENTO!$X$15,ROW(AY102)-ROW(AY$15),0),
              ROUND(ROUND(OFFSET($P102,0,AY$13),15-13*ORÇAMENTO!$AF$7)*OFFSET(ORÇAMENTO!$W$15,ROW(AY102)-ROW(AY$15),0),15-13*ORÇAMENTO!$AF$11)),
         0)</f>
        <v>0</v>
      </c>
      <c r="AZ102" s="452">
        <f ca="1">IF(AND($D102="Serviço",AZ$12&lt;&gt;0,$H102&gt;0,OR(AUTOEVENTO&lt;&gt;"manual",$M102&lt;&gt;$A$15)),
        IF(Import.TipoArredondamento&lt;&gt;"TransfereGOV",
              ROUND(OFFSET($P102,0,AZ$13),15-13*ORÇAMENTO!$AF$7)/$H102*OFFSET(ORÇAMENTO!$X$15,ROW(AZ102)-ROW(AZ$15),0),
              ROUND(ROUND(OFFSET($P102,0,AZ$13),15-13*ORÇAMENTO!$AF$7)*OFFSET(ORÇAMENTO!$W$15,ROW(AZ102)-ROW(AZ$15),0),15-13*ORÇAMENTO!$AF$11)),
         0)</f>
        <v>0</v>
      </c>
      <c r="BA102" s="452">
        <f ca="1">IF(AND($D102="Serviço",BA$12&lt;&gt;0,$H102&gt;0,OR(AUTOEVENTO&lt;&gt;"manual",$M102&lt;&gt;$A$15)),
        IF(Import.TipoArredondamento&lt;&gt;"TransfereGOV",
              ROUND(OFFSET($P102,0,BA$13),15-13*ORÇAMENTO!$AF$7)/$H102*OFFSET(ORÇAMENTO!$X$15,ROW(BA102)-ROW(BA$15),0),
              ROUND(ROUND(OFFSET($P102,0,BA$13),15-13*ORÇAMENTO!$AF$7)*OFFSET(ORÇAMENTO!$W$15,ROW(BA102)-ROW(BA$15),0),15-13*ORÇAMENTO!$AF$11)),
         0)</f>
        <v>0</v>
      </c>
      <c r="BC102" s="171">
        <f ca="1">IF(OR($D102&lt;&gt;"Serviço",AND(AUTOEVENTO="Manual",$M102=$A$15)),0,
         IF(OFFSET(CRONOPLE!$F$15,$M102-$A$15,BC$13)=0,10^12,OFFSET(CRONOPLE!$F$15,$M102-$A$15,BC$13)))</f>
        <v>7</v>
      </c>
      <c r="BD102" s="171">
        <f ca="1">IF(OR($D102&lt;&gt;"Serviço",AND(AUTOEVENTO="Manual",$M102=$A$15)),0,
         IF(OFFSET(CRONOPLE!$F$15,$M102-$A$15,BD$13)=0,10^12,OFFSET(CRONOPLE!$F$15,$M102-$A$15,BD$13)))</f>
        <v>7</v>
      </c>
      <c r="BE102" s="171">
        <f ca="1">IF(OR($D102&lt;&gt;"Serviço",AND(AUTOEVENTO="Manual",$M102=$A$15)),0,
         IF(OFFSET(CRONOPLE!$F$15,$M102-$A$15,BE$13)=0,10^12,OFFSET(CRONOPLE!$F$15,$M102-$A$15,BE$13)))</f>
        <v>8</v>
      </c>
      <c r="BF102" s="171">
        <f ca="1">IF(OR($D102&lt;&gt;"Serviço",AND(AUTOEVENTO="Manual",$M102=$A$15)),0,
         IF(OFFSET(CRONOPLE!$F$15,$M102-$A$15,BF$13)=0,10^12,OFFSET(CRONOPLE!$F$15,$M102-$A$15,BF$13)))</f>
        <v>9</v>
      </c>
      <c r="BG102" s="171">
        <f ca="1">IF(OR($D102&lt;&gt;"Serviço",AND(AUTOEVENTO="Manual",$M102=$A$15)),0,
         IF(OFFSET(CRONOPLE!$F$15,$M102-$A$15,BG$13)=0,10^12,OFFSET(CRONOPLE!$F$15,$M102-$A$15,BG$13)))</f>
        <v>9</v>
      </c>
      <c r="BH102" s="171">
        <f ca="1">IF(OR($D102&lt;&gt;"Serviço",AND(AUTOEVENTO="Manual",$M102=$A$15)),0,
         IF(OFFSET(CRONOPLE!$F$15,$M102-$A$15,BH$13)=0,10^12,OFFSET(CRONOPLE!$F$15,$M102-$A$15,BH$13)))</f>
        <v>1000000000000</v>
      </c>
      <c r="BI102" s="171">
        <f ca="1">IF(OR($D102&lt;&gt;"Serviço",AND(AUTOEVENTO="Manual",$M102=$A$15)),0,
         IF(OFFSET(CRONOPLE!$F$15,$M102-$A$15,BI$13)=0,10^12,OFFSET(CRONOPLE!$F$15,$M102-$A$15,BI$13)))</f>
        <v>7</v>
      </c>
      <c r="BJ102" s="171">
        <f ca="1">IF(OR($D102&lt;&gt;"Serviço",AND(AUTOEVENTO="Manual",$M102=$A$15)),0,
         IF(OFFSET(CRONOPLE!$F$15,$M102-$A$15,BJ$13)=0,10^12,OFFSET(CRONOPLE!$F$15,$M102-$A$15,BJ$13)))</f>
        <v>8</v>
      </c>
      <c r="BK102" s="171">
        <f ca="1">IF(OR($D102&lt;&gt;"Serviço",AND(AUTOEVENTO="Manual",$M102=$A$15)),0,
         IF(OFFSET(CRONOPLE!$F$15,$M102-$A$15,BK$13)=0,10^12,OFFSET(CRONOPLE!$F$15,$M102-$A$15,BK$13)))</f>
        <v>1000000000000</v>
      </c>
      <c r="BL102" s="171">
        <f ca="1">IF(OR($D102&lt;&gt;"Serviço",AND(AUTOEVENTO="Manual",$M102=$A$15)),0,
         IF(OFFSET(CRONOPLE!$F$15,$M102-$A$15,BL$13)=0,10^12,OFFSET(CRONOPLE!$F$15,$M102-$A$15,BL$13)))</f>
        <v>1000000000000</v>
      </c>
      <c r="BM102" s="171">
        <f ca="1">IF(OR($D102&lt;&gt;"Serviço",AND(AUTOEVENTO="Manual",$M102=$A$15)),0,
         IF(OFFSET(CRONOPLE!$F$15,$M102-$A$15,BM$13)=0,10^12,OFFSET(CRONOPLE!$F$15,$M102-$A$15,BM$13)))</f>
        <v>1000000000000</v>
      </c>
      <c r="BN102" s="171">
        <f ca="1">IF(OR($D102&lt;&gt;"Serviço",AND(AUTOEVENTO="Manual",$M102=$A$15)),0,
         IF(OFFSET(CRONOPLE!$F$15,$M102-$A$15,BN$13)=0,10^12,OFFSET(CRONOPLE!$F$15,$M102-$A$15,BN$13)))</f>
        <v>1000000000000</v>
      </c>
      <c r="BO102" s="171">
        <f ca="1">IF(OR($D102&lt;&gt;"Serviço",AND(AUTOEVENTO="Manual",$M102=$A$15)),0,
         IF(OFFSET(CRONOPLE!$F$15,$M102-$A$15,BO$13)=0,10^12,OFFSET(CRONOPLE!$F$15,$M102-$A$15,BO$13)))</f>
        <v>1000000000000</v>
      </c>
      <c r="BP102" s="171">
        <f ca="1">IF(OR($D102&lt;&gt;"Serviço",AND(AUTOEVENTO="Manual",$M102=$A$15)),0,
         IF(OFFSET(CRONOPLE!$F$15,$M102-$A$15,BP$13)=0,10^12,OFFSET(CRONOPLE!$F$15,$M102-$A$15,BP$13)))</f>
        <v>1000000000000</v>
      </c>
      <c r="BQ102" s="171">
        <f ca="1">IF(OR($D102&lt;&gt;"Serviço",AND(AUTOEVENTO="Manual",$M102=$A$15)),0,
         IF(OFFSET(CRONOPLE!$F$15,$M102-$A$15,BQ$13)=0,10^12,OFFSET(CRONOPLE!$F$15,$M102-$A$15,BQ$13)))</f>
        <v>1000000000000</v>
      </c>
      <c r="BR102" s="171">
        <f ca="1">IF(OR($D102&lt;&gt;"Serviço",AND(AUTOEVENTO="Manual",$M102=$A$15)),0,
         IF(OFFSET(CRONOPLE!$F$15,$M102-$A$15,BR$13)=0,10^12,OFFSET(CRONOPLE!$F$15,$M102-$A$15,BR$13)))</f>
        <v>1000000000000</v>
      </c>
      <c r="BS102" s="171">
        <f ca="1">IF(OR($D102&lt;&gt;"Serviço",AND(AUTOEVENTO="Manual",$M102=$A$15)),0,
         IF(OFFSET(CRONOPLE!$F$15,$M102-$A$15,BS$13)=0,10^12,OFFSET(CRONOPLE!$F$15,$M102-$A$15,BS$13)))</f>
        <v>1000000000000</v>
      </c>
      <c r="BT102" s="171">
        <f ca="1">IF(OR($D102&lt;&gt;"Serviço",AND(AUTOEVENTO="Manual",$M102=$A$15)),0,
         IF(OFFSET(CRONOPLE!$F$15,$M102-$A$15,BT$13)=0,10^12,OFFSET(CRONOPLE!$F$15,$M102-$A$15,BT$13)))</f>
        <v>1000000000000</v>
      </c>
      <c r="BV102" s="172">
        <f t="array" aca="1" ref="BV102" ca="1">IF(OR($D102&lt;&gt;"Serviço",AND(AUTOEVENTO="Manual",$M102=$A$15),$M102&gt;(ROW(PLE.lastrow)-ROW(PLE.firstrow))),0,
           IF(OFFSET(PLE!$G$15,$M102-$A$15,BV$13)="",10^12,OFFSET(PLE!$G$15,$M102-$A$15,BV$13)))</f>
        <v>1000000000000</v>
      </c>
      <c r="BW102" s="172">
        <f t="array" aca="1" ref="BW102" ca="1">IF(OR($D102&lt;&gt;"Serviço",AND(AUTOEVENTO="Manual",$M102=$A$15),$M102&gt;(ROW(PLE.lastrow)-ROW(PLE.firstrow))),0,
           IF(OFFSET(PLE!$G$15,$M102-$A$15,BW$13)="",10^12,OFFSET(PLE!$G$15,$M102-$A$15,BW$13)))</f>
        <v>1000000000000</v>
      </c>
      <c r="BX102" s="172">
        <f t="array" aca="1" ref="BX102" ca="1">IF(OR($D102&lt;&gt;"Serviço",AND(AUTOEVENTO="Manual",$M102=$A$15),$M102&gt;(ROW(PLE.lastrow)-ROW(PLE.firstrow))),0,
           IF(OFFSET(PLE!$G$15,$M102-$A$15,BX$13)="",10^12,OFFSET(PLE!$G$15,$M102-$A$15,BX$13)))</f>
        <v>1000000000000</v>
      </c>
      <c r="BY102" s="172">
        <f t="array" aca="1" ref="BY102" ca="1">IF(OR($D102&lt;&gt;"Serviço",AND(AUTOEVENTO="Manual",$M102=$A$15),$M102&gt;(ROW(PLE.lastrow)-ROW(PLE.firstrow))),0,
           IF(OFFSET(PLE!$G$15,$M102-$A$15,BY$13)="",10^12,OFFSET(PLE!$G$15,$M102-$A$15,BY$13)))</f>
        <v>1000000000000</v>
      </c>
      <c r="BZ102" s="172">
        <f t="array" aca="1" ref="BZ102" ca="1">IF(OR($D102&lt;&gt;"Serviço",AND(AUTOEVENTO="Manual",$M102=$A$15),$M102&gt;(ROW(PLE.lastrow)-ROW(PLE.firstrow))),0,
           IF(OFFSET(PLE!$G$15,$M102-$A$15,BZ$13)="",10^12,OFFSET(PLE!$G$15,$M102-$A$15,BZ$13)))</f>
        <v>1000000000000</v>
      </c>
      <c r="CA102" s="172">
        <f t="array" aca="1" ref="CA102" ca="1">IF(OR($D102&lt;&gt;"Serviço",AND(AUTOEVENTO="Manual",$M102=$A$15),$M102&gt;(ROW(PLE.lastrow)-ROW(PLE.firstrow))),0,
           IF(OFFSET(PLE!$G$15,$M102-$A$15,CA$13)="",10^12,OFFSET(PLE!$G$15,$M102-$A$15,CA$13)))</f>
        <v>1000000000000</v>
      </c>
      <c r="CB102" s="172">
        <f t="array" aca="1" ref="CB102" ca="1">IF(OR($D102&lt;&gt;"Serviço",AND(AUTOEVENTO="Manual",$M102=$A$15),$M102&gt;(ROW(PLE.lastrow)-ROW(PLE.firstrow))),0,
           IF(OFFSET(PLE!$G$15,$M102-$A$15,CB$13)="",10^12,OFFSET(PLE!$G$15,$M102-$A$15,CB$13)))</f>
        <v>1000000000000</v>
      </c>
      <c r="CC102" s="172">
        <f t="array" aca="1" ref="CC102" ca="1">IF(OR($D102&lt;&gt;"Serviço",AND(AUTOEVENTO="Manual",$M102=$A$15),$M102&gt;(ROW(PLE.lastrow)-ROW(PLE.firstrow))),0,
           IF(OFFSET(PLE!$G$15,$M102-$A$15,CC$13)="",10^12,OFFSET(PLE!$G$15,$M102-$A$15,CC$13)))</f>
        <v>1000000000000</v>
      </c>
      <c r="CD102" s="172">
        <f t="array" aca="1" ref="CD102" ca="1">IF(OR($D102&lt;&gt;"Serviço",AND(AUTOEVENTO="Manual",$M102=$A$15),$M102&gt;(ROW(PLE.lastrow)-ROW(PLE.firstrow))),0,
           IF(OFFSET(PLE!$G$15,$M102-$A$15,CD$13)="",10^12,OFFSET(PLE!$G$15,$M102-$A$15,CD$13)))</f>
        <v>1000000000000</v>
      </c>
      <c r="CE102" s="172">
        <f t="array" aca="1" ref="CE102" ca="1">IF(OR($D102&lt;&gt;"Serviço",AND(AUTOEVENTO="Manual",$M102=$A$15),$M102&gt;(ROW(PLE.lastrow)-ROW(PLE.firstrow))),0,
           IF(OFFSET(PLE!$G$15,$M102-$A$15,CE$13)="",10^12,OFFSET(PLE!$G$15,$M102-$A$15,CE$13)))</f>
        <v>1000000000000</v>
      </c>
      <c r="CF102" s="172">
        <f t="array" aca="1" ref="CF102" ca="1">IF(OR($D102&lt;&gt;"Serviço",AND(AUTOEVENTO="Manual",$M102=$A$15),$M102&gt;(ROW(PLE.lastrow)-ROW(PLE.firstrow))),0,
           IF(OFFSET(PLE!$G$15,$M102-$A$15,CF$13)="",10^12,OFFSET(PLE!$G$15,$M102-$A$15,CF$13)))</f>
        <v>1000000000000</v>
      </c>
      <c r="CG102" s="172">
        <f t="array" aca="1" ref="CG102" ca="1">IF(OR($D102&lt;&gt;"Serviço",AND(AUTOEVENTO="Manual",$M102=$A$15),$M102&gt;(ROW(PLE.lastrow)-ROW(PLE.firstrow))),0,
           IF(OFFSET(PLE!$G$15,$M102-$A$15,CG$13)="",10^12,OFFSET(PLE!$G$15,$M102-$A$15,CG$13)))</f>
        <v>1000000000000</v>
      </c>
      <c r="CH102" s="172">
        <f t="array" aca="1" ref="CH102" ca="1">IF(OR($D102&lt;&gt;"Serviço",AND(AUTOEVENTO="Manual",$M102=$A$15),$M102&gt;(ROW(PLE.lastrow)-ROW(PLE.firstrow))),0,
           IF(OFFSET(PLE!$G$15,$M102-$A$15,CH$13)="",10^12,OFFSET(PLE!$G$15,$M102-$A$15,CH$13)))</f>
        <v>1000000000000</v>
      </c>
      <c r="CI102" s="172">
        <f t="array" aca="1" ref="CI102" ca="1">IF(OR($D102&lt;&gt;"Serviço",AND(AUTOEVENTO="Manual",$M102=$A$15),$M102&gt;(ROW(PLE.lastrow)-ROW(PLE.firstrow))),0,
           IF(OFFSET(PLE!$G$15,$M102-$A$15,CI$13)="",10^12,OFFSET(PLE!$G$15,$M102-$A$15,CI$13)))</f>
        <v>1000000000000</v>
      </c>
      <c r="CJ102" s="172">
        <f t="array" aca="1" ref="CJ102" ca="1">IF(OR($D102&lt;&gt;"Serviço",AND(AUTOEVENTO="Manual",$M102=$A$15),$M102&gt;(ROW(PLE.lastrow)-ROW(PLE.firstrow))),0,
           IF(OFFSET(PLE!$G$15,$M102-$A$15,CJ$13)="",10^12,OFFSET(PLE!$G$15,$M102-$A$15,CJ$13)))</f>
        <v>1000000000000</v>
      </c>
      <c r="CK102" s="172">
        <f t="array" aca="1" ref="CK102" ca="1">IF(OR($D102&lt;&gt;"Serviço",AND(AUTOEVENTO="Manual",$M102=$A$15),$M102&gt;(ROW(PLE.lastrow)-ROW(PLE.firstrow))),0,
           IF(OFFSET(PLE!$G$15,$M102-$A$15,CK$13)="",10^12,OFFSET(PLE!$G$15,$M102-$A$15,CK$13)))</f>
        <v>1000000000000</v>
      </c>
      <c r="CL102" s="172">
        <f t="array" aca="1" ref="CL102" ca="1">IF(OR($D102&lt;&gt;"Serviço",AND(AUTOEVENTO="Manual",$M102=$A$15),$M102&gt;(ROW(PLE.lastrow)-ROW(PLE.firstrow))),0,
           IF(OFFSET(PLE!$G$15,$M102-$A$15,CL$13)="",10^12,OFFSET(PLE!$G$15,$M102-$A$15,CL$13)))</f>
        <v>1000000000000</v>
      </c>
      <c r="CM102" s="172">
        <f t="array" aca="1" ref="CM102" ca="1">IF(OR($D102&lt;&gt;"Serviço",AND(AUTOEVENTO="Manual",$M102=$A$15),$M102&gt;(ROW(PLE.lastrow)-ROW(PLE.firstrow))),0,
           IF(OFFSET(PLE!$G$15,$M102-$A$15,CM$13)="",10^12,OFFSET(PLE!$G$15,$M102-$A$15,CM$13)))</f>
        <v>1000000000000</v>
      </c>
    </row>
    <row r="103" spans="1:91" s="696" customFormat="1" ht="12.75" customHeight="1" x14ac:dyDescent="0.2">
      <c r="A103" s="694">
        <f t="shared" ca="1" si="45"/>
        <v>23</v>
      </c>
      <c r="B103" s="694" t="str">
        <f ca="1">OFFSET(ORÇAMENTO!C$15,$L103,0)</f>
        <v>S</v>
      </c>
      <c r="C103" s="694" t="str">
        <f ca="1">OFFSET(ORÇAMENTO!L$15,$L103,0)</f>
        <v>F</v>
      </c>
      <c r="D103" s="116" t="str">
        <f ca="1">OFFSET(ORÇAMENTO!N$15,$L103,0)</f>
        <v>Serviço</v>
      </c>
      <c r="E103" s="117" t="str">
        <f ca="1">OFFSET(ORÇAMENTO!O$15,$L103,0)</f>
        <v>1.17.2.</v>
      </c>
      <c r="F103" s="163" t="str">
        <f ca="1">OFFSET(ORÇAMENTO!R$15,$L103,0)</f>
        <v>FUNDO SELADOR ACRÍLICO, APLICAÇÃO MANUAL EM TETO, UMA DEMÃO. AF_04/2023</v>
      </c>
      <c r="G103" s="164" t="str">
        <f ca="1">IF($D103&lt;&gt;"Serviço","",OFFSET(ORÇAMENTO!S$15,$L103,0))</f>
        <v>M2</v>
      </c>
      <c r="H103" s="122">
        <f t="array" aca="1" ref="H103" ca="1">IF($D103&lt;&gt;"Serviço",0,IF(ACOMPANHAMENTO="BM",ROUND(OFFSET(ORÇAMENTO!AJ$15,$L103,0),15-13*ORÇAMENTO!$AF$7),IF(IFERROR(CÁLCULO.FrentesPreenchidas,0)=0,0,SUM(ROUND(OFFSET($P103,0,1,1,CÁLCULO.FrentesPreenchidas),15-13*ORÇAMENTO!$AF$7)))))</f>
        <v>88.8</v>
      </c>
      <c r="I103" s="467" t="s">
        <v>1265</v>
      </c>
      <c r="J103" s="653" t="str">
        <f t="array" aca="1" ref="J103" ca="1">IF(OR(B103&lt;&gt;"S",CÁLCULO.FrentesPreenchidas=0),"",IF(AND(ACOMPANHAMENTO="PLE",AUTOEVENTO="Manual",OR(H103&gt;0,ORÇAMENTO!AC103="QUANT."),OR(K103="",M103=0,N103="")),"►E",IF(AND(ACOMPANHAMENTO="PLE",ORÇAMENTO!AC103="QUANT."),"►Q",IF(AND(ACOMPANHAMENTO="PLE",H103&lt;&gt;SUMPRODUCT(($Q$1:$AI$1=1)*ROUND(Q103:AI103,15))),"►S",IF(AND(COUNTIF($P$11:$AI$11,"▼")=0,H103&gt;0,I103=""),"◄M","")))))</f>
        <v/>
      </c>
      <c r="K103" s="654" t="s">
        <v>1415</v>
      </c>
      <c r="L103" s="165">
        <f t="shared" ca="1" si="46"/>
        <v>88</v>
      </c>
      <c r="M103" s="166">
        <f ca="1">IF($D103&lt;&gt;"Serviço","",
          IF(AUTOEVENTO="manual",$A103,
                IF(ISERROR(MATCH($A103,$A$15:OFFSET($A103,-1,0),0)),MAX($M$15:OFFSET(M103,-1,0))+1,
                      INDEX($M$15:OFFSET(M103,-1,0),MATCH($A103,$A$15:OFFSET($A103,-1,0),0)))))</f>
        <v>23</v>
      </c>
      <c r="N103" s="167" t="str">
        <f ca="1">IF($D103&lt;&gt;"Serviço","",
         IF(AUTOEVENTO="Manual",
                IF($A103=0,"&lt;-- defina o número do agrupador",
                       OFFSET(EVENTOS!$D$15,$A103-$A$15,0)),
                OFFSET($F$15,$A103,0)))</f>
        <v>PINTURA DD TETO INTERNAS</v>
      </c>
      <c r="O103" s="168"/>
      <c r="Q103" s="169">
        <f>4.44*5</f>
        <v>22.200000000000003</v>
      </c>
      <c r="R103" s="169">
        <f t="shared" ref="R103:T104" si="65">4.44*5</f>
        <v>22.200000000000003</v>
      </c>
      <c r="S103" s="169">
        <f t="shared" si="65"/>
        <v>22.200000000000003</v>
      </c>
      <c r="T103" s="169">
        <f t="shared" si="65"/>
        <v>22.200000000000003</v>
      </c>
      <c r="U103" s="169"/>
      <c r="V103" s="169"/>
      <c r="W103" s="169"/>
      <c r="X103" s="169"/>
      <c r="Y103" s="169"/>
      <c r="Z103" s="170"/>
      <c r="AA103" s="169"/>
      <c r="AB103" s="169"/>
      <c r="AC103" s="169"/>
      <c r="AD103" s="169"/>
      <c r="AE103" s="169"/>
      <c r="AF103" s="169"/>
      <c r="AG103" s="169"/>
      <c r="AH103" s="170"/>
      <c r="AJ103" s="452">
        <f ca="1">IF(AND($D103="Serviço",AJ$12&lt;&gt;0,$H103&gt;0,OR(AUTOEVENTO&lt;&gt;"manual",$M103&lt;&gt;$A$15)),
        IF(Import.TipoArredondamento&lt;&gt;"TransfereGOV",
              ROUND(OFFSET($P103,0,AJ$13),15-13*ORÇAMENTO!$AF$7)/$H103*OFFSET(ORÇAMENTO!$X$15,ROW(AJ103)-ROW(AJ$15),0),
              ROUND(ROUND(OFFSET($P103,0,AJ$13),15-13*ORÇAMENTO!$AF$7)*OFFSET(ORÇAMENTO!$W$15,ROW(AJ103)-ROW(AJ$15),0),15-13*ORÇAMENTO!$AF$11)),
         0)</f>
        <v>145.41</v>
      </c>
      <c r="AK103" s="452">
        <f ca="1">IF(AND($D103="Serviço",AK$12&lt;&gt;0,$H103&gt;0,OR(AUTOEVENTO&lt;&gt;"manual",$M103&lt;&gt;$A$15)),
        IF(Import.TipoArredondamento&lt;&gt;"TransfereGOV",
              ROUND(OFFSET($P103,0,AK$13),15-13*ORÇAMENTO!$AF$7)/$H103*OFFSET(ORÇAMENTO!$X$15,ROW(AK103)-ROW(AK$15),0),
              ROUND(ROUND(OFFSET($P103,0,AK$13),15-13*ORÇAMENTO!$AF$7)*OFFSET(ORÇAMENTO!$W$15,ROW(AK103)-ROW(AK$15),0),15-13*ORÇAMENTO!$AF$11)),
         0)</f>
        <v>145.41</v>
      </c>
      <c r="AL103" s="452">
        <f ca="1">IF(AND($D103="Serviço",AL$12&lt;&gt;0,$H103&gt;0,OR(AUTOEVENTO&lt;&gt;"manual",$M103&lt;&gt;$A$15)),
        IF(Import.TipoArredondamento&lt;&gt;"TransfereGOV",
              ROUND(OFFSET($P103,0,AL$13),15-13*ORÇAMENTO!$AF$7)/$H103*OFFSET(ORÇAMENTO!$X$15,ROW(AL103)-ROW(AL$15),0),
              ROUND(ROUND(OFFSET($P103,0,AL$13),15-13*ORÇAMENTO!$AF$7)*OFFSET(ORÇAMENTO!$W$15,ROW(AL103)-ROW(AL$15),0),15-13*ORÇAMENTO!$AF$11)),
         0)</f>
        <v>145.41</v>
      </c>
      <c r="AM103" s="452">
        <f ca="1">IF(AND($D103="Serviço",AM$12&lt;&gt;0,$H103&gt;0,OR(AUTOEVENTO&lt;&gt;"manual",$M103&lt;&gt;$A$15)),
        IF(Import.TipoArredondamento&lt;&gt;"TransfereGOV",
              ROUND(OFFSET($P103,0,AM$13),15-13*ORÇAMENTO!$AF$7)/$H103*OFFSET(ORÇAMENTO!$X$15,ROW(AM103)-ROW(AM$15),0),
              ROUND(ROUND(OFFSET($P103,0,AM$13),15-13*ORÇAMENTO!$AF$7)*OFFSET(ORÇAMENTO!$W$15,ROW(AM103)-ROW(AM$15),0),15-13*ORÇAMENTO!$AF$11)),
         0)</f>
        <v>145.41</v>
      </c>
      <c r="AN103" s="452">
        <f ca="1">IF(AND($D103="Serviço",AN$12&lt;&gt;0,$H103&gt;0,OR(AUTOEVENTO&lt;&gt;"manual",$M103&lt;&gt;$A$15)),
        IF(Import.TipoArredondamento&lt;&gt;"TransfereGOV",
              ROUND(OFFSET($P103,0,AN$13),15-13*ORÇAMENTO!$AF$7)/$H103*OFFSET(ORÇAMENTO!$X$15,ROW(AN103)-ROW(AN$15),0),
              ROUND(ROUND(OFFSET($P103,0,AN$13),15-13*ORÇAMENTO!$AF$7)*OFFSET(ORÇAMENTO!$W$15,ROW(AN103)-ROW(AN$15),0),15-13*ORÇAMENTO!$AF$11)),
         0)</f>
        <v>0</v>
      </c>
      <c r="AO103" s="452">
        <f ca="1">IF(AND($D103="Serviço",AO$12&lt;&gt;0,$H103&gt;0,OR(AUTOEVENTO&lt;&gt;"manual",$M103&lt;&gt;$A$15)),
        IF(Import.TipoArredondamento&lt;&gt;"TransfereGOV",
              ROUND(OFFSET($P103,0,AO$13),15-13*ORÇAMENTO!$AF$7)/$H103*OFFSET(ORÇAMENTO!$X$15,ROW(AO103)-ROW(AO$15),0),
              ROUND(ROUND(OFFSET($P103,0,AO$13),15-13*ORÇAMENTO!$AF$7)*OFFSET(ORÇAMENTO!$W$15,ROW(AO103)-ROW(AO$15),0),15-13*ORÇAMENTO!$AF$11)),
         0)</f>
        <v>0</v>
      </c>
      <c r="AP103" s="452">
        <f ca="1">IF(AND($D103="Serviço",AP$12&lt;&gt;0,$H103&gt;0,OR(AUTOEVENTO&lt;&gt;"manual",$M103&lt;&gt;$A$15)),
        IF(Import.TipoArredondamento&lt;&gt;"TransfereGOV",
              ROUND(OFFSET($P103,0,AP$13),15-13*ORÇAMENTO!$AF$7)/$H103*OFFSET(ORÇAMENTO!$X$15,ROW(AP103)-ROW(AP$15),0),
              ROUND(ROUND(OFFSET($P103,0,AP$13),15-13*ORÇAMENTO!$AF$7)*OFFSET(ORÇAMENTO!$W$15,ROW(AP103)-ROW(AP$15),0),15-13*ORÇAMENTO!$AF$11)),
         0)</f>
        <v>0</v>
      </c>
      <c r="AQ103" s="452">
        <f ca="1">IF(AND($D103="Serviço",AQ$12&lt;&gt;0,$H103&gt;0,OR(AUTOEVENTO&lt;&gt;"manual",$M103&lt;&gt;$A$15)),
        IF(Import.TipoArredondamento&lt;&gt;"TransfereGOV",
              ROUND(OFFSET($P103,0,AQ$13),15-13*ORÇAMENTO!$AF$7)/$H103*OFFSET(ORÇAMENTO!$X$15,ROW(AQ103)-ROW(AQ$15),0),
              ROUND(ROUND(OFFSET($P103,0,AQ$13),15-13*ORÇAMENTO!$AF$7)*OFFSET(ORÇAMENTO!$W$15,ROW(AQ103)-ROW(AQ$15),0),15-13*ORÇAMENTO!$AF$11)),
         0)</f>
        <v>0</v>
      </c>
      <c r="AR103" s="452">
        <f ca="1">IF(AND($D103="Serviço",AR$12&lt;&gt;0,$H103&gt;0,OR(AUTOEVENTO&lt;&gt;"manual",$M103&lt;&gt;$A$15)),
        IF(Import.TipoArredondamento&lt;&gt;"TransfereGOV",
              ROUND(OFFSET($P103,0,AR$13),15-13*ORÇAMENTO!$AF$7)/$H103*OFFSET(ORÇAMENTO!$X$15,ROW(AR103)-ROW(AR$15),0),
              ROUND(ROUND(OFFSET($P103,0,AR$13),15-13*ORÇAMENTO!$AF$7)*OFFSET(ORÇAMENTO!$W$15,ROW(AR103)-ROW(AR$15),0),15-13*ORÇAMENTO!$AF$11)),
         0)</f>
        <v>0</v>
      </c>
      <c r="AS103" s="452">
        <f ca="1">IF(AND($D103="Serviço",AS$12&lt;&gt;0,$H103&gt;0,OR(AUTOEVENTO&lt;&gt;"manual",$M103&lt;&gt;$A$15)),
        IF(Import.TipoArredondamento&lt;&gt;"TransfereGOV",
              ROUND(OFFSET($P103,0,AS$13),15-13*ORÇAMENTO!$AF$7)/$H103*OFFSET(ORÇAMENTO!$X$15,ROW(AS103)-ROW(AS$15),0),
              ROUND(ROUND(OFFSET($P103,0,AS$13),15-13*ORÇAMENTO!$AF$7)*OFFSET(ORÇAMENTO!$W$15,ROW(AS103)-ROW(AS$15),0),15-13*ORÇAMENTO!$AF$11)),
         0)</f>
        <v>0</v>
      </c>
      <c r="AT103" s="452">
        <f ca="1">IF(AND($D103="Serviço",AT$12&lt;&gt;0,$H103&gt;0,OR(AUTOEVENTO&lt;&gt;"manual",$M103&lt;&gt;$A$15)),
        IF(Import.TipoArredondamento&lt;&gt;"TransfereGOV",
              ROUND(OFFSET($P103,0,AT$13),15-13*ORÇAMENTO!$AF$7)/$H103*OFFSET(ORÇAMENTO!$X$15,ROW(AT103)-ROW(AT$15),0),
              ROUND(ROUND(OFFSET($P103,0,AT$13),15-13*ORÇAMENTO!$AF$7)*OFFSET(ORÇAMENTO!$W$15,ROW(AT103)-ROW(AT$15),0),15-13*ORÇAMENTO!$AF$11)),
         0)</f>
        <v>0</v>
      </c>
      <c r="AU103" s="452">
        <f ca="1">IF(AND($D103="Serviço",AU$12&lt;&gt;0,$H103&gt;0,OR(AUTOEVENTO&lt;&gt;"manual",$M103&lt;&gt;$A$15)),
        IF(Import.TipoArredondamento&lt;&gt;"TransfereGOV",
              ROUND(OFFSET($P103,0,AU$13),15-13*ORÇAMENTO!$AF$7)/$H103*OFFSET(ORÇAMENTO!$X$15,ROW(AU103)-ROW(AU$15),0),
              ROUND(ROUND(OFFSET($P103,0,AU$13),15-13*ORÇAMENTO!$AF$7)*OFFSET(ORÇAMENTO!$W$15,ROW(AU103)-ROW(AU$15),0),15-13*ORÇAMENTO!$AF$11)),
         0)</f>
        <v>0</v>
      </c>
      <c r="AV103" s="452">
        <f ca="1">IF(AND($D103="Serviço",AV$12&lt;&gt;0,$H103&gt;0,OR(AUTOEVENTO&lt;&gt;"manual",$M103&lt;&gt;$A$15)),
        IF(Import.TipoArredondamento&lt;&gt;"TransfereGOV",
              ROUND(OFFSET($P103,0,AV$13),15-13*ORÇAMENTO!$AF$7)/$H103*OFFSET(ORÇAMENTO!$X$15,ROW(AV103)-ROW(AV$15),0),
              ROUND(ROUND(OFFSET($P103,0,AV$13),15-13*ORÇAMENTO!$AF$7)*OFFSET(ORÇAMENTO!$W$15,ROW(AV103)-ROW(AV$15),0),15-13*ORÇAMENTO!$AF$11)),
         0)</f>
        <v>0</v>
      </c>
      <c r="AW103" s="452">
        <f ca="1">IF(AND($D103="Serviço",AW$12&lt;&gt;0,$H103&gt;0,OR(AUTOEVENTO&lt;&gt;"manual",$M103&lt;&gt;$A$15)),
        IF(Import.TipoArredondamento&lt;&gt;"TransfereGOV",
              ROUND(OFFSET($P103,0,AW$13),15-13*ORÇAMENTO!$AF$7)/$H103*OFFSET(ORÇAMENTO!$X$15,ROW(AW103)-ROW(AW$15),0),
              ROUND(ROUND(OFFSET($P103,0,AW$13),15-13*ORÇAMENTO!$AF$7)*OFFSET(ORÇAMENTO!$W$15,ROW(AW103)-ROW(AW$15),0),15-13*ORÇAMENTO!$AF$11)),
         0)</f>
        <v>0</v>
      </c>
      <c r="AX103" s="452">
        <f ca="1">IF(AND($D103="Serviço",AX$12&lt;&gt;0,$H103&gt;0,OR(AUTOEVENTO&lt;&gt;"manual",$M103&lt;&gt;$A$15)),
        IF(Import.TipoArredondamento&lt;&gt;"TransfereGOV",
              ROUND(OFFSET($P103,0,AX$13),15-13*ORÇAMENTO!$AF$7)/$H103*OFFSET(ORÇAMENTO!$X$15,ROW(AX103)-ROW(AX$15),0),
              ROUND(ROUND(OFFSET($P103,0,AX$13),15-13*ORÇAMENTO!$AF$7)*OFFSET(ORÇAMENTO!$W$15,ROW(AX103)-ROW(AX$15),0),15-13*ORÇAMENTO!$AF$11)),
         0)</f>
        <v>0</v>
      </c>
      <c r="AY103" s="452">
        <f ca="1">IF(AND($D103="Serviço",AY$12&lt;&gt;0,$H103&gt;0,OR(AUTOEVENTO&lt;&gt;"manual",$M103&lt;&gt;$A$15)),
        IF(Import.TipoArredondamento&lt;&gt;"TransfereGOV",
              ROUND(OFFSET($P103,0,AY$13),15-13*ORÇAMENTO!$AF$7)/$H103*OFFSET(ORÇAMENTO!$X$15,ROW(AY103)-ROW(AY$15),0),
              ROUND(ROUND(OFFSET($P103,0,AY$13),15-13*ORÇAMENTO!$AF$7)*OFFSET(ORÇAMENTO!$W$15,ROW(AY103)-ROW(AY$15),0),15-13*ORÇAMENTO!$AF$11)),
         0)</f>
        <v>0</v>
      </c>
      <c r="AZ103" s="452">
        <f ca="1">IF(AND($D103="Serviço",AZ$12&lt;&gt;0,$H103&gt;0,OR(AUTOEVENTO&lt;&gt;"manual",$M103&lt;&gt;$A$15)),
        IF(Import.TipoArredondamento&lt;&gt;"TransfereGOV",
              ROUND(OFFSET($P103,0,AZ$13),15-13*ORÇAMENTO!$AF$7)/$H103*OFFSET(ORÇAMENTO!$X$15,ROW(AZ103)-ROW(AZ$15),0),
              ROUND(ROUND(OFFSET($P103,0,AZ$13),15-13*ORÇAMENTO!$AF$7)*OFFSET(ORÇAMENTO!$W$15,ROW(AZ103)-ROW(AZ$15),0),15-13*ORÇAMENTO!$AF$11)),
         0)</f>
        <v>0</v>
      </c>
      <c r="BA103" s="452">
        <f ca="1">IF(AND($D103="Serviço",BA$12&lt;&gt;0,$H103&gt;0,OR(AUTOEVENTO&lt;&gt;"manual",$M103&lt;&gt;$A$15)),
        IF(Import.TipoArredondamento&lt;&gt;"TransfereGOV",
              ROUND(OFFSET($P103,0,BA$13),15-13*ORÇAMENTO!$AF$7)/$H103*OFFSET(ORÇAMENTO!$X$15,ROW(BA103)-ROW(BA$15),0),
              ROUND(ROUND(OFFSET($P103,0,BA$13),15-13*ORÇAMENTO!$AF$7)*OFFSET(ORÇAMENTO!$W$15,ROW(BA103)-ROW(BA$15),0),15-13*ORÇAMENTO!$AF$11)),
         0)</f>
        <v>0</v>
      </c>
      <c r="BC103" s="171">
        <f ca="1">IF(OR($D103&lt;&gt;"Serviço",AND(AUTOEVENTO="Manual",$M103=$A$15)),0,
         IF(OFFSET(CRONOPLE!$F$15,$M103-$A$15,BC$13)=0,10^12,OFFSET(CRONOPLE!$F$15,$M103-$A$15,BC$13)))</f>
        <v>7</v>
      </c>
      <c r="BD103" s="171">
        <f ca="1">IF(OR($D103&lt;&gt;"Serviço",AND(AUTOEVENTO="Manual",$M103=$A$15)),0,
         IF(OFFSET(CRONOPLE!$F$15,$M103-$A$15,BD$13)=0,10^12,OFFSET(CRONOPLE!$F$15,$M103-$A$15,BD$13)))</f>
        <v>7</v>
      </c>
      <c r="BE103" s="171">
        <f ca="1">IF(OR($D103&lt;&gt;"Serviço",AND(AUTOEVENTO="Manual",$M103=$A$15)),0,
         IF(OFFSET(CRONOPLE!$F$15,$M103-$A$15,BE$13)=0,10^12,OFFSET(CRONOPLE!$F$15,$M103-$A$15,BE$13)))</f>
        <v>8</v>
      </c>
      <c r="BF103" s="171">
        <f ca="1">IF(OR($D103&lt;&gt;"Serviço",AND(AUTOEVENTO="Manual",$M103=$A$15)),0,
         IF(OFFSET(CRONOPLE!$F$15,$M103-$A$15,BF$13)=0,10^12,OFFSET(CRONOPLE!$F$15,$M103-$A$15,BF$13)))</f>
        <v>9</v>
      </c>
      <c r="BG103" s="171">
        <f ca="1">IF(OR($D103&lt;&gt;"Serviço",AND(AUTOEVENTO="Manual",$M103=$A$15)),0,
         IF(OFFSET(CRONOPLE!$F$15,$M103-$A$15,BG$13)=0,10^12,OFFSET(CRONOPLE!$F$15,$M103-$A$15,BG$13)))</f>
        <v>9</v>
      </c>
      <c r="BH103" s="171">
        <f ca="1">IF(OR($D103&lt;&gt;"Serviço",AND(AUTOEVENTO="Manual",$M103=$A$15)),0,
         IF(OFFSET(CRONOPLE!$F$15,$M103-$A$15,BH$13)=0,10^12,OFFSET(CRONOPLE!$F$15,$M103-$A$15,BH$13)))</f>
        <v>1000000000000</v>
      </c>
      <c r="BI103" s="171">
        <f ca="1">IF(OR($D103&lt;&gt;"Serviço",AND(AUTOEVENTO="Manual",$M103=$A$15)),0,
         IF(OFFSET(CRONOPLE!$F$15,$M103-$A$15,BI$13)=0,10^12,OFFSET(CRONOPLE!$F$15,$M103-$A$15,BI$13)))</f>
        <v>1000000000000</v>
      </c>
      <c r="BJ103" s="171">
        <f ca="1">IF(OR($D103&lt;&gt;"Serviço",AND(AUTOEVENTO="Manual",$M103=$A$15)),0,
         IF(OFFSET(CRONOPLE!$F$15,$M103-$A$15,BJ$13)=0,10^12,OFFSET(CRONOPLE!$F$15,$M103-$A$15,BJ$13)))</f>
        <v>8</v>
      </c>
      <c r="BK103" s="171">
        <f ca="1">IF(OR($D103&lt;&gt;"Serviço",AND(AUTOEVENTO="Manual",$M103=$A$15)),0,
         IF(OFFSET(CRONOPLE!$F$15,$M103-$A$15,BK$13)=0,10^12,OFFSET(CRONOPLE!$F$15,$M103-$A$15,BK$13)))</f>
        <v>1000000000000</v>
      </c>
      <c r="BL103" s="171">
        <f ca="1">IF(OR($D103&lt;&gt;"Serviço",AND(AUTOEVENTO="Manual",$M103=$A$15)),0,
         IF(OFFSET(CRONOPLE!$F$15,$M103-$A$15,BL$13)=0,10^12,OFFSET(CRONOPLE!$F$15,$M103-$A$15,BL$13)))</f>
        <v>1000000000000</v>
      </c>
      <c r="BM103" s="171">
        <f ca="1">IF(OR($D103&lt;&gt;"Serviço",AND(AUTOEVENTO="Manual",$M103=$A$15)),0,
         IF(OFFSET(CRONOPLE!$F$15,$M103-$A$15,BM$13)=0,10^12,OFFSET(CRONOPLE!$F$15,$M103-$A$15,BM$13)))</f>
        <v>1000000000000</v>
      </c>
      <c r="BN103" s="171">
        <f ca="1">IF(OR($D103&lt;&gt;"Serviço",AND(AUTOEVENTO="Manual",$M103=$A$15)),0,
         IF(OFFSET(CRONOPLE!$F$15,$M103-$A$15,BN$13)=0,10^12,OFFSET(CRONOPLE!$F$15,$M103-$A$15,BN$13)))</f>
        <v>1000000000000</v>
      </c>
      <c r="BO103" s="171">
        <f ca="1">IF(OR($D103&lt;&gt;"Serviço",AND(AUTOEVENTO="Manual",$M103=$A$15)),0,
         IF(OFFSET(CRONOPLE!$F$15,$M103-$A$15,BO$13)=0,10^12,OFFSET(CRONOPLE!$F$15,$M103-$A$15,BO$13)))</f>
        <v>1000000000000</v>
      </c>
      <c r="BP103" s="171">
        <f ca="1">IF(OR($D103&lt;&gt;"Serviço",AND(AUTOEVENTO="Manual",$M103=$A$15)),0,
         IF(OFFSET(CRONOPLE!$F$15,$M103-$A$15,BP$13)=0,10^12,OFFSET(CRONOPLE!$F$15,$M103-$A$15,BP$13)))</f>
        <v>1000000000000</v>
      </c>
      <c r="BQ103" s="171">
        <f ca="1">IF(OR($D103&lt;&gt;"Serviço",AND(AUTOEVENTO="Manual",$M103=$A$15)),0,
         IF(OFFSET(CRONOPLE!$F$15,$M103-$A$15,BQ$13)=0,10^12,OFFSET(CRONOPLE!$F$15,$M103-$A$15,BQ$13)))</f>
        <v>1000000000000</v>
      </c>
      <c r="BR103" s="171">
        <f ca="1">IF(OR($D103&lt;&gt;"Serviço",AND(AUTOEVENTO="Manual",$M103=$A$15)),0,
         IF(OFFSET(CRONOPLE!$F$15,$M103-$A$15,BR$13)=0,10^12,OFFSET(CRONOPLE!$F$15,$M103-$A$15,BR$13)))</f>
        <v>1000000000000</v>
      </c>
      <c r="BS103" s="171">
        <f ca="1">IF(OR($D103&lt;&gt;"Serviço",AND(AUTOEVENTO="Manual",$M103=$A$15)),0,
         IF(OFFSET(CRONOPLE!$F$15,$M103-$A$15,BS$13)=0,10^12,OFFSET(CRONOPLE!$F$15,$M103-$A$15,BS$13)))</f>
        <v>1000000000000</v>
      </c>
      <c r="BT103" s="171">
        <f ca="1">IF(OR($D103&lt;&gt;"Serviço",AND(AUTOEVENTO="Manual",$M103=$A$15)),0,
         IF(OFFSET(CRONOPLE!$F$15,$M103-$A$15,BT$13)=0,10^12,OFFSET(CRONOPLE!$F$15,$M103-$A$15,BT$13)))</f>
        <v>1000000000000</v>
      </c>
      <c r="BV103" s="172">
        <f t="array" aca="1" ref="BV103" ca="1">IF(OR($D103&lt;&gt;"Serviço",AND(AUTOEVENTO="Manual",$M103=$A$15),$M103&gt;(ROW(PLE.lastrow)-ROW(PLE.firstrow))),0,
           IF(OFFSET(PLE!$G$15,$M103-$A$15,BV$13)="",10^12,OFFSET(PLE!$G$15,$M103-$A$15,BV$13)))</f>
        <v>1000000000000</v>
      </c>
      <c r="BW103" s="172">
        <f t="array" aca="1" ref="BW103" ca="1">IF(OR($D103&lt;&gt;"Serviço",AND(AUTOEVENTO="Manual",$M103=$A$15),$M103&gt;(ROW(PLE.lastrow)-ROW(PLE.firstrow))),0,
           IF(OFFSET(PLE!$G$15,$M103-$A$15,BW$13)="",10^12,OFFSET(PLE!$G$15,$M103-$A$15,BW$13)))</f>
        <v>1000000000000</v>
      </c>
      <c r="BX103" s="172">
        <f t="array" aca="1" ref="BX103" ca="1">IF(OR($D103&lt;&gt;"Serviço",AND(AUTOEVENTO="Manual",$M103=$A$15),$M103&gt;(ROW(PLE.lastrow)-ROW(PLE.firstrow))),0,
           IF(OFFSET(PLE!$G$15,$M103-$A$15,BX$13)="",10^12,OFFSET(PLE!$G$15,$M103-$A$15,BX$13)))</f>
        <v>1000000000000</v>
      </c>
      <c r="BY103" s="172">
        <f t="array" aca="1" ref="BY103" ca="1">IF(OR($D103&lt;&gt;"Serviço",AND(AUTOEVENTO="Manual",$M103=$A$15),$M103&gt;(ROW(PLE.lastrow)-ROW(PLE.firstrow))),0,
           IF(OFFSET(PLE!$G$15,$M103-$A$15,BY$13)="",10^12,OFFSET(PLE!$G$15,$M103-$A$15,BY$13)))</f>
        <v>1000000000000</v>
      </c>
      <c r="BZ103" s="172">
        <f t="array" aca="1" ref="BZ103" ca="1">IF(OR($D103&lt;&gt;"Serviço",AND(AUTOEVENTO="Manual",$M103=$A$15),$M103&gt;(ROW(PLE.lastrow)-ROW(PLE.firstrow))),0,
           IF(OFFSET(PLE!$G$15,$M103-$A$15,BZ$13)="",10^12,OFFSET(PLE!$G$15,$M103-$A$15,BZ$13)))</f>
        <v>1000000000000</v>
      </c>
      <c r="CA103" s="172">
        <f t="array" aca="1" ref="CA103" ca="1">IF(OR($D103&lt;&gt;"Serviço",AND(AUTOEVENTO="Manual",$M103=$A$15),$M103&gt;(ROW(PLE.lastrow)-ROW(PLE.firstrow))),0,
           IF(OFFSET(PLE!$G$15,$M103-$A$15,CA$13)="",10^12,OFFSET(PLE!$G$15,$M103-$A$15,CA$13)))</f>
        <v>1000000000000</v>
      </c>
      <c r="CB103" s="172">
        <f t="array" aca="1" ref="CB103" ca="1">IF(OR($D103&lt;&gt;"Serviço",AND(AUTOEVENTO="Manual",$M103=$A$15),$M103&gt;(ROW(PLE.lastrow)-ROW(PLE.firstrow))),0,
           IF(OFFSET(PLE!$G$15,$M103-$A$15,CB$13)="",10^12,OFFSET(PLE!$G$15,$M103-$A$15,CB$13)))</f>
        <v>1000000000000</v>
      </c>
      <c r="CC103" s="172">
        <f t="array" aca="1" ref="CC103" ca="1">IF(OR($D103&lt;&gt;"Serviço",AND(AUTOEVENTO="Manual",$M103=$A$15),$M103&gt;(ROW(PLE.lastrow)-ROW(PLE.firstrow))),0,
           IF(OFFSET(PLE!$G$15,$M103-$A$15,CC$13)="",10^12,OFFSET(PLE!$G$15,$M103-$A$15,CC$13)))</f>
        <v>1000000000000</v>
      </c>
      <c r="CD103" s="172">
        <f t="array" aca="1" ref="CD103" ca="1">IF(OR($D103&lt;&gt;"Serviço",AND(AUTOEVENTO="Manual",$M103=$A$15),$M103&gt;(ROW(PLE.lastrow)-ROW(PLE.firstrow))),0,
           IF(OFFSET(PLE!$G$15,$M103-$A$15,CD$13)="",10^12,OFFSET(PLE!$G$15,$M103-$A$15,CD$13)))</f>
        <v>1000000000000</v>
      </c>
      <c r="CE103" s="172">
        <f t="array" aca="1" ref="CE103" ca="1">IF(OR($D103&lt;&gt;"Serviço",AND(AUTOEVENTO="Manual",$M103=$A$15),$M103&gt;(ROW(PLE.lastrow)-ROW(PLE.firstrow))),0,
           IF(OFFSET(PLE!$G$15,$M103-$A$15,CE$13)="",10^12,OFFSET(PLE!$G$15,$M103-$A$15,CE$13)))</f>
        <v>1000000000000</v>
      </c>
      <c r="CF103" s="172">
        <f t="array" aca="1" ref="CF103" ca="1">IF(OR($D103&lt;&gt;"Serviço",AND(AUTOEVENTO="Manual",$M103=$A$15),$M103&gt;(ROW(PLE.lastrow)-ROW(PLE.firstrow))),0,
           IF(OFFSET(PLE!$G$15,$M103-$A$15,CF$13)="",10^12,OFFSET(PLE!$G$15,$M103-$A$15,CF$13)))</f>
        <v>1000000000000</v>
      </c>
      <c r="CG103" s="172">
        <f t="array" aca="1" ref="CG103" ca="1">IF(OR($D103&lt;&gt;"Serviço",AND(AUTOEVENTO="Manual",$M103=$A$15),$M103&gt;(ROW(PLE.lastrow)-ROW(PLE.firstrow))),0,
           IF(OFFSET(PLE!$G$15,$M103-$A$15,CG$13)="",10^12,OFFSET(PLE!$G$15,$M103-$A$15,CG$13)))</f>
        <v>1000000000000</v>
      </c>
      <c r="CH103" s="172">
        <f t="array" aca="1" ref="CH103" ca="1">IF(OR($D103&lt;&gt;"Serviço",AND(AUTOEVENTO="Manual",$M103=$A$15),$M103&gt;(ROW(PLE.lastrow)-ROW(PLE.firstrow))),0,
           IF(OFFSET(PLE!$G$15,$M103-$A$15,CH$13)="",10^12,OFFSET(PLE!$G$15,$M103-$A$15,CH$13)))</f>
        <v>1000000000000</v>
      </c>
      <c r="CI103" s="172">
        <f t="array" aca="1" ref="CI103" ca="1">IF(OR($D103&lt;&gt;"Serviço",AND(AUTOEVENTO="Manual",$M103=$A$15),$M103&gt;(ROW(PLE.lastrow)-ROW(PLE.firstrow))),0,
           IF(OFFSET(PLE!$G$15,$M103-$A$15,CI$13)="",10^12,OFFSET(PLE!$G$15,$M103-$A$15,CI$13)))</f>
        <v>1000000000000</v>
      </c>
      <c r="CJ103" s="172">
        <f t="array" aca="1" ref="CJ103" ca="1">IF(OR($D103&lt;&gt;"Serviço",AND(AUTOEVENTO="Manual",$M103=$A$15),$M103&gt;(ROW(PLE.lastrow)-ROW(PLE.firstrow))),0,
           IF(OFFSET(PLE!$G$15,$M103-$A$15,CJ$13)="",10^12,OFFSET(PLE!$G$15,$M103-$A$15,CJ$13)))</f>
        <v>1000000000000</v>
      </c>
      <c r="CK103" s="172">
        <f t="array" aca="1" ref="CK103" ca="1">IF(OR($D103&lt;&gt;"Serviço",AND(AUTOEVENTO="Manual",$M103=$A$15),$M103&gt;(ROW(PLE.lastrow)-ROW(PLE.firstrow))),0,
           IF(OFFSET(PLE!$G$15,$M103-$A$15,CK$13)="",10^12,OFFSET(PLE!$G$15,$M103-$A$15,CK$13)))</f>
        <v>1000000000000</v>
      </c>
      <c r="CL103" s="172">
        <f t="array" aca="1" ref="CL103" ca="1">IF(OR($D103&lt;&gt;"Serviço",AND(AUTOEVENTO="Manual",$M103=$A$15),$M103&gt;(ROW(PLE.lastrow)-ROW(PLE.firstrow))),0,
           IF(OFFSET(PLE!$G$15,$M103-$A$15,CL$13)="",10^12,OFFSET(PLE!$G$15,$M103-$A$15,CL$13)))</f>
        <v>1000000000000</v>
      </c>
      <c r="CM103" s="172">
        <f t="array" aca="1" ref="CM103" ca="1">IF(OR($D103&lt;&gt;"Serviço",AND(AUTOEVENTO="Manual",$M103=$A$15),$M103&gt;(ROW(PLE.lastrow)-ROW(PLE.firstrow))),0,
           IF(OFFSET(PLE!$G$15,$M103-$A$15,CM$13)="",10^12,OFFSET(PLE!$G$15,$M103-$A$15,CM$13)))</f>
        <v>1000000000000</v>
      </c>
    </row>
    <row r="104" spans="1:91" s="696" customFormat="1" ht="51" x14ac:dyDescent="0.2">
      <c r="A104" s="694">
        <f t="shared" ca="1" si="45"/>
        <v>23</v>
      </c>
      <c r="B104" s="694" t="str">
        <f ca="1">OFFSET(ORÇAMENTO!C$15,$L104,0)</f>
        <v>S</v>
      </c>
      <c r="C104" s="694" t="str">
        <f ca="1">OFFSET(ORÇAMENTO!L$15,$L104,0)</f>
        <v>F</v>
      </c>
      <c r="D104" s="116" t="str">
        <f ca="1">OFFSET(ORÇAMENTO!N$15,$L104,0)</f>
        <v>Serviço</v>
      </c>
      <c r="E104" s="117" t="str">
        <f ca="1">OFFSET(ORÇAMENTO!O$15,$L104,0)</f>
        <v>1.17.3.</v>
      </c>
      <c r="F104" s="163" t="str">
        <f ca="1">OFFSET(ORÇAMENTO!R$15,$L104,0)</f>
        <v>PINTURA LÁTEX ACRÍLICA STANDARD, APLICAÇÃO MANUAL EM TETO, DUAS DEMÃOS. AF_04/2023</v>
      </c>
      <c r="G104" s="164" t="str">
        <f ca="1">IF($D104&lt;&gt;"Serviço","",OFFSET(ORÇAMENTO!S$15,$L104,0))</f>
        <v>M2</v>
      </c>
      <c r="H104" s="122">
        <f t="array" aca="1" ref="H104" ca="1">IF($D104&lt;&gt;"Serviço",0,IF(ACOMPANHAMENTO="BM",ROUND(OFFSET(ORÇAMENTO!AJ$15,$L104,0),15-13*ORÇAMENTO!$AF$7),IF(IFERROR(CÁLCULO.FrentesPreenchidas,0)=0,0,SUM(ROUND(OFFSET($P104,0,1,1,CÁLCULO.FrentesPreenchidas),15-13*ORÇAMENTO!$AF$7)))))</f>
        <v>88.8</v>
      </c>
      <c r="I104" s="467" t="s">
        <v>1266</v>
      </c>
      <c r="J104" s="653" t="str">
        <f t="array" aca="1" ref="J104" ca="1">IF(OR(B104&lt;&gt;"S",CÁLCULO.FrentesPreenchidas=0),"",IF(AND(ACOMPANHAMENTO="PLE",AUTOEVENTO="Manual",OR(H104&gt;0,ORÇAMENTO!AC104="QUANT."),OR(K104="",M104=0,N104="")),"►E",IF(AND(ACOMPANHAMENTO="PLE",ORÇAMENTO!AC104="QUANT."),"►Q",IF(AND(ACOMPANHAMENTO="PLE",H104&lt;&gt;SUMPRODUCT(($Q$1:$AI$1=1)*ROUND(Q104:AI104,15))),"►S",IF(AND(COUNTIF($P$11:$AI$11,"▼")=0,H104&gt;0,I104=""),"◄M","")))))</f>
        <v/>
      </c>
      <c r="K104" s="654" t="s">
        <v>1415</v>
      </c>
      <c r="L104" s="165">
        <f t="shared" ca="1" si="46"/>
        <v>89</v>
      </c>
      <c r="M104" s="166">
        <f ca="1">IF($D104&lt;&gt;"Serviço","",
          IF(AUTOEVENTO="manual",$A104,
                IF(ISERROR(MATCH($A104,$A$15:OFFSET($A104,-1,0),0)),MAX($M$15:OFFSET(M104,-1,0))+1,
                      INDEX($M$15:OFFSET(M104,-1,0),MATCH($A104,$A$15:OFFSET($A104,-1,0),0)))))</f>
        <v>23</v>
      </c>
      <c r="N104" s="167" t="str">
        <f ca="1">IF($D104&lt;&gt;"Serviço","",
         IF(AUTOEVENTO="Manual",
                IF($A104=0,"&lt;-- defina o número do agrupador",
                       OFFSET(EVENTOS!$D$15,$A104-$A$15,0)),
                OFFSET($F$15,$A104,0)))</f>
        <v>PINTURA DD TETO INTERNAS</v>
      </c>
      <c r="O104" s="168"/>
      <c r="Q104" s="169">
        <f>4.44*5</f>
        <v>22.200000000000003</v>
      </c>
      <c r="R104" s="169">
        <f t="shared" si="65"/>
        <v>22.200000000000003</v>
      </c>
      <c r="S104" s="169">
        <f t="shared" si="65"/>
        <v>22.200000000000003</v>
      </c>
      <c r="T104" s="169">
        <f t="shared" si="65"/>
        <v>22.200000000000003</v>
      </c>
      <c r="U104" s="169"/>
      <c r="V104" s="169"/>
      <c r="W104" s="169"/>
      <c r="X104" s="169"/>
      <c r="Y104" s="169"/>
      <c r="Z104" s="170"/>
      <c r="AA104" s="169"/>
      <c r="AB104" s="169"/>
      <c r="AC104" s="169"/>
      <c r="AD104" s="169"/>
      <c r="AE104" s="169"/>
      <c r="AF104" s="169"/>
      <c r="AG104" s="169"/>
      <c r="AH104" s="170"/>
      <c r="AJ104" s="452">
        <f ca="1">IF(AND($D104="Serviço",AJ$12&lt;&gt;0,$H104&gt;0,OR(AUTOEVENTO&lt;&gt;"manual",$M104&lt;&gt;$A$15)),
        IF(Import.TipoArredondamento&lt;&gt;"TransfereGOV",
              ROUND(OFFSET($P104,0,AJ$13),15-13*ORÇAMENTO!$AF$7)/$H104*OFFSET(ORÇAMENTO!$X$15,ROW(AJ104)-ROW(AJ$15),0),
              ROUND(ROUND(OFFSET($P104,0,AJ$13),15-13*ORÇAMENTO!$AF$7)*OFFSET(ORÇAMENTO!$W$15,ROW(AJ104)-ROW(AJ$15),0),15-13*ORÇAMENTO!$AF$11)),
         0)</f>
        <v>345.43</v>
      </c>
      <c r="AK104" s="452">
        <f ca="1">IF(AND($D104="Serviço",AK$12&lt;&gt;0,$H104&gt;0,OR(AUTOEVENTO&lt;&gt;"manual",$M104&lt;&gt;$A$15)),
        IF(Import.TipoArredondamento&lt;&gt;"TransfereGOV",
              ROUND(OFFSET($P104,0,AK$13),15-13*ORÇAMENTO!$AF$7)/$H104*OFFSET(ORÇAMENTO!$X$15,ROW(AK104)-ROW(AK$15),0),
              ROUND(ROUND(OFFSET($P104,0,AK$13),15-13*ORÇAMENTO!$AF$7)*OFFSET(ORÇAMENTO!$W$15,ROW(AK104)-ROW(AK$15),0),15-13*ORÇAMENTO!$AF$11)),
         0)</f>
        <v>345.43</v>
      </c>
      <c r="AL104" s="452">
        <f ca="1">IF(AND($D104="Serviço",AL$12&lt;&gt;0,$H104&gt;0,OR(AUTOEVENTO&lt;&gt;"manual",$M104&lt;&gt;$A$15)),
        IF(Import.TipoArredondamento&lt;&gt;"TransfereGOV",
              ROUND(OFFSET($P104,0,AL$13),15-13*ORÇAMENTO!$AF$7)/$H104*OFFSET(ORÇAMENTO!$X$15,ROW(AL104)-ROW(AL$15),0),
              ROUND(ROUND(OFFSET($P104,0,AL$13),15-13*ORÇAMENTO!$AF$7)*OFFSET(ORÇAMENTO!$W$15,ROW(AL104)-ROW(AL$15),0),15-13*ORÇAMENTO!$AF$11)),
         0)</f>
        <v>345.43</v>
      </c>
      <c r="AM104" s="452">
        <f ca="1">IF(AND($D104="Serviço",AM$12&lt;&gt;0,$H104&gt;0,OR(AUTOEVENTO&lt;&gt;"manual",$M104&lt;&gt;$A$15)),
        IF(Import.TipoArredondamento&lt;&gt;"TransfereGOV",
              ROUND(OFFSET($P104,0,AM$13),15-13*ORÇAMENTO!$AF$7)/$H104*OFFSET(ORÇAMENTO!$X$15,ROW(AM104)-ROW(AM$15),0),
              ROUND(ROUND(OFFSET($P104,0,AM$13),15-13*ORÇAMENTO!$AF$7)*OFFSET(ORÇAMENTO!$W$15,ROW(AM104)-ROW(AM$15),0),15-13*ORÇAMENTO!$AF$11)),
         0)</f>
        <v>345.43</v>
      </c>
      <c r="AN104" s="452">
        <f ca="1">IF(AND($D104="Serviço",AN$12&lt;&gt;0,$H104&gt;0,OR(AUTOEVENTO&lt;&gt;"manual",$M104&lt;&gt;$A$15)),
        IF(Import.TipoArredondamento&lt;&gt;"TransfereGOV",
              ROUND(OFFSET($P104,0,AN$13),15-13*ORÇAMENTO!$AF$7)/$H104*OFFSET(ORÇAMENTO!$X$15,ROW(AN104)-ROW(AN$15),0),
              ROUND(ROUND(OFFSET($P104,0,AN$13),15-13*ORÇAMENTO!$AF$7)*OFFSET(ORÇAMENTO!$W$15,ROW(AN104)-ROW(AN$15),0),15-13*ORÇAMENTO!$AF$11)),
         0)</f>
        <v>0</v>
      </c>
      <c r="AO104" s="452">
        <f ca="1">IF(AND($D104="Serviço",AO$12&lt;&gt;0,$H104&gt;0,OR(AUTOEVENTO&lt;&gt;"manual",$M104&lt;&gt;$A$15)),
        IF(Import.TipoArredondamento&lt;&gt;"TransfereGOV",
              ROUND(OFFSET($P104,0,AO$13),15-13*ORÇAMENTO!$AF$7)/$H104*OFFSET(ORÇAMENTO!$X$15,ROW(AO104)-ROW(AO$15),0),
              ROUND(ROUND(OFFSET($P104,0,AO$13),15-13*ORÇAMENTO!$AF$7)*OFFSET(ORÇAMENTO!$W$15,ROW(AO104)-ROW(AO$15),0),15-13*ORÇAMENTO!$AF$11)),
         0)</f>
        <v>0</v>
      </c>
      <c r="AP104" s="452">
        <f ca="1">IF(AND($D104="Serviço",AP$12&lt;&gt;0,$H104&gt;0,OR(AUTOEVENTO&lt;&gt;"manual",$M104&lt;&gt;$A$15)),
        IF(Import.TipoArredondamento&lt;&gt;"TransfereGOV",
              ROUND(OFFSET($P104,0,AP$13),15-13*ORÇAMENTO!$AF$7)/$H104*OFFSET(ORÇAMENTO!$X$15,ROW(AP104)-ROW(AP$15),0),
              ROUND(ROUND(OFFSET($P104,0,AP$13),15-13*ORÇAMENTO!$AF$7)*OFFSET(ORÇAMENTO!$W$15,ROW(AP104)-ROW(AP$15),0),15-13*ORÇAMENTO!$AF$11)),
         0)</f>
        <v>0</v>
      </c>
      <c r="AQ104" s="452">
        <f ca="1">IF(AND($D104="Serviço",AQ$12&lt;&gt;0,$H104&gt;0,OR(AUTOEVENTO&lt;&gt;"manual",$M104&lt;&gt;$A$15)),
        IF(Import.TipoArredondamento&lt;&gt;"TransfereGOV",
              ROUND(OFFSET($P104,0,AQ$13),15-13*ORÇAMENTO!$AF$7)/$H104*OFFSET(ORÇAMENTO!$X$15,ROW(AQ104)-ROW(AQ$15),0),
              ROUND(ROUND(OFFSET($P104,0,AQ$13),15-13*ORÇAMENTO!$AF$7)*OFFSET(ORÇAMENTO!$W$15,ROW(AQ104)-ROW(AQ$15),0),15-13*ORÇAMENTO!$AF$11)),
         0)</f>
        <v>0</v>
      </c>
      <c r="AR104" s="452">
        <f ca="1">IF(AND($D104="Serviço",AR$12&lt;&gt;0,$H104&gt;0,OR(AUTOEVENTO&lt;&gt;"manual",$M104&lt;&gt;$A$15)),
        IF(Import.TipoArredondamento&lt;&gt;"TransfereGOV",
              ROUND(OFFSET($P104,0,AR$13),15-13*ORÇAMENTO!$AF$7)/$H104*OFFSET(ORÇAMENTO!$X$15,ROW(AR104)-ROW(AR$15),0),
              ROUND(ROUND(OFFSET($P104,0,AR$13),15-13*ORÇAMENTO!$AF$7)*OFFSET(ORÇAMENTO!$W$15,ROW(AR104)-ROW(AR$15),0),15-13*ORÇAMENTO!$AF$11)),
         0)</f>
        <v>0</v>
      </c>
      <c r="AS104" s="452">
        <f ca="1">IF(AND($D104="Serviço",AS$12&lt;&gt;0,$H104&gt;0,OR(AUTOEVENTO&lt;&gt;"manual",$M104&lt;&gt;$A$15)),
        IF(Import.TipoArredondamento&lt;&gt;"TransfereGOV",
              ROUND(OFFSET($P104,0,AS$13),15-13*ORÇAMENTO!$AF$7)/$H104*OFFSET(ORÇAMENTO!$X$15,ROW(AS104)-ROW(AS$15),0),
              ROUND(ROUND(OFFSET($P104,0,AS$13),15-13*ORÇAMENTO!$AF$7)*OFFSET(ORÇAMENTO!$W$15,ROW(AS104)-ROW(AS$15),0),15-13*ORÇAMENTO!$AF$11)),
         0)</f>
        <v>0</v>
      </c>
      <c r="AT104" s="452">
        <f ca="1">IF(AND($D104="Serviço",AT$12&lt;&gt;0,$H104&gt;0,OR(AUTOEVENTO&lt;&gt;"manual",$M104&lt;&gt;$A$15)),
        IF(Import.TipoArredondamento&lt;&gt;"TransfereGOV",
              ROUND(OFFSET($P104,0,AT$13),15-13*ORÇAMENTO!$AF$7)/$H104*OFFSET(ORÇAMENTO!$X$15,ROW(AT104)-ROW(AT$15),0),
              ROUND(ROUND(OFFSET($P104,0,AT$13),15-13*ORÇAMENTO!$AF$7)*OFFSET(ORÇAMENTO!$W$15,ROW(AT104)-ROW(AT$15),0),15-13*ORÇAMENTO!$AF$11)),
         0)</f>
        <v>0</v>
      </c>
      <c r="AU104" s="452">
        <f ca="1">IF(AND($D104="Serviço",AU$12&lt;&gt;0,$H104&gt;0,OR(AUTOEVENTO&lt;&gt;"manual",$M104&lt;&gt;$A$15)),
        IF(Import.TipoArredondamento&lt;&gt;"TransfereGOV",
              ROUND(OFFSET($P104,0,AU$13),15-13*ORÇAMENTO!$AF$7)/$H104*OFFSET(ORÇAMENTO!$X$15,ROW(AU104)-ROW(AU$15),0),
              ROUND(ROUND(OFFSET($P104,0,AU$13),15-13*ORÇAMENTO!$AF$7)*OFFSET(ORÇAMENTO!$W$15,ROW(AU104)-ROW(AU$15),0),15-13*ORÇAMENTO!$AF$11)),
         0)</f>
        <v>0</v>
      </c>
      <c r="AV104" s="452">
        <f ca="1">IF(AND($D104="Serviço",AV$12&lt;&gt;0,$H104&gt;0,OR(AUTOEVENTO&lt;&gt;"manual",$M104&lt;&gt;$A$15)),
        IF(Import.TipoArredondamento&lt;&gt;"TransfereGOV",
              ROUND(OFFSET($P104,0,AV$13),15-13*ORÇAMENTO!$AF$7)/$H104*OFFSET(ORÇAMENTO!$X$15,ROW(AV104)-ROW(AV$15),0),
              ROUND(ROUND(OFFSET($P104,0,AV$13),15-13*ORÇAMENTO!$AF$7)*OFFSET(ORÇAMENTO!$W$15,ROW(AV104)-ROW(AV$15),0),15-13*ORÇAMENTO!$AF$11)),
         0)</f>
        <v>0</v>
      </c>
      <c r="AW104" s="452">
        <f ca="1">IF(AND($D104="Serviço",AW$12&lt;&gt;0,$H104&gt;0,OR(AUTOEVENTO&lt;&gt;"manual",$M104&lt;&gt;$A$15)),
        IF(Import.TipoArredondamento&lt;&gt;"TransfereGOV",
              ROUND(OFFSET($P104,0,AW$13),15-13*ORÇAMENTO!$AF$7)/$H104*OFFSET(ORÇAMENTO!$X$15,ROW(AW104)-ROW(AW$15),0),
              ROUND(ROUND(OFFSET($P104,0,AW$13),15-13*ORÇAMENTO!$AF$7)*OFFSET(ORÇAMENTO!$W$15,ROW(AW104)-ROW(AW$15),0),15-13*ORÇAMENTO!$AF$11)),
         0)</f>
        <v>0</v>
      </c>
      <c r="AX104" s="452">
        <f ca="1">IF(AND($D104="Serviço",AX$12&lt;&gt;0,$H104&gt;0,OR(AUTOEVENTO&lt;&gt;"manual",$M104&lt;&gt;$A$15)),
        IF(Import.TipoArredondamento&lt;&gt;"TransfereGOV",
              ROUND(OFFSET($P104,0,AX$13),15-13*ORÇAMENTO!$AF$7)/$H104*OFFSET(ORÇAMENTO!$X$15,ROW(AX104)-ROW(AX$15),0),
              ROUND(ROUND(OFFSET($P104,0,AX$13),15-13*ORÇAMENTO!$AF$7)*OFFSET(ORÇAMENTO!$W$15,ROW(AX104)-ROW(AX$15),0),15-13*ORÇAMENTO!$AF$11)),
         0)</f>
        <v>0</v>
      </c>
      <c r="AY104" s="452">
        <f ca="1">IF(AND($D104="Serviço",AY$12&lt;&gt;0,$H104&gt;0,OR(AUTOEVENTO&lt;&gt;"manual",$M104&lt;&gt;$A$15)),
        IF(Import.TipoArredondamento&lt;&gt;"TransfereGOV",
              ROUND(OFFSET($P104,0,AY$13),15-13*ORÇAMENTO!$AF$7)/$H104*OFFSET(ORÇAMENTO!$X$15,ROW(AY104)-ROW(AY$15),0),
              ROUND(ROUND(OFFSET($P104,0,AY$13),15-13*ORÇAMENTO!$AF$7)*OFFSET(ORÇAMENTO!$W$15,ROW(AY104)-ROW(AY$15),0),15-13*ORÇAMENTO!$AF$11)),
         0)</f>
        <v>0</v>
      </c>
      <c r="AZ104" s="452">
        <f ca="1">IF(AND($D104="Serviço",AZ$12&lt;&gt;0,$H104&gt;0,OR(AUTOEVENTO&lt;&gt;"manual",$M104&lt;&gt;$A$15)),
        IF(Import.TipoArredondamento&lt;&gt;"TransfereGOV",
              ROUND(OFFSET($P104,0,AZ$13),15-13*ORÇAMENTO!$AF$7)/$H104*OFFSET(ORÇAMENTO!$X$15,ROW(AZ104)-ROW(AZ$15),0),
              ROUND(ROUND(OFFSET($P104,0,AZ$13),15-13*ORÇAMENTO!$AF$7)*OFFSET(ORÇAMENTO!$W$15,ROW(AZ104)-ROW(AZ$15),0),15-13*ORÇAMENTO!$AF$11)),
         0)</f>
        <v>0</v>
      </c>
      <c r="BA104" s="452">
        <f ca="1">IF(AND($D104="Serviço",BA$12&lt;&gt;0,$H104&gt;0,OR(AUTOEVENTO&lt;&gt;"manual",$M104&lt;&gt;$A$15)),
        IF(Import.TipoArredondamento&lt;&gt;"TransfereGOV",
              ROUND(OFFSET($P104,0,BA$13),15-13*ORÇAMENTO!$AF$7)/$H104*OFFSET(ORÇAMENTO!$X$15,ROW(BA104)-ROW(BA$15),0),
              ROUND(ROUND(OFFSET($P104,0,BA$13),15-13*ORÇAMENTO!$AF$7)*OFFSET(ORÇAMENTO!$W$15,ROW(BA104)-ROW(BA$15),0),15-13*ORÇAMENTO!$AF$11)),
         0)</f>
        <v>0</v>
      </c>
      <c r="BC104" s="171">
        <f ca="1">IF(OR($D104&lt;&gt;"Serviço",AND(AUTOEVENTO="Manual",$M104=$A$15)),0,
         IF(OFFSET(CRONOPLE!$F$15,$M104-$A$15,BC$13)=0,10^12,OFFSET(CRONOPLE!$F$15,$M104-$A$15,BC$13)))</f>
        <v>7</v>
      </c>
      <c r="BD104" s="171">
        <f ca="1">IF(OR($D104&lt;&gt;"Serviço",AND(AUTOEVENTO="Manual",$M104=$A$15)),0,
         IF(OFFSET(CRONOPLE!$F$15,$M104-$A$15,BD$13)=0,10^12,OFFSET(CRONOPLE!$F$15,$M104-$A$15,BD$13)))</f>
        <v>7</v>
      </c>
      <c r="BE104" s="171">
        <f ca="1">IF(OR($D104&lt;&gt;"Serviço",AND(AUTOEVENTO="Manual",$M104=$A$15)),0,
         IF(OFFSET(CRONOPLE!$F$15,$M104-$A$15,BE$13)=0,10^12,OFFSET(CRONOPLE!$F$15,$M104-$A$15,BE$13)))</f>
        <v>8</v>
      </c>
      <c r="BF104" s="171">
        <f ca="1">IF(OR($D104&lt;&gt;"Serviço",AND(AUTOEVENTO="Manual",$M104=$A$15)),0,
         IF(OFFSET(CRONOPLE!$F$15,$M104-$A$15,BF$13)=0,10^12,OFFSET(CRONOPLE!$F$15,$M104-$A$15,BF$13)))</f>
        <v>9</v>
      </c>
      <c r="BG104" s="171">
        <f ca="1">IF(OR($D104&lt;&gt;"Serviço",AND(AUTOEVENTO="Manual",$M104=$A$15)),0,
         IF(OFFSET(CRONOPLE!$F$15,$M104-$A$15,BG$13)=0,10^12,OFFSET(CRONOPLE!$F$15,$M104-$A$15,BG$13)))</f>
        <v>9</v>
      </c>
      <c r="BH104" s="171">
        <f ca="1">IF(OR($D104&lt;&gt;"Serviço",AND(AUTOEVENTO="Manual",$M104=$A$15)),0,
         IF(OFFSET(CRONOPLE!$F$15,$M104-$A$15,BH$13)=0,10^12,OFFSET(CRONOPLE!$F$15,$M104-$A$15,BH$13)))</f>
        <v>1000000000000</v>
      </c>
      <c r="BI104" s="171">
        <f ca="1">IF(OR($D104&lt;&gt;"Serviço",AND(AUTOEVENTO="Manual",$M104=$A$15)),0,
         IF(OFFSET(CRONOPLE!$F$15,$M104-$A$15,BI$13)=0,10^12,OFFSET(CRONOPLE!$F$15,$M104-$A$15,BI$13)))</f>
        <v>1000000000000</v>
      </c>
      <c r="BJ104" s="171">
        <f ca="1">IF(OR($D104&lt;&gt;"Serviço",AND(AUTOEVENTO="Manual",$M104=$A$15)),0,
         IF(OFFSET(CRONOPLE!$F$15,$M104-$A$15,BJ$13)=0,10^12,OFFSET(CRONOPLE!$F$15,$M104-$A$15,BJ$13)))</f>
        <v>8</v>
      </c>
      <c r="BK104" s="171">
        <f ca="1">IF(OR($D104&lt;&gt;"Serviço",AND(AUTOEVENTO="Manual",$M104=$A$15)),0,
         IF(OFFSET(CRONOPLE!$F$15,$M104-$A$15,BK$13)=0,10^12,OFFSET(CRONOPLE!$F$15,$M104-$A$15,BK$13)))</f>
        <v>1000000000000</v>
      </c>
      <c r="BL104" s="171">
        <f ca="1">IF(OR($D104&lt;&gt;"Serviço",AND(AUTOEVENTO="Manual",$M104=$A$15)),0,
         IF(OFFSET(CRONOPLE!$F$15,$M104-$A$15,BL$13)=0,10^12,OFFSET(CRONOPLE!$F$15,$M104-$A$15,BL$13)))</f>
        <v>1000000000000</v>
      </c>
      <c r="BM104" s="171">
        <f ca="1">IF(OR($D104&lt;&gt;"Serviço",AND(AUTOEVENTO="Manual",$M104=$A$15)),0,
         IF(OFFSET(CRONOPLE!$F$15,$M104-$A$15,BM$13)=0,10^12,OFFSET(CRONOPLE!$F$15,$M104-$A$15,BM$13)))</f>
        <v>1000000000000</v>
      </c>
      <c r="BN104" s="171">
        <f ca="1">IF(OR($D104&lt;&gt;"Serviço",AND(AUTOEVENTO="Manual",$M104=$A$15)),0,
         IF(OFFSET(CRONOPLE!$F$15,$M104-$A$15,BN$13)=0,10^12,OFFSET(CRONOPLE!$F$15,$M104-$A$15,BN$13)))</f>
        <v>1000000000000</v>
      </c>
      <c r="BO104" s="171">
        <f ca="1">IF(OR($D104&lt;&gt;"Serviço",AND(AUTOEVENTO="Manual",$M104=$A$15)),0,
         IF(OFFSET(CRONOPLE!$F$15,$M104-$A$15,BO$13)=0,10^12,OFFSET(CRONOPLE!$F$15,$M104-$A$15,BO$13)))</f>
        <v>1000000000000</v>
      </c>
      <c r="BP104" s="171">
        <f ca="1">IF(OR($D104&lt;&gt;"Serviço",AND(AUTOEVENTO="Manual",$M104=$A$15)),0,
         IF(OFFSET(CRONOPLE!$F$15,$M104-$A$15,BP$13)=0,10^12,OFFSET(CRONOPLE!$F$15,$M104-$A$15,BP$13)))</f>
        <v>1000000000000</v>
      </c>
      <c r="BQ104" s="171">
        <f ca="1">IF(OR($D104&lt;&gt;"Serviço",AND(AUTOEVENTO="Manual",$M104=$A$15)),0,
         IF(OFFSET(CRONOPLE!$F$15,$M104-$A$15,BQ$13)=0,10^12,OFFSET(CRONOPLE!$F$15,$M104-$A$15,BQ$13)))</f>
        <v>1000000000000</v>
      </c>
      <c r="BR104" s="171">
        <f ca="1">IF(OR($D104&lt;&gt;"Serviço",AND(AUTOEVENTO="Manual",$M104=$A$15)),0,
         IF(OFFSET(CRONOPLE!$F$15,$M104-$A$15,BR$13)=0,10^12,OFFSET(CRONOPLE!$F$15,$M104-$A$15,BR$13)))</f>
        <v>1000000000000</v>
      </c>
      <c r="BS104" s="171">
        <f ca="1">IF(OR($D104&lt;&gt;"Serviço",AND(AUTOEVENTO="Manual",$M104=$A$15)),0,
         IF(OFFSET(CRONOPLE!$F$15,$M104-$A$15,BS$13)=0,10^12,OFFSET(CRONOPLE!$F$15,$M104-$A$15,BS$13)))</f>
        <v>1000000000000</v>
      </c>
      <c r="BT104" s="171">
        <f ca="1">IF(OR($D104&lt;&gt;"Serviço",AND(AUTOEVENTO="Manual",$M104=$A$15)),0,
         IF(OFFSET(CRONOPLE!$F$15,$M104-$A$15,BT$13)=0,10^12,OFFSET(CRONOPLE!$F$15,$M104-$A$15,BT$13)))</f>
        <v>1000000000000</v>
      </c>
      <c r="BV104" s="172">
        <f t="array" aca="1" ref="BV104" ca="1">IF(OR($D104&lt;&gt;"Serviço",AND(AUTOEVENTO="Manual",$M104=$A$15),$M104&gt;(ROW(PLE.lastrow)-ROW(PLE.firstrow))),0,
           IF(OFFSET(PLE!$G$15,$M104-$A$15,BV$13)="",10^12,OFFSET(PLE!$G$15,$M104-$A$15,BV$13)))</f>
        <v>1000000000000</v>
      </c>
      <c r="BW104" s="172">
        <f t="array" aca="1" ref="BW104" ca="1">IF(OR($D104&lt;&gt;"Serviço",AND(AUTOEVENTO="Manual",$M104=$A$15),$M104&gt;(ROW(PLE.lastrow)-ROW(PLE.firstrow))),0,
           IF(OFFSET(PLE!$G$15,$M104-$A$15,BW$13)="",10^12,OFFSET(PLE!$G$15,$M104-$A$15,BW$13)))</f>
        <v>1000000000000</v>
      </c>
      <c r="BX104" s="172">
        <f t="array" aca="1" ref="BX104" ca="1">IF(OR($D104&lt;&gt;"Serviço",AND(AUTOEVENTO="Manual",$M104=$A$15),$M104&gt;(ROW(PLE.lastrow)-ROW(PLE.firstrow))),0,
           IF(OFFSET(PLE!$G$15,$M104-$A$15,BX$13)="",10^12,OFFSET(PLE!$G$15,$M104-$A$15,BX$13)))</f>
        <v>1000000000000</v>
      </c>
      <c r="BY104" s="172">
        <f t="array" aca="1" ref="BY104" ca="1">IF(OR($D104&lt;&gt;"Serviço",AND(AUTOEVENTO="Manual",$M104=$A$15),$M104&gt;(ROW(PLE.lastrow)-ROW(PLE.firstrow))),0,
           IF(OFFSET(PLE!$G$15,$M104-$A$15,BY$13)="",10^12,OFFSET(PLE!$G$15,$M104-$A$15,BY$13)))</f>
        <v>1000000000000</v>
      </c>
      <c r="BZ104" s="172">
        <f t="array" aca="1" ref="BZ104" ca="1">IF(OR($D104&lt;&gt;"Serviço",AND(AUTOEVENTO="Manual",$M104=$A$15),$M104&gt;(ROW(PLE.lastrow)-ROW(PLE.firstrow))),0,
           IF(OFFSET(PLE!$G$15,$M104-$A$15,BZ$13)="",10^12,OFFSET(PLE!$G$15,$M104-$A$15,BZ$13)))</f>
        <v>1000000000000</v>
      </c>
      <c r="CA104" s="172">
        <f t="array" aca="1" ref="CA104" ca="1">IF(OR($D104&lt;&gt;"Serviço",AND(AUTOEVENTO="Manual",$M104=$A$15),$M104&gt;(ROW(PLE.lastrow)-ROW(PLE.firstrow))),0,
           IF(OFFSET(PLE!$G$15,$M104-$A$15,CA$13)="",10^12,OFFSET(PLE!$G$15,$M104-$A$15,CA$13)))</f>
        <v>1000000000000</v>
      </c>
      <c r="CB104" s="172">
        <f t="array" aca="1" ref="CB104" ca="1">IF(OR($D104&lt;&gt;"Serviço",AND(AUTOEVENTO="Manual",$M104=$A$15),$M104&gt;(ROW(PLE.lastrow)-ROW(PLE.firstrow))),0,
           IF(OFFSET(PLE!$G$15,$M104-$A$15,CB$13)="",10^12,OFFSET(PLE!$G$15,$M104-$A$15,CB$13)))</f>
        <v>1000000000000</v>
      </c>
      <c r="CC104" s="172">
        <f t="array" aca="1" ref="CC104" ca="1">IF(OR($D104&lt;&gt;"Serviço",AND(AUTOEVENTO="Manual",$M104=$A$15),$M104&gt;(ROW(PLE.lastrow)-ROW(PLE.firstrow))),0,
           IF(OFFSET(PLE!$G$15,$M104-$A$15,CC$13)="",10^12,OFFSET(PLE!$G$15,$M104-$A$15,CC$13)))</f>
        <v>1000000000000</v>
      </c>
      <c r="CD104" s="172">
        <f t="array" aca="1" ref="CD104" ca="1">IF(OR($D104&lt;&gt;"Serviço",AND(AUTOEVENTO="Manual",$M104=$A$15),$M104&gt;(ROW(PLE.lastrow)-ROW(PLE.firstrow))),0,
           IF(OFFSET(PLE!$G$15,$M104-$A$15,CD$13)="",10^12,OFFSET(PLE!$G$15,$M104-$A$15,CD$13)))</f>
        <v>1000000000000</v>
      </c>
      <c r="CE104" s="172">
        <f t="array" aca="1" ref="CE104" ca="1">IF(OR($D104&lt;&gt;"Serviço",AND(AUTOEVENTO="Manual",$M104=$A$15),$M104&gt;(ROW(PLE.lastrow)-ROW(PLE.firstrow))),0,
           IF(OFFSET(PLE!$G$15,$M104-$A$15,CE$13)="",10^12,OFFSET(PLE!$G$15,$M104-$A$15,CE$13)))</f>
        <v>1000000000000</v>
      </c>
      <c r="CF104" s="172">
        <f t="array" aca="1" ref="CF104" ca="1">IF(OR($D104&lt;&gt;"Serviço",AND(AUTOEVENTO="Manual",$M104=$A$15),$M104&gt;(ROW(PLE.lastrow)-ROW(PLE.firstrow))),0,
           IF(OFFSET(PLE!$G$15,$M104-$A$15,CF$13)="",10^12,OFFSET(PLE!$G$15,$M104-$A$15,CF$13)))</f>
        <v>1000000000000</v>
      </c>
      <c r="CG104" s="172">
        <f t="array" aca="1" ref="CG104" ca="1">IF(OR($D104&lt;&gt;"Serviço",AND(AUTOEVENTO="Manual",$M104=$A$15),$M104&gt;(ROW(PLE.lastrow)-ROW(PLE.firstrow))),0,
           IF(OFFSET(PLE!$G$15,$M104-$A$15,CG$13)="",10^12,OFFSET(PLE!$G$15,$M104-$A$15,CG$13)))</f>
        <v>1000000000000</v>
      </c>
      <c r="CH104" s="172">
        <f t="array" aca="1" ref="CH104" ca="1">IF(OR($D104&lt;&gt;"Serviço",AND(AUTOEVENTO="Manual",$M104=$A$15),$M104&gt;(ROW(PLE.lastrow)-ROW(PLE.firstrow))),0,
           IF(OFFSET(PLE!$G$15,$M104-$A$15,CH$13)="",10^12,OFFSET(PLE!$G$15,$M104-$A$15,CH$13)))</f>
        <v>1000000000000</v>
      </c>
      <c r="CI104" s="172">
        <f t="array" aca="1" ref="CI104" ca="1">IF(OR($D104&lt;&gt;"Serviço",AND(AUTOEVENTO="Manual",$M104=$A$15),$M104&gt;(ROW(PLE.lastrow)-ROW(PLE.firstrow))),0,
           IF(OFFSET(PLE!$G$15,$M104-$A$15,CI$13)="",10^12,OFFSET(PLE!$G$15,$M104-$A$15,CI$13)))</f>
        <v>1000000000000</v>
      </c>
      <c r="CJ104" s="172">
        <f t="array" aca="1" ref="CJ104" ca="1">IF(OR($D104&lt;&gt;"Serviço",AND(AUTOEVENTO="Manual",$M104=$A$15),$M104&gt;(ROW(PLE.lastrow)-ROW(PLE.firstrow))),0,
           IF(OFFSET(PLE!$G$15,$M104-$A$15,CJ$13)="",10^12,OFFSET(PLE!$G$15,$M104-$A$15,CJ$13)))</f>
        <v>1000000000000</v>
      </c>
      <c r="CK104" s="172">
        <f t="array" aca="1" ref="CK104" ca="1">IF(OR($D104&lt;&gt;"Serviço",AND(AUTOEVENTO="Manual",$M104=$A$15),$M104&gt;(ROW(PLE.lastrow)-ROW(PLE.firstrow))),0,
           IF(OFFSET(PLE!$G$15,$M104-$A$15,CK$13)="",10^12,OFFSET(PLE!$G$15,$M104-$A$15,CK$13)))</f>
        <v>1000000000000</v>
      </c>
      <c r="CL104" s="172">
        <f t="array" aca="1" ref="CL104" ca="1">IF(OR($D104&lt;&gt;"Serviço",AND(AUTOEVENTO="Manual",$M104=$A$15),$M104&gt;(ROW(PLE.lastrow)-ROW(PLE.firstrow))),0,
           IF(OFFSET(PLE!$G$15,$M104-$A$15,CL$13)="",10^12,OFFSET(PLE!$G$15,$M104-$A$15,CL$13)))</f>
        <v>1000000000000</v>
      </c>
      <c r="CM104" s="172">
        <f t="array" aca="1" ref="CM104" ca="1">IF(OR($D104&lt;&gt;"Serviço",AND(AUTOEVENTO="Manual",$M104=$A$15),$M104&gt;(ROW(PLE.lastrow)-ROW(PLE.firstrow))),0,
           IF(OFFSET(PLE!$G$15,$M104-$A$15,CM$13)="",10^12,OFFSET(PLE!$G$15,$M104-$A$15,CM$13)))</f>
        <v>1000000000000</v>
      </c>
    </row>
    <row r="105" spans="1:91" s="696" customFormat="1" ht="51" x14ac:dyDescent="0.2">
      <c r="A105" s="694">
        <f t="shared" ca="1" si="45"/>
        <v>22</v>
      </c>
      <c r="B105" s="694" t="str">
        <f ca="1">OFFSET(ORÇAMENTO!C$15,$L105,0)</f>
        <v>S</v>
      </c>
      <c r="C105" s="694" t="str">
        <f ca="1">OFFSET(ORÇAMENTO!L$15,$L105,0)</f>
        <v>F</v>
      </c>
      <c r="D105" s="116" t="str">
        <f ca="1">OFFSET(ORÇAMENTO!N$15,$L105,0)</f>
        <v>Serviço</v>
      </c>
      <c r="E105" s="117" t="str">
        <f ca="1">OFFSET(ORÇAMENTO!O$15,$L105,0)</f>
        <v>1.17.4.</v>
      </c>
      <c r="F105" s="163" t="str">
        <f ca="1">OFFSET(ORÇAMENTO!R$15,$L105,0)</f>
        <v>PINTURA LÁTEX ACRÍLICA STANDARD, APLICAÇÃO MANUAL EM PAREDES, DUAS DEMÃOS. AF_04/2023</v>
      </c>
      <c r="G105" s="164" t="str">
        <f ca="1">IF($D105&lt;&gt;"Serviço","",OFFSET(ORÇAMENTO!S$15,$L105,0))</f>
        <v>M2</v>
      </c>
      <c r="H105" s="122">
        <f t="array" aca="1" ref="H105" ca="1">IF($D105&lt;&gt;"Serviço",0,IF(ACOMPANHAMENTO="BM",ROUND(OFFSET(ORÇAMENTO!AJ$15,$L105,0),15-13*ORÇAMENTO!$AF$7),IF(IFERROR(CÁLCULO.FrentesPreenchidas,0)=0,0,SUM(ROUND(OFFSET($P105,0,1,1,CÁLCULO.FrentesPreenchidas),15-13*ORÇAMENTO!$AF$7)))))</f>
        <v>2252.1999999999998</v>
      </c>
      <c r="I105" s="467" t="s">
        <v>1264</v>
      </c>
      <c r="J105" s="653" t="str">
        <f t="array" aca="1" ref="J105" ca="1">IF(OR(B105&lt;&gt;"S",CÁLCULO.FrentesPreenchidas=0),"",IF(AND(ACOMPANHAMENTO="PLE",AUTOEVENTO="Manual",OR(H105&gt;0,ORÇAMENTO!AC105="QUANT."),OR(K105="",M105=0,N105="")),"►E",IF(AND(ACOMPANHAMENTO="PLE",ORÇAMENTO!AC105="QUANT."),"►Q",IF(AND(ACOMPANHAMENTO="PLE",H105&lt;&gt;SUMPRODUCT(($Q$1:$AI$1=1)*ROUND(Q105:AI105,15))),"►S",IF(AND(COUNTIF($P$11:$AI$11,"▼")=0,H105&gt;0,I105=""),"◄M","")))))</f>
        <v/>
      </c>
      <c r="K105" s="654" t="s">
        <v>1414</v>
      </c>
      <c r="L105" s="165">
        <f t="shared" ca="1" si="46"/>
        <v>90</v>
      </c>
      <c r="M105" s="166">
        <f ca="1">IF($D105&lt;&gt;"Serviço","",
          IF(AUTOEVENTO="manual",$A105,
                IF(ISERROR(MATCH($A105,$A$15:OFFSET($A105,-1,0),0)),MAX($M$15:OFFSET(M105,-1,0))+1,
                      INDEX($M$15:OFFSET(M105,-1,0),MATCH($A105,$A$15:OFFSET($A105,-1,0),0)))))</f>
        <v>22</v>
      </c>
      <c r="N105" s="167" t="str">
        <f ca="1">IF($D105&lt;&gt;"Serviço","",
         IF(AUTOEVENTO="Manual",
                IF($A105=0,"&lt;-- defina o número do agrupador",
                       OFFSET(EVENTOS!$D$15,$A105-$A$15,0)),
                OFFSET($F$15,$A105,0)))</f>
        <v>PINTURA DD PAREDES INTERNAS</v>
      </c>
      <c r="O105" s="168"/>
      <c r="Q105" s="169">
        <f>112.61*5</f>
        <v>563.04999999999995</v>
      </c>
      <c r="R105" s="169">
        <f t="shared" ref="R105:T105" si="66">112.61*5</f>
        <v>563.04999999999995</v>
      </c>
      <c r="S105" s="169">
        <f t="shared" si="66"/>
        <v>563.04999999999995</v>
      </c>
      <c r="T105" s="169">
        <f t="shared" si="66"/>
        <v>563.04999999999995</v>
      </c>
      <c r="U105" s="169"/>
      <c r="V105" s="169"/>
      <c r="W105" s="169"/>
      <c r="X105" s="169"/>
      <c r="Y105" s="169"/>
      <c r="Z105" s="170"/>
      <c r="AA105" s="169"/>
      <c r="AB105" s="169"/>
      <c r="AC105" s="169"/>
      <c r="AD105" s="169"/>
      <c r="AE105" s="169"/>
      <c r="AF105" s="169"/>
      <c r="AG105" s="169"/>
      <c r="AH105" s="170"/>
      <c r="AJ105" s="452">
        <f ca="1">IF(AND($D105="Serviço",AJ$12&lt;&gt;0,$H105&gt;0,OR(AUTOEVENTO&lt;&gt;"manual",$M105&lt;&gt;$A$15)),
        IF(Import.TipoArredondamento&lt;&gt;"TransfereGOV",
              ROUND(OFFSET($P105,0,AJ$13),15-13*ORÇAMENTO!$AF$7)/$H105*OFFSET(ORÇAMENTO!$X$15,ROW(AJ105)-ROW(AJ$15),0),
              ROUND(ROUND(OFFSET($P105,0,AJ$13),15-13*ORÇAMENTO!$AF$7)*OFFSET(ORÇAMENTO!$W$15,ROW(AJ105)-ROW(AJ$15),0),15-13*ORÇAMENTO!$AF$11)),
         0)</f>
        <v>7116.95</v>
      </c>
      <c r="AK105" s="452">
        <f ca="1">IF(AND($D105="Serviço",AK$12&lt;&gt;0,$H105&gt;0,OR(AUTOEVENTO&lt;&gt;"manual",$M105&lt;&gt;$A$15)),
        IF(Import.TipoArredondamento&lt;&gt;"TransfereGOV",
              ROUND(OFFSET($P105,0,AK$13),15-13*ORÇAMENTO!$AF$7)/$H105*OFFSET(ORÇAMENTO!$X$15,ROW(AK105)-ROW(AK$15),0),
              ROUND(ROUND(OFFSET($P105,0,AK$13),15-13*ORÇAMENTO!$AF$7)*OFFSET(ORÇAMENTO!$W$15,ROW(AK105)-ROW(AK$15),0),15-13*ORÇAMENTO!$AF$11)),
         0)</f>
        <v>7116.95</v>
      </c>
      <c r="AL105" s="452">
        <f ca="1">IF(AND($D105="Serviço",AL$12&lt;&gt;0,$H105&gt;0,OR(AUTOEVENTO&lt;&gt;"manual",$M105&lt;&gt;$A$15)),
        IF(Import.TipoArredondamento&lt;&gt;"TransfereGOV",
              ROUND(OFFSET($P105,0,AL$13),15-13*ORÇAMENTO!$AF$7)/$H105*OFFSET(ORÇAMENTO!$X$15,ROW(AL105)-ROW(AL$15),0),
              ROUND(ROUND(OFFSET($P105,0,AL$13),15-13*ORÇAMENTO!$AF$7)*OFFSET(ORÇAMENTO!$W$15,ROW(AL105)-ROW(AL$15),0),15-13*ORÇAMENTO!$AF$11)),
         0)</f>
        <v>7116.95</v>
      </c>
      <c r="AM105" s="452">
        <f ca="1">IF(AND($D105="Serviço",AM$12&lt;&gt;0,$H105&gt;0,OR(AUTOEVENTO&lt;&gt;"manual",$M105&lt;&gt;$A$15)),
        IF(Import.TipoArredondamento&lt;&gt;"TransfereGOV",
              ROUND(OFFSET($P105,0,AM$13),15-13*ORÇAMENTO!$AF$7)/$H105*OFFSET(ORÇAMENTO!$X$15,ROW(AM105)-ROW(AM$15),0),
              ROUND(ROUND(OFFSET($P105,0,AM$13),15-13*ORÇAMENTO!$AF$7)*OFFSET(ORÇAMENTO!$W$15,ROW(AM105)-ROW(AM$15),0),15-13*ORÇAMENTO!$AF$11)),
         0)</f>
        <v>7116.95</v>
      </c>
      <c r="AN105" s="452">
        <f ca="1">IF(AND($D105="Serviço",AN$12&lt;&gt;0,$H105&gt;0,OR(AUTOEVENTO&lt;&gt;"manual",$M105&lt;&gt;$A$15)),
        IF(Import.TipoArredondamento&lt;&gt;"TransfereGOV",
              ROUND(OFFSET($P105,0,AN$13),15-13*ORÇAMENTO!$AF$7)/$H105*OFFSET(ORÇAMENTO!$X$15,ROW(AN105)-ROW(AN$15),0),
              ROUND(ROUND(OFFSET($P105,0,AN$13),15-13*ORÇAMENTO!$AF$7)*OFFSET(ORÇAMENTO!$W$15,ROW(AN105)-ROW(AN$15),0),15-13*ORÇAMENTO!$AF$11)),
         0)</f>
        <v>0</v>
      </c>
      <c r="AO105" s="452">
        <f ca="1">IF(AND($D105="Serviço",AO$12&lt;&gt;0,$H105&gt;0,OR(AUTOEVENTO&lt;&gt;"manual",$M105&lt;&gt;$A$15)),
        IF(Import.TipoArredondamento&lt;&gt;"TransfereGOV",
              ROUND(OFFSET($P105,0,AO$13),15-13*ORÇAMENTO!$AF$7)/$H105*OFFSET(ORÇAMENTO!$X$15,ROW(AO105)-ROW(AO$15),0),
              ROUND(ROUND(OFFSET($P105,0,AO$13),15-13*ORÇAMENTO!$AF$7)*OFFSET(ORÇAMENTO!$W$15,ROW(AO105)-ROW(AO$15),0),15-13*ORÇAMENTO!$AF$11)),
         0)</f>
        <v>0</v>
      </c>
      <c r="AP105" s="452">
        <f ca="1">IF(AND($D105="Serviço",AP$12&lt;&gt;0,$H105&gt;0,OR(AUTOEVENTO&lt;&gt;"manual",$M105&lt;&gt;$A$15)),
        IF(Import.TipoArredondamento&lt;&gt;"TransfereGOV",
              ROUND(OFFSET($P105,0,AP$13),15-13*ORÇAMENTO!$AF$7)/$H105*OFFSET(ORÇAMENTO!$X$15,ROW(AP105)-ROW(AP$15),0),
              ROUND(ROUND(OFFSET($P105,0,AP$13),15-13*ORÇAMENTO!$AF$7)*OFFSET(ORÇAMENTO!$W$15,ROW(AP105)-ROW(AP$15),0),15-13*ORÇAMENTO!$AF$11)),
         0)</f>
        <v>0</v>
      </c>
      <c r="AQ105" s="452">
        <f ca="1">IF(AND($D105="Serviço",AQ$12&lt;&gt;0,$H105&gt;0,OR(AUTOEVENTO&lt;&gt;"manual",$M105&lt;&gt;$A$15)),
        IF(Import.TipoArredondamento&lt;&gt;"TransfereGOV",
              ROUND(OFFSET($P105,0,AQ$13),15-13*ORÇAMENTO!$AF$7)/$H105*OFFSET(ORÇAMENTO!$X$15,ROW(AQ105)-ROW(AQ$15),0),
              ROUND(ROUND(OFFSET($P105,0,AQ$13),15-13*ORÇAMENTO!$AF$7)*OFFSET(ORÇAMENTO!$W$15,ROW(AQ105)-ROW(AQ$15),0),15-13*ORÇAMENTO!$AF$11)),
         0)</f>
        <v>0</v>
      </c>
      <c r="AR105" s="452">
        <f ca="1">IF(AND($D105="Serviço",AR$12&lt;&gt;0,$H105&gt;0,OR(AUTOEVENTO&lt;&gt;"manual",$M105&lt;&gt;$A$15)),
        IF(Import.TipoArredondamento&lt;&gt;"TransfereGOV",
              ROUND(OFFSET($P105,0,AR$13),15-13*ORÇAMENTO!$AF$7)/$H105*OFFSET(ORÇAMENTO!$X$15,ROW(AR105)-ROW(AR$15),0),
              ROUND(ROUND(OFFSET($P105,0,AR$13),15-13*ORÇAMENTO!$AF$7)*OFFSET(ORÇAMENTO!$W$15,ROW(AR105)-ROW(AR$15),0),15-13*ORÇAMENTO!$AF$11)),
         0)</f>
        <v>0</v>
      </c>
      <c r="AS105" s="452">
        <f ca="1">IF(AND($D105="Serviço",AS$12&lt;&gt;0,$H105&gt;0,OR(AUTOEVENTO&lt;&gt;"manual",$M105&lt;&gt;$A$15)),
        IF(Import.TipoArredondamento&lt;&gt;"TransfereGOV",
              ROUND(OFFSET($P105,0,AS$13),15-13*ORÇAMENTO!$AF$7)/$H105*OFFSET(ORÇAMENTO!$X$15,ROW(AS105)-ROW(AS$15),0),
              ROUND(ROUND(OFFSET($P105,0,AS$13),15-13*ORÇAMENTO!$AF$7)*OFFSET(ORÇAMENTO!$W$15,ROW(AS105)-ROW(AS$15),0),15-13*ORÇAMENTO!$AF$11)),
         0)</f>
        <v>0</v>
      </c>
      <c r="AT105" s="452">
        <f ca="1">IF(AND($D105="Serviço",AT$12&lt;&gt;0,$H105&gt;0,OR(AUTOEVENTO&lt;&gt;"manual",$M105&lt;&gt;$A$15)),
        IF(Import.TipoArredondamento&lt;&gt;"TransfereGOV",
              ROUND(OFFSET($P105,0,AT$13),15-13*ORÇAMENTO!$AF$7)/$H105*OFFSET(ORÇAMENTO!$X$15,ROW(AT105)-ROW(AT$15),0),
              ROUND(ROUND(OFFSET($P105,0,AT$13),15-13*ORÇAMENTO!$AF$7)*OFFSET(ORÇAMENTO!$W$15,ROW(AT105)-ROW(AT$15),0),15-13*ORÇAMENTO!$AF$11)),
         0)</f>
        <v>0</v>
      </c>
      <c r="AU105" s="452">
        <f ca="1">IF(AND($D105="Serviço",AU$12&lt;&gt;0,$H105&gt;0,OR(AUTOEVENTO&lt;&gt;"manual",$M105&lt;&gt;$A$15)),
        IF(Import.TipoArredondamento&lt;&gt;"TransfereGOV",
              ROUND(OFFSET($P105,0,AU$13),15-13*ORÇAMENTO!$AF$7)/$H105*OFFSET(ORÇAMENTO!$X$15,ROW(AU105)-ROW(AU$15),0),
              ROUND(ROUND(OFFSET($P105,0,AU$13),15-13*ORÇAMENTO!$AF$7)*OFFSET(ORÇAMENTO!$W$15,ROW(AU105)-ROW(AU$15),0),15-13*ORÇAMENTO!$AF$11)),
         0)</f>
        <v>0</v>
      </c>
      <c r="AV105" s="452">
        <f ca="1">IF(AND($D105="Serviço",AV$12&lt;&gt;0,$H105&gt;0,OR(AUTOEVENTO&lt;&gt;"manual",$M105&lt;&gt;$A$15)),
        IF(Import.TipoArredondamento&lt;&gt;"TransfereGOV",
              ROUND(OFFSET($P105,0,AV$13),15-13*ORÇAMENTO!$AF$7)/$H105*OFFSET(ORÇAMENTO!$X$15,ROW(AV105)-ROW(AV$15),0),
              ROUND(ROUND(OFFSET($P105,0,AV$13),15-13*ORÇAMENTO!$AF$7)*OFFSET(ORÇAMENTO!$W$15,ROW(AV105)-ROW(AV$15),0),15-13*ORÇAMENTO!$AF$11)),
         0)</f>
        <v>0</v>
      </c>
      <c r="AW105" s="452">
        <f ca="1">IF(AND($D105="Serviço",AW$12&lt;&gt;0,$H105&gt;0,OR(AUTOEVENTO&lt;&gt;"manual",$M105&lt;&gt;$A$15)),
        IF(Import.TipoArredondamento&lt;&gt;"TransfereGOV",
              ROUND(OFFSET($P105,0,AW$13),15-13*ORÇAMENTO!$AF$7)/$H105*OFFSET(ORÇAMENTO!$X$15,ROW(AW105)-ROW(AW$15),0),
              ROUND(ROUND(OFFSET($P105,0,AW$13),15-13*ORÇAMENTO!$AF$7)*OFFSET(ORÇAMENTO!$W$15,ROW(AW105)-ROW(AW$15),0),15-13*ORÇAMENTO!$AF$11)),
         0)</f>
        <v>0</v>
      </c>
      <c r="AX105" s="452">
        <f ca="1">IF(AND($D105="Serviço",AX$12&lt;&gt;0,$H105&gt;0,OR(AUTOEVENTO&lt;&gt;"manual",$M105&lt;&gt;$A$15)),
        IF(Import.TipoArredondamento&lt;&gt;"TransfereGOV",
              ROUND(OFFSET($P105,0,AX$13),15-13*ORÇAMENTO!$AF$7)/$H105*OFFSET(ORÇAMENTO!$X$15,ROW(AX105)-ROW(AX$15),0),
              ROUND(ROUND(OFFSET($P105,0,AX$13),15-13*ORÇAMENTO!$AF$7)*OFFSET(ORÇAMENTO!$W$15,ROW(AX105)-ROW(AX$15),0),15-13*ORÇAMENTO!$AF$11)),
         0)</f>
        <v>0</v>
      </c>
      <c r="AY105" s="452">
        <f ca="1">IF(AND($D105="Serviço",AY$12&lt;&gt;0,$H105&gt;0,OR(AUTOEVENTO&lt;&gt;"manual",$M105&lt;&gt;$A$15)),
        IF(Import.TipoArredondamento&lt;&gt;"TransfereGOV",
              ROUND(OFFSET($P105,0,AY$13),15-13*ORÇAMENTO!$AF$7)/$H105*OFFSET(ORÇAMENTO!$X$15,ROW(AY105)-ROW(AY$15),0),
              ROUND(ROUND(OFFSET($P105,0,AY$13),15-13*ORÇAMENTO!$AF$7)*OFFSET(ORÇAMENTO!$W$15,ROW(AY105)-ROW(AY$15),0),15-13*ORÇAMENTO!$AF$11)),
         0)</f>
        <v>0</v>
      </c>
      <c r="AZ105" s="452">
        <f ca="1">IF(AND($D105="Serviço",AZ$12&lt;&gt;0,$H105&gt;0,OR(AUTOEVENTO&lt;&gt;"manual",$M105&lt;&gt;$A$15)),
        IF(Import.TipoArredondamento&lt;&gt;"TransfereGOV",
              ROUND(OFFSET($P105,0,AZ$13),15-13*ORÇAMENTO!$AF$7)/$H105*OFFSET(ORÇAMENTO!$X$15,ROW(AZ105)-ROW(AZ$15),0),
              ROUND(ROUND(OFFSET($P105,0,AZ$13),15-13*ORÇAMENTO!$AF$7)*OFFSET(ORÇAMENTO!$W$15,ROW(AZ105)-ROW(AZ$15),0),15-13*ORÇAMENTO!$AF$11)),
         0)</f>
        <v>0</v>
      </c>
      <c r="BA105" s="452">
        <f ca="1">IF(AND($D105="Serviço",BA$12&lt;&gt;0,$H105&gt;0,OR(AUTOEVENTO&lt;&gt;"manual",$M105&lt;&gt;$A$15)),
        IF(Import.TipoArredondamento&lt;&gt;"TransfereGOV",
              ROUND(OFFSET($P105,0,BA$13),15-13*ORÇAMENTO!$AF$7)/$H105*OFFSET(ORÇAMENTO!$X$15,ROW(BA105)-ROW(BA$15),0),
              ROUND(ROUND(OFFSET($P105,0,BA$13),15-13*ORÇAMENTO!$AF$7)*OFFSET(ORÇAMENTO!$W$15,ROW(BA105)-ROW(BA$15),0),15-13*ORÇAMENTO!$AF$11)),
         0)</f>
        <v>0</v>
      </c>
      <c r="BC105" s="171">
        <f ca="1">IF(OR($D105&lt;&gt;"Serviço",AND(AUTOEVENTO="Manual",$M105=$A$15)),0,
         IF(OFFSET(CRONOPLE!$F$15,$M105-$A$15,BC$13)=0,10^12,OFFSET(CRONOPLE!$F$15,$M105-$A$15,BC$13)))</f>
        <v>7</v>
      </c>
      <c r="BD105" s="171">
        <f ca="1">IF(OR($D105&lt;&gt;"Serviço",AND(AUTOEVENTO="Manual",$M105=$A$15)),0,
         IF(OFFSET(CRONOPLE!$F$15,$M105-$A$15,BD$13)=0,10^12,OFFSET(CRONOPLE!$F$15,$M105-$A$15,BD$13)))</f>
        <v>7</v>
      </c>
      <c r="BE105" s="171">
        <f ca="1">IF(OR($D105&lt;&gt;"Serviço",AND(AUTOEVENTO="Manual",$M105=$A$15)),0,
         IF(OFFSET(CRONOPLE!$F$15,$M105-$A$15,BE$13)=0,10^12,OFFSET(CRONOPLE!$F$15,$M105-$A$15,BE$13)))</f>
        <v>8</v>
      </c>
      <c r="BF105" s="171">
        <f ca="1">IF(OR($D105&lt;&gt;"Serviço",AND(AUTOEVENTO="Manual",$M105=$A$15)),0,
         IF(OFFSET(CRONOPLE!$F$15,$M105-$A$15,BF$13)=0,10^12,OFFSET(CRONOPLE!$F$15,$M105-$A$15,BF$13)))</f>
        <v>9</v>
      </c>
      <c r="BG105" s="171">
        <f ca="1">IF(OR($D105&lt;&gt;"Serviço",AND(AUTOEVENTO="Manual",$M105=$A$15)),0,
         IF(OFFSET(CRONOPLE!$F$15,$M105-$A$15,BG$13)=0,10^12,OFFSET(CRONOPLE!$F$15,$M105-$A$15,BG$13)))</f>
        <v>9</v>
      </c>
      <c r="BH105" s="171">
        <f ca="1">IF(OR($D105&lt;&gt;"Serviço",AND(AUTOEVENTO="Manual",$M105=$A$15)),0,
         IF(OFFSET(CRONOPLE!$F$15,$M105-$A$15,BH$13)=0,10^12,OFFSET(CRONOPLE!$F$15,$M105-$A$15,BH$13)))</f>
        <v>1000000000000</v>
      </c>
      <c r="BI105" s="171">
        <f ca="1">IF(OR($D105&lt;&gt;"Serviço",AND(AUTOEVENTO="Manual",$M105=$A$15)),0,
         IF(OFFSET(CRONOPLE!$F$15,$M105-$A$15,BI$13)=0,10^12,OFFSET(CRONOPLE!$F$15,$M105-$A$15,BI$13)))</f>
        <v>7</v>
      </c>
      <c r="BJ105" s="171">
        <f ca="1">IF(OR($D105&lt;&gt;"Serviço",AND(AUTOEVENTO="Manual",$M105=$A$15)),0,
         IF(OFFSET(CRONOPLE!$F$15,$M105-$A$15,BJ$13)=0,10^12,OFFSET(CRONOPLE!$F$15,$M105-$A$15,BJ$13)))</f>
        <v>8</v>
      </c>
      <c r="BK105" s="171">
        <f ca="1">IF(OR($D105&lt;&gt;"Serviço",AND(AUTOEVENTO="Manual",$M105=$A$15)),0,
         IF(OFFSET(CRONOPLE!$F$15,$M105-$A$15,BK$13)=0,10^12,OFFSET(CRONOPLE!$F$15,$M105-$A$15,BK$13)))</f>
        <v>1000000000000</v>
      </c>
      <c r="BL105" s="171">
        <f ca="1">IF(OR($D105&lt;&gt;"Serviço",AND(AUTOEVENTO="Manual",$M105=$A$15)),0,
         IF(OFFSET(CRONOPLE!$F$15,$M105-$A$15,BL$13)=0,10^12,OFFSET(CRONOPLE!$F$15,$M105-$A$15,BL$13)))</f>
        <v>1000000000000</v>
      </c>
      <c r="BM105" s="171">
        <f ca="1">IF(OR($D105&lt;&gt;"Serviço",AND(AUTOEVENTO="Manual",$M105=$A$15)),0,
         IF(OFFSET(CRONOPLE!$F$15,$M105-$A$15,BM$13)=0,10^12,OFFSET(CRONOPLE!$F$15,$M105-$A$15,BM$13)))</f>
        <v>1000000000000</v>
      </c>
      <c r="BN105" s="171">
        <f ca="1">IF(OR($D105&lt;&gt;"Serviço",AND(AUTOEVENTO="Manual",$M105=$A$15)),0,
         IF(OFFSET(CRONOPLE!$F$15,$M105-$A$15,BN$13)=0,10^12,OFFSET(CRONOPLE!$F$15,$M105-$A$15,BN$13)))</f>
        <v>1000000000000</v>
      </c>
      <c r="BO105" s="171">
        <f ca="1">IF(OR($D105&lt;&gt;"Serviço",AND(AUTOEVENTO="Manual",$M105=$A$15)),0,
         IF(OFFSET(CRONOPLE!$F$15,$M105-$A$15,BO$13)=0,10^12,OFFSET(CRONOPLE!$F$15,$M105-$A$15,BO$13)))</f>
        <v>1000000000000</v>
      </c>
      <c r="BP105" s="171">
        <f ca="1">IF(OR($D105&lt;&gt;"Serviço",AND(AUTOEVENTO="Manual",$M105=$A$15)),0,
         IF(OFFSET(CRONOPLE!$F$15,$M105-$A$15,BP$13)=0,10^12,OFFSET(CRONOPLE!$F$15,$M105-$A$15,BP$13)))</f>
        <v>1000000000000</v>
      </c>
      <c r="BQ105" s="171">
        <f ca="1">IF(OR($D105&lt;&gt;"Serviço",AND(AUTOEVENTO="Manual",$M105=$A$15)),0,
         IF(OFFSET(CRONOPLE!$F$15,$M105-$A$15,BQ$13)=0,10^12,OFFSET(CRONOPLE!$F$15,$M105-$A$15,BQ$13)))</f>
        <v>1000000000000</v>
      </c>
      <c r="BR105" s="171">
        <f ca="1">IF(OR($D105&lt;&gt;"Serviço",AND(AUTOEVENTO="Manual",$M105=$A$15)),0,
         IF(OFFSET(CRONOPLE!$F$15,$M105-$A$15,BR$13)=0,10^12,OFFSET(CRONOPLE!$F$15,$M105-$A$15,BR$13)))</f>
        <v>1000000000000</v>
      </c>
      <c r="BS105" s="171">
        <f ca="1">IF(OR($D105&lt;&gt;"Serviço",AND(AUTOEVENTO="Manual",$M105=$A$15)),0,
         IF(OFFSET(CRONOPLE!$F$15,$M105-$A$15,BS$13)=0,10^12,OFFSET(CRONOPLE!$F$15,$M105-$A$15,BS$13)))</f>
        <v>1000000000000</v>
      </c>
      <c r="BT105" s="171">
        <f ca="1">IF(OR($D105&lt;&gt;"Serviço",AND(AUTOEVENTO="Manual",$M105=$A$15)),0,
         IF(OFFSET(CRONOPLE!$F$15,$M105-$A$15,BT$13)=0,10^12,OFFSET(CRONOPLE!$F$15,$M105-$A$15,BT$13)))</f>
        <v>1000000000000</v>
      </c>
      <c r="BV105" s="172">
        <f t="array" aca="1" ref="BV105" ca="1">IF(OR($D105&lt;&gt;"Serviço",AND(AUTOEVENTO="Manual",$M105=$A$15),$M105&gt;(ROW(PLE.lastrow)-ROW(PLE.firstrow))),0,
           IF(OFFSET(PLE!$G$15,$M105-$A$15,BV$13)="",10^12,OFFSET(PLE!$G$15,$M105-$A$15,BV$13)))</f>
        <v>1000000000000</v>
      </c>
      <c r="BW105" s="172">
        <f t="array" aca="1" ref="BW105" ca="1">IF(OR($D105&lt;&gt;"Serviço",AND(AUTOEVENTO="Manual",$M105=$A$15),$M105&gt;(ROW(PLE.lastrow)-ROW(PLE.firstrow))),0,
           IF(OFFSET(PLE!$G$15,$M105-$A$15,BW$13)="",10^12,OFFSET(PLE!$G$15,$M105-$A$15,BW$13)))</f>
        <v>1000000000000</v>
      </c>
      <c r="BX105" s="172">
        <f t="array" aca="1" ref="BX105" ca="1">IF(OR($D105&lt;&gt;"Serviço",AND(AUTOEVENTO="Manual",$M105=$A$15),$M105&gt;(ROW(PLE.lastrow)-ROW(PLE.firstrow))),0,
           IF(OFFSET(PLE!$G$15,$M105-$A$15,BX$13)="",10^12,OFFSET(PLE!$G$15,$M105-$A$15,BX$13)))</f>
        <v>1000000000000</v>
      </c>
      <c r="BY105" s="172">
        <f t="array" aca="1" ref="BY105" ca="1">IF(OR($D105&lt;&gt;"Serviço",AND(AUTOEVENTO="Manual",$M105=$A$15),$M105&gt;(ROW(PLE.lastrow)-ROW(PLE.firstrow))),0,
           IF(OFFSET(PLE!$G$15,$M105-$A$15,BY$13)="",10^12,OFFSET(PLE!$G$15,$M105-$A$15,BY$13)))</f>
        <v>1000000000000</v>
      </c>
      <c r="BZ105" s="172">
        <f t="array" aca="1" ref="BZ105" ca="1">IF(OR($D105&lt;&gt;"Serviço",AND(AUTOEVENTO="Manual",$M105=$A$15),$M105&gt;(ROW(PLE.lastrow)-ROW(PLE.firstrow))),0,
           IF(OFFSET(PLE!$G$15,$M105-$A$15,BZ$13)="",10^12,OFFSET(PLE!$G$15,$M105-$A$15,BZ$13)))</f>
        <v>1000000000000</v>
      </c>
      <c r="CA105" s="172">
        <f t="array" aca="1" ref="CA105" ca="1">IF(OR($D105&lt;&gt;"Serviço",AND(AUTOEVENTO="Manual",$M105=$A$15),$M105&gt;(ROW(PLE.lastrow)-ROW(PLE.firstrow))),0,
           IF(OFFSET(PLE!$G$15,$M105-$A$15,CA$13)="",10^12,OFFSET(PLE!$G$15,$M105-$A$15,CA$13)))</f>
        <v>1000000000000</v>
      </c>
      <c r="CB105" s="172">
        <f t="array" aca="1" ref="CB105" ca="1">IF(OR($D105&lt;&gt;"Serviço",AND(AUTOEVENTO="Manual",$M105=$A$15),$M105&gt;(ROW(PLE.lastrow)-ROW(PLE.firstrow))),0,
           IF(OFFSET(PLE!$G$15,$M105-$A$15,CB$13)="",10^12,OFFSET(PLE!$G$15,$M105-$A$15,CB$13)))</f>
        <v>1000000000000</v>
      </c>
      <c r="CC105" s="172">
        <f t="array" aca="1" ref="CC105" ca="1">IF(OR($D105&lt;&gt;"Serviço",AND(AUTOEVENTO="Manual",$M105=$A$15),$M105&gt;(ROW(PLE.lastrow)-ROW(PLE.firstrow))),0,
           IF(OFFSET(PLE!$G$15,$M105-$A$15,CC$13)="",10^12,OFFSET(PLE!$G$15,$M105-$A$15,CC$13)))</f>
        <v>1000000000000</v>
      </c>
      <c r="CD105" s="172">
        <f t="array" aca="1" ref="CD105" ca="1">IF(OR($D105&lt;&gt;"Serviço",AND(AUTOEVENTO="Manual",$M105=$A$15),$M105&gt;(ROW(PLE.lastrow)-ROW(PLE.firstrow))),0,
           IF(OFFSET(PLE!$G$15,$M105-$A$15,CD$13)="",10^12,OFFSET(PLE!$G$15,$M105-$A$15,CD$13)))</f>
        <v>1000000000000</v>
      </c>
      <c r="CE105" s="172">
        <f t="array" aca="1" ref="CE105" ca="1">IF(OR($D105&lt;&gt;"Serviço",AND(AUTOEVENTO="Manual",$M105=$A$15),$M105&gt;(ROW(PLE.lastrow)-ROW(PLE.firstrow))),0,
           IF(OFFSET(PLE!$G$15,$M105-$A$15,CE$13)="",10^12,OFFSET(PLE!$G$15,$M105-$A$15,CE$13)))</f>
        <v>1000000000000</v>
      </c>
      <c r="CF105" s="172">
        <f t="array" aca="1" ref="CF105" ca="1">IF(OR($D105&lt;&gt;"Serviço",AND(AUTOEVENTO="Manual",$M105=$A$15),$M105&gt;(ROW(PLE.lastrow)-ROW(PLE.firstrow))),0,
           IF(OFFSET(PLE!$G$15,$M105-$A$15,CF$13)="",10^12,OFFSET(PLE!$G$15,$M105-$A$15,CF$13)))</f>
        <v>1000000000000</v>
      </c>
      <c r="CG105" s="172">
        <f t="array" aca="1" ref="CG105" ca="1">IF(OR($D105&lt;&gt;"Serviço",AND(AUTOEVENTO="Manual",$M105=$A$15),$M105&gt;(ROW(PLE.lastrow)-ROW(PLE.firstrow))),0,
           IF(OFFSET(PLE!$G$15,$M105-$A$15,CG$13)="",10^12,OFFSET(PLE!$G$15,$M105-$A$15,CG$13)))</f>
        <v>1000000000000</v>
      </c>
      <c r="CH105" s="172">
        <f t="array" aca="1" ref="CH105" ca="1">IF(OR($D105&lt;&gt;"Serviço",AND(AUTOEVENTO="Manual",$M105=$A$15),$M105&gt;(ROW(PLE.lastrow)-ROW(PLE.firstrow))),0,
           IF(OFFSET(PLE!$G$15,$M105-$A$15,CH$13)="",10^12,OFFSET(PLE!$G$15,$M105-$A$15,CH$13)))</f>
        <v>1000000000000</v>
      </c>
      <c r="CI105" s="172">
        <f t="array" aca="1" ref="CI105" ca="1">IF(OR($D105&lt;&gt;"Serviço",AND(AUTOEVENTO="Manual",$M105=$A$15),$M105&gt;(ROW(PLE.lastrow)-ROW(PLE.firstrow))),0,
           IF(OFFSET(PLE!$G$15,$M105-$A$15,CI$13)="",10^12,OFFSET(PLE!$G$15,$M105-$A$15,CI$13)))</f>
        <v>1000000000000</v>
      </c>
      <c r="CJ105" s="172">
        <f t="array" aca="1" ref="CJ105" ca="1">IF(OR($D105&lt;&gt;"Serviço",AND(AUTOEVENTO="Manual",$M105=$A$15),$M105&gt;(ROW(PLE.lastrow)-ROW(PLE.firstrow))),0,
           IF(OFFSET(PLE!$G$15,$M105-$A$15,CJ$13)="",10^12,OFFSET(PLE!$G$15,$M105-$A$15,CJ$13)))</f>
        <v>1000000000000</v>
      </c>
      <c r="CK105" s="172">
        <f t="array" aca="1" ref="CK105" ca="1">IF(OR($D105&lt;&gt;"Serviço",AND(AUTOEVENTO="Manual",$M105=$A$15),$M105&gt;(ROW(PLE.lastrow)-ROW(PLE.firstrow))),0,
           IF(OFFSET(PLE!$G$15,$M105-$A$15,CK$13)="",10^12,OFFSET(PLE!$G$15,$M105-$A$15,CK$13)))</f>
        <v>1000000000000</v>
      </c>
      <c r="CL105" s="172">
        <f t="array" aca="1" ref="CL105" ca="1">IF(OR($D105&lt;&gt;"Serviço",AND(AUTOEVENTO="Manual",$M105=$A$15),$M105&gt;(ROW(PLE.lastrow)-ROW(PLE.firstrow))),0,
           IF(OFFSET(PLE!$G$15,$M105-$A$15,CL$13)="",10^12,OFFSET(PLE!$G$15,$M105-$A$15,CL$13)))</f>
        <v>1000000000000</v>
      </c>
      <c r="CM105" s="172">
        <f t="array" aca="1" ref="CM105" ca="1">IF(OR($D105&lt;&gt;"Serviço",AND(AUTOEVENTO="Manual",$M105=$A$15),$M105&gt;(ROW(PLE.lastrow)-ROW(PLE.firstrow))),0,
           IF(OFFSET(PLE!$G$15,$M105-$A$15,CM$13)="",10^12,OFFSET(PLE!$G$15,$M105-$A$15,CM$13)))</f>
        <v>1000000000000</v>
      </c>
    </row>
    <row r="106" spans="1:91" s="696" customFormat="1" ht="12.75" x14ac:dyDescent="0.2">
      <c r="A106" s="694">
        <f t="shared" ca="1" si="45"/>
        <v>0</v>
      </c>
      <c r="B106" s="694">
        <f ca="1">OFFSET(ORÇAMENTO!C$15,$L106,0)</f>
        <v>2</v>
      </c>
      <c r="C106" s="694" t="str">
        <f ca="1">OFFSET(ORÇAMENTO!L$15,$L106,0)</f>
        <v>F</v>
      </c>
      <c r="D106" s="116" t="str">
        <f ca="1">OFFSET(ORÇAMENTO!N$15,$L106,0)</f>
        <v>Nível 2</v>
      </c>
      <c r="E106" s="117" t="str">
        <f ca="1">OFFSET(ORÇAMENTO!O$15,$L106,0)</f>
        <v>1.18.</v>
      </c>
      <c r="F106" s="163" t="str">
        <f ca="1">OFFSET(ORÇAMENTO!R$15,$L106,0)</f>
        <v>PINTURAS EXTERNAS</v>
      </c>
      <c r="G106" s="164" t="str">
        <f ca="1">IF($D106&lt;&gt;"Serviço","",OFFSET(ORÇAMENTO!S$15,$L106,0))</f>
        <v/>
      </c>
      <c r="H106" s="122">
        <f t="array" aca="1" ref="H106" ca="1">IF($D106&lt;&gt;"Serviço",0,IF(ACOMPANHAMENTO="BM",ROUND(OFFSET(ORÇAMENTO!AJ$15,$L106,0),15-13*ORÇAMENTO!$AF$7),IF(IFERROR(CÁLCULO.FrentesPreenchidas,0)=0,0,SUM(ROUND(OFFSET($P106,0,1,1,CÁLCULO.FrentesPreenchidas),15-13*ORÇAMENTO!$AF$7)))))</f>
        <v>0</v>
      </c>
      <c r="I106" s="467"/>
      <c r="J106" s="653" t="str">
        <f t="array" aca="1" ref="J106" ca="1">IF(OR(B106&lt;&gt;"S",CÁLCULO.FrentesPreenchidas=0),"",IF(AND(ACOMPANHAMENTO="PLE",AUTOEVENTO="Manual",OR(H106&gt;0,ORÇAMENTO!AC106="QUANT."),OR(K106="",M106=0,N106="")),"►E",IF(AND(ACOMPANHAMENTO="PLE",ORÇAMENTO!AC106="QUANT."),"►Q",IF(AND(ACOMPANHAMENTO="PLE",H106&lt;&gt;SUMPRODUCT(($Q$1:$AI$1=1)*ROUND(Q106:AI106,15))),"►S",IF(AND(COUNTIF($P$11:$AI$11,"▼")=0,H106&gt;0,I106=""),"◄M","")))))</f>
        <v/>
      </c>
      <c r="K106" s="654"/>
      <c r="L106" s="165">
        <f t="shared" ca="1" si="46"/>
        <v>91</v>
      </c>
      <c r="M106" s="166" t="str">
        <f ca="1">IF($D106&lt;&gt;"Serviço","",
          IF(AUTOEVENTO="manual",$A106,
                IF(ISERROR(MATCH($A106,$A$15:OFFSET($A106,-1,0),0)),MAX($M$15:OFFSET(M106,-1,0))+1,
                      INDEX($M$15:OFFSET(M106,-1,0),MATCH($A106,$A$15:OFFSET($A106,-1,0),0)))))</f>
        <v/>
      </c>
      <c r="N106" s="167" t="str">
        <f ca="1">IF($D106&lt;&gt;"Serviço","",
         IF(AUTOEVENTO="Manual",
                IF($A106=0,"&lt;-- defina o número do agrupador",
                       OFFSET(EVENTOS!$D$15,$A106-$A$15,0)),
                OFFSET($F$15,$A106,0)))</f>
        <v/>
      </c>
      <c r="O106" s="168"/>
      <c r="Q106" s="169"/>
      <c r="R106" s="169"/>
      <c r="S106" s="169"/>
      <c r="T106" s="169"/>
      <c r="U106" s="169"/>
      <c r="V106" s="169"/>
      <c r="W106" s="169"/>
      <c r="X106" s="169"/>
      <c r="Y106" s="169"/>
      <c r="Z106" s="170"/>
      <c r="AA106" s="169"/>
      <c r="AB106" s="169"/>
      <c r="AC106" s="169"/>
      <c r="AD106" s="169"/>
      <c r="AE106" s="169"/>
      <c r="AF106" s="169"/>
      <c r="AG106" s="169"/>
      <c r="AH106" s="170"/>
      <c r="AJ106" s="452">
        <f ca="1">IF(AND($D106="Serviço",AJ$12&lt;&gt;0,$H106&gt;0,OR(AUTOEVENTO&lt;&gt;"manual",$M106&lt;&gt;$A$15)),
        IF(Import.TipoArredondamento&lt;&gt;"TransfereGOV",
              ROUND(OFFSET($P106,0,AJ$13),15-13*ORÇAMENTO!$AF$7)/$H106*OFFSET(ORÇAMENTO!$X$15,ROW(AJ106)-ROW(AJ$15),0),
              ROUND(ROUND(OFFSET($P106,0,AJ$13),15-13*ORÇAMENTO!$AF$7)*OFFSET(ORÇAMENTO!$W$15,ROW(AJ106)-ROW(AJ$15),0),15-13*ORÇAMENTO!$AF$11)),
         0)</f>
        <v>0</v>
      </c>
      <c r="AK106" s="452">
        <f ca="1">IF(AND($D106="Serviço",AK$12&lt;&gt;0,$H106&gt;0,OR(AUTOEVENTO&lt;&gt;"manual",$M106&lt;&gt;$A$15)),
        IF(Import.TipoArredondamento&lt;&gt;"TransfereGOV",
              ROUND(OFFSET($P106,0,AK$13),15-13*ORÇAMENTO!$AF$7)/$H106*OFFSET(ORÇAMENTO!$X$15,ROW(AK106)-ROW(AK$15),0),
              ROUND(ROUND(OFFSET($P106,0,AK$13),15-13*ORÇAMENTO!$AF$7)*OFFSET(ORÇAMENTO!$W$15,ROW(AK106)-ROW(AK$15),0),15-13*ORÇAMENTO!$AF$11)),
         0)</f>
        <v>0</v>
      </c>
      <c r="AL106" s="452">
        <f ca="1">IF(AND($D106="Serviço",AL$12&lt;&gt;0,$H106&gt;0,OR(AUTOEVENTO&lt;&gt;"manual",$M106&lt;&gt;$A$15)),
        IF(Import.TipoArredondamento&lt;&gt;"TransfereGOV",
              ROUND(OFFSET($P106,0,AL$13),15-13*ORÇAMENTO!$AF$7)/$H106*OFFSET(ORÇAMENTO!$X$15,ROW(AL106)-ROW(AL$15),0),
              ROUND(ROUND(OFFSET($P106,0,AL$13),15-13*ORÇAMENTO!$AF$7)*OFFSET(ORÇAMENTO!$W$15,ROW(AL106)-ROW(AL$15),0),15-13*ORÇAMENTO!$AF$11)),
         0)</f>
        <v>0</v>
      </c>
      <c r="AM106" s="452">
        <f ca="1">IF(AND($D106="Serviço",AM$12&lt;&gt;0,$H106&gt;0,OR(AUTOEVENTO&lt;&gt;"manual",$M106&lt;&gt;$A$15)),
        IF(Import.TipoArredondamento&lt;&gt;"TransfereGOV",
              ROUND(OFFSET($P106,0,AM$13),15-13*ORÇAMENTO!$AF$7)/$H106*OFFSET(ORÇAMENTO!$X$15,ROW(AM106)-ROW(AM$15),0),
              ROUND(ROUND(OFFSET($P106,0,AM$13),15-13*ORÇAMENTO!$AF$7)*OFFSET(ORÇAMENTO!$W$15,ROW(AM106)-ROW(AM$15),0),15-13*ORÇAMENTO!$AF$11)),
         0)</f>
        <v>0</v>
      </c>
      <c r="AN106" s="452">
        <f ca="1">IF(AND($D106="Serviço",AN$12&lt;&gt;0,$H106&gt;0,OR(AUTOEVENTO&lt;&gt;"manual",$M106&lt;&gt;$A$15)),
        IF(Import.TipoArredondamento&lt;&gt;"TransfereGOV",
              ROUND(OFFSET($P106,0,AN$13),15-13*ORÇAMENTO!$AF$7)/$H106*OFFSET(ORÇAMENTO!$X$15,ROW(AN106)-ROW(AN$15),0),
              ROUND(ROUND(OFFSET($P106,0,AN$13),15-13*ORÇAMENTO!$AF$7)*OFFSET(ORÇAMENTO!$W$15,ROW(AN106)-ROW(AN$15),0),15-13*ORÇAMENTO!$AF$11)),
         0)</f>
        <v>0</v>
      </c>
      <c r="AO106" s="452">
        <f ca="1">IF(AND($D106="Serviço",AO$12&lt;&gt;0,$H106&gt;0,OR(AUTOEVENTO&lt;&gt;"manual",$M106&lt;&gt;$A$15)),
        IF(Import.TipoArredondamento&lt;&gt;"TransfereGOV",
              ROUND(OFFSET($P106,0,AO$13),15-13*ORÇAMENTO!$AF$7)/$H106*OFFSET(ORÇAMENTO!$X$15,ROW(AO106)-ROW(AO$15),0),
              ROUND(ROUND(OFFSET($P106,0,AO$13),15-13*ORÇAMENTO!$AF$7)*OFFSET(ORÇAMENTO!$W$15,ROW(AO106)-ROW(AO$15),0),15-13*ORÇAMENTO!$AF$11)),
         0)</f>
        <v>0</v>
      </c>
      <c r="AP106" s="452">
        <f ca="1">IF(AND($D106="Serviço",AP$12&lt;&gt;0,$H106&gt;0,OR(AUTOEVENTO&lt;&gt;"manual",$M106&lt;&gt;$A$15)),
        IF(Import.TipoArredondamento&lt;&gt;"TransfereGOV",
              ROUND(OFFSET($P106,0,AP$13),15-13*ORÇAMENTO!$AF$7)/$H106*OFFSET(ORÇAMENTO!$X$15,ROW(AP106)-ROW(AP$15),0),
              ROUND(ROUND(OFFSET($P106,0,AP$13),15-13*ORÇAMENTO!$AF$7)*OFFSET(ORÇAMENTO!$W$15,ROW(AP106)-ROW(AP$15),0),15-13*ORÇAMENTO!$AF$11)),
         0)</f>
        <v>0</v>
      </c>
      <c r="AQ106" s="452">
        <f ca="1">IF(AND($D106="Serviço",AQ$12&lt;&gt;0,$H106&gt;0,OR(AUTOEVENTO&lt;&gt;"manual",$M106&lt;&gt;$A$15)),
        IF(Import.TipoArredondamento&lt;&gt;"TransfereGOV",
              ROUND(OFFSET($P106,0,AQ$13),15-13*ORÇAMENTO!$AF$7)/$H106*OFFSET(ORÇAMENTO!$X$15,ROW(AQ106)-ROW(AQ$15),0),
              ROUND(ROUND(OFFSET($P106,0,AQ$13),15-13*ORÇAMENTO!$AF$7)*OFFSET(ORÇAMENTO!$W$15,ROW(AQ106)-ROW(AQ$15),0),15-13*ORÇAMENTO!$AF$11)),
         0)</f>
        <v>0</v>
      </c>
      <c r="AR106" s="452">
        <f ca="1">IF(AND($D106="Serviço",AR$12&lt;&gt;0,$H106&gt;0,OR(AUTOEVENTO&lt;&gt;"manual",$M106&lt;&gt;$A$15)),
        IF(Import.TipoArredondamento&lt;&gt;"TransfereGOV",
              ROUND(OFFSET($P106,0,AR$13),15-13*ORÇAMENTO!$AF$7)/$H106*OFFSET(ORÇAMENTO!$X$15,ROW(AR106)-ROW(AR$15),0),
              ROUND(ROUND(OFFSET($P106,0,AR$13),15-13*ORÇAMENTO!$AF$7)*OFFSET(ORÇAMENTO!$W$15,ROW(AR106)-ROW(AR$15),0),15-13*ORÇAMENTO!$AF$11)),
         0)</f>
        <v>0</v>
      </c>
      <c r="AS106" s="452">
        <f ca="1">IF(AND($D106="Serviço",AS$12&lt;&gt;0,$H106&gt;0,OR(AUTOEVENTO&lt;&gt;"manual",$M106&lt;&gt;$A$15)),
        IF(Import.TipoArredondamento&lt;&gt;"TransfereGOV",
              ROUND(OFFSET($P106,0,AS$13),15-13*ORÇAMENTO!$AF$7)/$H106*OFFSET(ORÇAMENTO!$X$15,ROW(AS106)-ROW(AS$15),0),
              ROUND(ROUND(OFFSET($P106,0,AS$13),15-13*ORÇAMENTO!$AF$7)*OFFSET(ORÇAMENTO!$W$15,ROW(AS106)-ROW(AS$15),0),15-13*ORÇAMENTO!$AF$11)),
         0)</f>
        <v>0</v>
      </c>
      <c r="AT106" s="452">
        <f ca="1">IF(AND($D106="Serviço",AT$12&lt;&gt;0,$H106&gt;0,OR(AUTOEVENTO&lt;&gt;"manual",$M106&lt;&gt;$A$15)),
        IF(Import.TipoArredondamento&lt;&gt;"TransfereGOV",
              ROUND(OFFSET($P106,0,AT$13),15-13*ORÇAMENTO!$AF$7)/$H106*OFFSET(ORÇAMENTO!$X$15,ROW(AT106)-ROW(AT$15),0),
              ROUND(ROUND(OFFSET($P106,0,AT$13),15-13*ORÇAMENTO!$AF$7)*OFFSET(ORÇAMENTO!$W$15,ROW(AT106)-ROW(AT$15),0),15-13*ORÇAMENTO!$AF$11)),
         0)</f>
        <v>0</v>
      </c>
      <c r="AU106" s="452">
        <f ca="1">IF(AND($D106="Serviço",AU$12&lt;&gt;0,$H106&gt;0,OR(AUTOEVENTO&lt;&gt;"manual",$M106&lt;&gt;$A$15)),
        IF(Import.TipoArredondamento&lt;&gt;"TransfereGOV",
              ROUND(OFFSET($P106,0,AU$13),15-13*ORÇAMENTO!$AF$7)/$H106*OFFSET(ORÇAMENTO!$X$15,ROW(AU106)-ROW(AU$15),0),
              ROUND(ROUND(OFFSET($P106,0,AU$13),15-13*ORÇAMENTO!$AF$7)*OFFSET(ORÇAMENTO!$W$15,ROW(AU106)-ROW(AU$15),0),15-13*ORÇAMENTO!$AF$11)),
         0)</f>
        <v>0</v>
      </c>
      <c r="AV106" s="452">
        <f ca="1">IF(AND($D106="Serviço",AV$12&lt;&gt;0,$H106&gt;0,OR(AUTOEVENTO&lt;&gt;"manual",$M106&lt;&gt;$A$15)),
        IF(Import.TipoArredondamento&lt;&gt;"TransfereGOV",
              ROUND(OFFSET($P106,0,AV$13),15-13*ORÇAMENTO!$AF$7)/$H106*OFFSET(ORÇAMENTO!$X$15,ROW(AV106)-ROW(AV$15),0),
              ROUND(ROUND(OFFSET($P106,0,AV$13),15-13*ORÇAMENTO!$AF$7)*OFFSET(ORÇAMENTO!$W$15,ROW(AV106)-ROW(AV$15),0),15-13*ORÇAMENTO!$AF$11)),
         0)</f>
        <v>0</v>
      </c>
      <c r="AW106" s="452">
        <f ca="1">IF(AND($D106="Serviço",AW$12&lt;&gt;0,$H106&gt;0,OR(AUTOEVENTO&lt;&gt;"manual",$M106&lt;&gt;$A$15)),
        IF(Import.TipoArredondamento&lt;&gt;"TransfereGOV",
              ROUND(OFFSET($P106,0,AW$13),15-13*ORÇAMENTO!$AF$7)/$H106*OFFSET(ORÇAMENTO!$X$15,ROW(AW106)-ROW(AW$15),0),
              ROUND(ROUND(OFFSET($P106,0,AW$13),15-13*ORÇAMENTO!$AF$7)*OFFSET(ORÇAMENTO!$W$15,ROW(AW106)-ROW(AW$15),0),15-13*ORÇAMENTO!$AF$11)),
         0)</f>
        <v>0</v>
      </c>
      <c r="AX106" s="452">
        <f ca="1">IF(AND($D106="Serviço",AX$12&lt;&gt;0,$H106&gt;0,OR(AUTOEVENTO&lt;&gt;"manual",$M106&lt;&gt;$A$15)),
        IF(Import.TipoArredondamento&lt;&gt;"TransfereGOV",
              ROUND(OFFSET($P106,0,AX$13),15-13*ORÇAMENTO!$AF$7)/$H106*OFFSET(ORÇAMENTO!$X$15,ROW(AX106)-ROW(AX$15),0),
              ROUND(ROUND(OFFSET($P106,0,AX$13),15-13*ORÇAMENTO!$AF$7)*OFFSET(ORÇAMENTO!$W$15,ROW(AX106)-ROW(AX$15),0),15-13*ORÇAMENTO!$AF$11)),
         0)</f>
        <v>0</v>
      </c>
      <c r="AY106" s="452">
        <f ca="1">IF(AND($D106="Serviço",AY$12&lt;&gt;0,$H106&gt;0,OR(AUTOEVENTO&lt;&gt;"manual",$M106&lt;&gt;$A$15)),
        IF(Import.TipoArredondamento&lt;&gt;"TransfereGOV",
              ROUND(OFFSET($P106,0,AY$13),15-13*ORÇAMENTO!$AF$7)/$H106*OFFSET(ORÇAMENTO!$X$15,ROW(AY106)-ROW(AY$15),0),
              ROUND(ROUND(OFFSET($P106,0,AY$13),15-13*ORÇAMENTO!$AF$7)*OFFSET(ORÇAMENTO!$W$15,ROW(AY106)-ROW(AY$15),0),15-13*ORÇAMENTO!$AF$11)),
         0)</f>
        <v>0</v>
      </c>
      <c r="AZ106" s="452">
        <f ca="1">IF(AND($D106="Serviço",AZ$12&lt;&gt;0,$H106&gt;0,OR(AUTOEVENTO&lt;&gt;"manual",$M106&lt;&gt;$A$15)),
        IF(Import.TipoArredondamento&lt;&gt;"TransfereGOV",
              ROUND(OFFSET($P106,0,AZ$13),15-13*ORÇAMENTO!$AF$7)/$H106*OFFSET(ORÇAMENTO!$X$15,ROW(AZ106)-ROW(AZ$15),0),
              ROUND(ROUND(OFFSET($P106,0,AZ$13),15-13*ORÇAMENTO!$AF$7)*OFFSET(ORÇAMENTO!$W$15,ROW(AZ106)-ROW(AZ$15),0),15-13*ORÇAMENTO!$AF$11)),
         0)</f>
        <v>0</v>
      </c>
      <c r="BA106" s="452">
        <f ca="1">IF(AND($D106="Serviço",BA$12&lt;&gt;0,$H106&gt;0,OR(AUTOEVENTO&lt;&gt;"manual",$M106&lt;&gt;$A$15)),
        IF(Import.TipoArredondamento&lt;&gt;"TransfereGOV",
              ROUND(OFFSET($P106,0,BA$13),15-13*ORÇAMENTO!$AF$7)/$H106*OFFSET(ORÇAMENTO!$X$15,ROW(BA106)-ROW(BA$15),0),
              ROUND(ROUND(OFFSET($P106,0,BA$13),15-13*ORÇAMENTO!$AF$7)*OFFSET(ORÇAMENTO!$W$15,ROW(BA106)-ROW(BA$15),0),15-13*ORÇAMENTO!$AF$11)),
         0)</f>
        <v>0</v>
      </c>
      <c r="BC106" s="171">
        <f ca="1">IF(OR($D106&lt;&gt;"Serviço",AND(AUTOEVENTO="Manual",$M106=$A$15)),0,
         IF(OFFSET(CRONOPLE!$F$15,$M106-$A$15,BC$13)=0,10^12,OFFSET(CRONOPLE!$F$15,$M106-$A$15,BC$13)))</f>
        <v>0</v>
      </c>
      <c r="BD106" s="171">
        <f ca="1">IF(OR($D106&lt;&gt;"Serviço",AND(AUTOEVENTO="Manual",$M106=$A$15)),0,
         IF(OFFSET(CRONOPLE!$F$15,$M106-$A$15,BD$13)=0,10^12,OFFSET(CRONOPLE!$F$15,$M106-$A$15,BD$13)))</f>
        <v>0</v>
      </c>
      <c r="BE106" s="171">
        <f ca="1">IF(OR($D106&lt;&gt;"Serviço",AND(AUTOEVENTO="Manual",$M106=$A$15)),0,
         IF(OFFSET(CRONOPLE!$F$15,$M106-$A$15,BE$13)=0,10^12,OFFSET(CRONOPLE!$F$15,$M106-$A$15,BE$13)))</f>
        <v>0</v>
      </c>
      <c r="BF106" s="171">
        <f ca="1">IF(OR($D106&lt;&gt;"Serviço",AND(AUTOEVENTO="Manual",$M106=$A$15)),0,
         IF(OFFSET(CRONOPLE!$F$15,$M106-$A$15,BF$13)=0,10^12,OFFSET(CRONOPLE!$F$15,$M106-$A$15,BF$13)))</f>
        <v>0</v>
      </c>
      <c r="BG106" s="171">
        <f ca="1">IF(OR($D106&lt;&gt;"Serviço",AND(AUTOEVENTO="Manual",$M106=$A$15)),0,
         IF(OFFSET(CRONOPLE!$F$15,$M106-$A$15,BG$13)=0,10^12,OFFSET(CRONOPLE!$F$15,$M106-$A$15,BG$13)))</f>
        <v>0</v>
      </c>
      <c r="BH106" s="171">
        <f ca="1">IF(OR($D106&lt;&gt;"Serviço",AND(AUTOEVENTO="Manual",$M106=$A$15)),0,
         IF(OFFSET(CRONOPLE!$F$15,$M106-$A$15,BH$13)=0,10^12,OFFSET(CRONOPLE!$F$15,$M106-$A$15,BH$13)))</f>
        <v>0</v>
      </c>
      <c r="BI106" s="171">
        <f ca="1">IF(OR($D106&lt;&gt;"Serviço",AND(AUTOEVENTO="Manual",$M106=$A$15)),0,
         IF(OFFSET(CRONOPLE!$F$15,$M106-$A$15,BI$13)=0,10^12,OFFSET(CRONOPLE!$F$15,$M106-$A$15,BI$13)))</f>
        <v>0</v>
      </c>
      <c r="BJ106" s="171">
        <f ca="1">IF(OR($D106&lt;&gt;"Serviço",AND(AUTOEVENTO="Manual",$M106=$A$15)),0,
         IF(OFFSET(CRONOPLE!$F$15,$M106-$A$15,BJ$13)=0,10^12,OFFSET(CRONOPLE!$F$15,$M106-$A$15,BJ$13)))</f>
        <v>0</v>
      </c>
      <c r="BK106" s="171">
        <f ca="1">IF(OR($D106&lt;&gt;"Serviço",AND(AUTOEVENTO="Manual",$M106=$A$15)),0,
         IF(OFFSET(CRONOPLE!$F$15,$M106-$A$15,BK$13)=0,10^12,OFFSET(CRONOPLE!$F$15,$M106-$A$15,BK$13)))</f>
        <v>0</v>
      </c>
      <c r="BL106" s="171">
        <f ca="1">IF(OR($D106&lt;&gt;"Serviço",AND(AUTOEVENTO="Manual",$M106=$A$15)),0,
         IF(OFFSET(CRONOPLE!$F$15,$M106-$A$15,BL$13)=0,10^12,OFFSET(CRONOPLE!$F$15,$M106-$A$15,BL$13)))</f>
        <v>0</v>
      </c>
      <c r="BM106" s="171">
        <f ca="1">IF(OR($D106&lt;&gt;"Serviço",AND(AUTOEVENTO="Manual",$M106=$A$15)),0,
         IF(OFFSET(CRONOPLE!$F$15,$M106-$A$15,BM$13)=0,10^12,OFFSET(CRONOPLE!$F$15,$M106-$A$15,BM$13)))</f>
        <v>0</v>
      </c>
      <c r="BN106" s="171">
        <f ca="1">IF(OR($D106&lt;&gt;"Serviço",AND(AUTOEVENTO="Manual",$M106=$A$15)),0,
         IF(OFFSET(CRONOPLE!$F$15,$M106-$A$15,BN$13)=0,10^12,OFFSET(CRONOPLE!$F$15,$M106-$A$15,BN$13)))</f>
        <v>0</v>
      </c>
      <c r="BO106" s="171">
        <f ca="1">IF(OR($D106&lt;&gt;"Serviço",AND(AUTOEVENTO="Manual",$M106=$A$15)),0,
         IF(OFFSET(CRONOPLE!$F$15,$M106-$A$15,BO$13)=0,10^12,OFFSET(CRONOPLE!$F$15,$M106-$A$15,BO$13)))</f>
        <v>0</v>
      </c>
      <c r="BP106" s="171">
        <f ca="1">IF(OR($D106&lt;&gt;"Serviço",AND(AUTOEVENTO="Manual",$M106=$A$15)),0,
         IF(OFFSET(CRONOPLE!$F$15,$M106-$A$15,BP$13)=0,10^12,OFFSET(CRONOPLE!$F$15,$M106-$A$15,BP$13)))</f>
        <v>0</v>
      </c>
      <c r="BQ106" s="171">
        <f ca="1">IF(OR($D106&lt;&gt;"Serviço",AND(AUTOEVENTO="Manual",$M106=$A$15)),0,
         IF(OFFSET(CRONOPLE!$F$15,$M106-$A$15,BQ$13)=0,10^12,OFFSET(CRONOPLE!$F$15,$M106-$A$15,BQ$13)))</f>
        <v>0</v>
      </c>
      <c r="BR106" s="171">
        <f ca="1">IF(OR($D106&lt;&gt;"Serviço",AND(AUTOEVENTO="Manual",$M106=$A$15)),0,
         IF(OFFSET(CRONOPLE!$F$15,$M106-$A$15,BR$13)=0,10^12,OFFSET(CRONOPLE!$F$15,$M106-$A$15,BR$13)))</f>
        <v>0</v>
      </c>
      <c r="BS106" s="171">
        <f ca="1">IF(OR($D106&lt;&gt;"Serviço",AND(AUTOEVENTO="Manual",$M106=$A$15)),0,
         IF(OFFSET(CRONOPLE!$F$15,$M106-$A$15,BS$13)=0,10^12,OFFSET(CRONOPLE!$F$15,$M106-$A$15,BS$13)))</f>
        <v>0</v>
      </c>
      <c r="BT106" s="171">
        <f ca="1">IF(OR($D106&lt;&gt;"Serviço",AND(AUTOEVENTO="Manual",$M106=$A$15)),0,
         IF(OFFSET(CRONOPLE!$F$15,$M106-$A$15,BT$13)=0,10^12,OFFSET(CRONOPLE!$F$15,$M106-$A$15,BT$13)))</f>
        <v>0</v>
      </c>
      <c r="BV106" s="172">
        <f t="array" aca="1" ref="BV106" ca="1">IF(OR($D106&lt;&gt;"Serviço",AND(AUTOEVENTO="Manual",$M106=$A$15),$M106&gt;(ROW(PLE.lastrow)-ROW(PLE.firstrow))),0,
           IF(OFFSET(PLE!$G$15,$M106-$A$15,BV$13)="",10^12,OFFSET(PLE!$G$15,$M106-$A$15,BV$13)))</f>
        <v>0</v>
      </c>
      <c r="BW106" s="172">
        <f t="array" aca="1" ref="BW106" ca="1">IF(OR($D106&lt;&gt;"Serviço",AND(AUTOEVENTO="Manual",$M106=$A$15),$M106&gt;(ROW(PLE.lastrow)-ROW(PLE.firstrow))),0,
           IF(OFFSET(PLE!$G$15,$M106-$A$15,BW$13)="",10^12,OFFSET(PLE!$G$15,$M106-$A$15,BW$13)))</f>
        <v>0</v>
      </c>
      <c r="BX106" s="172">
        <f t="array" aca="1" ref="BX106" ca="1">IF(OR($D106&lt;&gt;"Serviço",AND(AUTOEVENTO="Manual",$M106=$A$15),$M106&gt;(ROW(PLE.lastrow)-ROW(PLE.firstrow))),0,
           IF(OFFSET(PLE!$G$15,$M106-$A$15,BX$13)="",10^12,OFFSET(PLE!$G$15,$M106-$A$15,BX$13)))</f>
        <v>0</v>
      </c>
      <c r="BY106" s="172">
        <f t="array" aca="1" ref="BY106" ca="1">IF(OR($D106&lt;&gt;"Serviço",AND(AUTOEVENTO="Manual",$M106=$A$15),$M106&gt;(ROW(PLE.lastrow)-ROW(PLE.firstrow))),0,
           IF(OFFSET(PLE!$G$15,$M106-$A$15,BY$13)="",10^12,OFFSET(PLE!$G$15,$M106-$A$15,BY$13)))</f>
        <v>0</v>
      </c>
      <c r="BZ106" s="172">
        <f t="array" aca="1" ref="BZ106" ca="1">IF(OR($D106&lt;&gt;"Serviço",AND(AUTOEVENTO="Manual",$M106=$A$15),$M106&gt;(ROW(PLE.lastrow)-ROW(PLE.firstrow))),0,
           IF(OFFSET(PLE!$G$15,$M106-$A$15,BZ$13)="",10^12,OFFSET(PLE!$G$15,$M106-$A$15,BZ$13)))</f>
        <v>0</v>
      </c>
      <c r="CA106" s="172">
        <f t="array" aca="1" ref="CA106" ca="1">IF(OR($D106&lt;&gt;"Serviço",AND(AUTOEVENTO="Manual",$M106=$A$15),$M106&gt;(ROW(PLE.lastrow)-ROW(PLE.firstrow))),0,
           IF(OFFSET(PLE!$G$15,$M106-$A$15,CA$13)="",10^12,OFFSET(PLE!$G$15,$M106-$A$15,CA$13)))</f>
        <v>0</v>
      </c>
      <c r="CB106" s="172">
        <f t="array" aca="1" ref="CB106" ca="1">IF(OR($D106&lt;&gt;"Serviço",AND(AUTOEVENTO="Manual",$M106=$A$15),$M106&gt;(ROW(PLE.lastrow)-ROW(PLE.firstrow))),0,
           IF(OFFSET(PLE!$G$15,$M106-$A$15,CB$13)="",10^12,OFFSET(PLE!$G$15,$M106-$A$15,CB$13)))</f>
        <v>0</v>
      </c>
      <c r="CC106" s="172">
        <f t="array" aca="1" ref="CC106" ca="1">IF(OR($D106&lt;&gt;"Serviço",AND(AUTOEVENTO="Manual",$M106=$A$15),$M106&gt;(ROW(PLE.lastrow)-ROW(PLE.firstrow))),0,
           IF(OFFSET(PLE!$G$15,$M106-$A$15,CC$13)="",10^12,OFFSET(PLE!$G$15,$M106-$A$15,CC$13)))</f>
        <v>0</v>
      </c>
      <c r="CD106" s="172">
        <f t="array" aca="1" ref="CD106" ca="1">IF(OR($D106&lt;&gt;"Serviço",AND(AUTOEVENTO="Manual",$M106=$A$15),$M106&gt;(ROW(PLE.lastrow)-ROW(PLE.firstrow))),0,
           IF(OFFSET(PLE!$G$15,$M106-$A$15,CD$13)="",10^12,OFFSET(PLE!$G$15,$M106-$A$15,CD$13)))</f>
        <v>0</v>
      </c>
      <c r="CE106" s="172">
        <f t="array" aca="1" ref="CE106" ca="1">IF(OR($D106&lt;&gt;"Serviço",AND(AUTOEVENTO="Manual",$M106=$A$15),$M106&gt;(ROW(PLE.lastrow)-ROW(PLE.firstrow))),0,
           IF(OFFSET(PLE!$G$15,$M106-$A$15,CE$13)="",10^12,OFFSET(PLE!$G$15,$M106-$A$15,CE$13)))</f>
        <v>0</v>
      </c>
      <c r="CF106" s="172">
        <f t="array" aca="1" ref="CF106" ca="1">IF(OR($D106&lt;&gt;"Serviço",AND(AUTOEVENTO="Manual",$M106=$A$15),$M106&gt;(ROW(PLE.lastrow)-ROW(PLE.firstrow))),0,
           IF(OFFSET(PLE!$G$15,$M106-$A$15,CF$13)="",10^12,OFFSET(PLE!$G$15,$M106-$A$15,CF$13)))</f>
        <v>0</v>
      </c>
      <c r="CG106" s="172">
        <f t="array" aca="1" ref="CG106" ca="1">IF(OR($D106&lt;&gt;"Serviço",AND(AUTOEVENTO="Manual",$M106=$A$15),$M106&gt;(ROW(PLE.lastrow)-ROW(PLE.firstrow))),0,
           IF(OFFSET(PLE!$G$15,$M106-$A$15,CG$13)="",10^12,OFFSET(PLE!$G$15,$M106-$A$15,CG$13)))</f>
        <v>0</v>
      </c>
      <c r="CH106" s="172">
        <f t="array" aca="1" ref="CH106" ca="1">IF(OR($D106&lt;&gt;"Serviço",AND(AUTOEVENTO="Manual",$M106=$A$15),$M106&gt;(ROW(PLE.lastrow)-ROW(PLE.firstrow))),0,
           IF(OFFSET(PLE!$G$15,$M106-$A$15,CH$13)="",10^12,OFFSET(PLE!$G$15,$M106-$A$15,CH$13)))</f>
        <v>0</v>
      </c>
      <c r="CI106" s="172">
        <f t="array" aca="1" ref="CI106" ca="1">IF(OR($D106&lt;&gt;"Serviço",AND(AUTOEVENTO="Manual",$M106=$A$15),$M106&gt;(ROW(PLE.lastrow)-ROW(PLE.firstrow))),0,
           IF(OFFSET(PLE!$G$15,$M106-$A$15,CI$13)="",10^12,OFFSET(PLE!$G$15,$M106-$A$15,CI$13)))</f>
        <v>0</v>
      </c>
      <c r="CJ106" s="172">
        <f t="array" aca="1" ref="CJ106" ca="1">IF(OR($D106&lt;&gt;"Serviço",AND(AUTOEVENTO="Manual",$M106=$A$15),$M106&gt;(ROW(PLE.lastrow)-ROW(PLE.firstrow))),0,
           IF(OFFSET(PLE!$G$15,$M106-$A$15,CJ$13)="",10^12,OFFSET(PLE!$G$15,$M106-$A$15,CJ$13)))</f>
        <v>0</v>
      </c>
      <c r="CK106" s="172">
        <f t="array" aca="1" ref="CK106" ca="1">IF(OR($D106&lt;&gt;"Serviço",AND(AUTOEVENTO="Manual",$M106=$A$15),$M106&gt;(ROW(PLE.lastrow)-ROW(PLE.firstrow))),0,
           IF(OFFSET(PLE!$G$15,$M106-$A$15,CK$13)="",10^12,OFFSET(PLE!$G$15,$M106-$A$15,CK$13)))</f>
        <v>0</v>
      </c>
      <c r="CL106" s="172">
        <f t="array" aca="1" ref="CL106" ca="1">IF(OR($D106&lt;&gt;"Serviço",AND(AUTOEVENTO="Manual",$M106=$A$15),$M106&gt;(ROW(PLE.lastrow)-ROW(PLE.firstrow))),0,
           IF(OFFSET(PLE!$G$15,$M106-$A$15,CL$13)="",10^12,OFFSET(PLE!$G$15,$M106-$A$15,CL$13)))</f>
        <v>0</v>
      </c>
      <c r="CM106" s="172">
        <f t="array" aca="1" ref="CM106" ca="1">IF(OR($D106&lt;&gt;"Serviço",AND(AUTOEVENTO="Manual",$M106=$A$15),$M106&gt;(ROW(PLE.lastrow)-ROW(PLE.firstrow))),0,
           IF(OFFSET(PLE!$G$15,$M106-$A$15,CM$13)="",10^12,OFFSET(PLE!$G$15,$M106-$A$15,CM$13)))</f>
        <v>0</v>
      </c>
    </row>
    <row r="107" spans="1:91" s="696" customFormat="1" ht="63.75" x14ac:dyDescent="0.2">
      <c r="A107" s="694">
        <f t="shared" ca="1" si="45"/>
        <v>24</v>
      </c>
      <c r="B107" s="694" t="str">
        <f ca="1">OFFSET(ORÇAMENTO!C$15,$L107,0)</f>
        <v>S</v>
      </c>
      <c r="C107" s="694" t="str">
        <f ca="1">OFFSET(ORÇAMENTO!L$15,$L107,0)</f>
        <v>F</v>
      </c>
      <c r="D107" s="116" t="str">
        <f ca="1">OFFSET(ORÇAMENTO!N$15,$L107,0)</f>
        <v>Serviço</v>
      </c>
      <c r="E107" s="117" t="str">
        <f ca="1">OFFSET(ORÇAMENTO!O$15,$L107,0)</f>
        <v>1.18.1.</v>
      </c>
      <c r="F107" s="163" t="str">
        <f ca="1">OFFSET(ORÇAMENTO!R$15,$L107,0)</f>
        <v>APLICAÇÃO MANUAL DE FUNDO SELADOR ACRÍLICO EM PAREDES EXTERNAS DE CASAS. AF_03/2024</v>
      </c>
      <c r="G107" s="164" t="str">
        <f ca="1">IF($D107&lt;&gt;"Serviço","",OFFSET(ORÇAMENTO!S$15,$L107,0))</f>
        <v>M2</v>
      </c>
      <c r="H107" s="122">
        <f t="array" aca="1" ref="H107" ca="1">IF($D107&lt;&gt;"Serviço",0,IF(ACOMPANHAMENTO="BM",ROUND(OFFSET(ORÇAMENTO!AJ$15,$L107,0),15-13*ORÇAMENTO!$AF$7),IF(IFERROR(CÁLCULO.FrentesPreenchidas,0)=0,0,SUM(ROUND(OFFSET($P107,0,1,1,CÁLCULO.FrentesPreenchidas),15-13*ORÇAMENTO!$AF$7)))))</f>
        <v>1216</v>
      </c>
      <c r="I107" s="467" t="s">
        <v>1267</v>
      </c>
      <c r="J107" s="653" t="str">
        <f t="array" aca="1" ref="J107" ca="1">IF(OR(B107&lt;&gt;"S",CÁLCULO.FrentesPreenchidas=0),"",IF(AND(ACOMPANHAMENTO="PLE",AUTOEVENTO="Manual",OR(H107&gt;0,ORÇAMENTO!AC107="QUANT."),OR(K107="",M107=0,N107="")),"►E",IF(AND(ACOMPANHAMENTO="PLE",ORÇAMENTO!AC107="QUANT."),"►Q",IF(AND(ACOMPANHAMENTO="PLE",H107&lt;&gt;SUMPRODUCT(($Q$1:$AI$1=1)*ROUND(Q107:AI107,15))),"►S",IF(AND(COUNTIF($P$11:$AI$11,"▼")=0,H107&gt;0,I107=""),"◄M","")))))</f>
        <v/>
      </c>
      <c r="K107" s="654" t="s">
        <v>1416</v>
      </c>
      <c r="L107" s="165">
        <f t="shared" ca="1" si="46"/>
        <v>92</v>
      </c>
      <c r="M107" s="166">
        <f ca="1">IF($D107&lt;&gt;"Serviço","",
          IF(AUTOEVENTO="manual",$A107,
                IF(ISERROR(MATCH($A107,$A$15:OFFSET($A107,-1,0),0)),MAX($M$15:OFFSET(M107,-1,0))+1,
                      INDEX($M$15:OFFSET(M107,-1,0),MATCH($A107,$A$15:OFFSET($A107,-1,0),0)))))</f>
        <v>24</v>
      </c>
      <c r="N107" s="167" t="str">
        <f ca="1">IF($D107&lt;&gt;"Serviço","",
         IF(AUTOEVENTO="Manual",
                IF($A107=0,"&lt;-- defina o número do agrupador",
                       OFFSET(EVENTOS!$D$15,$A107-$A$15,0)),
                OFFSET($F$15,$A107,0)))</f>
        <v>PINTURA DE PAREDES EXTERNAS</v>
      </c>
      <c r="O107" s="168"/>
      <c r="Q107" s="169">
        <f>60.8*5</f>
        <v>304</v>
      </c>
      <c r="R107" s="169">
        <f t="shared" ref="R107:T108" si="67">60.8*5</f>
        <v>304</v>
      </c>
      <c r="S107" s="169">
        <f t="shared" si="67"/>
        <v>304</v>
      </c>
      <c r="T107" s="169">
        <f t="shared" si="67"/>
        <v>304</v>
      </c>
      <c r="U107" s="169"/>
      <c r="V107" s="169"/>
      <c r="W107" s="169"/>
      <c r="X107" s="169"/>
      <c r="Y107" s="169"/>
      <c r="Z107" s="170"/>
      <c r="AA107" s="169"/>
      <c r="AB107" s="169"/>
      <c r="AC107" s="169"/>
      <c r="AD107" s="169"/>
      <c r="AE107" s="169"/>
      <c r="AF107" s="169"/>
      <c r="AG107" s="169"/>
      <c r="AH107" s="170"/>
      <c r="AJ107" s="452">
        <f ca="1">IF(AND($D107="Serviço",AJ$12&lt;&gt;0,$H107&gt;0,OR(AUTOEVENTO&lt;&gt;"manual",$M107&lt;&gt;$A$15)),
        IF(Import.TipoArredondamento&lt;&gt;"TransfereGOV",
              ROUND(OFFSET($P107,0,AJ$13),15-13*ORÇAMENTO!$AF$7)/$H107*OFFSET(ORÇAMENTO!$X$15,ROW(AJ107)-ROW(AJ$15),0),
              ROUND(ROUND(OFFSET($P107,0,AJ$13),15-13*ORÇAMENTO!$AF$7)*OFFSET(ORÇAMENTO!$W$15,ROW(AJ107)-ROW(AJ$15),0),15-13*ORÇAMENTO!$AF$11)),
         0)</f>
        <v>1963.84</v>
      </c>
      <c r="AK107" s="452">
        <f ca="1">IF(AND($D107="Serviço",AK$12&lt;&gt;0,$H107&gt;0,OR(AUTOEVENTO&lt;&gt;"manual",$M107&lt;&gt;$A$15)),
        IF(Import.TipoArredondamento&lt;&gt;"TransfereGOV",
              ROUND(OFFSET($P107,0,AK$13),15-13*ORÇAMENTO!$AF$7)/$H107*OFFSET(ORÇAMENTO!$X$15,ROW(AK107)-ROW(AK$15),0),
              ROUND(ROUND(OFFSET($P107,0,AK$13),15-13*ORÇAMENTO!$AF$7)*OFFSET(ORÇAMENTO!$W$15,ROW(AK107)-ROW(AK$15),0),15-13*ORÇAMENTO!$AF$11)),
         0)</f>
        <v>1963.84</v>
      </c>
      <c r="AL107" s="452">
        <f ca="1">IF(AND($D107="Serviço",AL$12&lt;&gt;0,$H107&gt;0,OR(AUTOEVENTO&lt;&gt;"manual",$M107&lt;&gt;$A$15)),
        IF(Import.TipoArredondamento&lt;&gt;"TransfereGOV",
              ROUND(OFFSET($P107,0,AL$13),15-13*ORÇAMENTO!$AF$7)/$H107*OFFSET(ORÇAMENTO!$X$15,ROW(AL107)-ROW(AL$15),0),
              ROUND(ROUND(OFFSET($P107,0,AL$13),15-13*ORÇAMENTO!$AF$7)*OFFSET(ORÇAMENTO!$W$15,ROW(AL107)-ROW(AL$15),0),15-13*ORÇAMENTO!$AF$11)),
         0)</f>
        <v>1963.84</v>
      </c>
      <c r="AM107" s="452">
        <f ca="1">IF(AND($D107="Serviço",AM$12&lt;&gt;0,$H107&gt;0,OR(AUTOEVENTO&lt;&gt;"manual",$M107&lt;&gt;$A$15)),
        IF(Import.TipoArredondamento&lt;&gt;"TransfereGOV",
              ROUND(OFFSET($P107,0,AM$13),15-13*ORÇAMENTO!$AF$7)/$H107*OFFSET(ORÇAMENTO!$X$15,ROW(AM107)-ROW(AM$15),0),
              ROUND(ROUND(OFFSET($P107,0,AM$13),15-13*ORÇAMENTO!$AF$7)*OFFSET(ORÇAMENTO!$W$15,ROW(AM107)-ROW(AM$15),0),15-13*ORÇAMENTO!$AF$11)),
         0)</f>
        <v>1963.84</v>
      </c>
      <c r="AN107" s="452">
        <f ca="1">IF(AND($D107="Serviço",AN$12&lt;&gt;0,$H107&gt;0,OR(AUTOEVENTO&lt;&gt;"manual",$M107&lt;&gt;$A$15)),
        IF(Import.TipoArredondamento&lt;&gt;"TransfereGOV",
              ROUND(OFFSET($P107,0,AN$13),15-13*ORÇAMENTO!$AF$7)/$H107*OFFSET(ORÇAMENTO!$X$15,ROW(AN107)-ROW(AN$15),0),
              ROUND(ROUND(OFFSET($P107,0,AN$13),15-13*ORÇAMENTO!$AF$7)*OFFSET(ORÇAMENTO!$W$15,ROW(AN107)-ROW(AN$15),0),15-13*ORÇAMENTO!$AF$11)),
         0)</f>
        <v>0</v>
      </c>
      <c r="AO107" s="452">
        <f ca="1">IF(AND($D107="Serviço",AO$12&lt;&gt;0,$H107&gt;0,OR(AUTOEVENTO&lt;&gt;"manual",$M107&lt;&gt;$A$15)),
        IF(Import.TipoArredondamento&lt;&gt;"TransfereGOV",
              ROUND(OFFSET($P107,0,AO$13),15-13*ORÇAMENTO!$AF$7)/$H107*OFFSET(ORÇAMENTO!$X$15,ROW(AO107)-ROW(AO$15),0),
              ROUND(ROUND(OFFSET($P107,0,AO$13),15-13*ORÇAMENTO!$AF$7)*OFFSET(ORÇAMENTO!$W$15,ROW(AO107)-ROW(AO$15),0),15-13*ORÇAMENTO!$AF$11)),
         0)</f>
        <v>0</v>
      </c>
      <c r="AP107" s="452">
        <f ca="1">IF(AND($D107="Serviço",AP$12&lt;&gt;0,$H107&gt;0,OR(AUTOEVENTO&lt;&gt;"manual",$M107&lt;&gt;$A$15)),
        IF(Import.TipoArredondamento&lt;&gt;"TransfereGOV",
              ROUND(OFFSET($P107,0,AP$13),15-13*ORÇAMENTO!$AF$7)/$H107*OFFSET(ORÇAMENTO!$X$15,ROW(AP107)-ROW(AP$15),0),
              ROUND(ROUND(OFFSET($P107,0,AP$13),15-13*ORÇAMENTO!$AF$7)*OFFSET(ORÇAMENTO!$W$15,ROW(AP107)-ROW(AP$15),0),15-13*ORÇAMENTO!$AF$11)),
         0)</f>
        <v>0</v>
      </c>
      <c r="AQ107" s="452">
        <f ca="1">IF(AND($D107="Serviço",AQ$12&lt;&gt;0,$H107&gt;0,OR(AUTOEVENTO&lt;&gt;"manual",$M107&lt;&gt;$A$15)),
        IF(Import.TipoArredondamento&lt;&gt;"TransfereGOV",
              ROUND(OFFSET($P107,0,AQ$13),15-13*ORÇAMENTO!$AF$7)/$H107*OFFSET(ORÇAMENTO!$X$15,ROW(AQ107)-ROW(AQ$15),0),
              ROUND(ROUND(OFFSET($P107,0,AQ$13),15-13*ORÇAMENTO!$AF$7)*OFFSET(ORÇAMENTO!$W$15,ROW(AQ107)-ROW(AQ$15),0),15-13*ORÇAMENTO!$AF$11)),
         0)</f>
        <v>0</v>
      </c>
      <c r="AR107" s="452">
        <f ca="1">IF(AND($D107="Serviço",AR$12&lt;&gt;0,$H107&gt;0,OR(AUTOEVENTO&lt;&gt;"manual",$M107&lt;&gt;$A$15)),
        IF(Import.TipoArredondamento&lt;&gt;"TransfereGOV",
              ROUND(OFFSET($P107,0,AR$13),15-13*ORÇAMENTO!$AF$7)/$H107*OFFSET(ORÇAMENTO!$X$15,ROW(AR107)-ROW(AR$15),0),
              ROUND(ROUND(OFFSET($P107,0,AR$13),15-13*ORÇAMENTO!$AF$7)*OFFSET(ORÇAMENTO!$W$15,ROW(AR107)-ROW(AR$15),0),15-13*ORÇAMENTO!$AF$11)),
         0)</f>
        <v>0</v>
      </c>
      <c r="AS107" s="452">
        <f ca="1">IF(AND($D107="Serviço",AS$12&lt;&gt;0,$H107&gt;0,OR(AUTOEVENTO&lt;&gt;"manual",$M107&lt;&gt;$A$15)),
        IF(Import.TipoArredondamento&lt;&gt;"TransfereGOV",
              ROUND(OFFSET($P107,0,AS$13),15-13*ORÇAMENTO!$AF$7)/$H107*OFFSET(ORÇAMENTO!$X$15,ROW(AS107)-ROW(AS$15),0),
              ROUND(ROUND(OFFSET($P107,0,AS$13),15-13*ORÇAMENTO!$AF$7)*OFFSET(ORÇAMENTO!$W$15,ROW(AS107)-ROW(AS$15),0),15-13*ORÇAMENTO!$AF$11)),
         0)</f>
        <v>0</v>
      </c>
      <c r="AT107" s="452">
        <f ca="1">IF(AND($D107="Serviço",AT$12&lt;&gt;0,$H107&gt;0,OR(AUTOEVENTO&lt;&gt;"manual",$M107&lt;&gt;$A$15)),
        IF(Import.TipoArredondamento&lt;&gt;"TransfereGOV",
              ROUND(OFFSET($P107,0,AT$13),15-13*ORÇAMENTO!$AF$7)/$H107*OFFSET(ORÇAMENTO!$X$15,ROW(AT107)-ROW(AT$15),0),
              ROUND(ROUND(OFFSET($P107,0,AT$13),15-13*ORÇAMENTO!$AF$7)*OFFSET(ORÇAMENTO!$W$15,ROW(AT107)-ROW(AT$15),0),15-13*ORÇAMENTO!$AF$11)),
         0)</f>
        <v>0</v>
      </c>
      <c r="AU107" s="452">
        <f ca="1">IF(AND($D107="Serviço",AU$12&lt;&gt;0,$H107&gt;0,OR(AUTOEVENTO&lt;&gt;"manual",$M107&lt;&gt;$A$15)),
        IF(Import.TipoArredondamento&lt;&gt;"TransfereGOV",
              ROUND(OFFSET($P107,0,AU$13),15-13*ORÇAMENTO!$AF$7)/$H107*OFFSET(ORÇAMENTO!$X$15,ROW(AU107)-ROW(AU$15),0),
              ROUND(ROUND(OFFSET($P107,0,AU$13),15-13*ORÇAMENTO!$AF$7)*OFFSET(ORÇAMENTO!$W$15,ROW(AU107)-ROW(AU$15),0),15-13*ORÇAMENTO!$AF$11)),
         0)</f>
        <v>0</v>
      </c>
      <c r="AV107" s="452">
        <f ca="1">IF(AND($D107="Serviço",AV$12&lt;&gt;0,$H107&gt;0,OR(AUTOEVENTO&lt;&gt;"manual",$M107&lt;&gt;$A$15)),
        IF(Import.TipoArredondamento&lt;&gt;"TransfereGOV",
              ROUND(OFFSET($P107,0,AV$13),15-13*ORÇAMENTO!$AF$7)/$H107*OFFSET(ORÇAMENTO!$X$15,ROW(AV107)-ROW(AV$15),0),
              ROUND(ROUND(OFFSET($P107,0,AV$13),15-13*ORÇAMENTO!$AF$7)*OFFSET(ORÇAMENTO!$W$15,ROW(AV107)-ROW(AV$15),0),15-13*ORÇAMENTO!$AF$11)),
         0)</f>
        <v>0</v>
      </c>
      <c r="AW107" s="452">
        <f ca="1">IF(AND($D107="Serviço",AW$12&lt;&gt;0,$H107&gt;0,OR(AUTOEVENTO&lt;&gt;"manual",$M107&lt;&gt;$A$15)),
        IF(Import.TipoArredondamento&lt;&gt;"TransfereGOV",
              ROUND(OFFSET($P107,0,AW$13),15-13*ORÇAMENTO!$AF$7)/$H107*OFFSET(ORÇAMENTO!$X$15,ROW(AW107)-ROW(AW$15),0),
              ROUND(ROUND(OFFSET($P107,0,AW$13),15-13*ORÇAMENTO!$AF$7)*OFFSET(ORÇAMENTO!$W$15,ROW(AW107)-ROW(AW$15),0),15-13*ORÇAMENTO!$AF$11)),
         0)</f>
        <v>0</v>
      </c>
      <c r="AX107" s="452">
        <f ca="1">IF(AND($D107="Serviço",AX$12&lt;&gt;0,$H107&gt;0,OR(AUTOEVENTO&lt;&gt;"manual",$M107&lt;&gt;$A$15)),
        IF(Import.TipoArredondamento&lt;&gt;"TransfereGOV",
              ROUND(OFFSET($P107,0,AX$13),15-13*ORÇAMENTO!$AF$7)/$H107*OFFSET(ORÇAMENTO!$X$15,ROW(AX107)-ROW(AX$15),0),
              ROUND(ROUND(OFFSET($P107,0,AX$13),15-13*ORÇAMENTO!$AF$7)*OFFSET(ORÇAMENTO!$W$15,ROW(AX107)-ROW(AX$15),0),15-13*ORÇAMENTO!$AF$11)),
         0)</f>
        <v>0</v>
      </c>
      <c r="AY107" s="452">
        <f ca="1">IF(AND($D107="Serviço",AY$12&lt;&gt;0,$H107&gt;0,OR(AUTOEVENTO&lt;&gt;"manual",$M107&lt;&gt;$A$15)),
        IF(Import.TipoArredondamento&lt;&gt;"TransfereGOV",
              ROUND(OFFSET($P107,0,AY$13),15-13*ORÇAMENTO!$AF$7)/$H107*OFFSET(ORÇAMENTO!$X$15,ROW(AY107)-ROW(AY$15),0),
              ROUND(ROUND(OFFSET($P107,0,AY$13),15-13*ORÇAMENTO!$AF$7)*OFFSET(ORÇAMENTO!$W$15,ROW(AY107)-ROW(AY$15),0),15-13*ORÇAMENTO!$AF$11)),
         0)</f>
        <v>0</v>
      </c>
      <c r="AZ107" s="452">
        <f ca="1">IF(AND($D107="Serviço",AZ$12&lt;&gt;0,$H107&gt;0,OR(AUTOEVENTO&lt;&gt;"manual",$M107&lt;&gt;$A$15)),
        IF(Import.TipoArredondamento&lt;&gt;"TransfereGOV",
              ROUND(OFFSET($P107,0,AZ$13),15-13*ORÇAMENTO!$AF$7)/$H107*OFFSET(ORÇAMENTO!$X$15,ROW(AZ107)-ROW(AZ$15),0),
              ROUND(ROUND(OFFSET($P107,0,AZ$13),15-13*ORÇAMENTO!$AF$7)*OFFSET(ORÇAMENTO!$W$15,ROW(AZ107)-ROW(AZ$15),0),15-13*ORÇAMENTO!$AF$11)),
         0)</f>
        <v>0</v>
      </c>
      <c r="BA107" s="452">
        <f ca="1">IF(AND($D107="Serviço",BA$12&lt;&gt;0,$H107&gt;0,OR(AUTOEVENTO&lt;&gt;"manual",$M107&lt;&gt;$A$15)),
        IF(Import.TipoArredondamento&lt;&gt;"TransfereGOV",
              ROUND(OFFSET($P107,0,BA$13),15-13*ORÇAMENTO!$AF$7)/$H107*OFFSET(ORÇAMENTO!$X$15,ROW(BA107)-ROW(BA$15),0),
              ROUND(ROUND(OFFSET($P107,0,BA$13),15-13*ORÇAMENTO!$AF$7)*OFFSET(ORÇAMENTO!$W$15,ROW(BA107)-ROW(BA$15),0),15-13*ORÇAMENTO!$AF$11)),
         0)</f>
        <v>0</v>
      </c>
      <c r="BC107" s="171">
        <f ca="1">IF(OR($D107&lt;&gt;"Serviço",AND(AUTOEVENTO="Manual",$M107=$A$15)),0,
         IF(OFFSET(CRONOPLE!$F$15,$M107-$A$15,BC$13)=0,10^12,OFFSET(CRONOPLE!$F$15,$M107-$A$15,BC$13)))</f>
        <v>6</v>
      </c>
      <c r="BD107" s="171">
        <f ca="1">IF(OR($D107&lt;&gt;"Serviço",AND(AUTOEVENTO="Manual",$M107=$A$15)),0,
         IF(OFFSET(CRONOPLE!$F$15,$M107-$A$15,BD$13)=0,10^12,OFFSET(CRONOPLE!$F$15,$M107-$A$15,BD$13)))</f>
        <v>6</v>
      </c>
      <c r="BE107" s="171">
        <f ca="1">IF(OR($D107&lt;&gt;"Serviço",AND(AUTOEVENTO="Manual",$M107=$A$15)),0,
         IF(OFFSET(CRONOPLE!$F$15,$M107-$A$15,BE$13)=0,10^12,OFFSET(CRONOPLE!$F$15,$M107-$A$15,BE$13)))</f>
        <v>8</v>
      </c>
      <c r="BF107" s="171">
        <f ca="1">IF(OR($D107&lt;&gt;"Serviço",AND(AUTOEVENTO="Manual",$M107=$A$15)),0,
         IF(OFFSET(CRONOPLE!$F$15,$M107-$A$15,BF$13)=0,10^12,OFFSET(CRONOPLE!$F$15,$M107-$A$15,BF$13)))</f>
        <v>9</v>
      </c>
      <c r="BG107" s="171">
        <f ca="1">IF(OR($D107&lt;&gt;"Serviço",AND(AUTOEVENTO="Manual",$M107=$A$15)),0,
         IF(OFFSET(CRONOPLE!$F$15,$M107-$A$15,BG$13)=0,10^12,OFFSET(CRONOPLE!$F$15,$M107-$A$15,BG$13)))</f>
        <v>9</v>
      </c>
      <c r="BH107" s="171">
        <f ca="1">IF(OR($D107&lt;&gt;"Serviço",AND(AUTOEVENTO="Manual",$M107=$A$15)),0,
         IF(OFFSET(CRONOPLE!$F$15,$M107-$A$15,BH$13)=0,10^12,OFFSET(CRONOPLE!$F$15,$M107-$A$15,BH$13)))</f>
        <v>6</v>
      </c>
      <c r="BI107" s="171">
        <f ca="1">IF(OR($D107&lt;&gt;"Serviço",AND(AUTOEVENTO="Manual",$M107=$A$15)),0,
         IF(OFFSET(CRONOPLE!$F$15,$M107-$A$15,BI$13)=0,10^12,OFFSET(CRONOPLE!$F$15,$M107-$A$15,BI$13)))</f>
        <v>1000000000000</v>
      </c>
      <c r="BJ107" s="171">
        <f ca="1">IF(OR($D107&lt;&gt;"Serviço",AND(AUTOEVENTO="Manual",$M107=$A$15)),0,
         IF(OFFSET(CRONOPLE!$F$15,$M107-$A$15,BJ$13)=0,10^12,OFFSET(CRONOPLE!$F$15,$M107-$A$15,BJ$13)))</f>
        <v>1000000000000</v>
      </c>
      <c r="BK107" s="171">
        <f ca="1">IF(OR($D107&lt;&gt;"Serviço",AND(AUTOEVENTO="Manual",$M107=$A$15)),0,
         IF(OFFSET(CRONOPLE!$F$15,$M107-$A$15,BK$13)=0,10^12,OFFSET(CRONOPLE!$F$15,$M107-$A$15,BK$13)))</f>
        <v>9</v>
      </c>
      <c r="BL107" s="171">
        <f ca="1">IF(OR($D107&lt;&gt;"Serviço",AND(AUTOEVENTO="Manual",$M107=$A$15)),0,
         IF(OFFSET(CRONOPLE!$F$15,$M107-$A$15,BL$13)=0,10^12,OFFSET(CRONOPLE!$F$15,$M107-$A$15,BL$13)))</f>
        <v>1000000000000</v>
      </c>
      <c r="BM107" s="171">
        <f ca="1">IF(OR($D107&lt;&gt;"Serviço",AND(AUTOEVENTO="Manual",$M107=$A$15)),0,
         IF(OFFSET(CRONOPLE!$F$15,$M107-$A$15,BM$13)=0,10^12,OFFSET(CRONOPLE!$F$15,$M107-$A$15,BM$13)))</f>
        <v>1000000000000</v>
      </c>
      <c r="BN107" s="171">
        <f ca="1">IF(OR($D107&lt;&gt;"Serviço",AND(AUTOEVENTO="Manual",$M107=$A$15)),0,
         IF(OFFSET(CRONOPLE!$F$15,$M107-$A$15,BN$13)=0,10^12,OFFSET(CRONOPLE!$F$15,$M107-$A$15,BN$13)))</f>
        <v>1000000000000</v>
      </c>
      <c r="BO107" s="171">
        <f ca="1">IF(OR($D107&lt;&gt;"Serviço",AND(AUTOEVENTO="Manual",$M107=$A$15)),0,
         IF(OFFSET(CRONOPLE!$F$15,$M107-$A$15,BO$13)=0,10^12,OFFSET(CRONOPLE!$F$15,$M107-$A$15,BO$13)))</f>
        <v>1000000000000</v>
      </c>
      <c r="BP107" s="171">
        <f ca="1">IF(OR($D107&lt;&gt;"Serviço",AND(AUTOEVENTO="Manual",$M107=$A$15)),0,
         IF(OFFSET(CRONOPLE!$F$15,$M107-$A$15,BP$13)=0,10^12,OFFSET(CRONOPLE!$F$15,$M107-$A$15,BP$13)))</f>
        <v>1000000000000</v>
      </c>
      <c r="BQ107" s="171">
        <f ca="1">IF(OR($D107&lt;&gt;"Serviço",AND(AUTOEVENTO="Manual",$M107=$A$15)),0,
         IF(OFFSET(CRONOPLE!$F$15,$M107-$A$15,BQ$13)=0,10^12,OFFSET(CRONOPLE!$F$15,$M107-$A$15,BQ$13)))</f>
        <v>1000000000000</v>
      </c>
      <c r="BR107" s="171">
        <f ca="1">IF(OR($D107&lt;&gt;"Serviço",AND(AUTOEVENTO="Manual",$M107=$A$15)),0,
         IF(OFFSET(CRONOPLE!$F$15,$M107-$A$15,BR$13)=0,10^12,OFFSET(CRONOPLE!$F$15,$M107-$A$15,BR$13)))</f>
        <v>1000000000000</v>
      </c>
      <c r="BS107" s="171">
        <f ca="1">IF(OR($D107&lt;&gt;"Serviço",AND(AUTOEVENTO="Manual",$M107=$A$15)),0,
         IF(OFFSET(CRONOPLE!$F$15,$M107-$A$15,BS$13)=0,10^12,OFFSET(CRONOPLE!$F$15,$M107-$A$15,BS$13)))</f>
        <v>1000000000000</v>
      </c>
      <c r="BT107" s="171">
        <f ca="1">IF(OR($D107&lt;&gt;"Serviço",AND(AUTOEVENTO="Manual",$M107=$A$15)),0,
         IF(OFFSET(CRONOPLE!$F$15,$M107-$A$15,BT$13)=0,10^12,OFFSET(CRONOPLE!$F$15,$M107-$A$15,BT$13)))</f>
        <v>1000000000000</v>
      </c>
      <c r="BV107" s="172">
        <f t="array" aca="1" ref="BV107" ca="1">IF(OR($D107&lt;&gt;"Serviço",AND(AUTOEVENTO="Manual",$M107=$A$15),$M107&gt;(ROW(PLE.lastrow)-ROW(PLE.firstrow))),0,
           IF(OFFSET(PLE!$G$15,$M107-$A$15,BV$13)="",10^12,OFFSET(PLE!$G$15,$M107-$A$15,BV$13)))</f>
        <v>1000000000000</v>
      </c>
      <c r="BW107" s="172">
        <f t="array" aca="1" ref="BW107" ca="1">IF(OR($D107&lt;&gt;"Serviço",AND(AUTOEVENTO="Manual",$M107=$A$15),$M107&gt;(ROW(PLE.lastrow)-ROW(PLE.firstrow))),0,
           IF(OFFSET(PLE!$G$15,$M107-$A$15,BW$13)="",10^12,OFFSET(PLE!$G$15,$M107-$A$15,BW$13)))</f>
        <v>1000000000000</v>
      </c>
      <c r="BX107" s="172">
        <f t="array" aca="1" ref="BX107" ca="1">IF(OR($D107&lt;&gt;"Serviço",AND(AUTOEVENTO="Manual",$M107=$A$15),$M107&gt;(ROW(PLE.lastrow)-ROW(PLE.firstrow))),0,
           IF(OFFSET(PLE!$G$15,$M107-$A$15,BX$13)="",10^12,OFFSET(PLE!$G$15,$M107-$A$15,BX$13)))</f>
        <v>1000000000000</v>
      </c>
      <c r="BY107" s="172">
        <f t="array" aca="1" ref="BY107" ca="1">IF(OR($D107&lt;&gt;"Serviço",AND(AUTOEVENTO="Manual",$M107=$A$15),$M107&gt;(ROW(PLE.lastrow)-ROW(PLE.firstrow))),0,
           IF(OFFSET(PLE!$G$15,$M107-$A$15,BY$13)="",10^12,OFFSET(PLE!$G$15,$M107-$A$15,BY$13)))</f>
        <v>1000000000000</v>
      </c>
      <c r="BZ107" s="172">
        <f t="array" aca="1" ref="BZ107" ca="1">IF(OR($D107&lt;&gt;"Serviço",AND(AUTOEVENTO="Manual",$M107=$A$15),$M107&gt;(ROW(PLE.lastrow)-ROW(PLE.firstrow))),0,
           IF(OFFSET(PLE!$G$15,$M107-$A$15,BZ$13)="",10^12,OFFSET(PLE!$G$15,$M107-$A$15,BZ$13)))</f>
        <v>1000000000000</v>
      </c>
      <c r="CA107" s="172">
        <f t="array" aca="1" ref="CA107" ca="1">IF(OR($D107&lt;&gt;"Serviço",AND(AUTOEVENTO="Manual",$M107=$A$15),$M107&gt;(ROW(PLE.lastrow)-ROW(PLE.firstrow))),0,
           IF(OFFSET(PLE!$G$15,$M107-$A$15,CA$13)="",10^12,OFFSET(PLE!$G$15,$M107-$A$15,CA$13)))</f>
        <v>1000000000000</v>
      </c>
      <c r="CB107" s="172">
        <f t="array" aca="1" ref="CB107" ca="1">IF(OR($D107&lt;&gt;"Serviço",AND(AUTOEVENTO="Manual",$M107=$A$15),$M107&gt;(ROW(PLE.lastrow)-ROW(PLE.firstrow))),0,
           IF(OFFSET(PLE!$G$15,$M107-$A$15,CB$13)="",10^12,OFFSET(PLE!$G$15,$M107-$A$15,CB$13)))</f>
        <v>1000000000000</v>
      </c>
      <c r="CC107" s="172">
        <f t="array" aca="1" ref="CC107" ca="1">IF(OR($D107&lt;&gt;"Serviço",AND(AUTOEVENTO="Manual",$M107=$A$15),$M107&gt;(ROW(PLE.lastrow)-ROW(PLE.firstrow))),0,
           IF(OFFSET(PLE!$G$15,$M107-$A$15,CC$13)="",10^12,OFFSET(PLE!$G$15,$M107-$A$15,CC$13)))</f>
        <v>1000000000000</v>
      </c>
      <c r="CD107" s="172">
        <f t="array" aca="1" ref="CD107" ca="1">IF(OR($D107&lt;&gt;"Serviço",AND(AUTOEVENTO="Manual",$M107=$A$15),$M107&gt;(ROW(PLE.lastrow)-ROW(PLE.firstrow))),0,
           IF(OFFSET(PLE!$G$15,$M107-$A$15,CD$13)="",10^12,OFFSET(PLE!$G$15,$M107-$A$15,CD$13)))</f>
        <v>1000000000000</v>
      </c>
      <c r="CE107" s="172">
        <f t="array" aca="1" ref="CE107" ca="1">IF(OR($D107&lt;&gt;"Serviço",AND(AUTOEVENTO="Manual",$M107=$A$15),$M107&gt;(ROW(PLE.lastrow)-ROW(PLE.firstrow))),0,
           IF(OFFSET(PLE!$G$15,$M107-$A$15,CE$13)="",10^12,OFFSET(PLE!$G$15,$M107-$A$15,CE$13)))</f>
        <v>1000000000000</v>
      </c>
      <c r="CF107" s="172">
        <f t="array" aca="1" ref="CF107" ca="1">IF(OR($D107&lt;&gt;"Serviço",AND(AUTOEVENTO="Manual",$M107=$A$15),$M107&gt;(ROW(PLE.lastrow)-ROW(PLE.firstrow))),0,
           IF(OFFSET(PLE!$G$15,$M107-$A$15,CF$13)="",10^12,OFFSET(PLE!$G$15,$M107-$A$15,CF$13)))</f>
        <v>1000000000000</v>
      </c>
      <c r="CG107" s="172">
        <f t="array" aca="1" ref="CG107" ca="1">IF(OR($D107&lt;&gt;"Serviço",AND(AUTOEVENTO="Manual",$M107=$A$15),$M107&gt;(ROW(PLE.lastrow)-ROW(PLE.firstrow))),0,
           IF(OFFSET(PLE!$G$15,$M107-$A$15,CG$13)="",10^12,OFFSET(PLE!$G$15,$M107-$A$15,CG$13)))</f>
        <v>1000000000000</v>
      </c>
      <c r="CH107" s="172">
        <f t="array" aca="1" ref="CH107" ca="1">IF(OR($D107&lt;&gt;"Serviço",AND(AUTOEVENTO="Manual",$M107=$A$15),$M107&gt;(ROW(PLE.lastrow)-ROW(PLE.firstrow))),0,
           IF(OFFSET(PLE!$G$15,$M107-$A$15,CH$13)="",10^12,OFFSET(PLE!$G$15,$M107-$A$15,CH$13)))</f>
        <v>1000000000000</v>
      </c>
      <c r="CI107" s="172">
        <f t="array" aca="1" ref="CI107" ca="1">IF(OR($D107&lt;&gt;"Serviço",AND(AUTOEVENTO="Manual",$M107=$A$15),$M107&gt;(ROW(PLE.lastrow)-ROW(PLE.firstrow))),0,
           IF(OFFSET(PLE!$G$15,$M107-$A$15,CI$13)="",10^12,OFFSET(PLE!$G$15,$M107-$A$15,CI$13)))</f>
        <v>1000000000000</v>
      </c>
      <c r="CJ107" s="172">
        <f t="array" aca="1" ref="CJ107" ca="1">IF(OR($D107&lt;&gt;"Serviço",AND(AUTOEVENTO="Manual",$M107=$A$15),$M107&gt;(ROW(PLE.lastrow)-ROW(PLE.firstrow))),0,
           IF(OFFSET(PLE!$G$15,$M107-$A$15,CJ$13)="",10^12,OFFSET(PLE!$G$15,$M107-$A$15,CJ$13)))</f>
        <v>1000000000000</v>
      </c>
      <c r="CK107" s="172">
        <f t="array" aca="1" ref="CK107" ca="1">IF(OR($D107&lt;&gt;"Serviço",AND(AUTOEVENTO="Manual",$M107=$A$15),$M107&gt;(ROW(PLE.lastrow)-ROW(PLE.firstrow))),0,
           IF(OFFSET(PLE!$G$15,$M107-$A$15,CK$13)="",10^12,OFFSET(PLE!$G$15,$M107-$A$15,CK$13)))</f>
        <v>1000000000000</v>
      </c>
      <c r="CL107" s="172">
        <f t="array" aca="1" ref="CL107" ca="1">IF(OR($D107&lt;&gt;"Serviço",AND(AUTOEVENTO="Manual",$M107=$A$15),$M107&gt;(ROW(PLE.lastrow)-ROW(PLE.firstrow))),0,
           IF(OFFSET(PLE!$G$15,$M107-$A$15,CL$13)="",10^12,OFFSET(PLE!$G$15,$M107-$A$15,CL$13)))</f>
        <v>1000000000000</v>
      </c>
      <c r="CM107" s="172">
        <f t="array" aca="1" ref="CM107" ca="1">IF(OR($D107&lt;&gt;"Serviço",AND(AUTOEVENTO="Manual",$M107=$A$15),$M107&gt;(ROW(PLE.lastrow)-ROW(PLE.firstrow))),0,
           IF(OFFSET(PLE!$G$15,$M107-$A$15,CM$13)="",10^12,OFFSET(PLE!$G$15,$M107-$A$15,CM$13)))</f>
        <v>1000000000000</v>
      </c>
    </row>
    <row r="108" spans="1:91" s="696" customFormat="1" ht="51" x14ac:dyDescent="0.2">
      <c r="A108" s="694">
        <f t="shared" ca="1" si="45"/>
        <v>24</v>
      </c>
      <c r="B108" s="694" t="str">
        <f ca="1">OFFSET(ORÇAMENTO!C$15,$L108,0)</f>
        <v>S</v>
      </c>
      <c r="C108" s="694" t="str">
        <f ca="1">OFFSET(ORÇAMENTO!L$15,$L108,0)</f>
        <v>F</v>
      </c>
      <c r="D108" s="116" t="str">
        <f ca="1">OFFSET(ORÇAMENTO!N$15,$L108,0)</f>
        <v>Serviço</v>
      </c>
      <c r="E108" s="117" t="str">
        <f ca="1">OFFSET(ORÇAMENTO!O$15,$L108,0)</f>
        <v>1.18.2.</v>
      </c>
      <c r="F108" s="163" t="str">
        <f ca="1">OFFSET(ORÇAMENTO!R$15,$L108,0)</f>
        <v>PINTURA LÁTEX ACRÍLICA STANDARD, APLICAÇÃO MANUAL EM PAREDES, DUAS DEMÃOS. AF_04/2023</v>
      </c>
      <c r="G108" s="164" t="str">
        <f ca="1">IF($D108&lt;&gt;"Serviço","",OFFSET(ORÇAMENTO!S$15,$L108,0))</f>
        <v>M2</v>
      </c>
      <c r="H108" s="122">
        <f t="array" aca="1" ref="H108" ca="1">IF($D108&lt;&gt;"Serviço",0,IF(ACOMPANHAMENTO="BM",ROUND(OFFSET(ORÇAMENTO!AJ$15,$L108,0),15-13*ORÇAMENTO!$AF$7),IF(IFERROR(CÁLCULO.FrentesPreenchidas,0)=0,0,SUM(ROUND(OFFSET($P108,0,1,1,CÁLCULO.FrentesPreenchidas),15-13*ORÇAMENTO!$AF$7)))))</f>
        <v>1216</v>
      </c>
      <c r="I108" s="467" t="s">
        <v>1268</v>
      </c>
      <c r="J108" s="653" t="str">
        <f t="array" aca="1" ref="J108" ca="1">IF(OR(B108&lt;&gt;"S",CÁLCULO.FrentesPreenchidas=0),"",IF(AND(ACOMPANHAMENTO="PLE",AUTOEVENTO="Manual",OR(H108&gt;0,ORÇAMENTO!AC108="QUANT."),OR(K108="",M108=0,N108="")),"►E",IF(AND(ACOMPANHAMENTO="PLE",ORÇAMENTO!AC108="QUANT."),"►Q",IF(AND(ACOMPANHAMENTO="PLE",H108&lt;&gt;SUMPRODUCT(($Q$1:$AI$1=1)*ROUND(Q108:AI108,15))),"►S",IF(AND(COUNTIF($P$11:$AI$11,"▼")=0,H108&gt;0,I108=""),"◄M","")))))</f>
        <v/>
      </c>
      <c r="K108" s="654" t="s">
        <v>1416</v>
      </c>
      <c r="L108" s="165">
        <f t="shared" ca="1" si="46"/>
        <v>93</v>
      </c>
      <c r="M108" s="166">
        <f ca="1">IF($D108&lt;&gt;"Serviço","",
          IF(AUTOEVENTO="manual",$A108,
                IF(ISERROR(MATCH($A108,$A$15:OFFSET($A108,-1,0),0)),MAX($M$15:OFFSET(M108,-1,0))+1,
                      INDEX($M$15:OFFSET(M108,-1,0),MATCH($A108,$A$15:OFFSET($A108,-1,0),0)))))</f>
        <v>24</v>
      </c>
      <c r="N108" s="167" t="str">
        <f ca="1">IF($D108&lt;&gt;"Serviço","",
         IF(AUTOEVENTO="Manual",
                IF($A108=0,"&lt;-- defina o número do agrupador",
                       OFFSET(EVENTOS!$D$15,$A108-$A$15,0)),
                OFFSET($F$15,$A108,0)))</f>
        <v>PINTURA DE PAREDES EXTERNAS</v>
      </c>
      <c r="O108" s="168"/>
      <c r="Q108" s="169">
        <f>60.8*5</f>
        <v>304</v>
      </c>
      <c r="R108" s="169">
        <f t="shared" si="67"/>
        <v>304</v>
      </c>
      <c r="S108" s="169">
        <f t="shared" si="67"/>
        <v>304</v>
      </c>
      <c r="T108" s="169">
        <f t="shared" si="67"/>
        <v>304</v>
      </c>
      <c r="U108" s="169"/>
      <c r="V108" s="169"/>
      <c r="W108" s="169"/>
      <c r="X108" s="169"/>
      <c r="Y108" s="169"/>
      <c r="Z108" s="170"/>
      <c r="AA108" s="169"/>
      <c r="AB108" s="169"/>
      <c r="AC108" s="169"/>
      <c r="AD108" s="169"/>
      <c r="AE108" s="169"/>
      <c r="AF108" s="169"/>
      <c r="AG108" s="169"/>
      <c r="AH108" s="170"/>
      <c r="AJ108" s="452">
        <f ca="1">IF(AND($D108="Serviço",AJ$12&lt;&gt;0,$H108&gt;0,OR(AUTOEVENTO&lt;&gt;"manual",$M108&lt;&gt;$A$15)),
        IF(Import.TipoArredondamento&lt;&gt;"TransfereGOV",
              ROUND(OFFSET($P108,0,AJ$13),15-13*ORÇAMENTO!$AF$7)/$H108*OFFSET(ORÇAMENTO!$X$15,ROW(AJ108)-ROW(AJ$15),0),
              ROUND(ROUND(OFFSET($P108,0,AJ$13),15-13*ORÇAMENTO!$AF$7)*OFFSET(ORÇAMENTO!$W$15,ROW(AJ108)-ROW(AJ$15),0),15-13*ORÇAMENTO!$AF$11)),
         0)</f>
        <v>3842.56</v>
      </c>
      <c r="AK108" s="452">
        <f ca="1">IF(AND($D108="Serviço",AK$12&lt;&gt;0,$H108&gt;0,OR(AUTOEVENTO&lt;&gt;"manual",$M108&lt;&gt;$A$15)),
        IF(Import.TipoArredondamento&lt;&gt;"TransfereGOV",
              ROUND(OFFSET($P108,0,AK$13),15-13*ORÇAMENTO!$AF$7)/$H108*OFFSET(ORÇAMENTO!$X$15,ROW(AK108)-ROW(AK$15),0),
              ROUND(ROUND(OFFSET($P108,0,AK$13),15-13*ORÇAMENTO!$AF$7)*OFFSET(ORÇAMENTO!$W$15,ROW(AK108)-ROW(AK$15),0),15-13*ORÇAMENTO!$AF$11)),
         0)</f>
        <v>3842.56</v>
      </c>
      <c r="AL108" s="452">
        <f ca="1">IF(AND($D108="Serviço",AL$12&lt;&gt;0,$H108&gt;0,OR(AUTOEVENTO&lt;&gt;"manual",$M108&lt;&gt;$A$15)),
        IF(Import.TipoArredondamento&lt;&gt;"TransfereGOV",
              ROUND(OFFSET($P108,0,AL$13),15-13*ORÇAMENTO!$AF$7)/$H108*OFFSET(ORÇAMENTO!$X$15,ROW(AL108)-ROW(AL$15),0),
              ROUND(ROUND(OFFSET($P108,0,AL$13),15-13*ORÇAMENTO!$AF$7)*OFFSET(ORÇAMENTO!$W$15,ROW(AL108)-ROW(AL$15),0),15-13*ORÇAMENTO!$AF$11)),
         0)</f>
        <v>3842.56</v>
      </c>
      <c r="AM108" s="452">
        <f ca="1">IF(AND($D108="Serviço",AM$12&lt;&gt;0,$H108&gt;0,OR(AUTOEVENTO&lt;&gt;"manual",$M108&lt;&gt;$A$15)),
        IF(Import.TipoArredondamento&lt;&gt;"TransfereGOV",
              ROUND(OFFSET($P108,0,AM$13),15-13*ORÇAMENTO!$AF$7)/$H108*OFFSET(ORÇAMENTO!$X$15,ROW(AM108)-ROW(AM$15),0),
              ROUND(ROUND(OFFSET($P108,0,AM$13),15-13*ORÇAMENTO!$AF$7)*OFFSET(ORÇAMENTO!$W$15,ROW(AM108)-ROW(AM$15),0),15-13*ORÇAMENTO!$AF$11)),
         0)</f>
        <v>3842.56</v>
      </c>
      <c r="AN108" s="452">
        <f ca="1">IF(AND($D108="Serviço",AN$12&lt;&gt;0,$H108&gt;0,OR(AUTOEVENTO&lt;&gt;"manual",$M108&lt;&gt;$A$15)),
        IF(Import.TipoArredondamento&lt;&gt;"TransfereGOV",
              ROUND(OFFSET($P108,0,AN$13),15-13*ORÇAMENTO!$AF$7)/$H108*OFFSET(ORÇAMENTO!$X$15,ROW(AN108)-ROW(AN$15),0),
              ROUND(ROUND(OFFSET($P108,0,AN$13),15-13*ORÇAMENTO!$AF$7)*OFFSET(ORÇAMENTO!$W$15,ROW(AN108)-ROW(AN$15),0),15-13*ORÇAMENTO!$AF$11)),
         0)</f>
        <v>0</v>
      </c>
      <c r="AO108" s="452">
        <f ca="1">IF(AND($D108="Serviço",AO$12&lt;&gt;0,$H108&gt;0,OR(AUTOEVENTO&lt;&gt;"manual",$M108&lt;&gt;$A$15)),
        IF(Import.TipoArredondamento&lt;&gt;"TransfereGOV",
              ROUND(OFFSET($P108,0,AO$13),15-13*ORÇAMENTO!$AF$7)/$H108*OFFSET(ORÇAMENTO!$X$15,ROW(AO108)-ROW(AO$15),0),
              ROUND(ROUND(OFFSET($P108,0,AO$13),15-13*ORÇAMENTO!$AF$7)*OFFSET(ORÇAMENTO!$W$15,ROW(AO108)-ROW(AO$15),0),15-13*ORÇAMENTO!$AF$11)),
         0)</f>
        <v>0</v>
      </c>
      <c r="AP108" s="452">
        <f ca="1">IF(AND($D108="Serviço",AP$12&lt;&gt;0,$H108&gt;0,OR(AUTOEVENTO&lt;&gt;"manual",$M108&lt;&gt;$A$15)),
        IF(Import.TipoArredondamento&lt;&gt;"TransfereGOV",
              ROUND(OFFSET($P108,0,AP$13),15-13*ORÇAMENTO!$AF$7)/$H108*OFFSET(ORÇAMENTO!$X$15,ROW(AP108)-ROW(AP$15),0),
              ROUND(ROUND(OFFSET($P108,0,AP$13),15-13*ORÇAMENTO!$AF$7)*OFFSET(ORÇAMENTO!$W$15,ROW(AP108)-ROW(AP$15),0),15-13*ORÇAMENTO!$AF$11)),
         0)</f>
        <v>0</v>
      </c>
      <c r="AQ108" s="452">
        <f ca="1">IF(AND($D108="Serviço",AQ$12&lt;&gt;0,$H108&gt;0,OR(AUTOEVENTO&lt;&gt;"manual",$M108&lt;&gt;$A$15)),
        IF(Import.TipoArredondamento&lt;&gt;"TransfereGOV",
              ROUND(OFFSET($P108,0,AQ$13),15-13*ORÇAMENTO!$AF$7)/$H108*OFFSET(ORÇAMENTO!$X$15,ROW(AQ108)-ROW(AQ$15),0),
              ROUND(ROUND(OFFSET($P108,0,AQ$13),15-13*ORÇAMENTO!$AF$7)*OFFSET(ORÇAMENTO!$W$15,ROW(AQ108)-ROW(AQ$15),0),15-13*ORÇAMENTO!$AF$11)),
         0)</f>
        <v>0</v>
      </c>
      <c r="AR108" s="452">
        <f ca="1">IF(AND($D108="Serviço",AR$12&lt;&gt;0,$H108&gt;0,OR(AUTOEVENTO&lt;&gt;"manual",$M108&lt;&gt;$A$15)),
        IF(Import.TipoArredondamento&lt;&gt;"TransfereGOV",
              ROUND(OFFSET($P108,0,AR$13),15-13*ORÇAMENTO!$AF$7)/$H108*OFFSET(ORÇAMENTO!$X$15,ROW(AR108)-ROW(AR$15),0),
              ROUND(ROUND(OFFSET($P108,0,AR$13),15-13*ORÇAMENTO!$AF$7)*OFFSET(ORÇAMENTO!$W$15,ROW(AR108)-ROW(AR$15),0),15-13*ORÇAMENTO!$AF$11)),
         0)</f>
        <v>0</v>
      </c>
      <c r="AS108" s="452">
        <f ca="1">IF(AND($D108="Serviço",AS$12&lt;&gt;0,$H108&gt;0,OR(AUTOEVENTO&lt;&gt;"manual",$M108&lt;&gt;$A$15)),
        IF(Import.TipoArredondamento&lt;&gt;"TransfereGOV",
              ROUND(OFFSET($P108,0,AS$13),15-13*ORÇAMENTO!$AF$7)/$H108*OFFSET(ORÇAMENTO!$X$15,ROW(AS108)-ROW(AS$15),0),
              ROUND(ROUND(OFFSET($P108,0,AS$13),15-13*ORÇAMENTO!$AF$7)*OFFSET(ORÇAMENTO!$W$15,ROW(AS108)-ROW(AS$15),0),15-13*ORÇAMENTO!$AF$11)),
         0)</f>
        <v>0</v>
      </c>
      <c r="AT108" s="452">
        <f ca="1">IF(AND($D108="Serviço",AT$12&lt;&gt;0,$H108&gt;0,OR(AUTOEVENTO&lt;&gt;"manual",$M108&lt;&gt;$A$15)),
        IF(Import.TipoArredondamento&lt;&gt;"TransfereGOV",
              ROUND(OFFSET($P108,0,AT$13),15-13*ORÇAMENTO!$AF$7)/$H108*OFFSET(ORÇAMENTO!$X$15,ROW(AT108)-ROW(AT$15),0),
              ROUND(ROUND(OFFSET($P108,0,AT$13),15-13*ORÇAMENTO!$AF$7)*OFFSET(ORÇAMENTO!$W$15,ROW(AT108)-ROW(AT$15),0),15-13*ORÇAMENTO!$AF$11)),
         0)</f>
        <v>0</v>
      </c>
      <c r="AU108" s="452">
        <f ca="1">IF(AND($D108="Serviço",AU$12&lt;&gt;0,$H108&gt;0,OR(AUTOEVENTO&lt;&gt;"manual",$M108&lt;&gt;$A$15)),
        IF(Import.TipoArredondamento&lt;&gt;"TransfereGOV",
              ROUND(OFFSET($P108,0,AU$13),15-13*ORÇAMENTO!$AF$7)/$H108*OFFSET(ORÇAMENTO!$X$15,ROW(AU108)-ROW(AU$15),0),
              ROUND(ROUND(OFFSET($P108,0,AU$13),15-13*ORÇAMENTO!$AF$7)*OFFSET(ORÇAMENTO!$W$15,ROW(AU108)-ROW(AU$15),0),15-13*ORÇAMENTO!$AF$11)),
         0)</f>
        <v>0</v>
      </c>
      <c r="AV108" s="452">
        <f ca="1">IF(AND($D108="Serviço",AV$12&lt;&gt;0,$H108&gt;0,OR(AUTOEVENTO&lt;&gt;"manual",$M108&lt;&gt;$A$15)),
        IF(Import.TipoArredondamento&lt;&gt;"TransfereGOV",
              ROUND(OFFSET($P108,0,AV$13),15-13*ORÇAMENTO!$AF$7)/$H108*OFFSET(ORÇAMENTO!$X$15,ROW(AV108)-ROW(AV$15),0),
              ROUND(ROUND(OFFSET($P108,0,AV$13),15-13*ORÇAMENTO!$AF$7)*OFFSET(ORÇAMENTO!$W$15,ROW(AV108)-ROW(AV$15),0),15-13*ORÇAMENTO!$AF$11)),
         0)</f>
        <v>0</v>
      </c>
      <c r="AW108" s="452">
        <f ca="1">IF(AND($D108="Serviço",AW$12&lt;&gt;0,$H108&gt;0,OR(AUTOEVENTO&lt;&gt;"manual",$M108&lt;&gt;$A$15)),
        IF(Import.TipoArredondamento&lt;&gt;"TransfereGOV",
              ROUND(OFFSET($P108,0,AW$13),15-13*ORÇAMENTO!$AF$7)/$H108*OFFSET(ORÇAMENTO!$X$15,ROW(AW108)-ROW(AW$15),0),
              ROUND(ROUND(OFFSET($P108,0,AW$13),15-13*ORÇAMENTO!$AF$7)*OFFSET(ORÇAMENTO!$W$15,ROW(AW108)-ROW(AW$15),0),15-13*ORÇAMENTO!$AF$11)),
         0)</f>
        <v>0</v>
      </c>
      <c r="AX108" s="452">
        <f ca="1">IF(AND($D108="Serviço",AX$12&lt;&gt;0,$H108&gt;0,OR(AUTOEVENTO&lt;&gt;"manual",$M108&lt;&gt;$A$15)),
        IF(Import.TipoArredondamento&lt;&gt;"TransfereGOV",
              ROUND(OFFSET($P108,0,AX$13),15-13*ORÇAMENTO!$AF$7)/$H108*OFFSET(ORÇAMENTO!$X$15,ROW(AX108)-ROW(AX$15),0),
              ROUND(ROUND(OFFSET($P108,0,AX$13),15-13*ORÇAMENTO!$AF$7)*OFFSET(ORÇAMENTO!$W$15,ROW(AX108)-ROW(AX$15),0),15-13*ORÇAMENTO!$AF$11)),
         0)</f>
        <v>0</v>
      </c>
      <c r="AY108" s="452">
        <f ca="1">IF(AND($D108="Serviço",AY$12&lt;&gt;0,$H108&gt;0,OR(AUTOEVENTO&lt;&gt;"manual",$M108&lt;&gt;$A$15)),
        IF(Import.TipoArredondamento&lt;&gt;"TransfereGOV",
              ROUND(OFFSET($P108,0,AY$13),15-13*ORÇAMENTO!$AF$7)/$H108*OFFSET(ORÇAMENTO!$X$15,ROW(AY108)-ROW(AY$15),0),
              ROUND(ROUND(OFFSET($P108,0,AY$13),15-13*ORÇAMENTO!$AF$7)*OFFSET(ORÇAMENTO!$W$15,ROW(AY108)-ROW(AY$15),0),15-13*ORÇAMENTO!$AF$11)),
         0)</f>
        <v>0</v>
      </c>
      <c r="AZ108" s="452">
        <f ca="1">IF(AND($D108="Serviço",AZ$12&lt;&gt;0,$H108&gt;0,OR(AUTOEVENTO&lt;&gt;"manual",$M108&lt;&gt;$A$15)),
        IF(Import.TipoArredondamento&lt;&gt;"TransfereGOV",
              ROUND(OFFSET($P108,0,AZ$13),15-13*ORÇAMENTO!$AF$7)/$H108*OFFSET(ORÇAMENTO!$X$15,ROW(AZ108)-ROW(AZ$15),0),
              ROUND(ROUND(OFFSET($P108,0,AZ$13),15-13*ORÇAMENTO!$AF$7)*OFFSET(ORÇAMENTO!$W$15,ROW(AZ108)-ROW(AZ$15),0),15-13*ORÇAMENTO!$AF$11)),
         0)</f>
        <v>0</v>
      </c>
      <c r="BA108" s="452">
        <f ca="1">IF(AND($D108="Serviço",BA$12&lt;&gt;0,$H108&gt;0,OR(AUTOEVENTO&lt;&gt;"manual",$M108&lt;&gt;$A$15)),
        IF(Import.TipoArredondamento&lt;&gt;"TransfereGOV",
              ROUND(OFFSET($P108,0,BA$13),15-13*ORÇAMENTO!$AF$7)/$H108*OFFSET(ORÇAMENTO!$X$15,ROW(BA108)-ROW(BA$15),0),
              ROUND(ROUND(OFFSET($P108,0,BA$13),15-13*ORÇAMENTO!$AF$7)*OFFSET(ORÇAMENTO!$W$15,ROW(BA108)-ROW(BA$15),0),15-13*ORÇAMENTO!$AF$11)),
         0)</f>
        <v>0</v>
      </c>
      <c r="BC108" s="171">
        <f ca="1">IF(OR($D108&lt;&gt;"Serviço",AND(AUTOEVENTO="Manual",$M108=$A$15)),0,
         IF(OFFSET(CRONOPLE!$F$15,$M108-$A$15,BC$13)=0,10^12,OFFSET(CRONOPLE!$F$15,$M108-$A$15,BC$13)))</f>
        <v>6</v>
      </c>
      <c r="BD108" s="171">
        <f ca="1">IF(OR($D108&lt;&gt;"Serviço",AND(AUTOEVENTO="Manual",$M108=$A$15)),0,
         IF(OFFSET(CRONOPLE!$F$15,$M108-$A$15,BD$13)=0,10^12,OFFSET(CRONOPLE!$F$15,$M108-$A$15,BD$13)))</f>
        <v>6</v>
      </c>
      <c r="BE108" s="171">
        <f ca="1">IF(OR($D108&lt;&gt;"Serviço",AND(AUTOEVENTO="Manual",$M108=$A$15)),0,
         IF(OFFSET(CRONOPLE!$F$15,$M108-$A$15,BE$13)=0,10^12,OFFSET(CRONOPLE!$F$15,$M108-$A$15,BE$13)))</f>
        <v>8</v>
      </c>
      <c r="BF108" s="171">
        <f ca="1">IF(OR($D108&lt;&gt;"Serviço",AND(AUTOEVENTO="Manual",$M108=$A$15)),0,
         IF(OFFSET(CRONOPLE!$F$15,$M108-$A$15,BF$13)=0,10^12,OFFSET(CRONOPLE!$F$15,$M108-$A$15,BF$13)))</f>
        <v>9</v>
      </c>
      <c r="BG108" s="171">
        <f ca="1">IF(OR($D108&lt;&gt;"Serviço",AND(AUTOEVENTO="Manual",$M108=$A$15)),0,
         IF(OFFSET(CRONOPLE!$F$15,$M108-$A$15,BG$13)=0,10^12,OFFSET(CRONOPLE!$F$15,$M108-$A$15,BG$13)))</f>
        <v>9</v>
      </c>
      <c r="BH108" s="171">
        <f ca="1">IF(OR($D108&lt;&gt;"Serviço",AND(AUTOEVENTO="Manual",$M108=$A$15)),0,
         IF(OFFSET(CRONOPLE!$F$15,$M108-$A$15,BH$13)=0,10^12,OFFSET(CRONOPLE!$F$15,$M108-$A$15,BH$13)))</f>
        <v>6</v>
      </c>
      <c r="BI108" s="171">
        <f ca="1">IF(OR($D108&lt;&gt;"Serviço",AND(AUTOEVENTO="Manual",$M108=$A$15)),0,
         IF(OFFSET(CRONOPLE!$F$15,$M108-$A$15,BI$13)=0,10^12,OFFSET(CRONOPLE!$F$15,$M108-$A$15,BI$13)))</f>
        <v>1000000000000</v>
      </c>
      <c r="BJ108" s="171">
        <f ca="1">IF(OR($D108&lt;&gt;"Serviço",AND(AUTOEVENTO="Manual",$M108=$A$15)),0,
         IF(OFFSET(CRONOPLE!$F$15,$M108-$A$15,BJ$13)=0,10^12,OFFSET(CRONOPLE!$F$15,$M108-$A$15,BJ$13)))</f>
        <v>1000000000000</v>
      </c>
      <c r="BK108" s="171">
        <f ca="1">IF(OR($D108&lt;&gt;"Serviço",AND(AUTOEVENTO="Manual",$M108=$A$15)),0,
         IF(OFFSET(CRONOPLE!$F$15,$M108-$A$15,BK$13)=0,10^12,OFFSET(CRONOPLE!$F$15,$M108-$A$15,BK$13)))</f>
        <v>9</v>
      </c>
      <c r="BL108" s="171">
        <f ca="1">IF(OR($D108&lt;&gt;"Serviço",AND(AUTOEVENTO="Manual",$M108=$A$15)),0,
         IF(OFFSET(CRONOPLE!$F$15,$M108-$A$15,BL$13)=0,10^12,OFFSET(CRONOPLE!$F$15,$M108-$A$15,BL$13)))</f>
        <v>1000000000000</v>
      </c>
      <c r="BM108" s="171">
        <f ca="1">IF(OR($D108&lt;&gt;"Serviço",AND(AUTOEVENTO="Manual",$M108=$A$15)),0,
         IF(OFFSET(CRONOPLE!$F$15,$M108-$A$15,BM$13)=0,10^12,OFFSET(CRONOPLE!$F$15,$M108-$A$15,BM$13)))</f>
        <v>1000000000000</v>
      </c>
      <c r="BN108" s="171">
        <f ca="1">IF(OR($D108&lt;&gt;"Serviço",AND(AUTOEVENTO="Manual",$M108=$A$15)),0,
         IF(OFFSET(CRONOPLE!$F$15,$M108-$A$15,BN$13)=0,10^12,OFFSET(CRONOPLE!$F$15,$M108-$A$15,BN$13)))</f>
        <v>1000000000000</v>
      </c>
      <c r="BO108" s="171">
        <f ca="1">IF(OR($D108&lt;&gt;"Serviço",AND(AUTOEVENTO="Manual",$M108=$A$15)),0,
         IF(OFFSET(CRONOPLE!$F$15,$M108-$A$15,BO$13)=0,10^12,OFFSET(CRONOPLE!$F$15,$M108-$A$15,BO$13)))</f>
        <v>1000000000000</v>
      </c>
      <c r="BP108" s="171">
        <f ca="1">IF(OR($D108&lt;&gt;"Serviço",AND(AUTOEVENTO="Manual",$M108=$A$15)),0,
         IF(OFFSET(CRONOPLE!$F$15,$M108-$A$15,BP$13)=0,10^12,OFFSET(CRONOPLE!$F$15,$M108-$A$15,BP$13)))</f>
        <v>1000000000000</v>
      </c>
      <c r="BQ108" s="171">
        <f ca="1">IF(OR($D108&lt;&gt;"Serviço",AND(AUTOEVENTO="Manual",$M108=$A$15)),0,
         IF(OFFSET(CRONOPLE!$F$15,$M108-$A$15,BQ$13)=0,10^12,OFFSET(CRONOPLE!$F$15,$M108-$A$15,BQ$13)))</f>
        <v>1000000000000</v>
      </c>
      <c r="BR108" s="171">
        <f ca="1">IF(OR($D108&lt;&gt;"Serviço",AND(AUTOEVENTO="Manual",$M108=$A$15)),0,
         IF(OFFSET(CRONOPLE!$F$15,$M108-$A$15,BR$13)=0,10^12,OFFSET(CRONOPLE!$F$15,$M108-$A$15,BR$13)))</f>
        <v>1000000000000</v>
      </c>
      <c r="BS108" s="171">
        <f ca="1">IF(OR($D108&lt;&gt;"Serviço",AND(AUTOEVENTO="Manual",$M108=$A$15)),0,
         IF(OFFSET(CRONOPLE!$F$15,$M108-$A$15,BS$13)=0,10^12,OFFSET(CRONOPLE!$F$15,$M108-$A$15,BS$13)))</f>
        <v>1000000000000</v>
      </c>
      <c r="BT108" s="171">
        <f ca="1">IF(OR($D108&lt;&gt;"Serviço",AND(AUTOEVENTO="Manual",$M108=$A$15)),0,
         IF(OFFSET(CRONOPLE!$F$15,$M108-$A$15,BT$13)=0,10^12,OFFSET(CRONOPLE!$F$15,$M108-$A$15,BT$13)))</f>
        <v>1000000000000</v>
      </c>
      <c r="BV108" s="172">
        <f t="array" aca="1" ref="BV108" ca="1">IF(OR($D108&lt;&gt;"Serviço",AND(AUTOEVENTO="Manual",$M108=$A$15),$M108&gt;(ROW(PLE.lastrow)-ROW(PLE.firstrow))),0,
           IF(OFFSET(PLE!$G$15,$M108-$A$15,BV$13)="",10^12,OFFSET(PLE!$G$15,$M108-$A$15,BV$13)))</f>
        <v>1000000000000</v>
      </c>
      <c r="BW108" s="172">
        <f t="array" aca="1" ref="BW108" ca="1">IF(OR($D108&lt;&gt;"Serviço",AND(AUTOEVENTO="Manual",$M108=$A$15),$M108&gt;(ROW(PLE.lastrow)-ROW(PLE.firstrow))),0,
           IF(OFFSET(PLE!$G$15,$M108-$A$15,BW$13)="",10^12,OFFSET(PLE!$G$15,$M108-$A$15,BW$13)))</f>
        <v>1000000000000</v>
      </c>
      <c r="BX108" s="172">
        <f t="array" aca="1" ref="BX108" ca="1">IF(OR($D108&lt;&gt;"Serviço",AND(AUTOEVENTO="Manual",$M108=$A$15),$M108&gt;(ROW(PLE.lastrow)-ROW(PLE.firstrow))),0,
           IF(OFFSET(PLE!$G$15,$M108-$A$15,BX$13)="",10^12,OFFSET(PLE!$G$15,$M108-$A$15,BX$13)))</f>
        <v>1000000000000</v>
      </c>
      <c r="BY108" s="172">
        <f t="array" aca="1" ref="BY108" ca="1">IF(OR($D108&lt;&gt;"Serviço",AND(AUTOEVENTO="Manual",$M108=$A$15),$M108&gt;(ROW(PLE.lastrow)-ROW(PLE.firstrow))),0,
           IF(OFFSET(PLE!$G$15,$M108-$A$15,BY$13)="",10^12,OFFSET(PLE!$G$15,$M108-$A$15,BY$13)))</f>
        <v>1000000000000</v>
      </c>
      <c r="BZ108" s="172">
        <f t="array" aca="1" ref="BZ108" ca="1">IF(OR($D108&lt;&gt;"Serviço",AND(AUTOEVENTO="Manual",$M108=$A$15),$M108&gt;(ROW(PLE.lastrow)-ROW(PLE.firstrow))),0,
           IF(OFFSET(PLE!$G$15,$M108-$A$15,BZ$13)="",10^12,OFFSET(PLE!$G$15,$M108-$A$15,BZ$13)))</f>
        <v>1000000000000</v>
      </c>
      <c r="CA108" s="172">
        <f t="array" aca="1" ref="CA108" ca="1">IF(OR($D108&lt;&gt;"Serviço",AND(AUTOEVENTO="Manual",$M108=$A$15),$M108&gt;(ROW(PLE.lastrow)-ROW(PLE.firstrow))),0,
           IF(OFFSET(PLE!$G$15,$M108-$A$15,CA$13)="",10^12,OFFSET(PLE!$G$15,$M108-$A$15,CA$13)))</f>
        <v>1000000000000</v>
      </c>
      <c r="CB108" s="172">
        <f t="array" aca="1" ref="CB108" ca="1">IF(OR($D108&lt;&gt;"Serviço",AND(AUTOEVENTO="Manual",$M108=$A$15),$M108&gt;(ROW(PLE.lastrow)-ROW(PLE.firstrow))),0,
           IF(OFFSET(PLE!$G$15,$M108-$A$15,CB$13)="",10^12,OFFSET(PLE!$G$15,$M108-$A$15,CB$13)))</f>
        <v>1000000000000</v>
      </c>
      <c r="CC108" s="172">
        <f t="array" aca="1" ref="CC108" ca="1">IF(OR($D108&lt;&gt;"Serviço",AND(AUTOEVENTO="Manual",$M108=$A$15),$M108&gt;(ROW(PLE.lastrow)-ROW(PLE.firstrow))),0,
           IF(OFFSET(PLE!$G$15,$M108-$A$15,CC$13)="",10^12,OFFSET(PLE!$G$15,$M108-$A$15,CC$13)))</f>
        <v>1000000000000</v>
      </c>
      <c r="CD108" s="172">
        <f t="array" aca="1" ref="CD108" ca="1">IF(OR($D108&lt;&gt;"Serviço",AND(AUTOEVENTO="Manual",$M108=$A$15),$M108&gt;(ROW(PLE.lastrow)-ROW(PLE.firstrow))),0,
           IF(OFFSET(PLE!$G$15,$M108-$A$15,CD$13)="",10^12,OFFSET(PLE!$G$15,$M108-$A$15,CD$13)))</f>
        <v>1000000000000</v>
      </c>
      <c r="CE108" s="172">
        <f t="array" aca="1" ref="CE108" ca="1">IF(OR($D108&lt;&gt;"Serviço",AND(AUTOEVENTO="Manual",$M108=$A$15),$M108&gt;(ROW(PLE.lastrow)-ROW(PLE.firstrow))),0,
           IF(OFFSET(PLE!$G$15,$M108-$A$15,CE$13)="",10^12,OFFSET(PLE!$G$15,$M108-$A$15,CE$13)))</f>
        <v>1000000000000</v>
      </c>
      <c r="CF108" s="172">
        <f t="array" aca="1" ref="CF108" ca="1">IF(OR($D108&lt;&gt;"Serviço",AND(AUTOEVENTO="Manual",$M108=$A$15),$M108&gt;(ROW(PLE.lastrow)-ROW(PLE.firstrow))),0,
           IF(OFFSET(PLE!$G$15,$M108-$A$15,CF$13)="",10^12,OFFSET(PLE!$G$15,$M108-$A$15,CF$13)))</f>
        <v>1000000000000</v>
      </c>
      <c r="CG108" s="172">
        <f t="array" aca="1" ref="CG108" ca="1">IF(OR($D108&lt;&gt;"Serviço",AND(AUTOEVENTO="Manual",$M108=$A$15),$M108&gt;(ROW(PLE.lastrow)-ROW(PLE.firstrow))),0,
           IF(OFFSET(PLE!$G$15,$M108-$A$15,CG$13)="",10^12,OFFSET(PLE!$G$15,$M108-$A$15,CG$13)))</f>
        <v>1000000000000</v>
      </c>
      <c r="CH108" s="172">
        <f t="array" aca="1" ref="CH108" ca="1">IF(OR($D108&lt;&gt;"Serviço",AND(AUTOEVENTO="Manual",$M108=$A$15),$M108&gt;(ROW(PLE.lastrow)-ROW(PLE.firstrow))),0,
           IF(OFFSET(PLE!$G$15,$M108-$A$15,CH$13)="",10^12,OFFSET(PLE!$G$15,$M108-$A$15,CH$13)))</f>
        <v>1000000000000</v>
      </c>
      <c r="CI108" s="172">
        <f t="array" aca="1" ref="CI108" ca="1">IF(OR($D108&lt;&gt;"Serviço",AND(AUTOEVENTO="Manual",$M108=$A$15),$M108&gt;(ROW(PLE.lastrow)-ROW(PLE.firstrow))),0,
           IF(OFFSET(PLE!$G$15,$M108-$A$15,CI$13)="",10^12,OFFSET(PLE!$G$15,$M108-$A$15,CI$13)))</f>
        <v>1000000000000</v>
      </c>
      <c r="CJ108" s="172">
        <f t="array" aca="1" ref="CJ108" ca="1">IF(OR($D108&lt;&gt;"Serviço",AND(AUTOEVENTO="Manual",$M108=$A$15),$M108&gt;(ROW(PLE.lastrow)-ROW(PLE.firstrow))),0,
           IF(OFFSET(PLE!$G$15,$M108-$A$15,CJ$13)="",10^12,OFFSET(PLE!$G$15,$M108-$A$15,CJ$13)))</f>
        <v>1000000000000</v>
      </c>
      <c r="CK108" s="172">
        <f t="array" aca="1" ref="CK108" ca="1">IF(OR($D108&lt;&gt;"Serviço",AND(AUTOEVENTO="Manual",$M108=$A$15),$M108&gt;(ROW(PLE.lastrow)-ROW(PLE.firstrow))),0,
           IF(OFFSET(PLE!$G$15,$M108-$A$15,CK$13)="",10^12,OFFSET(PLE!$G$15,$M108-$A$15,CK$13)))</f>
        <v>1000000000000</v>
      </c>
      <c r="CL108" s="172">
        <f t="array" aca="1" ref="CL108" ca="1">IF(OR($D108&lt;&gt;"Serviço",AND(AUTOEVENTO="Manual",$M108=$A$15),$M108&gt;(ROW(PLE.lastrow)-ROW(PLE.firstrow))),0,
           IF(OFFSET(PLE!$G$15,$M108-$A$15,CL$13)="",10^12,OFFSET(PLE!$G$15,$M108-$A$15,CL$13)))</f>
        <v>1000000000000</v>
      </c>
      <c r="CM108" s="172">
        <f t="array" aca="1" ref="CM108" ca="1">IF(OR($D108&lt;&gt;"Serviço",AND(AUTOEVENTO="Manual",$M108=$A$15),$M108&gt;(ROW(PLE.lastrow)-ROW(PLE.firstrow))),0,
           IF(OFFSET(PLE!$G$15,$M108-$A$15,CM$13)="",10^12,OFFSET(PLE!$G$15,$M108-$A$15,CM$13)))</f>
        <v>1000000000000</v>
      </c>
    </row>
    <row r="109" spans="1:91" s="696" customFormat="1" ht="12.75" x14ac:dyDescent="0.2">
      <c r="A109" s="694">
        <f t="shared" ca="1" si="45"/>
        <v>0</v>
      </c>
      <c r="B109" s="694">
        <f ca="1">OFFSET(ORÇAMENTO!C$15,$L109,0)</f>
        <v>2</v>
      </c>
      <c r="C109" s="694" t="str">
        <f ca="1">OFFSET(ORÇAMENTO!L$15,$L109,0)</f>
        <v>F</v>
      </c>
      <c r="D109" s="116" t="str">
        <f ca="1">OFFSET(ORÇAMENTO!N$15,$L109,0)</f>
        <v>Nível 2</v>
      </c>
      <c r="E109" s="117" t="str">
        <f ca="1">OFFSET(ORÇAMENTO!O$15,$L109,0)</f>
        <v>1.19.</v>
      </c>
      <c r="F109" s="163" t="str">
        <f ca="1">OFFSET(ORÇAMENTO!R$15,$L109,0)</f>
        <v>PINTURA EM ESQUADRIAS</v>
      </c>
      <c r="G109" s="164" t="str">
        <f ca="1">IF($D109&lt;&gt;"Serviço","",OFFSET(ORÇAMENTO!S$15,$L109,0))</f>
        <v/>
      </c>
      <c r="H109" s="122">
        <f t="array" aca="1" ref="H109" ca="1">IF($D109&lt;&gt;"Serviço",0,IF(ACOMPANHAMENTO="BM",ROUND(OFFSET(ORÇAMENTO!AJ$15,$L109,0),15-13*ORÇAMENTO!$AF$7),IF(IFERROR(CÁLCULO.FrentesPreenchidas,0)=0,0,SUM(ROUND(OFFSET($P109,0,1,1,CÁLCULO.FrentesPreenchidas),15-13*ORÇAMENTO!$AF$7)))))</f>
        <v>0</v>
      </c>
      <c r="I109" s="467"/>
      <c r="J109" s="653" t="str">
        <f t="array" aca="1" ref="J109" ca="1">IF(OR(B109&lt;&gt;"S",CÁLCULO.FrentesPreenchidas=0),"",IF(AND(ACOMPANHAMENTO="PLE",AUTOEVENTO="Manual",OR(H109&gt;0,ORÇAMENTO!AC109="QUANT."),OR(K109="",M109=0,N109="")),"►E",IF(AND(ACOMPANHAMENTO="PLE",ORÇAMENTO!AC109="QUANT."),"►Q",IF(AND(ACOMPANHAMENTO="PLE",H109&lt;&gt;SUMPRODUCT(($Q$1:$AI$1=1)*ROUND(Q109:AI109,15))),"►S",IF(AND(COUNTIF($P$11:$AI$11,"▼")=0,H109&gt;0,I109=""),"◄M","")))))</f>
        <v/>
      </c>
      <c r="K109" s="654"/>
      <c r="L109" s="165">
        <f t="shared" ca="1" si="46"/>
        <v>94</v>
      </c>
      <c r="M109" s="166" t="str">
        <f ca="1">IF($D109&lt;&gt;"Serviço","",
          IF(AUTOEVENTO="manual",$A109,
                IF(ISERROR(MATCH($A109,$A$15:OFFSET($A109,-1,0),0)),MAX($M$15:OFFSET(M109,-1,0))+1,
                      INDEX($M$15:OFFSET(M109,-1,0),MATCH($A109,$A$15:OFFSET($A109,-1,0),0)))))</f>
        <v/>
      </c>
      <c r="N109" s="167" t="str">
        <f ca="1">IF($D109&lt;&gt;"Serviço","",
         IF(AUTOEVENTO="Manual",
                IF($A109=0,"&lt;-- defina o número do agrupador",
                       OFFSET(EVENTOS!$D$15,$A109-$A$15,0)),
                OFFSET($F$15,$A109,0)))</f>
        <v/>
      </c>
      <c r="O109" s="168"/>
      <c r="Q109" s="169"/>
      <c r="R109" s="169"/>
      <c r="S109" s="169"/>
      <c r="T109" s="169"/>
      <c r="U109" s="169"/>
      <c r="V109" s="169"/>
      <c r="W109" s="169"/>
      <c r="X109" s="169"/>
      <c r="Y109" s="169"/>
      <c r="Z109" s="170"/>
      <c r="AA109" s="169"/>
      <c r="AB109" s="169"/>
      <c r="AC109" s="169"/>
      <c r="AD109" s="169"/>
      <c r="AE109" s="169"/>
      <c r="AF109" s="169"/>
      <c r="AG109" s="169"/>
      <c r="AH109" s="170"/>
      <c r="AJ109" s="452">
        <f ca="1">IF(AND($D109="Serviço",AJ$12&lt;&gt;0,$H109&gt;0,OR(AUTOEVENTO&lt;&gt;"manual",$M109&lt;&gt;$A$15)),
        IF(Import.TipoArredondamento&lt;&gt;"TransfereGOV",
              ROUND(OFFSET($P109,0,AJ$13),15-13*ORÇAMENTO!$AF$7)/$H109*OFFSET(ORÇAMENTO!$X$15,ROW(AJ109)-ROW(AJ$15),0),
              ROUND(ROUND(OFFSET($P109,0,AJ$13),15-13*ORÇAMENTO!$AF$7)*OFFSET(ORÇAMENTO!$W$15,ROW(AJ109)-ROW(AJ$15),0),15-13*ORÇAMENTO!$AF$11)),
         0)</f>
        <v>0</v>
      </c>
      <c r="AK109" s="452">
        <f ca="1">IF(AND($D109="Serviço",AK$12&lt;&gt;0,$H109&gt;0,OR(AUTOEVENTO&lt;&gt;"manual",$M109&lt;&gt;$A$15)),
        IF(Import.TipoArredondamento&lt;&gt;"TransfereGOV",
              ROUND(OFFSET($P109,0,AK$13),15-13*ORÇAMENTO!$AF$7)/$H109*OFFSET(ORÇAMENTO!$X$15,ROW(AK109)-ROW(AK$15),0),
              ROUND(ROUND(OFFSET($P109,0,AK$13),15-13*ORÇAMENTO!$AF$7)*OFFSET(ORÇAMENTO!$W$15,ROW(AK109)-ROW(AK$15),0),15-13*ORÇAMENTO!$AF$11)),
         0)</f>
        <v>0</v>
      </c>
      <c r="AL109" s="452">
        <f ca="1">IF(AND($D109="Serviço",AL$12&lt;&gt;0,$H109&gt;0,OR(AUTOEVENTO&lt;&gt;"manual",$M109&lt;&gt;$A$15)),
        IF(Import.TipoArredondamento&lt;&gt;"TransfereGOV",
              ROUND(OFFSET($P109,0,AL$13),15-13*ORÇAMENTO!$AF$7)/$H109*OFFSET(ORÇAMENTO!$X$15,ROW(AL109)-ROW(AL$15),0),
              ROUND(ROUND(OFFSET($P109,0,AL$13),15-13*ORÇAMENTO!$AF$7)*OFFSET(ORÇAMENTO!$W$15,ROW(AL109)-ROW(AL$15),0),15-13*ORÇAMENTO!$AF$11)),
         0)</f>
        <v>0</v>
      </c>
      <c r="AM109" s="452">
        <f ca="1">IF(AND($D109="Serviço",AM$12&lt;&gt;0,$H109&gt;0,OR(AUTOEVENTO&lt;&gt;"manual",$M109&lt;&gt;$A$15)),
        IF(Import.TipoArredondamento&lt;&gt;"TransfereGOV",
              ROUND(OFFSET($P109,0,AM$13),15-13*ORÇAMENTO!$AF$7)/$H109*OFFSET(ORÇAMENTO!$X$15,ROW(AM109)-ROW(AM$15),0),
              ROUND(ROUND(OFFSET($P109,0,AM$13),15-13*ORÇAMENTO!$AF$7)*OFFSET(ORÇAMENTO!$W$15,ROW(AM109)-ROW(AM$15),0),15-13*ORÇAMENTO!$AF$11)),
         0)</f>
        <v>0</v>
      </c>
      <c r="AN109" s="452">
        <f ca="1">IF(AND($D109="Serviço",AN$12&lt;&gt;0,$H109&gt;0,OR(AUTOEVENTO&lt;&gt;"manual",$M109&lt;&gt;$A$15)),
        IF(Import.TipoArredondamento&lt;&gt;"TransfereGOV",
              ROUND(OFFSET($P109,0,AN$13),15-13*ORÇAMENTO!$AF$7)/$H109*OFFSET(ORÇAMENTO!$X$15,ROW(AN109)-ROW(AN$15),0),
              ROUND(ROUND(OFFSET($P109,0,AN$13),15-13*ORÇAMENTO!$AF$7)*OFFSET(ORÇAMENTO!$W$15,ROW(AN109)-ROW(AN$15),0),15-13*ORÇAMENTO!$AF$11)),
         0)</f>
        <v>0</v>
      </c>
      <c r="AO109" s="452">
        <f ca="1">IF(AND($D109="Serviço",AO$12&lt;&gt;0,$H109&gt;0,OR(AUTOEVENTO&lt;&gt;"manual",$M109&lt;&gt;$A$15)),
        IF(Import.TipoArredondamento&lt;&gt;"TransfereGOV",
              ROUND(OFFSET($P109,0,AO$13),15-13*ORÇAMENTO!$AF$7)/$H109*OFFSET(ORÇAMENTO!$X$15,ROW(AO109)-ROW(AO$15),0),
              ROUND(ROUND(OFFSET($P109,0,AO$13),15-13*ORÇAMENTO!$AF$7)*OFFSET(ORÇAMENTO!$W$15,ROW(AO109)-ROW(AO$15),0),15-13*ORÇAMENTO!$AF$11)),
         0)</f>
        <v>0</v>
      </c>
      <c r="AP109" s="452">
        <f ca="1">IF(AND($D109="Serviço",AP$12&lt;&gt;0,$H109&gt;0,OR(AUTOEVENTO&lt;&gt;"manual",$M109&lt;&gt;$A$15)),
        IF(Import.TipoArredondamento&lt;&gt;"TransfereGOV",
              ROUND(OFFSET($P109,0,AP$13),15-13*ORÇAMENTO!$AF$7)/$H109*OFFSET(ORÇAMENTO!$X$15,ROW(AP109)-ROW(AP$15),0),
              ROUND(ROUND(OFFSET($P109,0,AP$13),15-13*ORÇAMENTO!$AF$7)*OFFSET(ORÇAMENTO!$W$15,ROW(AP109)-ROW(AP$15),0),15-13*ORÇAMENTO!$AF$11)),
         0)</f>
        <v>0</v>
      </c>
      <c r="AQ109" s="452">
        <f ca="1">IF(AND($D109="Serviço",AQ$12&lt;&gt;0,$H109&gt;0,OR(AUTOEVENTO&lt;&gt;"manual",$M109&lt;&gt;$A$15)),
        IF(Import.TipoArredondamento&lt;&gt;"TransfereGOV",
              ROUND(OFFSET($P109,0,AQ$13),15-13*ORÇAMENTO!$AF$7)/$H109*OFFSET(ORÇAMENTO!$X$15,ROW(AQ109)-ROW(AQ$15),0),
              ROUND(ROUND(OFFSET($P109,0,AQ$13),15-13*ORÇAMENTO!$AF$7)*OFFSET(ORÇAMENTO!$W$15,ROW(AQ109)-ROW(AQ$15),0),15-13*ORÇAMENTO!$AF$11)),
         0)</f>
        <v>0</v>
      </c>
      <c r="AR109" s="452">
        <f ca="1">IF(AND($D109="Serviço",AR$12&lt;&gt;0,$H109&gt;0,OR(AUTOEVENTO&lt;&gt;"manual",$M109&lt;&gt;$A$15)),
        IF(Import.TipoArredondamento&lt;&gt;"TransfereGOV",
              ROUND(OFFSET($P109,0,AR$13),15-13*ORÇAMENTO!$AF$7)/$H109*OFFSET(ORÇAMENTO!$X$15,ROW(AR109)-ROW(AR$15),0),
              ROUND(ROUND(OFFSET($P109,0,AR$13),15-13*ORÇAMENTO!$AF$7)*OFFSET(ORÇAMENTO!$W$15,ROW(AR109)-ROW(AR$15),0),15-13*ORÇAMENTO!$AF$11)),
         0)</f>
        <v>0</v>
      </c>
      <c r="AS109" s="452">
        <f ca="1">IF(AND($D109="Serviço",AS$12&lt;&gt;0,$H109&gt;0,OR(AUTOEVENTO&lt;&gt;"manual",$M109&lt;&gt;$A$15)),
        IF(Import.TipoArredondamento&lt;&gt;"TransfereGOV",
              ROUND(OFFSET($P109,0,AS$13),15-13*ORÇAMENTO!$AF$7)/$H109*OFFSET(ORÇAMENTO!$X$15,ROW(AS109)-ROW(AS$15),0),
              ROUND(ROUND(OFFSET($P109,0,AS$13),15-13*ORÇAMENTO!$AF$7)*OFFSET(ORÇAMENTO!$W$15,ROW(AS109)-ROW(AS$15),0),15-13*ORÇAMENTO!$AF$11)),
         0)</f>
        <v>0</v>
      </c>
      <c r="AT109" s="452">
        <f ca="1">IF(AND($D109="Serviço",AT$12&lt;&gt;0,$H109&gt;0,OR(AUTOEVENTO&lt;&gt;"manual",$M109&lt;&gt;$A$15)),
        IF(Import.TipoArredondamento&lt;&gt;"TransfereGOV",
              ROUND(OFFSET($P109,0,AT$13),15-13*ORÇAMENTO!$AF$7)/$H109*OFFSET(ORÇAMENTO!$X$15,ROW(AT109)-ROW(AT$15),0),
              ROUND(ROUND(OFFSET($P109,0,AT$13),15-13*ORÇAMENTO!$AF$7)*OFFSET(ORÇAMENTO!$W$15,ROW(AT109)-ROW(AT$15),0),15-13*ORÇAMENTO!$AF$11)),
         0)</f>
        <v>0</v>
      </c>
      <c r="AU109" s="452">
        <f ca="1">IF(AND($D109="Serviço",AU$12&lt;&gt;0,$H109&gt;0,OR(AUTOEVENTO&lt;&gt;"manual",$M109&lt;&gt;$A$15)),
        IF(Import.TipoArredondamento&lt;&gt;"TransfereGOV",
              ROUND(OFFSET($P109,0,AU$13),15-13*ORÇAMENTO!$AF$7)/$H109*OFFSET(ORÇAMENTO!$X$15,ROW(AU109)-ROW(AU$15),0),
              ROUND(ROUND(OFFSET($P109,0,AU$13),15-13*ORÇAMENTO!$AF$7)*OFFSET(ORÇAMENTO!$W$15,ROW(AU109)-ROW(AU$15),0),15-13*ORÇAMENTO!$AF$11)),
         0)</f>
        <v>0</v>
      </c>
      <c r="AV109" s="452">
        <f ca="1">IF(AND($D109="Serviço",AV$12&lt;&gt;0,$H109&gt;0,OR(AUTOEVENTO&lt;&gt;"manual",$M109&lt;&gt;$A$15)),
        IF(Import.TipoArredondamento&lt;&gt;"TransfereGOV",
              ROUND(OFFSET($P109,0,AV$13),15-13*ORÇAMENTO!$AF$7)/$H109*OFFSET(ORÇAMENTO!$X$15,ROW(AV109)-ROW(AV$15),0),
              ROUND(ROUND(OFFSET($P109,0,AV$13),15-13*ORÇAMENTO!$AF$7)*OFFSET(ORÇAMENTO!$W$15,ROW(AV109)-ROW(AV$15),0),15-13*ORÇAMENTO!$AF$11)),
         0)</f>
        <v>0</v>
      </c>
      <c r="AW109" s="452">
        <f ca="1">IF(AND($D109="Serviço",AW$12&lt;&gt;0,$H109&gt;0,OR(AUTOEVENTO&lt;&gt;"manual",$M109&lt;&gt;$A$15)),
        IF(Import.TipoArredondamento&lt;&gt;"TransfereGOV",
              ROUND(OFFSET($P109,0,AW$13),15-13*ORÇAMENTO!$AF$7)/$H109*OFFSET(ORÇAMENTO!$X$15,ROW(AW109)-ROW(AW$15),0),
              ROUND(ROUND(OFFSET($P109,0,AW$13),15-13*ORÇAMENTO!$AF$7)*OFFSET(ORÇAMENTO!$W$15,ROW(AW109)-ROW(AW$15),0),15-13*ORÇAMENTO!$AF$11)),
         0)</f>
        <v>0</v>
      </c>
      <c r="AX109" s="452">
        <f ca="1">IF(AND($D109="Serviço",AX$12&lt;&gt;0,$H109&gt;0,OR(AUTOEVENTO&lt;&gt;"manual",$M109&lt;&gt;$A$15)),
        IF(Import.TipoArredondamento&lt;&gt;"TransfereGOV",
              ROUND(OFFSET($P109,0,AX$13),15-13*ORÇAMENTO!$AF$7)/$H109*OFFSET(ORÇAMENTO!$X$15,ROW(AX109)-ROW(AX$15),0),
              ROUND(ROUND(OFFSET($P109,0,AX$13),15-13*ORÇAMENTO!$AF$7)*OFFSET(ORÇAMENTO!$W$15,ROW(AX109)-ROW(AX$15),0),15-13*ORÇAMENTO!$AF$11)),
         0)</f>
        <v>0</v>
      </c>
      <c r="AY109" s="452">
        <f ca="1">IF(AND($D109="Serviço",AY$12&lt;&gt;0,$H109&gt;0,OR(AUTOEVENTO&lt;&gt;"manual",$M109&lt;&gt;$A$15)),
        IF(Import.TipoArredondamento&lt;&gt;"TransfereGOV",
              ROUND(OFFSET($P109,0,AY$13),15-13*ORÇAMENTO!$AF$7)/$H109*OFFSET(ORÇAMENTO!$X$15,ROW(AY109)-ROW(AY$15),0),
              ROUND(ROUND(OFFSET($P109,0,AY$13),15-13*ORÇAMENTO!$AF$7)*OFFSET(ORÇAMENTO!$W$15,ROW(AY109)-ROW(AY$15),0),15-13*ORÇAMENTO!$AF$11)),
         0)</f>
        <v>0</v>
      </c>
      <c r="AZ109" s="452">
        <f ca="1">IF(AND($D109="Serviço",AZ$12&lt;&gt;0,$H109&gt;0,OR(AUTOEVENTO&lt;&gt;"manual",$M109&lt;&gt;$A$15)),
        IF(Import.TipoArredondamento&lt;&gt;"TransfereGOV",
              ROUND(OFFSET($P109,0,AZ$13),15-13*ORÇAMENTO!$AF$7)/$H109*OFFSET(ORÇAMENTO!$X$15,ROW(AZ109)-ROW(AZ$15),0),
              ROUND(ROUND(OFFSET($P109,0,AZ$13),15-13*ORÇAMENTO!$AF$7)*OFFSET(ORÇAMENTO!$W$15,ROW(AZ109)-ROW(AZ$15),0),15-13*ORÇAMENTO!$AF$11)),
         0)</f>
        <v>0</v>
      </c>
      <c r="BA109" s="452">
        <f ca="1">IF(AND($D109="Serviço",BA$12&lt;&gt;0,$H109&gt;0,OR(AUTOEVENTO&lt;&gt;"manual",$M109&lt;&gt;$A$15)),
        IF(Import.TipoArredondamento&lt;&gt;"TransfereGOV",
              ROUND(OFFSET($P109,0,BA$13),15-13*ORÇAMENTO!$AF$7)/$H109*OFFSET(ORÇAMENTO!$X$15,ROW(BA109)-ROW(BA$15),0),
              ROUND(ROUND(OFFSET($P109,0,BA$13),15-13*ORÇAMENTO!$AF$7)*OFFSET(ORÇAMENTO!$W$15,ROW(BA109)-ROW(BA$15),0),15-13*ORÇAMENTO!$AF$11)),
         0)</f>
        <v>0</v>
      </c>
      <c r="BC109" s="171">
        <f ca="1">IF(OR($D109&lt;&gt;"Serviço",AND(AUTOEVENTO="Manual",$M109=$A$15)),0,
         IF(OFFSET(CRONOPLE!$F$15,$M109-$A$15,BC$13)=0,10^12,OFFSET(CRONOPLE!$F$15,$M109-$A$15,BC$13)))</f>
        <v>0</v>
      </c>
      <c r="BD109" s="171">
        <f ca="1">IF(OR($D109&lt;&gt;"Serviço",AND(AUTOEVENTO="Manual",$M109=$A$15)),0,
         IF(OFFSET(CRONOPLE!$F$15,$M109-$A$15,BD$13)=0,10^12,OFFSET(CRONOPLE!$F$15,$M109-$A$15,BD$13)))</f>
        <v>0</v>
      </c>
      <c r="BE109" s="171">
        <f ca="1">IF(OR($D109&lt;&gt;"Serviço",AND(AUTOEVENTO="Manual",$M109=$A$15)),0,
         IF(OFFSET(CRONOPLE!$F$15,$M109-$A$15,BE$13)=0,10^12,OFFSET(CRONOPLE!$F$15,$M109-$A$15,BE$13)))</f>
        <v>0</v>
      </c>
      <c r="BF109" s="171">
        <f ca="1">IF(OR($D109&lt;&gt;"Serviço",AND(AUTOEVENTO="Manual",$M109=$A$15)),0,
         IF(OFFSET(CRONOPLE!$F$15,$M109-$A$15,BF$13)=0,10^12,OFFSET(CRONOPLE!$F$15,$M109-$A$15,BF$13)))</f>
        <v>0</v>
      </c>
      <c r="BG109" s="171">
        <f ca="1">IF(OR($D109&lt;&gt;"Serviço",AND(AUTOEVENTO="Manual",$M109=$A$15)),0,
         IF(OFFSET(CRONOPLE!$F$15,$M109-$A$15,BG$13)=0,10^12,OFFSET(CRONOPLE!$F$15,$M109-$A$15,BG$13)))</f>
        <v>0</v>
      </c>
      <c r="BH109" s="171">
        <f ca="1">IF(OR($D109&lt;&gt;"Serviço",AND(AUTOEVENTO="Manual",$M109=$A$15)),0,
         IF(OFFSET(CRONOPLE!$F$15,$M109-$A$15,BH$13)=0,10^12,OFFSET(CRONOPLE!$F$15,$M109-$A$15,BH$13)))</f>
        <v>0</v>
      </c>
      <c r="BI109" s="171">
        <f ca="1">IF(OR($D109&lt;&gt;"Serviço",AND(AUTOEVENTO="Manual",$M109=$A$15)),0,
         IF(OFFSET(CRONOPLE!$F$15,$M109-$A$15,BI$13)=0,10^12,OFFSET(CRONOPLE!$F$15,$M109-$A$15,BI$13)))</f>
        <v>0</v>
      </c>
      <c r="BJ109" s="171">
        <f ca="1">IF(OR($D109&lt;&gt;"Serviço",AND(AUTOEVENTO="Manual",$M109=$A$15)),0,
         IF(OFFSET(CRONOPLE!$F$15,$M109-$A$15,BJ$13)=0,10^12,OFFSET(CRONOPLE!$F$15,$M109-$A$15,BJ$13)))</f>
        <v>0</v>
      </c>
      <c r="BK109" s="171">
        <f ca="1">IF(OR($D109&lt;&gt;"Serviço",AND(AUTOEVENTO="Manual",$M109=$A$15)),0,
         IF(OFFSET(CRONOPLE!$F$15,$M109-$A$15,BK$13)=0,10^12,OFFSET(CRONOPLE!$F$15,$M109-$A$15,BK$13)))</f>
        <v>0</v>
      </c>
      <c r="BL109" s="171">
        <f ca="1">IF(OR($D109&lt;&gt;"Serviço",AND(AUTOEVENTO="Manual",$M109=$A$15)),0,
         IF(OFFSET(CRONOPLE!$F$15,$M109-$A$15,BL$13)=0,10^12,OFFSET(CRONOPLE!$F$15,$M109-$A$15,BL$13)))</f>
        <v>0</v>
      </c>
      <c r="BM109" s="171">
        <f ca="1">IF(OR($D109&lt;&gt;"Serviço",AND(AUTOEVENTO="Manual",$M109=$A$15)),0,
         IF(OFFSET(CRONOPLE!$F$15,$M109-$A$15,BM$13)=0,10^12,OFFSET(CRONOPLE!$F$15,$M109-$A$15,BM$13)))</f>
        <v>0</v>
      </c>
      <c r="BN109" s="171">
        <f ca="1">IF(OR($D109&lt;&gt;"Serviço",AND(AUTOEVENTO="Manual",$M109=$A$15)),0,
         IF(OFFSET(CRONOPLE!$F$15,$M109-$A$15,BN$13)=0,10^12,OFFSET(CRONOPLE!$F$15,$M109-$A$15,BN$13)))</f>
        <v>0</v>
      </c>
      <c r="BO109" s="171">
        <f ca="1">IF(OR($D109&lt;&gt;"Serviço",AND(AUTOEVENTO="Manual",$M109=$A$15)),0,
         IF(OFFSET(CRONOPLE!$F$15,$M109-$A$15,BO$13)=0,10^12,OFFSET(CRONOPLE!$F$15,$M109-$A$15,BO$13)))</f>
        <v>0</v>
      </c>
      <c r="BP109" s="171">
        <f ca="1">IF(OR($D109&lt;&gt;"Serviço",AND(AUTOEVENTO="Manual",$M109=$A$15)),0,
         IF(OFFSET(CRONOPLE!$F$15,$M109-$A$15,BP$13)=0,10^12,OFFSET(CRONOPLE!$F$15,$M109-$A$15,BP$13)))</f>
        <v>0</v>
      </c>
      <c r="BQ109" s="171">
        <f ca="1">IF(OR($D109&lt;&gt;"Serviço",AND(AUTOEVENTO="Manual",$M109=$A$15)),0,
         IF(OFFSET(CRONOPLE!$F$15,$M109-$A$15,BQ$13)=0,10^12,OFFSET(CRONOPLE!$F$15,$M109-$A$15,BQ$13)))</f>
        <v>0</v>
      </c>
      <c r="BR109" s="171">
        <f ca="1">IF(OR($D109&lt;&gt;"Serviço",AND(AUTOEVENTO="Manual",$M109=$A$15)),0,
         IF(OFFSET(CRONOPLE!$F$15,$M109-$A$15,BR$13)=0,10^12,OFFSET(CRONOPLE!$F$15,$M109-$A$15,BR$13)))</f>
        <v>0</v>
      </c>
      <c r="BS109" s="171">
        <f ca="1">IF(OR($D109&lt;&gt;"Serviço",AND(AUTOEVENTO="Manual",$M109=$A$15)),0,
         IF(OFFSET(CRONOPLE!$F$15,$M109-$A$15,BS$13)=0,10^12,OFFSET(CRONOPLE!$F$15,$M109-$A$15,BS$13)))</f>
        <v>0</v>
      </c>
      <c r="BT109" s="171">
        <f ca="1">IF(OR($D109&lt;&gt;"Serviço",AND(AUTOEVENTO="Manual",$M109=$A$15)),0,
         IF(OFFSET(CRONOPLE!$F$15,$M109-$A$15,BT$13)=0,10^12,OFFSET(CRONOPLE!$F$15,$M109-$A$15,BT$13)))</f>
        <v>0</v>
      </c>
      <c r="BV109" s="172">
        <f t="array" aca="1" ref="BV109" ca="1">IF(OR($D109&lt;&gt;"Serviço",AND(AUTOEVENTO="Manual",$M109=$A$15),$M109&gt;(ROW(PLE.lastrow)-ROW(PLE.firstrow))),0,
           IF(OFFSET(PLE!$G$15,$M109-$A$15,BV$13)="",10^12,OFFSET(PLE!$G$15,$M109-$A$15,BV$13)))</f>
        <v>0</v>
      </c>
      <c r="BW109" s="172">
        <f t="array" aca="1" ref="BW109" ca="1">IF(OR($D109&lt;&gt;"Serviço",AND(AUTOEVENTO="Manual",$M109=$A$15),$M109&gt;(ROW(PLE.lastrow)-ROW(PLE.firstrow))),0,
           IF(OFFSET(PLE!$G$15,$M109-$A$15,BW$13)="",10^12,OFFSET(PLE!$G$15,$M109-$A$15,BW$13)))</f>
        <v>0</v>
      </c>
      <c r="BX109" s="172">
        <f t="array" aca="1" ref="BX109" ca="1">IF(OR($D109&lt;&gt;"Serviço",AND(AUTOEVENTO="Manual",$M109=$A$15),$M109&gt;(ROW(PLE.lastrow)-ROW(PLE.firstrow))),0,
           IF(OFFSET(PLE!$G$15,$M109-$A$15,BX$13)="",10^12,OFFSET(PLE!$G$15,$M109-$A$15,BX$13)))</f>
        <v>0</v>
      </c>
      <c r="BY109" s="172">
        <f t="array" aca="1" ref="BY109" ca="1">IF(OR($D109&lt;&gt;"Serviço",AND(AUTOEVENTO="Manual",$M109=$A$15),$M109&gt;(ROW(PLE.lastrow)-ROW(PLE.firstrow))),0,
           IF(OFFSET(PLE!$G$15,$M109-$A$15,BY$13)="",10^12,OFFSET(PLE!$G$15,$M109-$A$15,BY$13)))</f>
        <v>0</v>
      </c>
      <c r="BZ109" s="172">
        <f t="array" aca="1" ref="BZ109" ca="1">IF(OR($D109&lt;&gt;"Serviço",AND(AUTOEVENTO="Manual",$M109=$A$15),$M109&gt;(ROW(PLE.lastrow)-ROW(PLE.firstrow))),0,
           IF(OFFSET(PLE!$G$15,$M109-$A$15,BZ$13)="",10^12,OFFSET(PLE!$G$15,$M109-$A$15,BZ$13)))</f>
        <v>0</v>
      </c>
      <c r="CA109" s="172">
        <f t="array" aca="1" ref="CA109" ca="1">IF(OR($D109&lt;&gt;"Serviço",AND(AUTOEVENTO="Manual",$M109=$A$15),$M109&gt;(ROW(PLE.lastrow)-ROW(PLE.firstrow))),0,
           IF(OFFSET(PLE!$G$15,$M109-$A$15,CA$13)="",10^12,OFFSET(PLE!$G$15,$M109-$A$15,CA$13)))</f>
        <v>0</v>
      </c>
      <c r="CB109" s="172">
        <f t="array" aca="1" ref="CB109" ca="1">IF(OR($D109&lt;&gt;"Serviço",AND(AUTOEVENTO="Manual",$M109=$A$15),$M109&gt;(ROW(PLE.lastrow)-ROW(PLE.firstrow))),0,
           IF(OFFSET(PLE!$G$15,$M109-$A$15,CB$13)="",10^12,OFFSET(PLE!$G$15,$M109-$A$15,CB$13)))</f>
        <v>0</v>
      </c>
      <c r="CC109" s="172">
        <f t="array" aca="1" ref="CC109" ca="1">IF(OR($D109&lt;&gt;"Serviço",AND(AUTOEVENTO="Manual",$M109=$A$15),$M109&gt;(ROW(PLE.lastrow)-ROW(PLE.firstrow))),0,
           IF(OFFSET(PLE!$G$15,$M109-$A$15,CC$13)="",10^12,OFFSET(PLE!$G$15,$M109-$A$15,CC$13)))</f>
        <v>0</v>
      </c>
      <c r="CD109" s="172">
        <f t="array" aca="1" ref="CD109" ca="1">IF(OR($D109&lt;&gt;"Serviço",AND(AUTOEVENTO="Manual",$M109=$A$15),$M109&gt;(ROW(PLE.lastrow)-ROW(PLE.firstrow))),0,
           IF(OFFSET(PLE!$G$15,$M109-$A$15,CD$13)="",10^12,OFFSET(PLE!$G$15,$M109-$A$15,CD$13)))</f>
        <v>0</v>
      </c>
      <c r="CE109" s="172">
        <f t="array" aca="1" ref="CE109" ca="1">IF(OR($D109&lt;&gt;"Serviço",AND(AUTOEVENTO="Manual",$M109=$A$15),$M109&gt;(ROW(PLE.lastrow)-ROW(PLE.firstrow))),0,
           IF(OFFSET(PLE!$G$15,$M109-$A$15,CE$13)="",10^12,OFFSET(PLE!$G$15,$M109-$A$15,CE$13)))</f>
        <v>0</v>
      </c>
      <c r="CF109" s="172">
        <f t="array" aca="1" ref="CF109" ca="1">IF(OR($D109&lt;&gt;"Serviço",AND(AUTOEVENTO="Manual",$M109=$A$15),$M109&gt;(ROW(PLE.lastrow)-ROW(PLE.firstrow))),0,
           IF(OFFSET(PLE!$G$15,$M109-$A$15,CF$13)="",10^12,OFFSET(PLE!$G$15,$M109-$A$15,CF$13)))</f>
        <v>0</v>
      </c>
      <c r="CG109" s="172">
        <f t="array" aca="1" ref="CG109" ca="1">IF(OR($D109&lt;&gt;"Serviço",AND(AUTOEVENTO="Manual",$M109=$A$15),$M109&gt;(ROW(PLE.lastrow)-ROW(PLE.firstrow))),0,
           IF(OFFSET(PLE!$G$15,$M109-$A$15,CG$13)="",10^12,OFFSET(PLE!$G$15,$M109-$A$15,CG$13)))</f>
        <v>0</v>
      </c>
      <c r="CH109" s="172">
        <f t="array" aca="1" ref="CH109" ca="1">IF(OR($D109&lt;&gt;"Serviço",AND(AUTOEVENTO="Manual",$M109=$A$15),$M109&gt;(ROW(PLE.lastrow)-ROW(PLE.firstrow))),0,
           IF(OFFSET(PLE!$G$15,$M109-$A$15,CH$13)="",10^12,OFFSET(PLE!$G$15,$M109-$A$15,CH$13)))</f>
        <v>0</v>
      </c>
      <c r="CI109" s="172">
        <f t="array" aca="1" ref="CI109" ca="1">IF(OR($D109&lt;&gt;"Serviço",AND(AUTOEVENTO="Manual",$M109=$A$15),$M109&gt;(ROW(PLE.lastrow)-ROW(PLE.firstrow))),0,
           IF(OFFSET(PLE!$G$15,$M109-$A$15,CI$13)="",10^12,OFFSET(PLE!$G$15,$M109-$A$15,CI$13)))</f>
        <v>0</v>
      </c>
      <c r="CJ109" s="172">
        <f t="array" aca="1" ref="CJ109" ca="1">IF(OR($D109&lt;&gt;"Serviço",AND(AUTOEVENTO="Manual",$M109=$A$15),$M109&gt;(ROW(PLE.lastrow)-ROW(PLE.firstrow))),0,
           IF(OFFSET(PLE!$G$15,$M109-$A$15,CJ$13)="",10^12,OFFSET(PLE!$G$15,$M109-$A$15,CJ$13)))</f>
        <v>0</v>
      </c>
      <c r="CK109" s="172">
        <f t="array" aca="1" ref="CK109" ca="1">IF(OR($D109&lt;&gt;"Serviço",AND(AUTOEVENTO="Manual",$M109=$A$15),$M109&gt;(ROW(PLE.lastrow)-ROW(PLE.firstrow))),0,
           IF(OFFSET(PLE!$G$15,$M109-$A$15,CK$13)="",10^12,OFFSET(PLE!$G$15,$M109-$A$15,CK$13)))</f>
        <v>0</v>
      </c>
      <c r="CL109" s="172">
        <f t="array" aca="1" ref="CL109" ca="1">IF(OR($D109&lt;&gt;"Serviço",AND(AUTOEVENTO="Manual",$M109=$A$15),$M109&gt;(ROW(PLE.lastrow)-ROW(PLE.firstrow))),0,
           IF(OFFSET(PLE!$G$15,$M109-$A$15,CL$13)="",10^12,OFFSET(PLE!$G$15,$M109-$A$15,CL$13)))</f>
        <v>0</v>
      </c>
      <c r="CM109" s="172">
        <f t="array" aca="1" ref="CM109" ca="1">IF(OR($D109&lt;&gt;"Serviço",AND(AUTOEVENTO="Manual",$M109=$A$15),$M109&gt;(ROW(PLE.lastrow)-ROW(PLE.firstrow))),0,
           IF(OFFSET(PLE!$G$15,$M109-$A$15,CM$13)="",10^12,OFFSET(PLE!$G$15,$M109-$A$15,CM$13)))</f>
        <v>0</v>
      </c>
    </row>
    <row r="110" spans="1:91" s="696" customFormat="1" ht="38.25" x14ac:dyDescent="0.2">
      <c r="A110" s="694">
        <f t="shared" ca="1" si="45"/>
        <v>25</v>
      </c>
      <c r="B110" s="694" t="str">
        <f ca="1">OFFSET(ORÇAMENTO!C$15,$L110,0)</f>
        <v>S</v>
      </c>
      <c r="C110" s="694" t="str">
        <f ca="1">OFFSET(ORÇAMENTO!L$15,$L110,0)</f>
        <v>F</v>
      </c>
      <c r="D110" s="116" t="str">
        <f ca="1">OFFSET(ORÇAMENTO!N$15,$L110,0)</f>
        <v>Serviço</v>
      </c>
      <c r="E110" s="117" t="str">
        <f ca="1">OFFSET(ORÇAMENTO!O$15,$L110,0)</f>
        <v>1.19.1.</v>
      </c>
      <c r="F110" s="163" t="str">
        <f ca="1">OFFSET(ORÇAMENTO!R$15,$L110,0)</f>
        <v>LIXAMENTO DE MADEIRA PARA APLICAÇÃO DE FUNDO OU PINTURA. AF_01/2021</v>
      </c>
      <c r="G110" s="164" t="str">
        <f ca="1">IF($D110&lt;&gt;"Serviço","",OFFSET(ORÇAMENTO!S$15,$L110,0))</f>
        <v>M2</v>
      </c>
      <c r="H110" s="122">
        <f t="array" aca="1" ref="H110" ca="1">IF($D110&lt;&gt;"Serviço",0,IF(ACOMPANHAMENTO="BM",ROUND(OFFSET(ORÇAMENTO!AJ$15,$L110,0),15-13*ORÇAMENTO!$AF$7),IF(IFERROR(CÁLCULO.FrentesPreenchidas,0)=0,0,SUM(ROUND(OFFSET($P110,0,1,1,CÁLCULO.FrentesPreenchidas),15-13*ORÇAMENTO!$AF$7)))))</f>
        <v>420</v>
      </c>
      <c r="I110" s="467" t="s">
        <v>1269</v>
      </c>
      <c r="J110" s="653" t="str">
        <f t="array" aca="1" ref="J110" ca="1">IF(OR(B110&lt;&gt;"S",CÁLCULO.FrentesPreenchidas=0),"",IF(AND(ACOMPANHAMENTO="PLE",AUTOEVENTO="Manual",OR(H110&gt;0,ORÇAMENTO!AC110="QUANT."),OR(K110="",M110=0,N110="")),"►E",IF(AND(ACOMPANHAMENTO="PLE",ORÇAMENTO!AC110="QUANT."),"►Q",IF(AND(ACOMPANHAMENTO="PLE",H110&lt;&gt;SUMPRODUCT(($Q$1:$AI$1=1)*ROUND(Q110:AI110,15))),"►S",IF(AND(COUNTIF($P$11:$AI$11,"▼")=0,H110&gt;0,I110=""),"◄M","")))))</f>
        <v/>
      </c>
      <c r="K110" s="654" t="s">
        <v>1417</v>
      </c>
      <c r="L110" s="165">
        <f t="shared" ca="1" si="46"/>
        <v>95</v>
      </c>
      <c r="M110" s="166">
        <f ca="1">IF($D110&lt;&gt;"Serviço","",
          IF(AUTOEVENTO="manual",$A110,
                IF(ISERROR(MATCH($A110,$A$15:OFFSET($A110,-1,0),0)),MAX($M$15:OFFSET(M110,-1,0))+1,
                      INDEX($M$15:OFFSET(M110,-1,0),MATCH($A110,$A$15:OFFSET($A110,-1,0),0)))))</f>
        <v>25</v>
      </c>
      <c r="N110" s="167" t="str">
        <f ca="1">IF($D110&lt;&gt;"Serviço","",
         IF(AUTOEVENTO="Manual",
                IF($A110=0,"&lt;-- defina o número do agrupador",
                       OFFSET(EVENTOS!$D$15,$A110-$A$15,0)),
                OFFSET($F$15,$A110,0)))</f>
        <v>PINTURA DE ESQUADRIA DE MADEIRA</v>
      </c>
      <c r="O110" s="168"/>
      <c r="Q110" s="169">
        <f>21*5</f>
        <v>105</v>
      </c>
      <c r="R110" s="169">
        <f t="shared" ref="R110:T111" si="68">21*5</f>
        <v>105</v>
      </c>
      <c r="S110" s="169">
        <f t="shared" si="68"/>
        <v>105</v>
      </c>
      <c r="T110" s="169">
        <f t="shared" si="68"/>
        <v>105</v>
      </c>
      <c r="U110" s="169"/>
      <c r="V110" s="169"/>
      <c r="W110" s="169"/>
      <c r="X110" s="169"/>
      <c r="Y110" s="169"/>
      <c r="Z110" s="170"/>
      <c r="AA110" s="169"/>
      <c r="AB110" s="169"/>
      <c r="AC110" s="169"/>
      <c r="AD110" s="169"/>
      <c r="AE110" s="169"/>
      <c r="AF110" s="169"/>
      <c r="AG110" s="169"/>
      <c r="AH110" s="170"/>
      <c r="AJ110" s="452">
        <f ca="1">IF(AND($D110="Serviço",AJ$12&lt;&gt;0,$H110&gt;0,OR(AUTOEVENTO&lt;&gt;"manual",$M110&lt;&gt;$A$15)),
        IF(Import.TipoArredondamento&lt;&gt;"TransfereGOV",
              ROUND(OFFSET($P110,0,AJ$13),15-13*ORÇAMENTO!$AF$7)/$H110*OFFSET(ORÇAMENTO!$X$15,ROW(AJ110)-ROW(AJ$15),0),
              ROUND(ROUND(OFFSET($P110,0,AJ$13),15-13*ORÇAMENTO!$AF$7)*OFFSET(ORÇAMENTO!$W$15,ROW(AJ110)-ROW(AJ$15),0),15-13*ORÇAMENTO!$AF$11)),
         0)</f>
        <v>270.89999999999998</v>
      </c>
      <c r="AK110" s="452">
        <f ca="1">IF(AND($D110="Serviço",AK$12&lt;&gt;0,$H110&gt;0,OR(AUTOEVENTO&lt;&gt;"manual",$M110&lt;&gt;$A$15)),
        IF(Import.TipoArredondamento&lt;&gt;"TransfereGOV",
              ROUND(OFFSET($P110,0,AK$13),15-13*ORÇAMENTO!$AF$7)/$H110*OFFSET(ORÇAMENTO!$X$15,ROW(AK110)-ROW(AK$15),0),
              ROUND(ROUND(OFFSET($P110,0,AK$13),15-13*ORÇAMENTO!$AF$7)*OFFSET(ORÇAMENTO!$W$15,ROW(AK110)-ROW(AK$15),0),15-13*ORÇAMENTO!$AF$11)),
         0)</f>
        <v>270.89999999999998</v>
      </c>
      <c r="AL110" s="452">
        <f ca="1">IF(AND($D110="Serviço",AL$12&lt;&gt;0,$H110&gt;0,OR(AUTOEVENTO&lt;&gt;"manual",$M110&lt;&gt;$A$15)),
        IF(Import.TipoArredondamento&lt;&gt;"TransfereGOV",
              ROUND(OFFSET($P110,0,AL$13),15-13*ORÇAMENTO!$AF$7)/$H110*OFFSET(ORÇAMENTO!$X$15,ROW(AL110)-ROW(AL$15),0),
              ROUND(ROUND(OFFSET($P110,0,AL$13),15-13*ORÇAMENTO!$AF$7)*OFFSET(ORÇAMENTO!$W$15,ROW(AL110)-ROW(AL$15),0),15-13*ORÇAMENTO!$AF$11)),
         0)</f>
        <v>270.89999999999998</v>
      </c>
      <c r="AM110" s="452">
        <f ca="1">IF(AND($D110="Serviço",AM$12&lt;&gt;0,$H110&gt;0,OR(AUTOEVENTO&lt;&gt;"manual",$M110&lt;&gt;$A$15)),
        IF(Import.TipoArredondamento&lt;&gt;"TransfereGOV",
              ROUND(OFFSET($P110,0,AM$13),15-13*ORÇAMENTO!$AF$7)/$H110*OFFSET(ORÇAMENTO!$X$15,ROW(AM110)-ROW(AM$15),0),
              ROUND(ROUND(OFFSET($P110,0,AM$13),15-13*ORÇAMENTO!$AF$7)*OFFSET(ORÇAMENTO!$W$15,ROW(AM110)-ROW(AM$15),0),15-13*ORÇAMENTO!$AF$11)),
         0)</f>
        <v>270.89999999999998</v>
      </c>
      <c r="AN110" s="452">
        <f ca="1">IF(AND($D110="Serviço",AN$12&lt;&gt;0,$H110&gt;0,OR(AUTOEVENTO&lt;&gt;"manual",$M110&lt;&gt;$A$15)),
        IF(Import.TipoArredondamento&lt;&gt;"TransfereGOV",
              ROUND(OFFSET($P110,0,AN$13),15-13*ORÇAMENTO!$AF$7)/$H110*OFFSET(ORÇAMENTO!$X$15,ROW(AN110)-ROW(AN$15),0),
              ROUND(ROUND(OFFSET($P110,0,AN$13),15-13*ORÇAMENTO!$AF$7)*OFFSET(ORÇAMENTO!$W$15,ROW(AN110)-ROW(AN$15),0),15-13*ORÇAMENTO!$AF$11)),
         0)</f>
        <v>0</v>
      </c>
      <c r="AO110" s="452">
        <f ca="1">IF(AND($D110="Serviço",AO$12&lt;&gt;0,$H110&gt;0,OR(AUTOEVENTO&lt;&gt;"manual",$M110&lt;&gt;$A$15)),
        IF(Import.TipoArredondamento&lt;&gt;"TransfereGOV",
              ROUND(OFFSET($P110,0,AO$13),15-13*ORÇAMENTO!$AF$7)/$H110*OFFSET(ORÇAMENTO!$X$15,ROW(AO110)-ROW(AO$15),0),
              ROUND(ROUND(OFFSET($P110,0,AO$13),15-13*ORÇAMENTO!$AF$7)*OFFSET(ORÇAMENTO!$W$15,ROW(AO110)-ROW(AO$15),0),15-13*ORÇAMENTO!$AF$11)),
         0)</f>
        <v>0</v>
      </c>
      <c r="AP110" s="452">
        <f ca="1">IF(AND($D110="Serviço",AP$12&lt;&gt;0,$H110&gt;0,OR(AUTOEVENTO&lt;&gt;"manual",$M110&lt;&gt;$A$15)),
        IF(Import.TipoArredondamento&lt;&gt;"TransfereGOV",
              ROUND(OFFSET($P110,0,AP$13),15-13*ORÇAMENTO!$AF$7)/$H110*OFFSET(ORÇAMENTO!$X$15,ROW(AP110)-ROW(AP$15),0),
              ROUND(ROUND(OFFSET($P110,0,AP$13),15-13*ORÇAMENTO!$AF$7)*OFFSET(ORÇAMENTO!$W$15,ROW(AP110)-ROW(AP$15),0),15-13*ORÇAMENTO!$AF$11)),
         0)</f>
        <v>0</v>
      </c>
      <c r="AQ110" s="452">
        <f ca="1">IF(AND($D110="Serviço",AQ$12&lt;&gt;0,$H110&gt;0,OR(AUTOEVENTO&lt;&gt;"manual",$M110&lt;&gt;$A$15)),
        IF(Import.TipoArredondamento&lt;&gt;"TransfereGOV",
              ROUND(OFFSET($P110,0,AQ$13),15-13*ORÇAMENTO!$AF$7)/$H110*OFFSET(ORÇAMENTO!$X$15,ROW(AQ110)-ROW(AQ$15),0),
              ROUND(ROUND(OFFSET($P110,0,AQ$13),15-13*ORÇAMENTO!$AF$7)*OFFSET(ORÇAMENTO!$W$15,ROW(AQ110)-ROW(AQ$15),0),15-13*ORÇAMENTO!$AF$11)),
         0)</f>
        <v>0</v>
      </c>
      <c r="AR110" s="452">
        <f ca="1">IF(AND($D110="Serviço",AR$12&lt;&gt;0,$H110&gt;0,OR(AUTOEVENTO&lt;&gt;"manual",$M110&lt;&gt;$A$15)),
        IF(Import.TipoArredondamento&lt;&gt;"TransfereGOV",
              ROUND(OFFSET($P110,0,AR$13),15-13*ORÇAMENTO!$AF$7)/$H110*OFFSET(ORÇAMENTO!$X$15,ROW(AR110)-ROW(AR$15),0),
              ROUND(ROUND(OFFSET($P110,0,AR$13),15-13*ORÇAMENTO!$AF$7)*OFFSET(ORÇAMENTO!$W$15,ROW(AR110)-ROW(AR$15),0),15-13*ORÇAMENTO!$AF$11)),
         0)</f>
        <v>0</v>
      </c>
      <c r="AS110" s="452">
        <f ca="1">IF(AND($D110="Serviço",AS$12&lt;&gt;0,$H110&gt;0,OR(AUTOEVENTO&lt;&gt;"manual",$M110&lt;&gt;$A$15)),
        IF(Import.TipoArredondamento&lt;&gt;"TransfereGOV",
              ROUND(OFFSET($P110,0,AS$13),15-13*ORÇAMENTO!$AF$7)/$H110*OFFSET(ORÇAMENTO!$X$15,ROW(AS110)-ROW(AS$15),0),
              ROUND(ROUND(OFFSET($P110,0,AS$13),15-13*ORÇAMENTO!$AF$7)*OFFSET(ORÇAMENTO!$W$15,ROW(AS110)-ROW(AS$15),0),15-13*ORÇAMENTO!$AF$11)),
         0)</f>
        <v>0</v>
      </c>
      <c r="AT110" s="452">
        <f ca="1">IF(AND($D110="Serviço",AT$12&lt;&gt;0,$H110&gt;0,OR(AUTOEVENTO&lt;&gt;"manual",$M110&lt;&gt;$A$15)),
        IF(Import.TipoArredondamento&lt;&gt;"TransfereGOV",
              ROUND(OFFSET($P110,0,AT$13),15-13*ORÇAMENTO!$AF$7)/$H110*OFFSET(ORÇAMENTO!$X$15,ROW(AT110)-ROW(AT$15),0),
              ROUND(ROUND(OFFSET($P110,0,AT$13),15-13*ORÇAMENTO!$AF$7)*OFFSET(ORÇAMENTO!$W$15,ROW(AT110)-ROW(AT$15),0),15-13*ORÇAMENTO!$AF$11)),
         0)</f>
        <v>0</v>
      </c>
      <c r="AU110" s="452">
        <f ca="1">IF(AND($D110="Serviço",AU$12&lt;&gt;0,$H110&gt;0,OR(AUTOEVENTO&lt;&gt;"manual",$M110&lt;&gt;$A$15)),
        IF(Import.TipoArredondamento&lt;&gt;"TransfereGOV",
              ROUND(OFFSET($P110,0,AU$13),15-13*ORÇAMENTO!$AF$7)/$H110*OFFSET(ORÇAMENTO!$X$15,ROW(AU110)-ROW(AU$15),0),
              ROUND(ROUND(OFFSET($P110,0,AU$13),15-13*ORÇAMENTO!$AF$7)*OFFSET(ORÇAMENTO!$W$15,ROW(AU110)-ROW(AU$15),0),15-13*ORÇAMENTO!$AF$11)),
         0)</f>
        <v>0</v>
      </c>
      <c r="AV110" s="452">
        <f ca="1">IF(AND($D110="Serviço",AV$12&lt;&gt;0,$H110&gt;0,OR(AUTOEVENTO&lt;&gt;"manual",$M110&lt;&gt;$A$15)),
        IF(Import.TipoArredondamento&lt;&gt;"TransfereGOV",
              ROUND(OFFSET($P110,0,AV$13),15-13*ORÇAMENTO!$AF$7)/$H110*OFFSET(ORÇAMENTO!$X$15,ROW(AV110)-ROW(AV$15),0),
              ROUND(ROUND(OFFSET($P110,0,AV$13),15-13*ORÇAMENTO!$AF$7)*OFFSET(ORÇAMENTO!$W$15,ROW(AV110)-ROW(AV$15),0),15-13*ORÇAMENTO!$AF$11)),
         0)</f>
        <v>0</v>
      </c>
      <c r="AW110" s="452">
        <f ca="1">IF(AND($D110="Serviço",AW$12&lt;&gt;0,$H110&gt;0,OR(AUTOEVENTO&lt;&gt;"manual",$M110&lt;&gt;$A$15)),
        IF(Import.TipoArredondamento&lt;&gt;"TransfereGOV",
              ROUND(OFFSET($P110,0,AW$13),15-13*ORÇAMENTO!$AF$7)/$H110*OFFSET(ORÇAMENTO!$X$15,ROW(AW110)-ROW(AW$15),0),
              ROUND(ROUND(OFFSET($P110,0,AW$13),15-13*ORÇAMENTO!$AF$7)*OFFSET(ORÇAMENTO!$W$15,ROW(AW110)-ROW(AW$15),0),15-13*ORÇAMENTO!$AF$11)),
         0)</f>
        <v>0</v>
      </c>
      <c r="AX110" s="452">
        <f ca="1">IF(AND($D110="Serviço",AX$12&lt;&gt;0,$H110&gt;0,OR(AUTOEVENTO&lt;&gt;"manual",$M110&lt;&gt;$A$15)),
        IF(Import.TipoArredondamento&lt;&gt;"TransfereGOV",
              ROUND(OFFSET($P110,0,AX$13),15-13*ORÇAMENTO!$AF$7)/$H110*OFFSET(ORÇAMENTO!$X$15,ROW(AX110)-ROW(AX$15),0),
              ROUND(ROUND(OFFSET($P110,0,AX$13),15-13*ORÇAMENTO!$AF$7)*OFFSET(ORÇAMENTO!$W$15,ROW(AX110)-ROW(AX$15),0),15-13*ORÇAMENTO!$AF$11)),
         0)</f>
        <v>0</v>
      </c>
      <c r="AY110" s="452">
        <f ca="1">IF(AND($D110="Serviço",AY$12&lt;&gt;0,$H110&gt;0,OR(AUTOEVENTO&lt;&gt;"manual",$M110&lt;&gt;$A$15)),
        IF(Import.TipoArredondamento&lt;&gt;"TransfereGOV",
              ROUND(OFFSET($P110,0,AY$13),15-13*ORÇAMENTO!$AF$7)/$H110*OFFSET(ORÇAMENTO!$X$15,ROW(AY110)-ROW(AY$15),0),
              ROUND(ROUND(OFFSET($P110,0,AY$13),15-13*ORÇAMENTO!$AF$7)*OFFSET(ORÇAMENTO!$W$15,ROW(AY110)-ROW(AY$15),0),15-13*ORÇAMENTO!$AF$11)),
         0)</f>
        <v>0</v>
      </c>
      <c r="AZ110" s="452">
        <f ca="1">IF(AND($D110="Serviço",AZ$12&lt;&gt;0,$H110&gt;0,OR(AUTOEVENTO&lt;&gt;"manual",$M110&lt;&gt;$A$15)),
        IF(Import.TipoArredondamento&lt;&gt;"TransfereGOV",
              ROUND(OFFSET($P110,0,AZ$13),15-13*ORÇAMENTO!$AF$7)/$H110*OFFSET(ORÇAMENTO!$X$15,ROW(AZ110)-ROW(AZ$15),0),
              ROUND(ROUND(OFFSET($P110,0,AZ$13),15-13*ORÇAMENTO!$AF$7)*OFFSET(ORÇAMENTO!$W$15,ROW(AZ110)-ROW(AZ$15),0),15-13*ORÇAMENTO!$AF$11)),
         0)</f>
        <v>0</v>
      </c>
      <c r="BA110" s="452">
        <f ca="1">IF(AND($D110="Serviço",BA$12&lt;&gt;0,$H110&gt;0,OR(AUTOEVENTO&lt;&gt;"manual",$M110&lt;&gt;$A$15)),
        IF(Import.TipoArredondamento&lt;&gt;"TransfereGOV",
              ROUND(OFFSET($P110,0,BA$13),15-13*ORÇAMENTO!$AF$7)/$H110*OFFSET(ORÇAMENTO!$X$15,ROW(BA110)-ROW(BA$15),0),
              ROUND(ROUND(OFFSET($P110,0,BA$13),15-13*ORÇAMENTO!$AF$7)*OFFSET(ORÇAMENTO!$W$15,ROW(BA110)-ROW(BA$15),0),15-13*ORÇAMENTO!$AF$11)),
         0)</f>
        <v>0</v>
      </c>
      <c r="BC110" s="171">
        <f ca="1">IF(OR($D110&lt;&gt;"Serviço",AND(AUTOEVENTO="Manual",$M110=$A$15)),0,
         IF(OFFSET(CRONOPLE!$F$15,$M110-$A$15,BC$13)=0,10^12,OFFSET(CRONOPLE!$F$15,$M110-$A$15,BC$13)))</f>
        <v>8</v>
      </c>
      <c r="BD110" s="171">
        <f ca="1">IF(OR($D110&lt;&gt;"Serviço",AND(AUTOEVENTO="Manual",$M110=$A$15)),0,
         IF(OFFSET(CRONOPLE!$F$15,$M110-$A$15,BD$13)=0,10^12,OFFSET(CRONOPLE!$F$15,$M110-$A$15,BD$13)))</f>
        <v>8</v>
      </c>
      <c r="BE110" s="171">
        <f ca="1">IF(OR($D110&lt;&gt;"Serviço",AND(AUTOEVENTO="Manual",$M110=$A$15)),0,
         IF(OFFSET(CRONOPLE!$F$15,$M110-$A$15,BE$13)=0,10^12,OFFSET(CRONOPLE!$F$15,$M110-$A$15,BE$13)))</f>
        <v>9</v>
      </c>
      <c r="BF110" s="171">
        <f ca="1">IF(OR($D110&lt;&gt;"Serviço",AND(AUTOEVENTO="Manual",$M110=$A$15)),0,
         IF(OFFSET(CRONOPLE!$F$15,$M110-$A$15,BF$13)=0,10^12,OFFSET(CRONOPLE!$F$15,$M110-$A$15,BF$13)))</f>
        <v>9</v>
      </c>
      <c r="BG110" s="171">
        <f ca="1">IF(OR($D110&lt;&gt;"Serviço",AND(AUTOEVENTO="Manual",$M110=$A$15)),0,
         IF(OFFSET(CRONOPLE!$F$15,$M110-$A$15,BG$13)=0,10^12,OFFSET(CRONOPLE!$F$15,$M110-$A$15,BG$13)))</f>
        <v>9</v>
      </c>
      <c r="BH110" s="171">
        <f ca="1">IF(OR($D110&lt;&gt;"Serviço",AND(AUTOEVENTO="Manual",$M110=$A$15)),0,
         IF(OFFSET(CRONOPLE!$F$15,$M110-$A$15,BH$13)=0,10^12,OFFSET(CRONOPLE!$F$15,$M110-$A$15,BH$13)))</f>
        <v>1000000000000</v>
      </c>
      <c r="BI110" s="171">
        <f ca="1">IF(OR($D110&lt;&gt;"Serviço",AND(AUTOEVENTO="Manual",$M110=$A$15)),0,
         IF(OFFSET(CRONOPLE!$F$15,$M110-$A$15,BI$13)=0,10^12,OFFSET(CRONOPLE!$F$15,$M110-$A$15,BI$13)))</f>
        <v>1000000000000</v>
      </c>
      <c r="BJ110" s="171">
        <f ca="1">IF(OR($D110&lt;&gt;"Serviço",AND(AUTOEVENTO="Manual",$M110=$A$15)),0,
         IF(OFFSET(CRONOPLE!$F$15,$M110-$A$15,BJ$13)=0,10^12,OFFSET(CRONOPLE!$F$15,$M110-$A$15,BJ$13)))</f>
        <v>1000000000000</v>
      </c>
      <c r="BK110" s="171">
        <f ca="1">IF(OR($D110&lt;&gt;"Serviço",AND(AUTOEVENTO="Manual",$M110=$A$15)),0,
         IF(OFFSET(CRONOPLE!$F$15,$M110-$A$15,BK$13)=0,10^12,OFFSET(CRONOPLE!$F$15,$M110-$A$15,BK$13)))</f>
        <v>9</v>
      </c>
      <c r="BL110" s="171">
        <f ca="1">IF(OR($D110&lt;&gt;"Serviço",AND(AUTOEVENTO="Manual",$M110=$A$15)),0,
         IF(OFFSET(CRONOPLE!$F$15,$M110-$A$15,BL$13)=0,10^12,OFFSET(CRONOPLE!$F$15,$M110-$A$15,BL$13)))</f>
        <v>1000000000000</v>
      </c>
      <c r="BM110" s="171">
        <f ca="1">IF(OR($D110&lt;&gt;"Serviço",AND(AUTOEVENTO="Manual",$M110=$A$15)),0,
         IF(OFFSET(CRONOPLE!$F$15,$M110-$A$15,BM$13)=0,10^12,OFFSET(CRONOPLE!$F$15,$M110-$A$15,BM$13)))</f>
        <v>1000000000000</v>
      </c>
      <c r="BN110" s="171">
        <f ca="1">IF(OR($D110&lt;&gt;"Serviço",AND(AUTOEVENTO="Manual",$M110=$A$15)),0,
         IF(OFFSET(CRONOPLE!$F$15,$M110-$A$15,BN$13)=0,10^12,OFFSET(CRONOPLE!$F$15,$M110-$A$15,BN$13)))</f>
        <v>1000000000000</v>
      </c>
      <c r="BO110" s="171">
        <f ca="1">IF(OR($D110&lt;&gt;"Serviço",AND(AUTOEVENTO="Manual",$M110=$A$15)),0,
         IF(OFFSET(CRONOPLE!$F$15,$M110-$A$15,BO$13)=0,10^12,OFFSET(CRONOPLE!$F$15,$M110-$A$15,BO$13)))</f>
        <v>1000000000000</v>
      </c>
      <c r="BP110" s="171">
        <f ca="1">IF(OR($D110&lt;&gt;"Serviço",AND(AUTOEVENTO="Manual",$M110=$A$15)),0,
         IF(OFFSET(CRONOPLE!$F$15,$M110-$A$15,BP$13)=0,10^12,OFFSET(CRONOPLE!$F$15,$M110-$A$15,BP$13)))</f>
        <v>1000000000000</v>
      </c>
      <c r="BQ110" s="171">
        <f ca="1">IF(OR($D110&lt;&gt;"Serviço",AND(AUTOEVENTO="Manual",$M110=$A$15)),0,
         IF(OFFSET(CRONOPLE!$F$15,$M110-$A$15,BQ$13)=0,10^12,OFFSET(CRONOPLE!$F$15,$M110-$A$15,BQ$13)))</f>
        <v>1000000000000</v>
      </c>
      <c r="BR110" s="171">
        <f ca="1">IF(OR($D110&lt;&gt;"Serviço",AND(AUTOEVENTO="Manual",$M110=$A$15)),0,
         IF(OFFSET(CRONOPLE!$F$15,$M110-$A$15,BR$13)=0,10^12,OFFSET(CRONOPLE!$F$15,$M110-$A$15,BR$13)))</f>
        <v>1000000000000</v>
      </c>
      <c r="BS110" s="171">
        <f ca="1">IF(OR($D110&lt;&gt;"Serviço",AND(AUTOEVENTO="Manual",$M110=$A$15)),0,
         IF(OFFSET(CRONOPLE!$F$15,$M110-$A$15,BS$13)=0,10^12,OFFSET(CRONOPLE!$F$15,$M110-$A$15,BS$13)))</f>
        <v>1000000000000</v>
      </c>
      <c r="BT110" s="171">
        <f ca="1">IF(OR($D110&lt;&gt;"Serviço",AND(AUTOEVENTO="Manual",$M110=$A$15)),0,
         IF(OFFSET(CRONOPLE!$F$15,$M110-$A$15,BT$13)=0,10^12,OFFSET(CRONOPLE!$F$15,$M110-$A$15,BT$13)))</f>
        <v>1000000000000</v>
      </c>
      <c r="BV110" s="172">
        <f t="array" aca="1" ref="BV110" ca="1">IF(OR($D110&lt;&gt;"Serviço",AND(AUTOEVENTO="Manual",$M110=$A$15),$M110&gt;(ROW(PLE.lastrow)-ROW(PLE.firstrow))),0,
           IF(OFFSET(PLE!$G$15,$M110-$A$15,BV$13)="",10^12,OFFSET(PLE!$G$15,$M110-$A$15,BV$13)))</f>
        <v>1000000000000</v>
      </c>
      <c r="BW110" s="172">
        <f t="array" aca="1" ref="BW110" ca="1">IF(OR($D110&lt;&gt;"Serviço",AND(AUTOEVENTO="Manual",$M110=$A$15),$M110&gt;(ROW(PLE.lastrow)-ROW(PLE.firstrow))),0,
           IF(OFFSET(PLE!$G$15,$M110-$A$15,BW$13)="",10^12,OFFSET(PLE!$G$15,$M110-$A$15,BW$13)))</f>
        <v>1000000000000</v>
      </c>
      <c r="BX110" s="172">
        <f t="array" aca="1" ref="BX110" ca="1">IF(OR($D110&lt;&gt;"Serviço",AND(AUTOEVENTO="Manual",$M110=$A$15),$M110&gt;(ROW(PLE.lastrow)-ROW(PLE.firstrow))),0,
           IF(OFFSET(PLE!$G$15,$M110-$A$15,BX$13)="",10^12,OFFSET(PLE!$G$15,$M110-$A$15,BX$13)))</f>
        <v>1000000000000</v>
      </c>
      <c r="BY110" s="172">
        <f t="array" aca="1" ref="BY110" ca="1">IF(OR($D110&lt;&gt;"Serviço",AND(AUTOEVENTO="Manual",$M110=$A$15),$M110&gt;(ROW(PLE.lastrow)-ROW(PLE.firstrow))),0,
           IF(OFFSET(PLE!$G$15,$M110-$A$15,BY$13)="",10^12,OFFSET(PLE!$G$15,$M110-$A$15,BY$13)))</f>
        <v>1000000000000</v>
      </c>
      <c r="BZ110" s="172">
        <f t="array" aca="1" ref="BZ110" ca="1">IF(OR($D110&lt;&gt;"Serviço",AND(AUTOEVENTO="Manual",$M110=$A$15),$M110&gt;(ROW(PLE.lastrow)-ROW(PLE.firstrow))),0,
           IF(OFFSET(PLE!$G$15,$M110-$A$15,BZ$13)="",10^12,OFFSET(PLE!$G$15,$M110-$A$15,BZ$13)))</f>
        <v>1000000000000</v>
      </c>
      <c r="CA110" s="172">
        <f t="array" aca="1" ref="CA110" ca="1">IF(OR($D110&lt;&gt;"Serviço",AND(AUTOEVENTO="Manual",$M110=$A$15),$M110&gt;(ROW(PLE.lastrow)-ROW(PLE.firstrow))),0,
           IF(OFFSET(PLE!$G$15,$M110-$A$15,CA$13)="",10^12,OFFSET(PLE!$G$15,$M110-$A$15,CA$13)))</f>
        <v>1000000000000</v>
      </c>
      <c r="CB110" s="172">
        <f t="array" aca="1" ref="CB110" ca="1">IF(OR($D110&lt;&gt;"Serviço",AND(AUTOEVENTO="Manual",$M110=$A$15),$M110&gt;(ROW(PLE.lastrow)-ROW(PLE.firstrow))),0,
           IF(OFFSET(PLE!$G$15,$M110-$A$15,CB$13)="",10^12,OFFSET(PLE!$G$15,$M110-$A$15,CB$13)))</f>
        <v>1000000000000</v>
      </c>
      <c r="CC110" s="172">
        <f t="array" aca="1" ref="CC110" ca="1">IF(OR($D110&lt;&gt;"Serviço",AND(AUTOEVENTO="Manual",$M110=$A$15),$M110&gt;(ROW(PLE.lastrow)-ROW(PLE.firstrow))),0,
           IF(OFFSET(PLE!$G$15,$M110-$A$15,CC$13)="",10^12,OFFSET(PLE!$G$15,$M110-$A$15,CC$13)))</f>
        <v>1000000000000</v>
      </c>
      <c r="CD110" s="172">
        <f t="array" aca="1" ref="CD110" ca="1">IF(OR($D110&lt;&gt;"Serviço",AND(AUTOEVENTO="Manual",$M110=$A$15),$M110&gt;(ROW(PLE.lastrow)-ROW(PLE.firstrow))),0,
           IF(OFFSET(PLE!$G$15,$M110-$A$15,CD$13)="",10^12,OFFSET(PLE!$G$15,$M110-$A$15,CD$13)))</f>
        <v>1000000000000</v>
      </c>
      <c r="CE110" s="172">
        <f t="array" aca="1" ref="CE110" ca="1">IF(OR($D110&lt;&gt;"Serviço",AND(AUTOEVENTO="Manual",$M110=$A$15),$M110&gt;(ROW(PLE.lastrow)-ROW(PLE.firstrow))),0,
           IF(OFFSET(PLE!$G$15,$M110-$A$15,CE$13)="",10^12,OFFSET(PLE!$G$15,$M110-$A$15,CE$13)))</f>
        <v>1000000000000</v>
      </c>
      <c r="CF110" s="172">
        <f t="array" aca="1" ref="CF110" ca="1">IF(OR($D110&lt;&gt;"Serviço",AND(AUTOEVENTO="Manual",$M110=$A$15),$M110&gt;(ROW(PLE.lastrow)-ROW(PLE.firstrow))),0,
           IF(OFFSET(PLE!$G$15,$M110-$A$15,CF$13)="",10^12,OFFSET(PLE!$G$15,$M110-$A$15,CF$13)))</f>
        <v>1000000000000</v>
      </c>
      <c r="CG110" s="172">
        <f t="array" aca="1" ref="CG110" ca="1">IF(OR($D110&lt;&gt;"Serviço",AND(AUTOEVENTO="Manual",$M110=$A$15),$M110&gt;(ROW(PLE.lastrow)-ROW(PLE.firstrow))),0,
           IF(OFFSET(PLE!$G$15,$M110-$A$15,CG$13)="",10^12,OFFSET(PLE!$G$15,$M110-$A$15,CG$13)))</f>
        <v>1000000000000</v>
      </c>
      <c r="CH110" s="172">
        <f t="array" aca="1" ref="CH110" ca="1">IF(OR($D110&lt;&gt;"Serviço",AND(AUTOEVENTO="Manual",$M110=$A$15),$M110&gt;(ROW(PLE.lastrow)-ROW(PLE.firstrow))),0,
           IF(OFFSET(PLE!$G$15,$M110-$A$15,CH$13)="",10^12,OFFSET(PLE!$G$15,$M110-$A$15,CH$13)))</f>
        <v>1000000000000</v>
      </c>
      <c r="CI110" s="172">
        <f t="array" aca="1" ref="CI110" ca="1">IF(OR($D110&lt;&gt;"Serviço",AND(AUTOEVENTO="Manual",$M110=$A$15),$M110&gt;(ROW(PLE.lastrow)-ROW(PLE.firstrow))),0,
           IF(OFFSET(PLE!$G$15,$M110-$A$15,CI$13)="",10^12,OFFSET(PLE!$G$15,$M110-$A$15,CI$13)))</f>
        <v>1000000000000</v>
      </c>
      <c r="CJ110" s="172">
        <f t="array" aca="1" ref="CJ110" ca="1">IF(OR($D110&lt;&gt;"Serviço",AND(AUTOEVENTO="Manual",$M110=$A$15),$M110&gt;(ROW(PLE.lastrow)-ROW(PLE.firstrow))),0,
           IF(OFFSET(PLE!$G$15,$M110-$A$15,CJ$13)="",10^12,OFFSET(PLE!$G$15,$M110-$A$15,CJ$13)))</f>
        <v>1000000000000</v>
      </c>
      <c r="CK110" s="172">
        <f t="array" aca="1" ref="CK110" ca="1">IF(OR($D110&lt;&gt;"Serviço",AND(AUTOEVENTO="Manual",$M110=$A$15),$M110&gt;(ROW(PLE.lastrow)-ROW(PLE.firstrow))),0,
           IF(OFFSET(PLE!$G$15,$M110-$A$15,CK$13)="",10^12,OFFSET(PLE!$G$15,$M110-$A$15,CK$13)))</f>
        <v>1000000000000</v>
      </c>
      <c r="CL110" s="172">
        <f t="array" aca="1" ref="CL110" ca="1">IF(OR($D110&lt;&gt;"Serviço",AND(AUTOEVENTO="Manual",$M110=$A$15),$M110&gt;(ROW(PLE.lastrow)-ROW(PLE.firstrow))),0,
           IF(OFFSET(PLE!$G$15,$M110-$A$15,CL$13)="",10^12,OFFSET(PLE!$G$15,$M110-$A$15,CL$13)))</f>
        <v>1000000000000</v>
      </c>
      <c r="CM110" s="172">
        <f t="array" aca="1" ref="CM110" ca="1">IF(OR($D110&lt;&gt;"Serviço",AND(AUTOEVENTO="Manual",$M110=$A$15),$M110&gt;(ROW(PLE.lastrow)-ROW(PLE.firstrow))),0,
           IF(OFFSET(PLE!$G$15,$M110-$A$15,CM$13)="",10^12,OFFSET(PLE!$G$15,$M110-$A$15,CM$13)))</f>
        <v>1000000000000</v>
      </c>
    </row>
    <row r="111" spans="1:91" s="696" customFormat="1" ht="51" x14ac:dyDescent="0.2">
      <c r="A111" s="694">
        <f t="shared" ca="1" si="45"/>
        <v>25</v>
      </c>
      <c r="B111" s="694" t="str">
        <f ca="1">OFFSET(ORÇAMENTO!C$15,$L111,0)</f>
        <v>S</v>
      </c>
      <c r="C111" s="694" t="str">
        <f ca="1">OFFSET(ORÇAMENTO!L$15,$L111,0)</f>
        <v>F</v>
      </c>
      <c r="D111" s="116" t="str">
        <f ca="1">OFFSET(ORÇAMENTO!N$15,$L111,0)</f>
        <v>Serviço</v>
      </c>
      <c r="E111" s="117" t="str">
        <f ca="1">OFFSET(ORÇAMENTO!O$15,$L111,0)</f>
        <v>1.19.2.</v>
      </c>
      <c r="F111" s="163" t="str">
        <f ca="1">OFFSET(ORÇAMENTO!R$15,$L111,0)</f>
        <v>PINTURA ESMALTE BASE SOLVENTE EM ESQUADRIA DE MADEIRA, DUAS (2) DEMÃOS, COM APLICAÇÃO MANUAL, INCLUSIVE UMA (1) DEMÃO DE FUNDO NIVELADOR E PREPARAÇÃO DA SUPERFÍCIE COM LIXAMENTO, EXCLUSIVE MASSA A ÓLEO</v>
      </c>
      <c r="G111" s="164" t="str">
        <f ca="1">IF($D111&lt;&gt;"Serviço","",OFFSET(ORÇAMENTO!S$15,$L111,0))</f>
        <v>m2</v>
      </c>
      <c r="H111" s="122">
        <f t="array" aca="1" ref="H111" ca="1">IF($D111&lt;&gt;"Serviço",0,IF(ACOMPANHAMENTO="BM",ROUND(OFFSET(ORÇAMENTO!AJ$15,$L111,0),15-13*ORÇAMENTO!$AF$7),IF(IFERROR(CÁLCULO.FrentesPreenchidas,0)=0,0,SUM(ROUND(OFFSET($P111,0,1,1,CÁLCULO.FrentesPreenchidas),15-13*ORÇAMENTO!$AF$7)))))</f>
        <v>420</v>
      </c>
      <c r="I111" s="467" t="s">
        <v>1269</v>
      </c>
      <c r="J111" s="653" t="str">
        <f t="array" aca="1" ref="J111" ca="1">IF(OR(B111&lt;&gt;"S",CÁLCULO.FrentesPreenchidas=0),"",IF(AND(ACOMPANHAMENTO="PLE",AUTOEVENTO="Manual",OR(H111&gt;0,ORÇAMENTO!AC111="QUANT."),OR(K111="",M111=0,N111="")),"►E",IF(AND(ACOMPANHAMENTO="PLE",ORÇAMENTO!AC111="QUANT."),"►Q",IF(AND(ACOMPANHAMENTO="PLE",H111&lt;&gt;SUMPRODUCT(($Q$1:$AI$1=1)*ROUND(Q111:AI111,15))),"►S",IF(AND(COUNTIF($P$11:$AI$11,"▼")=0,H111&gt;0,I111=""),"◄M","")))))</f>
        <v/>
      </c>
      <c r="K111" s="654" t="s">
        <v>1417</v>
      </c>
      <c r="L111" s="165">
        <f t="shared" ca="1" si="46"/>
        <v>96</v>
      </c>
      <c r="M111" s="166">
        <f ca="1">IF($D111&lt;&gt;"Serviço","",
          IF(AUTOEVENTO="manual",$A111,
                IF(ISERROR(MATCH($A111,$A$15:OFFSET($A111,-1,0),0)),MAX($M$15:OFFSET(M111,-1,0))+1,
                      INDEX($M$15:OFFSET(M111,-1,0),MATCH($A111,$A$15:OFFSET($A111,-1,0),0)))))</f>
        <v>25</v>
      </c>
      <c r="N111" s="167" t="str">
        <f ca="1">IF($D111&lt;&gt;"Serviço","",
         IF(AUTOEVENTO="Manual",
                IF($A111=0,"&lt;-- defina o número do agrupador",
                       OFFSET(EVENTOS!$D$15,$A111-$A$15,0)),
                OFFSET($F$15,$A111,0)))</f>
        <v>PINTURA DE ESQUADRIA DE MADEIRA</v>
      </c>
      <c r="O111" s="168"/>
      <c r="Q111" s="169">
        <f>21*5</f>
        <v>105</v>
      </c>
      <c r="R111" s="169">
        <f t="shared" si="68"/>
        <v>105</v>
      </c>
      <c r="S111" s="169">
        <f t="shared" si="68"/>
        <v>105</v>
      </c>
      <c r="T111" s="169">
        <f t="shared" si="68"/>
        <v>105</v>
      </c>
      <c r="U111" s="169"/>
      <c r="V111" s="169"/>
      <c r="W111" s="169"/>
      <c r="X111" s="169"/>
      <c r="Y111" s="169"/>
      <c r="Z111" s="170"/>
      <c r="AA111" s="169"/>
      <c r="AB111" s="169"/>
      <c r="AC111" s="169"/>
      <c r="AD111" s="169"/>
      <c r="AE111" s="169"/>
      <c r="AF111" s="169"/>
      <c r="AG111" s="169"/>
      <c r="AH111" s="170"/>
      <c r="AJ111" s="452">
        <f ca="1">IF(AND($D111="Serviço",AJ$12&lt;&gt;0,$H111&gt;0,OR(AUTOEVENTO&lt;&gt;"manual",$M111&lt;&gt;$A$15)),
        IF(Import.TipoArredondamento&lt;&gt;"TransfereGOV",
              ROUND(OFFSET($P111,0,AJ$13),15-13*ORÇAMENTO!$AF$7)/$H111*OFFSET(ORÇAMENTO!$X$15,ROW(AJ111)-ROW(AJ$15),0),
              ROUND(ROUND(OFFSET($P111,0,AJ$13),15-13*ORÇAMENTO!$AF$7)*OFFSET(ORÇAMENTO!$W$15,ROW(AJ111)-ROW(AJ$15),0),15-13*ORÇAMENTO!$AF$11)),
         0)</f>
        <v>4270.3500000000004</v>
      </c>
      <c r="AK111" s="452">
        <f ca="1">IF(AND($D111="Serviço",AK$12&lt;&gt;0,$H111&gt;0,OR(AUTOEVENTO&lt;&gt;"manual",$M111&lt;&gt;$A$15)),
        IF(Import.TipoArredondamento&lt;&gt;"TransfereGOV",
              ROUND(OFFSET($P111,0,AK$13),15-13*ORÇAMENTO!$AF$7)/$H111*OFFSET(ORÇAMENTO!$X$15,ROW(AK111)-ROW(AK$15),0),
              ROUND(ROUND(OFFSET($P111,0,AK$13),15-13*ORÇAMENTO!$AF$7)*OFFSET(ORÇAMENTO!$W$15,ROW(AK111)-ROW(AK$15),0),15-13*ORÇAMENTO!$AF$11)),
         0)</f>
        <v>4270.3500000000004</v>
      </c>
      <c r="AL111" s="452">
        <f ca="1">IF(AND($D111="Serviço",AL$12&lt;&gt;0,$H111&gt;0,OR(AUTOEVENTO&lt;&gt;"manual",$M111&lt;&gt;$A$15)),
        IF(Import.TipoArredondamento&lt;&gt;"TransfereGOV",
              ROUND(OFFSET($P111,0,AL$13),15-13*ORÇAMENTO!$AF$7)/$H111*OFFSET(ORÇAMENTO!$X$15,ROW(AL111)-ROW(AL$15),0),
              ROUND(ROUND(OFFSET($P111,0,AL$13),15-13*ORÇAMENTO!$AF$7)*OFFSET(ORÇAMENTO!$W$15,ROW(AL111)-ROW(AL$15),0),15-13*ORÇAMENTO!$AF$11)),
         0)</f>
        <v>4270.3500000000004</v>
      </c>
      <c r="AM111" s="452">
        <f ca="1">IF(AND($D111="Serviço",AM$12&lt;&gt;0,$H111&gt;0,OR(AUTOEVENTO&lt;&gt;"manual",$M111&lt;&gt;$A$15)),
        IF(Import.TipoArredondamento&lt;&gt;"TransfereGOV",
              ROUND(OFFSET($P111,0,AM$13),15-13*ORÇAMENTO!$AF$7)/$H111*OFFSET(ORÇAMENTO!$X$15,ROW(AM111)-ROW(AM$15),0),
              ROUND(ROUND(OFFSET($P111,0,AM$13),15-13*ORÇAMENTO!$AF$7)*OFFSET(ORÇAMENTO!$W$15,ROW(AM111)-ROW(AM$15),0),15-13*ORÇAMENTO!$AF$11)),
         0)</f>
        <v>4270.3500000000004</v>
      </c>
      <c r="AN111" s="452">
        <f ca="1">IF(AND($D111="Serviço",AN$12&lt;&gt;0,$H111&gt;0,OR(AUTOEVENTO&lt;&gt;"manual",$M111&lt;&gt;$A$15)),
        IF(Import.TipoArredondamento&lt;&gt;"TransfereGOV",
              ROUND(OFFSET($P111,0,AN$13),15-13*ORÇAMENTO!$AF$7)/$H111*OFFSET(ORÇAMENTO!$X$15,ROW(AN111)-ROW(AN$15),0),
              ROUND(ROUND(OFFSET($P111,0,AN$13),15-13*ORÇAMENTO!$AF$7)*OFFSET(ORÇAMENTO!$W$15,ROW(AN111)-ROW(AN$15),0),15-13*ORÇAMENTO!$AF$11)),
         0)</f>
        <v>0</v>
      </c>
      <c r="AO111" s="452">
        <f ca="1">IF(AND($D111="Serviço",AO$12&lt;&gt;0,$H111&gt;0,OR(AUTOEVENTO&lt;&gt;"manual",$M111&lt;&gt;$A$15)),
        IF(Import.TipoArredondamento&lt;&gt;"TransfereGOV",
              ROUND(OFFSET($P111,0,AO$13),15-13*ORÇAMENTO!$AF$7)/$H111*OFFSET(ORÇAMENTO!$X$15,ROW(AO111)-ROW(AO$15),0),
              ROUND(ROUND(OFFSET($P111,0,AO$13),15-13*ORÇAMENTO!$AF$7)*OFFSET(ORÇAMENTO!$W$15,ROW(AO111)-ROW(AO$15),0),15-13*ORÇAMENTO!$AF$11)),
         0)</f>
        <v>0</v>
      </c>
      <c r="AP111" s="452">
        <f ca="1">IF(AND($D111="Serviço",AP$12&lt;&gt;0,$H111&gt;0,OR(AUTOEVENTO&lt;&gt;"manual",$M111&lt;&gt;$A$15)),
        IF(Import.TipoArredondamento&lt;&gt;"TransfereGOV",
              ROUND(OFFSET($P111,0,AP$13),15-13*ORÇAMENTO!$AF$7)/$H111*OFFSET(ORÇAMENTO!$X$15,ROW(AP111)-ROW(AP$15),0),
              ROUND(ROUND(OFFSET($P111,0,AP$13),15-13*ORÇAMENTO!$AF$7)*OFFSET(ORÇAMENTO!$W$15,ROW(AP111)-ROW(AP$15),0),15-13*ORÇAMENTO!$AF$11)),
         0)</f>
        <v>0</v>
      </c>
      <c r="AQ111" s="452">
        <f ca="1">IF(AND($D111="Serviço",AQ$12&lt;&gt;0,$H111&gt;0,OR(AUTOEVENTO&lt;&gt;"manual",$M111&lt;&gt;$A$15)),
        IF(Import.TipoArredondamento&lt;&gt;"TransfereGOV",
              ROUND(OFFSET($P111,0,AQ$13),15-13*ORÇAMENTO!$AF$7)/$H111*OFFSET(ORÇAMENTO!$X$15,ROW(AQ111)-ROW(AQ$15),0),
              ROUND(ROUND(OFFSET($P111,0,AQ$13),15-13*ORÇAMENTO!$AF$7)*OFFSET(ORÇAMENTO!$W$15,ROW(AQ111)-ROW(AQ$15),0),15-13*ORÇAMENTO!$AF$11)),
         0)</f>
        <v>0</v>
      </c>
      <c r="AR111" s="452">
        <f ca="1">IF(AND($D111="Serviço",AR$12&lt;&gt;0,$H111&gt;0,OR(AUTOEVENTO&lt;&gt;"manual",$M111&lt;&gt;$A$15)),
        IF(Import.TipoArredondamento&lt;&gt;"TransfereGOV",
              ROUND(OFFSET($P111,0,AR$13),15-13*ORÇAMENTO!$AF$7)/$H111*OFFSET(ORÇAMENTO!$X$15,ROW(AR111)-ROW(AR$15),0),
              ROUND(ROUND(OFFSET($P111,0,AR$13),15-13*ORÇAMENTO!$AF$7)*OFFSET(ORÇAMENTO!$W$15,ROW(AR111)-ROW(AR$15),0),15-13*ORÇAMENTO!$AF$11)),
         0)</f>
        <v>0</v>
      </c>
      <c r="AS111" s="452">
        <f ca="1">IF(AND($D111="Serviço",AS$12&lt;&gt;0,$H111&gt;0,OR(AUTOEVENTO&lt;&gt;"manual",$M111&lt;&gt;$A$15)),
        IF(Import.TipoArredondamento&lt;&gt;"TransfereGOV",
              ROUND(OFFSET($P111,0,AS$13),15-13*ORÇAMENTO!$AF$7)/$H111*OFFSET(ORÇAMENTO!$X$15,ROW(AS111)-ROW(AS$15),0),
              ROUND(ROUND(OFFSET($P111,0,AS$13),15-13*ORÇAMENTO!$AF$7)*OFFSET(ORÇAMENTO!$W$15,ROW(AS111)-ROW(AS$15),0),15-13*ORÇAMENTO!$AF$11)),
         0)</f>
        <v>0</v>
      </c>
      <c r="AT111" s="452">
        <f ca="1">IF(AND($D111="Serviço",AT$12&lt;&gt;0,$H111&gt;0,OR(AUTOEVENTO&lt;&gt;"manual",$M111&lt;&gt;$A$15)),
        IF(Import.TipoArredondamento&lt;&gt;"TransfereGOV",
              ROUND(OFFSET($P111,0,AT$13),15-13*ORÇAMENTO!$AF$7)/$H111*OFFSET(ORÇAMENTO!$X$15,ROW(AT111)-ROW(AT$15),0),
              ROUND(ROUND(OFFSET($P111,0,AT$13),15-13*ORÇAMENTO!$AF$7)*OFFSET(ORÇAMENTO!$W$15,ROW(AT111)-ROW(AT$15),0),15-13*ORÇAMENTO!$AF$11)),
         0)</f>
        <v>0</v>
      </c>
      <c r="AU111" s="452">
        <f ca="1">IF(AND($D111="Serviço",AU$12&lt;&gt;0,$H111&gt;0,OR(AUTOEVENTO&lt;&gt;"manual",$M111&lt;&gt;$A$15)),
        IF(Import.TipoArredondamento&lt;&gt;"TransfereGOV",
              ROUND(OFFSET($P111,0,AU$13),15-13*ORÇAMENTO!$AF$7)/$H111*OFFSET(ORÇAMENTO!$X$15,ROW(AU111)-ROW(AU$15),0),
              ROUND(ROUND(OFFSET($P111,0,AU$13),15-13*ORÇAMENTO!$AF$7)*OFFSET(ORÇAMENTO!$W$15,ROW(AU111)-ROW(AU$15),0),15-13*ORÇAMENTO!$AF$11)),
         0)</f>
        <v>0</v>
      </c>
      <c r="AV111" s="452">
        <f ca="1">IF(AND($D111="Serviço",AV$12&lt;&gt;0,$H111&gt;0,OR(AUTOEVENTO&lt;&gt;"manual",$M111&lt;&gt;$A$15)),
        IF(Import.TipoArredondamento&lt;&gt;"TransfereGOV",
              ROUND(OFFSET($P111,0,AV$13),15-13*ORÇAMENTO!$AF$7)/$H111*OFFSET(ORÇAMENTO!$X$15,ROW(AV111)-ROW(AV$15),0),
              ROUND(ROUND(OFFSET($P111,0,AV$13),15-13*ORÇAMENTO!$AF$7)*OFFSET(ORÇAMENTO!$W$15,ROW(AV111)-ROW(AV$15),0),15-13*ORÇAMENTO!$AF$11)),
         0)</f>
        <v>0</v>
      </c>
      <c r="AW111" s="452">
        <f ca="1">IF(AND($D111="Serviço",AW$12&lt;&gt;0,$H111&gt;0,OR(AUTOEVENTO&lt;&gt;"manual",$M111&lt;&gt;$A$15)),
        IF(Import.TipoArredondamento&lt;&gt;"TransfereGOV",
              ROUND(OFFSET($P111,0,AW$13),15-13*ORÇAMENTO!$AF$7)/$H111*OFFSET(ORÇAMENTO!$X$15,ROW(AW111)-ROW(AW$15),0),
              ROUND(ROUND(OFFSET($P111,0,AW$13),15-13*ORÇAMENTO!$AF$7)*OFFSET(ORÇAMENTO!$W$15,ROW(AW111)-ROW(AW$15),0),15-13*ORÇAMENTO!$AF$11)),
         0)</f>
        <v>0</v>
      </c>
      <c r="AX111" s="452">
        <f ca="1">IF(AND($D111="Serviço",AX$12&lt;&gt;0,$H111&gt;0,OR(AUTOEVENTO&lt;&gt;"manual",$M111&lt;&gt;$A$15)),
        IF(Import.TipoArredondamento&lt;&gt;"TransfereGOV",
              ROUND(OFFSET($P111,0,AX$13),15-13*ORÇAMENTO!$AF$7)/$H111*OFFSET(ORÇAMENTO!$X$15,ROW(AX111)-ROW(AX$15),0),
              ROUND(ROUND(OFFSET($P111,0,AX$13),15-13*ORÇAMENTO!$AF$7)*OFFSET(ORÇAMENTO!$W$15,ROW(AX111)-ROW(AX$15),0),15-13*ORÇAMENTO!$AF$11)),
         0)</f>
        <v>0</v>
      </c>
      <c r="AY111" s="452">
        <f ca="1">IF(AND($D111="Serviço",AY$12&lt;&gt;0,$H111&gt;0,OR(AUTOEVENTO&lt;&gt;"manual",$M111&lt;&gt;$A$15)),
        IF(Import.TipoArredondamento&lt;&gt;"TransfereGOV",
              ROUND(OFFSET($P111,0,AY$13),15-13*ORÇAMENTO!$AF$7)/$H111*OFFSET(ORÇAMENTO!$X$15,ROW(AY111)-ROW(AY$15),0),
              ROUND(ROUND(OFFSET($P111,0,AY$13),15-13*ORÇAMENTO!$AF$7)*OFFSET(ORÇAMENTO!$W$15,ROW(AY111)-ROW(AY$15),0),15-13*ORÇAMENTO!$AF$11)),
         0)</f>
        <v>0</v>
      </c>
      <c r="AZ111" s="452">
        <f ca="1">IF(AND($D111="Serviço",AZ$12&lt;&gt;0,$H111&gt;0,OR(AUTOEVENTO&lt;&gt;"manual",$M111&lt;&gt;$A$15)),
        IF(Import.TipoArredondamento&lt;&gt;"TransfereGOV",
              ROUND(OFFSET($P111,0,AZ$13),15-13*ORÇAMENTO!$AF$7)/$H111*OFFSET(ORÇAMENTO!$X$15,ROW(AZ111)-ROW(AZ$15),0),
              ROUND(ROUND(OFFSET($P111,0,AZ$13),15-13*ORÇAMENTO!$AF$7)*OFFSET(ORÇAMENTO!$W$15,ROW(AZ111)-ROW(AZ$15),0),15-13*ORÇAMENTO!$AF$11)),
         0)</f>
        <v>0</v>
      </c>
      <c r="BA111" s="452">
        <f ca="1">IF(AND($D111="Serviço",BA$12&lt;&gt;0,$H111&gt;0,OR(AUTOEVENTO&lt;&gt;"manual",$M111&lt;&gt;$A$15)),
        IF(Import.TipoArredondamento&lt;&gt;"TransfereGOV",
              ROUND(OFFSET($P111,0,BA$13),15-13*ORÇAMENTO!$AF$7)/$H111*OFFSET(ORÇAMENTO!$X$15,ROW(BA111)-ROW(BA$15),0),
              ROUND(ROUND(OFFSET($P111,0,BA$13),15-13*ORÇAMENTO!$AF$7)*OFFSET(ORÇAMENTO!$W$15,ROW(BA111)-ROW(BA$15),0),15-13*ORÇAMENTO!$AF$11)),
         0)</f>
        <v>0</v>
      </c>
      <c r="BC111" s="171">
        <f ca="1">IF(OR($D111&lt;&gt;"Serviço",AND(AUTOEVENTO="Manual",$M111=$A$15)),0,
         IF(OFFSET(CRONOPLE!$F$15,$M111-$A$15,BC$13)=0,10^12,OFFSET(CRONOPLE!$F$15,$M111-$A$15,BC$13)))</f>
        <v>8</v>
      </c>
      <c r="BD111" s="171">
        <f ca="1">IF(OR($D111&lt;&gt;"Serviço",AND(AUTOEVENTO="Manual",$M111=$A$15)),0,
         IF(OFFSET(CRONOPLE!$F$15,$M111-$A$15,BD$13)=0,10^12,OFFSET(CRONOPLE!$F$15,$M111-$A$15,BD$13)))</f>
        <v>8</v>
      </c>
      <c r="BE111" s="171">
        <f ca="1">IF(OR($D111&lt;&gt;"Serviço",AND(AUTOEVENTO="Manual",$M111=$A$15)),0,
         IF(OFFSET(CRONOPLE!$F$15,$M111-$A$15,BE$13)=0,10^12,OFFSET(CRONOPLE!$F$15,$M111-$A$15,BE$13)))</f>
        <v>9</v>
      </c>
      <c r="BF111" s="171">
        <f ca="1">IF(OR($D111&lt;&gt;"Serviço",AND(AUTOEVENTO="Manual",$M111=$A$15)),0,
         IF(OFFSET(CRONOPLE!$F$15,$M111-$A$15,BF$13)=0,10^12,OFFSET(CRONOPLE!$F$15,$M111-$A$15,BF$13)))</f>
        <v>9</v>
      </c>
      <c r="BG111" s="171">
        <f ca="1">IF(OR($D111&lt;&gt;"Serviço",AND(AUTOEVENTO="Manual",$M111=$A$15)),0,
         IF(OFFSET(CRONOPLE!$F$15,$M111-$A$15,BG$13)=0,10^12,OFFSET(CRONOPLE!$F$15,$M111-$A$15,BG$13)))</f>
        <v>9</v>
      </c>
      <c r="BH111" s="171">
        <f ca="1">IF(OR($D111&lt;&gt;"Serviço",AND(AUTOEVENTO="Manual",$M111=$A$15)),0,
         IF(OFFSET(CRONOPLE!$F$15,$M111-$A$15,BH$13)=0,10^12,OFFSET(CRONOPLE!$F$15,$M111-$A$15,BH$13)))</f>
        <v>1000000000000</v>
      </c>
      <c r="BI111" s="171">
        <f ca="1">IF(OR($D111&lt;&gt;"Serviço",AND(AUTOEVENTO="Manual",$M111=$A$15)),0,
         IF(OFFSET(CRONOPLE!$F$15,$M111-$A$15,BI$13)=0,10^12,OFFSET(CRONOPLE!$F$15,$M111-$A$15,BI$13)))</f>
        <v>1000000000000</v>
      </c>
      <c r="BJ111" s="171">
        <f ca="1">IF(OR($D111&lt;&gt;"Serviço",AND(AUTOEVENTO="Manual",$M111=$A$15)),0,
         IF(OFFSET(CRONOPLE!$F$15,$M111-$A$15,BJ$13)=0,10^12,OFFSET(CRONOPLE!$F$15,$M111-$A$15,BJ$13)))</f>
        <v>1000000000000</v>
      </c>
      <c r="BK111" s="171">
        <f ca="1">IF(OR($D111&lt;&gt;"Serviço",AND(AUTOEVENTO="Manual",$M111=$A$15)),0,
         IF(OFFSET(CRONOPLE!$F$15,$M111-$A$15,BK$13)=0,10^12,OFFSET(CRONOPLE!$F$15,$M111-$A$15,BK$13)))</f>
        <v>9</v>
      </c>
      <c r="BL111" s="171">
        <f ca="1">IF(OR($D111&lt;&gt;"Serviço",AND(AUTOEVENTO="Manual",$M111=$A$15)),0,
         IF(OFFSET(CRONOPLE!$F$15,$M111-$A$15,BL$13)=0,10^12,OFFSET(CRONOPLE!$F$15,$M111-$A$15,BL$13)))</f>
        <v>1000000000000</v>
      </c>
      <c r="BM111" s="171">
        <f ca="1">IF(OR($D111&lt;&gt;"Serviço",AND(AUTOEVENTO="Manual",$M111=$A$15)),0,
         IF(OFFSET(CRONOPLE!$F$15,$M111-$A$15,BM$13)=0,10^12,OFFSET(CRONOPLE!$F$15,$M111-$A$15,BM$13)))</f>
        <v>1000000000000</v>
      </c>
      <c r="BN111" s="171">
        <f ca="1">IF(OR($D111&lt;&gt;"Serviço",AND(AUTOEVENTO="Manual",$M111=$A$15)),0,
         IF(OFFSET(CRONOPLE!$F$15,$M111-$A$15,BN$13)=0,10^12,OFFSET(CRONOPLE!$F$15,$M111-$A$15,BN$13)))</f>
        <v>1000000000000</v>
      </c>
      <c r="BO111" s="171">
        <f ca="1">IF(OR($D111&lt;&gt;"Serviço",AND(AUTOEVENTO="Manual",$M111=$A$15)),0,
         IF(OFFSET(CRONOPLE!$F$15,$M111-$A$15,BO$13)=0,10^12,OFFSET(CRONOPLE!$F$15,$M111-$A$15,BO$13)))</f>
        <v>1000000000000</v>
      </c>
      <c r="BP111" s="171">
        <f ca="1">IF(OR($D111&lt;&gt;"Serviço",AND(AUTOEVENTO="Manual",$M111=$A$15)),0,
         IF(OFFSET(CRONOPLE!$F$15,$M111-$A$15,BP$13)=0,10^12,OFFSET(CRONOPLE!$F$15,$M111-$A$15,BP$13)))</f>
        <v>1000000000000</v>
      </c>
      <c r="BQ111" s="171">
        <f ca="1">IF(OR($D111&lt;&gt;"Serviço",AND(AUTOEVENTO="Manual",$M111=$A$15)),0,
         IF(OFFSET(CRONOPLE!$F$15,$M111-$A$15,BQ$13)=0,10^12,OFFSET(CRONOPLE!$F$15,$M111-$A$15,BQ$13)))</f>
        <v>1000000000000</v>
      </c>
      <c r="BR111" s="171">
        <f ca="1">IF(OR($D111&lt;&gt;"Serviço",AND(AUTOEVENTO="Manual",$M111=$A$15)),0,
         IF(OFFSET(CRONOPLE!$F$15,$M111-$A$15,BR$13)=0,10^12,OFFSET(CRONOPLE!$F$15,$M111-$A$15,BR$13)))</f>
        <v>1000000000000</v>
      </c>
      <c r="BS111" s="171">
        <f ca="1">IF(OR($D111&lt;&gt;"Serviço",AND(AUTOEVENTO="Manual",$M111=$A$15)),0,
         IF(OFFSET(CRONOPLE!$F$15,$M111-$A$15,BS$13)=0,10^12,OFFSET(CRONOPLE!$F$15,$M111-$A$15,BS$13)))</f>
        <v>1000000000000</v>
      </c>
      <c r="BT111" s="171">
        <f ca="1">IF(OR($D111&lt;&gt;"Serviço",AND(AUTOEVENTO="Manual",$M111=$A$15)),0,
         IF(OFFSET(CRONOPLE!$F$15,$M111-$A$15,BT$13)=0,10^12,OFFSET(CRONOPLE!$F$15,$M111-$A$15,BT$13)))</f>
        <v>1000000000000</v>
      </c>
      <c r="BV111" s="172">
        <f t="array" aca="1" ref="BV111" ca="1">IF(OR($D111&lt;&gt;"Serviço",AND(AUTOEVENTO="Manual",$M111=$A$15),$M111&gt;(ROW(PLE.lastrow)-ROW(PLE.firstrow))),0,
           IF(OFFSET(PLE!$G$15,$M111-$A$15,BV$13)="",10^12,OFFSET(PLE!$G$15,$M111-$A$15,BV$13)))</f>
        <v>1000000000000</v>
      </c>
      <c r="BW111" s="172">
        <f t="array" aca="1" ref="BW111" ca="1">IF(OR($D111&lt;&gt;"Serviço",AND(AUTOEVENTO="Manual",$M111=$A$15),$M111&gt;(ROW(PLE.lastrow)-ROW(PLE.firstrow))),0,
           IF(OFFSET(PLE!$G$15,$M111-$A$15,BW$13)="",10^12,OFFSET(PLE!$G$15,$M111-$A$15,BW$13)))</f>
        <v>1000000000000</v>
      </c>
      <c r="BX111" s="172">
        <f t="array" aca="1" ref="BX111" ca="1">IF(OR($D111&lt;&gt;"Serviço",AND(AUTOEVENTO="Manual",$M111=$A$15),$M111&gt;(ROW(PLE.lastrow)-ROW(PLE.firstrow))),0,
           IF(OFFSET(PLE!$G$15,$M111-$A$15,BX$13)="",10^12,OFFSET(PLE!$G$15,$M111-$A$15,BX$13)))</f>
        <v>1000000000000</v>
      </c>
      <c r="BY111" s="172">
        <f t="array" aca="1" ref="BY111" ca="1">IF(OR($D111&lt;&gt;"Serviço",AND(AUTOEVENTO="Manual",$M111=$A$15),$M111&gt;(ROW(PLE.lastrow)-ROW(PLE.firstrow))),0,
           IF(OFFSET(PLE!$G$15,$M111-$A$15,BY$13)="",10^12,OFFSET(PLE!$G$15,$M111-$A$15,BY$13)))</f>
        <v>1000000000000</v>
      </c>
      <c r="BZ111" s="172">
        <f t="array" aca="1" ref="BZ111" ca="1">IF(OR($D111&lt;&gt;"Serviço",AND(AUTOEVENTO="Manual",$M111=$A$15),$M111&gt;(ROW(PLE.lastrow)-ROW(PLE.firstrow))),0,
           IF(OFFSET(PLE!$G$15,$M111-$A$15,BZ$13)="",10^12,OFFSET(PLE!$G$15,$M111-$A$15,BZ$13)))</f>
        <v>1000000000000</v>
      </c>
      <c r="CA111" s="172">
        <f t="array" aca="1" ref="CA111" ca="1">IF(OR($D111&lt;&gt;"Serviço",AND(AUTOEVENTO="Manual",$M111=$A$15),$M111&gt;(ROW(PLE.lastrow)-ROW(PLE.firstrow))),0,
           IF(OFFSET(PLE!$G$15,$M111-$A$15,CA$13)="",10^12,OFFSET(PLE!$G$15,$M111-$A$15,CA$13)))</f>
        <v>1000000000000</v>
      </c>
      <c r="CB111" s="172">
        <f t="array" aca="1" ref="CB111" ca="1">IF(OR($D111&lt;&gt;"Serviço",AND(AUTOEVENTO="Manual",$M111=$A$15),$M111&gt;(ROW(PLE.lastrow)-ROW(PLE.firstrow))),0,
           IF(OFFSET(PLE!$G$15,$M111-$A$15,CB$13)="",10^12,OFFSET(PLE!$G$15,$M111-$A$15,CB$13)))</f>
        <v>1000000000000</v>
      </c>
      <c r="CC111" s="172">
        <f t="array" aca="1" ref="CC111" ca="1">IF(OR($D111&lt;&gt;"Serviço",AND(AUTOEVENTO="Manual",$M111=$A$15),$M111&gt;(ROW(PLE.lastrow)-ROW(PLE.firstrow))),0,
           IF(OFFSET(PLE!$G$15,$M111-$A$15,CC$13)="",10^12,OFFSET(PLE!$G$15,$M111-$A$15,CC$13)))</f>
        <v>1000000000000</v>
      </c>
      <c r="CD111" s="172">
        <f t="array" aca="1" ref="CD111" ca="1">IF(OR($D111&lt;&gt;"Serviço",AND(AUTOEVENTO="Manual",$M111=$A$15),$M111&gt;(ROW(PLE.lastrow)-ROW(PLE.firstrow))),0,
           IF(OFFSET(PLE!$G$15,$M111-$A$15,CD$13)="",10^12,OFFSET(PLE!$G$15,$M111-$A$15,CD$13)))</f>
        <v>1000000000000</v>
      </c>
      <c r="CE111" s="172">
        <f t="array" aca="1" ref="CE111" ca="1">IF(OR($D111&lt;&gt;"Serviço",AND(AUTOEVENTO="Manual",$M111=$A$15),$M111&gt;(ROW(PLE.lastrow)-ROW(PLE.firstrow))),0,
           IF(OFFSET(PLE!$G$15,$M111-$A$15,CE$13)="",10^12,OFFSET(PLE!$G$15,$M111-$A$15,CE$13)))</f>
        <v>1000000000000</v>
      </c>
      <c r="CF111" s="172">
        <f t="array" aca="1" ref="CF111" ca="1">IF(OR($D111&lt;&gt;"Serviço",AND(AUTOEVENTO="Manual",$M111=$A$15),$M111&gt;(ROW(PLE.lastrow)-ROW(PLE.firstrow))),0,
           IF(OFFSET(PLE!$G$15,$M111-$A$15,CF$13)="",10^12,OFFSET(PLE!$G$15,$M111-$A$15,CF$13)))</f>
        <v>1000000000000</v>
      </c>
      <c r="CG111" s="172">
        <f t="array" aca="1" ref="CG111" ca="1">IF(OR($D111&lt;&gt;"Serviço",AND(AUTOEVENTO="Manual",$M111=$A$15),$M111&gt;(ROW(PLE.lastrow)-ROW(PLE.firstrow))),0,
           IF(OFFSET(PLE!$G$15,$M111-$A$15,CG$13)="",10^12,OFFSET(PLE!$G$15,$M111-$A$15,CG$13)))</f>
        <v>1000000000000</v>
      </c>
      <c r="CH111" s="172">
        <f t="array" aca="1" ref="CH111" ca="1">IF(OR($D111&lt;&gt;"Serviço",AND(AUTOEVENTO="Manual",$M111=$A$15),$M111&gt;(ROW(PLE.lastrow)-ROW(PLE.firstrow))),0,
           IF(OFFSET(PLE!$G$15,$M111-$A$15,CH$13)="",10^12,OFFSET(PLE!$G$15,$M111-$A$15,CH$13)))</f>
        <v>1000000000000</v>
      </c>
      <c r="CI111" s="172">
        <f t="array" aca="1" ref="CI111" ca="1">IF(OR($D111&lt;&gt;"Serviço",AND(AUTOEVENTO="Manual",$M111=$A$15),$M111&gt;(ROW(PLE.lastrow)-ROW(PLE.firstrow))),0,
           IF(OFFSET(PLE!$G$15,$M111-$A$15,CI$13)="",10^12,OFFSET(PLE!$G$15,$M111-$A$15,CI$13)))</f>
        <v>1000000000000</v>
      </c>
      <c r="CJ111" s="172">
        <f t="array" aca="1" ref="CJ111" ca="1">IF(OR($D111&lt;&gt;"Serviço",AND(AUTOEVENTO="Manual",$M111=$A$15),$M111&gt;(ROW(PLE.lastrow)-ROW(PLE.firstrow))),0,
           IF(OFFSET(PLE!$G$15,$M111-$A$15,CJ$13)="",10^12,OFFSET(PLE!$G$15,$M111-$A$15,CJ$13)))</f>
        <v>1000000000000</v>
      </c>
      <c r="CK111" s="172">
        <f t="array" aca="1" ref="CK111" ca="1">IF(OR($D111&lt;&gt;"Serviço",AND(AUTOEVENTO="Manual",$M111=$A$15),$M111&gt;(ROW(PLE.lastrow)-ROW(PLE.firstrow))),0,
           IF(OFFSET(PLE!$G$15,$M111-$A$15,CK$13)="",10^12,OFFSET(PLE!$G$15,$M111-$A$15,CK$13)))</f>
        <v>1000000000000</v>
      </c>
      <c r="CL111" s="172">
        <f t="array" aca="1" ref="CL111" ca="1">IF(OR($D111&lt;&gt;"Serviço",AND(AUTOEVENTO="Manual",$M111=$A$15),$M111&gt;(ROW(PLE.lastrow)-ROW(PLE.firstrow))),0,
           IF(OFFSET(PLE!$G$15,$M111-$A$15,CL$13)="",10^12,OFFSET(PLE!$G$15,$M111-$A$15,CL$13)))</f>
        <v>1000000000000</v>
      </c>
      <c r="CM111" s="172">
        <f t="array" aca="1" ref="CM111" ca="1">IF(OR($D111&lt;&gt;"Serviço",AND(AUTOEVENTO="Manual",$M111=$A$15),$M111&gt;(ROW(PLE.lastrow)-ROW(PLE.firstrow))),0,
           IF(OFFSET(PLE!$G$15,$M111-$A$15,CM$13)="",10^12,OFFSET(PLE!$G$15,$M111-$A$15,CM$13)))</f>
        <v>1000000000000</v>
      </c>
    </row>
    <row r="112" spans="1:91" s="696" customFormat="1" ht="12.75" x14ac:dyDescent="0.2">
      <c r="A112" s="694">
        <f t="shared" ca="1" si="45"/>
        <v>0</v>
      </c>
      <c r="B112" s="694">
        <f ca="1">OFFSET(ORÇAMENTO!C$15,$L112,0)</f>
        <v>2</v>
      </c>
      <c r="C112" s="694" t="str">
        <f ca="1">OFFSET(ORÇAMENTO!L$15,$L112,0)</f>
        <v>F</v>
      </c>
      <c r="D112" s="116" t="str">
        <f ca="1">OFFSET(ORÇAMENTO!N$15,$L112,0)</f>
        <v>Nível 2</v>
      </c>
      <c r="E112" s="117" t="str">
        <f ca="1">OFFSET(ORÇAMENTO!O$15,$L112,0)</f>
        <v>1.20.</v>
      </c>
      <c r="F112" s="163" t="str">
        <f ca="1">OFFSET(ORÇAMENTO!R$15,$L112,0)</f>
        <v>CERÂMICA</v>
      </c>
      <c r="G112" s="164" t="str">
        <f ca="1">IF($D112&lt;&gt;"Serviço","",OFFSET(ORÇAMENTO!S$15,$L112,0))</f>
        <v/>
      </c>
      <c r="H112" s="122">
        <f t="array" aca="1" ref="H112" ca="1">IF($D112&lt;&gt;"Serviço",0,IF(ACOMPANHAMENTO="BM",ROUND(OFFSET(ORÇAMENTO!AJ$15,$L112,0),15-13*ORÇAMENTO!$AF$7),IF(IFERROR(CÁLCULO.FrentesPreenchidas,0)=0,0,SUM(ROUND(OFFSET($P112,0,1,1,CÁLCULO.FrentesPreenchidas),15-13*ORÇAMENTO!$AF$7)))))</f>
        <v>0</v>
      </c>
      <c r="I112" s="467"/>
      <c r="J112" s="653" t="str">
        <f t="array" aca="1" ref="J112" ca="1">IF(OR(B112&lt;&gt;"S",CÁLCULO.FrentesPreenchidas=0),"",IF(AND(ACOMPANHAMENTO="PLE",AUTOEVENTO="Manual",OR(H112&gt;0,ORÇAMENTO!AC112="QUANT."),OR(K112="",M112=0,N112="")),"►E",IF(AND(ACOMPANHAMENTO="PLE",ORÇAMENTO!AC112="QUANT."),"►Q",IF(AND(ACOMPANHAMENTO="PLE",H112&lt;&gt;SUMPRODUCT(($Q$1:$AI$1=1)*ROUND(Q112:AI112,15))),"►S",IF(AND(COUNTIF($P$11:$AI$11,"▼")=0,H112&gt;0,I112=""),"◄M","")))))</f>
        <v/>
      </c>
      <c r="K112" s="654"/>
      <c r="L112" s="165">
        <f t="shared" ca="1" si="46"/>
        <v>97</v>
      </c>
      <c r="M112" s="166" t="str">
        <f ca="1">IF($D112&lt;&gt;"Serviço","",
          IF(AUTOEVENTO="manual",$A112,
                IF(ISERROR(MATCH($A112,$A$15:OFFSET($A112,-1,0),0)),MAX($M$15:OFFSET(M112,-1,0))+1,
                      INDEX($M$15:OFFSET(M112,-1,0),MATCH($A112,$A$15:OFFSET($A112,-1,0),0)))))</f>
        <v/>
      </c>
      <c r="N112" s="167" t="str">
        <f ca="1">IF($D112&lt;&gt;"Serviço","",
         IF(AUTOEVENTO="Manual",
                IF($A112=0,"&lt;-- defina o número do agrupador",
                       OFFSET(EVENTOS!$D$15,$A112-$A$15,0)),
                OFFSET($F$15,$A112,0)))</f>
        <v/>
      </c>
      <c r="O112" s="168"/>
      <c r="Q112" s="169"/>
      <c r="R112" s="169"/>
      <c r="S112" s="169"/>
      <c r="T112" s="169"/>
      <c r="U112" s="169"/>
      <c r="V112" s="169"/>
      <c r="W112" s="169"/>
      <c r="X112" s="169"/>
      <c r="Y112" s="169"/>
      <c r="Z112" s="170"/>
      <c r="AA112" s="169"/>
      <c r="AB112" s="169"/>
      <c r="AC112" s="169"/>
      <c r="AD112" s="169"/>
      <c r="AE112" s="169"/>
      <c r="AF112" s="169"/>
      <c r="AG112" s="169"/>
      <c r="AH112" s="170"/>
      <c r="AJ112" s="452">
        <f ca="1">IF(AND($D112="Serviço",AJ$12&lt;&gt;0,$H112&gt;0,OR(AUTOEVENTO&lt;&gt;"manual",$M112&lt;&gt;$A$15)),
        IF(Import.TipoArredondamento&lt;&gt;"TransfereGOV",
              ROUND(OFFSET($P112,0,AJ$13),15-13*ORÇAMENTO!$AF$7)/$H112*OFFSET(ORÇAMENTO!$X$15,ROW(AJ112)-ROW(AJ$15),0),
              ROUND(ROUND(OFFSET($P112,0,AJ$13),15-13*ORÇAMENTO!$AF$7)*OFFSET(ORÇAMENTO!$W$15,ROW(AJ112)-ROW(AJ$15),0),15-13*ORÇAMENTO!$AF$11)),
         0)</f>
        <v>0</v>
      </c>
      <c r="AK112" s="452">
        <f ca="1">IF(AND($D112="Serviço",AK$12&lt;&gt;0,$H112&gt;0,OR(AUTOEVENTO&lt;&gt;"manual",$M112&lt;&gt;$A$15)),
        IF(Import.TipoArredondamento&lt;&gt;"TransfereGOV",
              ROUND(OFFSET($P112,0,AK$13),15-13*ORÇAMENTO!$AF$7)/$H112*OFFSET(ORÇAMENTO!$X$15,ROW(AK112)-ROW(AK$15),0),
              ROUND(ROUND(OFFSET($P112,0,AK$13),15-13*ORÇAMENTO!$AF$7)*OFFSET(ORÇAMENTO!$W$15,ROW(AK112)-ROW(AK$15),0),15-13*ORÇAMENTO!$AF$11)),
         0)</f>
        <v>0</v>
      </c>
      <c r="AL112" s="452">
        <f ca="1">IF(AND($D112="Serviço",AL$12&lt;&gt;0,$H112&gt;0,OR(AUTOEVENTO&lt;&gt;"manual",$M112&lt;&gt;$A$15)),
        IF(Import.TipoArredondamento&lt;&gt;"TransfereGOV",
              ROUND(OFFSET($P112,0,AL$13),15-13*ORÇAMENTO!$AF$7)/$H112*OFFSET(ORÇAMENTO!$X$15,ROW(AL112)-ROW(AL$15),0),
              ROUND(ROUND(OFFSET($P112,0,AL$13),15-13*ORÇAMENTO!$AF$7)*OFFSET(ORÇAMENTO!$W$15,ROW(AL112)-ROW(AL$15),0),15-13*ORÇAMENTO!$AF$11)),
         0)</f>
        <v>0</v>
      </c>
      <c r="AM112" s="452">
        <f ca="1">IF(AND($D112="Serviço",AM$12&lt;&gt;0,$H112&gt;0,OR(AUTOEVENTO&lt;&gt;"manual",$M112&lt;&gt;$A$15)),
        IF(Import.TipoArredondamento&lt;&gt;"TransfereGOV",
              ROUND(OFFSET($P112,0,AM$13),15-13*ORÇAMENTO!$AF$7)/$H112*OFFSET(ORÇAMENTO!$X$15,ROW(AM112)-ROW(AM$15),0),
              ROUND(ROUND(OFFSET($P112,0,AM$13),15-13*ORÇAMENTO!$AF$7)*OFFSET(ORÇAMENTO!$W$15,ROW(AM112)-ROW(AM$15),0),15-13*ORÇAMENTO!$AF$11)),
         0)</f>
        <v>0</v>
      </c>
      <c r="AN112" s="452">
        <f ca="1">IF(AND($D112="Serviço",AN$12&lt;&gt;0,$H112&gt;0,OR(AUTOEVENTO&lt;&gt;"manual",$M112&lt;&gt;$A$15)),
        IF(Import.TipoArredondamento&lt;&gt;"TransfereGOV",
              ROUND(OFFSET($P112,0,AN$13),15-13*ORÇAMENTO!$AF$7)/$H112*OFFSET(ORÇAMENTO!$X$15,ROW(AN112)-ROW(AN$15),0),
              ROUND(ROUND(OFFSET($P112,0,AN$13),15-13*ORÇAMENTO!$AF$7)*OFFSET(ORÇAMENTO!$W$15,ROW(AN112)-ROW(AN$15),0),15-13*ORÇAMENTO!$AF$11)),
         0)</f>
        <v>0</v>
      </c>
      <c r="AO112" s="452">
        <f ca="1">IF(AND($D112="Serviço",AO$12&lt;&gt;0,$H112&gt;0,OR(AUTOEVENTO&lt;&gt;"manual",$M112&lt;&gt;$A$15)),
        IF(Import.TipoArredondamento&lt;&gt;"TransfereGOV",
              ROUND(OFFSET($P112,0,AO$13),15-13*ORÇAMENTO!$AF$7)/$H112*OFFSET(ORÇAMENTO!$X$15,ROW(AO112)-ROW(AO$15),0),
              ROUND(ROUND(OFFSET($P112,0,AO$13),15-13*ORÇAMENTO!$AF$7)*OFFSET(ORÇAMENTO!$W$15,ROW(AO112)-ROW(AO$15),0),15-13*ORÇAMENTO!$AF$11)),
         0)</f>
        <v>0</v>
      </c>
      <c r="AP112" s="452">
        <f ca="1">IF(AND($D112="Serviço",AP$12&lt;&gt;0,$H112&gt;0,OR(AUTOEVENTO&lt;&gt;"manual",$M112&lt;&gt;$A$15)),
        IF(Import.TipoArredondamento&lt;&gt;"TransfereGOV",
              ROUND(OFFSET($P112,0,AP$13),15-13*ORÇAMENTO!$AF$7)/$H112*OFFSET(ORÇAMENTO!$X$15,ROW(AP112)-ROW(AP$15),0),
              ROUND(ROUND(OFFSET($P112,0,AP$13),15-13*ORÇAMENTO!$AF$7)*OFFSET(ORÇAMENTO!$W$15,ROW(AP112)-ROW(AP$15),0),15-13*ORÇAMENTO!$AF$11)),
         0)</f>
        <v>0</v>
      </c>
      <c r="AQ112" s="452">
        <f ca="1">IF(AND($D112="Serviço",AQ$12&lt;&gt;0,$H112&gt;0,OR(AUTOEVENTO&lt;&gt;"manual",$M112&lt;&gt;$A$15)),
        IF(Import.TipoArredondamento&lt;&gt;"TransfereGOV",
              ROUND(OFFSET($P112,0,AQ$13),15-13*ORÇAMENTO!$AF$7)/$H112*OFFSET(ORÇAMENTO!$X$15,ROW(AQ112)-ROW(AQ$15),0),
              ROUND(ROUND(OFFSET($P112,0,AQ$13),15-13*ORÇAMENTO!$AF$7)*OFFSET(ORÇAMENTO!$W$15,ROW(AQ112)-ROW(AQ$15),0),15-13*ORÇAMENTO!$AF$11)),
         0)</f>
        <v>0</v>
      </c>
      <c r="AR112" s="452">
        <f ca="1">IF(AND($D112="Serviço",AR$12&lt;&gt;0,$H112&gt;0,OR(AUTOEVENTO&lt;&gt;"manual",$M112&lt;&gt;$A$15)),
        IF(Import.TipoArredondamento&lt;&gt;"TransfereGOV",
              ROUND(OFFSET($P112,0,AR$13),15-13*ORÇAMENTO!$AF$7)/$H112*OFFSET(ORÇAMENTO!$X$15,ROW(AR112)-ROW(AR$15),0),
              ROUND(ROUND(OFFSET($P112,0,AR$13),15-13*ORÇAMENTO!$AF$7)*OFFSET(ORÇAMENTO!$W$15,ROW(AR112)-ROW(AR$15),0),15-13*ORÇAMENTO!$AF$11)),
         0)</f>
        <v>0</v>
      </c>
      <c r="AS112" s="452">
        <f ca="1">IF(AND($D112="Serviço",AS$12&lt;&gt;0,$H112&gt;0,OR(AUTOEVENTO&lt;&gt;"manual",$M112&lt;&gt;$A$15)),
        IF(Import.TipoArredondamento&lt;&gt;"TransfereGOV",
              ROUND(OFFSET($P112,0,AS$13),15-13*ORÇAMENTO!$AF$7)/$H112*OFFSET(ORÇAMENTO!$X$15,ROW(AS112)-ROW(AS$15),0),
              ROUND(ROUND(OFFSET($P112,0,AS$13),15-13*ORÇAMENTO!$AF$7)*OFFSET(ORÇAMENTO!$W$15,ROW(AS112)-ROW(AS$15),0),15-13*ORÇAMENTO!$AF$11)),
         0)</f>
        <v>0</v>
      </c>
      <c r="AT112" s="452">
        <f ca="1">IF(AND($D112="Serviço",AT$12&lt;&gt;0,$H112&gt;0,OR(AUTOEVENTO&lt;&gt;"manual",$M112&lt;&gt;$A$15)),
        IF(Import.TipoArredondamento&lt;&gt;"TransfereGOV",
              ROUND(OFFSET($P112,0,AT$13),15-13*ORÇAMENTO!$AF$7)/$H112*OFFSET(ORÇAMENTO!$X$15,ROW(AT112)-ROW(AT$15),0),
              ROUND(ROUND(OFFSET($P112,0,AT$13),15-13*ORÇAMENTO!$AF$7)*OFFSET(ORÇAMENTO!$W$15,ROW(AT112)-ROW(AT$15),0),15-13*ORÇAMENTO!$AF$11)),
         0)</f>
        <v>0</v>
      </c>
      <c r="AU112" s="452">
        <f ca="1">IF(AND($D112="Serviço",AU$12&lt;&gt;0,$H112&gt;0,OR(AUTOEVENTO&lt;&gt;"manual",$M112&lt;&gt;$A$15)),
        IF(Import.TipoArredondamento&lt;&gt;"TransfereGOV",
              ROUND(OFFSET($P112,0,AU$13),15-13*ORÇAMENTO!$AF$7)/$H112*OFFSET(ORÇAMENTO!$X$15,ROW(AU112)-ROW(AU$15),0),
              ROUND(ROUND(OFFSET($P112,0,AU$13),15-13*ORÇAMENTO!$AF$7)*OFFSET(ORÇAMENTO!$W$15,ROW(AU112)-ROW(AU$15),0),15-13*ORÇAMENTO!$AF$11)),
         0)</f>
        <v>0</v>
      </c>
      <c r="AV112" s="452">
        <f ca="1">IF(AND($D112="Serviço",AV$12&lt;&gt;0,$H112&gt;0,OR(AUTOEVENTO&lt;&gt;"manual",$M112&lt;&gt;$A$15)),
        IF(Import.TipoArredondamento&lt;&gt;"TransfereGOV",
              ROUND(OFFSET($P112,0,AV$13),15-13*ORÇAMENTO!$AF$7)/$H112*OFFSET(ORÇAMENTO!$X$15,ROW(AV112)-ROW(AV$15),0),
              ROUND(ROUND(OFFSET($P112,0,AV$13),15-13*ORÇAMENTO!$AF$7)*OFFSET(ORÇAMENTO!$W$15,ROW(AV112)-ROW(AV$15),0),15-13*ORÇAMENTO!$AF$11)),
         0)</f>
        <v>0</v>
      </c>
      <c r="AW112" s="452">
        <f ca="1">IF(AND($D112="Serviço",AW$12&lt;&gt;0,$H112&gt;0,OR(AUTOEVENTO&lt;&gt;"manual",$M112&lt;&gt;$A$15)),
        IF(Import.TipoArredondamento&lt;&gt;"TransfereGOV",
              ROUND(OFFSET($P112,0,AW$13),15-13*ORÇAMENTO!$AF$7)/$H112*OFFSET(ORÇAMENTO!$X$15,ROW(AW112)-ROW(AW$15),0),
              ROUND(ROUND(OFFSET($P112,0,AW$13),15-13*ORÇAMENTO!$AF$7)*OFFSET(ORÇAMENTO!$W$15,ROW(AW112)-ROW(AW$15),0),15-13*ORÇAMENTO!$AF$11)),
         0)</f>
        <v>0</v>
      </c>
      <c r="AX112" s="452">
        <f ca="1">IF(AND($D112="Serviço",AX$12&lt;&gt;0,$H112&gt;0,OR(AUTOEVENTO&lt;&gt;"manual",$M112&lt;&gt;$A$15)),
        IF(Import.TipoArredondamento&lt;&gt;"TransfereGOV",
              ROUND(OFFSET($P112,0,AX$13),15-13*ORÇAMENTO!$AF$7)/$H112*OFFSET(ORÇAMENTO!$X$15,ROW(AX112)-ROW(AX$15),0),
              ROUND(ROUND(OFFSET($P112,0,AX$13),15-13*ORÇAMENTO!$AF$7)*OFFSET(ORÇAMENTO!$W$15,ROW(AX112)-ROW(AX$15),0),15-13*ORÇAMENTO!$AF$11)),
         0)</f>
        <v>0</v>
      </c>
      <c r="AY112" s="452">
        <f ca="1">IF(AND($D112="Serviço",AY$12&lt;&gt;0,$H112&gt;0,OR(AUTOEVENTO&lt;&gt;"manual",$M112&lt;&gt;$A$15)),
        IF(Import.TipoArredondamento&lt;&gt;"TransfereGOV",
              ROUND(OFFSET($P112,0,AY$13),15-13*ORÇAMENTO!$AF$7)/$H112*OFFSET(ORÇAMENTO!$X$15,ROW(AY112)-ROW(AY$15),0),
              ROUND(ROUND(OFFSET($P112,0,AY$13),15-13*ORÇAMENTO!$AF$7)*OFFSET(ORÇAMENTO!$W$15,ROW(AY112)-ROW(AY$15),0),15-13*ORÇAMENTO!$AF$11)),
         0)</f>
        <v>0</v>
      </c>
      <c r="AZ112" s="452">
        <f ca="1">IF(AND($D112="Serviço",AZ$12&lt;&gt;0,$H112&gt;0,OR(AUTOEVENTO&lt;&gt;"manual",$M112&lt;&gt;$A$15)),
        IF(Import.TipoArredondamento&lt;&gt;"TransfereGOV",
              ROUND(OFFSET($P112,0,AZ$13),15-13*ORÇAMENTO!$AF$7)/$H112*OFFSET(ORÇAMENTO!$X$15,ROW(AZ112)-ROW(AZ$15),0),
              ROUND(ROUND(OFFSET($P112,0,AZ$13),15-13*ORÇAMENTO!$AF$7)*OFFSET(ORÇAMENTO!$W$15,ROW(AZ112)-ROW(AZ$15),0),15-13*ORÇAMENTO!$AF$11)),
         0)</f>
        <v>0</v>
      </c>
      <c r="BA112" s="452">
        <f ca="1">IF(AND($D112="Serviço",BA$12&lt;&gt;0,$H112&gt;0,OR(AUTOEVENTO&lt;&gt;"manual",$M112&lt;&gt;$A$15)),
        IF(Import.TipoArredondamento&lt;&gt;"TransfereGOV",
              ROUND(OFFSET($P112,0,BA$13),15-13*ORÇAMENTO!$AF$7)/$H112*OFFSET(ORÇAMENTO!$X$15,ROW(BA112)-ROW(BA$15),0),
              ROUND(ROUND(OFFSET($P112,0,BA$13),15-13*ORÇAMENTO!$AF$7)*OFFSET(ORÇAMENTO!$W$15,ROW(BA112)-ROW(BA$15),0),15-13*ORÇAMENTO!$AF$11)),
         0)</f>
        <v>0</v>
      </c>
      <c r="BC112" s="171">
        <f ca="1">IF(OR($D112&lt;&gt;"Serviço",AND(AUTOEVENTO="Manual",$M112=$A$15)),0,
         IF(OFFSET(CRONOPLE!$F$15,$M112-$A$15,BC$13)=0,10^12,OFFSET(CRONOPLE!$F$15,$M112-$A$15,BC$13)))</f>
        <v>0</v>
      </c>
      <c r="BD112" s="171">
        <f ca="1">IF(OR($D112&lt;&gt;"Serviço",AND(AUTOEVENTO="Manual",$M112=$A$15)),0,
         IF(OFFSET(CRONOPLE!$F$15,$M112-$A$15,BD$13)=0,10^12,OFFSET(CRONOPLE!$F$15,$M112-$A$15,BD$13)))</f>
        <v>0</v>
      </c>
      <c r="BE112" s="171">
        <f ca="1">IF(OR($D112&lt;&gt;"Serviço",AND(AUTOEVENTO="Manual",$M112=$A$15)),0,
         IF(OFFSET(CRONOPLE!$F$15,$M112-$A$15,BE$13)=0,10^12,OFFSET(CRONOPLE!$F$15,$M112-$A$15,BE$13)))</f>
        <v>0</v>
      </c>
      <c r="BF112" s="171">
        <f ca="1">IF(OR($D112&lt;&gt;"Serviço",AND(AUTOEVENTO="Manual",$M112=$A$15)),0,
         IF(OFFSET(CRONOPLE!$F$15,$M112-$A$15,BF$13)=0,10^12,OFFSET(CRONOPLE!$F$15,$M112-$A$15,BF$13)))</f>
        <v>0</v>
      </c>
      <c r="BG112" s="171">
        <f ca="1">IF(OR($D112&lt;&gt;"Serviço",AND(AUTOEVENTO="Manual",$M112=$A$15)),0,
         IF(OFFSET(CRONOPLE!$F$15,$M112-$A$15,BG$13)=0,10^12,OFFSET(CRONOPLE!$F$15,$M112-$A$15,BG$13)))</f>
        <v>0</v>
      </c>
      <c r="BH112" s="171">
        <f ca="1">IF(OR($D112&lt;&gt;"Serviço",AND(AUTOEVENTO="Manual",$M112=$A$15)),0,
         IF(OFFSET(CRONOPLE!$F$15,$M112-$A$15,BH$13)=0,10^12,OFFSET(CRONOPLE!$F$15,$M112-$A$15,BH$13)))</f>
        <v>0</v>
      </c>
      <c r="BI112" s="171">
        <f ca="1">IF(OR($D112&lt;&gt;"Serviço",AND(AUTOEVENTO="Manual",$M112=$A$15)),0,
         IF(OFFSET(CRONOPLE!$F$15,$M112-$A$15,BI$13)=0,10^12,OFFSET(CRONOPLE!$F$15,$M112-$A$15,BI$13)))</f>
        <v>0</v>
      </c>
      <c r="BJ112" s="171">
        <f ca="1">IF(OR($D112&lt;&gt;"Serviço",AND(AUTOEVENTO="Manual",$M112=$A$15)),0,
         IF(OFFSET(CRONOPLE!$F$15,$M112-$A$15,BJ$13)=0,10^12,OFFSET(CRONOPLE!$F$15,$M112-$A$15,BJ$13)))</f>
        <v>0</v>
      </c>
      <c r="BK112" s="171">
        <f ca="1">IF(OR($D112&lt;&gt;"Serviço",AND(AUTOEVENTO="Manual",$M112=$A$15)),0,
         IF(OFFSET(CRONOPLE!$F$15,$M112-$A$15,BK$13)=0,10^12,OFFSET(CRONOPLE!$F$15,$M112-$A$15,BK$13)))</f>
        <v>0</v>
      </c>
      <c r="BL112" s="171">
        <f ca="1">IF(OR($D112&lt;&gt;"Serviço",AND(AUTOEVENTO="Manual",$M112=$A$15)),0,
         IF(OFFSET(CRONOPLE!$F$15,$M112-$A$15,BL$13)=0,10^12,OFFSET(CRONOPLE!$F$15,$M112-$A$15,BL$13)))</f>
        <v>0</v>
      </c>
      <c r="BM112" s="171">
        <f ca="1">IF(OR($D112&lt;&gt;"Serviço",AND(AUTOEVENTO="Manual",$M112=$A$15)),0,
         IF(OFFSET(CRONOPLE!$F$15,$M112-$A$15,BM$13)=0,10^12,OFFSET(CRONOPLE!$F$15,$M112-$A$15,BM$13)))</f>
        <v>0</v>
      </c>
      <c r="BN112" s="171">
        <f ca="1">IF(OR($D112&lt;&gt;"Serviço",AND(AUTOEVENTO="Manual",$M112=$A$15)),0,
         IF(OFFSET(CRONOPLE!$F$15,$M112-$A$15,BN$13)=0,10^12,OFFSET(CRONOPLE!$F$15,$M112-$A$15,BN$13)))</f>
        <v>0</v>
      </c>
      <c r="BO112" s="171">
        <f ca="1">IF(OR($D112&lt;&gt;"Serviço",AND(AUTOEVENTO="Manual",$M112=$A$15)),0,
         IF(OFFSET(CRONOPLE!$F$15,$M112-$A$15,BO$13)=0,10^12,OFFSET(CRONOPLE!$F$15,$M112-$A$15,BO$13)))</f>
        <v>0</v>
      </c>
      <c r="BP112" s="171">
        <f ca="1">IF(OR($D112&lt;&gt;"Serviço",AND(AUTOEVENTO="Manual",$M112=$A$15)),0,
         IF(OFFSET(CRONOPLE!$F$15,$M112-$A$15,BP$13)=0,10^12,OFFSET(CRONOPLE!$F$15,$M112-$A$15,BP$13)))</f>
        <v>0</v>
      </c>
      <c r="BQ112" s="171">
        <f ca="1">IF(OR($D112&lt;&gt;"Serviço",AND(AUTOEVENTO="Manual",$M112=$A$15)),0,
         IF(OFFSET(CRONOPLE!$F$15,$M112-$A$15,BQ$13)=0,10^12,OFFSET(CRONOPLE!$F$15,$M112-$A$15,BQ$13)))</f>
        <v>0</v>
      </c>
      <c r="BR112" s="171">
        <f ca="1">IF(OR($D112&lt;&gt;"Serviço",AND(AUTOEVENTO="Manual",$M112=$A$15)),0,
         IF(OFFSET(CRONOPLE!$F$15,$M112-$A$15,BR$13)=0,10^12,OFFSET(CRONOPLE!$F$15,$M112-$A$15,BR$13)))</f>
        <v>0</v>
      </c>
      <c r="BS112" s="171">
        <f ca="1">IF(OR($D112&lt;&gt;"Serviço",AND(AUTOEVENTO="Manual",$M112=$A$15)),0,
         IF(OFFSET(CRONOPLE!$F$15,$M112-$A$15,BS$13)=0,10^12,OFFSET(CRONOPLE!$F$15,$M112-$A$15,BS$13)))</f>
        <v>0</v>
      </c>
      <c r="BT112" s="171">
        <f ca="1">IF(OR($D112&lt;&gt;"Serviço",AND(AUTOEVENTO="Manual",$M112=$A$15)),0,
         IF(OFFSET(CRONOPLE!$F$15,$M112-$A$15,BT$13)=0,10^12,OFFSET(CRONOPLE!$F$15,$M112-$A$15,BT$13)))</f>
        <v>0</v>
      </c>
      <c r="BV112" s="172">
        <f t="array" aca="1" ref="BV112" ca="1">IF(OR($D112&lt;&gt;"Serviço",AND(AUTOEVENTO="Manual",$M112=$A$15),$M112&gt;(ROW(PLE.lastrow)-ROW(PLE.firstrow))),0,
           IF(OFFSET(PLE!$G$15,$M112-$A$15,BV$13)="",10^12,OFFSET(PLE!$G$15,$M112-$A$15,BV$13)))</f>
        <v>0</v>
      </c>
      <c r="BW112" s="172">
        <f t="array" aca="1" ref="BW112" ca="1">IF(OR($D112&lt;&gt;"Serviço",AND(AUTOEVENTO="Manual",$M112=$A$15),$M112&gt;(ROW(PLE.lastrow)-ROW(PLE.firstrow))),0,
           IF(OFFSET(PLE!$G$15,$M112-$A$15,BW$13)="",10^12,OFFSET(PLE!$G$15,$M112-$A$15,BW$13)))</f>
        <v>0</v>
      </c>
      <c r="BX112" s="172">
        <f t="array" aca="1" ref="BX112" ca="1">IF(OR($D112&lt;&gt;"Serviço",AND(AUTOEVENTO="Manual",$M112=$A$15),$M112&gt;(ROW(PLE.lastrow)-ROW(PLE.firstrow))),0,
           IF(OFFSET(PLE!$G$15,$M112-$A$15,BX$13)="",10^12,OFFSET(PLE!$G$15,$M112-$A$15,BX$13)))</f>
        <v>0</v>
      </c>
      <c r="BY112" s="172">
        <f t="array" aca="1" ref="BY112" ca="1">IF(OR($D112&lt;&gt;"Serviço",AND(AUTOEVENTO="Manual",$M112=$A$15),$M112&gt;(ROW(PLE.lastrow)-ROW(PLE.firstrow))),0,
           IF(OFFSET(PLE!$G$15,$M112-$A$15,BY$13)="",10^12,OFFSET(PLE!$G$15,$M112-$A$15,BY$13)))</f>
        <v>0</v>
      </c>
      <c r="BZ112" s="172">
        <f t="array" aca="1" ref="BZ112" ca="1">IF(OR($D112&lt;&gt;"Serviço",AND(AUTOEVENTO="Manual",$M112=$A$15),$M112&gt;(ROW(PLE.lastrow)-ROW(PLE.firstrow))),0,
           IF(OFFSET(PLE!$G$15,$M112-$A$15,BZ$13)="",10^12,OFFSET(PLE!$G$15,$M112-$A$15,BZ$13)))</f>
        <v>0</v>
      </c>
      <c r="CA112" s="172">
        <f t="array" aca="1" ref="CA112" ca="1">IF(OR($D112&lt;&gt;"Serviço",AND(AUTOEVENTO="Manual",$M112=$A$15),$M112&gt;(ROW(PLE.lastrow)-ROW(PLE.firstrow))),0,
           IF(OFFSET(PLE!$G$15,$M112-$A$15,CA$13)="",10^12,OFFSET(PLE!$G$15,$M112-$A$15,CA$13)))</f>
        <v>0</v>
      </c>
      <c r="CB112" s="172">
        <f t="array" aca="1" ref="CB112" ca="1">IF(OR($D112&lt;&gt;"Serviço",AND(AUTOEVENTO="Manual",$M112=$A$15),$M112&gt;(ROW(PLE.lastrow)-ROW(PLE.firstrow))),0,
           IF(OFFSET(PLE!$G$15,$M112-$A$15,CB$13)="",10^12,OFFSET(PLE!$G$15,$M112-$A$15,CB$13)))</f>
        <v>0</v>
      </c>
      <c r="CC112" s="172">
        <f t="array" aca="1" ref="CC112" ca="1">IF(OR($D112&lt;&gt;"Serviço",AND(AUTOEVENTO="Manual",$M112=$A$15),$M112&gt;(ROW(PLE.lastrow)-ROW(PLE.firstrow))),0,
           IF(OFFSET(PLE!$G$15,$M112-$A$15,CC$13)="",10^12,OFFSET(PLE!$G$15,$M112-$A$15,CC$13)))</f>
        <v>0</v>
      </c>
      <c r="CD112" s="172">
        <f t="array" aca="1" ref="CD112" ca="1">IF(OR($D112&lt;&gt;"Serviço",AND(AUTOEVENTO="Manual",$M112=$A$15),$M112&gt;(ROW(PLE.lastrow)-ROW(PLE.firstrow))),0,
           IF(OFFSET(PLE!$G$15,$M112-$A$15,CD$13)="",10^12,OFFSET(PLE!$G$15,$M112-$A$15,CD$13)))</f>
        <v>0</v>
      </c>
      <c r="CE112" s="172">
        <f t="array" aca="1" ref="CE112" ca="1">IF(OR($D112&lt;&gt;"Serviço",AND(AUTOEVENTO="Manual",$M112=$A$15),$M112&gt;(ROW(PLE.lastrow)-ROW(PLE.firstrow))),0,
           IF(OFFSET(PLE!$G$15,$M112-$A$15,CE$13)="",10^12,OFFSET(PLE!$G$15,$M112-$A$15,CE$13)))</f>
        <v>0</v>
      </c>
      <c r="CF112" s="172">
        <f t="array" aca="1" ref="CF112" ca="1">IF(OR($D112&lt;&gt;"Serviço",AND(AUTOEVENTO="Manual",$M112=$A$15),$M112&gt;(ROW(PLE.lastrow)-ROW(PLE.firstrow))),0,
           IF(OFFSET(PLE!$G$15,$M112-$A$15,CF$13)="",10^12,OFFSET(PLE!$G$15,$M112-$A$15,CF$13)))</f>
        <v>0</v>
      </c>
      <c r="CG112" s="172">
        <f t="array" aca="1" ref="CG112" ca="1">IF(OR($D112&lt;&gt;"Serviço",AND(AUTOEVENTO="Manual",$M112=$A$15),$M112&gt;(ROW(PLE.lastrow)-ROW(PLE.firstrow))),0,
           IF(OFFSET(PLE!$G$15,$M112-$A$15,CG$13)="",10^12,OFFSET(PLE!$G$15,$M112-$A$15,CG$13)))</f>
        <v>0</v>
      </c>
      <c r="CH112" s="172">
        <f t="array" aca="1" ref="CH112" ca="1">IF(OR($D112&lt;&gt;"Serviço",AND(AUTOEVENTO="Manual",$M112=$A$15),$M112&gt;(ROW(PLE.lastrow)-ROW(PLE.firstrow))),0,
           IF(OFFSET(PLE!$G$15,$M112-$A$15,CH$13)="",10^12,OFFSET(PLE!$G$15,$M112-$A$15,CH$13)))</f>
        <v>0</v>
      </c>
      <c r="CI112" s="172">
        <f t="array" aca="1" ref="CI112" ca="1">IF(OR($D112&lt;&gt;"Serviço",AND(AUTOEVENTO="Manual",$M112=$A$15),$M112&gt;(ROW(PLE.lastrow)-ROW(PLE.firstrow))),0,
           IF(OFFSET(PLE!$G$15,$M112-$A$15,CI$13)="",10^12,OFFSET(PLE!$G$15,$M112-$A$15,CI$13)))</f>
        <v>0</v>
      </c>
      <c r="CJ112" s="172">
        <f t="array" aca="1" ref="CJ112" ca="1">IF(OR($D112&lt;&gt;"Serviço",AND(AUTOEVENTO="Manual",$M112=$A$15),$M112&gt;(ROW(PLE.lastrow)-ROW(PLE.firstrow))),0,
           IF(OFFSET(PLE!$G$15,$M112-$A$15,CJ$13)="",10^12,OFFSET(PLE!$G$15,$M112-$A$15,CJ$13)))</f>
        <v>0</v>
      </c>
      <c r="CK112" s="172">
        <f t="array" aca="1" ref="CK112" ca="1">IF(OR($D112&lt;&gt;"Serviço",AND(AUTOEVENTO="Manual",$M112=$A$15),$M112&gt;(ROW(PLE.lastrow)-ROW(PLE.firstrow))),0,
           IF(OFFSET(PLE!$G$15,$M112-$A$15,CK$13)="",10^12,OFFSET(PLE!$G$15,$M112-$A$15,CK$13)))</f>
        <v>0</v>
      </c>
      <c r="CL112" s="172">
        <f t="array" aca="1" ref="CL112" ca="1">IF(OR($D112&lt;&gt;"Serviço",AND(AUTOEVENTO="Manual",$M112=$A$15),$M112&gt;(ROW(PLE.lastrow)-ROW(PLE.firstrow))),0,
           IF(OFFSET(PLE!$G$15,$M112-$A$15,CL$13)="",10^12,OFFSET(PLE!$G$15,$M112-$A$15,CL$13)))</f>
        <v>0</v>
      </c>
      <c r="CM112" s="172">
        <f t="array" aca="1" ref="CM112" ca="1">IF(OR($D112&lt;&gt;"Serviço",AND(AUTOEVENTO="Manual",$M112=$A$15),$M112&gt;(ROW(PLE.lastrow)-ROW(PLE.firstrow))),0,
           IF(OFFSET(PLE!$G$15,$M112-$A$15,CM$13)="",10^12,OFFSET(PLE!$G$15,$M112-$A$15,CM$13)))</f>
        <v>0</v>
      </c>
    </row>
    <row r="113" spans="1:91" s="696" customFormat="1" ht="51" x14ac:dyDescent="0.2">
      <c r="A113" s="694">
        <f t="shared" ca="1" si="45"/>
        <v>21</v>
      </c>
      <c r="B113" s="694" t="str">
        <f ca="1">OFFSET(ORÇAMENTO!C$15,$L113,0)</f>
        <v>S</v>
      </c>
      <c r="C113" s="694" t="str">
        <f ca="1">OFFSET(ORÇAMENTO!L$15,$L113,0)</f>
        <v>F</v>
      </c>
      <c r="D113" s="116" t="str">
        <f ca="1">OFFSET(ORÇAMENTO!N$15,$L113,0)</f>
        <v>Serviço</v>
      </c>
      <c r="E113" s="117" t="str">
        <f ca="1">OFFSET(ORÇAMENTO!O$15,$L113,0)</f>
        <v>1.20.1.</v>
      </c>
      <c r="F113" s="163" t="str">
        <f ca="1">OFFSET(ORÇAMENTO!R$15,$L113,0)</f>
        <v>COMPACTAÇÃO MECÂNICA DE SOLO PARA EXECUÇÃO DE RADIER, PISO DE CONCRETO OU LAJE SOBRE SOLO, COM COMPACTADOR DE SOLOS TIPO PLACA VIBRATÓRIA. AF_09/2021</v>
      </c>
      <c r="G113" s="164" t="str">
        <f ca="1">IF($D113&lt;&gt;"Serviço","",OFFSET(ORÇAMENTO!S$15,$L113,0))</f>
        <v>M2</v>
      </c>
      <c r="H113" s="122">
        <f t="array" aca="1" ref="H113" ca="1">IF($D113&lt;&gt;"Serviço",0,IF(ACOMPANHAMENTO="BM",ROUND(OFFSET(ORÇAMENTO!AJ$15,$L113,0),15-13*ORÇAMENTO!$AF$7),IF(IFERROR(CÁLCULO.FrentesPreenchidas,0)=0,0,SUM(ROUND(OFFSET($P113,0,1,1,CÁLCULO.FrentesPreenchidas),15-13*ORÇAMENTO!$AF$7)))))</f>
        <v>1077.4000000000001</v>
      </c>
      <c r="I113" s="467" t="s">
        <v>1271</v>
      </c>
      <c r="J113" s="653" t="str">
        <f t="array" aca="1" ref="J113" ca="1">IF(OR(B113&lt;&gt;"S",CÁLCULO.FrentesPreenchidas=0),"",IF(AND(ACOMPANHAMENTO="PLE",AUTOEVENTO="Manual",OR(H113&gt;0,ORÇAMENTO!AC113="QUANT."),OR(K113="",M113=0,N113="")),"►E",IF(AND(ACOMPANHAMENTO="PLE",ORÇAMENTO!AC113="QUANT."),"►Q",IF(AND(ACOMPANHAMENTO="PLE",H113&lt;&gt;SUMPRODUCT(($Q$1:$AI$1=1)*ROUND(Q113:AI113,15))),"►S",IF(AND(COUNTIF($P$11:$AI$11,"▼")=0,H113&gt;0,I113=""),"◄M","")))))</f>
        <v/>
      </c>
      <c r="K113" s="654" t="s">
        <v>1418</v>
      </c>
      <c r="L113" s="165">
        <f t="shared" ca="1" si="46"/>
        <v>98</v>
      </c>
      <c r="M113" s="166">
        <f ca="1">IF($D113&lt;&gt;"Serviço","",
          IF(AUTOEVENTO="manual",$A113,
                IF(ISERROR(MATCH($A113,$A$15:OFFSET($A113,-1,0),0)),MAX($M$15:OFFSET(M113,-1,0))+1,
                      INDEX($M$15:OFFSET(M113,-1,0),MATCH($A113,$A$15:OFFSET($A113,-1,0),0)))))</f>
        <v>21</v>
      </c>
      <c r="N113" s="167" t="str">
        <f ca="1">IF($D113&lt;&gt;"Serviço","",
         IF(AUTOEVENTO="Manual",
                IF($A113=0,"&lt;-- defina o número do agrupador",
                       OFFSET(EVENTOS!$D$15,$A113-$A$15,0)),
                OFFSET($F$15,$A113,0)))</f>
        <v>IMPERMEABILIZAÇÕES DE PISOS</v>
      </c>
      <c r="O113" s="168"/>
      <c r="Q113" s="169">
        <f>53.87*5</f>
        <v>269.34999999999997</v>
      </c>
      <c r="R113" s="169">
        <f t="shared" ref="R113:T113" si="69">53.87*5</f>
        <v>269.34999999999997</v>
      </c>
      <c r="S113" s="169">
        <f t="shared" si="69"/>
        <v>269.34999999999997</v>
      </c>
      <c r="T113" s="169">
        <f t="shared" si="69"/>
        <v>269.34999999999997</v>
      </c>
      <c r="U113" s="169"/>
      <c r="V113" s="169"/>
      <c r="W113" s="169"/>
      <c r="X113" s="169"/>
      <c r="Y113" s="169"/>
      <c r="Z113" s="170"/>
      <c r="AA113" s="169"/>
      <c r="AB113" s="169"/>
      <c r="AC113" s="169"/>
      <c r="AD113" s="169"/>
      <c r="AE113" s="169"/>
      <c r="AF113" s="169"/>
      <c r="AG113" s="169"/>
      <c r="AH113" s="170"/>
      <c r="AJ113" s="452">
        <f ca="1">IF(AND($D113="Serviço",AJ$12&lt;&gt;0,$H113&gt;0,OR(AUTOEVENTO&lt;&gt;"manual",$M113&lt;&gt;$A$15)),
        IF(Import.TipoArredondamento&lt;&gt;"TransfereGOV",
              ROUND(OFFSET($P113,0,AJ$13),15-13*ORÇAMENTO!$AF$7)/$H113*OFFSET(ORÇAMENTO!$X$15,ROW(AJ113)-ROW(AJ$15),0),
              ROUND(ROUND(OFFSET($P113,0,AJ$13),15-13*ORÇAMENTO!$AF$7)*OFFSET(ORÇAMENTO!$W$15,ROW(AJ113)-ROW(AJ$15),0),15-13*ORÇAMENTO!$AF$11)),
         0)</f>
        <v>228.95</v>
      </c>
      <c r="AK113" s="452">
        <f ca="1">IF(AND($D113="Serviço",AK$12&lt;&gt;0,$H113&gt;0,OR(AUTOEVENTO&lt;&gt;"manual",$M113&lt;&gt;$A$15)),
        IF(Import.TipoArredondamento&lt;&gt;"TransfereGOV",
              ROUND(OFFSET($P113,0,AK$13),15-13*ORÇAMENTO!$AF$7)/$H113*OFFSET(ORÇAMENTO!$X$15,ROW(AK113)-ROW(AK$15),0),
              ROUND(ROUND(OFFSET($P113,0,AK$13),15-13*ORÇAMENTO!$AF$7)*OFFSET(ORÇAMENTO!$W$15,ROW(AK113)-ROW(AK$15),0),15-13*ORÇAMENTO!$AF$11)),
         0)</f>
        <v>228.95</v>
      </c>
      <c r="AL113" s="452">
        <f ca="1">IF(AND($D113="Serviço",AL$12&lt;&gt;0,$H113&gt;0,OR(AUTOEVENTO&lt;&gt;"manual",$M113&lt;&gt;$A$15)),
        IF(Import.TipoArredondamento&lt;&gt;"TransfereGOV",
              ROUND(OFFSET($P113,0,AL$13),15-13*ORÇAMENTO!$AF$7)/$H113*OFFSET(ORÇAMENTO!$X$15,ROW(AL113)-ROW(AL$15),0),
              ROUND(ROUND(OFFSET($P113,0,AL$13),15-13*ORÇAMENTO!$AF$7)*OFFSET(ORÇAMENTO!$W$15,ROW(AL113)-ROW(AL$15),0),15-13*ORÇAMENTO!$AF$11)),
         0)</f>
        <v>228.95</v>
      </c>
      <c r="AM113" s="452">
        <f ca="1">IF(AND($D113="Serviço",AM$12&lt;&gt;0,$H113&gt;0,OR(AUTOEVENTO&lt;&gt;"manual",$M113&lt;&gt;$A$15)),
        IF(Import.TipoArredondamento&lt;&gt;"TransfereGOV",
              ROUND(OFFSET($P113,0,AM$13),15-13*ORÇAMENTO!$AF$7)/$H113*OFFSET(ORÇAMENTO!$X$15,ROW(AM113)-ROW(AM$15),0),
              ROUND(ROUND(OFFSET($P113,0,AM$13),15-13*ORÇAMENTO!$AF$7)*OFFSET(ORÇAMENTO!$W$15,ROW(AM113)-ROW(AM$15),0),15-13*ORÇAMENTO!$AF$11)),
         0)</f>
        <v>228.95</v>
      </c>
      <c r="AN113" s="452">
        <f ca="1">IF(AND($D113="Serviço",AN$12&lt;&gt;0,$H113&gt;0,OR(AUTOEVENTO&lt;&gt;"manual",$M113&lt;&gt;$A$15)),
        IF(Import.TipoArredondamento&lt;&gt;"TransfereGOV",
              ROUND(OFFSET($P113,0,AN$13),15-13*ORÇAMENTO!$AF$7)/$H113*OFFSET(ORÇAMENTO!$X$15,ROW(AN113)-ROW(AN$15),0),
              ROUND(ROUND(OFFSET($P113,0,AN$13),15-13*ORÇAMENTO!$AF$7)*OFFSET(ORÇAMENTO!$W$15,ROW(AN113)-ROW(AN$15),0),15-13*ORÇAMENTO!$AF$11)),
         0)</f>
        <v>0</v>
      </c>
      <c r="AO113" s="452">
        <f ca="1">IF(AND($D113="Serviço",AO$12&lt;&gt;0,$H113&gt;0,OR(AUTOEVENTO&lt;&gt;"manual",$M113&lt;&gt;$A$15)),
        IF(Import.TipoArredondamento&lt;&gt;"TransfereGOV",
              ROUND(OFFSET($P113,0,AO$13),15-13*ORÇAMENTO!$AF$7)/$H113*OFFSET(ORÇAMENTO!$X$15,ROW(AO113)-ROW(AO$15),0),
              ROUND(ROUND(OFFSET($P113,0,AO$13),15-13*ORÇAMENTO!$AF$7)*OFFSET(ORÇAMENTO!$W$15,ROW(AO113)-ROW(AO$15),0),15-13*ORÇAMENTO!$AF$11)),
         0)</f>
        <v>0</v>
      </c>
      <c r="AP113" s="452">
        <f ca="1">IF(AND($D113="Serviço",AP$12&lt;&gt;0,$H113&gt;0,OR(AUTOEVENTO&lt;&gt;"manual",$M113&lt;&gt;$A$15)),
        IF(Import.TipoArredondamento&lt;&gt;"TransfereGOV",
              ROUND(OFFSET($P113,0,AP$13),15-13*ORÇAMENTO!$AF$7)/$H113*OFFSET(ORÇAMENTO!$X$15,ROW(AP113)-ROW(AP$15),0),
              ROUND(ROUND(OFFSET($P113,0,AP$13),15-13*ORÇAMENTO!$AF$7)*OFFSET(ORÇAMENTO!$W$15,ROW(AP113)-ROW(AP$15),0),15-13*ORÇAMENTO!$AF$11)),
         0)</f>
        <v>0</v>
      </c>
      <c r="AQ113" s="452">
        <f ca="1">IF(AND($D113="Serviço",AQ$12&lt;&gt;0,$H113&gt;0,OR(AUTOEVENTO&lt;&gt;"manual",$M113&lt;&gt;$A$15)),
        IF(Import.TipoArredondamento&lt;&gt;"TransfereGOV",
              ROUND(OFFSET($P113,0,AQ$13),15-13*ORÇAMENTO!$AF$7)/$H113*OFFSET(ORÇAMENTO!$X$15,ROW(AQ113)-ROW(AQ$15),0),
              ROUND(ROUND(OFFSET($P113,0,AQ$13),15-13*ORÇAMENTO!$AF$7)*OFFSET(ORÇAMENTO!$W$15,ROW(AQ113)-ROW(AQ$15),0),15-13*ORÇAMENTO!$AF$11)),
         0)</f>
        <v>0</v>
      </c>
      <c r="AR113" s="452">
        <f ca="1">IF(AND($D113="Serviço",AR$12&lt;&gt;0,$H113&gt;0,OR(AUTOEVENTO&lt;&gt;"manual",$M113&lt;&gt;$A$15)),
        IF(Import.TipoArredondamento&lt;&gt;"TransfereGOV",
              ROUND(OFFSET($P113,0,AR$13),15-13*ORÇAMENTO!$AF$7)/$H113*OFFSET(ORÇAMENTO!$X$15,ROW(AR113)-ROW(AR$15),0),
              ROUND(ROUND(OFFSET($P113,0,AR$13),15-13*ORÇAMENTO!$AF$7)*OFFSET(ORÇAMENTO!$W$15,ROW(AR113)-ROW(AR$15),0),15-13*ORÇAMENTO!$AF$11)),
         0)</f>
        <v>0</v>
      </c>
      <c r="AS113" s="452">
        <f ca="1">IF(AND($D113="Serviço",AS$12&lt;&gt;0,$H113&gt;0,OR(AUTOEVENTO&lt;&gt;"manual",$M113&lt;&gt;$A$15)),
        IF(Import.TipoArredondamento&lt;&gt;"TransfereGOV",
              ROUND(OFFSET($P113,0,AS$13),15-13*ORÇAMENTO!$AF$7)/$H113*OFFSET(ORÇAMENTO!$X$15,ROW(AS113)-ROW(AS$15),0),
              ROUND(ROUND(OFFSET($P113,0,AS$13),15-13*ORÇAMENTO!$AF$7)*OFFSET(ORÇAMENTO!$W$15,ROW(AS113)-ROW(AS$15),0),15-13*ORÇAMENTO!$AF$11)),
         0)</f>
        <v>0</v>
      </c>
      <c r="AT113" s="452">
        <f ca="1">IF(AND($D113="Serviço",AT$12&lt;&gt;0,$H113&gt;0,OR(AUTOEVENTO&lt;&gt;"manual",$M113&lt;&gt;$A$15)),
        IF(Import.TipoArredondamento&lt;&gt;"TransfereGOV",
              ROUND(OFFSET($P113,0,AT$13),15-13*ORÇAMENTO!$AF$7)/$H113*OFFSET(ORÇAMENTO!$X$15,ROW(AT113)-ROW(AT$15),0),
              ROUND(ROUND(OFFSET($P113,0,AT$13),15-13*ORÇAMENTO!$AF$7)*OFFSET(ORÇAMENTO!$W$15,ROW(AT113)-ROW(AT$15),0),15-13*ORÇAMENTO!$AF$11)),
         0)</f>
        <v>0</v>
      </c>
      <c r="AU113" s="452">
        <f ca="1">IF(AND($D113="Serviço",AU$12&lt;&gt;0,$H113&gt;0,OR(AUTOEVENTO&lt;&gt;"manual",$M113&lt;&gt;$A$15)),
        IF(Import.TipoArredondamento&lt;&gt;"TransfereGOV",
              ROUND(OFFSET($P113,0,AU$13),15-13*ORÇAMENTO!$AF$7)/$H113*OFFSET(ORÇAMENTO!$X$15,ROW(AU113)-ROW(AU$15),0),
              ROUND(ROUND(OFFSET($P113,0,AU$13),15-13*ORÇAMENTO!$AF$7)*OFFSET(ORÇAMENTO!$W$15,ROW(AU113)-ROW(AU$15),0),15-13*ORÇAMENTO!$AF$11)),
         0)</f>
        <v>0</v>
      </c>
      <c r="AV113" s="452">
        <f ca="1">IF(AND($D113="Serviço",AV$12&lt;&gt;0,$H113&gt;0,OR(AUTOEVENTO&lt;&gt;"manual",$M113&lt;&gt;$A$15)),
        IF(Import.TipoArredondamento&lt;&gt;"TransfereGOV",
              ROUND(OFFSET($P113,0,AV$13),15-13*ORÇAMENTO!$AF$7)/$H113*OFFSET(ORÇAMENTO!$X$15,ROW(AV113)-ROW(AV$15),0),
              ROUND(ROUND(OFFSET($P113,0,AV$13),15-13*ORÇAMENTO!$AF$7)*OFFSET(ORÇAMENTO!$W$15,ROW(AV113)-ROW(AV$15),0),15-13*ORÇAMENTO!$AF$11)),
         0)</f>
        <v>0</v>
      </c>
      <c r="AW113" s="452">
        <f ca="1">IF(AND($D113="Serviço",AW$12&lt;&gt;0,$H113&gt;0,OR(AUTOEVENTO&lt;&gt;"manual",$M113&lt;&gt;$A$15)),
        IF(Import.TipoArredondamento&lt;&gt;"TransfereGOV",
              ROUND(OFFSET($P113,0,AW$13),15-13*ORÇAMENTO!$AF$7)/$H113*OFFSET(ORÇAMENTO!$X$15,ROW(AW113)-ROW(AW$15),0),
              ROUND(ROUND(OFFSET($P113,0,AW$13),15-13*ORÇAMENTO!$AF$7)*OFFSET(ORÇAMENTO!$W$15,ROW(AW113)-ROW(AW$15),0),15-13*ORÇAMENTO!$AF$11)),
         0)</f>
        <v>0</v>
      </c>
      <c r="AX113" s="452">
        <f ca="1">IF(AND($D113="Serviço",AX$12&lt;&gt;0,$H113&gt;0,OR(AUTOEVENTO&lt;&gt;"manual",$M113&lt;&gt;$A$15)),
        IF(Import.TipoArredondamento&lt;&gt;"TransfereGOV",
              ROUND(OFFSET($P113,0,AX$13),15-13*ORÇAMENTO!$AF$7)/$H113*OFFSET(ORÇAMENTO!$X$15,ROW(AX113)-ROW(AX$15),0),
              ROUND(ROUND(OFFSET($P113,0,AX$13),15-13*ORÇAMENTO!$AF$7)*OFFSET(ORÇAMENTO!$W$15,ROW(AX113)-ROW(AX$15),0),15-13*ORÇAMENTO!$AF$11)),
         0)</f>
        <v>0</v>
      </c>
      <c r="AY113" s="452">
        <f ca="1">IF(AND($D113="Serviço",AY$12&lt;&gt;0,$H113&gt;0,OR(AUTOEVENTO&lt;&gt;"manual",$M113&lt;&gt;$A$15)),
        IF(Import.TipoArredondamento&lt;&gt;"TransfereGOV",
              ROUND(OFFSET($P113,0,AY$13),15-13*ORÇAMENTO!$AF$7)/$H113*OFFSET(ORÇAMENTO!$X$15,ROW(AY113)-ROW(AY$15),0),
              ROUND(ROUND(OFFSET($P113,0,AY$13),15-13*ORÇAMENTO!$AF$7)*OFFSET(ORÇAMENTO!$W$15,ROW(AY113)-ROW(AY$15),0),15-13*ORÇAMENTO!$AF$11)),
         0)</f>
        <v>0</v>
      </c>
      <c r="AZ113" s="452">
        <f ca="1">IF(AND($D113="Serviço",AZ$12&lt;&gt;0,$H113&gt;0,OR(AUTOEVENTO&lt;&gt;"manual",$M113&lt;&gt;$A$15)),
        IF(Import.TipoArredondamento&lt;&gt;"TransfereGOV",
              ROUND(OFFSET($P113,0,AZ$13),15-13*ORÇAMENTO!$AF$7)/$H113*OFFSET(ORÇAMENTO!$X$15,ROW(AZ113)-ROW(AZ$15),0),
              ROUND(ROUND(OFFSET($P113,0,AZ$13),15-13*ORÇAMENTO!$AF$7)*OFFSET(ORÇAMENTO!$W$15,ROW(AZ113)-ROW(AZ$15),0),15-13*ORÇAMENTO!$AF$11)),
         0)</f>
        <v>0</v>
      </c>
      <c r="BA113" s="452">
        <f ca="1">IF(AND($D113="Serviço",BA$12&lt;&gt;0,$H113&gt;0,OR(AUTOEVENTO&lt;&gt;"manual",$M113&lt;&gt;$A$15)),
        IF(Import.TipoArredondamento&lt;&gt;"TransfereGOV",
              ROUND(OFFSET($P113,0,BA$13),15-13*ORÇAMENTO!$AF$7)/$H113*OFFSET(ORÇAMENTO!$X$15,ROW(BA113)-ROW(BA$15),0),
              ROUND(ROUND(OFFSET($P113,0,BA$13),15-13*ORÇAMENTO!$AF$7)*OFFSET(ORÇAMENTO!$W$15,ROW(BA113)-ROW(BA$15),0),15-13*ORÇAMENTO!$AF$11)),
         0)</f>
        <v>0</v>
      </c>
      <c r="BC113" s="171">
        <f ca="1">IF(OR($D113&lt;&gt;"Serviço",AND(AUTOEVENTO="Manual",$M113=$A$15)),0,
         IF(OFFSET(CRONOPLE!$F$15,$M113-$A$15,BC$13)=0,10^12,OFFSET(CRONOPLE!$F$15,$M113-$A$15,BC$13)))</f>
        <v>2</v>
      </c>
      <c r="BD113" s="171">
        <f ca="1">IF(OR($D113&lt;&gt;"Serviço",AND(AUTOEVENTO="Manual",$M113=$A$15)),0,
         IF(OFFSET(CRONOPLE!$F$15,$M113-$A$15,BD$13)=0,10^12,OFFSET(CRONOPLE!$F$15,$M113-$A$15,BD$13)))</f>
        <v>2</v>
      </c>
      <c r="BE113" s="171">
        <f ca="1">IF(OR($D113&lt;&gt;"Serviço",AND(AUTOEVENTO="Manual",$M113=$A$15)),0,
         IF(OFFSET(CRONOPLE!$F$15,$M113-$A$15,BE$13)=0,10^12,OFFSET(CRONOPLE!$F$15,$M113-$A$15,BE$13)))</f>
        <v>5</v>
      </c>
      <c r="BF113" s="171">
        <f ca="1">IF(OR($D113&lt;&gt;"Serviço",AND(AUTOEVENTO="Manual",$M113=$A$15)),0,
         IF(OFFSET(CRONOPLE!$F$15,$M113-$A$15,BF$13)=0,10^12,OFFSET(CRONOPLE!$F$15,$M113-$A$15,BF$13)))</f>
        <v>5</v>
      </c>
      <c r="BG113" s="171">
        <f ca="1">IF(OR($D113&lt;&gt;"Serviço",AND(AUTOEVENTO="Manual",$M113=$A$15)),0,
         IF(OFFSET(CRONOPLE!$F$15,$M113-$A$15,BG$13)=0,10^12,OFFSET(CRONOPLE!$F$15,$M113-$A$15,BG$13)))</f>
        <v>5</v>
      </c>
      <c r="BH113" s="171">
        <f ca="1">IF(OR($D113&lt;&gt;"Serviço",AND(AUTOEVENTO="Manual",$M113=$A$15)),0,
         IF(OFFSET(CRONOPLE!$F$15,$M113-$A$15,BH$13)=0,10^12,OFFSET(CRONOPLE!$F$15,$M113-$A$15,BH$13)))</f>
        <v>1000000000000</v>
      </c>
      <c r="BI113" s="171">
        <f ca="1">IF(OR($D113&lt;&gt;"Serviço",AND(AUTOEVENTO="Manual",$M113=$A$15)),0,
         IF(OFFSET(CRONOPLE!$F$15,$M113-$A$15,BI$13)=0,10^12,OFFSET(CRONOPLE!$F$15,$M113-$A$15,BI$13)))</f>
        <v>1000000000000</v>
      </c>
      <c r="BJ113" s="171">
        <f ca="1">IF(OR($D113&lt;&gt;"Serviço",AND(AUTOEVENTO="Manual",$M113=$A$15)),0,
         IF(OFFSET(CRONOPLE!$F$15,$M113-$A$15,BJ$13)=0,10^12,OFFSET(CRONOPLE!$F$15,$M113-$A$15,BJ$13)))</f>
        <v>1000000000000</v>
      </c>
      <c r="BK113" s="171">
        <f ca="1">IF(OR($D113&lt;&gt;"Serviço",AND(AUTOEVENTO="Manual",$M113=$A$15)),0,
         IF(OFFSET(CRONOPLE!$F$15,$M113-$A$15,BK$13)=0,10^12,OFFSET(CRONOPLE!$F$15,$M113-$A$15,BK$13)))</f>
        <v>1000000000000</v>
      </c>
      <c r="BL113" s="171">
        <f ca="1">IF(OR($D113&lt;&gt;"Serviço",AND(AUTOEVENTO="Manual",$M113=$A$15)),0,
         IF(OFFSET(CRONOPLE!$F$15,$M113-$A$15,BL$13)=0,10^12,OFFSET(CRONOPLE!$F$15,$M113-$A$15,BL$13)))</f>
        <v>1000000000000</v>
      </c>
      <c r="BM113" s="171">
        <f ca="1">IF(OR($D113&lt;&gt;"Serviço",AND(AUTOEVENTO="Manual",$M113=$A$15)),0,
         IF(OFFSET(CRONOPLE!$F$15,$M113-$A$15,BM$13)=0,10^12,OFFSET(CRONOPLE!$F$15,$M113-$A$15,BM$13)))</f>
        <v>1000000000000</v>
      </c>
      <c r="BN113" s="171">
        <f ca="1">IF(OR($D113&lt;&gt;"Serviço",AND(AUTOEVENTO="Manual",$M113=$A$15)),0,
         IF(OFFSET(CRONOPLE!$F$15,$M113-$A$15,BN$13)=0,10^12,OFFSET(CRONOPLE!$F$15,$M113-$A$15,BN$13)))</f>
        <v>1000000000000</v>
      </c>
      <c r="BO113" s="171">
        <f ca="1">IF(OR($D113&lt;&gt;"Serviço",AND(AUTOEVENTO="Manual",$M113=$A$15)),0,
         IF(OFFSET(CRONOPLE!$F$15,$M113-$A$15,BO$13)=0,10^12,OFFSET(CRONOPLE!$F$15,$M113-$A$15,BO$13)))</f>
        <v>1000000000000</v>
      </c>
      <c r="BP113" s="171">
        <f ca="1">IF(OR($D113&lt;&gt;"Serviço",AND(AUTOEVENTO="Manual",$M113=$A$15)),0,
         IF(OFFSET(CRONOPLE!$F$15,$M113-$A$15,BP$13)=0,10^12,OFFSET(CRONOPLE!$F$15,$M113-$A$15,BP$13)))</f>
        <v>1000000000000</v>
      </c>
      <c r="BQ113" s="171">
        <f ca="1">IF(OR($D113&lt;&gt;"Serviço",AND(AUTOEVENTO="Manual",$M113=$A$15)),0,
         IF(OFFSET(CRONOPLE!$F$15,$M113-$A$15,BQ$13)=0,10^12,OFFSET(CRONOPLE!$F$15,$M113-$A$15,BQ$13)))</f>
        <v>1000000000000</v>
      </c>
      <c r="BR113" s="171">
        <f ca="1">IF(OR($D113&lt;&gt;"Serviço",AND(AUTOEVENTO="Manual",$M113=$A$15)),0,
         IF(OFFSET(CRONOPLE!$F$15,$M113-$A$15,BR$13)=0,10^12,OFFSET(CRONOPLE!$F$15,$M113-$A$15,BR$13)))</f>
        <v>1000000000000</v>
      </c>
      <c r="BS113" s="171">
        <f ca="1">IF(OR($D113&lt;&gt;"Serviço",AND(AUTOEVENTO="Manual",$M113=$A$15)),0,
         IF(OFFSET(CRONOPLE!$F$15,$M113-$A$15,BS$13)=0,10^12,OFFSET(CRONOPLE!$F$15,$M113-$A$15,BS$13)))</f>
        <v>1000000000000</v>
      </c>
      <c r="BT113" s="171">
        <f ca="1">IF(OR($D113&lt;&gt;"Serviço",AND(AUTOEVENTO="Manual",$M113=$A$15)),0,
         IF(OFFSET(CRONOPLE!$F$15,$M113-$A$15,BT$13)=0,10^12,OFFSET(CRONOPLE!$F$15,$M113-$A$15,BT$13)))</f>
        <v>1000000000000</v>
      </c>
      <c r="BV113" s="172">
        <f t="array" aca="1" ref="BV113" ca="1">IF(OR($D113&lt;&gt;"Serviço",AND(AUTOEVENTO="Manual",$M113=$A$15),$M113&gt;(ROW(PLE.lastrow)-ROW(PLE.firstrow))),0,
           IF(OFFSET(PLE!$G$15,$M113-$A$15,BV$13)="",10^12,OFFSET(PLE!$G$15,$M113-$A$15,BV$13)))</f>
        <v>1000000000000</v>
      </c>
      <c r="BW113" s="172">
        <f t="array" aca="1" ref="BW113" ca="1">IF(OR($D113&lt;&gt;"Serviço",AND(AUTOEVENTO="Manual",$M113=$A$15),$M113&gt;(ROW(PLE.lastrow)-ROW(PLE.firstrow))),0,
           IF(OFFSET(PLE!$G$15,$M113-$A$15,BW$13)="",10^12,OFFSET(PLE!$G$15,$M113-$A$15,BW$13)))</f>
        <v>1000000000000</v>
      </c>
      <c r="BX113" s="172">
        <f t="array" aca="1" ref="BX113" ca="1">IF(OR($D113&lt;&gt;"Serviço",AND(AUTOEVENTO="Manual",$M113=$A$15),$M113&gt;(ROW(PLE.lastrow)-ROW(PLE.firstrow))),0,
           IF(OFFSET(PLE!$G$15,$M113-$A$15,BX$13)="",10^12,OFFSET(PLE!$G$15,$M113-$A$15,BX$13)))</f>
        <v>1000000000000</v>
      </c>
      <c r="BY113" s="172">
        <f t="array" aca="1" ref="BY113" ca="1">IF(OR($D113&lt;&gt;"Serviço",AND(AUTOEVENTO="Manual",$M113=$A$15),$M113&gt;(ROW(PLE.lastrow)-ROW(PLE.firstrow))),0,
           IF(OFFSET(PLE!$G$15,$M113-$A$15,BY$13)="",10^12,OFFSET(PLE!$G$15,$M113-$A$15,BY$13)))</f>
        <v>1000000000000</v>
      </c>
      <c r="BZ113" s="172">
        <f t="array" aca="1" ref="BZ113" ca="1">IF(OR($D113&lt;&gt;"Serviço",AND(AUTOEVENTO="Manual",$M113=$A$15),$M113&gt;(ROW(PLE.lastrow)-ROW(PLE.firstrow))),0,
           IF(OFFSET(PLE!$G$15,$M113-$A$15,BZ$13)="",10^12,OFFSET(PLE!$G$15,$M113-$A$15,BZ$13)))</f>
        <v>1000000000000</v>
      </c>
      <c r="CA113" s="172">
        <f t="array" aca="1" ref="CA113" ca="1">IF(OR($D113&lt;&gt;"Serviço",AND(AUTOEVENTO="Manual",$M113=$A$15),$M113&gt;(ROW(PLE.lastrow)-ROW(PLE.firstrow))),0,
           IF(OFFSET(PLE!$G$15,$M113-$A$15,CA$13)="",10^12,OFFSET(PLE!$G$15,$M113-$A$15,CA$13)))</f>
        <v>1000000000000</v>
      </c>
      <c r="CB113" s="172">
        <f t="array" aca="1" ref="CB113" ca="1">IF(OR($D113&lt;&gt;"Serviço",AND(AUTOEVENTO="Manual",$M113=$A$15),$M113&gt;(ROW(PLE.lastrow)-ROW(PLE.firstrow))),0,
           IF(OFFSET(PLE!$G$15,$M113-$A$15,CB$13)="",10^12,OFFSET(PLE!$G$15,$M113-$A$15,CB$13)))</f>
        <v>1000000000000</v>
      </c>
      <c r="CC113" s="172">
        <f t="array" aca="1" ref="CC113" ca="1">IF(OR($D113&lt;&gt;"Serviço",AND(AUTOEVENTO="Manual",$M113=$A$15),$M113&gt;(ROW(PLE.lastrow)-ROW(PLE.firstrow))),0,
           IF(OFFSET(PLE!$G$15,$M113-$A$15,CC$13)="",10^12,OFFSET(PLE!$G$15,$M113-$A$15,CC$13)))</f>
        <v>1000000000000</v>
      </c>
      <c r="CD113" s="172">
        <f t="array" aca="1" ref="CD113" ca="1">IF(OR($D113&lt;&gt;"Serviço",AND(AUTOEVENTO="Manual",$M113=$A$15),$M113&gt;(ROW(PLE.lastrow)-ROW(PLE.firstrow))),0,
           IF(OFFSET(PLE!$G$15,$M113-$A$15,CD$13)="",10^12,OFFSET(PLE!$G$15,$M113-$A$15,CD$13)))</f>
        <v>1000000000000</v>
      </c>
      <c r="CE113" s="172">
        <f t="array" aca="1" ref="CE113" ca="1">IF(OR($D113&lt;&gt;"Serviço",AND(AUTOEVENTO="Manual",$M113=$A$15),$M113&gt;(ROW(PLE.lastrow)-ROW(PLE.firstrow))),0,
           IF(OFFSET(PLE!$G$15,$M113-$A$15,CE$13)="",10^12,OFFSET(PLE!$G$15,$M113-$A$15,CE$13)))</f>
        <v>1000000000000</v>
      </c>
      <c r="CF113" s="172">
        <f t="array" aca="1" ref="CF113" ca="1">IF(OR($D113&lt;&gt;"Serviço",AND(AUTOEVENTO="Manual",$M113=$A$15),$M113&gt;(ROW(PLE.lastrow)-ROW(PLE.firstrow))),0,
           IF(OFFSET(PLE!$G$15,$M113-$A$15,CF$13)="",10^12,OFFSET(PLE!$G$15,$M113-$A$15,CF$13)))</f>
        <v>1000000000000</v>
      </c>
      <c r="CG113" s="172">
        <f t="array" aca="1" ref="CG113" ca="1">IF(OR($D113&lt;&gt;"Serviço",AND(AUTOEVENTO="Manual",$M113=$A$15),$M113&gt;(ROW(PLE.lastrow)-ROW(PLE.firstrow))),0,
           IF(OFFSET(PLE!$G$15,$M113-$A$15,CG$13)="",10^12,OFFSET(PLE!$G$15,$M113-$A$15,CG$13)))</f>
        <v>1000000000000</v>
      </c>
      <c r="CH113" s="172">
        <f t="array" aca="1" ref="CH113" ca="1">IF(OR($D113&lt;&gt;"Serviço",AND(AUTOEVENTO="Manual",$M113=$A$15),$M113&gt;(ROW(PLE.lastrow)-ROW(PLE.firstrow))),0,
           IF(OFFSET(PLE!$G$15,$M113-$A$15,CH$13)="",10^12,OFFSET(PLE!$G$15,$M113-$A$15,CH$13)))</f>
        <v>1000000000000</v>
      </c>
      <c r="CI113" s="172">
        <f t="array" aca="1" ref="CI113" ca="1">IF(OR($D113&lt;&gt;"Serviço",AND(AUTOEVENTO="Manual",$M113=$A$15),$M113&gt;(ROW(PLE.lastrow)-ROW(PLE.firstrow))),0,
           IF(OFFSET(PLE!$G$15,$M113-$A$15,CI$13)="",10^12,OFFSET(PLE!$G$15,$M113-$A$15,CI$13)))</f>
        <v>1000000000000</v>
      </c>
      <c r="CJ113" s="172">
        <f t="array" aca="1" ref="CJ113" ca="1">IF(OR($D113&lt;&gt;"Serviço",AND(AUTOEVENTO="Manual",$M113=$A$15),$M113&gt;(ROW(PLE.lastrow)-ROW(PLE.firstrow))),0,
           IF(OFFSET(PLE!$G$15,$M113-$A$15,CJ$13)="",10^12,OFFSET(PLE!$G$15,$M113-$A$15,CJ$13)))</f>
        <v>1000000000000</v>
      </c>
      <c r="CK113" s="172">
        <f t="array" aca="1" ref="CK113" ca="1">IF(OR($D113&lt;&gt;"Serviço",AND(AUTOEVENTO="Manual",$M113=$A$15),$M113&gt;(ROW(PLE.lastrow)-ROW(PLE.firstrow))),0,
           IF(OFFSET(PLE!$G$15,$M113-$A$15,CK$13)="",10^12,OFFSET(PLE!$G$15,$M113-$A$15,CK$13)))</f>
        <v>1000000000000</v>
      </c>
      <c r="CL113" s="172">
        <f t="array" aca="1" ref="CL113" ca="1">IF(OR($D113&lt;&gt;"Serviço",AND(AUTOEVENTO="Manual",$M113=$A$15),$M113&gt;(ROW(PLE.lastrow)-ROW(PLE.firstrow))),0,
           IF(OFFSET(PLE!$G$15,$M113-$A$15,CL$13)="",10^12,OFFSET(PLE!$G$15,$M113-$A$15,CL$13)))</f>
        <v>1000000000000</v>
      </c>
      <c r="CM113" s="172">
        <f t="array" aca="1" ref="CM113" ca="1">IF(OR($D113&lt;&gt;"Serviço",AND(AUTOEVENTO="Manual",$M113=$A$15),$M113&gt;(ROW(PLE.lastrow)-ROW(PLE.firstrow))),0,
           IF(OFFSET(PLE!$G$15,$M113-$A$15,CM$13)="",10^12,OFFSET(PLE!$G$15,$M113-$A$15,CM$13)))</f>
        <v>1000000000000</v>
      </c>
    </row>
    <row r="114" spans="1:91" s="696" customFormat="1" ht="63.75" x14ac:dyDescent="0.2">
      <c r="A114" s="694">
        <f t="shared" ca="1" si="45"/>
        <v>21</v>
      </c>
      <c r="B114" s="694" t="str">
        <f ca="1">OFFSET(ORÇAMENTO!C$15,$L114,0)</f>
        <v>S</v>
      </c>
      <c r="C114" s="694" t="str">
        <f ca="1">OFFSET(ORÇAMENTO!L$15,$L114,0)</f>
        <v>F</v>
      </c>
      <c r="D114" s="116" t="str">
        <f ca="1">OFFSET(ORÇAMENTO!N$15,$L114,0)</f>
        <v>Serviço</v>
      </c>
      <c r="E114" s="117" t="str">
        <f ca="1">OFFSET(ORÇAMENTO!O$15,$L114,0)</f>
        <v>1.20.2.</v>
      </c>
      <c r="F114" s="163" t="str">
        <f ca="1">OFFSET(ORÇAMENTO!R$15,$L114,0)</f>
        <v>LASTRO COM MATERIAL GRANULAR (PEDRA BRITADA N.3), APLICADO EM PISOS OU LAJES SOBRE SOLO, ESPESSURA DE *10 CM*. AF_01/2024</v>
      </c>
      <c r="G114" s="164" t="str">
        <f ca="1">IF($D114&lt;&gt;"Serviço","",OFFSET(ORÇAMENTO!S$15,$L114,0))</f>
        <v>M3</v>
      </c>
      <c r="H114" s="122">
        <f t="array" aca="1" ref="H114" ca="1">IF($D114&lt;&gt;"Serviço",0,IF(ACOMPANHAMENTO="BM",ROUND(OFFSET(ORÇAMENTO!AJ$15,$L114,0),15-13*ORÇAMENTO!$AF$7),IF(IFERROR(CÁLCULO.FrentesPreenchidas,0)=0,0,SUM(ROUND(OFFSET($P114,0,1,1,CÁLCULO.FrentesPreenchidas),15-13*ORÇAMENTO!$AF$7)))))</f>
        <v>107.8</v>
      </c>
      <c r="I114" s="467" t="s">
        <v>1270</v>
      </c>
      <c r="J114" s="653" t="str">
        <f t="array" aca="1" ref="J114" ca="1">IF(OR(B114&lt;&gt;"S",CÁLCULO.FrentesPreenchidas=0),"",IF(AND(ACOMPANHAMENTO="PLE",AUTOEVENTO="Manual",OR(H114&gt;0,ORÇAMENTO!AC114="QUANT."),OR(K114="",M114=0,N114="")),"►E",IF(AND(ACOMPANHAMENTO="PLE",ORÇAMENTO!AC114="QUANT."),"►Q",IF(AND(ACOMPANHAMENTO="PLE",H114&lt;&gt;SUMPRODUCT(($Q$1:$AI$1=1)*ROUND(Q114:AI114,15))),"►S",IF(AND(COUNTIF($P$11:$AI$11,"▼")=0,H114&gt;0,I114=""),"◄M","")))))</f>
        <v/>
      </c>
      <c r="K114" s="654" t="s">
        <v>1418</v>
      </c>
      <c r="L114" s="165">
        <f t="shared" ca="1" si="46"/>
        <v>99</v>
      </c>
      <c r="M114" s="166">
        <f ca="1">IF($D114&lt;&gt;"Serviço","",
          IF(AUTOEVENTO="manual",$A114,
                IF(ISERROR(MATCH($A114,$A$15:OFFSET($A114,-1,0),0)),MAX($M$15:OFFSET(M114,-1,0))+1,
                      INDEX($M$15:OFFSET(M114,-1,0),MATCH($A114,$A$15:OFFSET($A114,-1,0),0)))))</f>
        <v>21</v>
      </c>
      <c r="N114" s="167" t="str">
        <f ca="1">IF($D114&lt;&gt;"Serviço","",
         IF(AUTOEVENTO="Manual",
                IF($A114=0,"&lt;-- defina o número do agrupador",
                       OFFSET(EVENTOS!$D$15,$A114-$A$15,0)),
                OFFSET($F$15,$A114,0)))</f>
        <v>IMPERMEABILIZAÇÕES DE PISOS</v>
      </c>
      <c r="O114" s="168"/>
      <c r="Q114" s="169">
        <f>5.39*5</f>
        <v>26.95</v>
      </c>
      <c r="R114" s="169">
        <f t="shared" ref="R114:T114" si="70">5.39*5</f>
        <v>26.95</v>
      </c>
      <c r="S114" s="169">
        <f t="shared" si="70"/>
        <v>26.95</v>
      </c>
      <c r="T114" s="169">
        <f t="shared" si="70"/>
        <v>26.95</v>
      </c>
      <c r="U114" s="169"/>
      <c r="V114" s="169"/>
      <c r="W114" s="169"/>
      <c r="X114" s="169"/>
      <c r="Y114" s="169"/>
      <c r="Z114" s="170"/>
      <c r="AA114" s="169"/>
      <c r="AB114" s="169"/>
      <c r="AC114" s="169"/>
      <c r="AD114" s="169"/>
      <c r="AE114" s="169"/>
      <c r="AF114" s="169"/>
      <c r="AG114" s="169"/>
      <c r="AH114" s="170"/>
      <c r="AJ114" s="452">
        <f ca="1">IF(AND($D114="Serviço",AJ$12&lt;&gt;0,$H114&gt;0,OR(AUTOEVENTO&lt;&gt;"manual",$M114&lt;&gt;$A$15)),
        IF(Import.TipoArredondamento&lt;&gt;"TransfereGOV",
              ROUND(OFFSET($P114,0,AJ$13),15-13*ORÇAMENTO!$AF$7)/$H114*OFFSET(ORÇAMENTO!$X$15,ROW(AJ114)-ROW(AJ$15),0),
              ROUND(ROUND(OFFSET($P114,0,AJ$13),15-13*ORÇAMENTO!$AF$7)*OFFSET(ORÇAMENTO!$W$15,ROW(AJ114)-ROW(AJ$15),0),15-13*ORÇAMENTO!$AF$11)),
         0)</f>
        <v>6298.48</v>
      </c>
      <c r="AK114" s="452">
        <f ca="1">IF(AND($D114="Serviço",AK$12&lt;&gt;0,$H114&gt;0,OR(AUTOEVENTO&lt;&gt;"manual",$M114&lt;&gt;$A$15)),
        IF(Import.TipoArredondamento&lt;&gt;"TransfereGOV",
              ROUND(OFFSET($P114,0,AK$13),15-13*ORÇAMENTO!$AF$7)/$H114*OFFSET(ORÇAMENTO!$X$15,ROW(AK114)-ROW(AK$15),0),
              ROUND(ROUND(OFFSET($P114,0,AK$13),15-13*ORÇAMENTO!$AF$7)*OFFSET(ORÇAMENTO!$W$15,ROW(AK114)-ROW(AK$15),0),15-13*ORÇAMENTO!$AF$11)),
         0)</f>
        <v>6298.48</v>
      </c>
      <c r="AL114" s="452">
        <f ca="1">IF(AND($D114="Serviço",AL$12&lt;&gt;0,$H114&gt;0,OR(AUTOEVENTO&lt;&gt;"manual",$M114&lt;&gt;$A$15)),
        IF(Import.TipoArredondamento&lt;&gt;"TransfereGOV",
              ROUND(OFFSET($P114,0,AL$13),15-13*ORÇAMENTO!$AF$7)/$H114*OFFSET(ORÇAMENTO!$X$15,ROW(AL114)-ROW(AL$15),0),
              ROUND(ROUND(OFFSET($P114,0,AL$13),15-13*ORÇAMENTO!$AF$7)*OFFSET(ORÇAMENTO!$W$15,ROW(AL114)-ROW(AL$15),0),15-13*ORÇAMENTO!$AF$11)),
         0)</f>
        <v>6298.48</v>
      </c>
      <c r="AM114" s="452">
        <f ca="1">IF(AND($D114="Serviço",AM$12&lt;&gt;0,$H114&gt;0,OR(AUTOEVENTO&lt;&gt;"manual",$M114&lt;&gt;$A$15)),
        IF(Import.TipoArredondamento&lt;&gt;"TransfereGOV",
              ROUND(OFFSET($P114,0,AM$13),15-13*ORÇAMENTO!$AF$7)/$H114*OFFSET(ORÇAMENTO!$X$15,ROW(AM114)-ROW(AM$15),0),
              ROUND(ROUND(OFFSET($P114,0,AM$13),15-13*ORÇAMENTO!$AF$7)*OFFSET(ORÇAMENTO!$W$15,ROW(AM114)-ROW(AM$15),0),15-13*ORÇAMENTO!$AF$11)),
         0)</f>
        <v>6298.48</v>
      </c>
      <c r="AN114" s="452">
        <f ca="1">IF(AND($D114="Serviço",AN$12&lt;&gt;0,$H114&gt;0,OR(AUTOEVENTO&lt;&gt;"manual",$M114&lt;&gt;$A$15)),
        IF(Import.TipoArredondamento&lt;&gt;"TransfereGOV",
              ROUND(OFFSET($P114,0,AN$13),15-13*ORÇAMENTO!$AF$7)/$H114*OFFSET(ORÇAMENTO!$X$15,ROW(AN114)-ROW(AN$15),0),
              ROUND(ROUND(OFFSET($P114,0,AN$13),15-13*ORÇAMENTO!$AF$7)*OFFSET(ORÇAMENTO!$W$15,ROW(AN114)-ROW(AN$15),0),15-13*ORÇAMENTO!$AF$11)),
         0)</f>
        <v>0</v>
      </c>
      <c r="AO114" s="452">
        <f ca="1">IF(AND($D114="Serviço",AO$12&lt;&gt;0,$H114&gt;0,OR(AUTOEVENTO&lt;&gt;"manual",$M114&lt;&gt;$A$15)),
        IF(Import.TipoArredondamento&lt;&gt;"TransfereGOV",
              ROUND(OFFSET($P114,0,AO$13),15-13*ORÇAMENTO!$AF$7)/$H114*OFFSET(ORÇAMENTO!$X$15,ROW(AO114)-ROW(AO$15),0),
              ROUND(ROUND(OFFSET($P114,0,AO$13),15-13*ORÇAMENTO!$AF$7)*OFFSET(ORÇAMENTO!$W$15,ROW(AO114)-ROW(AO$15),0),15-13*ORÇAMENTO!$AF$11)),
         0)</f>
        <v>0</v>
      </c>
      <c r="AP114" s="452">
        <f ca="1">IF(AND($D114="Serviço",AP$12&lt;&gt;0,$H114&gt;0,OR(AUTOEVENTO&lt;&gt;"manual",$M114&lt;&gt;$A$15)),
        IF(Import.TipoArredondamento&lt;&gt;"TransfereGOV",
              ROUND(OFFSET($P114,0,AP$13),15-13*ORÇAMENTO!$AF$7)/$H114*OFFSET(ORÇAMENTO!$X$15,ROW(AP114)-ROW(AP$15),0),
              ROUND(ROUND(OFFSET($P114,0,AP$13),15-13*ORÇAMENTO!$AF$7)*OFFSET(ORÇAMENTO!$W$15,ROW(AP114)-ROW(AP$15),0),15-13*ORÇAMENTO!$AF$11)),
         0)</f>
        <v>0</v>
      </c>
      <c r="AQ114" s="452">
        <f ca="1">IF(AND($D114="Serviço",AQ$12&lt;&gt;0,$H114&gt;0,OR(AUTOEVENTO&lt;&gt;"manual",$M114&lt;&gt;$A$15)),
        IF(Import.TipoArredondamento&lt;&gt;"TransfereGOV",
              ROUND(OFFSET($P114,0,AQ$13),15-13*ORÇAMENTO!$AF$7)/$H114*OFFSET(ORÇAMENTO!$X$15,ROW(AQ114)-ROW(AQ$15),0),
              ROUND(ROUND(OFFSET($P114,0,AQ$13),15-13*ORÇAMENTO!$AF$7)*OFFSET(ORÇAMENTO!$W$15,ROW(AQ114)-ROW(AQ$15),0),15-13*ORÇAMENTO!$AF$11)),
         0)</f>
        <v>0</v>
      </c>
      <c r="AR114" s="452">
        <f ca="1">IF(AND($D114="Serviço",AR$12&lt;&gt;0,$H114&gt;0,OR(AUTOEVENTO&lt;&gt;"manual",$M114&lt;&gt;$A$15)),
        IF(Import.TipoArredondamento&lt;&gt;"TransfereGOV",
              ROUND(OFFSET($P114,0,AR$13),15-13*ORÇAMENTO!$AF$7)/$H114*OFFSET(ORÇAMENTO!$X$15,ROW(AR114)-ROW(AR$15),0),
              ROUND(ROUND(OFFSET($P114,0,AR$13),15-13*ORÇAMENTO!$AF$7)*OFFSET(ORÇAMENTO!$W$15,ROW(AR114)-ROW(AR$15),0),15-13*ORÇAMENTO!$AF$11)),
         0)</f>
        <v>0</v>
      </c>
      <c r="AS114" s="452">
        <f ca="1">IF(AND($D114="Serviço",AS$12&lt;&gt;0,$H114&gt;0,OR(AUTOEVENTO&lt;&gt;"manual",$M114&lt;&gt;$A$15)),
        IF(Import.TipoArredondamento&lt;&gt;"TransfereGOV",
              ROUND(OFFSET($P114,0,AS$13),15-13*ORÇAMENTO!$AF$7)/$H114*OFFSET(ORÇAMENTO!$X$15,ROW(AS114)-ROW(AS$15),0),
              ROUND(ROUND(OFFSET($P114,0,AS$13),15-13*ORÇAMENTO!$AF$7)*OFFSET(ORÇAMENTO!$W$15,ROW(AS114)-ROW(AS$15),0),15-13*ORÇAMENTO!$AF$11)),
         0)</f>
        <v>0</v>
      </c>
      <c r="AT114" s="452">
        <f ca="1">IF(AND($D114="Serviço",AT$12&lt;&gt;0,$H114&gt;0,OR(AUTOEVENTO&lt;&gt;"manual",$M114&lt;&gt;$A$15)),
        IF(Import.TipoArredondamento&lt;&gt;"TransfereGOV",
              ROUND(OFFSET($P114,0,AT$13),15-13*ORÇAMENTO!$AF$7)/$H114*OFFSET(ORÇAMENTO!$X$15,ROW(AT114)-ROW(AT$15),0),
              ROUND(ROUND(OFFSET($P114,0,AT$13),15-13*ORÇAMENTO!$AF$7)*OFFSET(ORÇAMENTO!$W$15,ROW(AT114)-ROW(AT$15),0),15-13*ORÇAMENTO!$AF$11)),
         0)</f>
        <v>0</v>
      </c>
      <c r="AU114" s="452">
        <f ca="1">IF(AND($D114="Serviço",AU$12&lt;&gt;0,$H114&gt;0,OR(AUTOEVENTO&lt;&gt;"manual",$M114&lt;&gt;$A$15)),
        IF(Import.TipoArredondamento&lt;&gt;"TransfereGOV",
              ROUND(OFFSET($P114,0,AU$13),15-13*ORÇAMENTO!$AF$7)/$H114*OFFSET(ORÇAMENTO!$X$15,ROW(AU114)-ROW(AU$15),0),
              ROUND(ROUND(OFFSET($P114,0,AU$13),15-13*ORÇAMENTO!$AF$7)*OFFSET(ORÇAMENTO!$W$15,ROW(AU114)-ROW(AU$15),0),15-13*ORÇAMENTO!$AF$11)),
         0)</f>
        <v>0</v>
      </c>
      <c r="AV114" s="452">
        <f ca="1">IF(AND($D114="Serviço",AV$12&lt;&gt;0,$H114&gt;0,OR(AUTOEVENTO&lt;&gt;"manual",$M114&lt;&gt;$A$15)),
        IF(Import.TipoArredondamento&lt;&gt;"TransfereGOV",
              ROUND(OFFSET($P114,0,AV$13),15-13*ORÇAMENTO!$AF$7)/$H114*OFFSET(ORÇAMENTO!$X$15,ROW(AV114)-ROW(AV$15),0),
              ROUND(ROUND(OFFSET($P114,0,AV$13),15-13*ORÇAMENTO!$AF$7)*OFFSET(ORÇAMENTO!$W$15,ROW(AV114)-ROW(AV$15),0),15-13*ORÇAMENTO!$AF$11)),
         0)</f>
        <v>0</v>
      </c>
      <c r="AW114" s="452">
        <f ca="1">IF(AND($D114="Serviço",AW$12&lt;&gt;0,$H114&gt;0,OR(AUTOEVENTO&lt;&gt;"manual",$M114&lt;&gt;$A$15)),
        IF(Import.TipoArredondamento&lt;&gt;"TransfereGOV",
              ROUND(OFFSET($P114,0,AW$13),15-13*ORÇAMENTO!$AF$7)/$H114*OFFSET(ORÇAMENTO!$X$15,ROW(AW114)-ROW(AW$15),0),
              ROUND(ROUND(OFFSET($P114,0,AW$13),15-13*ORÇAMENTO!$AF$7)*OFFSET(ORÇAMENTO!$W$15,ROW(AW114)-ROW(AW$15),0),15-13*ORÇAMENTO!$AF$11)),
         0)</f>
        <v>0</v>
      </c>
      <c r="AX114" s="452">
        <f ca="1">IF(AND($D114="Serviço",AX$12&lt;&gt;0,$H114&gt;0,OR(AUTOEVENTO&lt;&gt;"manual",$M114&lt;&gt;$A$15)),
        IF(Import.TipoArredondamento&lt;&gt;"TransfereGOV",
              ROUND(OFFSET($P114,0,AX$13),15-13*ORÇAMENTO!$AF$7)/$H114*OFFSET(ORÇAMENTO!$X$15,ROW(AX114)-ROW(AX$15),0),
              ROUND(ROUND(OFFSET($P114,0,AX$13),15-13*ORÇAMENTO!$AF$7)*OFFSET(ORÇAMENTO!$W$15,ROW(AX114)-ROW(AX$15),0),15-13*ORÇAMENTO!$AF$11)),
         0)</f>
        <v>0</v>
      </c>
      <c r="AY114" s="452">
        <f ca="1">IF(AND($D114="Serviço",AY$12&lt;&gt;0,$H114&gt;0,OR(AUTOEVENTO&lt;&gt;"manual",$M114&lt;&gt;$A$15)),
        IF(Import.TipoArredondamento&lt;&gt;"TransfereGOV",
              ROUND(OFFSET($P114,0,AY$13),15-13*ORÇAMENTO!$AF$7)/$H114*OFFSET(ORÇAMENTO!$X$15,ROW(AY114)-ROW(AY$15),0),
              ROUND(ROUND(OFFSET($P114,0,AY$13),15-13*ORÇAMENTO!$AF$7)*OFFSET(ORÇAMENTO!$W$15,ROW(AY114)-ROW(AY$15),0),15-13*ORÇAMENTO!$AF$11)),
         0)</f>
        <v>0</v>
      </c>
      <c r="AZ114" s="452">
        <f ca="1">IF(AND($D114="Serviço",AZ$12&lt;&gt;0,$H114&gt;0,OR(AUTOEVENTO&lt;&gt;"manual",$M114&lt;&gt;$A$15)),
        IF(Import.TipoArredondamento&lt;&gt;"TransfereGOV",
              ROUND(OFFSET($P114,0,AZ$13),15-13*ORÇAMENTO!$AF$7)/$H114*OFFSET(ORÇAMENTO!$X$15,ROW(AZ114)-ROW(AZ$15),0),
              ROUND(ROUND(OFFSET($P114,0,AZ$13),15-13*ORÇAMENTO!$AF$7)*OFFSET(ORÇAMENTO!$W$15,ROW(AZ114)-ROW(AZ$15),0),15-13*ORÇAMENTO!$AF$11)),
         0)</f>
        <v>0</v>
      </c>
      <c r="BA114" s="452">
        <f ca="1">IF(AND($D114="Serviço",BA$12&lt;&gt;0,$H114&gt;0,OR(AUTOEVENTO&lt;&gt;"manual",$M114&lt;&gt;$A$15)),
        IF(Import.TipoArredondamento&lt;&gt;"TransfereGOV",
              ROUND(OFFSET($P114,0,BA$13),15-13*ORÇAMENTO!$AF$7)/$H114*OFFSET(ORÇAMENTO!$X$15,ROW(BA114)-ROW(BA$15),0),
              ROUND(ROUND(OFFSET($P114,0,BA$13),15-13*ORÇAMENTO!$AF$7)*OFFSET(ORÇAMENTO!$W$15,ROW(BA114)-ROW(BA$15),0),15-13*ORÇAMENTO!$AF$11)),
         0)</f>
        <v>0</v>
      </c>
      <c r="BC114" s="171">
        <f ca="1">IF(OR($D114&lt;&gt;"Serviço",AND(AUTOEVENTO="Manual",$M114=$A$15)),0,
         IF(OFFSET(CRONOPLE!$F$15,$M114-$A$15,BC$13)=0,10^12,OFFSET(CRONOPLE!$F$15,$M114-$A$15,BC$13)))</f>
        <v>2</v>
      </c>
      <c r="BD114" s="171">
        <f ca="1">IF(OR($D114&lt;&gt;"Serviço",AND(AUTOEVENTO="Manual",$M114=$A$15)),0,
         IF(OFFSET(CRONOPLE!$F$15,$M114-$A$15,BD$13)=0,10^12,OFFSET(CRONOPLE!$F$15,$M114-$A$15,BD$13)))</f>
        <v>2</v>
      </c>
      <c r="BE114" s="171">
        <f ca="1">IF(OR($D114&lt;&gt;"Serviço",AND(AUTOEVENTO="Manual",$M114=$A$15)),0,
         IF(OFFSET(CRONOPLE!$F$15,$M114-$A$15,BE$13)=0,10^12,OFFSET(CRONOPLE!$F$15,$M114-$A$15,BE$13)))</f>
        <v>5</v>
      </c>
      <c r="BF114" s="171">
        <f ca="1">IF(OR($D114&lt;&gt;"Serviço",AND(AUTOEVENTO="Manual",$M114=$A$15)),0,
         IF(OFFSET(CRONOPLE!$F$15,$M114-$A$15,BF$13)=0,10^12,OFFSET(CRONOPLE!$F$15,$M114-$A$15,BF$13)))</f>
        <v>5</v>
      </c>
      <c r="BG114" s="171">
        <f ca="1">IF(OR($D114&lt;&gt;"Serviço",AND(AUTOEVENTO="Manual",$M114=$A$15)),0,
         IF(OFFSET(CRONOPLE!$F$15,$M114-$A$15,BG$13)=0,10^12,OFFSET(CRONOPLE!$F$15,$M114-$A$15,BG$13)))</f>
        <v>5</v>
      </c>
      <c r="BH114" s="171">
        <f ca="1">IF(OR($D114&lt;&gt;"Serviço",AND(AUTOEVENTO="Manual",$M114=$A$15)),0,
         IF(OFFSET(CRONOPLE!$F$15,$M114-$A$15,BH$13)=0,10^12,OFFSET(CRONOPLE!$F$15,$M114-$A$15,BH$13)))</f>
        <v>1000000000000</v>
      </c>
      <c r="BI114" s="171">
        <f ca="1">IF(OR($D114&lt;&gt;"Serviço",AND(AUTOEVENTO="Manual",$M114=$A$15)),0,
         IF(OFFSET(CRONOPLE!$F$15,$M114-$A$15,BI$13)=0,10^12,OFFSET(CRONOPLE!$F$15,$M114-$A$15,BI$13)))</f>
        <v>1000000000000</v>
      </c>
      <c r="BJ114" s="171">
        <f ca="1">IF(OR($D114&lt;&gt;"Serviço",AND(AUTOEVENTO="Manual",$M114=$A$15)),0,
         IF(OFFSET(CRONOPLE!$F$15,$M114-$A$15,BJ$13)=0,10^12,OFFSET(CRONOPLE!$F$15,$M114-$A$15,BJ$13)))</f>
        <v>1000000000000</v>
      </c>
      <c r="BK114" s="171">
        <f ca="1">IF(OR($D114&lt;&gt;"Serviço",AND(AUTOEVENTO="Manual",$M114=$A$15)),0,
         IF(OFFSET(CRONOPLE!$F$15,$M114-$A$15,BK$13)=0,10^12,OFFSET(CRONOPLE!$F$15,$M114-$A$15,BK$13)))</f>
        <v>1000000000000</v>
      </c>
      <c r="BL114" s="171">
        <f ca="1">IF(OR($D114&lt;&gt;"Serviço",AND(AUTOEVENTO="Manual",$M114=$A$15)),0,
         IF(OFFSET(CRONOPLE!$F$15,$M114-$A$15,BL$13)=0,10^12,OFFSET(CRONOPLE!$F$15,$M114-$A$15,BL$13)))</f>
        <v>1000000000000</v>
      </c>
      <c r="BM114" s="171">
        <f ca="1">IF(OR($D114&lt;&gt;"Serviço",AND(AUTOEVENTO="Manual",$M114=$A$15)),0,
         IF(OFFSET(CRONOPLE!$F$15,$M114-$A$15,BM$13)=0,10^12,OFFSET(CRONOPLE!$F$15,$M114-$A$15,BM$13)))</f>
        <v>1000000000000</v>
      </c>
      <c r="BN114" s="171">
        <f ca="1">IF(OR($D114&lt;&gt;"Serviço",AND(AUTOEVENTO="Manual",$M114=$A$15)),0,
         IF(OFFSET(CRONOPLE!$F$15,$M114-$A$15,BN$13)=0,10^12,OFFSET(CRONOPLE!$F$15,$M114-$A$15,BN$13)))</f>
        <v>1000000000000</v>
      </c>
      <c r="BO114" s="171">
        <f ca="1">IF(OR($D114&lt;&gt;"Serviço",AND(AUTOEVENTO="Manual",$M114=$A$15)),0,
         IF(OFFSET(CRONOPLE!$F$15,$M114-$A$15,BO$13)=0,10^12,OFFSET(CRONOPLE!$F$15,$M114-$A$15,BO$13)))</f>
        <v>1000000000000</v>
      </c>
      <c r="BP114" s="171">
        <f ca="1">IF(OR($D114&lt;&gt;"Serviço",AND(AUTOEVENTO="Manual",$M114=$A$15)),0,
         IF(OFFSET(CRONOPLE!$F$15,$M114-$A$15,BP$13)=0,10^12,OFFSET(CRONOPLE!$F$15,$M114-$A$15,BP$13)))</f>
        <v>1000000000000</v>
      </c>
      <c r="BQ114" s="171">
        <f ca="1">IF(OR($D114&lt;&gt;"Serviço",AND(AUTOEVENTO="Manual",$M114=$A$15)),0,
         IF(OFFSET(CRONOPLE!$F$15,$M114-$A$15,BQ$13)=0,10^12,OFFSET(CRONOPLE!$F$15,$M114-$A$15,BQ$13)))</f>
        <v>1000000000000</v>
      </c>
      <c r="BR114" s="171">
        <f ca="1">IF(OR($D114&lt;&gt;"Serviço",AND(AUTOEVENTO="Manual",$M114=$A$15)),0,
         IF(OFFSET(CRONOPLE!$F$15,$M114-$A$15,BR$13)=0,10^12,OFFSET(CRONOPLE!$F$15,$M114-$A$15,BR$13)))</f>
        <v>1000000000000</v>
      </c>
      <c r="BS114" s="171">
        <f ca="1">IF(OR($D114&lt;&gt;"Serviço",AND(AUTOEVENTO="Manual",$M114=$A$15)),0,
         IF(OFFSET(CRONOPLE!$F$15,$M114-$A$15,BS$13)=0,10^12,OFFSET(CRONOPLE!$F$15,$M114-$A$15,BS$13)))</f>
        <v>1000000000000</v>
      </c>
      <c r="BT114" s="171">
        <f ca="1">IF(OR($D114&lt;&gt;"Serviço",AND(AUTOEVENTO="Manual",$M114=$A$15)),0,
         IF(OFFSET(CRONOPLE!$F$15,$M114-$A$15,BT$13)=0,10^12,OFFSET(CRONOPLE!$F$15,$M114-$A$15,BT$13)))</f>
        <v>1000000000000</v>
      </c>
      <c r="BV114" s="172">
        <f t="array" aca="1" ref="BV114" ca="1">IF(OR($D114&lt;&gt;"Serviço",AND(AUTOEVENTO="Manual",$M114=$A$15),$M114&gt;(ROW(PLE.lastrow)-ROW(PLE.firstrow))),0,
           IF(OFFSET(PLE!$G$15,$M114-$A$15,BV$13)="",10^12,OFFSET(PLE!$G$15,$M114-$A$15,BV$13)))</f>
        <v>1000000000000</v>
      </c>
      <c r="BW114" s="172">
        <f t="array" aca="1" ref="BW114" ca="1">IF(OR($D114&lt;&gt;"Serviço",AND(AUTOEVENTO="Manual",$M114=$A$15),$M114&gt;(ROW(PLE.lastrow)-ROW(PLE.firstrow))),0,
           IF(OFFSET(PLE!$G$15,$M114-$A$15,BW$13)="",10^12,OFFSET(PLE!$G$15,$M114-$A$15,BW$13)))</f>
        <v>1000000000000</v>
      </c>
      <c r="BX114" s="172">
        <f t="array" aca="1" ref="BX114" ca="1">IF(OR($D114&lt;&gt;"Serviço",AND(AUTOEVENTO="Manual",$M114=$A$15),$M114&gt;(ROW(PLE.lastrow)-ROW(PLE.firstrow))),0,
           IF(OFFSET(PLE!$G$15,$M114-$A$15,BX$13)="",10^12,OFFSET(PLE!$G$15,$M114-$A$15,BX$13)))</f>
        <v>1000000000000</v>
      </c>
      <c r="BY114" s="172">
        <f t="array" aca="1" ref="BY114" ca="1">IF(OR($D114&lt;&gt;"Serviço",AND(AUTOEVENTO="Manual",$M114=$A$15),$M114&gt;(ROW(PLE.lastrow)-ROW(PLE.firstrow))),0,
           IF(OFFSET(PLE!$G$15,$M114-$A$15,BY$13)="",10^12,OFFSET(PLE!$G$15,$M114-$A$15,BY$13)))</f>
        <v>1000000000000</v>
      </c>
      <c r="BZ114" s="172">
        <f t="array" aca="1" ref="BZ114" ca="1">IF(OR($D114&lt;&gt;"Serviço",AND(AUTOEVENTO="Manual",$M114=$A$15),$M114&gt;(ROW(PLE.lastrow)-ROW(PLE.firstrow))),0,
           IF(OFFSET(PLE!$G$15,$M114-$A$15,BZ$13)="",10^12,OFFSET(PLE!$G$15,$M114-$A$15,BZ$13)))</f>
        <v>1000000000000</v>
      </c>
      <c r="CA114" s="172">
        <f t="array" aca="1" ref="CA114" ca="1">IF(OR($D114&lt;&gt;"Serviço",AND(AUTOEVENTO="Manual",$M114=$A$15),$M114&gt;(ROW(PLE.lastrow)-ROW(PLE.firstrow))),0,
           IF(OFFSET(PLE!$G$15,$M114-$A$15,CA$13)="",10^12,OFFSET(PLE!$G$15,$M114-$A$15,CA$13)))</f>
        <v>1000000000000</v>
      </c>
      <c r="CB114" s="172">
        <f t="array" aca="1" ref="CB114" ca="1">IF(OR($D114&lt;&gt;"Serviço",AND(AUTOEVENTO="Manual",$M114=$A$15),$M114&gt;(ROW(PLE.lastrow)-ROW(PLE.firstrow))),0,
           IF(OFFSET(PLE!$G$15,$M114-$A$15,CB$13)="",10^12,OFFSET(PLE!$G$15,$M114-$A$15,CB$13)))</f>
        <v>1000000000000</v>
      </c>
      <c r="CC114" s="172">
        <f t="array" aca="1" ref="CC114" ca="1">IF(OR($D114&lt;&gt;"Serviço",AND(AUTOEVENTO="Manual",$M114=$A$15),$M114&gt;(ROW(PLE.lastrow)-ROW(PLE.firstrow))),0,
           IF(OFFSET(PLE!$G$15,$M114-$A$15,CC$13)="",10^12,OFFSET(PLE!$G$15,$M114-$A$15,CC$13)))</f>
        <v>1000000000000</v>
      </c>
      <c r="CD114" s="172">
        <f t="array" aca="1" ref="CD114" ca="1">IF(OR($D114&lt;&gt;"Serviço",AND(AUTOEVENTO="Manual",$M114=$A$15),$M114&gt;(ROW(PLE.lastrow)-ROW(PLE.firstrow))),0,
           IF(OFFSET(PLE!$G$15,$M114-$A$15,CD$13)="",10^12,OFFSET(PLE!$G$15,$M114-$A$15,CD$13)))</f>
        <v>1000000000000</v>
      </c>
      <c r="CE114" s="172">
        <f t="array" aca="1" ref="CE114" ca="1">IF(OR($D114&lt;&gt;"Serviço",AND(AUTOEVENTO="Manual",$M114=$A$15),$M114&gt;(ROW(PLE.lastrow)-ROW(PLE.firstrow))),0,
           IF(OFFSET(PLE!$G$15,$M114-$A$15,CE$13)="",10^12,OFFSET(PLE!$G$15,$M114-$A$15,CE$13)))</f>
        <v>1000000000000</v>
      </c>
      <c r="CF114" s="172">
        <f t="array" aca="1" ref="CF114" ca="1">IF(OR($D114&lt;&gt;"Serviço",AND(AUTOEVENTO="Manual",$M114=$A$15),$M114&gt;(ROW(PLE.lastrow)-ROW(PLE.firstrow))),0,
           IF(OFFSET(PLE!$G$15,$M114-$A$15,CF$13)="",10^12,OFFSET(PLE!$G$15,$M114-$A$15,CF$13)))</f>
        <v>1000000000000</v>
      </c>
      <c r="CG114" s="172">
        <f t="array" aca="1" ref="CG114" ca="1">IF(OR($D114&lt;&gt;"Serviço",AND(AUTOEVENTO="Manual",$M114=$A$15),$M114&gt;(ROW(PLE.lastrow)-ROW(PLE.firstrow))),0,
           IF(OFFSET(PLE!$G$15,$M114-$A$15,CG$13)="",10^12,OFFSET(PLE!$G$15,$M114-$A$15,CG$13)))</f>
        <v>1000000000000</v>
      </c>
      <c r="CH114" s="172">
        <f t="array" aca="1" ref="CH114" ca="1">IF(OR($D114&lt;&gt;"Serviço",AND(AUTOEVENTO="Manual",$M114=$A$15),$M114&gt;(ROW(PLE.lastrow)-ROW(PLE.firstrow))),0,
           IF(OFFSET(PLE!$G$15,$M114-$A$15,CH$13)="",10^12,OFFSET(PLE!$G$15,$M114-$A$15,CH$13)))</f>
        <v>1000000000000</v>
      </c>
      <c r="CI114" s="172">
        <f t="array" aca="1" ref="CI114" ca="1">IF(OR($D114&lt;&gt;"Serviço",AND(AUTOEVENTO="Manual",$M114=$A$15),$M114&gt;(ROW(PLE.lastrow)-ROW(PLE.firstrow))),0,
           IF(OFFSET(PLE!$G$15,$M114-$A$15,CI$13)="",10^12,OFFSET(PLE!$G$15,$M114-$A$15,CI$13)))</f>
        <v>1000000000000</v>
      </c>
      <c r="CJ114" s="172">
        <f t="array" aca="1" ref="CJ114" ca="1">IF(OR($D114&lt;&gt;"Serviço",AND(AUTOEVENTO="Manual",$M114=$A$15),$M114&gt;(ROW(PLE.lastrow)-ROW(PLE.firstrow))),0,
           IF(OFFSET(PLE!$G$15,$M114-$A$15,CJ$13)="",10^12,OFFSET(PLE!$G$15,$M114-$A$15,CJ$13)))</f>
        <v>1000000000000</v>
      </c>
      <c r="CK114" s="172">
        <f t="array" aca="1" ref="CK114" ca="1">IF(OR($D114&lt;&gt;"Serviço",AND(AUTOEVENTO="Manual",$M114=$A$15),$M114&gt;(ROW(PLE.lastrow)-ROW(PLE.firstrow))),0,
           IF(OFFSET(PLE!$G$15,$M114-$A$15,CK$13)="",10^12,OFFSET(PLE!$G$15,$M114-$A$15,CK$13)))</f>
        <v>1000000000000</v>
      </c>
      <c r="CL114" s="172">
        <f t="array" aca="1" ref="CL114" ca="1">IF(OR($D114&lt;&gt;"Serviço",AND(AUTOEVENTO="Manual",$M114=$A$15),$M114&gt;(ROW(PLE.lastrow)-ROW(PLE.firstrow))),0,
           IF(OFFSET(PLE!$G$15,$M114-$A$15,CL$13)="",10^12,OFFSET(PLE!$G$15,$M114-$A$15,CL$13)))</f>
        <v>1000000000000</v>
      </c>
      <c r="CM114" s="172">
        <f t="array" aca="1" ref="CM114" ca="1">IF(OR($D114&lt;&gt;"Serviço",AND(AUTOEVENTO="Manual",$M114=$A$15),$M114&gt;(ROW(PLE.lastrow)-ROW(PLE.firstrow))),0,
           IF(OFFSET(PLE!$G$15,$M114-$A$15,CM$13)="",10^12,OFFSET(PLE!$G$15,$M114-$A$15,CM$13)))</f>
        <v>1000000000000</v>
      </c>
    </row>
    <row r="115" spans="1:91" s="696" customFormat="1" ht="51" x14ac:dyDescent="0.2">
      <c r="A115" s="694">
        <f t="shared" ca="1" si="45"/>
        <v>21</v>
      </c>
      <c r="B115" s="694" t="str">
        <f ca="1">OFFSET(ORÇAMENTO!C$15,$L115,0)</f>
        <v>S</v>
      </c>
      <c r="C115" s="694" t="str">
        <f ca="1">OFFSET(ORÇAMENTO!L$15,$L115,0)</f>
        <v>F</v>
      </c>
      <c r="D115" s="116" t="str">
        <f ca="1">OFFSET(ORÇAMENTO!N$15,$L115,0)</f>
        <v>Serviço</v>
      </c>
      <c r="E115" s="117" t="str">
        <f ca="1">OFFSET(ORÇAMENTO!O$15,$L115,0)</f>
        <v>1.20.3.</v>
      </c>
      <c r="F115" s="163" t="str">
        <f ca="1">OFFSET(ORÇAMENTO!R$15,$L115,0)</f>
        <v>CAMADA SEPARADORA PARA EXECUÇÃO DE RADIER, PISO DE CONCRETO OU LAJE SOBRE SOLO, EM LONA PLÁSTICA. AF_09/2021</v>
      </c>
      <c r="G115" s="164" t="str">
        <f ca="1">IF($D115&lt;&gt;"Serviço","",OFFSET(ORÇAMENTO!S$15,$L115,0))</f>
        <v>M2</v>
      </c>
      <c r="H115" s="122">
        <f t="array" aca="1" ref="H115" ca="1">IF($D115&lt;&gt;"Serviço",0,IF(ACOMPANHAMENTO="BM",ROUND(OFFSET(ORÇAMENTO!AJ$15,$L115,0),15-13*ORÇAMENTO!$AF$7),IF(IFERROR(CÁLCULO.FrentesPreenchidas,0)=0,0,SUM(ROUND(OFFSET($P115,0,1,1,CÁLCULO.FrentesPreenchidas),15-13*ORÇAMENTO!$AF$7)))))</f>
        <v>1077.4000000000001</v>
      </c>
      <c r="I115" s="467" t="s">
        <v>1272</v>
      </c>
      <c r="J115" s="653" t="str">
        <f t="array" aca="1" ref="J115" ca="1">IF(OR(B115&lt;&gt;"S",CÁLCULO.FrentesPreenchidas=0),"",IF(AND(ACOMPANHAMENTO="PLE",AUTOEVENTO="Manual",OR(H115&gt;0,ORÇAMENTO!AC115="QUANT."),OR(K115="",M115=0,N115="")),"►E",IF(AND(ACOMPANHAMENTO="PLE",ORÇAMENTO!AC115="QUANT."),"►Q",IF(AND(ACOMPANHAMENTO="PLE",H115&lt;&gt;SUMPRODUCT(($Q$1:$AI$1=1)*ROUND(Q115:AI115,15))),"►S",IF(AND(COUNTIF($P$11:$AI$11,"▼")=0,H115&gt;0,I115=""),"◄M","")))))</f>
        <v/>
      </c>
      <c r="K115" s="654" t="s">
        <v>1418</v>
      </c>
      <c r="L115" s="165">
        <f t="shared" ca="1" si="46"/>
        <v>100</v>
      </c>
      <c r="M115" s="166">
        <f ca="1">IF($D115&lt;&gt;"Serviço","",
          IF(AUTOEVENTO="manual",$A115,
                IF(ISERROR(MATCH($A115,$A$15:OFFSET($A115,-1,0),0)),MAX($M$15:OFFSET(M115,-1,0))+1,
                      INDEX($M$15:OFFSET(M115,-1,0),MATCH($A115,$A$15:OFFSET($A115,-1,0),0)))))</f>
        <v>21</v>
      </c>
      <c r="N115" s="167" t="str">
        <f ca="1">IF($D115&lt;&gt;"Serviço","",
         IF(AUTOEVENTO="Manual",
                IF($A115=0,"&lt;-- defina o número do agrupador",
                       OFFSET(EVENTOS!$D$15,$A115-$A$15,0)),
                OFFSET($F$15,$A115,0)))</f>
        <v>IMPERMEABILIZAÇÕES DE PISOS</v>
      </c>
      <c r="O115" s="168"/>
      <c r="Q115" s="169">
        <f>53.87*5</f>
        <v>269.34999999999997</v>
      </c>
      <c r="R115" s="169">
        <f t="shared" ref="R115:T116" si="71">53.87*5</f>
        <v>269.34999999999997</v>
      </c>
      <c r="S115" s="169">
        <f t="shared" si="71"/>
        <v>269.34999999999997</v>
      </c>
      <c r="T115" s="169">
        <f t="shared" si="71"/>
        <v>269.34999999999997</v>
      </c>
      <c r="U115" s="169"/>
      <c r="V115" s="169"/>
      <c r="W115" s="169"/>
      <c r="X115" s="169"/>
      <c r="Y115" s="169"/>
      <c r="Z115" s="170"/>
      <c r="AA115" s="169"/>
      <c r="AB115" s="169"/>
      <c r="AC115" s="169"/>
      <c r="AD115" s="169"/>
      <c r="AE115" s="169"/>
      <c r="AF115" s="169"/>
      <c r="AG115" s="169"/>
      <c r="AH115" s="170"/>
      <c r="AJ115" s="452">
        <f ca="1">IF(AND($D115="Serviço",AJ$12&lt;&gt;0,$H115&gt;0,OR(AUTOEVENTO&lt;&gt;"manual",$M115&lt;&gt;$A$15)),
        IF(Import.TipoArredondamento&lt;&gt;"TransfereGOV",
              ROUND(OFFSET($P115,0,AJ$13),15-13*ORÇAMENTO!$AF$7)/$H115*OFFSET(ORÇAMENTO!$X$15,ROW(AJ115)-ROW(AJ$15),0),
              ROUND(ROUND(OFFSET($P115,0,AJ$13),15-13*ORÇAMENTO!$AF$7)*OFFSET(ORÇAMENTO!$W$15,ROW(AJ115)-ROW(AJ$15),0),15-13*ORÇAMENTO!$AF$11)),
         0)</f>
        <v>937.34</v>
      </c>
      <c r="AK115" s="452">
        <f ca="1">IF(AND($D115="Serviço",AK$12&lt;&gt;0,$H115&gt;0,OR(AUTOEVENTO&lt;&gt;"manual",$M115&lt;&gt;$A$15)),
        IF(Import.TipoArredondamento&lt;&gt;"TransfereGOV",
              ROUND(OFFSET($P115,0,AK$13),15-13*ORÇAMENTO!$AF$7)/$H115*OFFSET(ORÇAMENTO!$X$15,ROW(AK115)-ROW(AK$15),0),
              ROUND(ROUND(OFFSET($P115,0,AK$13),15-13*ORÇAMENTO!$AF$7)*OFFSET(ORÇAMENTO!$W$15,ROW(AK115)-ROW(AK$15),0),15-13*ORÇAMENTO!$AF$11)),
         0)</f>
        <v>937.34</v>
      </c>
      <c r="AL115" s="452">
        <f ca="1">IF(AND($D115="Serviço",AL$12&lt;&gt;0,$H115&gt;0,OR(AUTOEVENTO&lt;&gt;"manual",$M115&lt;&gt;$A$15)),
        IF(Import.TipoArredondamento&lt;&gt;"TransfereGOV",
              ROUND(OFFSET($P115,0,AL$13),15-13*ORÇAMENTO!$AF$7)/$H115*OFFSET(ORÇAMENTO!$X$15,ROW(AL115)-ROW(AL$15),0),
              ROUND(ROUND(OFFSET($P115,0,AL$13),15-13*ORÇAMENTO!$AF$7)*OFFSET(ORÇAMENTO!$W$15,ROW(AL115)-ROW(AL$15),0),15-13*ORÇAMENTO!$AF$11)),
         0)</f>
        <v>937.34</v>
      </c>
      <c r="AM115" s="452">
        <f ca="1">IF(AND($D115="Serviço",AM$12&lt;&gt;0,$H115&gt;0,OR(AUTOEVENTO&lt;&gt;"manual",$M115&lt;&gt;$A$15)),
        IF(Import.TipoArredondamento&lt;&gt;"TransfereGOV",
              ROUND(OFFSET($P115,0,AM$13),15-13*ORÇAMENTO!$AF$7)/$H115*OFFSET(ORÇAMENTO!$X$15,ROW(AM115)-ROW(AM$15),0),
              ROUND(ROUND(OFFSET($P115,0,AM$13),15-13*ORÇAMENTO!$AF$7)*OFFSET(ORÇAMENTO!$W$15,ROW(AM115)-ROW(AM$15),0),15-13*ORÇAMENTO!$AF$11)),
         0)</f>
        <v>937.34</v>
      </c>
      <c r="AN115" s="452">
        <f ca="1">IF(AND($D115="Serviço",AN$12&lt;&gt;0,$H115&gt;0,OR(AUTOEVENTO&lt;&gt;"manual",$M115&lt;&gt;$A$15)),
        IF(Import.TipoArredondamento&lt;&gt;"TransfereGOV",
              ROUND(OFFSET($P115,0,AN$13),15-13*ORÇAMENTO!$AF$7)/$H115*OFFSET(ORÇAMENTO!$X$15,ROW(AN115)-ROW(AN$15),0),
              ROUND(ROUND(OFFSET($P115,0,AN$13),15-13*ORÇAMENTO!$AF$7)*OFFSET(ORÇAMENTO!$W$15,ROW(AN115)-ROW(AN$15),0),15-13*ORÇAMENTO!$AF$11)),
         0)</f>
        <v>0</v>
      </c>
      <c r="AO115" s="452">
        <f ca="1">IF(AND($D115="Serviço",AO$12&lt;&gt;0,$H115&gt;0,OR(AUTOEVENTO&lt;&gt;"manual",$M115&lt;&gt;$A$15)),
        IF(Import.TipoArredondamento&lt;&gt;"TransfereGOV",
              ROUND(OFFSET($P115,0,AO$13),15-13*ORÇAMENTO!$AF$7)/$H115*OFFSET(ORÇAMENTO!$X$15,ROW(AO115)-ROW(AO$15),0),
              ROUND(ROUND(OFFSET($P115,0,AO$13),15-13*ORÇAMENTO!$AF$7)*OFFSET(ORÇAMENTO!$W$15,ROW(AO115)-ROW(AO$15),0),15-13*ORÇAMENTO!$AF$11)),
         0)</f>
        <v>0</v>
      </c>
      <c r="AP115" s="452">
        <f ca="1">IF(AND($D115="Serviço",AP$12&lt;&gt;0,$H115&gt;0,OR(AUTOEVENTO&lt;&gt;"manual",$M115&lt;&gt;$A$15)),
        IF(Import.TipoArredondamento&lt;&gt;"TransfereGOV",
              ROUND(OFFSET($P115,0,AP$13),15-13*ORÇAMENTO!$AF$7)/$H115*OFFSET(ORÇAMENTO!$X$15,ROW(AP115)-ROW(AP$15),0),
              ROUND(ROUND(OFFSET($P115,0,AP$13),15-13*ORÇAMENTO!$AF$7)*OFFSET(ORÇAMENTO!$W$15,ROW(AP115)-ROW(AP$15),0),15-13*ORÇAMENTO!$AF$11)),
         0)</f>
        <v>0</v>
      </c>
      <c r="AQ115" s="452">
        <f ca="1">IF(AND($D115="Serviço",AQ$12&lt;&gt;0,$H115&gt;0,OR(AUTOEVENTO&lt;&gt;"manual",$M115&lt;&gt;$A$15)),
        IF(Import.TipoArredondamento&lt;&gt;"TransfereGOV",
              ROUND(OFFSET($P115,0,AQ$13),15-13*ORÇAMENTO!$AF$7)/$H115*OFFSET(ORÇAMENTO!$X$15,ROW(AQ115)-ROW(AQ$15),0),
              ROUND(ROUND(OFFSET($P115,0,AQ$13),15-13*ORÇAMENTO!$AF$7)*OFFSET(ORÇAMENTO!$W$15,ROW(AQ115)-ROW(AQ$15),0),15-13*ORÇAMENTO!$AF$11)),
         0)</f>
        <v>0</v>
      </c>
      <c r="AR115" s="452">
        <f ca="1">IF(AND($D115="Serviço",AR$12&lt;&gt;0,$H115&gt;0,OR(AUTOEVENTO&lt;&gt;"manual",$M115&lt;&gt;$A$15)),
        IF(Import.TipoArredondamento&lt;&gt;"TransfereGOV",
              ROUND(OFFSET($P115,0,AR$13),15-13*ORÇAMENTO!$AF$7)/$H115*OFFSET(ORÇAMENTO!$X$15,ROW(AR115)-ROW(AR$15),0),
              ROUND(ROUND(OFFSET($P115,0,AR$13),15-13*ORÇAMENTO!$AF$7)*OFFSET(ORÇAMENTO!$W$15,ROW(AR115)-ROW(AR$15),0),15-13*ORÇAMENTO!$AF$11)),
         0)</f>
        <v>0</v>
      </c>
      <c r="AS115" s="452">
        <f ca="1">IF(AND($D115="Serviço",AS$12&lt;&gt;0,$H115&gt;0,OR(AUTOEVENTO&lt;&gt;"manual",$M115&lt;&gt;$A$15)),
        IF(Import.TipoArredondamento&lt;&gt;"TransfereGOV",
              ROUND(OFFSET($P115,0,AS$13),15-13*ORÇAMENTO!$AF$7)/$H115*OFFSET(ORÇAMENTO!$X$15,ROW(AS115)-ROW(AS$15),0),
              ROUND(ROUND(OFFSET($P115,0,AS$13),15-13*ORÇAMENTO!$AF$7)*OFFSET(ORÇAMENTO!$W$15,ROW(AS115)-ROW(AS$15),0),15-13*ORÇAMENTO!$AF$11)),
         0)</f>
        <v>0</v>
      </c>
      <c r="AT115" s="452">
        <f ca="1">IF(AND($D115="Serviço",AT$12&lt;&gt;0,$H115&gt;0,OR(AUTOEVENTO&lt;&gt;"manual",$M115&lt;&gt;$A$15)),
        IF(Import.TipoArredondamento&lt;&gt;"TransfereGOV",
              ROUND(OFFSET($P115,0,AT$13),15-13*ORÇAMENTO!$AF$7)/$H115*OFFSET(ORÇAMENTO!$X$15,ROW(AT115)-ROW(AT$15),0),
              ROUND(ROUND(OFFSET($P115,0,AT$13),15-13*ORÇAMENTO!$AF$7)*OFFSET(ORÇAMENTO!$W$15,ROW(AT115)-ROW(AT$15),0),15-13*ORÇAMENTO!$AF$11)),
         0)</f>
        <v>0</v>
      </c>
      <c r="AU115" s="452">
        <f ca="1">IF(AND($D115="Serviço",AU$12&lt;&gt;0,$H115&gt;0,OR(AUTOEVENTO&lt;&gt;"manual",$M115&lt;&gt;$A$15)),
        IF(Import.TipoArredondamento&lt;&gt;"TransfereGOV",
              ROUND(OFFSET($P115,0,AU$13),15-13*ORÇAMENTO!$AF$7)/$H115*OFFSET(ORÇAMENTO!$X$15,ROW(AU115)-ROW(AU$15),0),
              ROUND(ROUND(OFFSET($P115,0,AU$13),15-13*ORÇAMENTO!$AF$7)*OFFSET(ORÇAMENTO!$W$15,ROW(AU115)-ROW(AU$15),0),15-13*ORÇAMENTO!$AF$11)),
         0)</f>
        <v>0</v>
      </c>
      <c r="AV115" s="452">
        <f ca="1">IF(AND($D115="Serviço",AV$12&lt;&gt;0,$H115&gt;0,OR(AUTOEVENTO&lt;&gt;"manual",$M115&lt;&gt;$A$15)),
        IF(Import.TipoArredondamento&lt;&gt;"TransfereGOV",
              ROUND(OFFSET($P115,0,AV$13),15-13*ORÇAMENTO!$AF$7)/$H115*OFFSET(ORÇAMENTO!$X$15,ROW(AV115)-ROW(AV$15),0),
              ROUND(ROUND(OFFSET($P115,0,AV$13),15-13*ORÇAMENTO!$AF$7)*OFFSET(ORÇAMENTO!$W$15,ROW(AV115)-ROW(AV$15),0),15-13*ORÇAMENTO!$AF$11)),
         0)</f>
        <v>0</v>
      </c>
      <c r="AW115" s="452">
        <f ca="1">IF(AND($D115="Serviço",AW$12&lt;&gt;0,$H115&gt;0,OR(AUTOEVENTO&lt;&gt;"manual",$M115&lt;&gt;$A$15)),
        IF(Import.TipoArredondamento&lt;&gt;"TransfereGOV",
              ROUND(OFFSET($P115,0,AW$13),15-13*ORÇAMENTO!$AF$7)/$H115*OFFSET(ORÇAMENTO!$X$15,ROW(AW115)-ROW(AW$15),0),
              ROUND(ROUND(OFFSET($P115,0,AW$13),15-13*ORÇAMENTO!$AF$7)*OFFSET(ORÇAMENTO!$W$15,ROW(AW115)-ROW(AW$15),0),15-13*ORÇAMENTO!$AF$11)),
         0)</f>
        <v>0</v>
      </c>
      <c r="AX115" s="452">
        <f ca="1">IF(AND($D115="Serviço",AX$12&lt;&gt;0,$H115&gt;0,OR(AUTOEVENTO&lt;&gt;"manual",$M115&lt;&gt;$A$15)),
        IF(Import.TipoArredondamento&lt;&gt;"TransfereGOV",
              ROUND(OFFSET($P115,0,AX$13),15-13*ORÇAMENTO!$AF$7)/$H115*OFFSET(ORÇAMENTO!$X$15,ROW(AX115)-ROW(AX$15),0),
              ROUND(ROUND(OFFSET($P115,0,AX$13),15-13*ORÇAMENTO!$AF$7)*OFFSET(ORÇAMENTO!$W$15,ROW(AX115)-ROW(AX$15),0),15-13*ORÇAMENTO!$AF$11)),
         0)</f>
        <v>0</v>
      </c>
      <c r="AY115" s="452">
        <f ca="1">IF(AND($D115="Serviço",AY$12&lt;&gt;0,$H115&gt;0,OR(AUTOEVENTO&lt;&gt;"manual",$M115&lt;&gt;$A$15)),
        IF(Import.TipoArredondamento&lt;&gt;"TransfereGOV",
              ROUND(OFFSET($P115,0,AY$13),15-13*ORÇAMENTO!$AF$7)/$H115*OFFSET(ORÇAMENTO!$X$15,ROW(AY115)-ROW(AY$15),0),
              ROUND(ROUND(OFFSET($P115,0,AY$13),15-13*ORÇAMENTO!$AF$7)*OFFSET(ORÇAMENTO!$W$15,ROW(AY115)-ROW(AY$15),0),15-13*ORÇAMENTO!$AF$11)),
         0)</f>
        <v>0</v>
      </c>
      <c r="AZ115" s="452">
        <f ca="1">IF(AND($D115="Serviço",AZ$12&lt;&gt;0,$H115&gt;0,OR(AUTOEVENTO&lt;&gt;"manual",$M115&lt;&gt;$A$15)),
        IF(Import.TipoArredondamento&lt;&gt;"TransfereGOV",
              ROUND(OFFSET($P115,0,AZ$13),15-13*ORÇAMENTO!$AF$7)/$H115*OFFSET(ORÇAMENTO!$X$15,ROW(AZ115)-ROW(AZ$15),0),
              ROUND(ROUND(OFFSET($P115,0,AZ$13),15-13*ORÇAMENTO!$AF$7)*OFFSET(ORÇAMENTO!$W$15,ROW(AZ115)-ROW(AZ$15),0),15-13*ORÇAMENTO!$AF$11)),
         0)</f>
        <v>0</v>
      </c>
      <c r="BA115" s="452">
        <f ca="1">IF(AND($D115="Serviço",BA$12&lt;&gt;0,$H115&gt;0,OR(AUTOEVENTO&lt;&gt;"manual",$M115&lt;&gt;$A$15)),
        IF(Import.TipoArredondamento&lt;&gt;"TransfereGOV",
              ROUND(OFFSET($P115,0,BA$13),15-13*ORÇAMENTO!$AF$7)/$H115*OFFSET(ORÇAMENTO!$X$15,ROW(BA115)-ROW(BA$15),0),
              ROUND(ROUND(OFFSET($P115,0,BA$13),15-13*ORÇAMENTO!$AF$7)*OFFSET(ORÇAMENTO!$W$15,ROW(BA115)-ROW(BA$15),0),15-13*ORÇAMENTO!$AF$11)),
         0)</f>
        <v>0</v>
      </c>
      <c r="BC115" s="171">
        <f ca="1">IF(OR($D115&lt;&gt;"Serviço",AND(AUTOEVENTO="Manual",$M115=$A$15)),0,
         IF(OFFSET(CRONOPLE!$F$15,$M115-$A$15,BC$13)=0,10^12,OFFSET(CRONOPLE!$F$15,$M115-$A$15,BC$13)))</f>
        <v>2</v>
      </c>
      <c r="BD115" s="171">
        <f ca="1">IF(OR($D115&lt;&gt;"Serviço",AND(AUTOEVENTO="Manual",$M115=$A$15)),0,
         IF(OFFSET(CRONOPLE!$F$15,$M115-$A$15,BD$13)=0,10^12,OFFSET(CRONOPLE!$F$15,$M115-$A$15,BD$13)))</f>
        <v>2</v>
      </c>
      <c r="BE115" s="171">
        <f ca="1">IF(OR($D115&lt;&gt;"Serviço",AND(AUTOEVENTO="Manual",$M115=$A$15)),0,
         IF(OFFSET(CRONOPLE!$F$15,$M115-$A$15,BE$13)=0,10^12,OFFSET(CRONOPLE!$F$15,$M115-$A$15,BE$13)))</f>
        <v>5</v>
      </c>
      <c r="BF115" s="171">
        <f ca="1">IF(OR($D115&lt;&gt;"Serviço",AND(AUTOEVENTO="Manual",$M115=$A$15)),0,
         IF(OFFSET(CRONOPLE!$F$15,$M115-$A$15,BF$13)=0,10^12,OFFSET(CRONOPLE!$F$15,$M115-$A$15,BF$13)))</f>
        <v>5</v>
      </c>
      <c r="BG115" s="171">
        <f ca="1">IF(OR($D115&lt;&gt;"Serviço",AND(AUTOEVENTO="Manual",$M115=$A$15)),0,
         IF(OFFSET(CRONOPLE!$F$15,$M115-$A$15,BG$13)=0,10^12,OFFSET(CRONOPLE!$F$15,$M115-$A$15,BG$13)))</f>
        <v>5</v>
      </c>
      <c r="BH115" s="171">
        <f ca="1">IF(OR($D115&lt;&gt;"Serviço",AND(AUTOEVENTO="Manual",$M115=$A$15)),0,
         IF(OFFSET(CRONOPLE!$F$15,$M115-$A$15,BH$13)=0,10^12,OFFSET(CRONOPLE!$F$15,$M115-$A$15,BH$13)))</f>
        <v>1000000000000</v>
      </c>
      <c r="BI115" s="171">
        <f ca="1">IF(OR($D115&lt;&gt;"Serviço",AND(AUTOEVENTO="Manual",$M115=$A$15)),0,
         IF(OFFSET(CRONOPLE!$F$15,$M115-$A$15,BI$13)=0,10^12,OFFSET(CRONOPLE!$F$15,$M115-$A$15,BI$13)))</f>
        <v>1000000000000</v>
      </c>
      <c r="BJ115" s="171">
        <f ca="1">IF(OR($D115&lt;&gt;"Serviço",AND(AUTOEVENTO="Manual",$M115=$A$15)),0,
         IF(OFFSET(CRONOPLE!$F$15,$M115-$A$15,BJ$13)=0,10^12,OFFSET(CRONOPLE!$F$15,$M115-$A$15,BJ$13)))</f>
        <v>1000000000000</v>
      </c>
      <c r="BK115" s="171">
        <f ca="1">IF(OR($D115&lt;&gt;"Serviço",AND(AUTOEVENTO="Manual",$M115=$A$15)),0,
         IF(OFFSET(CRONOPLE!$F$15,$M115-$A$15,BK$13)=0,10^12,OFFSET(CRONOPLE!$F$15,$M115-$A$15,BK$13)))</f>
        <v>1000000000000</v>
      </c>
      <c r="BL115" s="171">
        <f ca="1">IF(OR($D115&lt;&gt;"Serviço",AND(AUTOEVENTO="Manual",$M115=$A$15)),0,
         IF(OFFSET(CRONOPLE!$F$15,$M115-$A$15,BL$13)=0,10^12,OFFSET(CRONOPLE!$F$15,$M115-$A$15,BL$13)))</f>
        <v>1000000000000</v>
      </c>
      <c r="BM115" s="171">
        <f ca="1">IF(OR($D115&lt;&gt;"Serviço",AND(AUTOEVENTO="Manual",$M115=$A$15)),0,
         IF(OFFSET(CRONOPLE!$F$15,$M115-$A$15,BM$13)=0,10^12,OFFSET(CRONOPLE!$F$15,$M115-$A$15,BM$13)))</f>
        <v>1000000000000</v>
      </c>
      <c r="BN115" s="171">
        <f ca="1">IF(OR($D115&lt;&gt;"Serviço",AND(AUTOEVENTO="Manual",$M115=$A$15)),0,
         IF(OFFSET(CRONOPLE!$F$15,$M115-$A$15,BN$13)=0,10^12,OFFSET(CRONOPLE!$F$15,$M115-$A$15,BN$13)))</f>
        <v>1000000000000</v>
      </c>
      <c r="BO115" s="171">
        <f ca="1">IF(OR($D115&lt;&gt;"Serviço",AND(AUTOEVENTO="Manual",$M115=$A$15)),0,
         IF(OFFSET(CRONOPLE!$F$15,$M115-$A$15,BO$13)=0,10^12,OFFSET(CRONOPLE!$F$15,$M115-$A$15,BO$13)))</f>
        <v>1000000000000</v>
      </c>
      <c r="BP115" s="171">
        <f ca="1">IF(OR($D115&lt;&gt;"Serviço",AND(AUTOEVENTO="Manual",$M115=$A$15)),0,
         IF(OFFSET(CRONOPLE!$F$15,$M115-$A$15,BP$13)=0,10^12,OFFSET(CRONOPLE!$F$15,$M115-$A$15,BP$13)))</f>
        <v>1000000000000</v>
      </c>
      <c r="BQ115" s="171">
        <f ca="1">IF(OR($D115&lt;&gt;"Serviço",AND(AUTOEVENTO="Manual",$M115=$A$15)),0,
         IF(OFFSET(CRONOPLE!$F$15,$M115-$A$15,BQ$13)=0,10^12,OFFSET(CRONOPLE!$F$15,$M115-$A$15,BQ$13)))</f>
        <v>1000000000000</v>
      </c>
      <c r="BR115" s="171">
        <f ca="1">IF(OR($D115&lt;&gt;"Serviço",AND(AUTOEVENTO="Manual",$M115=$A$15)),0,
         IF(OFFSET(CRONOPLE!$F$15,$M115-$A$15,BR$13)=0,10^12,OFFSET(CRONOPLE!$F$15,$M115-$A$15,BR$13)))</f>
        <v>1000000000000</v>
      </c>
      <c r="BS115" s="171">
        <f ca="1">IF(OR($D115&lt;&gt;"Serviço",AND(AUTOEVENTO="Manual",$M115=$A$15)),0,
         IF(OFFSET(CRONOPLE!$F$15,$M115-$A$15,BS$13)=0,10^12,OFFSET(CRONOPLE!$F$15,$M115-$A$15,BS$13)))</f>
        <v>1000000000000</v>
      </c>
      <c r="BT115" s="171">
        <f ca="1">IF(OR($D115&lt;&gt;"Serviço",AND(AUTOEVENTO="Manual",$M115=$A$15)),0,
         IF(OFFSET(CRONOPLE!$F$15,$M115-$A$15,BT$13)=0,10^12,OFFSET(CRONOPLE!$F$15,$M115-$A$15,BT$13)))</f>
        <v>1000000000000</v>
      </c>
      <c r="BV115" s="172">
        <f t="array" aca="1" ref="BV115" ca="1">IF(OR($D115&lt;&gt;"Serviço",AND(AUTOEVENTO="Manual",$M115=$A$15),$M115&gt;(ROW(PLE.lastrow)-ROW(PLE.firstrow))),0,
           IF(OFFSET(PLE!$G$15,$M115-$A$15,BV$13)="",10^12,OFFSET(PLE!$G$15,$M115-$A$15,BV$13)))</f>
        <v>1000000000000</v>
      </c>
      <c r="BW115" s="172">
        <f t="array" aca="1" ref="BW115" ca="1">IF(OR($D115&lt;&gt;"Serviço",AND(AUTOEVENTO="Manual",$M115=$A$15),$M115&gt;(ROW(PLE.lastrow)-ROW(PLE.firstrow))),0,
           IF(OFFSET(PLE!$G$15,$M115-$A$15,BW$13)="",10^12,OFFSET(PLE!$G$15,$M115-$A$15,BW$13)))</f>
        <v>1000000000000</v>
      </c>
      <c r="BX115" s="172">
        <f t="array" aca="1" ref="BX115" ca="1">IF(OR($D115&lt;&gt;"Serviço",AND(AUTOEVENTO="Manual",$M115=$A$15),$M115&gt;(ROW(PLE.lastrow)-ROW(PLE.firstrow))),0,
           IF(OFFSET(PLE!$G$15,$M115-$A$15,BX$13)="",10^12,OFFSET(PLE!$G$15,$M115-$A$15,BX$13)))</f>
        <v>1000000000000</v>
      </c>
      <c r="BY115" s="172">
        <f t="array" aca="1" ref="BY115" ca="1">IF(OR($D115&lt;&gt;"Serviço",AND(AUTOEVENTO="Manual",$M115=$A$15),$M115&gt;(ROW(PLE.lastrow)-ROW(PLE.firstrow))),0,
           IF(OFFSET(PLE!$G$15,$M115-$A$15,BY$13)="",10^12,OFFSET(PLE!$G$15,$M115-$A$15,BY$13)))</f>
        <v>1000000000000</v>
      </c>
      <c r="BZ115" s="172">
        <f t="array" aca="1" ref="BZ115" ca="1">IF(OR($D115&lt;&gt;"Serviço",AND(AUTOEVENTO="Manual",$M115=$A$15),$M115&gt;(ROW(PLE.lastrow)-ROW(PLE.firstrow))),0,
           IF(OFFSET(PLE!$G$15,$M115-$A$15,BZ$13)="",10^12,OFFSET(PLE!$G$15,$M115-$A$15,BZ$13)))</f>
        <v>1000000000000</v>
      </c>
      <c r="CA115" s="172">
        <f t="array" aca="1" ref="CA115" ca="1">IF(OR($D115&lt;&gt;"Serviço",AND(AUTOEVENTO="Manual",$M115=$A$15),$M115&gt;(ROW(PLE.lastrow)-ROW(PLE.firstrow))),0,
           IF(OFFSET(PLE!$G$15,$M115-$A$15,CA$13)="",10^12,OFFSET(PLE!$G$15,$M115-$A$15,CA$13)))</f>
        <v>1000000000000</v>
      </c>
      <c r="CB115" s="172">
        <f t="array" aca="1" ref="CB115" ca="1">IF(OR($D115&lt;&gt;"Serviço",AND(AUTOEVENTO="Manual",$M115=$A$15),$M115&gt;(ROW(PLE.lastrow)-ROW(PLE.firstrow))),0,
           IF(OFFSET(PLE!$G$15,$M115-$A$15,CB$13)="",10^12,OFFSET(PLE!$G$15,$M115-$A$15,CB$13)))</f>
        <v>1000000000000</v>
      </c>
      <c r="CC115" s="172">
        <f t="array" aca="1" ref="CC115" ca="1">IF(OR($D115&lt;&gt;"Serviço",AND(AUTOEVENTO="Manual",$M115=$A$15),$M115&gt;(ROW(PLE.lastrow)-ROW(PLE.firstrow))),0,
           IF(OFFSET(PLE!$G$15,$M115-$A$15,CC$13)="",10^12,OFFSET(PLE!$G$15,$M115-$A$15,CC$13)))</f>
        <v>1000000000000</v>
      </c>
      <c r="CD115" s="172">
        <f t="array" aca="1" ref="CD115" ca="1">IF(OR($D115&lt;&gt;"Serviço",AND(AUTOEVENTO="Manual",$M115=$A$15),$M115&gt;(ROW(PLE.lastrow)-ROW(PLE.firstrow))),0,
           IF(OFFSET(PLE!$G$15,$M115-$A$15,CD$13)="",10^12,OFFSET(PLE!$G$15,$M115-$A$15,CD$13)))</f>
        <v>1000000000000</v>
      </c>
      <c r="CE115" s="172">
        <f t="array" aca="1" ref="CE115" ca="1">IF(OR($D115&lt;&gt;"Serviço",AND(AUTOEVENTO="Manual",$M115=$A$15),$M115&gt;(ROW(PLE.lastrow)-ROW(PLE.firstrow))),0,
           IF(OFFSET(PLE!$G$15,$M115-$A$15,CE$13)="",10^12,OFFSET(PLE!$G$15,$M115-$A$15,CE$13)))</f>
        <v>1000000000000</v>
      </c>
      <c r="CF115" s="172">
        <f t="array" aca="1" ref="CF115" ca="1">IF(OR($D115&lt;&gt;"Serviço",AND(AUTOEVENTO="Manual",$M115=$A$15),$M115&gt;(ROW(PLE.lastrow)-ROW(PLE.firstrow))),0,
           IF(OFFSET(PLE!$G$15,$M115-$A$15,CF$13)="",10^12,OFFSET(PLE!$G$15,$M115-$A$15,CF$13)))</f>
        <v>1000000000000</v>
      </c>
      <c r="CG115" s="172">
        <f t="array" aca="1" ref="CG115" ca="1">IF(OR($D115&lt;&gt;"Serviço",AND(AUTOEVENTO="Manual",$M115=$A$15),$M115&gt;(ROW(PLE.lastrow)-ROW(PLE.firstrow))),0,
           IF(OFFSET(PLE!$G$15,$M115-$A$15,CG$13)="",10^12,OFFSET(PLE!$G$15,$M115-$A$15,CG$13)))</f>
        <v>1000000000000</v>
      </c>
      <c r="CH115" s="172">
        <f t="array" aca="1" ref="CH115" ca="1">IF(OR($D115&lt;&gt;"Serviço",AND(AUTOEVENTO="Manual",$M115=$A$15),$M115&gt;(ROW(PLE.lastrow)-ROW(PLE.firstrow))),0,
           IF(OFFSET(PLE!$G$15,$M115-$A$15,CH$13)="",10^12,OFFSET(PLE!$G$15,$M115-$A$15,CH$13)))</f>
        <v>1000000000000</v>
      </c>
      <c r="CI115" s="172">
        <f t="array" aca="1" ref="CI115" ca="1">IF(OR($D115&lt;&gt;"Serviço",AND(AUTOEVENTO="Manual",$M115=$A$15),$M115&gt;(ROW(PLE.lastrow)-ROW(PLE.firstrow))),0,
           IF(OFFSET(PLE!$G$15,$M115-$A$15,CI$13)="",10^12,OFFSET(PLE!$G$15,$M115-$A$15,CI$13)))</f>
        <v>1000000000000</v>
      </c>
      <c r="CJ115" s="172">
        <f t="array" aca="1" ref="CJ115" ca="1">IF(OR($D115&lt;&gt;"Serviço",AND(AUTOEVENTO="Manual",$M115=$A$15),$M115&gt;(ROW(PLE.lastrow)-ROW(PLE.firstrow))),0,
           IF(OFFSET(PLE!$G$15,$M115-$A$15,CJ$13)="",10^12,OFFSET(PLE!$G$15,$M115-$A$15,CJ$13)))</f>
        <v>1000000000000</v>
      </c>
      <c r="CK115" s="172">
        <f t="array" aca="1" ref="CK115" ca="1">IF(OR($D115&lt;&gt;"Serviço",AND(AUTOEVENTO="Manual",$M115=$A$15),$M115&gt;(ROW(PLE.lastrow)-ROW(PLE.firstrow))),0,
           IF(OFFSET(PLE!$G$15,$M115-$A$15,CK$13)="",10^12,OFFSET(PLE!$G$15,$M115-$A$15,CK$13)))</f>
        <v>1000000000000</v>
      </c>
      <c r="CL115" s="172">
        <f t="array" aca="1" ref="CL115" ca="1">IF(OR($D115&lt;&gt;"Serviço",AND(AUTOEVENTO="Manual",$M115=$A$15),$M115&gt;(ROW(PLE.lastrow)-ROW(PLE.firstrow))),0,
           IF(OFFSET(PLE!$G$15,$M115-$A$15,CL$13)="",10^12,OFFSET(PLE!$G$15,$M115-$A$15,CL$13)))</f>
        <v>1000000000000</v>
      </c>
      <c r="CM115" s="172">
        <f t="array" aca="1" ref="CM115" ca="1">IF(OR($D115&lt;&gt;"Serviço",AND(AUTOEVENTO="Manual",$M115=$A$15),$M115&gt;(ROW(PLE.lastrow)-ROW(PLE.firstrow))),0,
           IF(OFFSET(PLE!$G$15,$M115-$A$15,CM$13)="",10^12,OFFSET(PLE!$G$15,$M115-$A$15,CM$13)))</f>
        <v>1000000000000</v>
      </c>
    </row>
    <row r="116" spans="1:91" s="696" customFormat="1" ht="38.25" x14ac:dyDescent="0.2">
      <c r="A116" s="694">
        <f t="shared" ca="1" si="45"/>
        <v>21</v>
      </c>
      <c r="B116" s="694" t="str">
        <f ca="1">OFFSET(ORÇAMENTO!C$15,$L116,0)</f>
        <v>S</v>
      </c>
      <c r="C116" s="694" t="str">
        <f ca="1">OFFSET(ORÇAMENTO!L$15,$L116,0)</f>
        <v>F</v>
      </c>
      <c r="D116" s="116" t="str">
        <f ca="1">OFFSET(ORÇAMENTO!N$15,$L116,0)</f>
        <v>Serviço</v>
      </c>
      <c r="E116" s="117" t="str">
        <f ca="1">OFFSET(ORÇAMENTO!O$15,$L116,0)</f>
        <v>1.20.4.</v>
      </c>
      <c r="F116" s="163" t="str">
        <f ca="1">OFFSET(ORÇAMENTO!R$15,$L116,0)</f>
        <v>LASTRO DE CONCRETO MAGRO, APLICADO EM PISOS, LAJES SOBRE SOLO OU RADIERS, ESPESSURA DE 5 CM. AF_01/2024</v>
      </c>
      <c r="G116" s="164" t="str">
        <f ca="1">IF($D116&lt;&gt;"Serviço","",OFFSET(ORÇAMENTO!S$15,$L116,0))</f>
        <v>M2</v>
      </c>
      <c r="H116" s="122">
        <f t="array" aca="1" ref="H116" ca="1">IF($D116&lt;&gt;"Serviço",0,IF(ACOMPANHAMENTO="BM",ROUND(OFFSET(ORÇAMENTO!AJ$15,$L116,0),15-13*ORÇAMENTO!$AF$7),IF(IFERROR(CÁLCULO.FrentesPreenchidas,0)=0,0,SUM(ROUND(OFFSET($P116,0,1,1,CÁLCULO.FrentesPreenchidas),15-13*ORÇAMENTO!$AF$7)))))</f>
        <v>1077.4000000000001</v>
      </c>
      <c r="I116" s="467" t="s">
        <v>1273</v>
      </c>
      <c r="J116" s="653" t="str">
        <f t="array" aca="1" ref="J116" ca="1">IF(OR(B116&lt;&gt;"S",CÁLCULO.FrentesPreenchidas=0),"",IF(AND(ACOMPANHAMENTO="PLE",AUTOEVENTO="Manual",OR(H116&gt;0,ORÇAMENTO!AC116="QUANT."),OR(K116="",M116=0,N116="")),"►E",IF(AND(ACOMPANHAMENTO="PLE",ORÇAMENTO!AC116="QUANT."),"►Q",IF(AND(ACOMPANHAMENTO="PLE",H116&lt;&gt;SUMPRODUCT(($Q$1:$AI$1=1)*ROUND(Q116:AI116,15))),"►S",IF(AND(COUNTIF($P$11:$AI$11,"▼")=0,H116&gt;0,I116=""),"◄M","")))))</f>
        <v/>
      </c>
      <c r="K116" s="654" t="s">
        <v>1418</v>
      </c>
      <c r="L116" s="165">
        <f t="shared" ca="1" si="46"/>
        <v>101</v>
      </c>
      <c r="M116" s="166">
        <f ca="1">IF($D116&lt;&gt;"Serviço","",
          IF(AUTOEVENTO="manual",$A116,
                IF(ISERROR(MATCH($A116,$A$15:OFFSET($A116,-1,0),0)),MAX($M$15:OFFSET(M116,-1,0))+1,
                      INDEX($M$15:OFFSET(M116,-1,0),MATCH($A116,$A$15:OFFSET($A116,-1,0),0)))))</f>
        <v>21</v>
      </c>
      <c r="N116" s="167" t="str">
        <f ca="1">IF($D116&lt;&gt;"Serviço","",
         IF(AUTOEVENTO="Manual",
                IF($A116=0,"&lt;-- defina o número do agrupador",
                       OFFSET(EVENTOS!$D$15,$A116-$A$15,0)),
                OFFSET($F$15,$A116,0)))</f>
        <v>IMPERMEABILIZAÇÕES DE PISOS</v>
      </c>
      <c r="O116" s="168"/>
      <c r="Q116" s="169">
        <f>53.87*5</f>
        <v>269.34999999999997</v>
      </c>
      <c r="R116" s="169">
        <f t="shared" si="71"/>
        <v>269.34999999999997</v>
      </c>
      <c r="S116" s="169">
        <f t="shared" si="71"/>
        <v>269.34999999999997</v>
      </c>
      <c r="T116" s="169">
        <f t="shared" si="71"/>
        <v>269.34999999999997</v>
      </c>
      <c r="U116" s="169"/>
      <c r="V116" s="169"/>
      <c r="W116" s="169"/>
      <c r="X116" s="169"/>
      <c r="Y116" s="169"/>
      <c r="Z116" s="170"/>
      <c r="AA116" s="169"/>
      <c r="AB116" s="169"/>
      <c r="AC116" s="169"/>
      <c r="AD116" s="169"/>
      <c r="AE116" s="169"/>
      <c r="AF116" s="169"/>
      <c r="AG116" s="169"/>
      <c r="AH116" s="170"/>
      <c r="AJ116" s="452">
        <f ca="1">IF(AND($D116="Serviço",AJ$12&lt;&gt;0,$H116&gt;0,OR(AUTOEVENTO&lt;&gt;"manual",$M116&lt;&gt;$A$15)),
        IF(Import.TipoArredondamento&lt;&gt;"TransfereGOV",
              ROUND(OFFSET($P116,0,AJ$13),15-13*ORÇAMENTO!$AF$7)/$H116*OFFSET(ORÇAMENTO!$X$15,ROW(AJ116)-ROW(AJ$15),0),
              ROUND(ROUND(OFFSET($P116,0,AJ$13),15-13*ORÇAMENTO!$AF$7)*OFFSET(ORÇAMENTO!$W$15,ROW(AJ116)-ROW(AJ$15),0),15-13*ORÇAMENTO!$AF$11)),
         0)</f>
        <v>12807.59</v>
      </c>
      <c r="AK116" s="452">
        <f ca="1">IF(AND($D116="Serviço",AK$12&lt;&gt;0,$H116&gt;0,OR(AUTOEVENTO&lt;&gt;"manual",$M116&lt;&gt;$A$15)),
        IF(Import.TipoArredondamento&lt;&gt;"TransfereGOV",
              ROUND(OFFSET($P116,0,AK$13),15-13*ORÇAMENTO!$AF$7)/$H116*OFFSET(ORÇAMENTO!$X$15,ROW(AK116)-ROW(AK$15),0),
              ROUND(ROUND(OFFSET($P116,0,AK$13),15-13*ORÇAMENTO!$AF$7)*OFFSET(ORÇAMENTO!$W$15,ROW(AK116)-ROW(AK$15),0),15-13*ORÇAMENTO!$AF$11)),
         0)</f>
        <v>12807.59</v>
      </c>
      <c r="AL116" s="452">
        <f ca="1">IF(AND($D116="Serviço",AL$12&lt;&gt;0,$H116&gt;0,OR(AUTOEVENTO&lt;&gt;"manual",$M116&lt;&gt;$A$15)),
        IF(Import.TipoArredondamento&lt;&gt;"TransfereGOV",
              ROUND(OFFSET($P116,0,AL$13),15-13*ORÇAMENTO!$AF$7)/$H116*OFFSET(ORÇAMENTO!$X$15,ROW(AL116)-ROW(AL$15),0),
              ROUND(ROUND(OFFSET($P116,0,AL$13),15-13*ORÇAMENTO!$AF$7)*OFFSET(ORÇAMENTO!$W$15,ROW(AL116)-ROW(AL$15),0),15-13*ORÇAMENTO!$AF$11)),
         0)</f>
        <v>12807.59</v>
      </c>
      <c r="AM116" s="452">
        <f ca="1">IF(AND($D116="Serviço",AM$12&lt;&gt;0,$H116&gt;0,OR(AUTOEVENTO&lt;&gt;"manual",$M116&lt;&gt;$A$15)),
        IF(Import.TipoArredondamento&lt;&gt;"TransfereGOV",
              ROUND(OFFSET($P116,0,AM$13),15-13*ORÇAMENTO!$AF$7)/$H116*OFFSET(ORÇAMENTO!$X$15,ROW(AM116)-ROW(AM$15),0),
              ROUND(ROUND(OFFSET($P116,0,AM$13),15-13*ORÇAMENTO!$AF$7)*OFFSET(ORÇAMENTO!$W$15,ROW(AM116)-ROW(AM$15),0),15-13*ORÇAMENTO!$AF$11)),
         0)</f>
        <v>12807.59</v>
      </c>
      <c r="AN116" s="452">
        <f ca="1">IF(AND($D116="Serviço",AN$12&lt;&gt;0,$H116&gt;0,OR(AUTOEVENTO&lt;&gt;"manual",$M116&lt;&gt;$A$15)),
        IF(Import.TipoArredondamento&lt;&gt;"TransfereGOV",
              ROUND(OFFSET($P116,0,AN$13),15-13*ORÇAMENTO!$AF$7)/$H116*OFFSET(ORÇAMENTO!$X$15,ROW(AN116)-ROW(AN$15),0),
              ROUND(ROUND(OFFSET($P116,0,AN$13),15-13*ORÇAMENTO!$AF$7)*OFFSET(ORÇAMENTO!$W$15,ROW(AN116)-ROW(AN$15),0),15-13*ORÇAMENTO!$AF$11)),
         0)</f>
        <v>0</v>
      </c>
      <c r="AO116" s="452">
        <f ca="1">IF(AND($D116="Serviço",AO$12&lt;&gt;0,$H116&gt;0,OR(AUTOEVENTO&lt;&gt;"manual",$M116&lt;&gt;$A$15)),
        IF(Import.TipoArredondamento&lt;&gt;"TransfereGOV",
              ROUND(OFFSET($P116,0,AO$13),15-13*ORÇAMENTO!$AF$7)/$H116*OFFSET(ORÇAMENTO!$X$15,ROW(AO116)-ROW(AO$15),0),
              ROUND(ROUND(OFFSET($P116,0,AO$13),15-13*ORÇAMENTO!$AF$7)*OFFSET(ORÇAMENTO!$W$15,ROW(AO116)-ROW(AO$15),0),15-13*ORÇAMENTO!$AF$11)),
         0)</f>
        <v>0</v>
      </c>
      <c r="AP116" s="452">
        <f ca="1">IF(AND($D116="Serviço",AP$12&lt;&gt;0,$H116&gt;0,OR(AUTOEVENTO&lt;&gt;"manual",$M116&lt;&gt;$A$15)),
        IF(Import.TipoArredondamento&lt;&gt;"TransfereGOV",
              ROUND(OFFSET($P116,0,AP$13),15-13*ORÇAMENTO!$AF$7)/$H116*OFFSET(ORÇAMENTO!$X$15,ROW(AP116)-ROW(AP$15),0),
              ROUND(ROUND(OFFSET($P116,0,AP$13),15-13*ORÇAMENTO!$AF$7)*OFFSET(ORÇAMENTO!$W$15,ROW(AP116)-ROW(AP$15),0),15-13*ORÇAMENTO!$AF$11)),
         0)</f>
        <v>0</v>
      </c>
      <c r="AQ116" s="452">
        <f ca="1">IF(AND($D116="Serviço",AQ$12&lt;&gt;0,$H116&gt;0,OR(AUTOEVENTO&lt;&gt;"manual",$M116&lt;&gt;$A$15)),
        IF(Import.TipoArredondamento&lt;&gt;"TransfereGOV",
              ROUND(OFFSET($P116,0,AQ$13),15-13*ORÇAMENTO!$AF$7)/$H116*OFFSET(ORÇAMENTO!$X$15,ROW(AQ116)-ROW(AQ$15),0),
              ROUND(ROUND(OFFSET($P116,0,AQ$13),15-13*ORÇAMENTO!$AF$7)*OFFSET(ORÇAMENTO!$W$15,ROW(AQ116)-ROW(AQ$15),0),15-13*ORÇAMENTO!$AF$11)),
         0)</f>
        <v>0</v>
      </c>
      <c r="AR116" s="452">
        <f ca="1">IF(AND($D116="Serviço",AR$12&lt;&gt;0,$H116&gt;0,OR(AUTOEVENTO&lt;&gt;"manual",$M116&lt;&gt;$A$15)),
        IF(Import.TipoArredondamento&lt;&gt;"TransfereGOV",
              ROUND(OFFSET($P116,0,AR$13),15-13*ORÇAMENTO!$AF$7)/$H116*OFFSET(ORÇAMENTO!$X$15,ROW(AR116)-ROW(AR$15),0),
              ROUND(ROUND(OFFSET($P116,0,AR$13),15-13*ORÇAMENTO!$AF$7)*OFFSET(ORÇAMENTO!$W$15,ROW(AR116)-ROW(AR$15),0),15-13*ORÇAMENTO!$AF$11)),
         0)</f>
        <v>0</v>
      </c>
      <c r="AS116" s="452">
        <f ca="1">IF(AND($D116="Serviço",AS$12&lt;&gt;0,$H116&gt;0,OR(AUTOEVENTO&lt;&gt;"manual",$M116&lt;&gt;$A$15)),
        IF(Import.TipoArredondamento&lt;&gt;"TransfereGOV",
              ROUND(OFFSET($P116,0,AS$13),15-13*ORÇAMENTO!$AF$7)/$H116*OFFSET(ORÇAMENTO!$X$15,ROW(AS116)-ROW(AS$15),0),
              ROUND(ROUND(OFFSET($P116,0,AS$13),15-13*ORÇAMENTO!$AF$7)*OFFSET(ORÇAMENTO!$W$15,ROW(AS116)-ROW(AS$15),0),15-13*ORÇAMENTO!$AF$11)),
         0)</f>
        <v>0</v>
      </c>
      <c r="AT116" s="452">
        <f ca="1">IF(AND($D116="Serviço",AT$12&lt;&gt;0,$H116&gt;0,OR(AUTOEVENTO&lt;&gt;"manual",$M116&lt;&gt;$A$15)),
        IF(Import.TipoArredondamento&lt;&gt;"TransfereGOV",
              ROUND(OFFSET($P116,0,AT$13),15-13*ORÇAMENTO!$AF$7)/$H116*OFFSET(ORÇAMENTO!$X$15,ROW(AT116)-ROW(AT$15),0),
              ROUND(ROUND(OFFSET($P116,0,AT$13),15-13*ORÇAMENTO!$AF$7)*OFFSET(ORÇAMENTO!$W$15,ROW(AT116)-ROW(AT$15),0),15-13*ORÇAMENTO!$AF$11)),
         0)</f>
        <v>0</v>
      </c>
      <c r="AU116" s="452">
        <f ca="1">IF(AND($D116="Serviço",AU$12&lt;&gt;0,$H116&gt;0,OR(AUTOEVENTO&lt;&gt;"manual",$M116&lt;&gt;$A$15)),
        IF(Import.TipoArredondamento&lt;&gt;"TransfereGOV",
              ROUND(OFFSET($P116,0,AU$13),15-13*ORÇAMENTO!$AF$7)/$H116*OFFSET(ORÇAMENTO!$X$15,ROW(AU116)-ROW(AU$15),0),
              ROUND(ROUND(OFFSET($P116,0,AU$13),15-13*ORÇAMENTO!$AF$7)*OFFSET(ORÇAMENTO!$W$15,ROW(AU116)-ROW(AU$15),0),15-13*ORÇAMENTO!$AF$11)),
         0)</f>
        <v>0</v>
      </c>
      <c r="AV116" s="452">
        <f ca="1">IF(AND($D116="Serviço",AV$12&lt;&gt;0,$H116&gt;0,OR(AUTOEVENTO&lt;&gt;"manual",$M116&lt;&gt;$A$15)),
        IF(Import.TipoArredondamento&lt;&gt;"TransfereGOV",
              ROUND(OFFSET($P116,0,AV$13),15-13*ORÇAMENTO!$AF$7)/$H116*OFFSET(ORÇAMENTO!$X$15,ROW(AV116)-ROW(AV$15),0),
              ROUND(ROUND(OFFSET($P116,0,AV$13),15-13*ORÇAMENTO!$AF$7)*OFFSET(ORÇAMENTO!$W$15,ROW(AV116)-ROW(AV$15),0),15-13*ORÇAMENTO!$AF$11)),
         0)</f>
        <v>0</v>
      </c>
      <c r="AW116" s="452">
        <f ca="1">IF(AND($D116="Serviço",AW$12&lt;&gt;0,$H116&gt;0,OR(AUTOEVENTO&lt;&gt;"manual",$M116&lt;&gt;$A$15)),
        IF(Import.TipoArredondamento&lt;&gt;"TransfereGOV",
              ROUND(OFFSET($P116,0,AW$13),15-13*ORÇAMENTO!$AF$7)/$H116*OFFSET(ORÇAMENTO!$X$15,ROW(AW116)-ROW(AW$15),0),
              ROUND(ROUND(OFFSET($P116,0,AW$13),15-13*ORÇAMENTO!$AF$7)*OFFSET(ORÇAMENTO!$W$15,ROW(AW116)-ROW(AW$15),0),15-13*ORÇAMENTO!$AF$11)),
         0)</f>
        <v>0</v>
      </c>
      <c r="AX116" s="452">
        <f ca="1">IF(AND($D116="Serviço",AX$12&lt;&gt;0,$H116&gt;0,OR(AUTOEVENTO&lt;&gt;"manual",$M116&lt;&gt;$A$15)),
        IF(Import.TipoArredondamento&lt;&gt;"TransfereGOV",
              ROUND(OFFSET($P116,0,AX$13),15-13*ORÇAMENTO!$AF$7)/$H116*OFFSET(ORÇAMENTO!$X$15,ROW(AX116)-ROW(AX$15),0),
              ROUND(ROUND(OFFSET($P116,0,AX$13),15-13*ORÇAMENTO!$AF$7)*OFFSET(ORÇAMENTO!$W$15,ROW(AX116)-ROW(AX$15),0),15-13*ORÇAMENTO!$AF$11)),
         0)</f>
        <v>0</v>
      </c>
      <c r="AY116" s="452">
        <f ca="1">IF(AND($D116="Serviço",AY$12&lt;&gt;0,$H116&gt;0,OR(AUTOEVENTO&lt;&gt;"manual",$M116&lt;&gt;$A$15)),
        IF(Import.TipoArredondamento&lt;&gt;"TransfereGOV",
              ROUND(OFFSET($P116,0,AY$13),15-13*ORÇAMENTO!$AF$7)/$H116*OFFSET(ORÇAMENTO!$X$15,ROW(AY116)-ROW(AY$15),0),
              ROUND(ROUND(OFFSET($P116,0,AY$13),15-13*ORÇAMENTO!$AF$7)*OFFSET(ORÇAMENTO!$W$15,ROW(AY116)-ROW(AY$15),0),15-13*ORÇAMENTO!$AF$11)),
         0)</f>
        <v>0</v>
      </c>
      <c r="AZ116" s="452">
        <f ca="1">IF(AND($D116="Serviço",AZ$12&lt;&gt;0,$H116&gt;0,OR(AUTOEVENTO&lt;&gt;"manual",$M116&lt;&gt;$A$15)),
        IF(Import.TipoArredondamento&lt;&gt;"TransfereGOV",
              ROUND(OFFSET($P116,0,AZ$13),15-13*ORÇAMENTO!$AF$7)/$H116*OFFSET(ORÇAMENTO!$X$15,ROW(AZ116)-ROW(AZ$15),0),
              ROUND(ROUND(OFFSET($P116,0,AZ$13),15-13*ORÇAMENTO!$AF$7)*OFFSET(ORÇAMENTO!$W$15,ROW(AZ116)-ROW(AZ$15),0),15-13*ORÇAMENTO!$AF$11)),
         0)</f>
        <v>0</v>
      </c>
      <c r="BA116" s="452">
        <f ca="1">IF(AND($D116="Serviço",BA$12&lt;&gt;0,$H116&gt;0,OR(AUTOEVENTO&lt;&gt;"manual",$M116&lt;&gt;$A$15)),
        IF(Import.TipoArredondamento&lt;&gt;"TransfereGOV",
              ROUND(OFFSET($P116,0,BA$13),15-13*ORÇAMENTO!$AF$7)/$H116*OFFSET(ORÇAMENTO!$X$15,ROW(BA116)-ROW(BA$15),0),
              ROUND(ROUND(OFFSET($P116,0,BA$13),15-13*ORÇAMENTO!$AF$7)*OFFSET(ORÇAMENTO!$W$15,ROW(BA116)-ROW(BA$15),0),15-13*ORÇAMENTO!$AF$11)),
         0)</f>
        <v>0</v>
      </c>
      <c r="BC116" s="171">
        <f ca="1">IF(OR($D116&lt;&gt;"Serviço",AND(AUTOEVENTO="Manual",$M116=$A$15)),0,
         IF(OFFSET(CRONOPLE!$F$15,$M116-$A$15,BC$13)=0,10^12,OFFSET(CRONOPLE!$F$15,$M116-$A$15,BC$13)))</f>
        <v>2</v>
      </c>
      <c r="BD116" s="171">
        <f ca="1">IF(OR($D116&lt;&gt;"Serviço",AND(AUTOEVENTO="Manual",$M116=$A$15)),0,
         IF(OFFSET(CRONOPLE!$F$15,$M116-$A$15,BD$13)=0,10^12,OFFSET(CRONOPLE!$F$15,$M116-$A$15,BD$13)))</f>
        <v>2</v>
      </c>
      <c r="BE116" s="171">
        <f ca="1">IF(OR($D116&lt;&gt;"Serviço",AND(AUTOEVENTO="Manual",$M116=$A$15)),0,
         IF(OFFSET(CRONOPLE!$F$15,$M116-$A$15,BE$13)=0,10^12,OFFSET(CRONOPLE!$F$15,$M116-$A$15,BE$13)))</f>
        <v>5</v>
      </c>
      <c r="BF116" s="171">
        <f ca="1">IF(OR($D116&lt;&gt;"Serviço",AND(AUTOEVENTO="Manual",$M116=$A$15)),0,
         IF(OFFSET(CRONOPLE!$F$15,$M116-$A$15,BF$13)=0,10^12,OFFSET(CRONOPLE!$F$15,$M116-$A$15,BF$13)))</f>
        <v>5</v>
      </c>
      <c r="BG116" s="171">
        <f ca="1">IF(OR($D116&lt;&gt;"Serviço",AND(AUTOEVENTO="Manual",$M116=$A$15)),0,
         IF(OFFSET(CRONOPLE!$F$15,$M116-$A$15,BG$13)=0,10^12,OFFSET(CRONOPLE!$F$15,$M116-$A$15,BG$13)))</f>
        <v>5</v>
      </c>
      <c r="BH116" s="171">
        <f ca="1">IF(OR($D116&lt;&gt;"Serviço",AND(AUTOEVENTO="Manual",$M116=$A$15)),0,
         IF(OFFSET(CRONOPLE!$F$15,$M116-$A$15,BH$13)=0,10^12,OFFSET(CRONOPLE!$F$15,$M116-$A$15,BH$13)))</f>
        <v>1000000000000</v>
      </c>
      <c r="BI116" s="171">
        <f ca="1">IF(OR($D116&lt;&gt;"Serviço",AND(AUTOEVENTO="Manual",$M116=$A$15)),0,
         IF(OFFSET(CRONOPLE!$F$15,$M116-$A$15,BI$13)=0,10^12,OFFSET(CRONOPLE!$F$15,$M116-$A$15,BI$13)))</f>
        <v>1000000000000</v>
      </c>
      <c r="BJ116" s="171">
        <f ca="1">IF(OR($D116&lt;&gt;"Serviço",AND(AUTOEVENTO="Manual",$M116=$A$15)),0,
         IF(OFFSET(CRONOPLE!$F$15,$M116-$A$15,BJ$13)=0,10^12,OFFSET(CRONOPLE!$F$15,$M116-$A$15,BJ$13)))</f>
        <v>1000000000000</v>
      </c>
      <c r="BK116" s="171">
        <f ca="1">IF(OR($D116&lt;&gt;"Serviço",AND(AUTOEVENTO="Manual",$M116=$A$15)),0,
         IF(OFFSET(CRONOPLE!$F$15,$M116-$A$15,BK$13)=0,10^12,OFFSET(CRONOPLE!$F$15,$M116-$A$15,BK$13)))</f>
        <v>1000000000000</v>
      </c>
      <c r="BL116" s="171">
        <f ca="1">IF(OR($D116&lt;&gt;"Serviço",AND(AUTOEVENTO="Manual",$M116=$A$15)),0,
         IF(OFFSET(CRONOPLE!$F$15,$M116-$A$15,BL$13)=0,10^12,OFFSET(CRONOPLE!$F$15,$M116-$A$15,BL$13)))</f>
        <v>1000000000000</v>
      </c>
      <c r="BM116" s="171">
        <f ca="1">IF(OR($D116&lt;&gt;"Serviço",AND(AUTOEVENTO="Manual",$M116=$A$15)),0,
         IF(OFFSET(CRONOPLE!$F$15,$M116-$A$15,BM$13)=0,10^12,OFFSET(CRONOPLE!$F$15,$M116-$A$15,BM$13)))</f>
        <v>1000000000000</v>
      </c>
      <c r="BN116" s="171">
        <f ca="1">IF(OR($D116&lt;&gt;"Serviço",AND(AUTOEVENTO="Manual",$M116=$A$15)),0,
         IF(OFFSET(CRONOPLE!$F$15,$M116-$A$15,BN$13)=0,10^12,OFFSET(CRONOPLE!$F$15,$M116-$A$15,BN$13)))</f>
        <v>1000000000000</v>
      </c>
      <c r="BO116" s="171">
        <f ca="1">IF(OR($D116&lt;&gt;"Serviço",AND(AUTOEVENTO="Manual",$M116=$A$15)),0,
         IF(OFFSET(CRONOPLE!$F$15,$M116-$A$15,BO$13)=0,10^12,OFFSET(CRONOPLE!$F$15,$M116-$A$15,BO$13)))</f>
        <v>1000000000000</v>
      </c>
      <c r="BP116" s="171">
        <f ca="1">IF(OR($D116&lt;&gt;"Serviço",AND(AUTOEVENTO="Manual",$M116=$A$15)),0,
         IF(OFFSET(CRONOPLE!$F$15,$M116-$A$15,BP$13)=0,10^12,OFFSET(CRONOPLE!$F$15,$M116-$A$15,BP$13)))</f>
        <v>1000000000000</v>
      </c>
      <c r="BQ116" s="171">
        <f ca="1">IF(OR($D116&lt;&gt;"Serviço",AND(AUTOEVENTO="Manual",$M116=$A$15)),0,
         IF(OFFSET(CRONOPLE!$F$15,$M116-$A$15,BQ$13)=0,10^12,OFFSET(CRONOPLE!$F$15,$M116-$A$15,BQ$13)))</f>
        <v>1000000000000</v>
      </c>
      <c r="BR116" s="171">
        <f ca="1">IF(OR($D116&lt;&gt;"Serviço",AND(AUTOEVENTO="Manual",$M116=$A$15)),0,
         IF(OFFSET(CRONOPLE!$F$15,$M116-$A$15,BR$13)=0,10^12,OFFSET(CRONOPLE!$F$15,$M116-$A$15,BR$13)))</f>
        <v>1000000000000</v>
      </c>
      <c r="BS116" s="171">
        <f ca="1">IF(OR($D116&lt;&gt;"Serviço",AND(AUTOEVENTO="Manual",$M116=$A$15)),0,
         IF(OFFSET(CRONOPLE!$F$15,$M116-$A$15,BS$13)=0,10^12,OFFSET(CRONOPLE!$F$15,$M116-$A$15,BS$13)))</f>
        <v>1000000000000</v>
      </c>
      <c r="BT116" s="171">
        <f ca="1">IF(OR($D116&lt;&gt;"Serviço",AND(AUTOEVENTO="Manual",$M116=$A$15)),0,
         IF(OFFSET(CRONOPLE!$F$15,$M116-$A$15,BT$13)=0,10^12,OFFSET(CRONOPLE!$F$15,$M116-$A$15,BT$13)))</f>
        <v>1000000000000</v>
      </c>
      <c r="BV116" s="172">
        <f t="array" aca="1" ref="BV116" ca="1">IF(OR($D116&lt;&gt;"Serviço",AND(AUTOEVENTO="Manual",$M116=$A$15),$M116&gt;(ROW(PLE.lastrow)-ROW(PLE.firstrow))),0,
           IF(OFFSET(PLE!$G$15,$M116-$A$15,BV$13)="",10^12,OFFSET(PLE!$G$15,$M116-$A$15,BV$13)))</f>
        <v>1000000000000</v>
      </c>
      <c r="BW116" s="172">
        <f t="array" aca="1" ref="BW116" ca="1">IF(OR($D116&lt;&gt;"Serviço",AND(AUTOEVENTO="Manual",$M116=$A$15),$M116&gt;(ROW(PLE.lastrow)-ROW(PLE.firstrow))),0,
           IF(OFFSET(PLE!$G$15,$M116-$A$15,BW$13)="",10^12,OFFSET(PLE!$G$15,$M116-$A$15,BW$13)))</f>
        <v>1000000000000</v>
      </c>
      <c r="BX116" s="172">
        <f t="array" aca="1" ref="BX116" ca="1">IF(OR($D116&lt;&gt;"Serviço",AND(AUTOEVENTO="Manual",$M116=$A$15),$M116&gt;(ROW(PLE.lastrow)-ROW(PLE.firstrow))),0,
           IF(OFFSET(PLE!$G$15,$M116-$A$15,BX$13)="",10^12,OFFSET(PLE!$G$15,$M116-$A$15,BX$13)))</f>
        <v>1000000000000</v>
      </c>
      <c r="BY116" s="172">
        <f t="array" aca="1" ref="BY116" ca="1">IF(OR($D116&lt;&gt;"Serviço",AND(AUTOEVENTO="Manual",$M116=$A$15),$M116&gt;(ROW(PLE.lastrow)-ROW(PLE.firstrow))),0,
           IF(OFFSET(PLE!$G$15,$M116-$A$15,BY$13)="",10^12,OFFSET(PLE!$G$15,$M116-$A$15,BY$13)))</f>
        <v>1000000000000</v>
      </c>
      <c r="BZ116" s="172">
        <f t="array" aca="1" ref="BZ116" ca="1">IF(OR($D116&lt;&gt;"Serviço",AND(AUTOEVENTO="Manual",$M116=$A$15),$M116&gt;(ROW(PLE.lastrow)-ROW(PLE.firstrow))),0,
           IF(OFFSET(PLE!$G$15,$M116-$A$15,BZ$13)="",10^12,OFFSET(PLE!$G$15,$M116-$A$15,BZ$13)))</f>
        <v>1000000000000</v>
      </c>
      <c r="CA116" s="172">
        <f t="array" aca="1" ref="CA116" ca="1">IF(OR($D116&lt;&gt;"Serviço",AND(AUTOEVENTO="Manual",$M116=$A$15),$M116&gt;(ROW(PLE.lastrow)-ROW(PLE.firstrow))),0,
           IF(OFFSET(PLE!$G$15,$M116-$A$15,CA$13)="",10^12,OFFSET(PLE!$G$15,$M116-$A$15,CA$13)))</f>
        <v>1000000000000</v>
      </c>
      <c r="CB116" s="172">
        <f t="array" aca="1" ref="CB116" ca="1">IF(OR($D116&lt;&gt;"Serviço",AND(AUTOEVENTO="Manual",$M116=$A$15),$M116&gt;(ROW(PLE.lastrow)-ROW(PLE.firstrow))),0,
           IF(OFFSET(PLE!$G$15,$M116-$A$15,CB$13)="",10^12,OFFSET(PLE!$G$15,$M116-$A$15,CB$13)))</f>
        <v>1000000000000</v>
      </c>
      <c r="CC116" s="172">
        <f t="array" aca="1" ref="CC116" ca="1">IF(OR($D116&lt;&gt;"Serviço",AND(AUTOEVENTO="Manual",$M116=$A$15),$M116&gt;(ROW(PLE.lastrow)-ROW(PLE.firstrow))),0,
           IF(OFFSET(PLE!$G$15,$M116-$A$15,CC$13)="",10^12,OFFSET(PLE!$G$15,$M116-$A$15,CC$13)))</f>
        <v>1000000000000</v>
      </c>
      <c r="CD116" s="172">
        <f t="array" aca="1" ref="CD116" ca="1">IF(OR($D116&lt;&gt;"Serviço",AND(AUTOEVENTO="Manual",$M116=$A$15),$M116&gt;(ROW(PLE.lastrow)-ROW(PLE.firstrow))),0,
           IF(OFFSET(PLE!$G$15,$M116-$A$15,CD$13)="",10^12,OFFSET(PLE!$G$15,$M116-$A$15,CD$13)))</f>
        <v>1000000000000</v>
      </c>
      <c r="CE116" s="172">
        <f t="array" aca="1" ref="CE116" ca="1">IF(OR($D116&lt;&gt;"Serviço",AND(AUTOEVENTO="Manual",$M116=$A$15),$M116&gt;(ROW(PLE.lastrow)-ROW(PLE.firstrow))),0,
           IF(OFFSET(PLE!$G$15,$M116-$A$15,CE$13)="",10^12,OFFSET(PLE!$G$15,$M116-$A$15,CE$13)))</f>
        <v>1000000000000</v>
      </c>
      <c r="CF116" s="172">
        <f t="array" aca="1" ref="CF116" ca="1">IF(OR($D116&lt;&gt;"Serviço",AND(AUTOEVENTO="Manual",$M116=$A$15),$M116&gt;(ROW(PLE.lastrow)-ROW(PLE.firstrow))),0,
           IF(OFFSET(PLE!$G$15,$M116-$A$15,CF$13)="",10^12,OFFSET(PLE!$G$15,$M116-$A$15,CF$13)))</f>
        <v>1000000000000</v>
      </c>
      <c r="CG116" s="172">
        <f t="array" aca="1" ref="CG116" ca="1">IF(OR($D116&lt;&gt;"Serviço",AND(AUTOEVENTO="Manual",$M116=$A$15),$M116&gt;(ROW(PLE.lastrow)-ROW(PLE.firstrow))),0,
           IF(OFFSET(PLE!$G$15,$M116-$A$15,CG$13)="",10^12,OFFSET(PLE!$G$15,$M116-$A$15,CG$13)))</f>
        <v>1000000000000</v>
      </c>
      <c r="CH116" s="172">
        <f t="array" aca="1" ref="CH116" ca="1">IF(OR($D116&lt;&gt;"Serviço",AND(AUTOEVENTO="Manual",$M116=$A$15),$M116&gt;(ROW(PLE.lastrow)-ROW(PLE.firstrow))),0,
           IF(OFFSET(PLE!$G$15,$M116-$A$15,CH$13)="",10^12,OFFSET(PLE!$G$15,$M116-$A$15,CH$13)))</f>
        <v>1000000000000</v>
      </c>
      <c r="CI116" s="172">
        <f t="array" aca="1" ref="CI116" ca="1">IF(OR($D116&lt;&gt;"Serviço",AND(AUTOEVENTO="Manual",$M116=$A$15),$M116&gt;(ROW(PLE.lastrow)-ROW(PLE.firstrow))),0,
           IF(OFFSET(PLE!$G$15,$M116-$A$15,CI$13)="",10^12,OFFSET(PLE!$G$15,$M116-$A$15,CI$13)))</f>
        <v>1000000000000</v>
      </c>
      <c r="CJ116" s="172">
        <f t="array" aca="1" ref="CJ116" ca="1">IF(OR($D116&lt;&gt;"Serviço",AND(AUTOEVENTO="Manual",$M116=$A$15),$M116&gt;(ROW(PLE.lastrow)-ROW(PLE.firstrow))),0,
           IF(OFFSET(PLE!$G$15,$M116-$A$15,CJ$13)="",10^12,OFFSET(PLE!$G$15,$M116-$A$15,CJ$13)))</f>
        <v>1000000000000</v>
      </c>
      <c r="CK116" s="172">
        <f t="array" aca="1" ref="CK116" ca="1">IF(OR($D116&lt;&gt;"Serviço",AND(AUTOEVENTO="Manual",$M116=$A$15),$M116&gt;(ROW(PLE.lastrow)-ROW(PLE.firstrow))),0,
           IF(OFFSET(PLE!$G$15,$M116-$A$15,CK$13)="",10^12,OFFSET(PLE!$G$15,$M116-$A$15,CK$13)))</f>
        <v>1000000000000</v>
      </c>
      <c r="CL116" s="172">
        <f t="array" aca="1" ref="CL116" ca="1">IF(OR($D116&lt;&gt;"Serviço",AND(AUTOEVENTO="Manual",$M116=$A$15),$M116&gt;(ROW(PLE.lastrow)-ROW(PLE.firstrow))),0,
           IF(OFFSET(PLE!$G$15,$M116-$A$15,CL$13)="",10^12,OFFSET(PLE!$G$15,$M116-$A$15,CL$13)))</f>
        <v>1000000000000</v>
      </c>
      <c r="CM116" s="172">
        <f t="array" aca="1" ref="CM116" ca="1">IF(OR($D116&lt;&gt;"Serviço",AND(AUTOEVENTO="Manual",$M116=$A$15),$M116&gt;(ROW(PLE.lastrow)-ROW(PLE.firstrow))),0,
           IF(OFFSET(PLE!$G$15,$M116-$A$15,CM$13)="",10^12,OFFSET(PLE!$G$15,$M116-$A$15,CM$13)))</f>
        <v>1000000000000</v>
      </c>
    </row>
    <row r="117" spans="1:91" s="696" customFormat="1" ht="63.75" x14ac:dyDescent="0.2">
      <c r="A117" s="694">
        <f t="shared" ca="1" si="45"/>
        <v>18</v>
      </c>
      <c r="B117" s="694" t="str">
        <f ca="1">OFFSET(ORÇAMENTO!C$15,$L117,0)</f>
        <v>S</v>
      </c>
      <c r="C117" s="694" t="str">
        <f ca="1">OFFSET(ORÇAMENTO!L$15,$L117,0)</f>
        <v>F</v>
      </c>
      <c r="D117" s="116" t="str">
        <f ca="1">OFFSET(ORÇAMENTO!N$15,$L117,0)</f>
        <v>Serviço</v>
      </c>
      <c r="E117" s="117" t="str">
        <f ca="1">OFFSET(ORÇAMENTO!O$15,$L117,0)</f>
        <v>1.20.5.</v>
      </c>
      <c r="F117" s="163" t="str">
        <f ca="1">OFFSET(ORÇAMENTO!R$15,$L117,0)</f>
        <v>CONTRAPISO EM ARGAMASSA TRAÇO 1:4 (CIMENTO E AREIA), PREPARO MECÂNICO COM BETONEIRA 400 L, APLICADO EM ÁREAS MOLHADAS SOBRE LAJE, ADERIDO, ACABAMENTO NÃO REFORÇADO, ESPESSURA 3CM. AF_07/2021</v>
      </c>
      <c r="G117" s="164" t="str">
        <f ca="1">IF($D117&lt;&gt;"Serviço","",OFFSET(ORÇAMENTO!S$15,$L117,0))</f>
        <v>M2</v>
      </c>
      <c r="H117" s="122">
        <f t="array" aca="1" ref="H117" ca="1">IF($D117&lt;&gt;"Serviço",0,IF(ACOMPANHAMENTO="BM",ROUND(OFFSET(ORÇAMENTO!AJ$15,$L117,0),15-13*ORÇAMENTO!$AF$7),IF(IFERROR(CÁLCULO.FrentesPreenchidas,0)=0,0,SUM(ROUND(OFFSET($P117,0,1,1,CÁLCULO.FrentesPreenchidas),15-13*ORÇAMENTO!$AF$7)))))</f>
        <v>302.60000000000002</v>
      </c>
      <c r="I117" s="467" t="s">
        <v>1274</v>
      </c>
      <c r="J117" s="653" t="str">
        <f t="array" aca="1" ref="J117" ca="1">IF(OR(B117&lt;&gt;"S",CÁLCULO.FrentesPreenchidas=0),"",IF(AND(ACOMPANHAMENTO="PLE",AUTOEVENTO="Manual",OR(H117&gt;0,ORÇAMENTO!AC117="QUANT."),OR(K117="",M117=0,N117="")),"►E",IF(AND(ACOMPANHAMENTO="PLE",ORÇAMENTO!AC117="QUANT."),"►Q",IF(AND(ACOMPANHAMENTO="PLE",H117&lt;&gt;SUMPRODUCT(($Q$1:$AI$1=1)*ROUND(Q117:AI117,15))),"►S",IF(AND(COUNTIF($P$11:$AI$11,"▼")=0,H117&gt;0,I117=""),"◄M","")))))</f>
        <v/>
      </c>
      <c r="K117" s="654" t="s">
        <v>1406</v>
      </c>
      <c r="L117" s="165">
        <f t="shared" ca="1" si="46"/>
        <v>102</v>
      </c>
      <c r="M117" s="166">
        <f ca="1">IF($D117&lt;&gt;"Serviço","",
          IF(AUTOEVENTO="manual",$A117,
                IF(ISERROR(MATCH($A117,$A$15:OFFSET($A117,-1,0),0)),MAX($M$15:OFFSET(M117,-1,0))+1,
                      INDEX($M$15:OFFSET(M117,-1,0),MATCH($A117,$A$15:OFFSET($A117,-1,0),0)))))</f>
        <v>18</v>
      </c>
      <c r="N117" s="167" t="str">
        <f ca="1">IF($D117&lt;&gt;"Serviço","",
         IF(AUTOEVENTO="Manual",
                IF($A117=0,"&lt;-- defina o número do agrupador",
                       OFFSET(EVENTOS!$D$15,$A117-$A$15,0)),
                OFFSET($F$15,$A117,0)))</f>
        <v>REVESTIMENTOS INTERNOS DE PISO</v>
      </c>
      <c r="O117" s="168"/>
      <c r="Q117" s="169">
        <f>15.13*5</f>
        <v>75.650000000000006</v>
      </c>
      <c r="R117" s="169">
        <f t="shared" ref="R117:T117" si="72">15.13*5</f>
        <v>75.650000000000006</v>
      </c>
      <c r="S117" s="169">
        <f t="shared" si="72"/>
        <v>75.650000000000006</v>
      </c>
      <c r="T117" s="169">
        <f t="shared" si="72"/>
        <v>75.650000000000006</v>
      </c>
      <c r="U117" s="169"/>
      <c r="V117" s="169"/>
      <c r="W117" s="169"/>
      <c r="X117" s="169"/>
      <c r="Y117" s="169"/>
      <c r="Z117" s="170"/>
      <c r="AA117" s="169"/>
      <c r="AB117" s="169"/>
      <c r="AC117" s="169"/>
      <c r="AD117" s="169"/>
      <c r="AE117" s="169"/>
      <c r="AF117" s="169"/>
      <c r="AG117" s="169"/>
      <c r="AH117" s="170"/>
      <c r="AJ117" s="452">
        <f ca="1">IF(AND($D117="Serviço",AJ$12&lt;&gt;0,$H117&gt;0,OR(AUTOEVENTO&lt;&gt;"manual",$M117&lt;&gt;$A$15)),
        IF(Import.TipoArredondamento&lt;&gt;"TransfereGOV",
              ROUND(OFFSET($P117,0,AJ$13),15-13*ORÇAMENTO!$AF$7)/$H117*OFFSET(ORÇAMENTO!$X$15,ROW(AJ117)-ROW(AJ$15),0),
              ROUND(ROUND(OFFSET($P117,0,AJ$13),15-13*ORÇAMENTO!$AF$7)*OFFSET(ORÇAMENTO!$W$15,ROW(AJ117)-ROW(AJ$15),0),15-13*ORÇAMENTO!$AF$11)),
         0)</f>
        <v>4946</v>
      </c>
      <c r="AK117" s="452">
        <f ca="1">IF(AND($D117="Serviço",AK$12&lt;&gt;0,$H117&gt;0,OR(AUTOEVENTO&lt;&gt;"manual",$M117&lt;&gt;$A$15)),
        IF(Import.TipoArredondamento&lt;&gt;"TransfereGOV",
              ROUND(OFFSET($P117,0,AK$13),15-13*ORÇAMENTO!$AF$7)/$H117*OFFSET(ORÇAMENTO!$X$15,ROW(AK117)-ROW(AK$15),0),
              ROUND(ROUND(OFFSET($P117,0,AK$13),15-13*ORÇAMENTO!$AF$7)*OFFSET(ORÇAMENTO!$W$15,ROW(AK117)-ROW(AK$15),0),15-13*ORÇAMENTO!$AF$11)),
         0)</f>
        <v>4946</v>
      </c>
      <c r="AL117" s="452">
        <f ca="1">IF(AND($D117="Serviço",AL$12&lt;&gt;0,$H117&gt;0,OR(AUTOEVENTO&lt;&gt;"manual",$M117&lt;&gt;$A$15)),
        IF(Import.TipoArredondamento&lt;&gt;"TransfereGOV",
              ROUND(OFFSET($P117,0,AL$13),15-13*ORÇAMENTO!$AF$7)/$H117*OFFSET(ORÇAMENTO!$X$15,ROW(AL117)-ROW(AL$15),0),
              ROUND(ROUND(OFFSET($P117,0,AL$13),15-13*ORÇAMENTO!$AF$7)*OFFSET(ORÇAMENTO!$W$15,ROW(AL117)-ROW(AL$15),0),15-13*ORÇAMENTO!$AF$11)),
         0)</f>
        <v>4946</v>
      </c>
      <c r="AM117" s="452">
        <f ca="1">IF(AND($D117="Serviço",AM$12&lt;&gt;0,$H117&gt;0,OR(AUTOEVENTO&lt;&gt;"manual",$M117&lt;&gt;$A$15)),
        IF(Import.TipoArredondamento&lt;&gt;"TransfereGOV",
              ROUND(OFFSET($P117,0,AM$13),15-13*ORÇAMENTO!$AF$7)/$H117*OFFSET(ORÇAMENTO!$X$15,ROW(AM117)-ROW(AM$15),0),
              ROUND(ROUND(OFFSET($P117,0,AM$13),15-13*ORÇAMENTO!$AF$7)*OFFSET(ORÇAMENTO!$W$15,ROW(AM117)-ROW(AM$15),0),15-13*ORÇAMENTO!$AF$11)),
         0)</f>
        <v>4946</v>
      </c>
      <c r="AN117" s="452">
        <f ca="1">IF(AND($D117="Serviço",AN$12&lt;&gt;0,$H117&gt;0,OR(AUTOEVENTO&lt;&gt;"manual",$M117&lt;&gt;$A$15)),
        IF(Import.TipoArredondamento&lt;&gt;"TransfereGOV",
              ROUND(OFFSET($P117,0,AN$13),15-13*ORÇAMENTO!$AF$7)/$H117*OFFSET(ORÇAMENTO!$X$15,ROW(AN117)-ROW(AN$15),0),
              ROUND(ROUND(OFFSET($P117,0,AN$13),15-13*ORÇAMENTO!$AF$7)*OFFSET(ORÇAMENTO!$W$15,ROW(AN117)-ROW(AN$15),0),15-13*ORÇAMENTO!$AF$11)),
         0)</f>
        <v>0</v>
      </c>
      <c r="AO117" s="452">
        <f ca="1">IF(AND($D117="Serviço",AO$12&lt;&gt;0,$H117&gt;0,OR(AUTOEVENTO&lt;&gt;"manual",$M117&lt;&gt;$A$15)),
        IF(Import.TipoArredondamento&lt;&gt;"TransfereGOV",
              ROUND(OFFSET($P117,0,AO$13),15-13*ORÇAMENTO!$AF$7)/$H117*OFFSET(ORÇAMENTO!$X$15,ROW(AO117)-ROW(AO$15),0),
              ROUND(ROUND(OFFSET($P117,0,AO$13),15-13*ORÇAMENTO!$AF$7)*OFFSET(ORÇAMENTO!$W$15,ROW(AO117)-ROW(AO$15),0),15-13*ORÇAMENTO!$AF$11)),
         0)</f>
        <v>0</v>
      </c>
      <c r="AP117" s="452">
        <f ca="1">IF(AND($D117="Serviço",AP$12&lt;&gt;0,$H117&gt;0,OR(AUTOEVENTO&lt;&gt;"manual",$M117&lt;&gt;$A$15)),
        IF(Import.TipoArredondamento&lt;&gt;"TransfereGOV",
              ROUND(OFFSET($P117,0,AP$13),15-13*ORÇAMENTO!$AF$7)/$H117*OFFSET(ORÇAMENTO!$X$15,ROW(AP117)-ROW(AP$15),0),
              ROUND(ROUND(OFFSET($P117,0,AP$13),15-13*ORÇAMENTO!$AF$7)*OFFSET(ORÇAMENTO!$W$15,ROW(AP117)-ROW(AP$15),0),15-13*ORÇAMENTO!$AF$11)),
         0)</f>
        <v>0</v>
      </c>
      <c r="AQ117" s="452">
        <f ca="1">IF(AND($D117="Serviço",AQ$12&lt;&gt;0,$H117&gt;0,OR(AUTOEVENTO&lt;&gt;"manual",$M117&lt;&gt;$A$15)),
        IF(Import.TipoArredondamento&lt;&gt;"TransfereGOV",
              ROUND(OFFSET($P117,0,AQ$13),15-13*ORÇAMENTO!$AF$7)/$H117*OFFSET(ORÇAMENTO!$X$15,ROW(AQ117)-ROW(AQ$15),0),
              ROUND(ROUND(OFFSET($P117,0,AQ$13),15-13*ORÇAMENTO!$AF$7)*OFFSET(ORÇAMENTO!$W$15,ROW(AQ117)-ROW(AQ$15),0),15-13*ORÇAMENTO!$AF$11)),
         0)</f>
        <v>0</v>
      </c>
      <c r="AR117" s="452">
        <f ca="1">IF(AND($D117="Serviço",AR$12&lt;&gt;0,$H117&gt;0,OR(AUTOEVENTO&lt;&gt;"manual",$M117&lt;&gt;$A$15)),
        IF(Import.TipoArredondamento&lt;&gt;"TransfereGOV",
              ROUND(OFFSET($P117,0,AR$13),15-13*ORÇAMENTO!$AF$7)/$H117*OFFSET(ORÇAMENTO!$X$15,ROW(AR117)-ROW(AR$15),0),
              ROUND(ROUND(OFFSET($P117,0,AR$13),15-13*ORÇAMENTO!$AF$7)*OFFSET(ORÇAMENTO!$W$15,ROW(AR117)-ROW(AR$15),0),15-13*ORÇAMENTO!$AF$11)),
         0)</f>
        <v>0</v>
      </c>
      <c r="AS117" s="452">
        <f ca="1">IF(AND($D117="Serviço",AS$12&lt;&gt;0,$H117&gt;0,OR(AUTOEVENTO&lt;&gt;"manual",$M117&lt;&gt;$A$15)),
        IF(Import.TipoArredondamento&lt;&gt;"TransfereGOV",
              ROUND(OFFSET($P117,0,AS$13),15-13*ORÇAMENTO!$AF$7)/$H117*OFFSET(ORÇAMENTO!$X$15,ROW(AS117)-ROW(AS$15),0),
              ROUND(ROUND(OFFSET($P117,0,AS$13),15-13*ORÇAMENTO!$AF$7)*OFFSET(ORÇAMENTO!$W$15,ROW(AS117)-ROW(AS$15),0),15-13*ORÇAMENTO!$AF$11)),
         0)</f>
        <v>0</v>
      </c>
      <c r="AT117" s="452">
        <f ca="1">IF(AND($D117="Serviço",AT$12&lt;&gt;0,$H117&gt;0,OR(AUTOEVENTO&lt;&gt;"manual",$M117&lt;&gt;$A$15)),
        IF(Import.TipoArredondamento&lt;&gt;"TransfereGOV",
              ROUND(OFFSET($P117,0,AT$13),15-13*ORÇAMENTO!$AF$7)/$H117*OFFSET(ORÇAMENTO!$X$15,ROW(AT117)-ROW(AT$15),0),
              ROUND(ROUND(OFFSET($P117,0,AT$13),15-13*ORÇAMENTO!$AF$7)*OFFSET(ORÇAMENTO!$W$15,ROW(AT117)-ROW(AT$15),0),15-13*ORÇAMENTO!$AF$11)),
         0)</f>
        <v>0</v>
      </c>
      <c r="AU117" s="452">
        <f ca="1">IF(AND($D117="Serviço",AU$12&lt;&gt;0,$H117&gt;0,OR(AUTOEVENTO&lt;&gt;"manual",$M117&lt;&gt;$A$15)),
        IF(Import.TipoArredondamento&lt;&gt;"TransfereGOV",
              ROUND(OFFSET($P117,0,AU$13),15-13*ORÇAMENTO!$AF$7)/$H117*OFFSET(ORÇAMENTO!$X$15,ROW(AU117)-ROW(AU$15),0),
              ROUND(ROUND(OFFSET($P117,0,AU$13),15-13*ORÇAMENTO!$AF$7)*OFFSET(ORÇAMENTO!$W$15,ROW(AU117)-ROW(AU$15),0),15-13*ORÇAMENTO!$AF$11)),
         0)</f>
        <v>0</v>
      </c>
      <c r="AV117" s="452">
        <f ca="1">IF(AND($D117="Serviço",AV$12&lt;&gt;0,$H117&gt;0,OR(AUTOEVENTO&lt;&gt;"manual",$M117&lt;&gt;$A$15)),
        IF(Import.TipoArredondamento&lt;&gt;"TransfereGOV",
              ROUND(OFFSET($P117,0,AV$13),15-13*ORÇAMENTO!$AF$7)/$H117*OFFSET(ORÇAMENTO!$X$15,ROW(AV117)-ROW(AV$15),0),
              ROUND(ROUND(OFFSET($P117,0,AV$13),15-13*ORÇAMENTO!$AF$7)*OFFSET(ORÇAMENTO!$W$15,ROW(AV117)-ROW(AV$15),0),15-13*ORÇAMENTO!$AF$11)),
         0)</f>
        <v>0</v>
      </c>
      <c r="AW117" s="452">
        <f ca="1">IF(AND($D117="Serviço",AW$12&lt;&gt;0,$H117&gt;0,OR(AUTOEVENTO&lt;&gt;"manual",$M117&lt;&gt;$A$15)),
        IF(Import.TipoArredondamento&lt;&gt;"TransfereGOV",
              ROUND(OFFSET($P117,0,AW$13),15-13*ORÇAMENTO!$AF$7)/$H117*OFFSET(ORÇAMENTO!$X$15,ROW(AW117)-ROW(AW$15),0),
              ROUND(ROUND(OFFSET($P117,0,AW$13),15-13*ORÇAMENTO!$AF$7)*OFFSET(ORÇAMENTO!$W$15,ROW(AW117)-ROW(AW$15),0),15-13*ORÇAMENTO!$AF$11)),
         0)</f>
        <v>0</v>
      </c>
      <c r="AX117" s="452">
        <f ca="1">IF(AND($D117="Serviço",AX$12&lt;&gt;0,$H117&gt;0,OR(AUTOEVENTO&lt;&gt;"manual",$M117&lt;&gt;$A$15)),
        IF(Import.TipoArredondamento&lt;&gt;"TransfereGOV",
              ROUND(OFFSET($P117,0,AX$13),15-13*ORÇAMENTO!$AF$7)/$H117*OFFSET(ORÇAMENTO!$X$15,ROW(AX117)-ROW(AX$15),0),
              ROUND(ROUND(OFFSET($P117,0,AX$13),15-13*ORÇAMENTO!$AF$7)*OFFSET(ORÇAMENTO!$W$15,ROW(AX117)-ROW(AX$15),0),15-13*ORÇAMENTO!$AF$11)),
         0)</f>
        <v>0</v>
      </c>
      <c r="AY117" s="452">
        <f ca="1">IF(AND($D117="Serviço",AY$12&lt;&gt;0,$H117&gt;0,OR(AUTOEVENTO&lt;&gt;"manual",$M117&lt;&gt;$A$15)),
        IF(Import.TipoArredondamento&lt;&gt;"TransfereGOV",
              ROUND(OFFSET($P117,0,AY$13),15-13*ORÇAMENTO!$AF$7)/$H117*OFFSET(ORÇAMENTO!$X$15,ROW(AY117)-ROW(AY$15),0),
              ROUND(ROUND(OFFSET($P117,0,AY$13),15-13*ORÇAMENTO!$AF$7)*OFFSET(ORÇAMENTO!$W$15,ROW(AY117)-ROW(AY$15),0),15-13*ORÇAMENTO!$AF$11)),
         0)</f>
        <v>0</v>
      </c>
      <c r="AZ117" s="452">
        <f ca="1">IF(AND($D117="Serviço",AZ$12&lt;&gt;0,$H117&gt;0,OR(AUTOEVENTO&lt;&gt;"manual",$M117&lt;&gt;$A$15)),
        IF(Import.TipoArredondamento&lt;&gt;"TransfereGOV",
              ROUND(OFFSET($P117,0,AZ$13),15-13*ORÇAMENTO!$AF$7)/$H117*OFFSET(ORÇAMENTO!$X$15,ROW(AZ117)-ROW(AZ$15),0),
              ROUND(ROUND(OFFSET($P117,0,AZ$13),15-13*ORÇAMENTO!$AF$7)*OFFSET(ORÇAMENTO!$W$15,ROW(AZ117)-ROW(AZ$15),0),15-13*ORÇAMENTO!$AF$11)),
         0)</f>
        <v>0</v>
      </c>
      <c r="BA117" s="452">
        <f ca="1">IF(AND($D117="Serviço",BA$12&lt;&gt;0,$H117&gt;0,OR(AUTOEVENTO&lt;&gt;"manual",$M117&lt;&gt;$A$15)),
        IF(Import.TipoArredondamento&lt;&gt;"TransfereGOV",
              ROUND(OFFSET($P117,0,BA$13),15-13*ORÇAMENTO!$AF$7)/$H117*OFFSET(ORÇAMENTO!$X$15,ROW(BA117)-ROW(BA$15),0),
              ROUND(ROUND(OFFSET($P117,0,BA$13),15-13*ORÇAMENTO!$AF$7)*OFFSET(ORÇAMENTO!$W$15,ROW(BA117)-ROW(BA$15),0),15-13*ORÇAMENTO!$AF$11)),
         0)</f>
        <v>0</v>
      </c>
      <c r="BC117" s="171">
        <f ca="1">IF(OR($D117&lt;&gt;"Serviço",AND(AUTOEVENTO="Manual",$M117=$A$15)),0,
         IF(OFFSET(CRONOPLE!$F$15,$M117-$A$15,BC$13)=0,10^12,OFFSET(CRONOPLE!$F$15,$M117-$A$15,BC$13)))</f>
        <v>6</v>
      </c>
      <c r="BD117" s="171">
        <f ca="1">IF(OR($D117&lt;&gt;"Serviço",AND(AUTOEVENTO="Manual",$M117=$A$15)),0,
         IF(OFFSET(CRONOPLE!$F$15,$M117-$A$15,BD$13)=0,10^12,OFFSET(CRONOPLE!$F$15,$M117-$A$15,BD$13)))</f>
        <v>6</v>
      </c>
      <c r="BE117" s="171">
        <f ca="1">IF(OR($D117&lt;&gt;"Serviço",AND(AUTOEVENTO="Manual",$M117=$A$15)),0,
         IF(OFFSET(CRONOPLE!$F$15,$M117-$A$15,BE$13)=0,10^12,OFFSET(CRONOPLE!$F$15,$M117-$A$15,BE$13)))</f>
        <v>7</v>
      </c>
      <c r="BF117" s="171">
        <f ca="1">IF(OR($D117&lt;&gt;"Serviço",AND(AUTOEVENTO="Manual",$M117=$A$15)),0,
         IF(OFFSET(CRONOPLE!$F$15,$M117-$A$15,BF$13)=0,10^12,OFFSET(CRONOPLE!$F$15,$M117-$A$15,BF$13)))</f>
        <v>8</v>
      </c>
      <c r="BG117" s="171">
        <f ca="1">IF(OR($D117&lt;&gt;"Serviço",AND(AUTOEVENTO="Manual",$M117=$A$15)),0,
         IF(OFFSET(CRONOPLE!$F$15,$M117-$A$15,BG$13)=0,10^12,OFFSET(CRONOPLE!$F$15,$M117-$A$15,BG$13)))</f>
        <v>8</v>
      </c>
      <c r="BH117" s="171">
        <f ca="1">IF(OR($D117&lt;&gt;"Serviço",AND(AUTOEVENTO="Manual",$M117=$A$15)),0,
         IF(OFFSET(CRONOPLE!$F$15,$M117-$A$15,BH$13)=0,10^12,OFFSET(CRONOPLE!$F$15,$M117-$A$15,BH$13)))</f>
        <v>1000000000000</v>
      </c>
      <c r="BI117" s="171">
        <f ca="1">IF(OR($D117&lt;&gt;"Serviço",AND(AUTOEVENTO="Manual",$M117=$A$15)),0,
         IF(OFFSET(CRONOPLE!$F$15,$M117-$A$15,BI$13)=0,10^12,OFFSET(CRONOPLE!$F$15,$M117-$A$15,BI$13)))</f>
        <v>1000000000000</v>
      </c>
      <c r="BJ117" s="171">
        <f ca="1">IF(OR($D117&lt;&gt;"Serviço",AND(AUTOEVENTO="Manual",$M117=$A$15)),0,
         IF(OFFSET(CRONOPLE!$F$15,$M117-$A$15,BJ$13)=0,10^12,OFFSET(CRONOPLE!$F$15,$M117-$A$15,BJ$13)))</f>
        <v>8</v>
      </c>
      <c r="BK117" s="171">
        <f ca="1">IF(OR($D117&lt;&gt;"Serviço",AND(AUTOEVENTO="Manual",$M117=$A$15)),0,
         IF(OFFSET(CRONOPLE!$F$15,$M117-$A$15,BK$13)=0,10^12,OFFSET(CRONOPLE!$F$15,$M117-$A$15,BK$13)))</f>
        <v>9</v>
      </c>
      <c r="BL117" s="171">
        <f ca="1">IF(OR($D117&lt;&gt;"Serviço",AND(AUTOEVENTO="Manual",$M117=$A$15)),0,
         IF(OFFSET(CRONOPLE!$F$15,$M117-$A$15,BL$13)=0,10^12,OFFSET(CRONOPLE!$F$15,$M117-$A$15,BL$13)))</f>
        <v>1000000000000</v>
      </c>
      <c r="BM117" s="171">
        <f ca="1">IF(OR($D117&lt;&gt;"Serviço",AND(AUTOEVENTO="Manual",$M117=$A$15)),0,
         IF(OFFSET(CRONOPLE!$F$15,$M117-$A$15,BM$13)=0,10^12,OFFSET(CRONOPLE!$F$15,$M117-$A$15,BM$13)))</f>
        <v>1000000000000</v>
      </c>
      <c r="BN117" s="171">
        <f ca="1">IF(OR($D117&lt;&gt;"Serviço",AND(AUTOEVENTO="Manual",$M117=$A$15)),0,
         IF(OFFSET(CRONOPLE!$F$15,$M117-$A$15,BN$13)=0,10^12,OFFSET(CRONOPLE!$F$15,$M117-$A$15,BN$13)))</f>
        <v>1000000000000</v>
      </c>
      <c r="BO117" s="171">
        <f ca="1">IF(OR($D117&lt;&gt;"Serviço",AND(AUTOEVENTO="Manual",$M117=$A$15)),0,
         IF(OFFSET(CRONOPLE!$F$15,$M117-$A$15,BO$13)=0,10^12,OFFSET(CRONOPLE!$F$15,$M117-$A$15,BO$13)))</f>
        <v>1000000000000</v>
      </c>
      <c r="BP117" s="171">
        <f ca="1">IF(OR($D117&lt;&gt;"Serviço",AND(AUTOEVENTO="Manual",$M117=$A$15)),0,
         IF(OFFSET(CRONOPLE!$F$15,$M117-$A$15,BP$13)=0,10^12,OFFSET(CRONOPLE!$F$15,$M117-$A$15,BP$13)))</f>
        <v>1000000000000</v>
      </c>
      <c r="BQ117" s="171">
        <f ca="1">IF(OR($D117&lt;&gt;"Serviço",AND(AUTOEVENTO="Manual",$M117=$A$15)),0,
         IF(OFFSET(CRONOPLE!$F$15,$M117-$A$15,BQ$13)=0,10^12,OFFSET(CRONOPLE!$F$15,$M117-$A$15,BQ$13)))</f>
        <v>1000000000000</v>
      </c>
      <c r="BR117" s="171">
        <f ca="1">IF(OR($D117&lt;&gt;"Serviço",AND(AUTOEVENTO="Manual",$M117=$A$15)),0,
         IF(OFFSET(CRONOPLE!$F$15,$M117-$A$15,BR$13)=0,10^12,OFFSET(CRONOPLE!$F$15,$M117-$A$15,BR$13)))</f>
        <v>1000000000000</v>
      </c>
      <c r="BS117" s="171">
        <f ca="1">IF(OR($D117&lt;&gt;"Serviço",AND(AUTOEVENTO="Manual",$M117=$A$15)),0,
         IF(OFFSET(CRONOPLE!$F$15,$M117-$A$15,BS$13)=0,10^12,OFFSET(CRONOPLE!$F$15,$M117-$A$15,BS$13)))</f>
        <v>1000000000000</v>
      </c>
      <c r="BT117" s="171">
        <f ca="1">IF(OR($D117&lt;&gt;"Serviço",AND(AUTOEVENTO="Manual",$M117=$A$15)),0,
         IF(OFFSET(CRONOPLE!$F$15,$M117-$A$15,BT$13)=0,10^12,OFFSET(CRONOPLE!$F$15,$M117-$A$15,BT$13)))</f>
        <v>1000000000000</v>
      </c>
      <c r="BV117" s="172">
        <f t="array" aca="1" ref="BV117" ca="1">IF(OR($D117&lt;&gt;"Serviço",AND(AUTOEVENTO="Manual",$M117=$A$15),$M117&gt;(ROW(PLE.lastrow)-ROW(PLE.firstrow))),0,
           IF(OFFSET(PLE!$G$15,$M117-$A$15,BV$13)="",10^12,OFFSET(PLE!$G$15,$M117-$A$15,BV$13)))</f>
        <v>1000000000000</v>
      </c>
      <c r="BW117" s="172">
        <f t="array" aca="1" ref="BW117" ca="1">IF(OR($D117&lt;&gt;"Serviço",AND(AUTOEVENTO="Manual",$M117=$A$15),$M117&gt;(ROW(PLE.lastrow)-ROW(PLE.firstrow))),0,
           IF(OFFSET(PLE!$G$15,$M117-$A$15,BW$13)="",10^12,OFFSET(PLE!$G$15,$M117-$A$15,BW$13)))</f>
        <v>1000000000000</v>
      </c>
      <c r="BX117" s="172">
        <f t="array" aca="1" ref="BX117" ca="1">IF(OR($D117&lt;&gt;"Serviço",AND(AUTOEVENTO="Manual",$M117=$A$15),$M117&gt;(ROW(PLE.lastrow)-ROW(PLE.firstrow))),0,
           IF(OFFSET(PLE!$G$15,$M117-$A$15,BX$13)="",10^12,OFFSET(PLE!$G$15,$M117-$A$15,BX$13)))</f>
        <v>1000000000000</v>
      </c>
      <c r="BY117" s="172">
        <f t="array" aca="1" ref="BY117" ca="1">IF(OR($D117&lt;&gt;"Serviço",AND(AUTOEVENTO="Manual",$M117=$A$15),$M117&gt;(ROW(PLE.lastrow)-ROW(PLE.firstrow))),0,
           IF(OFFSET(PLE!$G$15,$M117-$A$15,BY$13)="",10^12,OFFSET(PLE!$G$15,$M117-$A$15,BY$13)))</f>
        <v>1000000000000</v>
      </c>
      <c r="BZ117" s="172">
        <f t="array" aca="1" ref="BZ117" ca="1">IF(OR($D117&lt;&gt;"Serviço",AND(AUTOEVENTO="Manual",$M117=$A$15),$M117&gt;(ROW(PLE.lastrow)-ROW(PLE.firstrow))),0,
           IF(OFFSET(PLE!$G$15,$M117-$A$15,BZ$13)="",10^12,OFFSET(PLE!$G$15,$M117-$A$15,BZ$13)))</f>
        <v>1000000000000</v>
      </c>
      <c r="CA117" s="172">
        <f t="array" aca="1" ref="CA117" ca="1">IF(OR($D117&lt;&gt;"Serviço",AND(AUTOEVENTO="Manual",$M117=$A$15),$M117&gt;(ROW(PLE.lastrow)-ROW(PLE.firstrow))),0,
           IF(OFFSET(PLE!$G$15,$M117-$A$15,CA$13)="",10^12,OFFSET(PLE!$G$15,$M117-$A$15,CA$13)))</f>
        <v>1000000000000</v>
      </c>
      <c r="CB117" s="172">
        <f t="array" aca="1" ref="CB117" ca="1">IF(OR($D117&lt;&gt;"Serviço",AND(AUTOEVENTO="Manual",$M117=$A$15),$M117&gt;(ROW(PLE.lastrow)-ROW(PLE.firstrow))),0,
           IF(OFFSET(PLE!$G$15,$M117-$A$15,CB$13)="",10^12,OFFSET(PLE!$G$15,$M117-$A$15,CB$13)))</f>
        <v>1000000000000</v>
      </c>
      <c r="CC117" s="172">
        <f t="array" aca="1" ref="CC117" ca="1">IF(OR($D117&lt;&gt;"Serviço",AND(AUTOEVENTO="Manual",$M117=$A$15),$M117&gt;(ROW(PLE.lastrow)-ROW(PLE.firstrow))),0,
           IF(OFFSET(PLE!$G$15,$M117-$A$15,CC$13)="",10^12,OFFSET(PLE!$G$15,$M117-$A$15,CC$13)))</f>
        <v>1000000000000</v>
      </c>
      <c r="CD117" s="172">
        <f t="array" aca="1" ref="CD117" ca="1">IF(OR($D117&lt;&gt;"Serviço",AND(AUTOEVENTO="Manual",$M117=$A$15),$M117&gt;(ROW(PLE.lastrow)-ROW(PLE.firstrow))),0,
           IF(OFFSET(PLE!$G$15,$M117-$A$15,CD$13)="",10^12,OFFSET(PLE!$G$15,$M117-$A$15,CD$13)))</f>
        <v>1000000000000</v>
      </c>
      <c r="CE117" s="172">
        <f t="array" aca="1" ref="CE117" ca="1">IF(OR($D117&lt;&gt;"Serviço",AND(AUTOEVENTO="Manual",$M117=$A$15),$M117&gt;(ROW(PLE.lastrow)-ROW(PLE.firstrow))),0,
           IF(OFFSET(PLE!$G$15,$M117-$A$15,CE$13)="",10^12,OFFSET(PLE!$G$15,$M117-$A$15,CE$13)))</f>
        <v>1000000000000</v>
      </c>
      <c r="CF117" s="172">
        <f t="array" aca="1" ref="CF117" ca="1">IF(OR($D117&lt;&gt;"Serviço",AND(AUTOEVENTO="Manual",$M117=$A$15),$M117&gt;(ROW(PLE.lastrow)-ROW(PLE.firstrow))),0,
           IF(OFFSET(PLE!$G$15,$M117-$A$15,CF$13)="",10^12,OFFSET(PLE!$G$15,$M117-$A$15,CF$13)))</f>
        <v>1000000000000</v>
      </c>
      <c r="CG117" s="172">
        <f t="array" aca="1" ref="CG117" ca="1">IF(OR($D117&lt;&gt;"Serviço",AND(AUTOEVENTO="Manual",$M117=$A$15),$M117&gt;(ROW(PLE.lastrow)-ROW(PLE.firstrow))),0,
           IF(OFFSET(PLE!$G$15,$M117-$A$15,CG$13)="",10^12,OFFSET(PLE!$G$15,$M117-$A$15,CG$13)))</f>
        <v>1000000000000</v>
      </c>
      <c r="CH117" s="172">
        <f t="array" aca="1" ref="CH117" ca="1">IF(OR($D117&lt;&gt;"Serviço",AND(AUTOEVENTO="Manual",$M117=$A$15),$M117&gt;(ROW(PLE.lastrow)-ROW(PLE.firstrow))),0,
           IF(OFFSET(PLE!$G$15,$M117-$A$15,CH$13)="",10^12,OFFSET(PLE!$G$15,$M117-$A$15,CH$13)))</f>
        <v>1000000000000</v>
      </c>
      <c r="CI117" s="172">
        <f t="array" aca="1" ref="CI117" ca="1">IF(OR($D117&lt;&gt;"Serviço",AND(AUTOEVENTO="Manual",$M117=$A$15),$M117&gt;(ROW(PLE.lastrow)-ROW(PLE.firstrow))),0,
           IF(OFFSET(PLE!$G$15,$M117-$A$15,CI$13)="",10^12,OFFSET(PLE!$G$15,$M117-$A$15,CI$13)))</f>
        <v>1000000000000</v>
      </c>
      <c r="CJ117" s="172">
        <f t="array" aca="1" ref="CJ117" ca="1">IF(OR($D117&lt;&gt;"Serviço",AND(AUTOEVENTO="Manual",$M117=$A$15),$M117&gt;(ROW(PLE.lastrow)-ROW(PLE.firstrow))),0,
           IF(OFFSET(PLE!$G$15,$M117-$A$15,CJ$13)="",10^12,OFFSET(PLE!$G$15,$M117-$A$15,CJ$13)))</f>
        <v>1000000000000</v>
      </c>
      <c r="CK117" s="172">
        <f t="array" aca="1" ref="CK117" ca="1">IF(OR($D117&lt;&gt;"Serviço",AND(AUTOEVENTO="Manual",$M117=$A$15),$M117&gt;(ROW(PLE.lastrow)-ROW(PLE.firstrow))),0,
           IF(OFFSET(PLE!$G$15,$M117-$A$15,CK$13)="",10^12,OFFSET(PLE!$G$15,$M117-$A$15,CK$13)))</f>
        <v>1000000000000</v>
      </c>
      <c r="CL117" s="172">
        <f t="array" aca="1" ref="CL117" ca="1">IF(OR($D117&lt;&gt;"Serviço",AND(AUTOEVENTO="Manual",$M117=$A$15),$M117&gt;(ROW(PLE.lastrow)-ROW(PLE.firstrow))),0,
           IF(OFFSET(PLE!$G$15,$M117-$A$15,CL$13)="",10^12,OFFSET(PLE!$G$15,$M117-$A$15,CL$13)))</f>
        <v>1000000000000</v>
      </c>
      <c r="CM117" s="172">
        <f t="array" aca="1" ref="CM117" ca="1">IF(OR($D117&lt;&gt;"Serviço",AND(AUTOEVENTO="Manual",$M117=$A$15),$M117&gt;(ROW(PLE.lastrow)-ROW(PLE.firstrow))),0,
           IF(OFFSET(PLE!$G$15,$M117-$A$15,CM$13)="",10^12,OFFSET(PLE!$G$15,$M117-$A$15,CM$13)))</f>
        <v>1000000000000</v>
      </c>
    </row>
    <row r="118" spans="1:91" s="696" customFormat="1" ht="63.75" x14ac:dyDescent="0.2">
      <c r="A118" s="694">
        <f t="shared" ca="1" si="45"/>
        <v>18</v>
      </c>
      <c r="B118" s="694" t="str">
        <f ca="1">OFFSET(ORÇAMENTO!C$15,$L118,0)</f>
        <v>S</v>
      </c>
      <c r="C118" s="694" t="str">
        <f ca="1">OFFSET(ORÇAMENTO!L$15,$L118,0)</f>
        <v>F</v>
      </c>
      <c r="D118" s="116" t="str">
        <f ca="1">OFFSET(ORÇAMENTO!N$15,$L118,0)</f>
        <v>Serviço</v>
      </c>
      <c r="E118" s="117" t="str">
        <f ca="1">OFFSET(ORÇAMENTO!O$15,$L118,0)</f>
        <v>1.20.6.</v>
      </c>
      <c r="F118" s="163" t="str">
        <f ca="1">OFFSET(ORÇAMENTO!R$15,$L118,0)</f>
        <v>CONTRAPISO EM ARGAMASSA TRAÇO 1:4 (CIMENTO E AREIA), PREPARO MECÂNICO COM BETONEIRA 400 L, APLICADO EM ÁREAS SECAS SOBRE LAJE, ADERIDO, ACABAMENTO NÃO REFORÇADO, ESPESSURA 3CM. AF_07/2021</v>
      </c>
      <c r="G118" s="164" t="str">
        <f ca="1">IF($D118&lt;&gt;"Serviço","",OFFSET(ORÇAMENTO!S$15,$L118,0))</f>
        <v>M2</v>
      </c>
      <c r="H118" s="122">
        <f t="array" aca="1" ref="H118" ca="1">IF($D118&lt;&gt;"Serviço",0,IF(ACOMPANHAMENTO="BM",ROUND(OFFSET(ORÇAMENTO!AJ$15,$L118,0),15-13*ORÇAMENTO!$AF$7),IF(IFERROR(CÁLCULO.FrentesPreenchidas,0)=0,0,SUM(ROUND(OFFSET($P118,0,1,1,CÁLCULO.FrentesPreenchidas),15-13*ORÇAMENTO!$AF$7)))))</f>
        <v>643.79999999999995</v>
      </c>
      <c r="I118" s="467" t="s">
        <v>1275</v>
      </c>
      <c r="J118" s="653" t="str">
        <f t="array" aca="1" ref="J118" ca="1">IF(OR(B118&lt;&gt;"S",CÁLCULO.FrentesPreenchidas=0),"",IF(AND(ACOMPANHAMENTO="PLE",AUTOEVENTO="Manual",OR(H118&gt;0,ORÇAMENTO!AC118="QUANT."),OR(K118="",M118=0,N118="")),"►E",IF(AND(ACOMPANHAMENTO="PLE",ORÇAMENTO!AC118="QUANT."),"►Q",IF(AND(ACOMPANHAMENTO="PLE",H118&lt;&gt;SUMPRODUCT(($Q$1:$AI$1=1)*ROUND(Q118:AI118,15))),"►S",IF(AND(COUNTIF($P$11:$AI$11,"▼")=0,H118&gt;0,I118=""),"◄M","")))))</f>
        <v/>
      </c>
      <c r="K118" s="654" t="s">
        <v>1406</v>
      </c>
      <c r="L118" s="165">
        <f t="shared" ca="1" si="46"/>
        <v>103</v>
      </c>
      <c r="M118" s="166">
        <f ca="1">IF($D118&lt;&gt;"Serviço","",
          IF(AUTOEVENTO="manual",$A118,
                IF(ISERROR(MATCH($A118,$A$15:OFFSET($A118,-1,0),0)),MAX($M$15:OFFSET(M118,-1,0))+1,
                      INDEX($M$15:OFFSET(M118,-1,0),MATCH($A118,$A$15:OFFSET($A118,-1,0),0)))))</f>
        <v>18</v>
      </c>
      <c r="N118" s="167" t="str">
        <f ca="1">IF($D118&lt;&gt;"Serviço","",
         IF(AUTOEVENTO="Manual",
                IF($A118=0,"&lt;-- defina o número do agrupador",
                       OFFSET(EVENTOS!$D$15,$A118-$A$15,0)),
                OFFSET($F$15,$A118,0)))</f>
        <v>REVESTIMENTOS INTERNOS DE PISO</v>
      </c>
      <c r="O118" s="168"/>
      <c r="Q118" s="169">
        <f>32.19*5</f>
        <v>160.94999999999999</v>
      </c>
      <c r="R118" s="169">
        <f t="shared" ref="R118:T118" si="73">32.19*5</f>
        <v>160.94999999999999</v>
      </c>
      <c r="S118" s="169">
        <f t="shared" si="73"/>
        <v>160.94999999999999</v>
      </c>
      <c r="T118" s="169">
        <f t="shared" si="73"/>
        <v>160.94999999999999</v>
      </c>
      <c r="U118" s="169"/>
      <c r="V118" s="169"/>
      <c r="W118" s="169"/>
      <c r="X118" s="169"/>
      <c r="Y118" s="169"/>
      <c r="Z118" s="170"/>
      <c r="AA118" s="169"/>
      <c r="AB118" s="169"/>
      <c r="AC118" s="169"/>
      <c r="AD118" s="169"/>
      <c r="AE118" s="169"/>
      <c r="AF118" s="169"/>
      <c r="AG118" s="169"/>
      <c r="AH118" s="170"/>
      <c r="AJ118" s="452">
        <f ca="1">IF(AND($D118="Serviço",AJ$12&lt;&gt;0,$H118&gt;0,OR(AUTOEVENTO&lt;&gt;"manual",$M118&lt;&gt;$A$15)),
        IF(Import.TipoArredondamento&lt;&gt;"TransfereGOV",
              ROUND(OFFSET($P118,0,AJ$13),15-13*ORÇAMENTO!$AF$7)/$H118*OFFSET(ORÇAMENTO!$X$15,ROW(AJ118)-ROW(AJ$15),0),
              ROUND(ROUND(OFFSET($P118,0,AJ$13),15-13*ORÇAMENTO!$AF$7)*OFFSET(ORÇAMENTO!$W$15,ROW(AJ118)-ROW(AJ$15),0),15-13*ORÇAMENTO!$AF$11)),
         0)</f>
        <v>8082.91</v>
      </c>
      <c r="AK118" s="452">
        <f ca="1">IF(AND($D118="Serviço",AK$12&lt;&gt;0,$H118&gt;0,OR(AUTOEVENTO&lt;&gt;"manual",$M118&lt;&gt;$A$15)),
        IF(Import.TipoArredondamento&lt;&gt;"TransfereGOV",
              ROUND(OFFSET($P118,0,AK$13),15-13*ORÇAMENTO!$AF$7)/$H118*OFFSET(ORÇAMENTO!$X$15,ROW(AK118)-ROW(AK$15),0),
              ROUND(ROUND(OFFSET($P118,0,AK$13),15-13*ORÇAMENTO!$AF$7)*OFFSET(ORÇAMENTO!$W$15,ROW(AK118)-ROW(AK$15),0),15-13*ORÇAMENTO!$AF$11)),
         0)</f>
        <v>8082.91</v>
      </c>
      <c r="AL118" s="452">
        <f ca="1">IF(AND($D118="Serviço",AL$12&lt;&gt;0,$H118&gt;0,OR(AUTOEVENTO&lt;&gt;"manual",$M118&lt;&gt;$A$15)),
        IF(Import.TipoArredondamento&lt;&gt;"TransfereGOV",
              ROUND(OFFSET($P118,0,AL$13),15-13*ORÇAMENTO!$AF$7)/$H118*OFFSET(ORÇAMENTO!$X$15,ROW(AL118)-ROW(AL$15),0),
              ROUND(ROUND(OFFSET($P118,0,AL$13),15-13*ORÇAMENTO!$AF$7)*OFFSET(ORÇAMENTO!$W$15,ROW(AL118)-ROW(AL$15),0),15-13*ORÇAMENTO!$AF$11)),
         0)</f>
        <v>8082.91</v>
      </c>
      <c r="AM118" s="452">
        <f ca="1">IF(AND($D118="Serviço",AM$12&lt;&gt;0,$H118&gt;0,OR(AUTOEVENTO&lt;&gt;"manual",$M118&lt;&gt;$A$15)),
        IF(Import.TipoArredondamento&lt;&gt;"TransfereGOV",
              ROUND(OFFSET($P118,0,AM$13),15-13*ORÇAMENTO!$AF$7)/$H118*OFFSET(ORÇAMENTO!$X$15,ROW(AM118)-ROW(AM$15),0),
              ROUND(ROUND(OFFSET($P118,0,AM$13),15-13*ORÇAMENTO!$AF$7)*OFFSET(ORÇAMENTO!$W$15,ROW(AM118)-ROW(AM$15),0),15-13*ORÇAMENTO!$AF$11)),
         0)</f>
        <v>8082.91</v>
      </c>
      <c r="AN118" s="452">
        <f ca="1">IF(AND($D118="Serviço",AN$12&lt;&gt;0,$H118&gt;0,OR(AUTOEVENTO&lt;&gt;"manual",$M118&lt;&gt;$A$15)),
        IF(Import.TipoArredondamento&lt;&gt;"TransfereGOV",
              ROUND(OFFSET($P118,0,AN$13),15-13*ORÇAMENTO!$AF$7)/$H118*OFFSET(ORÇAMENTO!$X$15,ROW(AN118)-ROW(AN$15),0),
              ROUND(ROUND(OFFSET($P118,0,AN$13),15-13*ORÇAMENTO!$AF$7)*OFFSET(ORÇAMENTO!$W$15,ROW(AN118)-ROW(AN$15),0),15-13*ORÇAMENTO!$AF$11)),
         0)</f>
        <v>0</v>
      </c>
      <c r="AO118" s="452">
        <f ca="1">IF(AND($D118="Serviço",AO$12&lt;&gt;0,$H118&gt;0,OR(AUTOEVENTO&lt;&gt;"manual",$M118&lt;&gt;$A$15)),
        IF(Import.TipoArredondamento&lt;&gt;"TransfereGOV",
              ROUND(OFFSET($P118,0,AO$13),15-13*ORÇAMENTO!$AF$7)/$H118*OFFSET(ORÇAMENTO!$X$15,ROW(AO118)-ROW(AO$15),0),
              ROUND(ROUND(OFFSET($P118,0,AO$13),15-13*ORÇAMENTO!$AF$7)*OFFSET(ORÇAMENTO!$W$15,ROW(AO118)-ROW(AO$15),0),15-13*ORÇAMENTO!$AF$11)),
         0)</f>
        <v>0</v>
      </c>
      <c r="AP118" s="452">
        <f ca="1">IF(AND($D118="Serviço",AP$12&lt;&gt;0,$H118&gt;0,OR(AUTOEVENTO&lt;&gt;"manual",$M118&lt;&gt;$A$15)),
        IF(Import.TipoArredondamento&lt;&gt;"TransfereGOV",
              ROUND(OFFSET($P118,0,AP$13),15-13*ORÇAMENTO!$AF$7)/$H118*OFFSET(ORÇAMENTO!$X$15,ROW(AP118)-ROW(AP$15),0),
              ROUND(ROUND(OFFSET($P118,0,AP$13),15-13*ORÇAMENTO!$AF$7)*OFFSET(ORÇAMENTO!$W$15,ROW(AP118)-ROW(AP$15),0),15-13*ORÇAMENTO!$AF$11)),
         0)</f>
        <v>0</v>
      </c>
      <c r="AQ118" s="452">
        <f ca="1">IF(AND($D118="Serviço",AQ$12&lt;&gt;0,$H118&gt;0,OR(AUTOEVENTO&lt;&gt;"manual",$M118&lt;&gt;$A$15)),
        IF(Import.TipoArredondamento&lt;&gt;"TransfereGOV",
              ROUND(OFFSET($P118,0,AQ$13),15-13*ORÇAMENTO!$AF$7)/$H118*OFFSET(ORÇAMENTO!$X$15,ROW(AQ118)-ROW(AQ$15),0),
              ROUND(ROUND(OFFSET($P118,0,AQ$13),15-13*ORÇAMENTO!$AF$7)*OFFSET(ORÇAMENTO!$W$15,ROW(AQ118)-ROW(AQ$15),0),15-13*ORÇAMENTO!$AF$11)),
         0)</f>
        <v>0</v>
      </c>
      <c r="AR118" s="452">
        <f ca="1">IF(AND($D118="Serviço",AR$12&lt;&gt;0,$H118&gt;0,OR(AUTOEVENTO&lt;&gt;"manual",$M118&lt;&gt;$A$15)),
        IF(Import.TipoArredondamento&lt;&gt;"TransfereGOV",
              ROUND(OFFSET($P118,0,AR$13),15-13*ORÇAMENTO!$AF$7)/$H118*OFFSET(ORÇAMENTO!$X$15,ROW(AR118)-ROW(AR$15),0),
              ROUND(ROUND(OFFSET($P118,0,AR$13),15-13*ORÇAMENTO!$AF$7)*OFFSET(ORÇAMENTO!$W$15,ROW(AR118)-ROW(AR$15),0),15-13*ORÇAMENTO!$AF$11)),
         0)</f>
        <v>0</v>
      </c>
      <c r="AS118" s="452">
        <f ca="1">IF(AND($D118="Serviço",AS$12&lt;&gt;0,$H118&gt;0,OR(AUTOEVENTO&lt;&gt;"manual",$M118&lt;&gt;$A$15)),
        IF(Import.TipoArredondamento&lt;&gt;"TransfereGOV",
              ROUND(OFFSET($P118,0,AS$13),15-13*ORÇAMENTO!$AF$7)/$H118*OFFSET(ORÇAMENTO!$X$15,ROW(AS118)-ROW(AS$15),0),
              ROUND(ROUND(OFFSET($P118,0,AS$13),15-13*ORÇAMENTO!$AF$7)*OFFSET(ORÇAMENTO!$W$15,ROW(AS118)-ROW(AS$15),0),15-13*ORÇAMENTO!$AF$11)),
         0)</f>
        <v>0</v>
      </c>
      <c r="AT118" s="452">
        <f ca="1">IF(AND($D118="Serviço",AT$12&lt;&gt;0,$H118&gt;0,OR(AUTOEVENTO&lt;&gt;"manual",$M118&lt;&gt;$A$15)),
        IF(Import.TipoArredondamento&lt;&gt;"TransfereGOV",
              ROUND(OFFSET($P118,0,AT$13),15-13*ORÇAMENTO!$AF$7)/$H118*OFFSET(ORÇAMENTO!$X$15,ROW(AT118)-ROW(AT$15),0),
              ROUND(ROUND(OFFSET($P118,0,AT$13),15-13*ORÇAMENTO!$AF$7)*OFFSET(ORÇAMENTO!$W$15,ROW(AT118)-ROW(AT$15),0),15-13*ORÇAMENTO!$AF$11)),
         0)</f>
        <v>0</v>
      </c>
      <c r="AU118" s="452">
        <f ca="1">IF(AND($D118="Serviço",AU$12&lt;&gt;0,$H118&gt;0,OR(AUTOEVENTO&lt;&gt;"manual",$M118&lt;&gt;$A$15)),
        IF(Import.TipoArredondamento&lt;&gt;"TransfereGOV",
              ROUND(OFFSET($P118,0,AU$13),15-13*ORÇAMENTO!$AF$7)/$H118*OFFSET(ORÇAMENTO!$X$15,ROW(AU118)-ROW(AU$15),0),
              ROUND(ROUND(OFFSET($P118,0,AU$13),15-13*ORÇAMENTO!$AF$7)*OFFSET(ORÇAMENTO!$W$15,ROW(AU118)-ROW(AU$15),0),15-13*ORÇAMENTO!$AF$11)),
         0)</f>
        <v>0</v>
      </c>
      <c r="AV118" s="452">
        <f ca="1">IF(AND($D118="Serviço",AV$12&lt;&gt;0,$H118&gt;0,OR(AUTOEVENTO&lt;&gt;"manual",$M118&lt;&gt;$A$15)),
        IF(Import.TipoArredondamento&lt;&gt;"TransfereGOV",
              ROUND(OFFSET($P118,0,AV$13),15-13*ORÇAMENTO!$AF$7)/$H118*OFFSET(ORÇAMENTO!$X$15,ROW(AV118)-ROW(AV$15),0),
              ROUND(ROUND(OFFSET($P118,0,AV$13),15-13*ORÇAMENTO!$AF$7)*OFFSET(ORÇAMENTO!$W$15,ROW(AV118)-ROW(AV$15),0),15-13*ORÇAMENTO!$AF$11)),
         0)</f>
        <v>0</v>
      </c>
      <c r="AW118" s="452">
        <f ca="1">IF(AND($D118="Serviço",AW$12&lt;&gt;0,$H118&gt;0,OR(AUTOEVENTO&lt;&gt;"manual",$M118&lt;&gt;$A$15)),
        IF(Import.TipoArredondamento&lt;&gt;"TransfereGOV",
              ROUND(OFFSET($P118,0,AW$13),15-13*ORÇAMENTO!$AF$7)/$H118*OFFSET(ORÇAMENTO!$X$15,ROW(AW118)-ROW(AW$15),0),
              ROUND(ROUND(OFFSET($P118,0,AW$13),15-13*ORÇAMENTO!$AF$7)*OFFSET(ORÇAMENTO!$W$15,ROW(AW118)-ROW(AW$15),0),15-13*ORÇAMENTO!$AF$11)),
         0)</f>
        <v>0</v>
      </c>
      <c r="AX118" s="452">
        <f ca="1">IF(AND($D118="Serviço",AX$12&lt;&gt;0,$H118&gt;0,OR(AUTOEVENTO&lt;&gt;"manual",$M118&lt;&gt;$A$15)),
        IF(Import.TipoArredondamento&lt;&gt;"TransfereGOV",
              ROUND(OFFSET($P118,0,AX$13),15-13*ORÇAMENTO!$AF$7)/$H118*OFFSET(ORÇAMENTO!$X$15,ROW(AX118)-ROW(AX$15),0),
              ROUND(ROUND(OFFSET($P118,0,AX$13),15-13*ORÇAMENTO!$AF$7)*OFFSET(ORÇAMENTO!$W$15,ROW(AX118)-ROW(AX$15),0),15-13*ORÇAMENTO!$AF$11)),
         0)</f>
        <v>0</v>
      </c>
      <c r="AY118" s="452">
        <f ca="1">IF(AND($D118="Serviço",AY$12&lt;&gt;0,$H118&gt;0,OR(AUTOEVENTO&lt;&gt;"manual",$M118&lt;&gt;$A$15)),
        IF(Import.TipoArredondamento&lt;&gt;"TransfereGOV",
              ROUND(OFFSET($P118,0,AY$13),15-13*ORÇAMENTO!$AF$7)/$H118*OFFSET(ORÇAMENTO!$X$15,ROW(AY118)-ROW(AY$15),0),
              ROUND(ROUND(OFFSET($P118,0,AY$13),15-13*ORÇAMENTO!$AF$7)*OFFSET(ORÇAMENTO!$W$15,ROW(AY118)-ROW(AY$15),0),15-13*ORÇAMENTO!$AF$11)),
         0)</f>
        <v>0</v>
      </c>
      <c r="AZ118" s="452">
        <f ca="1">IF(AND($D118="Serviço",AZ$12&lt;&gt;0,$H118&gt;0,OR(AUTOEVENTO&lt;&gt;"manual",$M118&lt;&gt;$A$15)),
        IF(Import.TipoArredondamento&lt;&gt;"TransfereGOV",
              ROUND(OFFSET($P118,0,AZ$13),15-13*ORÇAMENTO!$AF$7)/$H118*OFFSET(ORÇAMENTO!$X$15,ROW(AZ118)-ROW(AZ$15),0),
              ROUND(ROUND(OFFSET($P118,0,AZ$13),15-13*ORÇAMENTO!$AF$7)*OFFSET(ORÇAMENTO!$W$15,ROW(AZ118)-ROW(AZ$15),0),15-13*ORÇAMENTO!$AF$11)),
         0)</f>
        <v>0</v>
      </c>
      <c r="BA118" s="452">
        <f ca="1">IF(AND($D118="Serviço",BA$12&lt;&gt;0,$H118&gt;0,OR(AUTOEVENTO&lt;&gt;"manual",$M118&lt;&gt;$A$15)),
        IF(Import.TipoArredondamento&lt;&gt;"TransfereGOV",
              ROUND(OFFSET($P118,0,BA$13),15-13*ORÇAMENTO!$AF$7)/$H118*OFFSET(ORÇAMENTO!$X$15,ROW(BA118)-ROW(BA$15),0),
              ROUND(ROUND(OFFSET($P118,0,BA$13),15-13*ORÇAMENTO!$AF$7)*OFFSET(ORÇAMENTO!$W$15,ROW(BA118)-ROW(BA$15),0),15-13*ORÇAMENTO!$AF$11)),
         0)</f>
        <v>0</v>
      </c>
      <c r="BC118" s="171">
        <f ca="1">IF(OR($D118&lt;&gt;"Serviço",AND(AUTOEVENTO="Manual",$M118=$A$15)),0,
         IF(OFFSET(CRONOPLE!$F$15,$M118-$A$15,BC$13)=0,10^12,OFFSET(CRONOPLE!$F$15,$M118-$A$15,BC$13)))</f>
        <v>6</v>
      </c>
      <c r="BD118" s="171">
        <f ca="1">IF(OR($D118&lt;&gt;"Serviço",AND(AUTOEVENTO="Manual",$M118=$A$15)),0,
         IF(OFFSET(CRONOPLE!$F$15,$M118-$A$15,BD$13)=0,10^12,OFFSET(CRONOPLE!$F$15,$M118-$A$15,BD$13)))</f>
        <v>6</v>
      </c>
      <c r="BE118" s="171">
        <f ca="1">IF(OR($D118&lt;&gt;"Serviço",AND(AUTOEVENTO="Manual",$M118=$A$15)),0,
         IF(OFFSET(CRONOPLE!$F$15,$M118-$A$15,BE$13)=0,10^12,OFFSET(CRONOPLE!$F$15,$M118-$A$15,BE$13)))</f>
        <v>7</v>
      </c>
      <c r="BF118" s="171">
        <f ca="1">IF(OR($D118&lt;&gt;"Serviço",AND(AUTOEVENTO="Manual",$M118=$A$15)),0,
         IF(OFFSET(CRONOPLE!$F$15,$M118-$A$15,BF$13)=0,10^12,OFFSET(CRONOPLE!$F$15,$M118-$A$15,BF$13)))</f>
        <v>8</v>
      </c>
      <c r="BG118" s="171">
        <f ca="1">IF(OR($D118&lt;&gt;"Serviço",AND(AUTOEVENTO="Manual",$M118=$A$15)),0,
         IF(OFFSET(CRONOPLE!$F$15,$M118-$A$15,BG$13)=0,10^12,OFFSET(CRONOPLE!$F$15,$M118-$A$15,BG$13)))</f>
        <v>8</v>
      </c>
      <c r="BH118" s="171">
        <f ca="1">IF(OR($D118&lt;&gt;"Serviço",AND(AUTOEVENTO="Manual",$M118=$A$15)),0,
         IF(OFFSET(CRONOPLE!$F$15,$M118-$A$15,BH$13)=0,10^12,OFFSET(CRONOPLE!$F$15,$M118-$A$15,BH$13)))</f>
        <v>1000000000000</v>
      </c>
      <c r="BI118" s="171">
        <f ca="1">IF(OR($D118&lt;&gt;"Serviço",AND(AUTOEVENTO="Manual",$M118=$A$15)),0,
         IF(OFFSET(CRONOPLE!$F$15,$M118-$A$15,BI$13)=0,10^12,OFFSET(CRONOPLE!$F$15,$M118-$A$15,BI$13)))</f>
        <v>1000000000000</v>
      </c>
      <c r="BJ118" s="171">
        <f ca="1">IF(OR($D118&lt;&gt;"Serviço",AND(AUTOEVENTO="Manual",$M118=$A$15)),0,
         IF(OFFSET(CRONOPLE!$F$15,$M118-$A$15,BJ$13)=0,10^12,OFFSET(CRONOPLE!$F$15,$M118-$A$15,BJ$13)))</f>
        <v>8</v>
      </c>
      <c r="BK118" s="171">
        <f ca="1">IF(OR($D118&lt;&gt;"Serviço",AND(AUTOEVENTO="Manual",$M118=$A$15)),0,
         IF(OFFSET(CRONOPLE!$F$15,$M118-$A$15,BK$13)=0,10^12,OFFSET(CRONOPLE!$F$15,$M118-$A$15,BK$13)))</f>
        <v>9</v>
      </c>
      <c r="BL118" s="171">
        <f ca="1">IF(OR($D118&lt;&gt;"Serviço",AND(AUTOEVENTO="Manual",$M118=$A$15)),0,
         IF(OFFSET(CRONOPLE!$F$15,$M118-$A$15,BL$13)=0,10^12,OFFSET(CRONOPLE!$F$15,$M118-$A$15,BL$13)))</f>
        <v>1000000000000</v>
      </c>
      <c r="BM118" s="171">
        <f ca="1">IF(OR($D118&lt;&gt;"Serviço",AND(AUTOEVENTO="Manual",$M118=$A$15)),0,
         IF(OFFSET(CRONOPLE!$F$15,$M118-$A$15,BM$13)=0,10^12,OFFSET(CRONOPLE!$F$15,$M118-$A$15,BM$13)))</f>
        <v>1000000000000</v>
      </c>
      <c r="BN118" s="171">
        <f ca="1">IF(OR($D118&lt;&gt;"Serviço",AND(AUTOEVENTO="Manual",$M118=$A$15)),0,
         IF(OFFSET(CRONOPLE!$F$15,$M118-$A$15,BN$13)=0,10^12,OFFSET(CRONOPLE!$F$15,$M118-$A$15,BN$13)))</f>
        <v>1000000000000</v>
      </c>
      <c r="BO118" s="171">
        <f ca="1">IF(OR($D118&lt;&gt;"Serviço",AND(AUTOEVENTO="Manual",$M118=$A$15)),0,
         IF(OFFSET(CRONOPLE!$F$15,$M118-$A$15,BO$13)=0,10^12,OFFSET(CRONOPLE!$F$15,$M118-$A$15,BO$13)))</f>
        <v>1000000000000</v>
      </c>
      <c r="BP118" s="171">
        <f ca="1">IF(OR($D118&lt;&gt;"Serviço",AND(AUTOEVENTO="Manual",$M118=$A$15)),0,
         IF(OFFSET(CRONOPLE!$F$15,$M118-$A$15,BP$13)=0,10^12,OFFSET(CRONOPLE!$F$15,$M118-$A$15,BP$13)))</f>
        <v>1000000000000</v>
      </c>
      <c r="BQ118" s="171">
        <f ca="1">IF(OR($D118&lt;&gt;"Serviço",AND(AUTOEVENTO="Manual",$M118=$A$15)),0,
         IF(OFFSET(CRONOPLE!$F$15,$M118-$A$15,BQ$13)=0,10^12,OFFSET(CRONOPLE!$F$15,$M118-$A$15,BQ$13)))</f>
        <v>1000000000000</v>
      </c>
      <c r="BR118" s="171">
        <f ca="1">IF(OR($D118&lt;&gt;"Serviço",AND(AUTOEVENTO="Manual",$M118=$A$15)),0,
         IF(OFFSET(CRONOPLE!$F$15,$M118-$A$15,BR$13)=0,10^12,OFFSET(CRONOPLE!$F$15,$M118-$A$15,BR$13)))</f>
        <v>1000000000000</v>
      </c>
      <c r="BS118" s="171">
        <f ca="1">IF(OR($D118&lt;&gt;"Serviço",AND(AUTOEVENTO="Manual",$M118=$A$15)),0,
         IF(OFFSET(CRONOPLE!$F$15,$M118-$A$15,BS$13)=0,10^12,OFFSET(CRONOPLE!$F$15,$M118-$A$15,BS$13)))</f>
        <v>1000000000000</v>
      </c>
      <c r="BT118" s="171">
        <f ca="1">IF(OR($D118&lt;&gt;"Serviço",AND(AUTOEVENTO="Manual",$M118=$A$15)),0,
         IF(OFFSET(CRONOPLE!$F$15,$M118-$A$15,BT$13)=0,10^12,OFFSET(CRONOPLE!$F$15,$M118-$A$15,BT$13)))</f>
        <v>1000000000000</v>
      </c>
      <c r="BV118" s="172">
        <f t="array" aca="1" ref="BV118" ca="1">IF(OR($D118&lt;&gt;"Serviço",AND(AUTOEVENTO="Manual",$M118=$A$15),$M118&gt;(ROW(PLE.lastrow)-ROW(PLE.firstrow))),0,
           IF(OFFSET(PLE!$G$15,$M118-$A$15,BV$13)="",10^12,OFFSET(PLE!$G$15,$M118-$A$15,BV$13)))</f>
        <v>1000000000000</v>
      </c>
      <c r="BW118" s="172">
        <f t="array" aca="1" ref="BW118" ca="1">IF(OR($D118&lt;&gt;"Serviço",AND(AUTOEVENTO="Manual",$M118=$A$15),$M118&gt;(ROW(PLE.lastrow)-ROW(PLE.firstrow))),0,
           IF(OFFSET(PLE!$G$15,$M118-$A$15,BW$13)="",10^12,OFFSET(PLE!$G$15,$M118-$A$15,BW$13)))</f>
        <v>1000000000000</v>
      </c>
      <c r="BX118" s="172">
        <f t="array" aca="1" ref="BX118" ca="1">IF(OR($D118&lt;&gt;"Serviço",AND(AUTOEVENTO="Manual",$M118=$A$15),$M118&gt;(ROW(PLE.lastrow)-ROW(PLE.firstrow))),0,
           IF(OFFSET(PLE!$G$15,$M118-$A$15,BX$13)="",10^12,OFFSET(PLE!$G$15,$M118-$A$15,BX$13)))</f>
        <v>1000000000000</v>
      </c>
      <c r="BY118" s="172">
        <f t="array" aca="1" ref="BY118" ca="1">IF(OR($D118&lt;&gt;"Serviço",AND(AUTOEVENTO="Manual",$M118=$A$15),$M118&gt;(ROW(PLE.lastrow)-ROW(PLE.firstrow))),0,
           IF(OFFSET(PLE!$G$15,$M118-$A$15,BY$13)="",10^12,OFFSET(PLE!$G$15,$M118-$A$15,BY$13)))</f>
        <v>1000000000000</v>
      </c>
      <c r="BZ118" s="172">
        <f t="array" aca="1" ref="BZ118" ca="1">IF(OR($D118&lt;&gt;"Serviço",AND(AUTOEVENTO="Manual",$M118=$A$15),$M118&gt;(ROW(PLE.lastrow)-ROW(PLE.firstrow))),0,
           IF(OFFSET(PLE!$G$15,$M118-$A$15,BZ$13)="",10^12,OFFSET(PLE!$G$15,$M118-$A$15,BZ$13)))</f>
        <v>1000000000000</v>
      </c>
      <c r="CA118" s="172">
        <f t="array" aca="1" ref="CA118" ca="1">IF(OR($D118&lt;&gt;"Serviço",AND(AUTOEVENTO="Manual",$M118=$A$15),$M118&gt;(ROW(PLE.lastrow)-ROW(PLE.firstrow))),0,
           IF(OFFSET(PLE!$G$15,$M118-$A$15,CA$13)="",10^12,OFFSET(PLE!$G$15,$M118-$A$15,CA$13)))</f>
        <v>1000000000000</v>
      </c>
      <c r="CB118" s="172">
        <f t="array" aca="1" ref="CB118" ca="1">IF(OR($D118&lt;&gt;"Serviço",AND(AUTOEVENTO="Manual",$M118=$A$15),$M118&gt;(ROW(PLE.lastrow)-ROW(PLE.firstrow))),0,
           IF(OFFSET(PLE!$G$15,$M118-$A$15,CB$13)="",10^12,OFFSET(PLE!$G$15,$M118-$A$15,CB$13)))</f>
        <v>1000000000000</v>
      </c>
      <c r="CC118" s="172">
        <f t="array" aca="1" ref="CC118" ca="1">IF(OR($D118&lt;&gt;"Serviço",AND(AUTOEVENTO="Manual",$M118=$A$15),$M118&gt;(ROW(PLE.lastrow)-ROW(PLE.firstrow))),0,
           IF(OFFSET(PLE!$G$15,$M118-$A$15,CC$13)="",10^12,OFFSET(PLE!$G$15,$M118-$A$15,CC$13)))</f>
        <v>1000000000000</v>
      </c>
      <c r="CD118" s="172">
        <f t="array" aca="1" ref="CD118" ca="1">IF(OR($D118&lt;&gt;"Serviço",AND(AUTOEVENTO="Manual",$M118=$A$15),$M118&gt;(ROW(PLE.lastrow)-ROW(PLE.firstrow))),0,
           IF(OFFSET(PLE!$G$15,$M118-$A$15,CD$13)="",10^12,OFFSET(PLE!$G$15,$M118-$A$15,CD$13)))</f>
        <v>1000000000000</v>
      </c>
      <c r="CE118" s="172">
        <f t="array" aca="1" ref="CE118" ca="1">IF(OR($D118&lt;&gt;"Serviço",AND(AUTOEVENTO="Manual",$M118=$A$15),$M118&gt;(ROW(PLE.lastrow)-ROW(PLE.firstrow))),0,
           IF(OFFSET(PLE!$G$15,$M118-$A$15,CE$13)="",10^12,OFFSET(PLE!$G$15,$M118-$A$15,CE$13)))</f>
        <v>1000000000000</v>
      </c>
      <c r="CF118" s="172">
        <f t="array" aca="1" ref="CF118" ca="1">IF(OR($D118&lt;&gt;"Serviço",AND(AUTOEVENTO="Manual",$M118=$A$15),$M118&gt;(ROW(PLE.lastrow)-ROW(PLE.firstrow))),0,
           IF(OFFSET(PLE!$G$15,$M118-$A$15,CF$13)="",10^12,OFFSET(PLE!$G$15,$M118-$A$15,CF$13)))</f>
        <v>1000000000000</v>
      </c>
      <c r="CG118" s="172">
        <f t="array" aca="1" ref="CG118" ca="1">IF(OR($D118&lt;&gt;"Serviço",AND(AUTOEVENTO="Manual",$M118=$A$15),$M118&gt;(ROW(PLE.lastrow)-ROW(PLE.firstrow))),0,
           IF(OFFSET(PLE!$G$15,$M118-$A$15,CG$13)="",10^12,OFFSET(PLE!$G$15,$M118-$A$15,CG$13)))</f>
        <v>1000000000000</v>
      </c>
      <c r="CH118" s="172">
        <f t="array" aca="1" ref="CH118" ca="1">IF(OR($D118&lt;&gt;"Serviço",AND(AUTOEVENTO="Manual",$M118=$A$15),$M118&gt;(ROW(PLE.lastrow)-ROW(PLE.firstrow))),0,
           IF(OFFSET(PLE!$G$15,$M118-$A$15,CH$13)="",10^12,OFFSET(PLE!$G$15,$M118-$A$15,CH$13)))</f>
        <v>1000000000000</v>
      </c>
      <c r="CI118" s="172">
        <f t="array" aca="1" ref="CI118" ca="1">IF(OR($D118&lt;&gt;"Serviço",AND(AUTOEVENTO="Manual",$M118=$A$15),$M118&gt;(ROW(PLE.lastrow)-ROW(PLE.firstrow))),0,
           IF(OFFSET(PLE!$G$15,$M118-$A$15,CI$13)="",10^12,OFFSET(PLE!$G$15,$M118-$A$15,CI$13)))</f>
        <v>1000000000000</v>
      </c>
      <c r="CJ118" s="172">
        <f t="array" aca="1" ref="CJ118" ca="1">IF(OR($D118&lt;&gt;"Serviço",AND(AUTOEVENTO="Manual",$M118=$A$15),$M118&gt;(ROW(PLE.lastrow)-ROW(PLE.firstrow))),0,
           IF(OFFSET(PLE!$G$15,$M118-$A$15,CJ$13)="",10^12,OFFSET(PLE!$G$15,$M118-$A$15,CJ$13)))</f>
        <v>1000000000000</v>
      </c>
      <c r="CK118" s="172">
        <f t="array" aca="1" ref="CK118" ca="1">IF(OR($D118&lt;&gt;"Serviço",AND(AUTOEVENTO="Manual",$M118=$A$15),$M118&gt;(ROW(PLE.lastrow)-ROW(PLE.firstrow))),0,
           IF(OFFSET(PLE!$G$15,$M118-$A$15,CK$13)="",10^12,OFFSET(PLE!$G$15,$M118-$A$15,CK$13)))</f>
        <v>1000000000000</v>
      </c>
      <c r="CL118" s="172">
        <f t="array" aca="1" ref="CL118" ca="1">IF(OR($D118&lt;&gt;"Serviço",AND(AUTOEVENTO="Manual",$M118=$A$15),$M118&gt;(ROW(PLE.lastrow)-ROW(PLE.firstrow))),0,
           IF(OFFSET(PLE!$G$15,$M118-$A$15,CL$13)="",10^12,OFFSET(PLE!$G$15,$M118-$A$15,CL$13)))</f>
        <v>1000000000000</v>
      </c>
      <c r="CM118" s="172">
        <f t="array" aca="1" ref="CM118" ca="1">IF(OR($D118&lt;&gt;"Serviço",AND(AUTOEVENTO="Manual",$M118=$A$15),$M118&gt;(ROW(PLE.lastrow)-ROW(PLE.firstrow))),0,
           IF(OFFSET(PLE!$G$15,$M118-$A$15,CM$13)="",10^12,OFFSET(PLE!$G$15,$M118-$A$15,CM$13)))</f>
        <v>1000000000000</v>
      </c>
    </row>
    <row r="119" spans="1:91" s="696" customFormat="1" ht="76.5" x14ac:dyDescent="0.2">
      <c r="A119" s="694">
        <f t="shared" ca="1" si="45"/>
        <v>18</v>
      </c>
      <c r="B119" s="694" t="str">
        <f ca="1">OFFSET(ORÇAMENTO!C$15,$L119,0)</f>
        <v>S</v>
      </c>
      <c r="C119" s="694" t="str">
        <f ca="1">OFFSET(ORÇAMENTO!L$15,$L119,0)</f>
        <v>F</v>
      </c>
      <c r="D119" s="116" t="str">
        <f ca="1">OFFSET(ORÇAMENTO!N$15,$L119,0)</f>
        <v>Serviço</v>
      </c>
      <c r="E119" s="117" t="str">
        <f ca="1">OFFSET(ORÇAMENTO!O$15,$L119,0)</f>
        <v>1.20.7.</v>
      </c>
      <c r="F119" s="163" t="str">
        <f ca="1">OFFSET(ORÇAMENTO!R$15,$L119,0)</f>
        <v>REVESTIMENTO CERÂMICO PARA PISO COM PLACAS TIPO ESMALTADA DE DIMENSÕES 35X35 CM APLICADA EM AMBIENTES DE ÁREA ENTRE 5 M2 E 10 M2. AF_02/2023_PE</v>
      </c>
      <c r="G119" s="164" t="str">
        <f ca="1">IF($D119&lt;&gt;"Serviço","",OFFSET(ORÇAMENTO!S$15,$L119,0))</f>
        <v>M2</v>
      </c>
      <c r="H119" s="122">
        <f t="array" aca="1" ref="H119" ca="1">IF($D119&lt;&gt;"Serviço",0,IF(ACOMPANHAMENTO="BM",ROUND(OFFSET(ORÇAMENTO!AJ$15,$L119,0),15-13*ORÇAMENTO!$AF$7),IF(IFERROR(CÁLCULO.FrentesPreenchidas,0)=0,0,SUM(ROUND(OFFSET($P119,0,1,1,CÁLCULO.FrentesPreenchidas),15-13*ORÇAMENTO!$AF$7)))))</f>
        <v>336</v>
      </c>
      <c r="I119" s="467" t="s">
        <v>1277</v>
      </c>
      <c r="J119" s="653" t="str">
        <f t="array" aca="1" ref="J119" ca="1">IF(OR(B119&lt;&gt;"S",CÁLCULO.FrentesPreenchidas=0),"",IF(AND(ACOMPANHAMENTO="PLE",AUTOEVENTO="Manual",OR(H119&gt;0,ORÇAMENTO!AC119="QUANT."),OR(K119="",M119=0,N119="")),"►E",IF(AND(ACOMPANHAMENTO="PLE",ORÇAMENTO!AC119="QUANT."),"►Q",IF(AND(ACOMPANHAMENTO="PLE",H119&lt;&gt;SUMPRODUCT(($Q$1:$AI$1=1)*ROUND(Q119:AI119,15))),"►S",IF(AND(COUNTIF($P$11:$AI$11,"▼")=0,H119&gt;0,I119=""),"◄M","")))))</f>
        <v/>
      </c>
      <c r="K119" s="654" t="s">
        <v>1406</v>
      </c>
      <c r="L119" s="165">
        <f t="shared" ca="1" si="46"/>
        <v>104</v>
      </c>
      <c r="M119" s="166">
        <f ca="1">IF($D119&lt;&gt;"Serviço","",
          IF(AUTOEVENTO="manual",$A119,
                IF(ISERROR(MATCH($A119,$A$15:OFFSET($A119,-1,0),0)),MAX($M$15:OFFSET(M119,-1,0))+1,
                      INDEX($M$15:OFFSET(M119,-1,0),MATCH($A119,$A$15:OFFSET($A119,-1,0),0)))))</f>
        <v>18</v>
      </c>
      <c r="N119" s="167" t="str">
        <f ca="1">IF($D119&lt;&gt;"Serviço","",
         IF(AUTOEVENTO="Manual",
                IF($A119=0,"&lt;-- defina o número do agrupador",
                       OFFSET(EVENTOS!$D$15,$A119-$A$15,0)),
                OFFSET($F$15,$A119,0)))</f>
        <v>REVESTIMENTOS INTERNOS DE PISO</v>
      </c>
      <c r="O119" s="168"/>
      <c r="Q119" s="169">
        <f>16.8*5</f>
        <v>84</v>
      </c>
      <c r="R119" s="169">
        <f t="shared" ref="R119:T119" si="74">16.8*5</f>
        <v>84</v>
      </c>
      <c r="S119" s="169">
        <f t="shared" si="74"/>
        <v>84</v>
      </c>
      <c r="T119" s="169">
        <f t="shared" si="74"/>
        <v>84</v>
      </c>
      <c r="U119" s="169"/>
      <c r="V119" s="169"/>
      <c r="W119" s="169"/>
      <c r="X119" s="169"/>
      <c r="Y119" s="169"/>
      <c r="Z119" s="170"/>
      <c r="AA119" s="169"/>
      <c r="AB119" s="169"/>
      <c r="AC119" s="169"/>
      <c r="AD119" s="169"/>
      <c r="AE119" s="169"/>
      <c r="AF119" s="169"/>
      <c r="AG119" s="169"/>
      <c r="AH119" s="170"/>
      <c r="AJ119" s="452">
        <f ca="1">IF(AND($D119="Serviço",AJ$12&lt;&gt;0,$H119&gt;0,OR(AUTOEVENTO&lt;&gt;"manual",$M119&lt;&gt;$A$15)),
        IF(Import.TipoArredondamento&lt;&gt;"TransfereGOV",
              ROUND(OFFSET($P119,0,AJ$13),15-13*ORÇAMENTO!$AF$7)/$H119*OFFSET(ORÇAMENTO!$X$15,ROW(AJ119)-ROW(AJ$15),0),
              ROUND(ROUND(OFFSET($P119,0,AJ$13),15-13*ORÇAMENTO!$AF$7)*OFFSET(ORÇAMENTO!$W$15,ROW(AJ119)-ROW(AJ$15),0),15-13*ORÇAMENTO!$AF$11)),
         0)</f>
        <v>5908.56</v>
      </c>
      <c r="AK119" s="452">
        <f ca="1">IF(AND($D119="Serviço",AK$12&lt;&gt;0,$H119&gt;0,OR(AUTOEVENTO&lt;&gt;"manual",$M119&lt;&gt;$A$15)),
        IF(Import.TipoArredondamento&lt;&gt;"TransfereGOV",
              ROUND(OFFSET($P119,0,AK$13),15-13*ORÇAMENTO!$AF$7)/$H119*OFFSET(ORÇAMENTO!$X$15,ROW(AK119)-ROW(AK$15),0),
              ROUND(ROUND(OFFSET($P119,0,AK$13),15-13*ORÇAMENTO!$AF$7)*OFFSET(ORÇAMENTO!$W$15,ROW(AK119)-ROW(AK$15),0),15-13*ORÇAMENTO!$AF$11)),
         0)</f>
        <v>5908.56</v>
      </c>
      <c r="AL119" s="452">
        <f ca="1">IF(AND($D119="Serviço",AL$12&lt;&gt;0,$H119&gt;0,OR(AUTOEVENTO&lt;&gt;"manual",$M119&lt;&gt;$A$15)),
        IF(Import.TipoArredondamento&lt;&gt;"TransfereGOV",
              ROUND(OFFSET($P119,0,AL$13),15-13*ORÇAMENTO!$AF$7)/$H119*OFFSET(ORÇAMENTO!$X$15,ROW(AL119)-ROW(AL$15),0),
              ROUND(ROUND(OFFSET($P119,0,AL$13),15-13*ORÇAMENTO!$AF$7)*OFFSET(ORÇAMENTO!$W$15,ROW(AL119)-ROW(AL$15),0),15-13*ORÇAMENTO!$AF$11)),
         0)</f>
        <v>5908.56</v>
      </c>
      <c r="AM119" s="452">
        <f ca="1">IF(AND($D119="Serviço",AM$12&lt;&gt;0,$H119&gt;0,OR(AUTOEVENTO&lt;&gt;"manual",$M119&lt;&gt;$A$15)),
        IF(Import.TipoArredondamento&lt;&gt;"TransfereGOV",
              ROUND(OFFSET($P119,0,AM$13),15-13*ORÇAMENTO!$AF$7)/$H119*OFFSET(ORÇAMENTO!$X$15,ROW(AM119)-ROW(AM$15),0),
              ROUND(ROUND(OFFSET($P119,0,AM$13),15-13*ORÇAMENTO!$AF$7)*OFFSET(ORÇAMENTO!$W$15,ROW(AM119)-ROW(AM$15),0),15-13*ORÇAMENTO!$AF$11)),
         0)</f>
        <v>5908.56</v>
      </c>
      <c r="AN119" s="452">
        <f ca="1">IF(AND($D119="Serviço",AN$12&lt;&gt;0,$H119&gt;0,OR(AUTOEVENTO&lt;&gt;"manual",$M119&lt;&gt;$A$15)),
        IF(Import.TipoArredondamento&lt;&gt;"TransfereGOV",
              ROUND(OFFSET($P119,0,AN$13),15-13*ORÇAMENTO!$AF$7)/$H119*OFFSET(ORÇAMENTO!$X$15,ROW(AN119)-ROW(AN$15),0),
              ROUND(ROUND(OFFSET($P119,0,AN$13),15-13*ORÇAMENTO!$AF$7)*OFFSET(ORÇAMENTO!$W$15,ROW(AN119)-ROW(AN$15),0),15-13*ORÇAMENTO!$AF$11)),
         0)</f>
        <v>0</v>
      </c>
      <c r="AO119" s="452">
        <f ca="1">IF(AND($D119="Serviço",AO$12&lt;&gt;0,$H119&gt;0,OR(AUTOEVENTO&lt;&gt;"manual",$M119&lt;&gt;$A$15)),
        IF(Import.TipoArredondamento&lt;&gt;"TransfereGOV",
              ROUND(OFFSET($P119,0,AO$13),15-13*ORÇAMENTO!$AF$7)/$H119*OFFSET(ORÇAMENTO!$X$15,ROW(AO119)-ROW(AO$15),0),
              ROUND(ROUND(OFFSET($P119,0,AO$13),15-13*ORÇAMENTO!$AF$7)*OFFSET(ORÇAMENTO!$W$15,ROW(AO119)-ROW(AO$15),0),15-13*ORÇAMENTO!$AF$11)),
         0)</f>
        <v>0</v>
      </c>
      <c r="AP119" s="452">
        <f ca="1">IF(AND($D119="Serviço",AP$12&lt;&gt;0,$H119&gt;0,OR(AUTOEVENTO&lt;&gt;"manual",$M119&lt;&gt;$A$15)),
        IF(Import.TipoArredondamento&lt;&gt;"TransfereGOV",
              ROUND(OFFSET($P119,0,AP$13),15-13*ORÇAMENTO!$AF$7)/$H119*OFFSET(ORÇAMENTO!$X$15,ROW(AP119)-ROW(AP$15),0),
              ROUND(ROUND(OFFSET($P119,0,AP$13),15-13*ORÇAMENTO!$AF$7)*OFFSET(ORÇAMENTO!$W$15,ROW(AP119)-ROW(AP$15),0),15-13*ORÇAMENTO!$AF$11)),
         0)</f>
        <v>0</v>
      </c>
      <c r="AQ119" s="452">
        <f ca="1">IF(AND($D119="Serviço",AQ$12&lt;&gt;0,$H119&gt;0,OR(AUTOEVENTO&lt;&gt;"manual",$M119&lt;&gt;$A$15)),
        IF(Import.TipoArredondamento&lt;&gt;"TransfereGOV",
              ROUND(OFFSET($P119,0,AQ$13),15-13*ORÇAMENTO!$AF$7)/$H119*OFFSET(ORÇAMENTO!$X$15,ROW(AQ119)-ROW(AQ$15),0),
              ROUND(ROUND(OFFSET($P119,0,AQ$13),15-13*ORÇAMENTO!$AF$7)*OFFSET(ORÇAMENTO!$W$15,ROW(AQ119)-ROW(AQ$15),0),15-13*ORÇAMENTO!$AF$11)),
         0)</f>
        <v>0</v>
      </c>
      <c r="AR119" s="452">
        <f ca="1">IF(AND($D119="Serviço",AR$12&lt;&gt;0,$H119&gt;0,OR(AUTOEVENTO&lt;&gt;"manual",$M119&lt;&gt;$A$15)),
        IF(Import.TipoArredondamento&lt;&gt;"TransfereGOV",
              ROUND(OFFSET($P119,0,AR$13),15-13*ORÇAMENTO!$AF$7)/$H119*OFFSET(ORÇAMENTO!$X$15,ROW(AR119)-ROW(AR$15),0),
              ROUND(ROUND(OFFSET($P119,0,AR$13),15-13*ORÇAMENTO!$AF$7)*OFFSET(ORÇAMENTO!$W$15,ROW(AR119)-ROW(AR$15),0),15-13*ORÇAMENTO!$AF$11)),
         0)</f>
        <v>0</v>
      </c>
      <c r="AS119" s="452">
        <f ca="1">IF(AND($D119="Serviço",AS$12&lt;&gt;0,$H119&gt;0,OR(AUTOEVENTO&lt;&gt;"manual",$M119&lt;&gt;$A$15)),
        IF(Import.TipoArredondamento&lt;&gt;"TransfereGOV",
              ROUND(OFFSET($P119,0,AS$13),15-13*ORÇAMENTO!$AF$7)/$H119*OFFSET(ORÇAMENTO!$X$15,ROW(AS119)-ROW(AS$15),0),
              ROUND(ROUND(OFFSET($P119,0,AS$13),15-13*ORÇAMENTO!$AF$7)*OFFSET(ORÇAMENTO!$W$15,ROW(AS119)-ROW(AS$15),0),15-13*ORÇAMENTO!$AF$11)),
         0)</f>
        <v>0</v>
      </c>
      <c r="AT119" s="452">
        <f ca="1">IF(AND($D119="Serviço",AT$12&lt;&gt;0,$H119&gt;0,OR(AUTOEVENTO&lt;&gt;"manual",$M119&lt;&gt;$A$15)),
        IF(Import.TipoArredondamento&lt;&gt;"TransfereGOV",
              ROUND(OFFSET($P119,0,AT$13),15-13*ORÇAMENTO!$AF$7)/$H119*OFFSET(ORÇAMENTO!$X$15,ROW(AT119)-ROW(AT$15),0),
              ROUND(ROUND(OFFSET($P119,0,AT$13),15-13*ORÇAMENTO!$AF$7)*OFFSET(ORÇAMENTO!$W$15,ROW(AT119)-ROW(AT$15),0),15-13*ORÇAMENTO!$AF$11)),
         0)</f>
        <v>0</v>
      </c>
      <c r="AU119" s="452">
        <f ca="1">IF(AND($D119="Serviço",AU$12&lt;&gt;0,$H119&gt;0,OR(AUTOEVENTO&lt;&gt;"manual",$M119&lt;&gt;$A$15)),
        IF(Import.TipoArredondamento&lt;&gt;"TransfereGOV",
              ROUND(OFFSET($P119,0,AU$13),15-13*ORÇAMENTO!$AF$7)/$H119*OFFSET(ORÇAMENTO!$X$15,ROW(AU119)-ROW(AU$15),0),
              ROUND(ROUND(OFFSET($P119,0,AU$13),15-13*ORÇAMENTO!$AF$7)*OFFSET(ORÇAMENTO!$W$15,ROW(AU119)-ROW(AU$15),0),15-13*ORÇAMENTO!$AF$11)),
         0)</f>
        <v>0</v>
      </c>
      <c r="AV119" s="452">
        <f ca="1">IF(AND($D119="Serviço",AV$12&lt;&gt;0,$H119&gt;0,OR(AUTOEVENTO&lt;&gt;"manual",$M119&lt;&gt;$A$15)),
        IF(Import.TipoArredondamento&lt;&gt;"TransfereGOV",
              ROUND(OFFSET($P119,0,AV$13),15-13*ORÇAMENTO!$AF$7)/$H119*OFFSET(ORÇAMENTO!$X$15,ROW(AV119)-ROW(AV$15),0),
              ROUND(ROUND(OFFSET($P119,0,AV$13),15-13*ORÇAMENTO!$AF$7)*OFFSET(ORÇAMENTO!$W$15,ROW(AV119)-ROW(AV$15),0),15-13*ORÇAMENTO!$AF$11)),
         0)</f>
        <v>0</v>
      </c>
      <c r="AW119" s="452">
        <f ca="1">IF(AND($D119="Serviço",AW$12&lt;&gt;0,$H119&gt;0,OR(AUTOEVENTO&lt;&gt;"manual",$M119&lt;&gt;$A$15)),
        IF(Import.TipoArredondamento&lt;&gt;"TransfereGOV",
              ROUND(OFFSET($P119,0,AW$13),15-13*ORÇAMENTO!$AF$7)/$H119*OFFSET(ORÇAMENTO!$X$15,ROW(AW119)-ROW(AW$15),0),
              ROUND(ROUND(OFFSET($P119,0,AW$13),15-13*ORÇAMENTO!$AF$7)*OFFSET(ORÇAMENTO!$W$15,ROW(AW119)-ROW(AW$15),0),15-13*ORÇAMENTO!$AF$11)),
         0)</f>
        <v>0</v>
      </c>
      <c r="AX119" s="452">
        <f ca="1">IF(AND($D119="Serviço",AX$12&lt;&gt;0,$H119&gt;0,OR(AUTOEVENTO&lt;&gt;"manual",$M119&lt;&gt;$A$15)),
        IF(Import.TipoArredondamento&lt;&gt;"TransfereGOV",
              ROUND(OFFSET($P119,0,AX$13),15-13*ORÇAMENTO!$AF$7)/$H119*OFFSET(ORÇAMENTO!$X$15,ROW(AX119)-ROW(AX$15),0),
              ROUND(ROUND(OFFSET($P119,0,AX$13),15-13*ORÇAMENTO!$AF$7)*OFFSET(ORÇAMENTO!$W$15,ROW(AX119)-ROW(AX$15),0),15-13*ORÇAMENTO!$AF$11)),
         0)</f>
        <v>0</v>
      </c>
      <c r="AY119" s="452">
        <f ca="1">IF(AND($D119="Serviço",AY$12&lt;&gt;0,$H119&gt;0,OR(AUTOEVENTO&lt;&gt;"manual",$M119&lt;&gt;$A$15)),
        IF(Import.TipoArredondamento&lt;&gt;"TransfereGOV",
              ROUND(OFFSET($P119,0,AY$13),15-13*ORÇAMENTO!$AF$7)/$H119*OFFSET(ORÇAMENTO!$X$15,ROW(AY119)-ROW(AY$15),0),
              ROUND(ROUND(OFFSET($P119,0,AY$13),15-13*ORÇAMENTO!$AF$7)*OFFSET(ORÇAMENTO!$W$15,ROW(AY119)-ROW(AY$15),0),15-13*ORÇAMENTO!$AF$11)),
         0)</f>
        <v>0</v>
      </c>
      <c r="AZ119" s="452">
        <f ca="1">IF(AND($D119="Serviço",AZ$12&lt;&gt;0,$H119&gt;0,OR(AUTOEVENTO&lt;&gt;"manual",$M119&lt;&gt;$A$15)),
        IF(Import.TipoArredondamento&lt;&gt;"TransfereGOV",
              ROUND(OFFSET($P119,0,AZ$13),15-13*ORÇAMENTO!$AF$7)/$H119*OFFSET(ORÇAMENTO!$X$15,ROW(AZ119)-ROW(AZ$15),0),
              ROUND(ROUND(OFFSET($P119,0,AZ$13),15-13*ORÇAMENTO!$AF$7)*OFFSET(ORÇAMENTO!$W$15,ROW(AZ119)-ROW(AZ$15),0),15-13*ORÇAMENTO!$AF$11)),
         0)</f>
        <v>0</v>
      </c>
      <c r="BA119" s="452">
        <f ca="1">IF(AND($D119="Serviço",BA$12&lt;&gt;0,$H119&gt;0,OR(AUTOEVENTO&lt;&gt;"manual",$M119&lt;&gt;$A$15)),
        IF(Import.TipoArredondamento&lt;&gt;"TransfereGOV",
              ROUND(OFFSET($P119,0,BA$13),15-13*ORÇAMENTO!$AF$7)/$H119*OFFSET(ORÇAMENTO!$X$15,ROW(BA119)-ROW(BA$15),0),
              ROUND(ROUND(OFFSET($P119,0,BA$13),15-13*ORÇAMENTO!$AF$7)*OFFSET(ORÇAMENTO!$W$15,ROW(BA119)-ROW(BA$15),0),15-13*ORÇAMENTO!$AF$11)),
         0)</f>
        <v>0</v>
      </c>
      <c r="BC119" s="171">
        <f ca="1">IF(OR($D119&lt;&gt;"Serviço",AND(AUTOEVENTO="Manual",$M119=$A$15)),0,
         IF(OFFSET(CRONOPLE!$F$15,$M119-$A$15,BC$13)=0,10^12,OFFSET(CRONOPLE!$F$15,$M119-$A$15,BC$13)))</f>
        <v>6</v>
      </c>
      <c r="BD119" s="171">
        <f ca="1">IF(OR($D119&lt;&gt;"Serviço",AND(AUTOEVENTO="Manual",$M119=$A$15)),0,
         IF(OFFSET(CRONOPLE!$F$15,$M119-$A$15,BD$13)=0,10^12,OFFSET(CRONOPLE!$F$15,$M119-$A$15,BD$13)))</f>
        <v>6</v>
      </c>
      <c r="BE119" s="171">
        <f ca="1">IF(OR($D119&lt;&gt;"Serviço",AND(AUTOEVENTO="Manual",$M119=$A$15)),0,
         IF(OFFSET(CRONOPLE!$F$15,$M119-$A$15,BE$13)=0,10^12,OFFSET(CRONOPLE!$F$15,$M119-$A$15,BE$13)))</f>
        <v>7</v>
      </c>
      <c r="BF119" s="171">
        <f ca="1">IF(OR($D119&lt;&gt;"Serviço",AND(AUTOEVENTO="Manual",$M119=$A$15)),0,
         IF(OFFSET(CRONOPLE!$F$15,$M119-$A$15,BF$13)=0,10^12,OFFSET(CRONOPLE!$F$15,$M119-$A$15,BF$13)))</f>
        <v>8</v>
      </c>
      <c r="BG119" s="171">
        <f ca="1">IF(OR($D119&lt;&gt;"Serviço",AND(AUTOEVENTO="Manual",$M119=$A$15)),0,
         IF(OFFSET(CRONOPLE!$F$15,$M119-$A$15,BG$13)=0,10^12,OFFSET(CRONOPLE!$F$15,$M119-$A$15,BG$13)))</f>
        <v>8</v>
      </c>
      <c r="BH119" s="171">
        <f ca="1">IF(OR($D119&lt;&gt;"Serviço",AND(AUTOEVENTO="Manual",$M119=$A$15)),0,
         IF(OFFSET(CRONOPLE!$F$15,$M119-$A$15,BH$13)=0,10^12,OFFSET(CRONOPLE!$F$15,$M119-$A$15,BH$13)))</f>
        <v>1000000000000</v>
      </c>
      <c r="BI119" s="171">
        <f ca="1">IF(OR($D119&lt;&gt;"Serviço",AND(AUTOEVENTO="Manual",$M119=$A$15)),0,
         IF(OFFSET(CRONOPLE!$F$15,$M119-$A$15,BI$13)=0,10^12,OFFSET(CRONOPLE!$F$15,$M119-$A$15,BI$13)))</f>
        <v>1000000000000</v>
      </c>
      <c r="BJ119" s="171">
        <f ca="1">IF(OR($D119&lt;&gt;"Serviço",AND(AUTOEVENTO="Manual",$M119=$A$15)),0,
         IF(OFFSET(CRONOPLE!$F$15,$M119-$A$15,BJ$13)=0,10^12,OFFSET(CRONOPLE!$F$15,$M119-$A$15,BJ$13)))</f>
        <v>8</v>
      </c>
      <c r="BK119" s="171">
        <f ca="1">IF(OR($D119&lt;&gt;"Serviço",AND(AUTOEVENTO="Manual",$M119=$A$15)),0,
         IF(OFFSET(CRONOPLE!$F$15,$M119-$A$15,BK$13)=0,10^12,OFFSET(CRONOPLE!$F$15,$M119-$A$15,BK$13)))</f>
        <v>9</v>
      </c>
      <c r="BL119" s="171">
        <f ca="1">IF(OR($D119&lt;&gt;"Serviço",AND(AUTOEVENTO="Manual",$M119=$A$15)),0,
         IF(OFFSET(CRONOPLE!$F$15,$M119-$A$15,BL$13)=0,10^12,OFFSET(CRONOPLE!$F$15,$M119-$A$15,BL$13)))</f>
        <v>1000000000000</v>
      </c>
      <c r="BM119" s="171">
        <f ca="1">IF(OR($D119&lt;&gt;"Serviço",AND(AUTOEVENTO="Manual",$M119=$A$15)),0,
         IF(OFFSET(CRONOPLE!$F$15,$M119-$A$15,BM$13)=0,10^12,OFFSET(CRONOPLE!$F$15,$M119-$A$15,BM$13)))</f>
        <v>1000000000000</v>
      </c>
      <c r="BN119" s="171">
        <f ca="1">IF(OR($D119&lt;&gt;"Serviço",AND(AUTOEVENTO="Manual",$M119=$A$15)),0,
         IF(OFFSET(CRONOPLE!$F$15,$M119-$A$15,BN$13)=0,10^12,OFFSET(CRONOPLE!$F$15,$M119-$A$15,BN$13)))</f>
        <v>1000000000000</v>
      </c>
      <c r="BO119" s="171">
        <f ca="1">IF(OR($D119&lt;&gt;"Serviço",AND(AUTOEVENTO="Manual",$M119=$A$15)),0,
         IF(OFFSET(CRONOPLE!$F$15,$M119-$A$15,BO$13)=0,10^12,OFFSET(CRONOPLE!$F$15,$M119-$A$15,BO$13)))</f>
        <v>1000000000000</v>
      </c>
      <c r="BP119" s="171">
        <f ca="1">IF(OR($D119&lt;&gt;"Serviço",AND(AUTOEVENTO="Manual",$M119=$A$15)),0,
         IF(OFFSET(CRONOPLE!$F$15,$M119-$A$15,BP$13)=0,10^12,OFFSET(CRONOPLE!$F$15,$M119-$A$15,BP$13)))</f>
        <v>1000000000000</v>
      </c>
      <c r="BQ119" s="171">
        <f ca="1">IF(OR($D119&lt;&gt;"Serviço",AND(AUTOEVENTO="Manual",$M119=$A$15)),0,
         IF(OFFSET(CRONOPLE!$F$15,$M119-$A$15,BQ$13)=0,10^12,OFFSET(CRONOPLE!$F$15,$M119-$A$15,BQ$13)))</f>
        <v>1000000000000</v>
      </c>
      <c r="BR119" s="171">
        <f ca="1">IF(OR($D119&lt;&gt;"Serviço",AND(AUTOEVENTO="Manual",$M119=$A$15)),0,
         IF(OFFSET(CRONOPLE!$F$15,$M119-$A$15,BR$13)=0,10^12,OFFSET(CRONOPLE!$F$15,$M119-$A$15,BR$13)))</f>
        <v>1000000000000</v>
      </c>
      <c r="BS119" s="171">
        <f ca="1">IF(OR($D119&lt;&gt;"Serviço",AND(AUTOEVENTO="Manual",$M119=$A$15)),0,
         IF(OFFSET(CRONOPLE!$F$15,$M119-$A$15,BS$13)=0,10^12,OFFSET(CRONOPLE!$F$15,$M119-$A$15,BS$13)))</f>
        <v>1000000000000</v>
      </c>
      <c r="BT119" s="171">
        <f ca="1">IF(OR($D119&lt;&gt;"Serviço",AND(AUTOEVENTO="Manual",$M119=$A$15)),0,
         IF(OFFSET(CRONOPLE!$F$15,$M119-$A$15,BT$13)=0,10^12,OFFSET(CRONOPLE!$F$15,$M119-$A$15,BT$13)))</f>
        <v>1000000000000</v>
      </c>
      <c r="BV119" s="172">
        <f t="array" aca="1" ref="BV119" ca="1">IF(OR($D119&lt;&gt;"Serviço",AND(AUTOEVENTO="Manual",$M119=$A$15),$M119&gt;(ROW(PLE.lastrow)-ROW(PLE.firstrow))),0,
           IF(OFFSET(PLE!$G$15,$M119-$A$15,BV$13)="",10^12,OFFSET(PLE!$G$15,$M119-$A$15,BV$13)))</f>
        <v>1000000000000</v>
      </c>
      <c r="BW119" s="172">
        <f t="array" aca="1" ref="BW119" ca="1">IF(OR($D119&lt;&gt;"Serviço",AND(AUTOEVENTO="Manual",$M119=$A$15),$M119&gt;(ROW(PLE.lastrow)-ROW(PLE.firstrow))),0,
           IF(OFFSET(PLE!$G$15,$M119-$A$15,BW$13)="",10^12,OFFSET(PLE!$G$15,$M119-$A$15,BW$13)))</f>
        <v>1000000000000</v>
      </c>
      <c r="BX119" s="172">
        <f t="array" aca="1" ref="BX119" ca="1">IF(OR($D119&lt;&gt;"Serviço",AND(AUTOEVENTO="Manual",$M119=$A$15),$M119&gt;(ROW(PLE.lastrow)-ROW(PLE.firstrow))),0,
           IF(OFFSET(PLE!$G$15,$M119-$A$15,BX$13)="",10^12,OFFSET(PLE!$G$15,$M119-$A$15,BX$13)))</f>
        <v>1000000000000</v>
      </c>
      <c r="BY119" s="172">
        <f t="array" aca="1" ref="BY119" ca="1">IF(OR($D119&lt;&gt;"Serviço",AND(AUTOEVENTO="Manual",$M119=$A$15),$M119&gt;(ROW(PLE.lastrow)-ROW(PLE.firstrow))),0,
           IF(OFFSET(PLE!$G$15,$M119-$A$15,BY$13)="",10^12,OFFSET(PLE!$G$15,$M119-$A$15,BY$13)))</f>
        <v>1000000000000</v>
      </c>
      <c r="BZ119" s="172">
        <f t="array" aca="1" ref="BZ119" ca="1">IF(OR($D119&lt;&gt;"Serviço",AND(AUTOEVENTO="Manual",$M119=$A$15),$M119&gt;(ROW(PLE.lastrow)-ROW(PLE.firstrow))),0,
           IF(OFFSET(PLE!$G$15,$M119-$A$15,BZ$13)="",10^12,OFFSET(PLE!$G$15,$M119-$A$15,BZ$13)))</f>
        <v>1000000000000</v>
      </c>
      <c r="CA119" s="172">
        <f t="array" aca="1" ref="CA119" ca="1">IF(OR($D119&lt;&gt;"Serviço",AND(AUTOEVENTO="Manual",$M119=$A$15),$M119&gt;(ROW(PLE.lastrow)-ROW(PLE.firstrow))),0,
           IF(OFFSET(PLE!$G$15,$M119-$A$15,CA$13)="",10^12,OFFSET(PLE!$G$15,$M119-$A$15,CA$13)))</f>
        <v>1000000000000</v>
      </c>
      <c r="CB119" s="172">
        <f t="array" aca="1" ref="CB119" ca="1">IF(OR($D119&lt;&gt;"Serviço",AND(AUTOEVENTO="Manual",$M119=$A$15),$M119&gt;(ROW(PLE.lastrow)-ROW(PLE.firstrow))),0,
           IF(OFFSET(PLE!$G$15,$M119-$A$15,CB$13)="",10^12,OFFSET(PLE!$G$15,$M119-$A$15,CB$13)))</f>
        <v>1000000000000</v>
      </c>
      <c r="CC119" s="172">
        <f t="array" aca="1" ref="CC119" ca="1">IF(OR($D119&lt;&gt;"Serviço",AND(AUTOEVENTO="Manual",$M119=$A$15),$M119&gt;(ROW(PLE.lastrow)-ROW(PLE.firstrow))),0,
           IF(OFFSET(PLE!$G$15,$M119-$A$15,CC$13)="",10^12,OFFSET(PLE!$G$15,$M119-$A$15,CC$13)))</f>
        <v>1000000000000</v>
      </c>
      <c r="CD119" s="172">
        <f t="array" aca="1" ref="CD119" ca="1">IF(OR($D119&lt;&gt;"Serviço",AND(AUTOEVENTO="Manual",$M119=$A$15),$M119&gt;(ROW(PLE.lastrow)-ROW(PLE.firstrow))),0,
           IF(OFFSET(PLE!$G$15,$M119-$A$15,CD$13)="",10^12,OFFSET(PLE!$G$15,$M119-$A$15,CD$13)))</f>
        <v>1000000000000</v>
      </c>
      <c r="CE119" s="172">
        <f t="array" aca="1" ref="CE119" ca="1">IF(OR($D119&lt;&gt;"Serviço",AND(AUTOEVENTO="Manual",$M119=$A$15),$M119&gt;(ROW(PLE.lastrow)-ROW(PLE.firstrow))),0,
           IF(OFFSET(PLE!$G$15,$M119-$A$15,CE$13)="",10^12,OFFSET(PLE!$G$15,$M119-$A$15,CE$13)))</f>
        <v>1000000000000</v>
      </c>
      <c r="CF119" s="172">
        <f t="array" aca="1" ref="CF119" ca="1">IF(OR($D119&lt;&gt;"Serviço",AND(AUTOEVENTO="Manual",$M119=$A$15),$M119&gt;(ROW(PLE.lastrow)-ROW(PLE.firstrow))),0,
           IF(OFFSET(PLE!$G$15,$M119-$A$15,CF$13)="",10^12,OFFSET(PLE!$G$15,$M119-$A$15,CF$13)))</f>
        <v>1000000000000</v>
      </c>
      <c r="CG119" s="172">
        <f t="array" aca="1" ref="CG119" ca="1">IF(OR($D119&lt;&gt;"Serviço",AND(AUTOEVENTO="Manual",$M119=$A$15),$M119&gt;(ROW(PLE.lastrow)-ROW(PLE.firstrow))),0,
           IF(OFFSET(PLE!$G$15,$M119-$A$15,CG$13)="",10^12,OFFSET(PLE!$G$15,$M119-$A$15,CG$13)))</f>
        <v>1000000000000</v>
      </c>
      <c r="CH119" s="172">
        <f t="array" aca="1" ref="CH119" ca="1">IF(OR($D119&lt;&gt;"Serviço",AND(AUTOEVENTO="Manual",$M119=$A$15),$M119&gt;(ROW(PLE.lastrow)-ROW(PLE.firstrow))),0,
           IF(OFFSET(PLE!$G$15,$M119-$A$15,CH$13)="",10^12,OFFSET(PLE!$G$15,$M119-$A$15,CH$13)))</f>
        <v>1000000000000</v>
      </c>
      <c r="CI119" s="172">
        <f t="array" aca="1" ref="CI119" ca="1">IF(OR($D119&lt;&gt;"Serviço",AND(AUTOEVENTO="Manual",$M119=$A$15),$M119&gt;(ROW(PLE.lastrow)-ROW(PLE.firstrow))),0,
           IF(OFFSET(PLE!$G$15,$M119-$A$15,CI$13)="",10^12,OFFSET(PLE!$G$15,$M119-$A$15,CI$13)))</f>
        <v>1000000000000</v>
      </c>
      <c r="CJ119" s="172">
        <f t="array" aca="1" ref="CJ119" ca="1">IF(OR($D119&lt;&gt;"Serviço",AND(AUTOEVENTO="Manual",$M119=$A$15),$M119&gt;(ROW(PLE.lastrow)-ROW(PLE.firstrow))),0,
           IF(OFFSET(PLE!$G$15,$M119-$A$15,CJ$13)="",10^12,OFFSET(PLE!$G$15,$M119-$A$15,CJ$13)))</f>
        <v>1000000000000</v>
      </c>
      <c r="CK119" s="172">
        <f t="array" aca="1" ref="CK119" ca="1">IF(OR($D119&lt;&gt;"Serviço",AND(AUTOEVENTO="Manual",$M119=$A$15),$M119&gt;(ROW(PLE.lastrow)-ROW(PLE.firstrow))),0,
           IF(OFFSET(PLE!$G$15,$M119-$A$15,CK$13)="",10^12,OFFSET(PLE!$G$15,$M119-$A$15,CK$13)))</f>
        <v>1000000000000</v>
      </c>
      <c r="CL119" s="172">
        <f t="array" aca="1" ref="CL119" ca="1">IF(OR($D119&lt;&gt;"Serviço",AND(AUTOEVENTO="Manual",$M119=$A$15),$M119&gt;(ROW(PLE.lastrow)-ROW(PLE.firstrow))),0,
           IF(OFFSET(PLE!$G$15,$M119-$A$15,CL$13)="",10^12,OFFSET(PLE!$G$15,$M119-$A$15,CL$13)))</f>
        <v>1000000000000</v>
      </c>
      <c r="CM119" s="172">
        <f t="array" aca="1" ref="CM119" ca="1">IF(OR($D119&lt;&gt;"Serviço",AND(AUTOEVENTO="Manual",$M119=$A$15),$M119&gt;(ROW(PLE.lastrow)-ROW(PLE.firstrow))),0,
           IF(OFFSET(PLE!$G$15,$M119-$A$15,CM$13)="",10^12,OFFSET(PLE!$G$15,$M119-$A$15,CM$13)))</f>
        <v>1000000000000</v>
      </c>
    </row>
    <row r="120" spans="1:91" s="696" customFormat="1" ht="76.5" x14ac:dyDescent="0.2">
      <c r="A120" s="694">
        <f t="shared" ca="1" si="45"/>
        <v>18</v>
      </c>
      <c r="B120" s="694" t="str">
        <f ca="1">OFFSET(ORÇAMENTO!C$15,$L120,0)</f>
        <v>S</v>
      </c>
      <c r="C120" s="694" t="str">
        <f ca="1">OFFSET(ORÇAMENTO!L$15,$L120,0)</f>
        <v>F</v>
      </c>
      <c r="D120" s="116" t="str">
        <f ca="1">OFFSET(ORÇAMENTO!N$15,$L120,0)</f>
        <v>Serviço</v>
      </c>
      <c r="E120" s="117" t="str">
        <f ca="1">OFFSET(ORÇAMENTO!O$15,$L120,0)</f>
        <v>1.20.8.</v>
      </c>
      <c r="F120" s="163" t="str">
        <f ca="1">OFFSET(ORÇAMENTO!R$15,$L120,0)</f>
        <v>REVESTIMENTO CERÂMICO PARA PISO COM PLACAS TIPO ESMALTADA DE DIMENSÕES 35X35 CM APLICADA EM AMBIENTES DE ÁREA MAIOR QUE 10 M2. AF_02/2023_PE</v>
      </c>
      <c r="G120" s="164" t="str">
        <f ca="1">IF($D120&lt;&gt;"Serviço","",OFFSET(ORÇAMENTO!S$15,$L120,0))</f>
        <v>M2</v>
      </c>
      <c r="H120" s="122">
        <f t="array" aca="1" ref="H120" ca="1">IF($D120&lt;&gt;"Serviço",0,IF(ACOMPANHAMENTO="BM",ROUND(OFFSET(ORÇAMENTO!AJ$15,$L120,0),15-13*ORÇAMENTO!$AF$7),IF(IFERROR(CÁLCULO.FrentesPreenchidas,0)=0,0,SUM(ROUND(OFFSET($P120,0,1,1,CÁLCULO.FrentesPreenchidas),15-13*ORÇAMENTO!$AF$7)))))</f>
        <v>382</v>
      </c>
      <c r="I120" s="467" t="s">
        <v>1276</v>
      </c>
      <c r="J120" s="653" t="str">
        <f t="array" aca="1" ref="J120" ca="1">IF(OR(B120&lt;&gt;"S",CÁLCULO.FrentesPreenchidas=0),"",IF(AND(ACOMPANHAMENTO="PLE",AUTOEVENTO="Manual",OR(H120&gt;0,ORÇAMENTO!AC120="QUANT."),OR(K120="",M120=0,N120="")),"►E",IF(AND(ACOMPANHAMENTO="PLE",ORÇAMENTO!AC120="QUANT."),"►Q",IF(AND(ACOMPANHAMENTO="PLE",H120&lt;&gt;SUMPRODUCT(($Q$1:$AI$1=1)*ROUND(Q120:AI120,15))),"►S",IF(AND(COUNTIF($P$11:$AI$11,"▼")=0,H120&gt;0,I120=""),"◄M","")))))</f>
        <v/>
      </c>
      <c r="K120" s="654" t="s">
        <v>1406</v>
      </c>
      <c r="L120" s="165">
        <f t="shared" ca="1" si="46"/>
        <v>105</v>
      </c>
      <c r="M120" s="166">
        <f ca="1">IF($D120&lt;&gt;"Serviço","",
          IF(AUTOEVENTO="manual",$A120,
                IF(ISERROR(MATCH($A120,$A$15:OFFSET($A120,-1,0),0)),MAX($M$15:OFFSET(M120,-1,0))+1,
                      INDEX($M$15:OFFSET(M120,-1,0),MATCH($A120,$A$15:OFFSET($A120,-1,0),0)))))</f>
        <v>18</v>
      </c>
      <c r="N120" s="167" t="str">
        <f ca="1">IF($D120&lt;&gt;"Serviço","",
         IF(AUTOEVENTO="Manual",
                IF($A120=0,"&lt;-- defina o número do agrupador",
                       OFFSET(EVENTOS!$D$15,$A120-$A$15,0)),
                OFFSET($F$15,$A120,0)))</f>
        <v>REVESTIMENTOS INTERNOS DE PISO</v>
      </c>
      <c r="O120" s="168"/>
      <c r="Q120" s="169">
        <f>19.1*5</f>
        <v>95.5</v>
      </c>
      <c r="R120" s="169">
        <f t="shared" ref="R120:T120" si="75">19.1*5</f>
        <v>95.5</v>
      </c>
      <c r="S120" s="169">
        <f t="shared" si="75"/>
        <v>95.5</v>
      </c>
      <c r="T120" s="169">
        <f t="shared" si="75"/>
        <v>95.5</v>
      </c>
      <c r="U120" s="169"/>
      <c r="V120" s="169"/>
      <c r="W120" s="169"/>
      <c r="X120" s="169"/>
      <c r="Y120" s="169"/>
      <c r="Z120" s="170"/>
      <c r="AA120" s="169"/>
      <c r="AB120" s="169"/>
      <c r="AC120" s="169"/>
      <c r="AD120" s="169"/>
      <c r="AE120" s="169"/>
      <c r="AF120" s="169"/>
      <c r="AG120" s="169"/>
      <c r="AH120" s="170"/>
      <c r="AJ120" s="452">
        <f ca="1">IF(AND($D120="Serviço",AJ$12&lt;&gt;0,$H120&gt;0,OR(AUTOEVENTO&lt;&gt;"manual",$M120&lt;&gt;$A$15)),
        IF(Import.TipoArredondamento&lt;&gt;"TransfereGOV",
              ROUND(OFFSET($P120,0,AJ$13),15-13*ORÇAMENTO!$AF$7)/$H120*OFFSET(ORÇAMENTO!$X$15,ROW(AJ120)-ROW(AJ$15),0),
              ROUND(ROUND(OFFSET($P120,0,AJ$13),15-13*ORÇAMENTO!$AF$7)*OFFSET(ORÇAMENTO!$W$15,ROW(AJ120)-ROW(AJ$15),0),15-13*ORÇAMENTO!$AF$11)),
         0)</f>
        <v>5790.17</v>
      </c>
      <c r="AK120" s="452">
        <f ca="1">IF(AND($D120="Serviço",AK$12&lt;&gt;0,$H120&gt;0,OR(AUTOEVENTO&lt;&gt;"manual",$M120&lt;&gt;$A$15)),
        IF(Import.TipoArredondamento&lt;&gt;"TransfereGOV",
              ROUND(OFFSET($P120,0,AK$13),15-13*ORÇAMENTO!$AF$7)/$H120*OFFSET(ORÇAMENTO!$X$15,ROW(AK120)-ROW(AK$15),0),
              ROUND(ROUND(OFFSET($P120,0,AK$13),15-13*ORÇAMENTO!$AF$7)*OFFSET(ORÇAMENTO!$W$15,ROW(AK120)-ROW(AK$15),0),15-13*ORÇAMENTO!$AF$11)),
         0)</f>
        <v>5790.17</v>
      </c>
      <c r="AL120" s="452">
        <f ca="1">IF(AND($D120="Serviço",AL$12&lt;&gt;0,$H120&gt;0,OR(AUTOEVENTO&lt;&gt;"manual",$M120&lt;&gt;$A$15)),
        IF(Import.TipoArredondamento&lt;&gt;"TransfereGOV",
              ROUND(OFFSET($P120,0,AL$13),15-13*ORÇAMENTO!$AF$7)/$H120*OFFSET(ORÇAMENTO!$X$15,ROW(AL120)-ROW(AL$15),0),
              ROUND(ROUND(OFFSET($P120,0,AL$13),15-13*ORÇAMENTO!$AF$7)*OFFSET(ORÇAMENTO!$W$15,ROW(AL120)-ROW(AL$15),0),15-13*ORÇAMENTO!$AF$11)),
         0)</f>
        <v>5790.17</v>
      </c>
      <c r="AM120" s="452">
        <f ca="1">IF(AND($D120="Serviço",AM$12&lt;&gt;0,$H120&gt;0,OR(AUTOEVENTO&lt;&gt;"manual",$M120&lt;&gt;$A$15)),
        IF(Import.TipoArredondamento&lt;&gt;"TransfereGOV",
              ROUND(OFFSET($P120,0,AM$13),15-13*ORÇAMENTO!$AF$7)/$H120*OFFSET(ORÇAMENTO!$X$15,ROW(AM120)-ROW(AM$15),0),
              ROUND(ROUND(OFFSET($P120,0,AM$13),15-13*ORÇAMENTO!$AF$7)*OFFSET(ORÇAMENTO!$W$15,ROW(AM120)-ROW(AM$15),0),15-13*ORÇAMENTO!$AF$11)),
         0)</f>
        <v>5790.17</v>
      </c>
      <c r="AN120" s="452">
        <f ca="1">IF(AND($D120="Serviço",AN$12&lt;&gt;0,$H120&gt;0,OR(AUTOEVENTO&lt;&gt;"manual",$M120&lt;&gt;$A$15)),
        IF(Import.TipoArredondamento&lt;&gt;"TransfereGOV",
              ROUND(OFFSET($P120,0,AN$13),15-13*ORÇAMENTO!$AF$7)/$H120*OFFSET(ORÇAMENTO!$X$15,ROW(AN120)-ROW(AN$15),0),
              ROUND(ROUND(OFFSET($P120,0,AN$13),15-13*ORÇAMENTO!$AF$7)*OFFSET(ORÇAMENTO!$W$15,ROW(AN120)-ROW(AN$15),0),15-13*ORÇAMENTO!$AF$11)),
         0)</f>
        <v>0</v>
      </c>
      <c r="AO120" s="452">
        <f ca="1">IF(AND($D120="Serviço",AO$12&lt;&gt;0,$H120&gt;0,OR(AUTOEVENTO&lt;&gt;"manual",$M120&lt;&gt;$A$15)),
        IF(Import.TipoArredondamento&lt;&gt;"TransfereGOV",
              ROUND(OFFSET($P120,0,AO$13),15-13*ORÇAMENTO!$AF$7)/$H120*OFFSET(ORÇAMENTO!$X$15,ROW(AO120)-ROW(AO$15),0),
              ROUND(ROUND(OFFSET($P120,0,AO$13),15-13*ORÇAMENTO!$AF$7)*OFFSET(ORÇAMENTO!$W$15,ROW(AO120)-ROW(AO$15),0),15-13*ORÇAMENTO!$AF$11)),
         0)</f>
        <v>0</v>
      </c>
      <c r="AP120" s="452">
        <f ca="1">IF(AND($D120="Serviço",AP$12&lt;&gt;0,$H120&gt;0,OR(AUTOEVENTO&lt;&gt;"manual",$M120&lt;&gt;$A$15)),
        IF(Import.TipoArredondamento&lt;&gt;"TransfereGOV",
              ROUND(OFFSET($P120,0,AP$13),15-13*ORÇAMENTO!$AF$7)/$H120*OFFSET(ORÇAMENTO!$X$15,ROW(AP120)-ROW(AP$15),0),
              ROUND(ROUND(OFFSET($P120,0,AP$13),15-13*ORÇAMENTO!$AF$7)*OFFSET(ORÇAMENTO!$W$15,ROW(AP120)-ROW(AP$15),0),15-13*ORÇAMENTO!$AF$11)),
         0)</f>
        <v>0</v>
      </c>
      <c r="AQ120" s="452">
        <f ca="1">IF(AND($D120="Serviço",AQ$12&lt;&gt;0,$H120&gt;0,OR(AUTOEVENTO&lt;&gt;"manual",$M120&lt;&gt;$A$15)),
        IF(Import.TipoArredondamento&lt;&gt;"TransfereGOV",
              ROUND(OFFSET($P120,0,AQ$13),15-13*ORÇAMENTO!$AF$7)/$H120*OFFSET(ORÇAMENTO!$X$15,ROW(AQ120)-ROW(AQ$15),0),
              ROUND(ROUND(OFFSET($P120,0,AQ$13),15-13*ORÇAMENTO!$AF$7)*OFFSET(ORÇAMENTO!$W$15,ROW(AQ120)-ROW(AQ$15),0),15-13*ORÇAMENTO!$AF$11)),
         0)</f>
        <v>0</v>
      </c>
      <c r="AR120" s="452">
        <f ca="1">IF(AND($D120="Serviço",AR$12&lt;&gt;0,$H120&gt;0,OR(AUTOEVENTO&lt;&gt;"manual",$M120&lt;&gt;$A$15)),
        IF(Import.TipoArredondamento&lt;&gt;"TransfereGOV",
              ROUND(OFFSET($P120,0,AR$13),15-13*ORÇAMENTO!$AF$7)/$H120*OFFSET(ORÇAMENTO!$X$15,ROW(AR120)-ROW(AR$15),0),
              ROUND(ROUND(OFFSET($P120,0,AR$13),15-13*ORÇAMENTO!$AF$7)*OFFSET(ORÇAMENTO!$W$15,ROW(AR120)-ROW(AR$15),0),15-13*ORÇAMENTO!$AF$11)),
         0)</f>
        <v>0</v>
      </c>
      <c r="AS120" s="452">
        <f ca="1">IF(AND($D120="Serviço",AS$12&lt;&gt;0,$H120&gt;0,OR(AUTOEVENTO&lt;&gt;"manual",$M120&lt;&gt;$A$15)),
        IF(Import.TipoArredondamento&lt;&gt;"TransfereGOV",
              ROUND(OFFSET($P120,0,AS$13),15-13*ORÇAMENTO!$AF$7)/$H120*OFFSET(ORÇAMENTO!$X$15,ROW(AS120)-ROW(AS$15),0),
              ROUND(ROUND(OFFSET($P120,0,AS$13),15-13*ORÇAMENTO!$AF$7)*OFFSET(ORÇAMENTO!$W$15,ROW(AS120)-ROW(AS$15),0),15-13*ORÇAMENTO!$AF$11)),
         0)</f>
        <v>0</v>
      </c>
      <c r="AT120" s="452">
        <f ca="1">IF(AND($D120="Serviço",AT$12&lt;&gt;0,$H120&gt;0,OR(AUTOEVENTO&lt;&gt;"manual",$M120&lt;&gt;$A$15)),
        IF(Import.TipoArredondamento&lt;&gt;"TransfereGOV",
              ROUND(OFFSET($P120,0,AT$13),15-13*ORÇAMENTO!$AF$7)/$H120*OFFSET(ORÇAMENTO!$X$15,ROW(AT120)-ROW(AT$15),0),
              ROUND(ROUND(OFFSET($P120,0,AT$13),15-13*ORÇAMENTO!$AF$7)*OFFSET(ORÇAMENTO!$W$15,ROW(AT120)-ROW(AT$15),0),15-13*ORÇAMENTO!$AF$11)),
         0)</f>
        <v>0</v>
      </c>
      <c r="AU120" s="452">
        <f ca="1">IF(AND($D120="Serviço",AU$12&lt;&gt;0,$H120&gt;0,OR(AUTOEVENTO&lt;&gt;"manual",$M120&lt;&gt;$A$15)),
        IF(Import.TipoArredondamento&lt;&gt;"TransfereGOV",
              ROUND(OFFSET($P120,0,AU$13),15-13*ORÇAMENTO!$AF$7)/$H120*OFFSET(ORÇAMENTO!$X$15,ROW(AU120)-ROW(AU$15),0),
              ROUND(ROUND(OFFSET($P120,0,AU$13),15-13*ORÇAMENTO!$AF$7)*OFFSET(ORÇAMENTO!$W$15,ROW(AU120)-ROW(AU$15),0),15-13*ORÇAMENTO!$AF$11)),
         0)</f>
        <v>0</v>
      </c>
      <c r="AV120" s="452">
        <f ca="1">IF(AND($D120="Serviço",AV$12&lt;&gt;0,$H120&gt;0,OR(AUTOEVENTO&lt;&gt;"manual",$M120&lt;&gt;$A$15)),
        IF(Import.TipoArredondamento&lt;&gt;"TransfereGOV",
              ROUND(OFFSET($P120,0,AV$13),15-13*ORÇAMENTO!$AF$7)/$H120*OFFSET(ORÇAMENTO!$X$15,ROW(AV120)-ROW(AV$15),0),
              ROUND(ROUND(OFFSET($P120,0,AV$13),15-13*ORÇAMENTO!$AF$7)*OFFSET(ORÇAMENTO!$W$15,ROW(AV120)-ROW(AV$15),0),15-13*ORÇAMENTO!$AF$11)),
         0)</f>
        <v>0</v>
      </c>
      <c r="AW120" s="452">
        <f ca="1">IF(AND($D120="Serviço",AW$12&lt;&gt;0,$H120&gt;0,OR(AUTOEVENTO&lt;&gt;"manual",$M120&lt;&gt;$A$15)),
        IF(Import.TipoArredondamento&lt;&gt;"TransfereGOV",
              ROUND(OFFSET($P120,0,AW$13),15-13*ORÇAMENTO!$AF$7)/$H120*OFFSET(ORÇAMENTO!$X$15,ROW(AW120)-ROW(AW$15),0),
              ROUND(ROUND(OFFSET($P120,0,AW$13),15-13*ORÇAMENTO!$AF$7)*OFFSET(ORÇAMENTO!$W$15,ROW(AW120)-ROW(AW$15),0),15-13*ORÇAMENTO!$AF$11)),
         0)</f>
        <v>0</v>
      </c>
      <c r="AX120" s="452">
        <f ca="1">IF(AND($D120="Serviço",AX$12&lt;&gt;0,$H120&gt;0,OR(AUTOEVENTO&lt;&gt;"manual",$M120&lt;&gt;$A$15)),
        IF(Import.TipoArredondamento&lt;&gt;"TransfereGOV",
              ROUND(OFFSET($P120,0,AX$13),15-13*ORÇAMENTO!$AF$7)/$H120*OFFSET(ORÇAMENTO!$X$15,ROW(AX120)-ROW(AX$15),0),
              ROUND(ROUND(OFFSET($P120,0,AX$13),15-13*ORÇAMENTO!$AF$7)*OFFSET(ORÇAMENTO!$W$15,ROW(AX120)-ROW(AX$15),0),15-13*ORÇAMENTO!$AF$11)),
         0)</f>
        <v>0</v>
      </c>
      <c r="AY120" s="452">
        <f ca="1">IF(AND($D120="Serviço",AY$12&lt;&gt;0,$H120&gt;0,OR(AUTOEVENTO&lt;&gt;"manual",$M120&lt;&gt;$A$15)),
        IF(Import.TipoArredondamento&lt;&gt;"TransfereGOV",
              ROUND(OFFSET($P120,0,AY$13),15-13*ORÇAMENTO!$AF$7)/$H120*OFFSET(ORÇAMENTO!$X$15,ROW(AY120)-ROW(AY$15),0),
              ROUND(ROUND(OFFSET($P120,0,AY$13),15-13*ORÇAMENTO!$AF$7)*OFFSET(ORÇAMENTO!$W$15,ROW(AY120)-ROW(AY$15),0),15-13*ORÇAMENTO!$AF$11)),
         0)</f>
        <v>0</v>
      </c>
      <c r="AZ120" s="452">
        <f ca="1">IF(AND($D120="Serviço",AZ$12&lt;&gt;0,$H120&gt;0,OR(AUTOEVENTO&lt;&gt;"manual",$M120&lt;&gt;$A$15)),
        IF(Import.TipoArredondamento&lt;&gt;"TransfereGOV",
              ROUND(OFFSET($P120,0,AZ$13),15-13*ORÇAMENTO!$AF$7)/$H120*OFFSET(ORÇAMENTO!$X$15,ROW(AZ120)-ROW(AZ$15),0),
              ROUND(ROUND(OFFSET($P120,0,AZ$13),15-13*ORÇAMENTO!$AF$7)*OFFSET(ORÇAMENTO!$W$15,ROW(AZ120)-ROW(AZ$15),0),15-13*ORÇAMENTO!$AF$11)),
         0)</f>
        <v>0</v>
      </c>
      <c r="BA120" s="452">
        <f ca="1">IF(AND($D120="Serviço",BA$12&lt;&gt;0,$H120&gt;0,OR(AUTOEVENTO&lt;&gt;"manual",$M120&lt;&gt;$A$15)),
        IF(Import.TipoArredondamento&lt;&gt;"TransfereGOV",
              ROUND(OFFSET($P120,0,BA$13),15-13*ORÇAMENTO!$AF$7)/$H120*OFFSET(ORÇAMENTO!$X$15,ROW(BA120)-ROW(BA$15),0),
              ROUND(ROUND(OFFSET($P120,0,BA$13),15-13*ORÇAMENTO!$AF$7)*OFFSET(ORÇAMENTO!$W$15,ROW(BA120)-ROW(BA$15),0),15-13*ORÇAMENTO!$AF$11)),
         0)</f>
        <v>0</v>
      </c>
      <c r="BC120" s="171">
        <f ca="1">IF(OR($D120&lt;&gt;"Serviço",AND(AUTOEVENTO="Manual",$M120=$A$15)),0,
         IF(OFFSET(CRONOPLE!$F$15,$M120-$A$15,BC$13)=0,10^12,OFFSET(CRONOPLE!$F$15,$M120-$A$15,BC$13)))</f>
        <v>6</v>
      </c>
      <c r="BD120" s="171">
        <f ca="1">IF(OR($D120&lt;&gt;"Serviço",AND(AUTOEVENTO="Manual",$M120=$A$15)),0,
         IF(OFFSET(CRONOPLE!$F$15,$M120-$A$15,BD$13)=0,10^12,OFFSET(CRONOPLE!$F$15,$M120-$A$15,BD$13)))</f>
        <v>6</v>
      </c>
      <c r="BE120" s="171">
        <f ca="1">IF(OR($D120&lt;&gt;"Serviço",AND(AUTOEVENTO="Manual",$M120=$A$15)),0,
         IF(OFFSET(CRONOPLE!$F$15,$M120-$A$15,BE$13)=0,10^12,OFFSET(CRONOPLE!$F$15,$M120-$A$15,BE$13)))</f>
        <v>7</v>
      </c>
      <c r="BF120" s="171">
        <f ca="1">IF(OR($D120&lt;&gt;"Serviço",AND(AUTOEVENTO="Manual",$M120=$A$15)),0,
         IF(OFFSET(CRONOPLE!$F$15,$M120-$A$15,BF$13)=0,10^12,OFFSET(CRONOPLE!$F$15,$M120-$A$15,BF$13)))</f>
        <v>8</v>
      </c>
      <c r="BG120" s="171">
        <f ca="1">IF(OR($D120&lt;&gt;"Serviço",AND(AUTOEVENTO="Manual",$M120=$A$15)),0,
         IF(OFFSET(CRONOPLE!$F$15,$M120-$A$15,BG$13)=0,10^12,OFFSET(CRONOPLE!$F$15,$M120-$A$15,BG$13)))</f>
        <v>8</v>
      </c>
      <c r="BH120" s="171">
        <f ca="1">IF(OR($D120&lt;&gt;"Serviço",AND(AUTOEVENTO="Manual",$M120=$A$15)),0,
         IF(OFFSET(CRONOPLE!$F$15,$M120-$A$15,BH$13)=0,10^12,OFFSET(CRONOPLE!$F$15,$M120-$A$15,BH$13)))</f>
        <v>1000000000000</v>
      </c>
      <c r="BI120" s="171">
        <f ca="1">IF(OR($D120&lt;&gt;"Serviço",AND(AUTOEVENTO="Manual",$M120=$A$15)),0,
         IF(OFFSET(CRONOPLE!$F$15,$M120-$A$15,BI$13)=0,10^12,OFFSET(CRONOPLE!$F$15,$M120-$A$15,BI$13)))</f>
        <v>1000000000000</v>
      </c>
      <c r="BJ120" s="171">
        <f ca="1">IF(OR($D120&lt;&gt;"Serviço",AND(AUTOEVENTO="Manual",$M120=$A$15)),0,
         IF(OFFSET(CRONOPLE!$F$15,$M120-$A$15,BJ$13)=0,10^12,OFFSET(CRONOPLE!$F$15,$M120-$A$15,BJ$13)))</f>
        <v>8</v>
      </c>
      <c r="BK120" s="171">
        <f ca="1">IF(OR($D120&lt;&gt;"Serviço",AND(AUTOEVENTO="Manual",$M120=$A$15)),0,
         IF(OFFSET(CRONOPLE!$F$15,$M120-$A$15,BK$13)=0,10^12,OFFSET(CRONOPLE!$F$15,$M120-$A$15,BK$13)))</f>
        <v>9</v>
      </c>
      <c r="BL120" s="171">
        <f ca="1">IF(OR($D120&lt;&gt;"Serviço",AND(AUTOEVENTO="Manual",$M120=$A$15)),0,
         IF(OFFSET(CRONOPLE!$F$15,$M120-$A$15,BL$13)=0,10^12,OFFSET(CRONOPLE!$F$15,$M120-$A$15,BL$13)))</f>
        <v>1000000000000</v>
      </c>
      <c r="BM120" s="171">
        <f ca="1">IF(OR($D120&lt;&gt;"Serviço",AND(AUTOEVENTO="Manual",$M120=$A$15)),0,
         IF(OFFSET(CRONOPLE!$F$15,$M120-$A$15,BM$13)=0,10^12,OFFSET(CRONOPLE!$F$15,$M120-$A$15,BM$13)))</f>
        <v>1000000000000</v>
      </c>
      <c r="BN120" s="171">
        <f ca="1">IF(OR($D120&lt;&gt;"Serviço",AND(AUTOEVENTO="Manual",$M120=$A$15)),0,
         IF(OFFSET(CRONOPLE!$F$15,$M120-$A$15,BN$13)=0,10^12,OFFSET(CRONOPLE!$F$15,$M120-$A$15,BN$13)))</f>
        <v>1000000000000</v>
      </c>
      <c r="BO120" s="171">
        <f ca="1">IF(OR($D120&lt;&gt;"Serviço",AND(AUTOEVENTO="Manual",$M120=$A$15)),0,
         IF(OFFSET(CRONOPLE!$F$15,$M120-$A$15,BO$13)=0,10^12,OFFSET(CRONOPLE!$F$15,$M120-$A$15,BO$13)))</f>
        <v>1000000000000</v>
      </c>
      <c r="BP120" s="171">
        <f ca="1">IF(OR($D120&lt;&gt;"Serviço",AND(AUTOEVENTO="Manual",$M120=$A$15)),0,
         IF(OFFSET(CRONOPLE!$F$15,$M120-$A$15,BP$13)=0,10^12,OFFSET(CRONOPLE!$F$15,$M120-$A$15,BP$13)))</f>
        <v>1000000000000</v>
      </c>
      <c r="BQ120" s="171">
        <f ca="1">IF(OR($D120&lt;&gt;"Serviço",AND(AUTOEVENTO="Manual",$M120=$A$15)),0,
         IF(OFFSET(CRONOPLE!$F$15,$M120-$A$15,BQ$13)=0,10^12,OFFSET(CRONOPLE!$F$15,$M120-$A$15,BQ$13)))</f>
        <v>1000000000000</v>
      </c>
      <c r="BR120" s="171">
        <f ca="1">IF(OR($D120&lt;&gt;"Serviço",AND(AUTOEVENTO="Manual",$M120=$A$15)),0,
         IF(OFFSET(CRONOPLE!$F$15,$M120-$A$15,BR$13)=0,10^12,OFFSET(CRONOPLE!$F$15,$M120-$A$15,BR$13)))</f>
        <v>1000000000000</v>
      </c>
      <c r="BS120" s="171">
        <f ca="1">IF(OR($D120&lt;&gt;"Serviço",AND(AUTOEVENTO="Manual",$M120=$A$15)),0,
         IF(OFFSET(CRONOPLE!$F$15,$M120-$A$15,BS$13)=0,10^12,OFFSET(CRONOPLE!$F$15,$M120-$A$15,BS$13)))</f>
        <v>1000000000000</v>
      </c>
      <c r="BT120" s="171">
        <f ca="1">IF(OR($D120&lt;&gt;"Serviço",AND(AUTOEVENTO="Manual",$M120=$A$15)),0,
         IF(OFFSET(CRONOPLE!$F$15,$M120-$A$15,BT$13)=0,10^12,OFFSET(CRONOPLE!$F$15,$M120-$A$15,BT$13)))</f>
        <v>1000000000000</v>
      </c>
      <c r="BV120" s="172">
        <f t="array" aca="1" ref="BV120" ca="1">IF(OR($D120&lt;&gt;"Serviço",AND(AUTOEVENTO="Manual",$M120=$A$15),$M120&gt;(ROW(PLE.lastrow)-ROW(PLE.firstrow))),0,
           IF(OFFSET(PLE!$G$15,$M120-$A$15,BV$13)="",10^12,OFFSET(PLE!$G$15,$M120-$A$15,BV$13)))</f>
        <v>1000000000000</v>
      </c>
      <c r="BW120" s="172">
        <f t="array" aca="1" ref="BW120" ca="1">IF(OR($D120&lt;&gt;"Serviço",AND(AUTOEVENTO="Manual",$M120=$A$15),$M120&gt;(ROW(PLE.lastrow)-ROW(PLE.firstrow))),0,
           IF(OFFSET(PLE!$G$15,$M120-$A$15,BW$13)="",10^12,OFFSET(PLE!$G$15,$M120-$A$15,BW$13)))</f>
        <v>1000000000000</v>
      </c>
      <c r="BX120" s="172">
        <f t="array" aca="1" ref="BX120" ca="1">IF(OR($D120&lt;&gt;"Serviço",AND(AUTOEVENTO="Manual",$M120=$A$15),$M120&gt;(ROW(PLE.lastrow)-ROW(PLE.firstrow))),0,
           IF(OFFSET(PLE!$G$15,$M120-$A$15,BX$13)="",10^12,OFFSET(PLE!$G$15,$M120-$A$15,BX$13)))</f>
        <v>1000000000000</v>
      </c>
      <c r="BY120" s="172">
        <f t="array" aca="1" ref="BY120" ca="1">IF(OR($D120&lt;&gt;"Serviço",AND(AUTOEVENTO="Manual",$M120=$A$15),$M120&gt;(ROW(PLE.lastrow)-ROW(PLE.firstrow))),0,
           IF(OFFSET(PLE!$G$15,$M120-$A$15,BY$13)="",10^12,OFFSET(PLE!$G$15,$M120-$A$15,BY$13)))</f>
        <v>1000000000000</v>
      </c>
      <c r="BZ120" s="172">
        <f t="array" aca="1" ref="BZ120" ca="1">IF(OR($D120&lt;&gt;"Serviço",AND(AUTOEVENTO="Manual",$M120=$A$15),$M120&gt;(ROW(PLE.lastrow)-ROW(PLE.firstrow))),0,
           IF(OFFSET(PLE!$G$15,$M120-$A$15,BZ$13)="",10^12,OFFSET(PLE!$G$15,$M120-$A$15,BZ$13)))</f>
        <v>1000000000000</v>
      </c>
      <c r="CA120" s="172">
        <f t="array" aca="1" ref="CA120" ca="1">IF(OR($D120&lt;&gt;"Serviço",AND(AUTOEVENTO="Manual",$M120=$A$15),$M120&gt;(ROW(PLE.lastrow)-ROW(PLE.firstrow))),0,
           IF(OFFSET(PLE!$G$15,$M120-$A$15,CA$13)="",10^12,OFFSET(PLE!$G$15,$M120-$A$15,CA$13)))</f>
        <v>1000000000000</v>
      </c>
      <c r="CB120" s="172">
        <f t="array" aca="1" ref="CB120" ca="1">IF(OR($D120&lt;&gt;"Serviço",AND(AUTOEVENTO="Manual",$M120=$A$15),$M120&gt;(ROW(PLE.lastrow)-ROW(PLE.firstrow))),0,
           IF(OFFSET(PLE!$G$15,$M120-$A$15,CB$13)="",10^12,OFFSET(PLE!$G$15,$M120-$A$15,CB$13)))</f>
        <v>1000000000000</v>
      </c>
      <c r="CC120" s="172">
        <f t="array" aca="1" ref="CC120" ca="1">IF(OR($D120&lt;&gt;"Serviço",AND(AUTOEVENTO="Manual",$M120=$A$15),$M120&gt;(ROW(PLE.lastrow)-ROW(PLE.firstrow))),0,
           IF(OFFSET(PLE!$G$15,$M120-$A$15,CC$13)="",10^12,OFFSET(PLE!$G$15,$M120-$A$15,CC$13)))</f>
        <v>1000000000000</v>
      </c>
      <c r="CD120" s="172">
        <f t="array" aca="1" ref="CD120" ca="1">IF(OR($D120&lt;&gt;"Serviço",AND(AUTOEVENTO="Manual",$M120=$A$15),$M120&gt;(ROW(PLE.lastrow)-ROW(PLE.firstrow))),0,
           IF(OFFSET(PLE!$G$15,$M120-$A$15,CD$13)="",10^12,OFFSET(PLE!$G$15,$M120-$A$15,CD$13)))</f>
        <v>1000000000000</v>
      </c>
      <c r="CE120" s="172">
        <f t="array" aca="1" ref="CE120" ca="1">IF(OR($D120&lt;&gt;"Serviço",AND(AUTOEVENTO="Manual",$M120=$A$15),$M120&gt;(ROW(PLE.lastrow)-ROW(PLE.firstrow))),0,
           IF(OFFSET(PLE!$G$15,$M120-$A$15,CE$13)="",10^12,OFFSET(PLE!$G$15,$M120-$A$15,CE$13)))</f>
        <v>1000000000000</v>
      </c>
      <c r="CF120" s="172">
        <f t="array" aca="1" ref="CF120" ca="1">IF(OR($D120&lt;&gt;"Serviço",AND(AUTOEVENTO="Manual",$M120=$A$15),$M120&gt;(ROW(PLE.lastrow)-ROW(PLE.firstrow))),0,
           IF(OFFSET(PLE!$G$15,$M120-$A$15,CF$13)="",10^12,OFFSET(PLE!$G$15,$M120-$A$15,CF$13)))</f>
        <v>1000000000000</v>
      </c>
      <c r="CG120" s="172">
        <f t="array" aca="1" ref="CG120" ca="1">IF(OR($D120&lt;&gt;"Serviço",AND(AUTOEVENTO="Manual",$M120=$A$15),$M120&gt;(ROW(PLE.lastrow)-ROW(PLE.firstrow))),0,
           IF(OFFSET(PLE!$G$15,$M120-$A$15,CG$13)="",10^12,OFFSET(PLE!$G$15,$M120-$A$15,CG$13)))</f>
        <v>1000000000000</v>
      </c>
      <c r="CH120" s="172">
        <f t="array" aca="1" ref="CH120" ca="1">IF(OR($D120&lt;&gt;"Serviço",AND(AUTOEVENTO="Manual",$M120=$A$15),$M120&gt;(ROW(PLE.lastrow)-ROW(PLE.firstrow))),0,
           IF(OFFSET(PLE!$G$15,$M120-$A$15,CH$13)="",10^12,OFFSET(PLE!$G$15,$M120-$A$15,CH$13)))</f>
        <v>1000000000000</v>
      </c>
      <c r="CI120" s="172">
        <f t="array" aca="1" ref="CI120" ca="1">IF(OR($D120&lt;&gt;"Serviço",AND(AUTOEVENTO="Manual",$M120=$A$15),$M120&gt;(ROW(PLE.lastrow)-ROW(PLE.firstrow))),0,
           IF(OFFSET(PLE!$G$15,$M120-$A$15,CI$13)="",10^12,OFFSET(PLE!$G$15,$M120-$A$15,CI$13)))</f>
        <v>1000000000000</v>
      </c>
      <c r="CJ120" s="172">
        <f t="array" aca="1" ref="CJ120" ca="1">IF(OR($D120&lt;&gt;"Serviço",AND(AUTOEVENTO="Manual",$M120=$A$15),$M120&gt;(ROW(PLE.lastrow)-ROW(PLE.firstrow))),0,
           IF(OFFSET(PLE!$G$15,$M120-$A$15,CJ$13)="",10^12,OFFSET(PLE!$G$15,$M120-$A$15,CJ$13)))</f>
        <v>1000000000000</v>
      </c>
      <c r="CK120" s="172">
        <f t="array" aca="1" ref="CK120" ca="1">IF(OR($D120&lt;&gt;"Serviço",AND(AUTOEVENTO="Manual",$M120=$A$15),$M120&gt;(ROW(PLE.lastrow)-ROW(PLE.firstrow))),0,
           IF(OFFSET(PLE!$G$15,$M120-$A$15,CK$13)="",10^12,OFFSET(PLE!$G$15,$M120-$A$15,CK$13)))</f>
        <v>1000000000000</v>
      </c>
      <c r="CL120" s="172">
        <f t="array" aca="1" ref="CL120" ca="1">IF(OR($D120&lt;&gt;"Serviço",AND(AUTOEVENTO="Manual",$M120=$A$15),$M120&gt;(ROW(PLE.lastrow)-ROW(PLE.firstrow))),0,
           IF(OFFSET(PLE!$G$15,$M120-$A$15,CL$13)="",10^12,OFFSET(PLE!$G$15,$M120-$A$15,CL$13)))</f>
        <v>1000000000000</v>
      </c>
      <c r="CM120" s="172">
        <f t="array" aca="1" ref="CM120" ca="1">IF(OR($D120&lt;&gt;"Serviço",AND(AUTOEVENTO="Manual",$M120=$A$15),$M120&gt;(ROW(PLE.lastrow)-ROW(PLE.firstrow))),0,
           IF(OFFSET(PLE!$G$15,$M120-$A$15,CM$13)="",10^12,OFFSET(PLE!$G$15,$M120-$A$15,CM$13)))</f>
        <v>1000000000000</v>
      </c>
    </row>
    <row r="121" spans="1:91" s="696" customFormat="1" ht="76.5" x14ac:dyDescent="0.2">
      <c r="A121" s="694">
        <f t="shared" ca="1" si="45"/>
        <v>18</v>
      </c>
      <c r="B121" s="694" t="str">
        <f ca="1">OFFSET(ORÇAMENTO!C$15,$L121,0)</f>
        <v>S</v>
      </c>
      <c r="C121" s="694" t="str">
        <f ca="1">OFFSET(ORÇAMENTO!L$15,$L121,0)</f>
        <v>F</v>
      </c>
      <c r="D121" s="116" t="str">
        <f ca="1">OFFSET(ORÇAMENTO!N$15,$L121,0)</f>
        <v>Serviço</v>
      </c>
      <c r="E121" s="117" t="str">
        <f ca="1">OFFSET(ORÇAMENTO!O$15,$L121,0)</f>
        <v>1.20.9.</v>
      </c>
      <c r="F121" s="163" t="str">
        <f ca="1">OFFSET(ORÇAMENTO!R$15,$L121,0)</f>
        <v>REVESTIMENTO CERÂMICO PARA PISO COM PLACAS TIPO ESMALTADA DE DIMENSÕES 35X35 CM APLICADA EM AMBIENTES DE ÁREA MENOR QUE 5 M2. AF_02/2023_PE</v>
      </c>
      <c r="G121" s="164" t="str">
        <f ca="1">IF($D121&lt;&gt;"Serviço","",OFFSET(ORÇAMENTO!S$15,$L121,0))</f>
        <v>M2</v>
      </c>
      <c r="H121" s="122">
        <f t="array" aca="1" ref="H121" ca="1">IF($D121&lt;&gt;"Serviço",0,IF(ACOMPANHAMENTO="BM",ROUND(OFFSET(ORÇAMENTO!AJ$15,$L121,0),15-13*ORÇAMENTO!$AF$7),IF(IFERROR(CÁLCULO.FrentesPreenchidas,0)=0,0,SUM(ROUND(OFFSET($P121,0,1,1,CÁLCULO.FrentesPreenchidas),15-13*ORÇAMENTO!$AF$7)))))</f>
        <v>259.60000000000002</v>
      </c>
      <c r="I121" s="467" t="s">
        <v>1278</v>
      </c>
      <c r="J121" s="653" t="str">
        <f t="array" aca="1" ref="J121" ca="1">IF(OR(B121&lt;&gt;"S",CÁLCULO.FrentesPreenchidas=0),"",IF(AND(ACOMPANHAMENTO="PLE",AUTOEVENTO="Manual",OR(H121&gt;0,ORÇAMENTO!AC121="QUANT."),OR(K121="",M121=0,N121="")),"►E",IF(AND(ACOMPANHAMENTO="PLE",ORÇAMENTO!AC121="QUANT."),"►Q",IF(AND(ACOMPANHAMENTO="PLE",H121&lt;&gt;SUMPRODUCT(($Q$1:$AI$1=1)*ROUND(Q121:AI121,15))),"►S",IF(AND(COUNTIF($P$11:$AI$11,"▼")=0,H121&gt;0,I121=""),"◄M","")))))</f>
        <v/>
      </c>
      <c r="K121" s="654" t="s">
        <v>1406</v>
      </c>
      <c r="L121" s="165">
        <f t="shared" ca="1" si="46"/>
        <v>106</v>
      </c>
      <c r="M121" s="166">
        <f ca="1">IF($D121&lt;&gt;"Serviço","",
          IF(AUTOEVENTO="manual",$A121,
                IF(ISERROR(MATCH($A121,$A$15:OFFSET($A121,-1,0),0)),MAX($M$15:OFFSET(M121,-1,0))+1,
                      INDEX($M$15:OFFSET(M121,-1,0),MATCH($A121,$A$15:OFFSET($A121,-1,0),0)))))</f>
        <v>18</v>
      </c>
      <c r="N121" s="167" t="str">
        <f ca="1">IF($D121&lt;&gt;"Serviço","",
         IF(AUTOEVENTO="Manual",
                IF($A121=0,"&lt;-- defina o número do agrupador",
                       OFFSET(EVENTOS!$D$15,$A121-$A$15,0)),
                OFFSET($F$15,$A121,0)))</f>
        <v>REVESTIMENTOS INTERNOS DE PISO</v>
      </c>
      <c r="O121" s="168"/>
      <c r="Q121" s="169">
        <f>12.98*5</f>
        <v>64.900000000000006</v>
      </c>
      <c r="R121" s="169">
        <f t="shared" ref="R121:T121" si="76">12.98*5</f>
        <v>64.900000000000006</v>
      </c>
      <c r="S121" s="169">
        <f t="shared" si="76"/>
        <v>64.900000000000006</v>
      </c>
      <c r="T121" s="169">
        <f t="shared" si="76"/>
        <v>64.900000000000006</v>
      </c>
      <c r="U121" s="169"/>
      <c r="V121" s="169"/>
      <c r="W121" s="169"/>
      <c r="X121" s="169"/>
      <c r="Y121" s="169"/>
      <c r="Z121" s="170"/>
      <c r="AA121" s="169"/>
      <c r="AB121" s="169"/>
      <c r="AC121" s="169"/>
      <c r="AD121" s="169"/>
      <c r="AE121" s="169"/>
      <c r="AF121" s="169"/>
      <c r="AG121" s="169"/>
      <c r="AH121" s="170"/>
      <c r="AJ121" s="452">
        <f ca="1">IF(AND($D121="Serviço",AJ$12&lt;&gt;0,$H121&gt;0,OR(AUTOEVENTO&lt;&gt;"manual",$M121&lt;&gt;$A$15)),
        IF(Import.TipoArredondamento&lt;&gt;"TransfereGOV",
              ROUND(OFFSET($P121,0,AJ$13),15-13*ORÇAMENTO!$AF$7)/$H121*OFFSET(ORÇAMENTO!$X$15,ROW(AJ121)-ROW(AJ$15),0),
              ROUND(ROUND(OFFSET($P121,0,AJ$13),15-13*ORÇAMENTO!$AF$7)*OFFSET(ORÇAMENTO!$W$15,ROW(AJ121)-ROW(AJ$15),0),15-13*ORÇAMENTO!$AF$11)),
         0)</f>
        <v>5159.55</v>
      </c>
      <c r="AK121" s="452">
        <f ca="1">IF(AND($D121="Serviço",AK$12&lt;&gt;0,$H121&gt;0,OR(AUTOEVENTO&lt;&gt;"manual",$M121&lt;&gt;$A$15)),
        IF(Import.TipoArredondamento&lt;&gt;"TransfereGOV",
              ROUND(OFFSET($P121,0,AK$13),15-13*ORÇAMENTO!$AF$7)/$H121*OFFSET(ORÇAMENTO!$X$15,ROW(AK121)-ROW(AK$15),0),
              ROUND(ROUND(OFFSET($P121,0,AK$13),15-13*ORÇAMENTO!$AF$7)*OFFSET(ORÇAMENTO!$W$15,ROW(AK121)-ROW(AK$15),0),15-13*ORÇAMENTO!$AF$11)),
         0)</f>
        <v>5159.55</v>
      </c>
      <c r="AL121" s="452">
        <f ca="1">IF(AND($D121="Serviço",AL$12&lt;&gt;0,$H121&gt;0,OR(AUTOEVENTO&lt;&gt;"manual",$M121&lt;&gt;$A$15)),
        IF(Import.TipoArredondamento&lt;&gt;"TransfereGOV",
              ROUND(OFFSET($P121,0,AL$13),15-13*ORÇAMENTO!$AF$7)/$H121*OFFSET(ORÇAMENTO!$X$15,ROW(AL121)-ROW(AL$15),0),
              ROUND(ROUND(OFFSET($P121,0,AL$13),15-13*ORÇAMENTO!$AF$7)*OFFSET(ORÇAMENTO!$W$15,ROW(AL121)-ROW(AL$15),0),15-13*ORÇAMENTO!$AF$11)),
         0)</f>
        <v>5159.55</v>
      </c>
      <c r="AM121" s="452">
        <f ca="1">IF(AND($D121="Serviço",AM$12&lt;&gt;0,$H121&gt;0,OR(AUTOEVENTO&lt;&gt;"manual",$M121&lt;&gt;$A$15)),
        IF(Import.TipoArredondamento&lt;&gt;"TransfereGOV",
              ROUND(OFFSET($P121,0,AM$13),15-13*ORÇAMENTO!$AF$7)/$H121*OFFSET(ORÇAMENTO!$X$15,ROW(AM121)-ROW(AM$15),0),
              ROUND(ROUND(OFFSET($P121,0,AM$13),15-13*ORÇAMENTO!$AF$7)*OFFSET(ORÇAMENTO!$W$15,ROW(AM121)-ROW(AM$15),0),15-13*ORÇAMENTO!$AF$11)),
         0)</f>
        <v>5159.55</v>
      </c>
      <c r="AN121" s="452">
        <f ca="1">IF(AND($D121="Serviço",AN$12&lt;&gt;0,$H121&gt;0,OR(AUTOEVENTO&lt;&gt;"manual",$M121&lt;&gt;$A$15)),
        IF(Import.TipoArredondamento&lt;&gt;"TransfereGOV",
              ROUND(OFFSET($P121,0,AN$13),15-13*ORÇAMENTO!$AF$7)/$H121*OFFSET(ORÇAMENTO!$X$15,ROW(AN121)-ROW(AN$15),0),
              ROUND(ROUND(OFFSET($P121,0,AN$13),15-13*ORÇAMENTO!$AF$7)*OFFSET(ORÇAMENTO!$W$15,ROW(AN121)-ROW(AN$15),0),15-13*ORÇAMENTO!$AF$11)),
         0)</f>
        <v>0</v>
      </c>
      <c r="AO121" s="452">
        <f ca="1">IF(AND($D121="Serviço",AO$12&lt;&gt;0,$H121&gt;0,OR(AUTOEVENTO&lt;&gt;"manual",$M121&lt;&gt;$A$15)),
        IF(Import.TipoArredondamento&lt;&gt;"TransfereGOV",
              ROUND(OFFSET($P121,0,AO$13),15-13*ORÇAMENTO!$AF$7)/$H121*OFFSET(ORÇAMENTO!$X$15,ROW(AO121)-ROW(AO$15),0),
              ROUND(ROUND(OFFSET($P121,0,AO$13),15-13*ORÇAMENTO!$AF$7)*OFFSET(ORÇAMENTO!$W$15,ROW(AO121)-ROW(AO$15),0),15-13*ORÇAMENTO!$AF$11)),
         0)</f>
        <v>0</v>
      </c>
      <c r="AP121" s="452">
        <f ca="1">IF(AND($D121="Serviço",AP$12&lt;&gt;0,$H121&gt;0,OR(AUTOEVENTO&lt;&gt;"manual",$M121&lt;&gt;$A$15)),
        IF(Import.TipoArredondamento&lt;&gt;"TransfereGOV",
              ROUND(OFFSET($P121,0,AP$13),15-13*ORÇAMENTO!$AF$7)/$H121*OFFSET(ORÇAMENTO!$X$15,ROW(AP121)-ROW(AP$15),0),
              ROUND(ROUND(OFFSET($P121,0,AP$13),15-13*ORÇAMENTO!$AF$7)*OFFSET(ORÇAMENTO!$W$15,ROW(AP121)-ROW(AP$15),0),15-13*ORÇAMENTO!$AF$11)),
         0)</f>
        <v>0</v>
      </c>
      <c r="AQ121" s="452">
        <f ca="1">IF(AND($D121="Serviço",AQ$12&lt;&gt;0,$H121&gt;0,OR(AUTOEVENTO&lt;&gt;"manual",$M121&lt;&gt;$A$15)),
        IF(Import.TipoArredondamento&lt;&gt;"TransfereGOV",
              ROUND(OFFSET($P121,0,AQ$13),15-13*ORÇAMENTO!$AF$7)/$H121*OFFSET(ORÇAMENTO!$X$15,ROW(AQ121)-ROW(AQ$15),0),
              ROUND(ROUND(OFFSET($P121,0,AQ$13),15-13*ORÇAMENTO!$AF$7)*OFFSET(ORÇAMENTO!$W$15,ROW(AQ121)-ROW(AQ$15),0),15-13*ORÇAMENTO!$AF$11)),
         0)</f>
        <v>0</v>
      </c>
      <c r="AR121" s="452">
        <f ca="1">IF(AND($D121="Serviço",AR$12&lt;&gt;0,$H121&gt;0,OR(AUTOEVENTO&lt;&gt;"manual",$M121&lt;&gt;$A$15)),
        IF(Import.TipoArredondamento&lt;&gt;"TransfereGOV",
              ROUND(OFFSET($P121,0,AR$13),15-13*ORÇAMENTO!$AF$7)/$H121*OFFSET(ORÇAMENTO!$X$15,ROW(AR121)-ROW(AR$15),0),
              ROUND(ROUND(OFFSET($P121,0,AR$13),15-13*ORÇAMENTO!$AF$7)*OFFSET(ORÇAMENTO!$W$15,ROW(AR121)-ROW(AR$15),0),15-13*ORÇAMENTO!$AF$11)),
         0)</f>
        <v>0</v>
      </c>
      <c r="AS121" s="452">
        <f ca="1">IF(AND($D121="Serviço",AS$12&lt;&gt;0,$H121&gt;0,OR(AUTOEVENTO&lt;&gt;"manual",$M121&lt;&gt;$A$15)),
        IF(Import.TipoArredondamento&lt;&gt;"TransfereGOV",
              ROUND(OFFSET($P121,0,AS$13),15-13*ORÇAMENTO!$AF$7)/$H121*OFFSET(ORÇAMENTO!$X$15,ROW(AS121)-ROW(AS$15),0),
              ROUND(ROUND(OFFSET($P121,0,AS$13),15-13*ORÇAMENTO!$AF$7)*OFFSET(ORÇAMENTO!$W$15,ROW(AS121)-ROW(AS$15),0),15-13*ORÇAMENTO!$AF$11)),
         0)</f>
        <v>0</v>
      </c>
      <c r="AT121" s="452">
        <f ca="1">IF(AND($D121="Serviço",AT$12&lt;&gt;0,$H121&gt;0,OR(AUTOEVENTO&lt;&gt;"manual",$M121&lt;&gt;$A$15)),
        IF(Import.TipoArredondamento&lt;&gt;"TransfereGOV",
              ROUND(OFFSET($P121,0,AT$13),15-13*ORÇAMENTO!$AF$7)/$H121*OFFSET(ORÇAMENTO!$X$15,ROW(AT121)-ROW(AT$15),0),
              ROUND(ROUND(OFFSET($P121,0,AT$13),15-13*ORÇAMENTO!$AF$7)*OFFSET(ORÇAMENTO!$W$15,ROW(AT121)-ROW(AT$15),0),15-13*ORÇAMENTO!$AF$11)),
         0)</f>
        <v>0</v>
      </c>
      <c r="AU121" s="452">
        <f ca="1">IF(AND($D121="Serviço",AU$12&lt;&gt;0,$H121&gt;0,OR(AUTOEVENTO&lt;&gt;"manual",$M121&lt;&gt;$A$15)),
        IF(Import.TipoArredondamento&lt;&gt;"TransfereGOV",
              ROUND(OFFSET($P121,0,AU$13),15-13*ORÇAMENTO!$AF$7)/$H121*OFFSET(ORÇAMENTO!$X$15,ROW(AU121)-ROW(AU$15),0),
              ROUND(ROUND(OFFSET($P121,0,AU$13),15-13*ORÇAMENTO!$AF$7)*OFFSET(ORÇAMENTO!$W$15,ROW(AU121)-ROW(AU$15),0),15-13*ORÇAMENTO!$AF$11)),
         0)</f>
        <v>0</v>
      </c>
      <c r="AV121" s="452">
        <f ca="1">IF(AND($D121="Serviço",AV$12&lt;&gt;0,$H121&gt;0,OR(AUTOEVENTO&lt;&gt;"manual",$M121&lt;&gt;$A$15)),
        IF(Import.TipoArredondamento&lt;&gt;"TransfereGOV",
              ROUND(OFFSET($P121,0,AV$13),15-13*ORÇAMENTO!$AF$7)/$H121*OFFSET(ORÇAMENTO!$X$15,ROW(AV121)-ROW(AV$15),0),
              ROUND(ROUND(OFFSET($P121,0,AV$13),15-13*ORÇAMENTO!$AF$7)*OFFSET(ORÇAMENTO!$W$15,ROW(AV121)-ROW(AV$15),0),15-13*ORÇAMENTO!$AF$11)),
         0)</f>
        <v>0</v>
      </c>
      <c r="AW121" s="452">
        <f ca="1">IF(AND($D121="Serviço",AW$12&lt;&gt;0,$H121&gt;0,OR(AUTOEVENTO&lt;&gt;"manual",$M121&lt;&gt;$A$15)),
        IF(Import.TipoArredondamento&lt;&gt;"TransfereGOV",
              ROUND(OFFSET($P121,0,AW$13),15-13*ORÇAMENTO!$AF$7)/$H121*OFFSET(ORÇAMENTO!$X$15,ROW(AW121)-ROW(AW$15),0),
              ROUND(ROUND(OFFSET($P121,0,AW$13),15-13*ORÇAMENTO!$AF$7)*OFFSET(ORÇAMENTO!$W$15,ROW(AW121)-ROW(AW$15),0),15-13*ORÇAMENTO!$AF$11)),
         0)</f>
        <v>0</v>
      </c>
      <c r="AX121" s="452">
        <f ca="1">IF(AND($D121="Serviço",AX$12&lt;&gt;0,$H121&gt;0,OR(AUTOEVENTO&lt;&gt;"manual",$M121&lt;&gt;$A$15)),
        IF(Import.TipoArredondamento&lt;&gt;"TransfereGOV",
              ROUND(OFFSET($P121,0,AX$13),15-13*ORÇAMENTO!$AF$7)/$H121*OFFSET(ORÇAMENTO!$X$15,ROW(AX121)-ROW(AX$15),0),
              ROUND(ROUND(OFFSET($P121,0,AX$13),15-13*ORÇAMENTO!$AF$7)*OFFSET(ORÇAMENTO!$W$15,ROW(AX121)-ROW(AX$15),0),15-13*ORÇAMENTO!$AF$11)),
         0)</f>
        <v>0</v>
      </c>
      <c r="AY121" s="452">
        <f ca="1">IF(AND($D121="Serviço",AY$12&lt;&gt;0,$H121&gt;0,OR(AUTOEVENTO&lt;&gt;"manual",$M121&lt;&gt;$A$15)),
        IF(Import.TipoArredondamento&lt;&gt;"TransfereGOV",
              ROUND(OFFSET($P121,0,AY$13),15-13*ORÇAMENTO!$AF$7)/$H121*OFFSET(ORÇAMENTO!$X$15,ROW(AY121)-ROW(AY$15),0),
              ROUND(ROUND(OFFSET($P121,0,AY$13),15-13*ORÇAMENTO!$AF$7)*OFFSET(ORÇAMENTO!$W$15,ROW(AY121)-ROW(AY$15),0),15-13*ORÇAMENTO!$AF$11)),
         0)</f>
        <v>0</v>
      </c>
      <c r="AZ121" s="452">
        <f ca="1">IF(AND($D121="Serviço",AZ$12&lt;&gt;0,$H121&gt;0,OR(AUTOEVENTO&lt;&gt;"manual",$M121&lt;&gt;$A$15)),
        IF(Import.TipoArredondamento&lt;&gt;"TransfereGOV",
              ROUND(OFFSET($P121,0,AZ$13),15-13*ORÇAMENTO!$AF$7)/$H121*OFFSET(ORÇAMENTO!$X$15,ROW(AZ121)-ROW(AZ$15),0),
              ROUND(ROUND(OFFSET($P121,0,AZ$13),15-13*ORÇAMENTO!$AF$7)*OFFSET(ORÇAMENTO!$W$15,ROW(AZ121)-ROW(AZ$15),0),15-13*ORÇAMENTO!$AF$11)),
         0)</f>
        <v>0</v>
      </c>
      <c r="BA121" s="452">
        <f ca="1">IF(AND($D121="Serviço",BA$12&lt;&gt;0,$H121&gt;0,OR(AUTOEVENTO&lt;&gt;"manual",$M121&lt;&gt;$A$15)),
        IF(Import.TipoArredondamento&lt;&gt;"TransfereGOV",
              ROUND(OFFSET($P121,0,BA$13),15-13*ORÇAMENTO!$AF$7)/$H121*OFFSET(ORÇAMENTO!$X$15,ROW(BA121)-ROW(BA$15),0),
              ROUND(ROUND(OFFSET($P121,0,BA$13),15-13*ORÇAMENTO!$AF$7)*OFFSET(ORÇAMENTO!$W$15,ROW(BA121)-ROW(BA$15),0),15-13*ORÇAMENTO!$AF$11)),
         0)</f>
        <v>0</v>
      </c>
      <c r="BC121" s="171">
        <f ca="1">IF(OR($D121&lt;&gt;"Serviço",AND(AUTOEVENTO="Manual",$M121=$A$15)),0,
         IF(OFFSET(CRONOPLE!$F$15,$M121-$A$15,BC$13)=0,10^12,OFFSET(CRONOPLE!$F$15,$M121-$A$15,BC$13)))</f>
        <v>6</v>
      </c>
      <c r="BD121" s="171">
        <f ca="1">IF(OR($D121&lt;&gt;"Serviço",AND(AUTOEVENTO="Manual",$M121=$A$15)),0,
         IF(OFFSET(CRONOPLE!$F$15,$M121-$A$15,BD$13)=0,10^12,OFFSET(CRONOPLE!$F$15,$M121-$A$15,BD$13)))</f>
        <v>6</v>
      </c>
      <c r="BE121" s="171">
        <f ca="1">IF(OR($D121&lt;&gt;"Serviço",AND(AUTOEVENTO="Manual",$M121=$A$15)),0,
         IF(OFFSET(CRONOPLE!$F$15,$M121-$A$15,BE$13)=0,10^12,OFFSET(CRONOPLE!$F$15,$M121-$A$15,BE$13)))</f>
        <v>7</v>
      </c>
      <c r="BF121" s="171">
        <f ca="1">IF(OR($D121&lt;&gt;"Serviço",AND(AUTOEVENTO="Manual",$M121=$A$15)),0,
         IF(OFFSET(CRONOPLE!$F$15,$M121-$A$15,BF$13)=0,10^12,OFFSET(CRONOPLE!$F$15,$M121-$A$15,BF$13)))</f>
        <v>8</v>
      </c>
      <c r="BG121" s="171">
        <f ca="1">IF(OR($D121&lt;&gt;"Serviço",AND(AUTOEVENTO="Manual",$M121=$A$15)),0,
         IF(OFFSET(CRONOPLE!$F$15,$M121-$A$15,BG$13)=0,10^12,OFFSET(CRONOPLE!$F$15,$M121-$A$15,BG$13)))</f>
        <v>8</v>
      </c>
      <c r="BH121" s="171">
        <f ca="1">IF(OR($D121&lt;&gt;"Serviço",AND(AUTOEVENTO="Manual",$M121=$A$15)),0,
         IF(OFFSET(CRONOPLE!$F$15,$M121-$A$15,BH$13)=0,10^12,OFFSET(CRONOPLE!$F$15,$M121-$A$15,BH$13)))</f>
        <v>1000000000000</v>
      </c>
      <c r="BI121" s="171">
        <f ca="1">IF(OR($D121&lt;&gt;"Serviço",AND(AUTOEVENTO="Manual",$M121=$A$15)),0,
         IF(OFFSET(CRONOPLE!$F$15,$M121-$A$15,BI$13)=0,10^12,OFFSET(CRONOPLE!$F$15,$M121-$A$15,BI$13)))</f>
        <v>1000000000000</v>
      </c>
      <c r="BJ121" s="171">
        <f ca="1">IF(OR($D121&lt;&gt;"Serviço",AND(AUTOEVENTO="Manual",$M121=$A$15)),0,
         IF(OFFSET(CRONOPLE!$F$15,$M121-$A$15,BJ$13)=0,10^12,OFFSET(CRONOPLE!$F$15,$M121-$A$15,BJ$13)))</f>
        <v>8</v>
      </c>
      <c r="BK121" s="171">
        <f ca="1">IF(OR($D121&lt;&gt;"Serviço",AND(AUTOEVENTO="Manual",$M121=$A$15)),0,
         IF(OFFSET(CRONOPLE!$F$15,$M121-$A$15,BK$13)=0,10^12,OFFSET(CRONOPLE!$F$15,$M121-$A$15,BK$13)))</f>
        <v>9</v>
      </c>
      <c r="BL121" s="171">
        <f ca="1">IF(OR($D121&lt;&gt;"Serviço",AND(AUTOEVENTO="Manual",$M121=$A$15)),0,
         IF(OFFSET(CRONOPLE!$F$15,$M121-$A$15,BL$13)=0,10^12,OFFSET(CRONOPLE!$F$15,$M121-$A$15,BL$13)))</f>
        <v>1000000000000</v>
      </c>
      <c r="BM121" s="171">
        <f ca="1">IF(OR($D121&lt;&gt;"Serviço",AND(AUTOEVENTO="Manual",$M121=$A$15)),0,
         IF(OFFSET(CRONOPLE!$F$15,$M121-$A$15,BM$13)=0,10^12,OFFSET(CRONOPLE!$F$15,$M121-$A$15,BM$13)))</f>
        <v>1000000000000</v>
      </c>
      <c r="BN121" s="171">
        <f ca="1">IF(OR($D121&lt;&gt;"Serviço",AND(AUTOEVENTO="Manual",$M121=$A$15)),0,
         IF(OFFSET(CRONOPLE!$F$15,$M121-$A$15,BN$13)=0,10^12,OFFSET(CRONOPLE!$F$15,$M121-$A$15,BN$13)))</f>
        <v>1000000000000</v>
      </c>
      <c r="BO121" s="171">
        <f ca="1">IF(OR($D121&lt;&gt;"Serviço",AND(AUTOEVENTO="Manual",$M121=$A$15)),0,
         IF(OFFSET(CRONOPLE!$F$15,$M121-$A$15,BO$13)=0,10^12,OFFSET(CRONOPLE!$F$15,$M121-$A$15,BO$13)))</f>
        <v>1000000000000</v>
      </c>
      <c r="BP121" s="171">
        <f ca="1">IF(OR($D121&lt;&gt;"Serviço",AND(AUTOEVENTO="Manual",$M121=$A$15)),0,
         IF(OFFSET(CRONOPLE!$F$15,$M121-$A$15,BP$13)=0,10^12,OFFSET(CRONOPLE!$F$15,$M121-$A$15,BP$13)))</f>
        <v>1000000000000</v>
      </c>
      <c r="BQ121" s="171">
        <f ca="1">IF(OR($D121&lt;&gt;"Serviço",AND(AUTOEVENTO="Manual",$M121=$A$15)),0,
         IF(OFFSET(CRONOPLE!$F$15,$M121-$A$15,BQ$13)=0,10^12,OFFSET(CRONOPLE!$F$15,$M121-$A$15,BQ$13)))</f>
        <v>1000000000000</v>
      </c>
      <c r="BR121" s="171">
        <f ca="1">IF(OR($D121&lt;&gt;"Serviço",AND(AUTOEVENTO="Manual",$M121=$A$15)),0,
         IF(OFFSET(CRONOPLE!$F$15,$M121-$A$15,BR$13)=0,10^12,OFFSET(CRONOPLE!$F$15,$M121-$A$15,BR$13)))</f>
        <v>1000000000000</v>
      </c>
      <c r="BS121" s="171">
        <f ca="1">IF(OR($D121&lt;&gt;"Serviço",AND(AUTOEVENTO="Manual",$M121=$A$15)),0,
         IF(OFFSET(CRONOPLE!$F$15,$M121-$A$15,BS$13)=0,10^12,OFFSET(CRONOPLE!$F$15,$M121-$A$15,BS$13)))</f>
        <v>1000000000000</v>
      </c>
      <c r="BT121" s="171">
        <f ca="1">IF(OR($D121&lt;&gt;"Serviço",AND(AUTOEVENTO="Manual",$M121=$A$15)),0,
         IF(OFFSET(CRONOPLE!$F$15,$M121-$A$15,BT$13)=0,10^12,OFFSET(CRONOPLE!$F$15,$M121-$A$15,BT$13)))</f>
        <v>1000000000000</v>
      </c>
      <c r="BV121" s="172">
        <f t="array" aca="1" ref="BV121" ca="1">IF(OR($D121&lt;&gt;"Serviço",AND(AUTOEVENTO="Manual",$M121=$A$15),$M121&gt;(ROW(PLE.lastrow)-ROW(PLE.firstrow))),0,
           IF(OFFSET(PLE!$G$15,$M121-$A$15,BV$13)="",10^12,OFFSET(PLE!$G$15,$M121-$A$15,BV$13)))</f>
        <v>1000000000000</v>
      </c>
      <c r="BW121" s="172">
        <f t="array" aca="1" ref="BW121" ca="1">IF(OR($D121&lt;&gt;"Serviço",AND(AUTOEVENTO="Manual",$M121=$A$15),$M121&gt;(ROW(PLE.lastrow)-ROW(PLE.firstrow))),0,
           IF(OFFSET(PLE!$G$15,$M121-$A$15,BW$13)="",10^12,OFFSET(PLE!$G$15,$M121-$A$15,BW$13)))</f>
        <v>1000000000000</v>
      </c>
      <c r="BX121" s="172">
        <f t="array" aca="1" ref="BX121" ca="1">IF(OR($D121&lt;&gt;"Serviço",AND(AUTOEVENTO="Manual",$M121=$A$15),$M121&gt;(ROW(PLE.lastrow)-ROW(PLE.firstrow))),0,
           IF(OFFSET(PLE!$G$15,$M121-$A$15,BX$13)="",10^12,OFFSET(PLE!$G$15,$M121-$A$15,BX$13)))</f>
        <v>1000000000000</v>
      </c>
      <c r="BY121" s="172">
        <f t="array" aca="1" ref="BY121" ca="1">IF(OR($D121&lt;&gt;"Serviço",AND(AUTOEVENTO="Manual",$M121=$A$15),$M121&gt;(ROW(PLE.lastrow)-ROW(PLE.firstrow))),0,
           IF(OFFSET(PLE!$G$15,$M121-$A$15,BY$13)="",10^12,OFFSET(PLE!$G$15,$M121-$A$15,BY$13)))</f>
        <v>1000000000000</v>
      </c>
      <c r="BZ121" s="172">
        <f t="array" aca="1" ref="BZ121" ca="1">IF(OR($D121&lt;&gt;"Serviço",AND(AUTOEVENTO="Manual",$M121=$A$15),$M121&gt;(ROW(PLE.lastrow)-ROW(PLE.firstrow))),0,
           IF(OFFSET(PLE!$G$15,$M121-$A$15,BZ$13)="",10^12,OFFSET(PLE!$G$15,$M121-$A$15,BZ$13)))</f>
        <v>1000000000000</v>
      </c>
      <c r="CA121" s="172">
        <f t="array" aca="1" ref="CA121" ca="1">IF(OR($D121&lt;&gt;"Serviço",AND(AUTOEVENTO="Manual",$M121=$A$15),$M121&gt;(ROW(PLE.lastrow)-ROW(PLE.firstrow))),0,
           IF(OFFSET(PLE!$G$15,$M121-$A$15,CA$13)="",10^12,OFFSET(PLE!$G$15,$M121-$A$15,CA$13)))</f>
        <v>1000000000000</v>
      </c>
      <c r="CB121" s="172">
        <f t="array" aca="1" ref="CB121" ca="1">IF(OR($D121&lt;&gt;"Serviço",AND(AUTOEVENTO="Manual",$M121=$A$15),$M121&gt;(ROW(PLE.lastrow)-ROW(PLE.firstrow))),0,
           IF(OFFSET(PLE!$G$15,$M121-$A$15,CB$13)="",10^12,OFFSET(PLE!$G$15,$M121-$A$15,CB$13)))</f>
        <v>1000000000000</v>
      </c>
      <c r="CC121" s="172">
        <f t="array" aca="1" ref="CC121" ca="1">IF(OR($D121&lt;&gt;"Serviço",AND(AUTOEVENTO="Manual",$M121=$A$15),$M121&gt;(ROW(PLE.lastrow)-ROW(PLE.firstrow))),0,
           IF(OFFSET(PLE!$G$15,$M121-$A$15,CC$13)="",10^12,OFFSET(PLE!$G$15,$M121-$A$15,CC$13)))</f>
        <v>1000000000000</v>
      </c>
      <c r="CD121" s="172">
        <f t="array" aca="1" ref="CD121" ca="1">IF(OR($D121&lt;&gt;"Serviço",AND(AUTOEVENTO="Manual",$M121=$A$15),$M121&gt;(ROW(PLE.lastrow)-ROW(PLE.firstrow))),0,
           IF(OFFSET(PLE!$G$15,$M121-$A$15,CD$13)="",10^12,OFFSET(PLE!$G$15,$M121-$A$15,CD$13)))</f>
        <v>1000000000000</v>
      </c>
      <c r="CE121" s="172">
        <f t="array" aca="1" ref="CE121" ca="1">IF(OR($D121&lt;&gt;"Serviço",AND(AUTOEVENTO="Manual",$M121=$A$15),$M121&gt;(ROW(PLE.lastrow)-ROW(PLE.firstrow))),0,
           IF(OFFSET(PLE!$G$15,$M121-$A$15,CE$13)="",10^12,OFFSET(PLE!$G$15,$M121-$A$15,CE$13)))</f>
        <v>1000000000000</v>
      </c>
      <c r="CF121" s="172">
        <f t="array" aca="1" ref="CF121" ca="1">IF(OR($D121&lt;&gt;"Serviço",AND(AUTOEVENTO="Manual",$M121=$A$15),$M121&gt;(ROW(PLE.lastrow)-ROW(PLE.firstrow))),0,
           IF(OFFSET(PLE!$G$15,$M121-$A$15,CF$13)="",10^12,OFFSET(PLE!$G$15,$M121-$A$15,CF$13)))</f>
        <v>1000000000000</v>
      </c>
      <c r="CG121" s="172">
        <f t="array" aca="1" ref="CG121" ca="1">IF(OR($D121&lt;&gt;"Serviço",AND(AUTOEVENTO="Manual",$M121=$A$15),$M121&gt;(ROW(PLE.lastrow)-ROW(PLE.firstrow))),0,
           IF(OFFSET(PLE!$G$15,$M121-$A$15,CG$13)="",10^12,OFFSET(PLE!$G$15,$M121-$A$15,CG$13)))</f>
        <v>1000000000000</v>
      </c>
      <c r="CH121" s="172">
        <f t="array" aca="1" ref="CH121" ca="1">IF(OR($D121&lt;&gt;"Serviço",AND(AUTOEVENTO="Manual",$M121=$A$15),$M121&gt;(ROW(PLE.lastrow)-ROW(PLE.firstrow))),0,
           IF(OFFSET(PLE!$G$15,$M121-$A$15,CH$13)="",10^12,OFFSET(PLE!$G$15,$M121-$A$15,CH$13)))</f>
        <v>1000000000000</v>
      </c>
      <c r="CI121" s="172">
        <f t="array" aca="1" ref="CI121" ca="1">IF(OR($D121&lt;&gt;"Serviço",AND(AUTOEVENTO="Manual",$M121=$A$15),$M121&gt;(ROW(PLE.lastrow)-ROW(PLE.firstrow))),0,
           IF(OFFSET(PLE!$G$15,$M121-$A$15,CI$13)="",10^12,OFFSET(PLE!$G$15,$M121-$A$15,CI$13)))</f>
        <v>1000000000000</v>
      </c>
      <c r="CJ121" s="172">
        <f t="array" aca="1" ref="CJ121" ca="1">IF(OR($D121&lt;&gt;"Serviço",AND(AUTOEVENTO="Manual",$M121=$A$15),$M121&gt;(ROW(PLE.lastrow)-ROW(PLE.firstrow))),0,
           IF(OFFSET(PLE!$G$15,$M121-$A$15,CJ$13)="",10^12,OFFSET(PLE!$G$15,$M121-$A$15,CJ$13)))</f>
        <v>1000000000000</v>
      </c>
      <c r="CK121" s="172">
        <f t="array" aca="1" ref="CK121" ca="1">IF(OR($D121&lt;&gt;"Serviço",AND(AUTOEVENTO="Manual",$M121=$A$15),$M121&gt;(ROW(PLE.lastrow)-ROW(PLE.firstrow))),0,
           IF(OFFSET(PLE!$G$15,$M121-$A$15,CK$13)="",10^12,OFFSET(PLE!$G$15,$M121-$A$15,CK$13)))</f>
        <v>1000000000000</v>
      </c>
      <c r="CL121" s="172">
        <f t="array" aca="1" ref="CL121" ca="1">IF(OR($D121&lt;&gt;"Serviço",AND(AUTOEVENTO="Manual",$M121=$A$15),$M121&gt;(ROW(PLE.lastrow)-ROW(PLE.firstrow))),0,
           IF(OFFSET(PLE!$G$15,$M121-$A$15,CL$13)="",10^12,OFFSET(PLE!$G$15,$M121-$A$15,CL$13)))</f>
        <v>1000000000000</v>
      </c>
      <c r="CM121" s="172">
        <f t="array" aca="1" ref="CM121" ca="1">IF(OR($D121&lt;&gt;"Serviço",AND(AUTOEVENTO="Manual",$M121=$A$15),$M121&gt;(ROW(PLE.lastrow)-ROW(PLE.firstrow))),0,
           IF(OFFSET(PLE!$G$15,$M121-$A$15,CM$13)="",10^12,OFFSET(PLE!$G$15,$M121-$A$15,CM$13)))</f>
        <v>1000000000000</v>
      </c>
    </row>
    <row r="122" spans="1:91" s="696" customFormat="1" ht="12.75" x14ac:dyDescent="0.2">
      <c r="A122" s="694">
        <f t="shared" ca="1" si="45"/>
        <v>0</v>
      </c>
      <c r="B122" s="694">
        <f ca="1">OFFSET(ORÇAMENTO!C$15,$L122,0)</f>
        <v>2</v>
      </c>
      <c r="C122" s="694" t="str">
        <f ca="1">OFFSET(ORÇAMENTO!L$15,$L122,0)</f>
        <v>F</v>
      </c>
      <c r="D122" s="116" t="str">
        <f ca="1">OFFSET(ORÇAMENTO!N$15,$L122,0)</f>
        <v>Nível 2</v>
      </c>
      <c r="E122" s="117" t="str">
        <f ca="1">OFFSET(ORÇAMENTO!O$15,$L122,0)</f>
        <v>1.21.</v>
      </c>
      <c r="F122" s="163" t="str">
        <f ca="1">OFFSET(ORÇAMENTO!R$15,$L122,0)</f>
        <v>CIMENTADOS</v>
      </c>
      <c r="G122" s="164" t="str">
        <f ca="1">IF($D122&lt;&gt;"Serviço","",OFFSET(ORÇAMENTO!S$15,$L122,0))</f>
        <v/>
      </c>
      <c r="H122" s="122">
        <f t="array" aca="1" ref="H122" ca="1">IF($D122&lt;&gt;"Serviço",0,IF(ACOMPANHAMENTO="BM",ROUND(OFFSET(ORÇAMENTO!AJ$15,$L122,0),15-13*ORÇAMENTO!$AF$7),IF(IFERROR(CÁLCULO.FrentesPreenchidas,0)=0,0,SUM(ROUND(OFFSET($P122,0,1,1,CÁLCULO.FrentesPreenchidas),15-13*ORÇAMENTO!$AF$7)))))</f>
        <v>0</v>
      </c>
      <c r="I122" s="467"/>
      <c r="J122" s="653" t="str">
        <f t="array" aca="1" ref="J122" ca="1">IF(OR(B122&lt;&gt;"S",CÁLCULO.FrentesPreenchidas=0),"",IF(AND(ACOMPANHAMENTO="PLE",AUTOEVENTO="Manual",OR(H122&gt;0,ORÇAMENTO!AC122="QUANT."),OR(K122="",M122=0,N122="")),"►E",IF(AND(ACOMPANHAMENTO="PLE",ORÇAMENTO!AC122="QUANT."),"►Q",IF(AND(ACOMPANHAMENTO="PLE",H122&lt;&gt;SUMPRODUCT(($Q$1:$AI$1=1)*ROUND(Q122:AI122,15))),"►S",IF(AND(COUNTIF($P$11:$AI$11,"▼")=0,H122&gt;0,I122=""),"◄M","")))))</f>
        <v/>
      </c>
      <c r="K122" s="654"/>
      <c r="L122" s="165">
        <f t="shared" ca="1" si="46"/>
        <v>107</v>
      </c>
      <c r="M122" s="166" t="str">
        <f ca="1">IF($D122&lt;&gt;"Serviço","",
          IF(AUTOEVENTO="manual",$A122,
                IF(ISERROR(MATCH($A122,$A$15:OFFSET($A122,-1,0),0)),MAX($M$15:OFFSET(M122,-1,0))+1,
                      INDEX($M$15:OFFSET(M122,-1,0),MATCH($A122,$A$15:OFFSET($A122,-1,0),0)))))</f>
        <v/>
      </c>
      <c r="N122" s="167" t="str">
        <f ca="1">IF($D122&lt;&gt;"Serviço","",
         IF(AUTOEVENTO="Manual",
                IF($A122=0,"&lt;-- defina o número do agrupador",
                       OFFSET(EVENTOS!$D$15,$A122-$A$15,0)),
                OFFSET($F$15,$A122,0)))</f>
        <v/>
      </c>
      <c r="O122" s="168"/>
      <c r="Q122" s="169"/>
      <c r="R122" s="169"/>
      <c r="S122" s="169"/>
      <c r="T122" s="169"/>
      <c r="U122" s="169"/>
      <c r="V122" s="169"/>
      <c r="W122" s="169"/>
      <c r="X122" s="169"/>
      <c r="Y122" s="169"/>
      <c r="Z122" s="170"/>
      <c r="AA122" s="169"/>
      <c r="AB122" s="169"/>
      <c r="AC122" s="169"/>
      <c r="AD122" s="169"/>
      <c r="AE122" s="169"/>
      <c r="AF122" s="169"/>
      <c r="AG122" s="169"/>
      <c r="AH122" s="170"/>
      <c r="AJ122" s="452">
        <f ca="1">IF(AND($D122="Serviço",AJ$12&lt;&gt;0,$H122&gt;0,OR(AUTOEVENTO&lt;&gt;"manual",$M122&lt;&gt;$A$15)),
        IF(Import.TipoArredondamento&lt;&gt;"TransfereGOV",
              ROUND(OFFSET($P122,0,AJ$13),15-13*ORÇAMENTO!$AF$7)/$H122*OFFSET(ORÇAMENTO!$X$15,ROW(AJ122)-ROW(AJ$15),0),
              ROUND(ROUND(OFFSET($P122,0,AJ$13),15-13*ORÇAMENTO!$AF$7)*OFFSET(ORÇAMENTO!$W$15,ROW(AJ122)-ROW(AJ$15),0),15-13*ORÇAMENTO!$AF$11)),
         0)</f>
        <v>0</v>
      </c>
      <c r="AK122" s="452">
        <f ca="1">IF(AND($D122="Serviço",AK$12&lt;&gt;0,$H122&gt;0,OR(AUTOEVENTO&lt;&gt;"manual",$M122&lt;&gt;$A$15)),
        IF(Import.TipoArredondamento&lt;&gt;"TransfereGOV",
              ROUND(OFFSET($P122,0,AK$13),15-13*ORÇAMENTO!$AF$7)/$H122*OFFSET(ORÇAMENTO!$X$15,ROW(AK122)-ROW(AK$15),0),
              ROUND(ROUND(OFFSET($P122,0,AK$13),15-13*ORÇAMENTO!$AF$7)*OFFSET(ORÇAMENTO!$W$15,ROW(AK122)-ROW(AK$15),0),15-13*ORÇAMENTO!$AF$11)),
         0)</f>
        <v>0</v>
      </c>
      <c r="AL122" s="452">
        <f ca="1">IF(AND($D122="Serviço",AL$12&lt;&gt;0,$H122&gt;0,OR(AUTOEVENTO&lt;&gt;"manual",$M122&lt;&gt;$A$15)),
        IF(Import.TipoArredondamento&lt;&gt;"TransfereGOV",
              ROUND(OFFSET($P122,0,AL$13),15-13*ORÇAMENTO!$AF$7)/$H122*OFFSET(ORÇAMENTO!$X$15,ROW(AL122)-ROW(AL$15),0),
              ROUND(ROUND(OFFSET($P122,0,AL$13),15-13*ORÇAMENTO!$AF$7)*OFFSET(ORÇAMENTO!$W$15,ROW(AL122)-ROW(AL$15),0),15-13*ORÇAMENTO!$AF$11)),
         0)</f>
        <v>0</v>
      </c>
      <c r="AM122" s="452">
        <f ca="1">IF(AND($D122="Serviço",AM$12&lt;&gt;0,$H122&gt;0,OR(AUTOEVENTO&lt;&gt;"manual",$M122&lt;&gt;$A$15)),
        IF(Import.TipoArredondamento&lt;&gt;"TransfereGOV",
              ROUND(OFFSET($P122,0,AM$13),15-13*ORÇAMENTO!$AF$7)/$H122*OFFSET(ORÇAMENTO!$X$15,ROW(AM122)-ROW(AM$15),0),
              ROUND(ROUND(OFFSET($P122,0,AM$13),15-13*ORÇAMENTO!$AF$7)*OFFSET(ORÇAMENTO!$W$15,ROW(AM122)-ROW(AM$15),0),15-13*ORÇAMENTO!$AF$11)),
         0)</f>
        <v>0</v>
      </c>
      <c r="AN122" s="452">
        <f ca="1">IF(AND($D122="Serviço",AN$12&lt;&gt;0,$H122&gt;0,OR(AUTOEVENTO&lt;&gt;"manual",$M122&lt;&gt;$A$15)),
        IF(Import.TipoArredondamento&lt;&gt;"TransfereGOV",
              ROUND(OFFSET($P122,0,AN$13),15-13*ORÇAMENTO!$AF$7)/$H122*OFFSET(ORÇAMENTO!$X$15,ROW(AN122)-ROW(AN$15),0),
              ROUND(ROUND(OFFSET($P122,0,AN$13),15-13*ORÇAMENTO!$AF$7)*OFFSET(ORÇAMENTO!$W$15,ROW(AN122)-ROW(AN$15),0),15-13*ORÇAMENTO!$AF$11)),
         0)</f>
        <v>0</v>
      </c>
      <c r="AO122" s="452">
        <f ca="1">IF(AND($D122="Serviço",AO$12&lt;&gt;0,$H122&gt;0,OR(AUTOEVENTO&lt;&gt;"manual",$M122&lt;&gt;$A$15)),
        IF(Import.TipoArredondamento&lt;&gt;"TransfereGOV",
              ROUND(OFFSET($P122,0,AO$13),15-13*ORÇAMENTO!$AF$7)/$H122*OFFSET(ORÇAMENTO!$X$15,ROW(AO122)-ROW(AO$15),0),
              ROUND(ROUND(OFFSET($P122,0,AO$13),15-13*ORÇAMENTO!$AF$7)*OFFSET(ORÇAMENTO!$W$15,ROW(AO122)-ROW(AO$15),0),15-13*ORÇAMENTO!$AF$11)),
         0)</f>
        <v>0</v>
      </c>
      <c r="AP122" s="452">
        <f ca="1">IF(AND($D122="Serviço",AP$12&lt;&gt;0,$H122&gt;0,OR(AUTOEVENTO&lt;&gt;"manual",$M122&lt;&gt;$A$15)),
        IF(Import.TipoArredondamento&lt;&gt;"TransfereGOV",
              ROUND(OFFSET($P122,0,AP$13),15-13*ORÇAMENTO!$AF$7)/$H122*OFFSET(ORÇAMENTO!$X$15,ROW(AP122)-ROW(AP$15),0),
              ROUND(ROUND(OFFSET($P122,0,AP$13),15-13*ORÇAMENTO!$AF$7)*OFFSET(ORÇAMENTO!$W$15,ROW(AP122)-ROW(AP$15),0),15-13*ORÇAMENTO!$AF$11)),
         0)</f>
        <v>0</v>
      </c>
      <c r="AQ122" s="452">
        <f ca="1">IF(AND($D122="Serviço",AQ$12&lt;&gt;0,$H122&gt;0,OR(AUTOEVENTO&lt;&gt;"manual",$M122&lt;&gt;$A$15)),
        IF(Import.TipoArredondamento&lt;&gt;"TransfereGOV",
              ROUND(OFFSET($P122,0,AQ$13),15-13*ORÇAMENTO!$AF$7)/$H122*OFFSET(ORÇAMENTO!$X$15,ROW(AQ122)-ROW(AQ$15),0),
              ROUND(ROUND(OFFSET($P122,0,AQ$13),15-13*ORÇAMENTO!$AF$7)*OFFSET(ORÇAMENTO!$W$15,ROW(AQ122)-ROW(AQ$15),0),15-13*ORÇAMENTO!$AF$11)),
         0)</f>
        <v>0</v>
      </c>
      <c r="AR122" s="452">
        <f ca="1">IF(AND($D122="Serviço",AR$12&lt;&gt;0,$H122&gt;0,OR(AUTOEVENTO&lt;&gt;"manual",$M122&lt;&gt;$A$15)),
        IF(Import.TipoArredondamento&lt;&gt;"TransfereGOV",
              ROUND(OFFSET($P122,0,AR$13),15-13*ORÇAMENTO!$AF$7)/$H122*OFFSET(ORÇAMENTO!$X$15,ROW(AR122)-ROW(AR$15),0),
              ROUND(ROUND(OFFSET($P122,0,AR$13),15-13*ORÇAMENTO!$AF$7)*OFFSET(ORÇAMENTO!$W$15,ROW(AR122)-ROW(AR$15),0),15-13*ORÇAMENTO!$AF$11)),
         0)</f>
        <v>0</v>
      </c>
      <c r="AS122" s="452">
        <f ca="1">IF(AND($D122="Serviço",AS$12&lt;&gt;0,$H122&gt;0,OR(AUTOEVENTO&lt;&gt;"manual",$M122&lt;&gt;$A$15)),
        IF(Import.TipoArredondamento&lt;&gt;"TransfereGOV",
              ROUND(OFFSET($P122,0,AS$13),15-13*ORÇAMENTO!$AF$7)/$H122*OFFSET(ORÇAMENTO!$X$15,ROW(AS122)-ROW(AS$15),0),
              ROUND(ROUND(OFFSET($P122,0,AS$13),15-13*ORÇAMENTO!$AF$7)*OFFSET(ORÇAMENTO!$W$15,ROW(AS122)-ROW(AS$15),0),15-13*ORÇAMENTO!$AF$11)),
         0)</f>
        <v>0</v>
      </c>
      <c r="AT122" s="452">
        <f ca="1">IF(AND($D122="Serviço",AT$12&lt;&gt;0,$H122&gt;0,OR(AUTOEVENTO&lt;&gt;"manual",$M122&lt;&gt;$A$15)),
        IF(Import.TipoArredondamento&lt;&gt;"TransfereGOV",
              ROUND(OFFSET($P122,0,AT$13),15-13*ORÇAMENTO!$AF$7)/$H122*OFFSET(ORÇAMENTO!$X$15,ROW(AT122)-ROW(AT$15),0),
              ROUND(ROUND(OFFSET($P122,0,AT$13),15-13*ORÇAMENTO!$AF$7)*OFFSET(ORÇAMENTO!$W$15,ROW(AT122)-ROW(AT$15),0),15-13*ORÇAMENTO!$AF$11)),
         0)</f>
        <v>0</v>
      </c>
      <c r="AU122" s="452">
        <f ca="1">IF(AND($D122="Serviço",AU$12&lt;&gt;0,$H122&gt;0,OR(AUTOEVENTO&lt;&gt;"manual",$M122&lt;&gt;$A$15)),
        IF(Import.TipoArredondamento&lt;&gt;"TransfereGOV",
              ROUND(OFFSET($P122,0,AU$13),15-13*ORÇAMENTO!$AF$7)/$H122*OFFSET(ORÇAMENTO!$X$15,ROW(AU122)-ROW(AU$15),0),
              ROUND(ROUND(OFFSET($P122,0,AU$13),15-13*ORÇAMENTO!$AF$7)*OFFSET(ORÇAMENTO!$W$15,ROW(AU122)-ROW(AU$15),0),15-13*ORÇAMENTO!$AF$11)),
         0)</f>
        <v>0</v>
      </c>
      <c r="AV122" s="452">
        <f ca="1">IF(AND($D122="Serviço",AV$12&lt;&gt;0,$H122&gt;0,OR(AUTOEVENTO&lt;&gt;"manual",$M122&lt;&gt;$A$15)),
        IF(Import.TipoArredondamento&lt;&gt;"TransfereGOV",
              ROUND(OFFSET($P122,0,AV$13),15-13*ORÇAMENTO!$AF$7)/$H122*OFFSET(ORÇAMENTO!$X$15,ROW(AV122)-ROW(AV$15),0),
              ROUND(ROUND(OFFSET($P122,0,AV$13),15-13*ORÇAMENTO!$AF$7)*OFFSET(ORÇAMENTO!$W$15,ROW(AV122)-ROW(AV$15),0),15-13*ORÇAMENTO!$AF$11)),
         0)</f>
        <v>0</v>
      </c>
      <c r="AW122" s="452">
        <f ca="1">IF(AND($D122="Serviço",AW$12&lt;&gt;0,$H122&gt;0,OR(AUTOEVENTO&lt;&gt;"manual",$M122&lt;&gt;$A$15)),
        IF(Import.TipoArredondamento&lt;&gt;"TransfereGOV",
              ROUND(OFFSET($P122,0,AW$13),15-13*ORÇAMENTO!$AF$7)/$H122*OFFSET(ORÇAMENTO!$X$15,ROW(AW122)-ROW(AW$15),0),
              ROUND(ROUND(OFFSET($P122,0,AW$13),15-13*ORÇAMENTO!$AF$7)*OFFSET(ORÇAMENTO!$W$15,ROW(AW122)-ROW(AW$15),0),15-13*ORÇAMENTO!$AF$11)),
         0)</f>
        <v>0</v>
      </c>
      <c r="AX122" s="452">
        <f ca="1">IF(AND($D122="Serviço",AX$12&lt;&gt;0,$H122&gt;0,OR(AUTOEVENTO&lt;&gt;"manual",$M122&lt;&gt;$A$15)),
        IF(Import.TipoArredondamento&lt;&gt;"TransfereGOV",
              ROUND(OFFSET($P122,0,AX$13),15-13*ORÇAMENTO!$AF$7)/$H122*OFFSET(ORÇAMENTO!$X$15,ROW(AX122)-ROW(AX$15),0),
              ROUND(ROUND(OFFSET($P122,0,AX$13),15-13*ORÇAMENTO!$AF$7)*OFFSET(ORÇAMENTO!$W$15,ROW(AX122)-ROW(AX$15),0),15-13*ORÇAMENTO!$AF$11)),
         0)</f>
        <v>0</v>
      </c>
      <c r="AY122" s="452">
        <f ca="1">IF(AND($D122="Serviço",AY$12&lt;&gt;0,$H122&gt;0,OR(AUTOEVENTO&lt;&gt;"manual",$M122&lt;&gt;$A$15)),
        IF(Import.TipoArredondamento&lt;&gt;"TransfereGOV",
              ROUND(OFFSET($P122,0,AY$13),15-13*ORÇAMENTO!$AF$7)/$H122*OFFSET(ORÇAMENTO!$X$15,ROW(AY122)-ROW(AY$15),0),
              ROUND(ROUND(OFFSET($P122,0,AY$13),15-13*ORÇAMENTO!$AF$7)*OFFSET(ORÇAMENTO!$W$15,ROW(AY122)-ROW(AY$15),0),15-13*ORÇAMENTO!$AF$11)),
         0)</f>
        <v>0</v>
      </c>
      <c r="AZ122" s="452">
        <f ca="1">IF(AND($D122="Serviço",AZ$12&lt;&gt;0,$H122&gt;0,OR(AUTOEVENTO&lt;&gt;"manual",$M122&lt;&gt;$A$15)),
        IF(Import.TipoArredondamento&lt;&gt;"TransfereGOV",
              ROUND(OFFSET($P122,0,AZ$13),15-13*ORÇAMENTO!$AF$7)/$H122*OFFSET(ORÇAMENTO!$X$15,ROW(AZ122)-ROW(AZ$15),0),
              ROUND(ROUND(OFFSET($P122,0,AZ$13),15-13*ORÇAMENTO!$AF$7)*OFFSET(ORÇAMENTO!$W$15,ROW(AZ122)-ROW(AZ$15),0),15-13*ORÇAMENTO!$AF$11)),
         0)</f>
        <v>0</v>
      </c>
      <c r="BA122" s="452">
        <f ca="1">IF(AND($D122="Serviço",BA$12&lt;&gt;0,$H122&gt;0,OR(AUTOEVENTO&lt;&gt;"manual",$M122&lt;&gt;$A$15)),
        IF(Import.TipoArredondamento&lt;&gt;"TransfereGOV",
              ROUND(OFFSET($P122,0,BA$13),15-13*ORÇAMENTO!$AF$7)/$H122*OFFSET(ORÇAMENTO!$X$15,ROW(BA122)-ROW(BA$15),0),
              ROUND(ROUND(OFFSET($P122,0,BA$13),15-13*ORÇAMENTO!$AF$7)*OFFSET(ORÇAMENTO!$W$15,ROW(BA122)-ROW(BA$15),0),15-13*ORÇAMENTO!$AF$11)),
         0)</f>
        <v>0</v>
      </c>
      <c r="BC122" s="171">
        <f ca="1">IF(OR($D122&lt;&gt;"Serviço",AND(AUTOEVENTO="Manual",$M122=$A$15)),0,
         IF(OFFSET(CRONOPLE!$F$15,$M122-$A$15,BC$13)=0,10^12,OFFSET(CRONOPLE!$F$15,$M122-$A$15,BC$13)))</f>
        <v>0</v>
      </c>
      <c r="BD122" s="171">
        <f ca="1">IF(OR($D122&lt;&gt;"Serviço",AND(AUTOEVENTO="Manual",$M122=$A$15)),0,
         IF(OFFSET(CRONOPLE!$F$15,$M122-$A$15,BD$13)=0,10^12,OFFSET(CRONOPLE!$F$15,$M122-$A$15,BD$13)))</f>
        <v>0</v>
      </c>
      <c r="BE122" s="171">
        <f ca="1">IF(OR($D122&lt;&gt;"Serviço",AND(AUTOEVENTO="Manual",$M122=$A$15)),0,
         IF(OFFSET(CRONOPLE!$F$15,$M122-$A$15,BE$13)=0,10^12,OFFSET(CRONOPLE!$F$15,$M122-$A$15,BE$13)))</f>
        <v>0</v>
      </c>
      <c r="BF122" s="171">
        <f ca="1">IF(OR($D122&lt;&gt;"Serviço",AND(AUTOEVENTO="Manual",$M122=$A$15)),0,
         IF(OFFSET(CRONOPLE!$F$15,$M122-$A$15,BF$13)=0,10^12,OFFSET(CRONOPLE!$F$15,$M122-$A$15,BF$13)))</f>
        <v>0</v>
      </c>
      <c r="BG122" s="171">
        <f ca="1">IF(OR($D122&lt;&gt;"Serviço",AND(AUTOEVENTO="Manual",$M122=$A$15)),0,
         IF(OFFSET(CRONOPLE!$F$15,$M122-$A$15,BG$13)=0,10^12,OFFSET(CRONOPLE!$F$15,$M122-$A$15,BG$13)))</f>
        <v>0</v>
      </c>
      <c r="BH122" s="171">
        <f ca="1">IF(OR($D122&lt;&gt;"Serviço",AND(AUTOEVENTO="Manual",$M122=$A$15)),0,
         IF(OFFSET(CRONOPLE!$F$15,$M122-$A$15,BH$13)=0,10^12,OFFSET(CRONOPLE!$F$15,$M122-$A$15,BH$13)))</f>
        <v>0</v>
      </c>
      <c r="BI122" s="171">
        <f ca="1">IF(OR($D122&lt;&gt;"Serviço",AND(AUTOEVENTO="Manual",$M122=$A$15)),0,
         IF(OFFSET(CRONOPLE!$F$15,$M122-$A$15,BI$13)=0,10^12,OFFSET(CRONOPLE!$F$15,$M122-$A$15,BI$13)))</f>
        <v>0</v>
      </c>
      <c r="BJ122" s="171">
        <f ca="1">IF(OR($D122&lt;&gt;"Serviço",AND(AUTOEVENTO="Manual",$M122=$A$15)),0,
         IF(OFFSET(CRONOPLE!$F$15,$M122-$A$15,BJ$13)=0,10^12,OFFSET(CRONOPLE!$F$15,$M122-$A$15,BJ$13)))</f>
        <v>0</v>
      </c>
      <c r="BK122" s="171">
        <f ca="1">IF(OR($D122&lt;&gt;"Serviço",AND(AUTOEVENTO="Manual",$M122=$A$15)),0,
         IF(OFFSET(CRONOPLE!$F$15,$M122-$A$15,BK$13)=0,10^12,OFFSET(CRONOPLE!$F$15,$M122-$A$15,BK$13)))</f>
        <v>0</v>
      </c>
      <c r="BL122" s="171">
        <f ca="1">IF(OR($D122&lt;&gt;"Serviço",AND(AUTOEVENTO="Manual",$M122=$A$15)),0,
         IF(OFFSET(CRONOPLE!$F$15,$M122-$A$15,BL$13)=0,10^12,OFFSET(CRONOPLE!$F$15,$M122-$A$15,BL$13)))</f>
        <v>0</v>
      </c>
      <c r="BM122" s="171">
        <f ca="1">IF(OR($D122&lt;&gt;"Serviço",AND(AUTOEVENTO="Manual",$M122=$A$15)),0,
         IF(OFFSET(CRONOPLE!$F$15,$M122-$A$15,BM$13)=0,10^12,OFFSET(CRONOPLE!$F$15,$M122-$A$15,BM$13)))</f>
        <v>0</v>
      </c>
      <c r="BN122" s="171">
        <f ca="1">IF(OR($D122&lt;&gt;"Serviço",AND(AUTOEVENTO="Manual",$M122=$A$15)),0,
         IF(OFFSET(CRONOPLE!$F$15,$M122-$A$15,BN$13)=0,10^12,OFFSET(CRONOPLE!$F$15,$M122-$A$15,BN$13)))</f>
        <v>0</v>
      </c>
      <c r="BO122" s="171">
        <f ca="1">IF(OR($D122&lt;&gt;"Serviço",AND(AUTOEVENTO="Manual",$M122=$A$15)),0,
         IF(OFFSET(CRONOPLE!$F$15,$M122-$A$15,BO$13)=0,10^12,OFFSET(CRONOPLE!$F$15,$M122-$A$15,BO$13)))</f>
        <v>0</v>
      </c>
      <c r="BP122" s="171">
        <f ca="1">IF(OR($D122&lt;&gt;"Serviço",AND(AUTOEVENTO="Manual",$M122=$A$15)),0,
         IF(OFFSET(CRONOPLE!$F$15,$M122-$A$15,BP$13)=0,10^12,OFFSET(CRONOPLE!$F$15,$M122-$A$15,BP$13)))</f>
        <v>0</v>
      </c>
      <c r="BQ122" s="171">
        <f ca="1">IF(OR($D122&lt;&gt;"Serviço",AND(AUTOEVENTO="Manual",$M122=$A$15)),0,
         IF(OFFSET(CRONOPLE!$F$15,$M122-$A$15,BQ$13)=0,10^12,OFFSET(CRONOPLE!$F$15,$M122-$A$15,BQ$13)))</f>
        <v>0</v>
      </c>
      <c r="BR122" s="171">
        <f ca="1">IF(OR($D122&lt;&gt;"Serviço",AND(AUTOEVENTO="Manual",$M122=$A$15)),0,
         IF(OFFSET(CRONOPLE!$F$15,$M122-$A$15,BR$13)=0,10^12,OFFSET(CRONOPLE!$F$15,$M122-$A$15,BR$13)))</f>
        <v>0</v>
      </c>
      <c r="BS122" s="171">
        <f ca="1">IF(OR($D122&lt;&gt;"Serviço",AND(AUTOEVENTO="Manual",$M122=$A$15)),0,
         IF(OFFSET(CRONOPLE!$F$15,$M122-$A$15,BS$13)=0,10^12,OFFSET(CRONOPLE!$F$15,$M122-$A$15,BS$13)))</f>
        <v>0</v>
      </c>
      <c r="BT122" s="171">
        <f ca="1">IF(OR($D122&lt;&gt;"Serviço",AND(AUTOEVENTO="Manual",$M122=$A$15)),0,
         IF(OFFSET(CRONOPLE!$F$15,$M122-$A$15,BT$13)=0,10^12,OFFSET(CRONOPLE!$F$15,$M122-$A$15,BT$13)))</f>
        <v>0</v>
      </c>
      <c r="BV122" s="172">
        <f t="array" aca="1" ref="BV122" ca="1">IF(OR($D122&lt;&gt;"Serviço",AND(AUTOEVENTO="Manual",$M122=$A$15),$M122&gt;(ROW(PLE.lastrow)-ROW(PLE.firstrow))),0,
           IF(OFFSET(PLE!$G$15,$M122-$A$15,BV$13)="",10^12,OFFSET(PLE!$G$15,$M122-$A$15,BV$13)))</f>
        <v>0</v>
      </c>
      <c r="BW122" s="172">
        <f t="array" aca="1" ref="BW122" ca="1">IF(OR($D122&lt;&gt;"Serviço",AND(AUTOEVENTO="Manual",$M122=$A$15),$M122&gt;(ROW(PLE.lastrow)-ROW(PLE.firstrow))),0,
           IF(OFFSET(PLE!$G$15,$M122-$A$15,BW$13)="",10^12,OFFSET(PLE!$G$15,$M122-$A$15,BW$13)))</f>
        <v>0</v>
      </c>
      <c r="BX122" s="172">
        <f t="array" aca="1" ref="BX122" ca="1">IF(OR($D122&lt;&gt;"Serviço",AND(AUTOEVENTO="Manual",$M122=$A$15),$M122&gt;(ROW(PLE.lastrow)-ROW(PLE.firstrow))),0,
           IF(OFFSET(PLE!$G$15,$M122-$A$15,BX$13)="",10^12,OFFSET(PLE!$G$15,$M122-$A$15,BX$13)))</f>
        <v>0</v>
      </c>
      <c r="BY122" s="172">
        <f t="array" aca="1" ref="BY122" ca="1">IF(OR($D122&lt;&gt;"Serviço",AND(AUTOEVENTO="Manual",$M122=$A$15),$M122&gt;(ROW(PLE.lastrow)-ROW(PLE.firstrow))),0,
           IF(OFFSET(PLE!$G$15,$M122-$A$15,BY$13)="",10^12,OFFSET(PLE!$G$15,$M122-$A$15,BY$13)))</f>
        <v>0</v>
      </c>
      <c r="BZ122" s="172">
        <f t="array" aca="1" ref="BZ122" ca="1">IF(OR($D122&lt;&gt;"Serviço",AND(AUTOEVENTO="Manual",$M122=$A$15),$M122&gt;(ROW(PLE.lastrow)-ROW(PLE.firstrow))),0,
           IF(OFFSET(PLE!$G$15,$M122-$A$15,BZ$13)="",10^12,OFFSET(PLE!$G$15,$M122-$A$15,BZ$13)))</f>
        <v>0</v>
      </c>
      <c r="CA122" s="172">
        <f t="array" aca="1" ref="CA122" ca="1">IF(OR($D122&lt;&gt;"Serviço",AND(AUTOEVENTO="Manual",$M122=$A$15),$M122&gt;(ROW(PLE.lastrow)-ROW(PLE.firstrow))),0,
           IF(OFFSET(PLE!$G$15,$M122-$A$15,CA$13)="",10^12,OFFSET(PLE!$G$15,$M122-$A$15,CA$13)))</f>
        <v>0</v>
      </c>
      <c r="CB122" s="172">
        <f t="array" aca="1" ref="CB122" ca="1">IF(OR($D122&lt;&gt;"Serviço",AND(AUTOEVENTO="Manual",$M122=$A$15),$M122&gt;(ROW(PLE.lastrow)-ROW(PLE.firstrow))),0,
           IF(OFFSET(PLE!$G$15,$M122-$A$15,CB$13)="",10^12,OFFSET(PLE!$G$15,$M122-$A$15,CB$13)))</f>
        <v>0</v>
      </c>
      <c r="CC122" s="172">
        <f t="array" aca="1" ref="CC122" ca="1">IF(OR($D122&lt;&gt;"Serviço",AND(AUTOEVENTO="Manual",$M122=$A$15),$M122&gt;(ROW(PLE.lastrow)-ROW(PLE.firstrow))),0,
           IF(OFFSET(PLE!$G$15,$M122-$A$15,CC$13)="",10^12,OFFSET(PLE!$G$15,$M122-$A$15,CC$13)))</f>
        <v>0</v>
      </c>
      <c r="CD122" s="172">
        <f t="array" aca="1" ref="CD122" ca="1">IF(OR($D122&lt;&gt;"Serviço",AND(AUTOEVENTO="Manual",$M122=$A$15),$M122&gt;(ROW(PLE.lastrow)-ROW(PLE.firstrow))),0,
           IF(OFFSET(PLE!$G$15,$M122-$A$15,CD$13)="",10^12,OFFSET(PLE!$G$15,$M122-$A$15,CD$13)))</f>
        <v>0</v>
      </c>
      <c r="CE122" s="172">
        <f t="array" aca="1" ref="CE122" ca="1">IF(OR($D122&lt;&gt;"Serviço",AND(AUTOEVENTO="Manual",$M122=$A$15),$M122&gt;(ROW(PLE.lastrow)-ROW(PLE.firstrow))),0,
           IF(OFFSET(PLE!$G$15,$M122-$A$15,CE$13)="",10^12,OFFSET(PLE!$G$15,$M122-$A$15,CE$13)))</f>
        <v>0</v>
      </c>
      <c r="CF122" s="172">
        <f t="array" aca="1" ref="CF122" ca="1">IF(OR($D122&lt;&gt;"Serviço",AND(AUTOEVENTO="Manual",$M122=$A$15),$M122&gt;(ROW(PLE.lastrow)-ROW(PLE.firstrow))),0,
           IF(OFFSET(PLE!$G$15,$M122-$A$15,CF$13)="",10^12,OFFSET(PLE!$G$15,$M122-$A$15,CF$13)))</f>
        <v>0</v>
      </c>
      <c r="CG122" s="172">
        <f t="array" aca="1" ref="CG122" ca="1">IF(OR($D122&lt;&gt;"Serviço",AND(AUTOEVENTO="Manual",$M122=$A$15),$M122&gt;(ROW(PLE.lastrow)-ROW(PLE.firstrow))),0,
           IF(OFFSET(PLE!$G$15,$M122-$A$15,CG$13)="",10^12,OFFSET(PLE!$G$15,$M122-$A$15,CG$13)))</f>
        <v>0</v>
      </c>
      <c r="CH122" s="172">
        <f t="array" aca="1" ref="CH122" ca="1">IF(OR($D122&lt;&gt;"Serviço",AND(AUTOEVENTO="Manual",$M122=$A$15),$M122&gt;(ROW(PLE.lastrow)-ROW(PLE.firstrow))),0,
           IF(OFFSET(PLE!$G$15,$M122-$A$15,CH$13)="",10^12,OFFSET(PLE!$G$15,$M122-$A$15,CH$13)))</f>
        <v>0</v>
      </c>
      <c r="CI122" s="172">
        <f t="array" aca="1" ref="CI122" ca="1">IF(OR($D122&lt;&gt;"Serviço",AND(AUTOEVENTO="Manual",$M122=$A$15),$M122&gt;(ROW(PLE.lastrow)-ROW(PLE.firstrow))),0,
           IF(OFFSET(PLE!$G$15,$M122-$A$15,CI$13)="",10^12,OFFSET(PLE!$G$15,$M122-$A$15,CI$13)))</f>
        <v>0</v>
      </c>
      <c r="CJ122" s="172">
        <f t="array" aca="1" ref="CJ122" ca="1">IF(OR($D122&lt;&gt;"Serviço",AND(AUTOEVENTO="Manual",$M122=$A$15),$M122&gt;(ROW(PLE.lastrow)-ROW(PLE.firstrow))),0,
           IF(OFFSET(PLE!$G$15,$M122-$A$15,CJ$13)="",10^12,OFFSET(PLE!$G$15,$M122-$A$15,CJ$13)))</f>
        <v>0</v>
      </c>
      <c r="CK122" s="172">
        <f t="array" aca="1" ref="CK122" ca="1">IF(OR($D122&lt;&gt;"Serviço",AND(AUTOEVENTO="Manual",$M122=$A$15),$M122&gt;(ROW(PLE.lastrow)-ROW(PLE.firstrow))),0,
           IF(OFFSET(PLE!$G$15,$M122-$A$15,CK$13)="",10^12,OFFSET(PLE!$G$15,$M122-$A$15,CK$13)))</f>
        <v>0</v>
      </c>
      <c r="CL122" s="172">
        <f t="array" aca="1" ref="CL122" ca="1">IF(OR($D122&lt;&gt;"Serviço",AND(AUTOEVENTO="Manual",$M122=$A$15),$M122&gt;(ROW(PLE.lastrow)-ROW(PLE.firstrow))),0,
           IF(OFFSET(PLE!$G$15,$M122-$A$15,CL$13)="",10^12,OFFSET(PLE!$G$15,$M122-$A$15,CL$13)))</f>
        <v>0</v>
      </c>
      <c r="CM122" s="172">
        <f t="array" aca="1" ref="CM122" ca="1">IF(OR($D122&lt;&gt;"Serviço",AND(AUTOEVENTO="Manual",$M122=$A$15),$M122&gt;(ROW(PLE.lastrow)-ROW(PLE.firstrow))),0,
           IF(OFFSET(PLE!$G$15,$M122-$A$15,CM$13)="",10^12,OFFSET(PLE!$G$15,$M122-$A$15,CM$13)))</f>
        <v>0</v>
      </c>
    </row>
    <row r="123" spans="1:91" s="696" customFormat="1" ht="63.75" x14ac:dyDescent="0.2">
      <c r="A123" s="694">
        <f t="shared" ca="1" si="45"/>
        <v>20</v>
      </c>
      <c r="B123" s="694" t="str">
        <f ca="1">OFFSET(ORÇAMENTO!C$15,$L123,0)</f>
        <v>S</v>
      </c>
      <c r="C123" s="694" t="str">
        <f ca="1">OFFSET(ORÇAMENTO!L$15,$L123,0)</f>
        <v>F</v>
      </c>
      <c r="D123" s="116" t="str">
        <f ca="1">OFFSET(ORÇAMENTO!N$15,$L123,0)</f>
        <v>Serviço</v>
      </c>
      <c r="E123" s="117" t="str">
        <f ca="1">OFFSET(ORÇAMENTO!O$15,$L123,0)</f>
        <v>1.21.1.</v>
      </c>
      <c r="F123" s="163" t="str">
        <f ca="1">OFFSET(ORÇAMENTO!R$15,$L123,0)</f>
        <v>COMPACTAÇÃO MECÂNICA DE SOLO PARA EXECUÇÃO DE RADIER, PISO DE CONCRETO OU LAJE SOBRE SOLO, COM COMPACTADOR DE SOLOS TIPO PLACA VIBRATÓRIA. AF_09/2021</v>
      </c>
      <c r="G123" s="164" t="str">
        <f ca="1">IF($D123&lt;&gt;"Serviço","",OFFSET(ORÇAMENTO!S$15,$L123,0))</f>
        <v>M2</v>
      </c>
      <c r="H123" s="122">
        <f t="array" aca="1" ref="H123" ca="1">IF($D123&lt;&gt;"Serviço",0,IF(ACOMPANHAMENTO="BM",ROUND(OFFSET(ORÇAMENTO!AJ$15,$L123,0),15-13*ORÇAMENTO!$AF$7),IF(IFERROR(CÁLCULO.FrentesPreenchidas,0)=0,0,SUM(ROUND(OFFSET($P123,0,1,1,CÁLCULO.FrentesPreenchidas),15-13*ORÇAMENTO!$AF$7)))))</f>
        <v>323</v>
      </c>
      <c r="I123" s="467" t="s">
        <v>1279</v>
      </c>
      <c r="J123" s="653" t="str">
        <f t="array" aca="1" ref="J123" ca="1">IF(OR(B123&lt;&gt;"S",CÁLCULO.FrentesPreenchidas=0),"",IF(AND(ACOMPANHAMENTO="PLE",AUTOEVENTO="Manual",OR(H123&gt;0,ORÇAMENTO!AC123="QUANT."),OR(K123="",M123=0,N123="")),"►E",IF(AND(ACOMPANHAMENTO="PLE",ORÇAMENTO!AC123="QUANT."),"►Q",IF(AND(ACOMPANHAMENTO="PLE",H123&lt;&gt;SUMPRODUCT(($Q$1:$AI$1=1)*ROUND(Q123:AI123,15))),"►S",IF(AND(COUNTIF($P$11:$AI$11,"▼")=0,H123&gt;0,I123=""),"◄M","")))))</f>
        <v/>
      </c>
      <c r="K123" s="654" t="s">
        <v>1419</v>
      </c>
      <c r="L123" s="165">
        <f t="shared" ca="1" si="46"/>
        <v>108</v>
      </c>
      <c r="M123" s="166">
        <f ca="1">IF($D123&lt;&gt;"Serviço","",
          IF(AUTOEVENTO="manual",$A123,
                IF(ISERROR(MATCH($A123,$A$15:OFFSET($A123,-1,0),0)),MAX($M$15:OFFSET(M123,-1,0))+1,
                      INDEX($M$15:OFFSET(M123,-1,0),MATCH($A123,$A$15:OFFSET($A123,-1,0),0)))))</f>
        <v>20</v>
      </c>
      <c r="N123" s="167" t="str">
        <f ca="1">IF($D123&lt;&gt;"Serviço","",
         IF(AUTOEVENTO="Manual",
                IF($A123=0,"&lt;-- defina o número do agrupador",
                       OFFSET(EVENTOS!$D$15,$A123-$A$15,0)),
                OFFSET($F$15,$A123,0)))</f>
        <v>REVESTIMENTOS EXTERNOS DE PISO</v>
      </c>
      <c r="O123" s="168"/>
      <c r="Q123" s="169">
        <f>16.15*5</f>
        <v>80.75</v>
      </c>
      <c r="R123" s="169">
        <f t="shared" ref="R123:T123" si="77">16.15*5</f>
        <v>80.75</v>
      </c>
      <c r="S123" s="169">
        <f t="shared" si="77"/>
        <v>80.75</v>
      </c>
      <c r="T123" s="169">
        <f t="shared" si="77"/>
        <v>80.75</v>
      </c>
      <c r="U123" s="169"/>
      <c r="V123" s="169"/>
      <c r="W123" s="169"/>
      <c r="X123" s="169"/>
      <c r="Y123" s="169"/>
      <c r="Z123" s="170"/>
      <c r="AA123" s="169"/>
      <c r="AB123" s="169"/>
      <c r="AC123" s="169"/>
      <c r="AD123" s="169"/>
      <c r="AE123" s="169"/>
      <c r="AF123" s="169"/>
      <c r="AG123" s="169"/>
      <c r="AH123" s="170"/>
      <c r="AJ123" s="452">
        <f ca="1">IF(AND($D123="Serviço",AJ$12&lt;&gt;0,$H123&gt;0,OR(AUTOEVENTO&lt;&gt;"manual",$M123&lt;&gt;$A$15)),
        IF(Import.TipoArredondamento&lt;&gt;"TransfereGOV",
              ROUND(OFFSET($P123,0,AJ$13),15-13*ORÇAMENTO!$AF$7)/$H123*OFFSET(ORÇAMENTO!$X$15,ROW(AJ123)-ROW(AJ$15),0),
              ROUND(ROUND(OFFSET($P123,0,AJ$13),15-13*ORÇAMENTO!$AF$7)*OFFSET(ORÇAMENTO!$W$15,ROW(AJ123)-ROW(AJ$15),0),15-13*ORÇAMENTO!$AF$11)),
         0)</f>
        <v>68.64</v>
      </c>
      <c r="AK123" s="452">
        <f ca="1">IF(AND($D123="Serviço",AK$12&lt;&gt;0,$H123&gt;0,OR(AUTOEVENTO&lt;&gt;"manual",$M123&lt;&gt;$A$15)),
        IF(Import.TipoArredondamento&lt;&gt;"TransfereGOV",
              ROUND(OFFSET($P123,0,AK$13),15-13*ORÇAMENTO!$AF$7)/$H123*OFFSET(ORÇAMENTO!$X$15,ROW(AK123)-ROW(AK$15),0),
              ROUND(ROUND(OFFSET($P123,0,AK$13),15-13*ORÇAMENTO!$AF$7)*OFFSET(ORÇAMENTO!$W$15,ROW(AK123)-ROW(AK$15),0),15-13*ORÇAMENTO!$AF$11)),
         0)</f>
        <v>68.64</v>
      </c>
      <c r="AL123" s="452">
        <f ca="1">IF(AND($D123="Serviço",AL$12&lt;&gt;0,$H123&gt;0,OR(AUTOEVENTO&lt;&gt;"manual",$M123&lt;&gt;$A$15)),
        IF(Import.TipoArredondamento&lt;&gt;"TransfereGOV",
              ROUND(OFFSET($P123,0,AL$13),15-13*ORÇAMENTO!$AF$7)/$H123*OFFSET(ORÇAMENTO!$X$15,ROW(AL123)-ROW(AL$15),0),
              ROUND(ROUND(OFFSET($P123,0,AL$13),15-13*ORÇAMENTO!$AF$7)*OFFSET(ORÇAMENTO!$W$15,ROW(AL123)-ROW(AL$15),0),15-13*ORÇAMENTO!$AF$11)),
         0)</f>
        <v>68.64</v>
      </c>
      <c r="AM123" s="452">
        <f ca="1">IF(AND($D123="Serviço",AM$12&lt;&gt;0,$H123&gt;0,OR(AUTOEVENTO&lt;&gt;"manual",$M123&lt;&gt;$A$15)),
        IF(Import.TipoArredondamento&lt;&gt;"TransfereGOV",
              ROUND(OFFSET($P123,0,AM$13),15-13*ORÇAMENTO!$AF$7)/$H123*OFFSET(ORÇAMENTO!$X$15,ROW(AM123)-ROW(AM$15),0),
              ROUND(ROUND(OFFSET($P123,0,AM$13),15-13*ORÇAMENTO!$AF$7)*OFFSET(ORÇAMENTO!$W$15,ROW(AM123)-ROW(AM$15),0),15-13*ORÇAMENTO!$AF$11)),
         0)</f>
        <v>68.64</v>
      </c>
      <c r="AN123" s="452">
        <f ca="1">IF(AND($D123="Serviço",AN$12&lt;&gt;0,$H123&gt;0,OR(AUTOEVENTO&lt;&gt;"manual",$M123&lt;&gt;$A$15)),
        IF(Import.TipoArredondamento&lt;&gt;"TransfereGOV",
              ROUND(OFFSET($P123,0,AN$13),15-13*ORÇAMENTO!$AF$7)/$H123*OFFSET(ORÇAMENTO!$X$15,ROW(AN123)-ROW(AN$15),0),
              ROUND(ROUND(OFFSET($P123,0,AN$13),15-13*ORÇAMENTO!$AF$7)*OFFSET(ORÇAMENTO!$W$15,ROW(AN123)-ROW(AN$15),0),15-13*ORÇAMENTO!$AF$11)),
         0)</f>
        <v>0</v>
      </c>
      <c r="AO123" s="452">
        <f ca="1">IF(AND($D123="Serviço",AO$12&lt;&gt;0,$H123&gt;0,OR(AUTOEVENTO&lt;&gt;"manual",$M123&lt;&gt;$A$15)),
        IF(Import.TipoArredondamento&lt;&gt;"TransfereGOV",
              ROUND(OFFSET($P123,0,AO$13),15-13*ORÇAMENTO!$AF$7)/$H123*OFFSET(ORÇAMENTO!$X$15,ROW(AO123)-ROW(AO$15),0),
              ROUND(ROUND(OFFSET($P123,0,AO$13),15-13*ORÇAMENTO!$AF$7)*OFFSET(ORÇAMENTO!$W$15,ROW(AO123)-ROW(AO$15),0),15-13*ORÇAMENTO!$AF$11)),
         0)</f>
        <v>0</v>
      </c>
      <c r="AP123" s="452">
        <f ca="1">IF(AND($D123="Serviço",AP$12&lt;&gt;0,$H123&gt;0,OR(AUTOEVENTO&lt;&gt;"manual",$M123&lt;&gt;$A$15)),
        IF(Import.TipoArredondamento&lt;&gt;"TransfereGOV",
              ROUND(OFFSET($P123,0,AP$13),15-13*ORÇAMENTO!$AF$7)/$H123*OFFSET(ORÇAMENTO!$X$15,ROW(AP123)-ROW(AP$15),0),
              ROUND(ROUND(OFFSET($P123,0,AP$13),15-13*ORÇAMENTO!$AF$7)*OFFSET(ORÇAMENTO!$W$15,ROW(AP123)-ROW(AP$15),0),15-13*ORÇAMENTO!$AF$11)),
         0)</f>
        <v>0</v>
      </c>
      <c r="AQ123" s="452">
        <f ca="1">IF(AND($D123="Serviço",AQ$12&lt;&gt;0,$H123&gt;0,OR(AUTOEVENTO&lt;&gt;"manual",$M123&lt;&gt;$A$15)),
        IF(Import.TipoArredondamento&lt;&gt;"TransfereGOV",
              ROUND(OFFSET($P123,0,AQ$13),15-13*ORÇAMENTO!$AF$7)/$H123*OFFSET(ORÇAMENTO!$X$15,ROW(AQ123)-ROW(AQ$15),0),
              ROUND(ROUND(OFFSET($P123,0,AQ$13),15-13*ORÇAMENTO!$AF$7)*OFFSET(ORÇAMENTO!$W$15,ROW(AQ123)-ROW(AQ$15),0),15-13*ORÇAMENTO!$AF$11)),
         0)</f>
        <v>0</v>
      </c>
      <c r="AR123" s="452">
        <f ca="1">IF(AND($D123="Serviço",AR$12&lt;&gt;0,$H123&gt;0,OR(AUTOEVENTO&lt;&gt;"manual",$M123&lt;&gt;$A$15)),
        IF(Import.TipoArredondamento&lt;&gt;"TransfereGOV",
              ROUND(OFFSET($P123,0,AR$13),15-13*ORÇAMENTO!$AF$7)/$H123*OFFSET(ORÇAMENTO!$X$15,ROW(AR123)-ROW(AR$15),0),
              ROUND(ROUND(OFFSET($P123,0,AR$13),15-13*ORÇAMENTO!$AF$7)*OFFSET(ORÇAMENTO!$W$15,ROW(AR123)-ROW(AR$15),0),15-13*ORÇAMENTO!$AF$11)),
         0)</f>
        <v>0</v>
      </c>
      <c r="AS123" s="452">
        <f ca="1">IF(AND($D123="Serviço",AS$12&lt;&gt;0,$H123&gt;0,OR(AUTOEVENTO&lt;&gt;"manual",$M123&lt;&gt;$A$15)),
        IF(Import.TipoArredondamento&lt;&gt;"TransfereGOV",
              ROUND(OFFSET($P123,0,AS$13),15-13*ORÇAMENTO!$AF$7)/$H123*OFFSET(ORÇAMENTO!$X$15,ROW(AS123)-ROW(AS$15),0),
              ROUND(ROUND(OFFSET($P123,0,AS$13),15-13*ORÇAMENTO!$AF$7)*OFFSET(ORÇAMENTO!$W$15,ROW(AS123)-ROW(AS$15),0),15-13*ORÇAMENTO!$AF$11)),
         0)</f>
        <v>0</v>
      </c>
      <c r="AT123" s="452">
        <f ca="1">IF(AND($D123="Serviço",AT$12&lt;&gt;0,$H123&gt;0,OR(AUTOEVENTO&lt;&gt;"manual",$M123&lt;&gt;$A$15)),
        IF(Import.TipoArredondamento&lt;&gt;"TransfereGOV",
              ROUND(OFFSET($P123,0,AT$13),15-13*ORÇAMENTO!$AF$7)/$H123*OFFSET(ORÇAMENTO!$X$15,ROW(AT123)-ROW(AT$15),0),
              ROUND(ROUND(OFFSET($P123,0,AT$13),15-13*ORÇAMENTO!$AF$7)*OFFSET(ORÇAMENTO!$W$15,ROW(AT123)-ROW(AT$15),0),15-13*ORÇAMENTO!$AF$11)),
         0)</f>
        <v>0</v>
      </c>
      <c r="AU123" s="452">
        <f ca="1">IF(AND($D123="Serviço",AU$12&lt;&gt;0,$H123&gt;0,OR(AUTOEVENTO&lt;&gt;"manual",$M123&lt;&gt;$A$15)),
        IF(Import.TipoArredondamento&lt;&gt;"TransfereGOV",
              ROUND(OFFSET($P123,0,AU$13),15-13*ORÇAMENTO!$AF$7)/$H123*OFFSET(ORÇAMENTO!$X$15,ROW(AU123)-ROW(AU$15),0),
              ROUND(ROUND(OFFSET($P123,0,AU$13),15-13*ORÇAMENTO!$AF$7)*OFFSET(ORÇAMENTO!$W$15,ROW(AU123)-ROW(AU$15),0),15-13*ORÇAMENTO!$AF$11)),
         0)</f>
        <v>0</v>
      </c>
      <c r="AV123" s="452">
        <f ca="1">IF(AND($D123="Serviço",AV$12&lt;&gt;0,$H123&gt;0,OR(AUTOEVENTO&lt;&gt;"manual",$M123&lt;&gt;$A$15)),
        IF(Import.TipoArredondamento&lt;&gt;"TransfereGOV",
              ROUND(OFFSET($P123,0,AV$13),15-13*ORÇAMENTO!$AF$7)/$H123*OFFSET(ORÇAMENTO!$X$15,ROW(AV123)-ROW(AV$15),0),
              ROUND(ROUND(OFFSET($P123,0,AV$13),15-13*ORÇAMENTO!$AF$7)*OFFSET(ORÇAMENTO!$W$15,ROW(AV123)-ROW(AV$15),0),15-13*ORÇAMENTO!$AF$11)),
         0)</f>
        <v>0</v>
      </c>
      <c r="AW123" s="452">
        <f ca="1">IF(AND($D123="Serviço",AW$12&lt;&gt;0,$H123&gt;0,OR(AUTOEVENTO&lt;&gt;"manual",$M123&lt;&gt;$A$15)),
        IF(Import.TipoArredondamento&lt;&gt;"TransfereGOV",
              ROUND(OFFSET($P123,0,AW$13),15-13*ORÇAMENTO!$AF$7)/$H123*OFFSET(ORÇAMENTO!$X$15,ROW(AW123)-ROW(AW$15),0),
              ROUND(ROUND(OFFSET($P123,0,AW$13),15-13*ORÇAMENTO!$AF$7)*OFFSET(ORÇAMENTO!$W$15,ROW(AW123)-ROW(AW$15),0),15-13*ORÇAMENTO!$AF$11)),
         0)</f>
        <v>0</v>
      </c>
      <c r="AX123" s="452">
        <f ca="1">IF(AND($D123="Serviço",AX$12&lt;&gt;0,$H123&gt;0,OR(AUTOEVENTO&lt;&gt;"manual",$M123&lt;&gt;$A$15)),
        IF(Import.TipoArredondamento&lt;&gt;"TransfereGOV",
              ROUND(OFFSET($P123,0,AX$13),15-13*ORÇAMENTO!$AF$7)/$H123*OFFSET(ORÇAMENTO!$X$15,ROW(AX123)-ROW(AX$15),0),
              ROUND(ROUND(OFFSET($P123,0,AX$13),15-13*ORÇAMENTO!$AF$7)*OFFSET(ORÇAMENTO!$W$15,ROW(AX123)-ROW(AX$15),0),15-13*ORÇAMENTO!$AF$11)),
         0)</f>
        <v>0</v>
      </c>
      <c r="AY123" s="452">
        <f ca="1">IF(AND($D123="Serviço",AY$12&lt;&gt;0,$H123&gt;0,OR(AUTOEVENTO&lt;&gt;"manual",$M123&lt;&gt;$A$15)),
        IF(Import.TipoArredondamento&lt;&gt;"TransfereGOV",
              ROUND(OFFSET($P123,0,AY$13),15-13*ORÇAMENTO!$AF$7)/$H123*OFFSET(ORÇAMENTO!$X$15,ROW(AY123)-ROW(AY$15),0),
              ROUND(ROUND(OFFSET($P123,0,AY$13),15-13*ORÇAMENTO!$AF$7)*OFFSET(ORÇAMENTO!$W$15,ROW(AY123)-ROW(AY$15),0),15-13*ORÇAMENTO!$AF$11)),
         0)</f>
        <v>0</v>
      </c>
      <c r="AZ123" s="452">
        <f ca="1">IF(AND($D123="Serviço",AZ$12&lt;&gt;0,$H123&gt;0,OR(AUTOEVENTO&lt;&gt;"manual",$M123&lt;&gt;$A$15)),
        IF(Import.TipoArredondamento&lt;&gt;"TransfereGOV",
              ROUND(OFFSET($P123,0,AZ$13),15-13*ORÇAMENTO!$AF$7)/$H123*OFFSET(ORÇAMENTO!$X$15,ROW(AZ123)-ROW(AZ$15),0),
              ROUND(ROUND(OFFSET($P123,0,AZ$13),15-13*ORÇAMENTO!$AF$7)*OFFSET(ORÇAMENTO!$W$15,ROW(AZ123)-ROW(AZ$15),0),15-13*ORÇAMENTO!$AF$11)),
         0)</f>
        <v>0</v>
      </c>
      <c r="BA123" s="452">
        <f ca="1">IF(AND($D123="Serviço",BA$12&lt;&gt;0,$H123&gt;0,OR(AUTOEVENTO&lt;&gt;"manual",$M123&lt;&gt;$A$15)),
        IF(Import.TipoArredondamento&lt;&gt;"TransfereGOV",
              ROUND(OFFSET($P123,0,BA$13),15-13*ORÇAMENTO!$AF$7)/$H123*OFFSET(ORÇAMENTO!$X$15,ROW(BA123)-ROW(BA$15),0),
              ROUND(ROUND(OFFSET($P123,0,BA$13),15-13*ORÇAMENTO!$AF$7)*OFFSET(ORÇAMENTO!$W$15,ROW(BA123)-ROW(BA$15),0),15-13*ORÇAMENTO!$AF$11)),
         0)</f>
        <v>0</v>
      </c>
      <c r="BC123" s="171">
        <f ca="1">IF(OR($D123&lt;&gt;"Serviço",AND(AUTOEVENTO="Manual",$M123=$A$15)),0,
         IF(OFFSET(CRONOPLE!$F$15,$M123-$A$15,BC$13)=0,10^12,OFFSET(CRONOPLE!$F$15,$M123-$A$15,BC$13)))</f>
        <v>4</v>
      </c>
      <c r="BD123" s="171">
        <f ca="1">IF(OR($D123&lt;&gt;"Serviço",AND(AUTOEVENTO="Manual",$M123=$A$15)),0,
         IF(OFFSET(CRONOPLE!$F$15,$M123-$A$15,BD$13)=0,10^12,OFFSET(CRONOPLE!$F$15,$M123-$A$15,BD$13)))</f>
        <v>4</v>
      </c>
      <c r="BE123" s="171">
        <f ca="1">IF(OR($D123&lt;&gt;"Serviço",AND(AUTOEVENTO="Manual",$M123=$A$15)),0,
         IF(OFFSET(CRONOPLE!$F$15,$M123-$A$15,BE$13)=0,10^12,OFFSET(CRONOPLE!$F$15,$M123-$A$15,BE$13)))</f>
        <v>5</v>
      </c>
      <c r="BF123" s="171">
        <f ca="1">IF(OR($D123&lt;&gt;"Serviço",AND(AUTOEVENTO="Manual",$M123=$A$15)),0,
         IF(OFFSET(CRONOPLE!$F$15,$M123-$A$15,BF$13)=0,10^12,OFFSET(CRONOPLE!$F$15,$M123-$A$15,BF$13)))</f>
        <v>5</v>
      </c>
      <c r="BG123" s="171">
        <f ca="1">IF(OR($D123&lt;&gt;"Serviço",AND(AUTOEVENTO="Manual",$M123=$A$15)),0,
         IF(OFFSET(CRONOPLE!$F$15,$M123-$A$15,BG$13)=0,10^12,OFFSET(CRONOPLE!$F$15,$M123-$A$15,BG$13)))</f>
        <v>5</v>
      </c>
      <c r="BH123" s="171">
        <f ca="1">IF(OR($D123&lt;&gt;"Serviço",AND(AUTOEVENTO="Manual",$M123=$A$15)),0,
         IF(OFFSET(CRONOPLE!$F$15,$M123-$A$15,BH$13)=0,10^12,OFFSET(CRONOPLE!$F$15,$M123-$A$15,BH$13)))</f>
        <v>6</v>
      </c>
      <c r="BI123" s="171">
        <f ca="1">IF(OR($D123&lt;&gt;"Serviço",AND(AUTOEVENTO="Manual",$M123=$A$15)),0,
         IF(OFFSET(CRONOPLE!$F$15,$M123-$A$15,BI$13)=0,10^12,OFFSET(CRONOPLE!$F$15,$M123-$A$15,BI$13)))</f>
        <v>7</v>
      </c>
      <c r="BJ123" s="171">
        <f ca="1">IF(OR($D123&lt;&gt;"Serviço",AND(AUTOEVENTO="Manual",$M123=$A$15)),0,
         IF(OFFSET(CRONOPLE!$F$15,$M123-$A$15,BJ$13)=0,10^12,OFFSET(CRONOPLE!$F$15,$M123-$A$15,BJ$13)))</f>
        <v>8</v>
      </c>
      <c r="BK123" s="171">
        <f ca="1">IF(OR($D123&lt;&gt;"Serviço",AND(AUTOEVENTO="Manual",$M123=$A$15)),0,
         IF(OFFSET(CRONOPLE!$F$15,$M123-$A$15,BK$13)=0,10^12,OFFSET(CRONOPLE!$F$15,$M123-$A$15,BK$13)))</f>
        <v>1000000000000</v>
      </c>
      <c r="BL123" s="171">
        <f ca="1">IF(OR($D123&lt;&gt;"Serviço",AND(AUTOEVENTO="Manual",$M123=$A$15)),0,
         IF(OFFSET(CRONOPLE!$F$15,$M123-$A$15,BL$13)=0,10^12,OFFSET(CRONOPLE!$F$15,$M123-$A$15,BL$13)))</f>
        <v>1000000000000</v>
      </c>
      <c r="BM123" s="171">
        <f ca="1">IF(OR($D123&lt;&gt;"Serviço",AND(AUTOEVENTO="Manual",$M123=$A$15)),0,
         IF(OFFSET(CRONOPLE!$F$15,$M123-$A$15,BM$13)=0,10^12,OFFSET(CRONOPLE!$F$15,$M123-$A$15,BM$13)))</f>
        <v>1000000000000</v>
      </c>
      <c r="BN123" s="171">
        <f ca="1">IF(OR($D123&lt;&gt;"Serviço",AND(AUTOEVENTO="Manual",$M123=$A$15)),0,
         IF(OFFSET(CRONOPLE!$F$15,$M123-$A$15,BN$13)=0,10^12,OFFSET(CRONOPLE!$F$15,$M123-$A$15,BN$13)))</f>
        <v>1000000000000</v>
      </c>
      <c r="BO123" s="171">
        <f ca="1">IF(OR($D123&lt;&gt;"Serviço",AND(AUTOEVENTO="Manual",$M123=$A$15)),0,
         IF(OFFSET(CRONOPLE!$F$15,$M123-$A$15,BO$13)=0,10^12,OFFSET(CRONOPLE!$F$15,$M123-$A$15,BO$13)))</f>
        <v>1000000000000</v>
      </c>
      <c r="BP123" s="171">
        <f ca="1">IF(OR($D123&lt;&gt;"Serviço",AND(AUTOEVENTO="Manual",$M123=$A$15)),0,
         IF(OFFSET(CRONOPLE!$F$15,$M123-$A$15,BP$13)=0,10^12,OFFSET(CRONOPLE!$F$15,$M123-$A$15,BP$13)))</f>
        <v>1000000000000</v>
      </c>
      <c r="BQ123" s="171">
        <f ca="1">IF(OR($D123&lt;&gt;"Serviço",AND(AUTOEVENTO="Manual",$M123=$A$15)),0,
         IF(OFFSET(CRONOPLE!$F$15,$M123-$A$15,BQ$13)=0,10^12,OFFSET(CRONOPLE!$F$15,$M123-$A$15,BQ$13)))</f>
        <v>1000000000000</v>
      </c>
      <c r="BR123" s="171">
        <f ca="1">IF(OR($D123&lt;&gt;"Serviço",AND(AUTOEVENTO="Manual",$M123=$A$15)),0,
         IF(OFFSET(CRONOPLE!$F$15,$M123-$A$15,BR$13)=0,10^12,OFFSET(CRONOPLE!$F$15,$M123-$A$15,BR$13)))</f>
        <v>1000000000000</v>
      </c>
      <c r="BS123" s="171">
        <f ca="1">IF(OR($D123&lt;&gt;"Serviço",AND(AUTOEVENTO="Manual",$M123=$A$15)),0,
         IF(OFFSET(CRONOPLE!$F$15,$M123-$A$15,BS$13)=0,10^12,OFFSET(CRONOPLE!$F$15,$M123-$A$15,BS$13)))</f>
        <v>1000000000000</v>
      </c>
      <c r="BT123" s="171">
        <f ca="1">IF(OR($D123&lt;&gt;"Serviço",AND(AUTOEVENTO="Manual",$M123=$A$15)),0,
         IF(OFFSET(CRONOPLE!$F$15,$M123-$A$15,BT$13)=0,10^12,OFFSET(CRONOPLE!$F$15,$M123-$A$15,BT$13)))</f>
        <v>1000000000000</v>
      </c>
      <c r="BV123" s="172">
        <f t="array" aca="1" ref="BV123" ca="1">IF(OR($D123&lt;&gt;"Serviço",AND(AUTOEVENTO="Manual",$M123=$A$15),$M123&gt;(ROW(PLE.lastrow)-ROW(PLE.firstrow))),0,
           IF(OFFSET(PLE!$G$15,$M123-$A$15,BV$13)="",10^12,OFFSET(PLE!$G$15,$M123-$A$15,BV$13)))</f>
        <v>1000000000000</v>
      </c>
      <c r="BW123" s="172">
        <f t="array" aca="1" ref="BW123" ca="1">IF(OR($D123&lt;&gt;"Serviço",AND(AUTOEVENTO="Manual",$M123=$A$15),$M123&gt;(ROW(PLE.lastrow)-ROW(PLE.firstrow))),0,
           IF(OFFSET(PLE!$G$15,$M123-$A$15,BW$13)="",10^12,OFFSET(PLE!$G$15,$M123-$A$15,BW$13)))</f>
        <v>1000000000000</v>
      </c>
      <c r="BX123" s="172">
        <f t="array" aca="1" ref="BX123" ca="1">IF(OR($D123&lt;&gt;"Serviço",AND(AUTOEVENTO="Manual",$M123=$A$15),$M123&gt;(ROW(PLE.lastrow)-ROW(PLE.firstrow))),0,
           IF(OFFSET(PLE!$G$15,$M123-$A$15,BX$13)="",10^12,OFFSET(PLE!$G$15,$M123-$A$15,BX$13)))</f>
        <v>1000000000000</v>
      </c>
      <c r="BY123" s="172">
        <f t="array" aca="1" ref="BY123" ca="1">IF(OR($D123&lt;&gt;"Serviço",AND(AUTOEVENTO="Manual",$M123=$A$15),$M123&gt;(ROW(PLE.lastrow)-ROW(PLE.firstrow))),0,
           IF(OFFSET(PLE!$G$15,$M123-$A$15,BY$13)="",10^12,OFFSET(PLE!$G$15,$M123-$A$15,BY$13)))</f>
        <v>1000000000000</v>
      </c>
      <c r="BZ123" s="172">
        <f t="array" aca="1" ref="BZ123" ca="1">IF(OR($D123&lt;&gt;"Serviço",AND(AUTOEVENTO="Manual",$M123=$A$15),$M123&gt;(ROW(PLE.lastrow)-ROW(PLE.firstrow))),0,
           IF(OFFSET(PLE!$G$15,$M123-$A$15,BZ$13)="",10^12,OFFSET(PLE!$G$15,$M123-$A$15,BZ$13)))</f>
        <v>1000000000000</v>
      </c>
      <c r="CA123" s="172">
        <f t="array" aca="1" ref="CA123" ca="1">IF(OR($D123&lt;&gt;"Serviço",AND(AUTOEVENTO="Manual",$M123=$A$15),$M123&gt;(ROW(PLE.lastrow)-ROW(PLE.firstrow))),0,
           IF(OFFSET(PLE!$G$15,$M123-$A$15,CA$13)="",10^12,OFFSET(PLE!$G$15,$M123-$A$15,CA$13)))</f>
        <v>1000000000000</v>
      </c>
      <c r="CB123" s="172">
        <f t="array" aca="1" ref="CB123" ca="1">IF(OR($D123&lt;&gt;"Serviço",AND(AUTOEVENTO="Manual",$M123=$A$15),$M123&gt;(ROW(PLE.lastrow)-ROW(PLE.firstrow))),0,
           IF(OFFSET(PLE!$G$15,$M123-$A$15,CB$13)="",10^12,OFFSET(PLE!$G$15,$M123-$A$15,CB$13)))</f>
        <v>1000000000000</v>
      </c>
      <c r="CC123" s="172">
        <f t="array" aca="1" ref="CC123" ca="1">IF(OR($D123&lt;&gt;"Serviço",AND(AUTOEVENTO="Manual",$M123=$A$15),$M123&gt;(ROW(PLE.lastrow)-ROW(PLE.firstrow))),0,
           IF(OFFSET(PLE!$G$15,$M123-$A$15,CC$13)="",10^12,OFFSET(PLE!$G$15,$M123-$A$15,CC$13)))</f>
        <v>1000000000000</v>
      </c>
      <c r="CD123" s="172">
        <f t="array" aca="1" ref="CD123" ca="1">IF(OR($D123&lt;&gt;"Serviço",AND(AUTOEVENTO="Manual",$M123=$A$15),$M123&gt;(ROW(PLE.lastrow)-ROW(PLE.firstrow))),0,
           IF(OFFSET(PLE!$G$15,$M123-$A$15,CD$13)="",10^12,OFFSET(PLE!$G$15,$M123-$A$15,CD$13)))</f>
        <v>1000000000000</v>
      </c>
      <c r="CE123" s="172">
        <f t="array" aca="1" ref="CE123" ca="1">IF(OR($D123&lt;&gt;"Serviço",AND(AUTOEVENTO="Manual",$M123=$A$15),$M123&gt;(ROW(PLE.lastrow)-ROW(PLE.firstrow))),0,
           IF(OFFSET(PLE!$G$15,$M123-$A$15,CE$13)="",10^12,OFFSET(PLE!$G$15,$M123-$A$15,CE$13)))</f>
        <v>1000000000000</v>
      </c>
      <c r="CF123" s="172">
        <f t="array" aca="1" ref="CF123" ca="1">IF(OR($D123&lt;&gt;"Serviço",AND(AUTOEVENTO="Manual",$M123=$A$15),$M123&gt;(ROW(PLE.lastrow)-ROW(PLE.firstrow))),0,
           IF(OFFSET(PLE!$G$15,$M123-$A$15,CF$13)="",10^12,OFFSET(PLE!$G$15,$M123-$A$15,CF$13)))</f>
        <v>1000000000000</v>
      </c>
      <c r="CG123" s="172">
        <f t="array" aca="1" ref="CG123" ca="1">IF(OR($D123&lt;&gt;"Serviço",AND(AUTOEVENTO="Manual",$M123=$A$15),$M123&gt;(ROW(PLE.lastrow)-ROW(PLE.firstrow))),0,
           IF(OFFSET(PLE!$G$15,$M123-$A$15,CG$13)="",10^12,OFFSET(PLE!$G$15,$M123-$A$15,CG$13)))</f>
        <v>1000000000000</v>
      </c>
      <c r="CH123" s="172">
        <f t="array" aca="1" ref="CH123" ca="1">IF(OR($D123&lt;&gt;"Serviço",AND(AUTOEVENTO="Manual",$M123=$A$15),$M123&gt;(ROW(PLE.lastrow)-ROW(PLE.firstrow))),0,
           IF(OFFSET(PLE!$G$15,$M123-$A$15,CH$13)="",10^12,OFFSET(PLE!$G$15,$M123-$A$15,CH$13)))</f>
        <v>1000000000000</v>
      </c>
      <c r="CI123" s="172">
        <f t="array" aca="1" ref="CI123" ca="1">IF(OR($D123&lt;&gt;"Serviço",AND(AUTOEVENTO="Manual",$M123=$A$15),$M123&gt;(ROW(PLE.lastrow)-ROW(PLE.firstrow))),0,
           IF(OFFSET(PLE!$G$15,$M123-$A$15,CI$13)="",10^12,OFFSET(PLE!$G$15,$M123-$A$15,CI$13)))</f>
        <v>1000000000000</v>
      </c>
      <c r="CJ123" s="172">
        <f t="array" aca="1" ref="CJ123" ca="1">IF(OR($D123&lt;&gt;"Serviço",AND(AUTOEVENTO="Manual",$M123=$A$15),$M123&gt;(ROW(PLE.lastrow)-ROW(PLE.firstrow))),0,
           IF(OFFSET(PLE!$G$15,$M123-$A$15,CJ$13)="",10^12,OFFSET(PLE!$G$15,$M123-$A$15,CJ$13)))</f>
        <v>1000000000000</v>
      </c>
      <c r="CK123" s="172">
        <f t="array" aca="1" ref="CK123" ca="1">IF(OR($D123&lt;&gt;"Serviço",AND(AUTOEVENTO="Manual",$M123=$A$15),$M123&gt;(ROW(PLE.lastrow)-ROW(PLE.firstrow))),0,
           IF(OFFSET(PLE!$G$15,$M123-$A$15,CK$13)="",10^12,OFFSET(PLE!$G$15,$M123-$A$15,CK$13)))</f>
        <v>1000000000000</v>
      </c>
      <c r="CL123" s="172">
        <f t="array" aca="1" ref="CL123" ca="1">IF(OR($D123&lt;&gt;"Serviço",AND(AUTOEVENTO="Manual",$M123=$A$15),$M123&gt;(ROW(PLE.lastrow)-ROW(PLE.firstrow))),0,
           IF(OFFSET(PLE!$G$15,$M123-$A$15,CL$13)="",10^12,OFFSET(PLE!$G$15,$M123-$A$15,CL$13)))</f>
        <v>1000000000000</v>
      </c>
      <c r="CM123" s="172">
        <f t="array" aca="1" ref="CM123" ca="1">IF(OR($D123&lt;&gt;"Serviço",AND(AUTOEVENTO="Manual",$M123=$A$15),$M123&gt;(ROW(PLE.lastrow)-ROW(PLE.firstrow))),0,
           IF(OFFSET(PLE!$G$15,$M123-$A$15,CM$13)="",10^12,OFFSET(PLE!$G$15,$M123-$A$15,CM$13)))</f>
        <v>1000000000000</v>
      </c>
    </row>
    <row r="124" spans="1:91" s="696" customFormat="1" ht="51" x14ac:dyDescent="0.2">
      <c r="A124" s="694">
        <f t="shared" ca="1" si="45"/>
        <v>20</v>
      </c>
      <c r="B124" s="694" t="str">
        <f ca="1">OFFSET(ORÇAMENTO!C$15,$L124,0)</f>
        <v>S</v>
      </c>
      <c r="C124" s="694" t="str">
        <f ca="1">OFFSET(ORÇAMENTO!L$15,$L124,0)</f>
        <v>F</v>
      </c>
      <c r="D124" s="116" t="str">
        <f ca="1">OFFSET(ORÇAMENTO!N$15,$L124,0)</f>
        <v>Serviço</v>
      </c>
      <c r="E124" s="117" t="str">
        <f ca="1">OFFSET(ORÇAMENTO!O$15,$L124,0)</f>
        <v>1.21.2.</v>
      </c>
      <c r="F124" s="163" t="str">
        <f ca="1">OFFSET(ORÇAMENTO!R$15,$L124,0)</f>
        <v>EXECUÇÃO DE PASSEIO (CALÇADA) OU PISO DE CONCRETO COM CONCRETO MOLDADO IN LOCO, FEITO EM OBRA, ACABAMENTO CONVENCIONAL, NÃO ARMADO. AF_08/2022</v>
      </c>
      <c r="G124" s="164" t="str">
        <f ca="1">IF($D124&lt;&gt;"Serviço","",OFFSET(ORÇAMENTO!S$15,$L124,0))</f>
        <v>M3</v>
      </c>
      <c r="H124" s="122">
        <f t="array" aca="1" ref="H124" ca="1">IF($D124&lt;&gt;"Serviço",0,IF(ACOMPANHAMENTO="BM",ROUND(OFFSET(ORÇAMENTO!AJ$15,$L124,0),15-13*ORÇAMENTO!$AF$7),IF(IFERROR(CÁLCULO.FrentesPreenchidas,0)=0,0,SUM(ROUND(OFFSET($P124,0,1,1,CÁLCULO.FrentesPreenchidas),15-13*ORÇAMENTO!$AF$7)))))</f>
        <v>22.6</v>
      </c>
      <c r="I124" s="467" t="s">
        <v>1280</v>
      </c>
      <c r="J124" s="653" t="str">
        <f t="array" aca="1" ref="J124" ca="1">IF(OR(B124&lt;&gt;"S",CÁLCULO.FrentesPreenchidas=0),"",IF(AND(ACOMPANHAMENTO="PLE",AUTOEVENTO="Manual",OR(H124&gt;0,ORÇAMENTO!AC124="QUANT."),OR(K124="",M124=0,N124="")),"►E",IF(AND(ACOMPANHAMENTO="PLE",ORÇAMENTO!AC124="QUANT."),"►Q",IF(AND(ACOMPANHAMENTO="PLE",H124&lt;&gt;SUMPRODUCT(($Q$1:$AI$1=1)*ROUND(Q124:AI124,15))),"►S",IF(AND(COUNTIF($P$11:$AI$11,"▼")=0,H124&gt;0,I124=""),"◄M","")))))</f>
        <v/>
      </c>
      <c r="K124" s="654" t="s">
        <v>1419</v>
      </c>
      <c r="L124" s="165">
        <f t="shared" ca="1" si="46"/>
        <v>109</v>
      </c>
      <c r="M124" s="166">
        <f ca="1">IF($D124&lt;&gt;"Serviço","",
          IF(AUTOEVENTO="manual",$A124,
                IF(ISERROR(MATCH($A124,$A$15:OFFSET($A124,-1,0),0)),MAX($M$15:OFFSET(M124,-1,0))+1,
                      INDEX($M$15:OFFSET(M124,-1,0),MATCH($A124,$A$15:OFFSET($A124,-1,0),0)))))</f>
        <v>20</v>
      </c>
      <c r="N124" s="167" t="str">
        <f ca="1">IF($D124&lt;&gt;"Serviço","",
         IF(AUTOEVENTO="Manual",
                IF($A124=0,"&lt;-- defina o número do agrupador",
                       OFFSET(EVENTOS!$D$15,$A124-$A$15,0)),
                OFFSET($F$15,$A124,0)))</f>
        <v>REVESTIMENTOS EXTERNOS DE PISO</v>
      </c>
      <c r="O124" s="168"/>
      <c r="Q124" s="169">
        <f>1.13*5</f>
        <v>5.6499999999999995</v>
      </c>
      <c r="R124" s="169">
        <f t="shared" ref="R124:T124" si="78">1.13*5</f>
        <v>5.6499999999999995</v>
      </c>
      <c r="S124" s="169">
        <f t="shared" si="78"/>
        <v>5.6499999999999995</v>
      </c>
      <c r="T124" s="169">
        <f t="shared" si="78"/>
        <v>5.6499999999999995</v>
      </c>
      <c r="U124" s="169"/>
      <c r="V124" s="169"/>
      <c r="W124" s="169"/>
      <c r="X124" s="169"/>
      <c r="Y124" s="169"/>
      <c r="Z124" s="170"/>
      <c r="AA124" s="169"/>
      <c r="AB124" s="169"/>
      <c r="AC124" s="169"/>
      <c r="AD124" s="169"/>
      <c r="AE124" s="169"/>
      <c r="AF124" s="169"/>
      <c r="AG124" s="169"/>
      <c r="AH124" s="170"/>
      <c r="AJ124" s="452">
        <f ca="1">IF(AND($D124="Serviço",AJ$12&lt;&gt;0,$H124&gt;0,OR(AUTOEVENTO&lt;&gt;"manual",$M124&lt;&gt;$A$15)),
        IF(Import.TipoArredondamento&lt;&gt;"TransfereGOV",
              ROUND(OFFSET($P124,0,AJ$13),15-13*ORÇAMENTO!$AF$7)/$H124*OFFSET(ORÇAMENTO!$X$15,ROW(AJ124)-ROW(AJ$15),0),
              ROUND(ROUND(OFFSET($P124,0,AJ$13),15-13*ORÇAMENTO!$AF$7)*OFFSET(ORÇAMENTO!$W$15,ROW(AJ124)-ROW(AJ$15),0),15-13*ORÇAMENTO!$AF$11)),
         0)</f>
        <v>5522.65</v>
      </c>
      <c r="AK124" s="452">
        <f ca="1">IF(AND($D124="Serviço",AK$12&lt;&gt;0,$H124&gt;0,OR(AUTOEVENTO&lt;&gt;"manual",$M124&lt;&gt;$A$15)),
        IF(Import.TipoArredondamento&lt;&gt;"TransfereGOV",
              ROUND(OFFSET($P124,0,AK$13),15-13*ORÇAMENTO!$AF$7)/$H124*OFFSET(ORÇAMENTO!$X$15,ROW(AK124)-ROW(AK$15),0),
              ROUND(ROUND(OFFSET($P124,0,AK$13),15-13*ORÇAMENTO!$AF$7)*OFFSET(ORÇAMENTO!$W$15,ROW(AK124)-ROW(AK$15),0),15-13*ORÇAMENTO!$AF$11)),
         0)</f>
        <v>5522.65</v>
      </c>
      <c r="AL124" s="452">
        <f ca="1">IF(AND($D124="Serviço",AL$12&lt;&gt;0,$H124&gt;0,OR(AUTOEVENTO&lt;&gt;"manual",$M124&lt;&gt;$A$15)),
        IF(Import.TipoArredondamento&lt;&gt;"TransfereGOV",
              ROUND(OFFSET($P124,0,AL$13),15-13*ORÇAMENTO!$AF$7)/$H124*OFFSET(ORÇAMENTO!$X$15,ROW(AL124)-ROW(AL$15),0),
              ROUND(ROUND(OFFSET($P124,0,AL$13),15-13*ORÇAMENTO!$AF$7)*OFFSET(ORÇAMENTO!$W$15,ROW(AL124)-ROW(AL$15),0),15-13*ORÇAMENTO!$AF$11)),
         0)</f>
        <v>5522.65</v>
      </c>
      <c r="AM124" s="452">
        <f ca="1">IF(AND($D124="Serviço",AM$12&lt;&gt;0,$H124&gt;0,OR(AUTOEVENTO&lt;&gt;"manual",$M124&lt;&gt;$A$15)),
        IF(Import.TipoArredondamento&lt;&gt;"TransfereGOV",
              ROUND(OFFSET($P124,0,AM$13),15-13*ORÇAMENTO!$AF$7)/$H124*OFFSET(ORÇAMENTO!$X$15,ROW(AM124)-ROW(AM$15),0),
              ROUND(ROUND(OFFSET($P124,0,AM$13),15-13*ORÇAMENTO!$AF$7)*OFFSET(ORÇAMENTO!$W$15,ROW(AM124)-ROW(AM$15),0),15-13*ORÇAMENTO!$AF$11)),
         0)</f>
        <v>5522.65</v>
      </c>
      <c r="AN124" s="452">
        <f ca="1">IF(AND($D124="Serviço",AN$12&lt;&gt;0,$H124&gt;0,OR(AUTOEVENTO&lt;&gt;"manual",$M124&lt;&gt;$A$15)),
        IF(Import.TipoArredondamento&lt;&gt;"TransfereGOV",
              ROUND(OFFSET($P124,0,AN$13),15-13*ORÇAMENTO!$AF$7)/$H124*OFFSET(ORÇAMENTO!$X$15,ROW(AN124)-ROW(AN$15),0),
              ROUND(ROUND(OFFSET($P124,0,AN$13),15-13*ORÇAMENTO!$AF$7)*OFFSET(ORÇAMENTO!$W$15,ROW(AN124)-ROW(AN$15),0),15-13*ORÇAMENTO!$AF$11)),
         0)</f>
        <v>0</v>
      </c>
      <c r="AO124" s="452">
        <f ca="1">IF(AND($D124="Serviço",AO$12&lt;&gt;0,$H124&gt;0,OR(AUTOEVENTO&lt;&gt;"manual",$M124&lt;&gt;$A$15)),
        IF(Import.TipoArredondamento&lt;&gt;"TransfereGOV",
              ROUND(OFFSET($P124,0,AO$13),15-13*ORÇAMENTO!$AF$7)/$H124*OFFSET(ORÇAMENTO!$X$15,ROW(AO124)-ROW(AO$15),0),
              ROUND(ROUND(OFFSET($P124,0,AO$13),15-13*ORÇAMENTO!$AF$7)*OFFSET(ORÇAMENTO!$W$15,ROW(AO124)-ROW(AO$15),0),15-13*ORÇAMENTO!$AF$11)),
         0)</f>
        <v>0</v>
      </c>
      <c r="AP124" s="452">
        <f ca="1">IF(AND($D124="Serviço",AP$12&lt;&gt;0,$H124&gt;0,OR(AUTOEVENTO&lt;&gt;"manual",$M124&lt;&gt;$A$15)),
        IF(Import.TipoArredondamento&lt;&gt;"TransfereGOV",
              ROUND(OFFSET($P124,0,AP$13),15-13*ORÇAMENTO!$AF$7)/$H124*OFFSET(ORÇAMENTO!$X$15,ROW(AP124)-ROW(AP$15),0),
              ROUND(ROUND(OFFSET($P124,0,AP$13),15-13*ORÇAMENTO!$AF$7)*OFFSET(ORÇAMENTO!$W$15,ROW(AP124)-ROW(AP$15),0),15-13*ORÇAMENTO!$AF$11)),
         0)</f>
        <v>0</v>
      </c>
      <c r="AQ124" s="452">
        <f ca="1">IF(AND($D124="Serviço",AQ$12&lt;&gt;0,$H124&gt;0,OR(AUTOEVENTO&lt;&gt;"manual",$M124&lt;&gt;$A$15)),
        IF(Import.TipoArredondamento&lt;&gt;"TransfereGOV",
              ROUND(OFFSET($P124,0,AQ$13),15-13*ORÇAMENTO!$AF$7)/$H124*OFFSET(ORÇAMENTO!$X$15,ROW(AQ124)-ROW(AQ$15),0),
              ROUND(ROUND(OFFSET($P124,0,AQ$13),15-13*ORÇAMENTO!$AF$7)*OFFSET(ORÇAMENTO!$W$15,ROW(AQ124)-ROW(AQ$15),0),15-13*ORÇAMENTO!$AF$11)),
         0)</f>
        <v>0</v>
      </c>
      <c r="AR124" s="452">
        <f ca="1">IF(AND($D124="Serviço",AR$12&lt;&gt;0,$H124&gt;0,OR(AUTOEVENTO&lt;&gt;"manual",$M124&lt;&gt;$A$15)),
        IF(Import.TipoArredondamento&lt;&gt;"TransfereGOV",
              ROUND(OFFSET($P124,0,AR$13),15-13*ORÇAMENTO!$AF$7)/$H124*OFFSET(ORÇAMENTO!$X$15,ROW(AR124)-ROW(AR$15),0),
              ROUND(ROUND(OFFSET($P124,0,AR$13),15-13*ORÇAMENTO!$AF$7)*OFFSET(ORÇAMENTO!$W$15,ROW(AR124)-ROW(AR$15),0),15-13*ORÇAMENTO!$AF$11)),
         0)</f>
        <v>0</v>
      </c>
      <c r="AS124" s="452">
        <f ca="1">IF(AND($D124="Serviço",AS$12&lt;&gt;0,$H124&gt;0,OR(AUTOEVENTO&lt;&gt;"manual",$M124&lt;&gt;$A$15)),
        IF(Import.TipoArredondamento&lt;&gt;"TransfereGOV",
              ROUND(OFFSET($P124,0,AS$13),15-13*ORÇAMENTO!$AF$7)/$H124*OFFSET(ORÇAMENTO!$X$15,ROW(AS124)-ROW(AS$15),0),
              ROUND(ROUND(OFFSET($P124,0,AS$13),15-13*ORÇAMENTO!$AF$7)*OFFSET(ORÇAMENTO!$W$15,ROW(AS124)-ROW(AS$15),0),15-13*ORÇAMENTO!$AF$11)),
         0)</f>
        <v>0</v>
      </c>
      <c r="AT124" s="452">
        <f ca="1">IF(AND($D124="Serviço",AT$12&lt;&gt;0,$H124&gt;0,OR(AUTOEVENTO&lt;&gt;"manual",$M124&lt;&gt;$A$15)),
        IF(Import.TipoArredondamento&lt;&gt;"TransfereGOV",
              ROUND(OFFSET($P124,0,AT$13),15-13*ORÇAMENTO!$AF$7)/$H124*OFFSET(ORÇAMENTO!$X$15,ROW(AT124)-ROW(AT$15),0),
              ROUND(ROUND(OFFSET($P124,0,AT$13),15-13*ORÇAMENTO!$AF$7)*OFFSET(ORÇAMENTO!$W$15,ROW(AT124)-ROW(AT$15),0),15-13*ORÇAMENTO!$AF$11)),
         0)</f>
        <v>0</v>
      </c>
      <c r="AU124" s="452">
        <f ca="1">IF(AND($D124="Serviço",AU$12&lt;&gt;0,$H124&gt;0,OR(AUTOEVENTO&lt;&gt;"manual",$M124&lt;&gt;$A$15)),
        IF(Import.TipoArredondamento&lt;&gt;"TransfereGOV",
              ROUND(OFFSET($P124,0,AU$13),15-13*ORÇAMENTO!$AF$7)/$H124*OFFSET(ORÇAMENTO!$X$15,ROW(AU124)-ROW(AU$15),0),
              ROUND(ROUND(OFFSET($P124,0,AU$13),15-13*ORÇAMENTO!$AF$7)*OFFSET(ORÇAMENTO!$W$15,ROW(AU124)-ROW(AU$15),0),15-13*ORÇAMENTO!$AF$11)),
         0)</f>
        <v>0</v>
      </c>
      <c r="AV124" s="452">
        <f ca="1">IF(AND($D124="Serviço",AV$12&lt;&gt;0,$H124&gt;0,OR(AUTOEVENTO&lt;&gt;"manual",$M124&lt;&gt;$A$15)),
        IF(Import.TipoArredondamento&lt;&gt;"TransfereGOV",
              ROUND(OFFSET($P124,0,AV$13),15-13*ORÇAMENTO!$AF$7)/$H124*OFFSET(ORÇAMENTO!$X$15,ROW(AV124)-ROW(AV$15),0),
              ROUND(ROUND(OFFSET($P124,0,AV$13),15-13*ORÇAMENTO!$AF$7)*OFFSET(ORÇAMENTO!$W$15,ROW(AV124)-ROW(AV$15),0),15-13*ORÇAMENTO!$AF$11)),
         0)</f>
        <v>0</v>
      </c>
      <c r="AW124" s="452">
        <f ca="1">IF(AND($D124="Serviço",AW$12&lt;&gt;0,$H124&gt;0,OR(AUTOEVENTO&lt;&gt;"manual",$M124&lt;&gt;$A$15)),
        IF(Import.TipoArredondamento&lt;&gt;"TransfereGOV",
              ROUND(OFFSET($P124,0,AW$13),15-13*ORÇAMENTO!$AF$7)/$H124*OFFSET(ORÇAMENTO!$X$15,ROW(AW124)-ROW(AW$15),0),
              ROUND(ROUND(OFFSET($P124,0,AW$13),15-13*ORÇAMENTO!$AF$7)*OFFSET(ORÇAMENTO!$W$15,ROW(AW124)-ROW(AW$15),0),15-13*ORÇAMENTO!$AF$11)),
         0)</f>
        <v>0</v>
      </c>
      <c r="AX124" s="452">
        <f ca="1">IF(AND($D124="Serviço",AX$12&lt;&gt;0,$H124&gt;0,OR(AUTOEVENTO&lt;&gt;"manual",$M124&lt;&gt;$A$15)),
        IF(Import.TipoArredondamento&lt;&gt;"TransfereGOV",
              ROUND(OFFSET($P124,0,AX$13),15-13*ORÇAMENTO!$AF$7)/$H124*OFFSET(ORÇAMENTO!$X$15,ROW(AX124)-ROW(AX$15),0),
              ROUND(ROUND(OFFSET($P124,0,AX$13),15-13*ORÇAMENTO!$AF$7)*OFFSET(ORÇAMENTO!$W$15,ROW(AX124)-ROW(AX$15),0),15-13*ORÇAMENTO!$AF$11)),
         0)</f>
        <v>0</v>
      </c>
      <c r="AY124" s="452">
        <f ca="1">IF(AND($D124="Serviço",AY$12&lt;&gt;0,$H124&gt;0,OR(AUTOEVENTO&lt;&gt;"manual",$M124&lt;&gt;$A$15)),
        IF(Import.TipoArredondamento&lt;&gt;"TransfereGOV",
              ROUND(OFFSET($P124,0,AY$13),15-13*ORÇAMENTO!$AF$7)/$H124*OFFSET(ORÇAMENTO!$X$15,ROW(AY124)-ROW(AY$15),0),
              ROUND(ROUND(OFFSET($P124,0,AY$13),15-13*ORÇAMENTO!$AF$7)*OFFSET(ORÇAMENTO!$W$15,ROW(AY124)-ROW(AY$15),0),15-13*ORÇAMENTO!$AF$11)),
         0)</f>
        <v>0</v>
      </c>
      <c r="AZ124" s="452">
        <f ca="1">IF(AND($D124="Serviço",AZ$12&lt;&gt;0,$H124&gt;0,OR(AUTOEVENTO&lt;&gt;"manual",$M124&lt;&gt;$A$15)),
        IF(Import.TipoArredondamento&lt;&gt;"TransfereGOV",
              ROUND(OFFSET($P124,0,AZ$13),15-13*ORÇAMENTO!$AF$7)/$H124*OFFSET(ORÇAMENTO!$X$15,ROW(AZ124)-ROW(AZ$15),0),
              ROUND(ROUND(OFFSET($P124,0,AZ$13),15-13*ORÇAMENTO!$AF$7)*OFFSET(ORÇAMENTO!$W$15,ROW(AZ124)-ROW(AZ$15),0),15-13*ORÇAMENTO!$AF$11)),
         0)</f>
        <v>0</v>
      </c>
      <c r="BA124" s="452">
        <f ca="1">IF(AND($D124="Serviço",BA$12&lt;&gt;0,$H124&gt;0,OR(AUTOEVENTO&lt;&gt;"manual",$M124&lt;&gt;$A$15)),
        IF(Import.TipoArredondamento&lt;&gt;"TransfereGOV",
              ROUND(OFFSET($P124,0,BA$13),15-13*ORÇAMENTO!$AF$7)/$H124*OFFSET(ORÇAMENTO!$X$15,ROW(BA124)-ROW(BA$15),0),
              ROUND(ROUND(OFFSET($P124,0,BA$13),15-13*ORÇAMENTO!$AF$7)*OFFSET(ORÇAMENTO!$W$15,ROW(BA124)-ROW(BA$15),0),15-13*ORÇAMENTO!$AF$11)),
         0)</f>
        <v>0</v>
      </c>
      <c r="BC124" s="171">
        <f ca="1">IF(OR($D124&lt;&gt;"Serviço",AND(AUTOEVENTO="Manual",$M124=$A$15)),0,
         IF(OFFSET(CRONOPLE!$F$15,$M124-$A$15,BC$13)=0,10^12,OFFSET(CRONOPLE!$F$15,$M124-$A$15,BC$13)))</f>
        <v>4</v>
      </c>
      <c r="BD124" s="171">
        <f ca="1">IF(OR($D124&lt;&gt;"Serviço",AND(AUTOEVENTO="Manual",$M124=$A$15)),0,
         IF(OFFSET(CRONOPLE!$F$15,$M124-$A$15,BD$13)=0,10^12,OFFSET(CRONOPLE!$F$15,$M124-$A$15,BD$13)))</f>
        <v>4</v>
      </c>
      <c r="BE124" s="171">
        <f ca="1">IF(OR($D124&lt;&gt;"Serviço",AND(AUTOEVENTO="Manual",$M124=$A$15)),0,
         IF(OFFSET(CRONOPLE!$F$15,$M124-$A$15,BE$13)=0,10^12,OFFSET(CRONOPLE!$F$15,$M124-$A$15,BE$13)))</f>
        <v>5</v>
      </c>
      <c r="BF124" s="171">
        <f ca="1">IF(OR($D124&lt;&gt;"Serviço",AND(AUTOEVENTO="Manual",$M124=$A$15)),0,
         IF(OFFSET(CRONOPLE!$F$15,$M124-$A$15,BF$13)=0,10^12,OFFSET(CRONOPLE!$F$15,$M124-$A$15,BF$13)))</f>
        <v>5</v>
      </c>
      <c r="BG124" s="171">
        <f ca="1">IF(OR($D124&lt;&gt;"Serviço",AND(AUTOEVENTO="Manual",$M124=$A$15)),0,
         IF(OFFSET(CRONOPLE!$F$15,$M124-$A$15,BG$13)=0,10^12,OFFSET(CRONOPLE!$F$15,$M124-$A$15,BG$13)))</f>
        <v>5</v>
      </c>
      <c r="BH124" s="171">
        <f ca="1">IF(OR($D124&lt;&gt;"Serviço",AND(AUTOEVENTO="Manual",$M124=$A$15)),0,
         IF(OFFSET(CRONOPLE!$F$15,$M124-$A$15,BH$13)=0,10^12,OFFSET(CRONOPLE!$F$15,$M124-$A$15,BH$13)))</f>
        <v>6</v>
      </c>
      <c r="BI124" s="171">
        <f ca="1">IF(OR($D124&lt;&gt;"Serviço",AND(AUTOEVENTO="Manual",$M124=$A$15)),0,
         IF(OFFSET(CRONOPLE!$F$15,$M124-$A$15,BI$13)=0,10^12,OFFSET(CRONOPLE!$F$15,$M124-$A$15,BI$13)))</f>
        <v>7</v>
      </c>
      <c r="BJ124" s="171">
        <f ca="1">IF(OR($D124&lt;&gt;"Serviço",AND(AUTOEVENTO="Manual",$M124=$A$15)),0,
         IF(OFFSET(CRONOPLE!$F$15,$M124-$A$15,BJ$13)=0,10^12,OFFSET(CRONOPLE!$F$15,$M124-$A$15,BJ$13)))</f>
        <v>8</v>
      </c>
      <c r="BK124" s="171">
        <f ca="1">IF(OR($D124&lt;&gt;"Serviço",AND(AUTOEVENTO="Manual",$M124=$A$15)),0,
         IF(OFFSET(CRONOPLE!$F$15,$M124-$A$15,BK$13)=0,10^12,OFFSET(CRONOPLE!$F$15,$M124-$A$15,BK$13)))</f>
        <v>1000000000000</v>
      </c>
      <c r="BL124" s="171">
        <f ca="1">IF(OR($D124&lt;&gt;"Serviço",AND(AUTOEVENTO="Manual",$M124=$A$15)),0,
         IF(OFFSET(CRONOPLE!$F$15,$M124-$A$15,BL$13)=0,10^12,OFFSET(CRONOPLE!$F$15,$M124-$A$15,BL$13)))</f>
        <v>1000000000000</v>
      </c>
      <c r="BM124" s="171">
        <f ca="1">IF(OR($D124&lt;&gt;"Serviço",AND(AUTOEVENTO="Manual",$M124=$A$15)),0,
         IF(OFFSET(CRONOPLE!$F$15,$M124-$A$15,BM$13)=0,10^12,OFFSET(CRONOPLE!$F$15,$M124-$A$15,BM$13)))</f>
        <v>1000000000000</v>
      </c>
      <c r="BN124" s="171">
        <f ca="1">IF(OR($D124&lt;&gt;"Serviço",AND(AUTOEVENTO="Manual",$M124=$A$15)),0,
         IF(OFFSET(CRONOPLE!$F$15,$M124-$A$15,BN$13)=0,10^12,OFFSET(CRONOPLE!$F$15,$M124-$A$15,BN$13)))</f>
        <v>1000000000000</v>
      </c>
      <c r="BO124" s="171">
        <f ca="1">IF(OR($D124&lt;&gt;"Serviço",AND(AUTOEVENTO="Manual",$M124=$A$15)),0,
         IF(OFFSET(CRONOPLE!$F$15,$M124-$A$15,BO$13)=0,10^12,OFFSET(CRONOPLE!$F$15,$M124-$A$15,BO$13)))</f>
        <v>1000000000000</v>
      </c>
      <c r="BP124" s="171">
        <f ca="1">IF(OR($D124&lt;&gt;"Serviço",AND(AUTOEVENTO="Manual",$M124=$A$15)),0,
         IF(OFFSET(CRONOPLE!$F$15,$M124-$A$15,BP$13)=0,10^12,OFFSET(CRONOPLE!$F$15,$M124-$A$15,BP$13)))</f>
        <v>1000000000000</v>
      </c>
      <c r="BQ124" s="171">
        <f ca="1">IF(OR($D124&lt;&gt;"Serviço",AND(AUTOEVENTO="Manual",$M124=$A$15)),0,
         IF(OFFSET(CRONOPLE!$F$15,$M124-$A$15,BQ$13)=0,10^12,OFFSET(CRONOPLE!$F$15,$M124-$A$15,BQ$13)))</f>
        <v>1000000000000</v>
      </c>
      <c r="BR124" s="171">
        <f ca="1">IF(OR($D124&lt;&gt;"Serviço",AND(AUTOEVENTO="Manual",$M124=$A$15)),0,
         IF(OFFSET(CRONOPLE!$F$15,$M124-$A$15,BR$13)=0,10^12,OFFSET(CRONOPLE!$F$15,$M124-$A$15,BR$13)))</f>
        <v>1000000000000</v>
      </c>
      <c r="BS124" s="171">
        <f ca="1">IF(OR($D124&lt;&gt;"Serviço",AND(AUTOEVENTO="Manual",$M124=$A$15)),0,
         IF(OFFSET(CRONOPLE!$F$15,$M124-$A$15,BS$13)=0,10^12,OFFSET(CRONOPLE!$F$15,$M124-$A$15,BS$13)))</f>
        <v>1000000000000</v>
      </c>
      <c r="BT124" s="171">
        <f ca="1">IF(OR($D124&lt;&gt;"Serviço",AND(AUTOEVENTO="Manual",$M124=$A$15)),0,
         IF(OFFSET(CRONOPLE!$F$15,$M124-$A$15,BT$13)=0,10^12,OFFSET(CRONOPLE!$F$15,$M124-$A$15,BT$13)))</f>
        <v>1000000000000</v>
      </c>
      <c r="BV124" s="172">
        <f t="array" aca="1" ref="BV124" ca="1">IF(OR($D124&lt;&gt;"Serviço",AND(AUTOEVENTO="Manual",$M124=$A$15),$M124&gt;(ROW(PLE.lastrow)-ROW(PLE.firstrow))),0,
           IF(OFFSET(PLE!$G$15,$M124-$A$15,BV$13)="",10^12,OFFSET(PLE!$G$15,$M124-$A$15,BV$13)))</f>
        <v>1000000000000</v>
      </c>
      <c r="BW124" s="172">
        <f t="array" aca="1" ref="BW124" ca="1">IF(OR($D124&lt;&gt;"Serviço",AND(AUTOEVENTO="Manual",$M124=$A$15),$M124&gt;(ROW(PLE.lastrow)-ROW(PLE.firstrow))),0,
           IF(OFFSET(PLE!$G$15,$M124-$A$15,BW$13)="",10^12,OFFSET(PLE!$G$15,$M124-$A$15,BW$13)))</f>
        <v>1000000000000</v>
      </c>
      <c r="BX124" s="172">
        <f t="array" aca="1" ref="BX124" ca="1">IF(OR($D124&lt;&gt;"Serviço",AND(AUTOEVENTO="Manual",$M124=$A$15),$M124&gt;(ROW(PLE.lastrow)-ROW(PLE.firstrow))),0,
           IF(OFFSET(PLE!$G$15,$M124-$A$15,BX$13)="",10^12,OFFSET(PLE!$G$15,$M124-$A$15,BX$13)))</f>
        <v>1000000000000</v>
      </c>
      <c r="BY124" s="172">
        <f t="array" aca="1" ref="BY124" ca="1">IF(OR($D124&lt;&gt;"Serviço",AND(AUTOEVENTO="Manual",$M124=$A$15),$M124&gt;(ROW(PLE.lastrow)-ROW(PLE.firstrow))),0,
           IF(OFFSET(PLE!$G$15,$M124-$A$15,BY$13)="",10^12,OFFSET(PLE!$G$15,$M124-$A$15,BY$13)))</f>
        <v>1000000000000</v>
      </c>
      <c r="BZ124" s="172">
        <f t="array" aca="1" ref="BZ124" ca="1">IF(OR($D124&lt;&gt;"Serviço",AND(AUTOEVENTO="Manual",$M124=$A$15),$M124&gt;(ROW(PLE.lastrow)-ROW(PLE.firstrow))),0,
           IF(OFFSET(PLE!$G$15,$M124-$A$15,BZ$13)="",10^12,OFFSET(PLE!$G$15,$M124-$A$15,BZ$13)))</f>
        <v>1000000000000</v>
      </c>
      <c r="CA124" s="172">
        <f t="array" aca="1" ref="CA124" ca="1">IF(OR($D124&lt;&gt;"Serviço",AND(AUTOEVENTO="Manual",$M124=$A$15),$M124&gt;(ROW(PLE.lastrow)-ROW(PLE.firstrow))),0,
           IF(OFFSET(PLE!$G$15,$M124-$A$15,CA$13)="",10^12,OFFSET(PLE!$G$15,$M124-$A$15,CA$13)))</f>
        <v>1000000000000</v>
      </c>
      <c r="CB124" s="172">
        <f t="array" aca="1" ref="CB124" ca="1">IF(OR($D124&lt;&gt;"Serviço",AND(AUTOEVENTO="Manual",$M124=$A$15),$M124&gt;(ROW(PLE.lastrow)-ROW(PLE.firstrow))),0,
           IF(OFFSET(PLE!$G$15,$M124-$A$15,CB$13)="",10^12,OFFSET(PLE!$G$15,$M124-$A$15,CB$13)))</f>
        <v>1000000000000</v>
      </c>
      <c r="CC124" s="172">
        <f t="array" aca="1" ref="CC124" ca="1">IF(OR($D124&lt;&gt;"Serviço",AND(AUTOEVENTO="Manual",$M124=$A$15),$M124&gt;(ROW(PLE.lastrow)-ROW(PLE.firstrow))),0,
           IF(OFFSET(PLE!$G$15,$M124-$A$15,CC$13)="",10^12,OFFSET(PLE!$G$15,$M124-$A$15,CC$13)))</f>
        <v>1000000000000</v>
      </c>
      <c r="CD124" s="172">
        <f t="array" aca="1" ref="CD124" ca="1">IF(OR($D124&lt;&gt;"Serviço",AND(AUTOEVENTO="Manual",$M124=$A$15),$M124&gt;(ROW(PLE.lastrow)-ROW(PLE.firstrow))),0,
           IF(OFFSET(PLE!$G$15,$M124-$A$15,CD$13)="",10^12,OFFSET(PLE!$G$15,$M124-$A$15,CD$13)))</f>
        <v>1000000000000</v>
      </c>
      <c r="CE124" s="172">
        <f t="array" aca="1" ref="CE124" ca="1">IF(OR($D124&lt;&gt;"Serviço",AND(AUTOEVENTO="Manual",$M124=$A$15),$M124&gt;(ROW(PLE.lastrow)-ROW(PLE.firstrow))),0,
           IF(OFFSET(PLE!$G$15,$M124-$A$15,CE$13)="",10^12,OFFSET(PLE!$G$15,$M124-$A$15,CE$13)))</f>
        <v>1000000000000</v>
      </c>
      <c r="CF124" s="172">
        <f t="array" aca="1" ref="CF124" ca="1">IF(OR($D124&lt;&gt;"Serviço",AND(AUTOEVENTO="Manual",$M124=$A$15),$M124&gt;(ROW(PLE.lastrow)-ROW(PLE.firstrow))),0,
           IF(OFFSET(PLE!$G$15,$M124-$A$15,CF$13)="",10^12,OFFSET(PLE!$G$15,$M124-$A$15,CF$13)))</f>
        <v>1000000000000</v>
      </c>
      <c r="CG124" s="172">
        <f t="array" aca="1" ref="CG124" ca="1">IF(OR($D124&lt;&gt;"Serviço",AND(AUTOEVENTO="Manual",$M124=$A$15),$M124&gt;(ROW(PLE.lastrow)-ROW(PLE.firstrow))),0,
           IF(OFFSET(PLE!$G$15,$M124-$A$15,CG$13)="",10^12,OFFSET(PLE!$G$15,$M124-$A$15,CG$13)))</f>
        <v>1000000000000</v>
      </c>
      <c r="CH124" s="172">
        <f t="array" aca="1" ref="CH124" ca="1">IF(OR($D124&lt;&gt;"Serviço",AND(AUTOEVENTO="Manual",$M124=$A$15),$M124&gt;(ROW(PLE.lastrow)-ROW(PLE.firstrow))),0,
           IF(OFFSET(PLE!$G$15,$M124-$A$15,CH$13)="",10^12,OFFSET(PLE!$G$15,$M124-$A$15,CH$13)))</f>
        <v>1000000000000</v>
      </c>
      <c r="CI124" s="172">
        <f t="array" aca="1" ref="CI124" ca="1">IF(OR($D124&lt;&gt;"Serviço",AND(AUTOEVENTO="Manual",$M124=$A$15),$M124&gt;(ROW(PLE.lastrow)-ROW(PLE.firstrow))),0,
           IF(OFFSET(PLE!$G$15,$M124-$A$15,CI$13)="",10^12,OFFSET(PLE!$G$15,$M124-$A$15,CI$13)))</f>
        <v>1000000000000</v>
      </c>
      <c r="CJ124" s="172">
        <f t="array" aca="1" ref="CJ124" ca="1">IF(OR($D124&lt;&gt;"Serviço",AND(AUTOEVENTO="Manual",$M124=$A$15),$M124&gt;(ROW(PLE.lastrow)-ROW(PLE.firstrow))),0,
           IF(OFFSET(PLE!$G$15,$M124-$A$15,CJ$13)="",10^12,OFFSET(PLE!$G$15,$M124-$A$15,CJ$13)))</f>
        <v>1000000000000</v>
      </c>
      <c r="CK124" s="172">
        <f t="array" aca="1" ref="CK124" ca="1">IF(OR($D124&lt;&gt;"Serviço",AND(AUTOEVENTO="Manual",$M124=$A$15),$M124&gt;(ROW(PLE.lastrow)-ROW(PLE.firstrow))),0,
           IF(OFFSET(PLE!$G$15,$M124-$A$15,CK$13)="",10^12,OFFSET(PLE!$G$15,$M124-$A$15,CK$13)))</f>
        <v>1000000000000</v>
      </c>
      <c r="CL124" s="172">
        <f t="array" aca="1" ref="CL124" ca="1">IF(OR($D124&lt;&gt;"Serviço",AND(AUTOEVENTO="Manual",$M124=$A$15),$M124&gt;(ROW(PLE.lastrow)-ROW(PLE.firstrow))),0,
           IF(OFFSET(PLE!$G$15,$M124-$A$15,CL$13)="",10^12,OFFSET(PLE!$G$15,$M124-$A$15,CL$13)))</f>
        <v>1000000000000</v>
      </c>
      <c r="CM124" s="172">
        <f t="array" aca="1" ref="CM124" ca="1">IF(OR($D124&lt;&gt;"Serviço",AND(AUTOEVENTO="Manual",$M124=$A$15),$M124&gt;(ROW(PLE.lastrow)-ROW(PLE.firstrow))),0,
           IF(OFFSET(PLE!$G$15,$M124-$A$15,CM$13)="",10^12,OFFSET(PLE!$G$15,$M124-$A$15,CM$13)))</f>
        <v>1000000000000</v>
      </c>
    </row>
    <row r="125" spans="1:91" s="696" customFormat="1" ht="12.75" x14ac:dyDescent="0.2">
      <c r="A125" s="694">
        <f t="shared" ca="1" si="45"/>
        <v>0</v>
      </c>
      <c r="B125" s="694">
        <f ca="1">OFFSET(ORÇAMENTO!C$15,$L125,0)</f>
        <v>2</v>
      </c>
      <c r="C125" s="694" t="str">
        <f ca="1">OFFSET(ORÇAMENTO!L$15,$L125,0)</f>
        <v>F</v>
      </c>
      <c r="D125" s="116" t="str">
        <f ca="1">OFFSET(ORÇAMENTO!N$15,$L125,0)</f>
        <v>Nível 2</v>
      </c>
      <c r="E125" s="117" t="str">
        <f ca="1">OFFSET(ORÇAMENTO!O$15,$L125,0)</f>
        <v>1.22.</v>
      </c>
      <c r="F125" s="163" t="str">
        <f ca="1">OFFSET(ORÇAMENTO!R$15,$L125,0)</f>
        <v>RODAPÉS, SOLEIRAS E PEITORIS</v>
      </c>
      <c r="G125" s="164" t="str">
        <f ca="1">IF($D125&lt;&gt;"Serviço","",OFFSET(ORÇAMENTO!S$15,$L125,0))</f>
        <v/>
      </c>
      <c r="H125" s="122">
        <f t="array" aca="1" ref="H125" ca="1">IF($D125&lt;&gt;"Serviço",0,IF(ACOMPANHAMENTO="BM",ROUND(OFFSET(ORÇAMENTO!AJ$15,$L125,0),15-13*ORÇAMENTO!$AF$7),IF(IFERROR(CÁLCULO.FrentesPreenchidas,0)=0,0,SUM(ROUND(OFFSET($P125,0,1,1,CÁLCULO.FrentesPreenchidas),15-13*ORÇAMENTO!$AF$7)))))</f>
        <v>0</v>
      </c>
      <c r="I125" s="467"/>
      <c r="J125" s="653" t="str">
        <f t="array" aca="1" ref="J125" ca="1">IF(OR(B125&lt;&gt;"S",CÁLCULO.FrentesPreenchidas=0),"",IF(AND(ACOMPANHAMENTO="PLE",AUTOEVENTO="Manual",OR(H125&gt;0,ORÇAMENTO!AC125="QUANT."),OR(K125="",M125=0,N125="")),"►E",IF(AND(ACOMPANHAMENTO="PLE",ORÇAMENTO!AC125="QUANT."),"►Q",IF(AND(ACOMPANHAMENTO="PLE",H125&lt;&gt;SUMPRODUCT(($Q$1:$AI$1=1)*ROUND(Q125:AI125,15))),"►S",IF(AND(COUNTIF($P$11:$AI$11,"▼")=0,H125&gt;0,I125=""),"◄M","")))))</f>
        <v/>
      </c>
      <c r="K125" s="654"/>
      <c r="L125" s="165">
        <f t="shared" ca="1" si="46"/>
        <v>110</v>
      </c>
      <c r="M125" s="166" t="str">
        <f ca="1">IF($D125&lt;&gt;"Serviço","",
          IF(AUTOEVENTO="manual",$A125,
                IF(ISERROR(MATCH($A125,$A$15:OFFSET($A125,-1,0),0)),MAX($M$15:OFFSET(M125,-1,0))+1,
                      INDEX($M$15:OFFSET(M125,-1,0),MATCH($A125,$A$15:OFFSET($A125,-1,0),0)))))</f>
        <v/>
      </c>
      <c r="N125" s="167" t="str">
        <f ca="1">IF($D125&lt;&gt;"Serviço","",
         IF(AUTOEVENTO="Manual",
                IF($A125=0,"&lt;-- defina o número do agrupador",
                       OFFSET(EVENTOS!$D$15,$A125-$A$15,0)),
                OFFSET($F$15,$A125,0)))</f>
        <v/>
      </c>
      <c r="O125" s="168"/>
      <c r="Q125" s="169"/>
      <c r="R125" s="169"/>
      <c r="S125" s="169"/>
      <c r="T125" s="169"/>
      <c r="U125" s="169"/>
      <c r="V125" s="169"/>
      <c r="W125" s="169"/>
      <c r="X125" s="169"/>
      <c r="Y125" s="169"/>
      <c r="Z125" s="170"/>
      <c r="AA125" s="169"/>
      <c r="AB125" s="169"/>
      <c r="AC125" s="169"/>
      <c r="AD125" s="169"/>
      <c r="AE125" s="169"/>
      <c r="AF125" s="169"/>
      <c r="AG125" s="169"/>
      <c r="AH125" s="170"/>
      <c r="AJ125" s="452">
        <f ca="1">IF(AND($D125="Serviço",AJ$12&lt;&gt;0,$H125&gt;0,OR(AUTOEVENTO&lt;&gt;"manual",$M125&lt;&gt;$A$15)),
        IF(Import.TipoArredondamento&lt;&gt;"TransfereGOV",
              ROUND(OFFSET($P125,0,AJ$13),15-13*ORÇAMENTO!$AF$7)/$H125*OFFSET(ORÇAMENTO!$X$15,ROW(AJ125)-ROW(AJ$15),0),
              ROUND(ROUND(OFFSET($P125,0,AJ$13),15-13*ORÇAMENTO!$AF$7)*OFFSET(ORÇAMENTO!$W$15,ROW(AJ125)-ROW(AJ$15),0),15-13*ORÇAMENTO!$AF$11)),
         0)</f>
        <v>0</v>
      </c>
      <c r="AK125" s="452">
        <f ca="1">IF(AND($D125="Serviço",AK$12&lt;&gt;0,$H125&gt;0,OR(AUTOEVENTO&lt;&gt;"manual",$M125&lt;&gt;$A$15)),
        IF(Import.TipoArredondamento&lt;&gt;"TransfereGOV",
              ROUND(OFFSET($P125,0,AK$13),15-13*ORÇAMENTO!$AF$7)/$H125*OFFSET(ORÇAMENTO!$X$15,ROW(AK125)-ROW(AK$15),0),
              ROUND(ROUND(OFFSET($P125,0,AK$13),15-13*ORÇAMENTO!$AF$7)*OFFSET(ORÇAMENTO!$W$15,ROW(AK125)-ROW(AK$15),0),15-13*ORÇAMENTO!$AF$11)),
         0)</f>
        <v>0</v>
      </c>
      <c r="AL125" s="452">
        <f ca="1">IF(AND($D125="Serviço",AL$12&lt;&gt;0,$H125&gt;0,OR(AUTOEVENTO&lt;&gt;"manual",$M125&lt;&gt;$A$15)),
        IF(Import.TipoArredondamento&lt;&gt;"TransfereGOV",
              ROUND(OFFSET($P125,0,AL$13),15-13*ORÇAMENTO!$AF$7)/$H125*OFFSET(ORÇAMENTO!$X$15,ROW(AL125)-ROW(AL$15),0),
              ROUND(ROUND(OFFSET($P125,0,AL$13),15-13*ORÇAMENTO!$AF$7)*OFFSET(ORÇAMENTO!$W$15,ROW(AL125)-ROW(AL$15),0),15-13*ORÇAMENTO!$AF$11)),
         0)</f>
        <v>0</v>
      </c>
      <c r="AM125" s="452">
        <f ca="1">IF(AND($D125="Serviço",AM$12&lt;&gt;0,$H125&gt;0,OR(AUTOEVENTO&lt;&gt;"manual",$M125&lt;&gt;$A$15)),
        IF(Import.TipoArredondamento&lt;&gt;"TransfereGOV",
              ROUND(OFFSET($P125,0,AM$13),15-13*ORÇAMENTO!$AF$7)/$H125*OFFSET(ORÇAMENTO!$X$15,ROW(AM125)-ROW(AM$15),0),
              ROUND(ROUND(OFFSET($P125,0,AM$13),15-13*ORÇAMENTO!$AF$7)*OFFSET(ORÇAMENTO!$W$15,ROW(AM125)-ROW(AM$15),0),15-13*ORÇAMENTO!$AF$11)),
         0)</f>
        <v>0</v>
      </c>
      <c r="AN125" s="452">
        <f ca="1">IF(AND($D125="Serviço",AN$12&lt;&gt;0,$H125&gt;0,OR(AUTOEVENTO&lt;&gt;"manual",$M125&lt;&gt;$A$15)),
        IF(Import.TipoArredondamento&lt;&gt;"TransfereGOV",
              ROUND(OFFSET($P125,0,AN$13),15-13*ORÇAMENTO!$AF$7)/$H125*OFFSET(ORÇAMENTO!$X$15,ROW(AN125)-ROW(AN$15),0),
              ROUND(ROUND(OFFSET($P125,0,AN$13),15-13*ORÇAMENTO!$AF$7)*OFFSET(ORÇAMENTO!$W$15,ROW(AN125)-ROW(AN$15),0),15-13*ORÇAMENTO!$AF$11)),
         0)</f>
        <v>0</v>
      </c>
      <c r="AO125" s="452">
        <f ca="1">IF(AND($D125="Serviço",AO$12&lt;&gt;0,$H125&gt;0,OR(AUTOEVENTO&lt;&gt;"manual",$M125&lt;&gt;$A$15)),
        IF(Import.TipoArredondamento&lt;&gt;"TransfereGOV",
              ROUND(OFFSET($P125,0,AO$13),15-13*ORÇAMENTO!$AF$7)/$H125*OFFSET(ORÇAMENTO!$X$15,ROW(AO125)-ROW(AO$15),0),
              ROUND(ROUND(OFFSET($P125,0,AO$13),15-13*ORÇAMENTO!$AF$7)*OFFSET(ORÇAMENTO!$W$15,ROW(AO125)-ROW(AO$15),0),15-13*ORÇAMENTO!$AF$11)),
         0)</f>
        <v>0</v>
      </c>
      <c r="AP125" s="452">
        <f ca="1">IF(AND($D125="Serviço",AP$12&lt;&gt;0,$H125&gt;0,OR(AUTOEVENTO&lt;&gt;"manual",$M125&lt;&gt;$A$15)),
        IF(Import.TipoArredondamento&lt;&gt;"TransfereGOV",
              ROUND(OFFSET($P125,0,AP$13),15-13*ORÇAMENTO!$AF$7)/$H125*OFFSET(ORÇAMENTO!$X$15,ROW(AP125)-ROW(AP$15),0),
              ROUND(ROUND(OFFSET($P125,0,AP$13),15-13*ORÇAMENTO!$AF$7)*OFFSET(ORÇAMENTO!$W$15,ROW(AP125)-ROW(AP$15),0),15-13*ORÇAMENTO!$AF$11)),
         0)</f>
        <v>0</v>
      </c>
      <c r="AQ125" s="452">
        <f ca="1">IF(AND($D125="Serviço",AQ$12&lt;&gt;0,$H125&gt;0,OR(AUTOEVENTO&lt;&gt;"manual",$M125&lt;&gt;$A$15)),
        IF(Import.TipoArredondamento&lt;&gt;"TransfereGOV",
              ROUND(OFFSET($P125,0,AQ$13),15-13*ORÇAMENTO!$AF$7)/$H125*OFFSET(ORÇAMENTO!$X$15,ROW(AQ125)-ROW(AQ$15),0),
              ROUND(ROUND(OFFSET($P125,0,AQ$13),15-13*ORÇAMENTO!$AF$7)*OFFSET(ORÇAMENTO!$W$15,ROW(AQ125)-ROW(AQ$15),0),15-13*ORÇAMENTO!$AF$11)),
         0)</f>
        <v>0</v>
      </c>
      <c r="AR125" s="452">
        <f ca="1">IF(AND($D125="Serviço",AR$12&lt;&gt;0,$H125&gt;0,OR(AUTOEVENTO&lt;&gt;"manual",$M125&lt;&gt;$A$15)),
        IF(Import.TipoArredondamento&lt;&gt;"TransfereGOV",
              ROUND(OFFSET($P125,0,AR$13),15-13*ORÇAMENTO!$AF$7)/$H125*OFFSET(ORÇAMENTO!$X$15,ROW(AR125)-ROW(AR$15),0),
              ROUND(ROUND(OFFSET($P125,0,AR$13),15-13*ORÇAMENTO!$AF$7)*OFFSET(ORÇAMENTO!$W$15,ROW(AR125)-ROW(AR$15),0),15-13*ORÇAMENTO!$AF$11)),
         0)</f>
        <v>0</v>
      </c>
      <c r="AS125" s="452">
        <f ca="1">IF(AND($D125="Serviço",AS$12&lt;&gt;0,$H125&gt;0,OR(AUTOEVENTO&lt;&gt;"manual",$M125&lt;&gt;$A$15)),
        IF(Import.TipoArredondamento&lt;&gt;"TransfereGOV",
              ROUND(OFFSET($P125,0,AS$13),15-13*ORÇAMENTO!$AF$7)/$H125*OFFSET(ORÇAMENTO!$X$15,ROW(AS125)-ROW(AS$15),0),
              ROUND(ROUND(OFFSET($P125,0,AS$13),15-13*ORÇAMENTO!$AF$7)*OFFSET(ORÇAMENTO!$W$15,ROW(AS125)-ROW(AS$15),0),15-13*ORÇAMENTO!$AF$11)),
         0)</f>
        <v>0</v>
      </c>
      <c r="AT125" s="452">
        <f ca="1">IF(AND($D125="Serviço",AT$12&lt;&gt;0,$H125&gt;0,OR(AUTOEVENTO&lt;&gt;"manual",$M125&lt;&gt;$A$15)),
        IF(Import.TipoArredondamento&lt;&gt;"TransfereGOV",
              ROUND(OFFSET($P125,0,AT$13),15-13*ORÇAMENTO!$AF$7)/$H125*OFFSET(ORÇAMENTO!$X$15,ROW(AT125)-ROW(AT$15),0),
              ROUND(ROUND(OFFSET($P125,0,AT$13),15-13*ORÇAMENTO!$AF$7)*OFFSET(ORÇAMENTO!$W$15,ROW(AT125)-ROW(AT$15),0),15-13*ORÇAMENTO!$AF$11)),
         0)</f>
        <v>0</v>
      </c>
      <c r="AU125" s="452">
        <f ca="1">IF(AND($D125="Serviço",AU$12&lt;&gt;0,$H125&gt;0,OR(AUTOEVENTO&lt;&gt;"manual",$M125&lt;&gt;$A$15)),
        IF(Import.TipoArredondamento&lt;&gt;"TransfereGOV",
              ROUND(OFFSET($P125,0,AU$13),15-13*ORÇAMENTO!$AF$7)/$H125*OFFSET(ORÇAMENTO!$X$15,ROW(AU125)-ROW(AU$15),0),
              ROUND(ROUND(OFFSET($P125,0,AU$13),15-13*ORÇAMENTO!$AF$7)*OFFSET(ORÇAMENTO!$W$15,ROW(AU125)-ROW(AU$15),0),15-13*ORÇAMENTO!$AF$11)),
         0)</f>
        <v>0</v>
      </c>
      <c r="AV125" s="452">
        <f ca="1">IF(AND($D125="Serviço",AV$12&lt;&gt;0,$H125&gt;0,OR(AUTOEVENTO&lt;&gt;"manual",$M125&lt;&gt;$A$15)),
        IF(Import.TipoArredondamento&lt;&gt;"TransfereGOV",
              ROUND(OFFSET($P125,0,AV$13),15-13*ORÇAMENTO!$AF$7)/$H125*OFFSET(ORÇAMENTO!$X$15,ROW(AV125)-ROW(AV$15),0),
              ROUND(ROUND(OFFSET($P125,0,AV$13),15-13*ORÇAMENTO!$AF$7)*OFFSET(ORÇAMENTO!$W$15,ROW(AV125)-ROW(AV$15),0),15-13*ORÇAMENTO!$AF$11)),
         0)</f>
        <v>0</v>
      </c>
      <c r="AW125" s="452">
        <f ca="1">IF(AND($D125="Serviço",AW$12&lt;&gt;0,$H125&gt;0,OR(AUTOEVENTO&lt;&gt;"manual",$M125&lt;&gt;$A$15)),
        IF(Import.TipoArredondamento&lt;&gt;"TransfereGOV",
              ROUND(OFFSET($P125,0,AW$13),15-13*ORÇAMENTO!$AF$7)/$H125*OFFSET(ORÇAMENTO!$X$15,ROW(AW125)-ROW(AW$15),0),
              ROUND(ROUND(OFFSET($P125,0,AW$13),15-13*ORÇAMENTO!$AF$7)*OFFSET(ORÇAMENTO!$W$15,ROW(AW125)-ROW(AW$15),0),15-13*ORÇAMENTO!$AF$11)),
         0)</f>
        <v>0</v>
      </c>
      <c r="AX125" s="452">
        <f ca="1">IF(AND($D125="Serviço",AX$12&lt;&gt;0,$H125&gt;0,OR(AUTOEVENTO&lt;&gt;"manual",$M125&lt;&gt;$A$15)),
        IF(Import.TipoArredondamento&lt;&gt;"TransfereGOV",
              ROUND(OFFSET($P125,0,AX$13),15-13*ORÇAMENTO!$AF$7)/$H125*OFFSET(ORÇAMENTO!$X$15,ROW(AX125)-ROW(AX$15),0),
              ROUND(ROUND(OFFSET($P125,0,AX$13),15-13*ORÇAMENTO!$AF$7)*OFFSET(ORÇAMENTO!$W$15,ROW(AX125)-ROW(AX$15),0),15-13*ORÇAMENTO!$AF$11)),
         0)</f>
        <v>0</v>
      </c>
      <c r="AY125" s="452">
        <f ca="1">IF(AND($D125="Serviço",AY$12&lt;&gt;0,$H125&gt;0,OR(AUTOEVENTO&lt;&gt;"manual",$M125&lt;&gt;$A$15)),
        IF(Import.TipoArredondamento&lt;&gt;"TransfereGOV",
              ROUND(OFFSET($P125,0,AY$13),15-13*ORÇAMENTO!$AF$7)/$H125*OFFSET(ORÇAMENTO!$X$15,ROW(AY125)-ROW(AY$15),0),
              ROUND(ROUND(OFFSET($P125,0,AY$13),15-13*ORÇAMENTO!$AF$7)*OFFSET(ORÇAMENTO!$W$15,ROW(AY125)-ROW(AY$15),0),15-13*ORÇAMENTO!$AF$11)),
         0)</f>
        <v>0</v>
      </c>
      <c r="AZ125" s="452">
        <f ca="1">IF(AND($D125="Serviço",AZ$12&lt;&gt;0,$H125&gt;0,OR(AUTOEVENTO&lt;&gt;"manual",$M125&lt;&gt;$A$15)),
        IF(Import.TipoArredondamento&lt;&gt;"TransfereGOV",
              ROUND(OFFSET($P125,0,AZ$13),15-13*ORÇAMENTO!$AF$7)/$H125*OFFSET(ORÇAMENTO!$X$15,ROW(AZ125)-ROW(AZ$15),0),
              ROUND(ROUND(OFFSET($P125,0,AZ$13),15-13*ORÇAMENTO!$AF$7)*OFFSET(ORÇAMENTO!$W$15,ROW(AZ125)-ROW(AZ$15),0),15-13*ORÇAMENTO!$AF$11)),
         0)</f>
        <v>0</v>
      </c>
      <c r="BA125" s="452">
        <f ca="1">IF(AND($D125="Serviço",BA$12&lt;&gt;0,$H125&gt;0,OR(AUTOEVENTO&lt;&gt;"manual",$M125&lt;&gt;$A$15)),
        IF(Import.TipoArredondamento&lt;&gt;"TransfereGOV",
              ROUND(OFFSET($P125,0,BA$13),15-13*ORÇAMENTO!$AF$7)/$H125*OFFSET(ORÇAMENTO!$X$15,ROW(BA125)-ROW(BA$15),0),
              ROUND(ROUND(OFFSET($P125,0,BA$13),15-13*ORÇAMENTO!$AF$7)*OFFSET(ORÇAMENTO!$W$15,ROW(BA125)-ROW(BA$15),0),15-13*ORÇAMENTO!$AF$11)),
         0)</f>
        <v>0</v>
      </c>
      <c r="BC125" s="171">
        <f ca="1">IF(OR($D125&lt;&gt;"Serviço",AND(AUTOEVENTO="Manual",$M125=$A$15)),0,
         IF(OFFSET(CRONOPLE!$F$15,$M125-$A$15,BC$13)=0,10^12,OFFSET(CRONOPLE!$F$15,$M125-$A$15,BC$13)))</f>
        <v>0</v>
      </c>
      <c r="BD125" s="171">
        <f ca="1">IF(OR($D125&lt;&gt;"Serviço",AND(AUTOEVENTO="Manual",$M125=$A$15)),0,
         IF(OFFSET(CRONOPLE!$F$15,$M125-$A$15,BD$13)=0,10^12,OFFSET(CRONOPLE!$F$15,$M125-$A$15,BD$13)))</f>
        <v>0</v>
      </c>
      <c r="BE125" s="171">
        <f ca="1">IF(OR($D125&lt;&gt;"Serviço",AND(AUTOEVENTO="Manual",$M125=$A$15)),0,
         IF(OFFSET(CRONOPLE!$F$15,$M125-$A$15,BE$13)=0,10^12,OFFSET(CRONOPLE!$F$15,$M125-$A$15,BE$13)))</f>
        <v>0</v>
      </c>
      <c r="BF125" s="171">
        <f ca="1">IF(OR($D125&lt;&gt;"Serviço",AND(AUTOEVENTO="Manual",$M125=$A$15)),0,
         IF(OFFSET(CRONOPLE!$F$15,$M125-$A$15,BF$13)=0,10^12,OFFSET(CRONOPLE!$F$15,$M125-$A$15,BF$13)))</f>
        <v>0</v>
      </c>
      <c r="BG125" s="171">
        <f ca="1">IF(OR($D125&lt;&gt;"Serviço",AND(AUTOEVENTO="Manual",$M125=$A$15)),0,
         IF(OFFSET(CRONOPLE!$F$15,$M125-$A$15,BG$13)=0,10^12,OFFSET(CRONOPLE!$F$15,$M125-$A$15,BG$13)))</f>
        <v>0</v>
      </c>
      <c r="BH125" s="171">
        <f ca="1">IF(OR($D125&lt;&gt;"Serviço",AND(AUTOEVENTO="Manual",$M125=$A$15)),0,
         IF(OFFSET(CRONOPLE!$F$15,$M125-$A$15,BH$13)=0,10^12,OFFSET(CRONOPLE!$F$15,$M125-$A$15,BH$13)))</f>
        <v>0</v>
      </c>
      <c r="BI125" s="171">
        <f ca="1">IF(OR($D125&lt;&gt;"Serviço",AND(AUTOEVENTO="Manual",$M125=$A$15)),0,
         IF(OFFSET(CRONOPLE!$F$15,$M125-$A$15,BI$13)=0,10^12,OFFSET(CRONOPLE!$F$15,$M125-$A$15,BI$13)))</f>
        <v>0</v>
      </c>
      <c r="BJ125" s="171">
        <f ca="1">IF(OR($D125&lt;&gt;"Serviço",AND(AUTOEVENTO="Manual",$M125=$A$15)),0,
         IF(OFFSET(CRONOPLE!$F$15,$M125-$A$15,BJ$13)=0,10^12,OFFSET(CRONOPLE!$F$15,$M125-$A$15,BJ$13)))</f>
        <v>0</v>
      </c>
      <c r="BK125" s="171">
        <f ca="1">IF(OR($D125&lt;&gt;"Serviço",AND(AUTOEVENTO="Manual",$M125=$A$15)),0,
         IF(OFFSET(CRONOPLE!$F$15,$M125-$A$15,BK$13)=0,10^12,OFFSET(CRONOPLE!$F$15,$M125-$A$15,BK$13)))</f>
        <v>0</v>
      </c>
      <c r="BL125" s="171">
        <f ca="1">IF(OR($D125&lt;&gt;"Serviço",AND(AUTOEVENTO="Manual",$M125=$A$15)),0,
         IF(OFFSET(CRONOPLE!$F$15,$M125-$A$15,BL$13)=0,10^12,OFFSET(CRONOPLE!$F$15,$M125-$A$15,BL$13)))</f>
        <v>0</v>
      </c>
      <c r="BM125" s="171">
        <f ca="1">IF(OR($D125&lt;&gt;"Serviço",AND(AUTOEVENTO="Manual",$M125=$A$15)),0,
         IF(OFFSET(CRONOPLE!$F$15,$M125-$A$15,BM$13)=0,10^12,OFFSET(CRONOPLE!$F$15,$M125-$A$15,BM$13)))</f>
        <v>0</v>
      </c>
      <c r="BN125" s="171">
        <f ca="1">IF(OR($D125&lt;&gt;"Serviço",AND(AUTOEVENTO="Manual",$M125=$A$15)),0,
         IF(OFFSET(CRONOPLE!$F$15,$M125-$A$15,BN$13)=0,10^12,OFFSET(CRONOPLE!$F$15,$M125-$A$15,BN$13)))</f>
        <v>0</v>
      </c>
      <c r="BO125" s="171">
        <f ca="1">IF(OR($D125&lt;&gt;"Serviço",AND(AUTOEVENTO="Manual",$M125=$A$15)),0,
         IF(OFFSET(CRONOPLE!$F$15,$M125-$A$15,BO$13)=0,10^12,OFFSET(CRONOPLE!$F$15,$M125-$A$15,BO$13)))</f>
        <v>0</v>
      </c>
      <c r="BP125" s="171">
        <f ca="1">IF(OR($D125&lt;&gt;"Serviço",AND(AUTOEVENTO="Manual",$M125=$A$15)),0,
         IF(OFFSET(CRONOPLE!$F$15,$M125-$A$15,BP$13)=0,10^12,OFFSET(CRONOPLE!$F$15,$M125-$A$15,BP$13)))</f>
        <v>0</v>
      </c>
      <c r="BQ125" s="171">
        <f ca="1">IF(OR($D125&lt;&gt;"Serviço",AND(AUTOEVENTO="Manual",$M125=$A$15)),0,
         IF(OFFSET(CRONOPLE!$F$15,$M125-$A$15,BQ$13)=0,10^12,OFFSET(CRONOPLE!$F$15,$M125-$A$15,BQ$13)))</f>
        <v>0</v>
      </c>
      <c r="BR125" s="171">
        <f ca="1">IF(OR($D125&lt;&gt;"Serviço",AND(AUTOEVENTO="Manual",$M125=$A$15)),0,
         IF(OFFSET(CRONOPLE!$F$15,$M125-$A$15,BR$13)=0,10^12,OFFSET(CRONOPLE!$F$15,$M125-$A$15,BR$13)))</f>
        <v>0</v>
      </c>
      <c r="BS125" s="171">
        <f ca="1">IF(OR($D125&lt;&gt;"Serviço",AND(AUTOEVENTO="Manual",$M125=$A$15)),0,
         IF(OFFSET(CRONOPLE!$F$15,$M125-$A$15,BS$13)=0,10^12,OFFSET(CRONOPLE!$F$15,$M125-$A$15,BS$13)))</f>
        <v>0</v>
      </c>
      <c r="BT125" s="171">
        <f ca="1">IF(OR($D125&lt;&gt;"Serviço",AND(AUTOEVENTO="Manual",$M125=$A$15)),0,
         IF(OFFSET(CRONOPLE!$F$15,$M125-$A$15,BT$13)=0,10^12,OFFSET(CRONOPLE!$F$15,$M125-$A$15,BT$13)))</f>
        <v>0</v>
      </c>
      <c r="BV125" s="172">
        <f t="array" aca="1" ref="BV125" ca="1">IF(OR($D125&lt;&gt;"Serviço",AND(AUTOEVENTO="Manual",$M125=$A$15),$M125&gt;(ROW(PLE.lastrow)-ROW(PLE.firstrow))),0,
           IF(OFFSET(PLE!$G$15,$M125-$A$15,BV$13)="",10^12,OFFSET(PLE!$G$15,$M125-$A$15,BV$13)))</f>
        <v>0</v>
      </c>
      <c r="BW125" s="172">
        <f t="array" aca="1" ref="BW125" ca="1">IF(OR($D125&lt;&gt;"Serviço",AND(AUTOEVENTO="Manual",$M125=$A$15),$M125&gt;(ROW(PLE.lastrow)-ROW(PLE.firstrow))),0,
           IF(OFFSET(PLE!$G$15,$M125-$A$15,BW$13)="",10^12,OFFSET(PLE!$G$15,$M125-$A$15,BW$13)))</f>
        <v>0</v>
      </c>
      <c r="BX125" s="172">
        <f t="array" aca="1" ref="BX125" ca="1">IF(OR($D125&lt;&gt;"Serviço",AND(AUTOEVENTO="Manual",$M125=$A$15),$M125&gt;(ROW(PLE.lastrow)-ROW(PLE.firstrow))),0,
           IF(OFFSET(PLE!$G$15,$M125-$A$15,BX$13)="",10^12,OFFSET(PLE!$G$15,$M125-$A$15,BX$13)))</f>
        <v>0</v>
      </c>
      <c r="BY125" s="172">
        <f t="array" aca="1" ref="BY125" ca="1">IF(OR($D125&lt;&gt;"Serviço",AND(AUTOEVENTO="Manual",$M125=$A$15),$M125&gt;(ROW(PLE.lastrow)-ROW(PLE.firstrow))),0,
           IF(OFFSET(PLE!$G$15,$M125-$A$15,BY$13)="",10^12,OFFSET(PLE!$G$15,$M125-$A$15,BY$13)))</f>
        <v>0</v>
      </c>
      <c r="BZ125" s="172">
        <f t="array" aca="1" ref="BZ125" ca="1">IF(OR($D125&lt;&gt;"Serviço",AND(AUTOEVENTO="Manual",$M125=$A$15),$M125&gt;(ROW(PLE.lastrow)-ROW(PLE.firstrow))),0,
           IF(OFFSET(PLE!$G$15,$M125-$A$15,BZ$13)="",10^12,OFFSET(PLE!$G$15,$M125-$A$15,BZ$13)))</f>
        <v>0</v>
      </c>
      <c r="CA125" s="172">
        <f t="array" aca="1" ref="CA125" ca="1">IF(OR($D125&lt;&gt;"Serviço",AND(AUTOEVENTO="Manual",$M125=$A$15),$M125&gt;(ROW(PLE.lastrow)-ROW(PLE.firstrow))),0,
           IF(OFFSET(PLE!$G$15,$M125-$A$15,CA$13)="",10^12,OFFSET(PLE!$G$15,$M125-$A$15,CA$13)))</f>
        <v>0</v>
      </c>
      <c r="CB125" s="172">
        <f t="array" aca="1" ref="CB125" ca="1">IF(OR($D125&lt;&gt;"Serviço",AND(AUTOEVENTO="Manual",$M125=$A$15),$M125&gt;(ROW(PLE.lastrow)-ROW(PLE.firstrow))),0,
           IF(OFFSET(PLE!$G$15,$M125-$A$15,CB$13)="",10^12,OFFSET(PLE!$G$15,$M125-$A$15,CB$13)))</f>
        <v>0</v>
      </c>
      <c r="CC125" s="172">
        <f t="array" aca="1" ref="CC125" ca="1">IF(OR($D125&lt;&gt;"Serviço",AND(AUTOEVENTO="Manual",$M125=$A$15),$M125&gt;(ROW(PLE.lastrow)-ROW(PLE.firstrow))),0,
           IF(OFFSET(PLE!$G$15,$M125-$A$15,CC$13)="",10^12,OFFSET(PLE!$G$15,$M125-$A$15,CC$13)))</f>
        <v>0</v>
      </c>
      <c r="CD125" s="172">
        <f t="array" aca="1" ref="CD125" ca="1">IF(OR($D125&lt;&gt;"Serviço",AND(AUTOEVENTO="Manual",$M125=$A$15),$M125&gt;(ROW(PLE.lastrow)-ROW(PLE.firstrow))),0,
           IF(OFFSET(PLE!$G$15,$M125-$A$15,CD$13)="",10^12,OFFSET(PLE!$G$15,$M125-$A$15,CD$13)))</f>
        <v>0</v>
      </c>
      <c r="CE125" s="172">
        <f t="array" aca="1" ref="CE125" ca="1">IF(OR($D125&lt;&gt;"Serviço",AND(AUTOEVENTO="Manual",$M125=$A$15),$M125&gt;(ROW(PLE.lastrow)-ROW(PLE.firstrow))),0,
           IF(OFFSET(PLE!$G$15,$M125-$A$15,CE$13)="",10^12,OFFSET(PLE!$G$15,$M125-$A$15,CE$13)))</f>
        <v>0</v>
      </c>
      <c r="CF125" s="172">
        <f t="array" aca="1" ref="CF125" ca="1">IF(OR($D125&lt;&gt;"Serviço",AND(AUTOEVENTO="Manual",$M125=$A$15),$M125&gt;(ROW(PLE.lastrow)-ROW(PLE.firstrow))),0,
           IF(OFFSET(PLE!$G$15,$M125-$A$15,CF$13)="",10^12,OFFSET(PLE!$G$15,$M125-$A$15,CF$13)))</f>
        <v>0</v>
      </c>
      <c r="CG125" s="172">
        <f t="array" aca="1" ref="CG125" ca="1">IF(OR($D125&lt;&gt;"Serviço",AND(AUTOEVENTO="Manual",$M125=$A$15),$M125&gt;(ROW(PLE.lastrow)-ROW(PLE.firstrow))),0,
           IF(OFFSET(PLE!$G$15,$M125-$A$15,CG$13)="",10^12,OFFSET(PLE!$G$15,$M125-$A$15,CG$13)))</f>
        <v>0</v>
      </c>
      <c r="CH125" s="172">
        <f t="array" aca="1" ref="CH125" ca="1">IF(OR($D125&lt;&gt;"Serviço",AND(AUTOEVENTO="Manual",$M125=$A$15),$M125&gt;(ROW(PLE.lastrow)-ROW(PLE.firstrow))),0,
           IF(OFFSET(PLE!$G$15,$M125-$A$15,CH$13)="",10^12,OFFSET(PLE!$G$15,$M125-$A$15,CH$13)))</f>
        <v>0</v>
      </c>
      <c r="CI125" s="172">
        <f t="array" aca="1" ref="CI125" ca="1">IF(OR($D125&lt;&gt;"Serviço",AND(AUTOEVENTO="Manual",$M125=$A$15),$M125&gt;(ROW(PLE.lastrow)-ROW(PLE.firstrow))),0,
           IF(OFFSET(PLE!$G$15,$M125-$A$15,CI$13)="",10^12,OFFSET(PLE!$G$15,$M125-$A$15,CI$13)))</f>
        <v>0</v>
      </c>
      <c r="CJ125" s="172">
        <f t="array" aca="1" ref="CJ125" ca="1">IF(OR($D125&lt;&gt;"Serviço",AND(AUTOEVENTO="Manual",$M125=$A$15),$M125&gt;(ROW(PLE.lastrow)-ROW(PLE.firstrow))),0,
           IF(OFFSET(PLE!$G$15,$M125-$A$15,CJ$13)="",10^12,OFFSET(PLE!$G$15,$M125-$A$15,CJ$13)))</f>
        <v>0</v>
      </c>
      <c r="CK125" s="172">
        <f t="array" aca="1" ref="CK125" ca="1">IF(OR($D125&lt;&gt;"Serviço",AND(AUTOEVENTO="Manual",$M125=$A$15),$M125&gt;(ROW(PLE.lastrow)-ROW(PLE.firstrow))),0,
           IF(OFFSET(PLE!$G$15,$M125-$A$15,CK$13)="",10^12,OFFSET(PLE!$G$15,$M125-$A$15,CK$13)))</f>
        <v>0</v>
      </c>
      <c r="CL125" s="172">
        <f t="array" aca="1" ref="CL125" ca="1">IF(OR($D125&lt;&gt;"Serviço",AND(AUTOEVENTO="Manual",$M125=$A$15),$M125&gt;(ROW(PLE.lastrow)-ROW(PLE.firstrow))),0,
           IF(OFFSET(PLE!$G$15,$M125-$A$15,CL$13)="",10^12,OFFSET(PLE!$G$15,$M125-$A$15,CL$13)))</f>
        <v>0</v>
      </c>
      <c r="CM125" s="172">
        <f t="array" aca="1" ref="CM125" ca="1">IF(OR($D125&lt;&gt;"Serviço",AND(AUTOEVENTO="Manual",$M125=$A$15),$M125&gt;(ROW(PLE.lastrow)-ROW(PLE.firstrow))),0,
           IF(OFFSET(PLE!$G$15,$M125-$A$15,CM$13)="",10^12,OFFSET(PLE!$G$15,$M125-$A$15,CM$13)))</f>
        <v>0</v>
      </c>
    </row>
    <row r="126" spans="1:91" s="696" customFormat="1" ht="51" x14ac:dyDescent="0.2">
      <c r="A126" s="694">
        <f t="shared" ca="1" si="45"/>
        <v>26</v>
      </c>
      <c r="B126" s="694" t="str">
        <f ca="1">OFFSET(ORÇAMENTO!C$15,$L126,0)</f>
        <v>S</v>
      </c>
      <c r="C126" s="694" t="str">
        <f ca="1">OFFSET(ORÇAMENTO!L$15,$L126,0)</f>
        <v>F</v>
      </c>
      <c r="D126" s="116" t="str">
        <f ca="1">OFFSET(ORÇAMENTO!N$15,$L126,0)</f>
        <v>Serviço</v>
      </c>
      <c r="E126" s="117" t="str">
        <f ca="1">OFFSET(ORÇAMENTO!O$15,$L126,0)</f>
        <v>1.22.1.</v>
      </c>
      <c r="F126" s="163" t="str">
        <f ca="1">OFFSET(ORÇAMENTO!R$15,$L126,0)</f>
        <v>SOLEIRA EM MÁRMORE, LARGURA 15 CM, ESPESSURA 2,0 CM. AF_09/2020</v>
      </c>
      <c r="G126" s="164" t="str">
        <f ca="1">IF($D126&lt;&gt;"Serviço","",OFFSET(ORÇAMENTO!S$15,$L126,0))</f>
        <v>M</v>
      </c>
      <c r="H126" s="122">
        <f t="array" aca="1" ref="H126" ca="1">IF($D126&lt;&gt;"Serviço",0,IF(ACOMPANHAMENTO="BM",ROUND(OFFSET(ORÇAMENTO!AJ$15,$L126,0),15-13*ORÇAMENTO!$AF$7),IF(IFERROR(CÁLCULO.FrentesPreenchidas,0)=0,0,SUM(ROUND(OFFSET($P126,0,1,1,CÁLCULO.FrentesPreenchidas),15-13*ORÇAMENTO!$AF$7)))))</f>
        <v>50.4</v>
      </c>
      <c r="I126" s="467" t="s">
        <v>1281</v>
      </c>
      <c r="J126" s="653" t="str">
        <f t="array" aca="1" ref="J126" ca="1">IF(OR(B126&lt;&gt;"S",CÁLCULO.FrentesPreenchidas=0),"",IF(AND(ACOMPANHAMENTO="PLE",AUTOEVENTO="Manual",OR(H126&gt;0,ORÇAMENTO!AC126="QUANT."),OR(K126="",M126=0,N126="")),"►E",IF(AND(ACOMPANHAMENTO="PLE",ORÇAMENTO!AC126="QUANT."),"►Q",IF(AND(ACOMPANHAMENTO="PLE",H126&lt;&gt;SUMPRODUCT(($Q$1:$AI$1=1)*ROUND(Q126:AI126,15))),"►S",IF(AND(COUNTIF($P$11:$AI$11,"▼")=0,H126&gt;0,I126=""),"◄M","")))))</f>
        <v/>
      </c>
      <c r="K126" s="654" t="s">
        <v>1421</v>
      </c>
      <c r="L126" s="165">
        <f t="shared" ca="1" si="46"/>
        <v>111</v>
      </c>
      <c r="M126" s="166">
        <f ca="1">IF($D126&lt;&gt;"Serviço","",
          IF(AUTOEVENTO="manual",$A126,
                IF(ISERROR(MATCH($A126,$A$15:OFFSET($A126,-1,0),0)),MAX($M$15:OFFSET(M126,-1,0))+1,
                      INDEX($M$15:OFFSET(M126,-1,0),MATCH($A126,$A$15:OFFSET($A126,-1,0),0)))))</f>
        <v>26</v>
      </c>
      <c r="N126" s="167" t="str">
        <f ca="1">IF($D126&lt;&gt;"Serviço","",
         IF(AUTOEVENTO="Manual",
                IF($A126=0,"&lt;-- defina o número do agrupador",
                       OFFSET(EVENTOS!$D$15,$A126-$A$15,0)),
                OFFSET($F$15,$A126,0)))</f>
        <v>ACABAMENTO EM PEDRA NATURAL</v>
      </c>
      <c r="O126" s="168"/>
      <c r="Q126" s="169">
        <f>2.52*5</f>
        <v>12.6</v>
      </c>
      <c r="R126" s="169">
        <f t="shared" ref="R126:T126" si="79">2.52*5</f>
        <v>12.6</v>
      </c>
      <c r="S126" s="169">
        <f t="shared" si="79"/>
        <v>12.6</v>
      </c>
      <c r="T126" s="169">
        <f t="shared" si="79"/>
        <v>12.6</v>
      </c>
      <c r="U126" s="169"/>
      <c r="V126" s="169"/>
      <c r="W126" s="169"/>
      <c r="X126" s="169"/>
      <c r="Y126" s="169"/>
      <c r="Z126" s="170"/>
      <c r="AA126" s="169"/>
      <c r="AB126" s="169"/>
      <c r="AC126" s="169"/>
      <c r="AD126" s="169"/>
      <c r="AE126" s="169"/>
      <c r="AF126" s="169"/>
      <c r="AG126" s="169"/>
      <c r="AH126" s="170"/>
      <c r="AJ126" s="452">
        <f ca="1">IF(AND($D126="Serviço",AJ$12&lt;&gt;0,$H126&gt;0,OR(AUTOEVENTO&lt;&gt;"manual",$M126&lt;&gt;$A$15)),
        IF(Import.TipoArredondamento&lt;&gt;"TransfereGOV",
              ROUND(OFFSET($P126,0,AJ$13),15-13*ORÇAMENTO!$AF$7)/$H126*OFFSET(ORÇAMENTO!$X$15,ROW(AJ126)-ROW(AJ$15),0),
              ROUND(ROUND(OFFSET($P126,0,AJ$13),15-13*ORÇAMENTO!$AF$7)*OFFSET(ORÇAMENTO!$W$15,ROW(AJ126)-ROW(AJ$15),0),15-13*ORÇAMENTO!$AF$11)),
         0)</f>
        <v>1202.67</v>
      </c>
      <c r="AK126" s="452">
        <f ca="1">IF(AND($D126="Serviço",AK$12&lt;&gt;0,$H126&gt;0,OR(AUTOEVENTO&lt;&gt;"manual",$M126&lt;&gt;$A$15)),
        IF(Import.TipoArredondamento&lt;&gt;"TransfereGOV",
              ROUND(OFFSET($P126,0,AK$13),15-13*ORÇAMENTO!$AF$7)/$H126*OFFSET(ORÇAMENTO!$X$15,ROW(AK126)-ROW(AK$15),0),
              ROUND(ROUND(OFFSET($P126,0,AK$13),15-13*ORÇAMENTO!$AF$7)*OFFSET(ORÇAMENTO!$W$15,ROW(AK126)-ROW(AK$15),0),15-13*ORÇAMENTO!$AF$11)),
         0)</f>
        <v>1202.67</v>
      </c>
      <c r="AL126" s="452">
        <f ca="1">IF(AND($D126="Serviço",AL$12&lt;&gt;0,$H126&gt;0,OR(AUTOEVENTO&lt;&gt;"manual",$M126&lt;&gt;$A$15)),
        IF(Import.TipoArredondamento&lt;&gt;"TransfereGOV",
              ROUND(OFFSET($P126,0,AL$13),15-13*ORÇAMENTO!$AF$7)/$H126*OFFSET(ORÇAMENTO!$X$15,ROW(AL126)-ROW(AL$15),0),
              ROUND(ROUND(OFFSET($P126,0,AL$13),15-13*ORÇAMENTO!$AF$7)*OFFSET(ORÇAMENTO!$W$15,ROW(AL126)-ROW(AL$15),0),15-13*ORÇAMENTO!$AF$11)),
         0)</f>
        <v>1202.67</v>
      </c>
      <c r="AM126" s="452">
        <f ca="1">IF(AND($D126="Serviço",AM$12&lt;&gt;0,$H126&gt;0,OR(AUTOEVENTO&lt;&gt;"manual",$M126&lt;&gt;$A$15)),
        IF(Import.TipoArredondamento&lt;&gt;"TransfereGOV",
              ROUND(OFFSET($P126,0,AM$13),15-13*ORÇAMENTO!$AF$7)/$H126*OFFSET(ORÇAMENTO!$X$15,ROW(AM126)-ROW(AM$15),0),
              ROUND(ROUND(OFFSET($P126,0,AM$13),15-13*ORÇAMENTO!$AF$7)*OFFSET(ORÇAMENTO!$W$15,ROW(AM126)-ROW(AM$15),0),15-13*ORÇAMENTO!$AF$11)),
         0)</f>
        <v>1202.67</v>
      </c>
      <c r="AN126" s="452">
        <f ca="1">IF(AND($D126="Serviço",AN$12&lt;&gt;0,$H126&gt;0,OR(AUTOEVENTO&lt;&gt;"manual",$M126&lt;&gt;$A$15)),
        IF(Import.TipoArredondamento&lt;&gt;"TransfereGOV",
              ROUND(OFFSET($P126,0,AN$13),15-13*ORÇAMENTO!$AF$7)/$H126*OFFSET(ORÇAMENTO!$X$15,ROW(AN126)-ROW(AN$15),0),
              ROUND(ROUND(OFFSET($P126,0,AN$13),15-13*ORÇAMENTO!$AF$7)*OFFSET(ORÇAMENTO!$W$15,ROW(AN126)-ROW(AN$15),0),15-13*ORÇAMENTO!$AF$11)),
         0)</f>
        <v>0</v>
      </c>
      <c r="AO126" s="452">
        <f ca="1">IF(AND($D126="Serviço",AO$12&lt;&gt;0,$H126&gt;0,OR(AUTOEVENTO&lt;&gt;"manual",$M126&lt;&gt;$A$15)),
        IF(Import.TipoArredondamento&lt;&gt;"TransfereGOV",
              ROUND(OFFSET($P126,0,AO$13),15-13*ORÇAMENTO!$AF$7)/$H126*OFFSET(ORÇAMENTO!$X$15,ROW(AO126)-ROW(AO$15),0),
              ROUND(ROUND(OFFSET($P126,0,AO$13),15-13*ORÇAMENTO!$AF$7)*OFFSET(ORÇAMENTO!$W$15,ROW(AO126)-ROW(AO$15),0),15-13*ORÇAMENTO!$AF$11)),
         0)</f>
        <v>0</v>
      </c>
      <c r="AP126" s="452">
        <f ca="1">IF(AND($D126="Serviço",AP$12&lt;&gt;0,$H126&gt;0,OR(AUTOEVENTO&lt;&gt;"manual",$M126&lt;&gt;$A$15)),
        IF(Import.TipoArredondamento&lt;&gt;"TransfereGOV",
              ROUND(OFFSET($P126,0,AP$13),15-13*ORÇAMENTO!$AF$7)/$H126*OFFSET(ORÇAMENTO!$X$15,ROW(AP126)-ROW(AP$15),0),
              ROUND(ROUND(OFFSET($P126,0,AP$13),15-13*ORÇAMENTO!$AF$7)*OFFSET(ORÇAMENTO!$W$15,ROW(AP126)-ROW(AP$15),0),15-13*ORÇAMENTO!$AF$11)),
         0)</f>
        <v>0</v>
      </c>
      <c r="AQ126" s="452">
        <f ca="1">IF(AND($D126="Serviço",AQ$12&lt;&gt;0,$H126&gt;0,OR(AUTOEVENTO&lt;&gt;"manual",$M126&lt;&gt;$A$15)),
        IF(Import.TipoArredondamento&lt;&gt;"TransfereGOV",
              ROUND(OFFSET($P126,0,AQ$13),15-13*ORÇAMENTO!$AF$7)/$H126*OFFSET(ORÇAMENTO!$X$15,ROW(AQ126)-ROW(AQ$15),0),
              ROUND(ROUND(OFFSET($P126,0,AQ$13),15-13*ORÇAMENTO!$AF$7)*OFFSET(ORÇAMENTO!$W$15,ROW(AQ126)-ROW(AQ$15),0),15-13*ORÇAMENTO!$AF$11)),
         0)</f>
        <v>0</v>
      </c>
      <c r="AR126" s="452">
        <f ca="1">IF(AND($D126="Serviço",AR$12&lt;&gt;0,$H126&gt;0,OR(AUTOEVENTO&lt;&gt;"manual",$M126&lt;&gt;$A$15)),
        IF(Import.TipoArredondamento&lt;&gt;"TransfereGOV",
              ROUND(OFFSET($P126,0,AR$13),15-13*ORÇAMENTO!$AF$7)/$H126*OFFSET(ORÇAMENTO!$X$15,ROW(AR126)-ROW(AR$15),0),
              ROUND(ROUND(OFFSET($P126,0,AR$13),15-13*ORÇAMENTO!$AF$7)*OFFSET(ORÇAMENTO!$W$15,ROW(AR126)-ROW(AR$15),0),15-13*ORÇAMENTO!$AF$11)),
         0)</f>
        <v>0</v>
      </c>
      <c r="AS126" s="452">
        <f ca="1">IF(AND($D126="Serviço",AS$12&lt;&gt;0,$H126&gt;0,OR(AUTOEVENTO&lt;&gt;"manual",$M126&lt;&gt;$A$15)),
        IF(Import.TipoArredondamento&lt;&gt;"TransfereGOV",
              ROUND(OFFSET($P126,0,AS$13),15-13*ORÇAMENTO!$AF$7)/$H126*OFFSET(ORÇAMENTO!$X$15,ROW(AS126)-ROW(AS$15),0),
              ROUND(ROUND(OFFSET($P126,0,AS$13),15-13*ORÇAMENTO!$AF$7)*OFFSET(ORÇAMENTO!$W$15,ROW(AS126)-ROW(AS$15),0),15-13*ORÇAMENTO!$AF$11)),
         0)</f>
        <v>0</v>
      </c>
      <c r="AT126" s="452">
        <f ca="1">IF(AND($D126="Serviço",AT$12&lt;&gt;0,$H126&gt;0,OR(AUTOEVENTO&lt;&gt;"manual",$M126&lt;&gt;$A$15)),
        IF(Import.TipoArredondamento&lt;&gt;"TransfereGOV",
              ROUND(OFFSET($P126,0,AT$13),15-13*ORÇAMENTO!$AF$7)/$H126*OFFSET(ORÇAMENTO!$X$15,ROW(AT126)-ROW(AT$15),0),
              ROUND(ROUND(OFFSET($P126,0,AT$13),15-13*ORÇAMENTO!$AF$7)*OFFSET(ORÇAMENTO!$W$15,ROW(AT126)-ROW(AT$15),0),15-13*ORÇAMENTO!$AF$11)),
         0)</f>
        <v>0</v>
      </c>
      <c r="AU126" s="452">
        <f ca="1">IF(AND($D126="Serviço",AU$12&lt;&gt;0,$H126&gt;0,OR(AUTOEVENTO&lt;&gt;"manual",$M126&lt;&gt;$A$15)),
        IF(Import.TipoArredondamento&lt;&gt;"TransfereGOV",
              ROUND(OFFSET($P126,0,AU$13),15-13*ORÇAMENTO!$AF$7)/$H126*OFFSET(ORÇAMENTO!$X$15,ROW(AU126)-ROW(AU$15),0),
              ROUND(ROUND(OFFSET($P126,0,AU$13),15-13*ORÇAMENTO!$AF$7)*OFFSET(ORÇAMENTO!$W$15,ROW(AU126)-ROW(AU$15),0),15-13*ORÇAMENTO!$AF$11)),
         0)</f>
        <v>0</v>
      </c>
      <c r="AV126" s="452">
        <f ca="1">IF(AND($D126="Serviço",AV$12&lt;&gt;0,$H126&gt;0,OR(AUTOEVENTO&lt;&gt;"manual",$M126&lt;&gt;$A$15)),
        IF(Import.TipoArredondamento&lt;&gt;"TransfereGOV",
              ROUND(OFFSET($P126,0,AV$13),15-13*ORÇAMENTO!$AF$7)/$H126*OFFSET(ORÇAMENTO!$X$15,ROW(AV126)-ROW(AV$15),0),
              ROUND(ROUND(OFFSET($P126,0,AV$13),15-13*ORÇAMENTO!$AF$7)*OFFSET(ORÇAMENTO!$W$15,ROW(AV126)-ROW(AV$15),0),15-13*ORÇAMENTO!$AF$11)),
         0)</f>
        <v>0</v>
      </c>
      <c r="AW126" s="452">
        <f ca="1">IF(AND($D126="Serviço",AW$12&lt;&gt;0,$H126&gt;0,OR(AUTOEVENTO&lt;&gt;"manual",$M126&lt;&gt;$A$15)),
        IF(Import.TipoArredondamento&lt;&gt;"TransfereGOV",
              ROUND(OFFSET($P126,0,AW$13),15-13*ORÇAMENTO!$AF$7)/$H126*OFFSET(ORÇAMENTO!$X$15,ROW(AW126)-ROW(AW$15),0),
              ROUND(ROUND(OFFSET($P126,0,AW$13),15-13*ORÇAMENTO!$AF$7)*OFFSET(ORÇAMENTO!$W$15,ROW(AW126)-ROW(AW$15),0),15-13*ORÇAMENTO!$AF$11)),
         0)</f>
        <v>0</v>
      </c>
      <c r="AX126" s="452">
        <f ca="1">IF(AND($D126="Serviço",AX$12&lt;&gt;0,$H126&gt;0,OR(AUTOEVENTO&lt;&gt;"manual",$M126&lt;&gt;$A$15)),
        IF(Import.TipoArredondamento&lt;&gt;"TransfereGOV",
              ROUND(OFFSET($P126,0,AX$13),15-13*ORÇAMENTO!$AF$7)/$H126*OFFSET(ORÇAMENTO!$X$15,ROW(AX126)-ROW(AX$15),0),
              ROUND(ROUND(OFFSET($P126,0,AX$13),15-13*ORÇAMENTO!$AF$7)*OFFSET(ORÇAMENTO!$W$15,ROW(AX126)-ROW(AX$15),0),15-13*ORÇAMENTO!$AF$11)),
         0)</f>
        <v>0</v>
      </c>
      <c r="AY126" s="452">
        <f ca="1">IF(AND($D126="Serviço",AY$12&lt;&gt;0,$H126&gt;0,OR(AUTOEVENTO&lt;&gt;"manual",$M126&lt;&gt;$A$15)),
        IF(Import.TipoArredondamento&lt;&gt;"TransfereGOV",
              ROUND(OFFSET($P126,0,AY$13),15-13*ORÇAMENTO!$AF$7)/$H126*OFFSET(ORÇAMENTO!$X$15,ROW(AY126)-ROW(AY$15),0),
              ROUND(ROUND(OFFSET($P126,0,AY$13),15-13*ORÇAMENTO!$AF$7)*OFFSET(ORÇAMENTO!$W$15,ROW(AY126)-ROW(AY$15),0),15-13*ORÇAMENTO!$AF$11)),
         0)</f>
        <v>0</v>
      </c>
      <c r="AZ126" s="452">
        <f ca="1">IF(AND($D126="Serviço",AZ$12&lt;&gt;0,$H126&gt;0,OR(AUTOEVENTO&lt;&gt;"manual",$M126&lt;&gt;$A$15)),
        IF(Import.TipoArredondamento&lt;&gt;"TransfereGOV",
              ROUND(OFFSET($P126,0,AZ$13),15-13*ORÇAMENTO!$AF$7)/$H126*OFFSET(ORÇAMENTO!$X$15,ROW(AZ126)-ROW(AZ$15),0),
              ROUND(ROUND(OFFSET($P126,0,AZ$13),15-13*ORÇAMENTO!$AF$7)*OFFSET(ORÇAMENTO!$W$15,ROW(AZ126)-ROW(AZ$15),0),15-13*ORÇAMENTO!$AF$11)),
         0)</f>
        <v>0</v>
      </c>
      <c r="BA126" s="452">
        <f ca="1">IF(AND($D126="Serviço",BA$12&lt;&gt;0,$H126&gt;0,OR(AUTOEVENTO&lt;&gt;"manual",$M126&lt;&gt;$A$15)),
        IF(Import.TipoArredondamento&lt;&gt;"TransfereGOV",
              ROUND(OFFSET($P126,0,BA$13),15-13*ORÇAMENTO!$AF$7)/$H126*OFFSET(ORÇAMENTO!$X$15,ROW(BA126)-ROW(BA$15),0),
              ROUND(ROUND(OFFSET($P126,0,BA$13),15-13*ORÇAMENTO!$AF$7)*OFFSET(ORÇAMENTO!$W$15,ROW(BA126)-ROW(BA$15),0),15-13*ORÇAMENTO!$AF$11)),
         0)</f>
        <v>0</v>
      </c>
      <c r="BC126" s="171">
        <f ca="1">IF(OR($D126&lt;&gt;"Serviço",AND(AUTOEVENTO="Manual",$M126=$A$15)),0,
         IF(OFFSET(CRONOPLE!$F$15,$M126-$A$15,BC$13)=0,10^12,OFFSET(CRONOPLE!$F$15,$M126-$A$15,BC$13)))</f>
        <v>6</v>
      </c>
      <c r="BD126" s="171">
        <f ca="1">IF(OR($D126&lt;&gt;"Serviço",AND(AUTOEVENTO="Manual",$M126=$A$15)),0,
         IF(OFFSET(CRONOPLE!$F$15,$M126-$A$15,BD$13)=0,10^12,OFFSET(CRONOPLE!$F$15,$M126-$A$15,BD$13)))</f>
        <v>6</v>
      </c>
      <c r="BE126" s="171">
        <f ca="1">IF(OR($D126&lt;&gt;"Serviço",AND(AUTOEVENTO="Manual",$M126=$A$15)),0,
         IF(OFFSET(CRONOPLE!$F$15,$M126-$A$15,BE$13)=0,10^12,OFFSET(CRONOPLE!$F$15,$M126-$A$15,BE$13)))</f>
        <v>7</v>
      </c>
      <c r="BF126" s="171">
        <f ca="1">IF(OR($D126&lt;&gt;"Serviço",AND(AUTOEVENTO="Manual",$M126=$A$15)),0,
         IF(OFFSET(CRONOPLE!$F$15,$M126-$A$15,BF$13)=0,10^12,OFFSET(CRONOPLE!$F$15,$M126-$A$15,BF$13)))</f>
        <v>8</v>
      </c>
      <c r="BG126" s="171">
        <f ca="1">IF(OR($D126&lt;&gt;"Serviço",AND(AUTOEVENTO="Manual",$M126=$A$15)),0,
         IF(OFFSET(CRONOPLE!$F$15,$M126-$A$15,BG$13)=0,10^12,OFFSET(CRONOPLE!$F$15,$M126-$A$15,BG$13)))</f>
        <v>8</v>
      </c>
      <c r="BH126" s="171">
        <f ca="1">IF(OR($D126&lt;&gt;"Serviço",AND(AUTOEVENTO="Manual",$M126=$A$15)),0,
         IF(OFFSET(CRONOPLE!$F$15,$M126-$A$15,BH$13)=0,10^12,OFFSET(CRONOPLE!$F$15,$M126-$A$15,BH$13)))</f>
        <v>6</v>
      </c>
      <c r="BI126" s="171">
        <f ca="1">IF(OR($D126&lt;&gt;"Serviço",AND(AUTOEVENTO="Manual",$M126=$A$15)),0,
         IF(OFFSET(CRONOPLE!$F$15,$M126-$A$15,BI$13)=0,10^12,OFFSET(CRONOPLE!$F$15,$M126-$A$15,BI$13)))</f>
        <v>1000000000000</v>
      </c>
      <c r="BJ126" s="171">
        <f ca="1">IF(OR($D126&lt;&gt;"Serviço",AND(AUTOEVENTO="Manual",$M126=$A$15)),0,
         IF(OFFSET(CRONOPLE!$F$15,$M126-$A$15,BJ$13)=0,10^12,OFFSET(CRONOPLE!$F$15,$M126-$A$15,BJ$13)))</f>
        <v>1000000000000</v>
      </c>
      <c r="BK126" s="171">
        <f ca="1">IF(OR($D126&lt;&gt;"Serviço",AND(AUTOEVENTO="Manual",$M126=$A$15)),0,
         IF(OFFSET(CRONOPLE!$F$15,$M126-$A$15,BK$13)=0,10^12,OFFSET(CRONOPLE!$F$15,$M126-$A$15,BK$13)))</f>
        <v>1000000000000</v>
      </c>
      <c r="BL126" s="171">
        <f ca="1">IF(OR($D126&lt;&gt;"Serviço",AND(AUTOEVENTO="Manual",$M126=$A$15)),0,
         IF(OFFSET(CRONOPLE!$F$15,$M126-$A$15,BL$13)=0,10^12,OFFSET(CRONOPLE!$F$15,$M126-$A$15,BL$13)))</f>
        <v>1000000000000</v>
      </c>
      <c r="BM126" s="171">
        <f ca="1">IF(OR($D126&lt;&gt;"Serviço",AND(AUTOEVENTO="Manual",$M126=$A$15)),0,
         IF(OFFSET(CRONOPLE!$F$15,$M126-$A$15,BM$13)=0,10^12,OFFSET(CRONOPLE!$F$15,$M126-$A$15,BM$13)))</f>
        <v>1000000000000</v>
      </c>
      <c r="BN126" s="171">
        <f ca="1">IF(OR($D126&lt;&gt;"Serviço",AND(AUTOEVENTO="Manual",$M126=$A$15)),0,
         IF(OFFSET(CRONOPLE!$F$15,$M126-$A$15,BN$13)=0,10^12,OFFSET(CRONOPLE!$F$15,$M126-$A$15,BN$13)))</f>
        <v>1000000000000</v>
      </c>
      <c r="BO126" s="171">
        <f ca="1">IF(OR($D126&lt;&gt;"Serviço",AND(AUTOEVENTO="Manual",$M126=$A$15)),0,
         IF(OFFSET(CRONOPLE!$F$15,$M126-$A$15,BO$13)=0,10^12,OFFSET(CRONOPLE!$F$15,$M126-$A$15,BO$13)))</f>
        <v>1000000000000</v>
      </c>
      <c r="BP126" s="171">
        <f ca="1">IF(OR($D126&lt;&gt;"Serviço",AND(AUTOEVENTO="Manual",$M126=$A$15)),0,
         IF(OFFSET(CRONOPLE!$F$15,$M126-$A$15,BP$13)=0,10^12,OFFSET(CRONOPLE!$F$15,$M126-$A$15,BP$13)))</f>
        <v>1000000000000</v>
      </c>
      <c r="BQ126" s="171">
        <f ca="1">IF(OR($D126&lt;&gt;"Serviço",AND(AUTOEVENTO="Manual",$M126=$A$15)),0,
         IF(OFFSET(CRONOPLE!$F$15,$M126-$A$15,BQ$13)=0,10^12,OFFSET(CRONOPLE!$F$15,$M126-$A$15,BQ$13)))</f>
        <v>1000000000000</v>
      </c>
      <c r="BR126" s="171">
        <f ca="1">IF(OR($D126&lt;&gt;"Serviço",AND(AUTOEVENTO="Manual",$M126=$A$15)),0,
         IF(OFFSET(CRONOPLE!$F$15,$M126-$A$15,BR$13)=0,10^12,OFFSET(CRONOPLE!$F$15,$M126-$A$15,BR$13)))</f>
        <v>1000000000000</v>
      </c>
      <c r="BS126" s="171">
        <f ca="1">IF(OR($D126&lt;&gt;"Serviço",AND(AUTOEVENTO="Manual",$M126=$A$15)),0,
         IF(OFFSET(CRONOPLE!$F$15,$M126-$A$15,BS$13)=0,10^12,OFFSET(CRONOPLE!$F$15,$M126-$A$15,BS$13)))</f>
        <v>1000000000000</v>
      </c>
      <c r="BT126" s="171">
        <f ca="1">IF(OR($D126&lt;&gt;"Serviço",AND(AUTOEVENTO="Manual",$M126=$A$15)),0,
         IF(OFFSET(CRONOPLE!$F$15,$M126-$A$15,BT$13)=0,10^12,OFFSET(CRONOPLE!$F$15,$M126-$A$15,BT$13)))</f>
        <v>1000000000000</v>
      </c>
      <c r="BV126" s="172">
        <f t="array" aca="1" ref="BV126" ca="1">IF(OR($D126&lt;&gt;"Serviço",AND(AUTOEVENTO="Manual",$M126=$A$15),$M126&gt;(ROW(PLE.lastrow)-ROW(PLE.firstrow))),0,
           IF(OFFSET(PLE!$G$15,$M126-$A$15,BV$13)="",10^12,OFFSET(PLE!$G$15,$M126-$A$15,BV$13)))</f>
        <v>1000000000000</v>
      </c>
      <c r="BW126" s="172">
        <f t="array" aca="1" ref="BW126" ca="1">IF(OR($D126&lt;&gt;"Serviço",AND(AUTOEVENTO="Manual",$M126=$A$15),$M126&gt;(ROW(PLE.lastrow)-ROW(PLE.firstrow))),0,
           IF(OFFSET(PLE!$G$15,$M126-$A$15,BW$13)="",10^12,OFFSET(PLE!$G$15,$M126-$A$15,BW$13)))</f>
        <v>1000000000000</v>
      </c>
      <c r="BX126" s="172">
        <f t="array" aca="1" ref="BX126" ca="1">IF(OR($D126&lt;&gt;"Serviço",AND(AUTOEVENTO="Manual",$M126=$A$15),$M126&gt;(ROW(PLE.lastrow)-ROW(PLE.firstrow))),0,
           IF(OFFSET(PLE!$G$15,$M126-$A$15,BX$13)="",10^12,OFFSET(PLE!$G$15,$M126-$A$15,BX$13)))</f>
        <v>1000000000000</v>
      </c>
      <c r="BY126" s="172">
        <f t="array" aca="1" ref="BY126" ca="1">IF(OR($D126&lt;&gt;"Serviço",AND(AUTOEVENTO="Manual",$M126=$A$15),$M126&gt;(ROW(PLE.lastrow)-ROW(PLE.firstrow))),0,
           IF(OFFSET(PLE!$G$15,$M126-$A$15,BY$13)="",10^12,OFFSET(PLE!$G$15,$M126-$A$15,BY$13)))</f>
        <v>1000000000000</v>
      </c>
      <c r="BZ126" s="172">
        <f t="array" aca="1" ref="BZ126" ca="1">IF(OR($D126&lt;&gt;"Serviço",AND(AUTOEVENTO="Manual",$M126=$A$15),$M126&gt;(ROW(PLE.lastrow)-ROW(PLE.firstrow))),0,
           IF(OFFSET(PLE!$G$15,$M126-$A$15,BZ$13)="",10^12,OFFSET(PLE!$G$15,$M126-$A$15,BZ$13)))</f>
        <v>1000000000000</v>
      </c>
      <c r="CA126" s="172">
        <f t="array" aca="1" ref="CA126" ca="1">IF(OR($D126&lt;&gt;"Serviço",AND(AUTOEVENTO="Manual",$M126=$A$15),$M126&gt;(ROW(PLE.lastrow)-ROW(PLE.firstrow))),0,
           IF(OFFSET(PLE!$G$15,$M126-$A$15,CA$13)="",10^12,OFFSET(PLE!$G$15,$M126-$A$15,CA$13)))</f>
        <v>1000000000000</v>
      </c>
      <c r="CB126" s="172">
        <f t="array" aca="1" ref="CB126" ca="1">IF(OR($D126&lt;&gt;"Serviço",AND(AUTOEVENTO="Manual",$M126=$A$15),$M126&gt;(ROW(PLE.lastrow)-ROW(PLE.firstrow))),0,
           IF(OFFSET(PLE!$G$15,$M126-$A$15,CB$13)="",10^12,OFFSET(PLE!$G$15,$M126-$A$15,CB$13)))</f>
        <v>1000000000000</v>
      </c>
      <c r="CC126" s="172">
        <f t="array" aca="1" ref="CC126" ca="1">IF(OR($D126&lt;&gt;"Serviço",AND(AUTOEVENTO="Manual",$M126=$A$15),$M126&gt;(ROW(PLE.lastrow)-ROW(PLE.firstrow))),0,
           IF(OFFSET(PLE!$G$15,$M126-$A$15,CC$13)="",10^12,OFFSET(PLE!$G$15,$M126-$A$15,CC$13)))</f>
        <v>1000000000000</v>
      </c>
      <c r="CD126" s="172">
        <f t="array" aca="1" ref="CD126" ca="1">IF(OR($D126&lt;&gt;"Serviço",AND(AUTOEVENTO="Manual",$M126=$A$15),$M126&gt;(ROW(PLE.lastrow)-ROW(PLE.firstrow))),0,
           IF(OFFSET(PLE!$G$15,$M126-$A$15,CD$13)="",10^12,OFFSET(PLE!$G$15,$M126-$A$15,CD$13)))</f>
        <v>1000000000000</v>
      </c>
      <c r="CE126" s="172">
        <f t="array" aca="1" ref="CE126" ca="1">IF(OR($D126&lt;&gt;"Serviço",AND(AUTOEVENTO="Manual",$M126=$A$15),$M126&gt;(ROW(PLE.lastrow)-ROW(PLE.firstrow))),0,
           IF(OFFSET(PLE!$G$15,$M126-$A$15,CE$13)="",10^12,OFFSET(PLE!$G$15,$M126-$A$15,CE$13)))</f>
        <v>1000000000000</v>
      </c>
      <c r="CF126" s="172">
        <f t="array" aca="1" ref="CF126" ca="1">IF(OR($D126&lt;&gt;"Serviço",AND(AUTOEVENTO="Manual",$M126=$A$15),$M126&gt;(ROW(PLE.lastrow)-ROW(PLE.firstrow))),0,
           IF(OFFSET(PLE!$G$15,$M126-$A$15,CF$13)="",10^12,OFFSET(PLE!$G$15,$M126-$A$15,CF$13)))</f>
        <v>1000000000000</v>
      </c>
      <c r="CG126" s="172">
        <f t="array" aca="1" ref="CG126" ca="1">IF(OR($D126&lt;&gt;"Serviço",AND(AUTOEVENTO="Manual",$M126=$A$15),$M126&gt;(ROW(PLE.lastrow)-ROW(PLE.firstrow))),0,
           IF(OFFSET(PLE!$G$15,$M126-$A$15,CG$13)="",10^12,OFFSET(PLE!$G$15,$M126-$A$15,CG$13)))</f>
        <v>1000000000000</v>
      </c>
      <c r="CH126" s="172">
        <f t="array" aca="1" ref="CH126" ca="1">IF(OR($D126&lt;&gt;"Serviço",AND(AUTOEVENTO="Manual",$M126=$A$15),$M126&gt;(ROW(PLE.lastrow)-ROW(PLE.firstrow))),0,
           IF(OFFSET(PLE!$G$15,$M126-$A$15,CH$13)="",10^12,OFFSET(PLE!$G$15,$M126-$A$15,CH$13)))</f>
        <v>1000000000000</v>
      </c>
      <c r="CI126" s="172">
        <f t="array" aca="1" ref="CI126" ca="1">IF(OR($D126&lt;&gt;"Serviço",AND(AUTOEVENTO="Manual",$M126=$A$15),$M126&gt;(ROW(PLE.lastrow)-ROW(PLE.firstrow))),0,
           IF(OFFSET(PLE!$G$15,$M126-$A$15,CI$13)="",10^12,OFFSET(PLE!$G$15,$M126-$A$15,CI$13)))</f>
        <v>1000000000000</v>
      </c>
      <c r="CJ126" s="172">
        <f t="array" aca="1" ref="CJ126" ca="1">IF(OR($D126&lt;&gt;"Serviço",AND(AUTOEVENTO="Manual",$M126=$A$15),$M126&gt;(ROW(PLE.lastrow)-ROW(PLE.firstrow))),0,
           IF(OFFSET(PLE!$G$15,$M126-$A$15,CJ$13)="",10^12,OFFSET(PLE!$G$15,$M126-$A$15,CJ$13)))</f>
        <v>1000000000000</v>
      </c>
      <c r="CK126" s="172">
        <f t="array" aca="1" ref="CK126" ca="1">IF(OR($D126&lt;&gt;"Serviço",AND(AUTOEVENTO="Manual",$M126=$A$15),$M126&gt;(ROW(PLE.lastrow)-ROW(PLE.firstrow))),0,
           IF(OFFSET(PLE!$G$15,$M126-$A$15,CK$13)="",10^12,OFFSET(PLE!$G$15,$M126-$A$15,CK$13)))</f>
        <v>1000000000000</v>
      </c>
      <c r="CL126" s="172">
        <f t="array" aca="1" ref="CL126" ca="1">IF(OR($D126&lt;&gt;"Serviço",AND(AUTOEVENTO="Manual",$M126=$A$15),$M126&gt;(ROW(PLE.lastrow)-ROW(PLE.firstrow))),0,
           IF(OFFSET(PLE!$G$15,$M126-$A$15,CL$13)="",10^12,OFFSET(PLE!$G$15,$M126-$A$15,CL$13)))</f>
        <v>1000000000000</v>
      </c>
      <c r="CM126" s="172">
        <f t="array" aca="1" ref="CM126" ca="1">IF(OR($D126&lt;&gt;"Serviço",AND(AUTOEVENTO="Manual",$M126=$A$15),$M126&gt;(ROW(PLE.lastrow)-ROW(PLE.firstrow))),0,
           IF(OFFSET(PLE!$G$15,$M126-$A$15,CM$13)="",10^12,OFFSET(PLE!$G$15,$M126-$A$15,CM$13)))</f>
        <v>1000000000000</v>
      </c>
    </row>
    <row r="127" spans="1:91" s="696" customFormat="1" ht="38.25" x14ac:dyDescent="0.2">
      <c r="A127" s="694">
        <f t="shared" ca="1" si="45"/>
        <v>18</v>
      </c>
      <c r="B127" s="694" t="str">
        <f ca="1">OFFSET(ORÇAMENTO!C$15,$L127,0)</f>
        <v>S</v>
      </c>
      <c r="C127" s="694" t="str">
        <f ca="1">OFFSET(ORÇAMENTO!L$15,$L127,0)</f>
        <v>F</v>
      </c>
      <c r="D127" s="116" t="str">
        <f ca="1">OFFSET(ORÇAMENTO!N$15,$L127,0)</f>
        <v>Serviço</v>
      </c>
      <c r="E127" s="117" t="str">
        <f ca="1">OFFSET(ORÇAMENTO!O$15,$L127,0)</f>
        <v>1.22.2.</v>
      </c>
      <c r="F127" s="163" t="str">
        <f ca="1">OFFSET(ORÇAMENTO!R$15,$L127,0)</f>
        <v>RODAPÉ CERÂMICO DE 7CM DE ALTURA COM PLACAS TIPO ESMALTADA DE DIMENSÕES 35X35CM. AF_02/2023</v>
      </c>
      <c r="G127" s="164" t="str">
        <f ca="1">IF($D127&lt;&gt;"Serviço","",OFFSET(ORÇAMENTO!S$15,$L127,0))</f>
        <v>M</v>
      </c>
      <c r="H127" s="122">
        <f t="array" aca="1" ref="H127" ca="1">IF($D127&lt;&gt;"Serviço",0,IF(ACOMPANHAMENTO="BM",ROUND(OFFSET(ORÇAMENTO!AJ$15,$L127,0),15-13*ORÇAMENTO!$AF$7),IF(IFERROR(CÁLCULO.FrentesPreenchidas,0)=0,0,SUM(ROUND(OFFSET($P127,0,1,1,CÁLCULO.FrentesPreenchidas),15-13*ORÇAMENTO!$AF$7)))))</f>
        <v>774</v>
      </c>
      <c r="I127" s="467" t="s">
        <v>1282</v>
      </c>
      <c r="J127" s="653" t="str">
        <f t="array" aca="1" ref="J127" ca="1">IF(OR(B127&lt;&gt;"S",CÁLCULO.FrentesPreenchidas=0),"",IF(AND(ACOMPANHAMENTO="PLE",AUTOEVENTO="Manual",OR(H127&gt;0,ORÇAMENTO!AC127="QUANT."),OR(K127="",M127=0,N127="")),"►E",IF(AND(ACOMPANHAMENTO="PLE",ORÇAMENTO!AC127="QUANT."),"►Q",IF(AND(ACOMPANHAMENTO="PLE",H127&lt;&gt;SUMPRODUCT(($Q$1:$AI$1=1)*ROUND(Q127:AI127,15))),"►S",IF(AND(COUNTIF($P$11:$AI$11,"▼")=0,H127&gt;0,I127=""),"◄M","")))))</f>
        <v/>
      </c>
      <c r="K127" s="654" t="s">
        <v>1406</v>
      </c>
      <c r="L127" s="165">
        <f t="shared" ca="1" si="46"/>
        <v>112</v>
      </c>
      <c r="M127" s="166">
        <f ca="1">IF($D127&lt;&gt;"Serviço","",
          IF(AUTOEVENTO="manual",$A127,
                IF(ISERROR(MATCH($A127,$A$15:OFFSET($A127,-1,0),0)),MAX($M$15:OFFSET(M127,-1,0))+1,
                      INDEX($M$15:OFFSET(M127,-1,0),MATCH($A127,$A$15:OFFSET($A127,-1,0),0)))))</f>
        <v>18</v>
      </c>
      <c r="N127" s="167" t="str">
        <f ca="1">IF($D127&lt;&gt;"Serviço","",
         IF(AUTOEVENTO="Manual",
                IF($A127=0,"&lt;-- defina o número do agrupador",
                       OFFSET(EVENTOS!$D$15,$A127-$A$15,0)),
                OFFSET($F$15,$A127,0)))</f>
        <v>REVESTIMENTOS INTERNOS DE PISO</v>
      </c>
      <c r="O127" s="168"/>
      <c r="Q127" s="169">
        <f>38.7*5</f>
        <v>193.5</v>
      </c>
      <c r="R127" s="169">
        <f t="shared" ref="R127:T127" si="80">38.7*5</f>
        <v>193.5</v>
      </c>
      <c r="S127" s="169">
        <f t="shared" si="80"/>
        <v>193.5</v>
      </c>
      <c r="T127" s="169">
        <f t="shared" si="80"/>
        <v>193.5</v>
      </c>
      <c r="U127" s="169"/>
      <c r="V127" s="169"/>
      <c r="W127" s="169"/>
      <c r="X127" s="169"/>
      <c r="Y127" s="169"/>
      <c r="Z127" s="170"/>
      <c r="AA127" s="169"/>
      <c r="AB127" s="169"/>
      <c r="AC127" s="169"/>
      <c r="AD127" s="169"/>
      <c r="AE127" s="169"/>
      <c r="AF127" s="169"/>
      <c r="AG127" s="169"/>
      <c r="AH127" s="170"/>
      <c r="AJ127" s="452">
        <f ca="1">IF(AND($D127="Serviço",AJ$12&lt;&gt;0,$H127&gt;0,OR(AUTOEVENTO&lt;&gt;"manual",$M127&lt;&gt;$A$15)),
        IF(Import.TipoArredondamento&lt;&gt;"TransfereGOV",
              ROUND(OFFSET($P127,0,AJ$13),15-13*ORÇAMENTO!$AF$7)/$H127*OFFSET(ORÇAMENTO!$X$15,ROW(AJ127)-ROW(AJ$15),0),
              ROUND(ROUND(OFFSET($P127,0,AJ$13),15-13*ORÇAMENTO!$AF$7)*OFFSET(ORÇAMENTO!$W$15,ROW(AJ127)-ROW(AJ$15),0),15-13*ORÇAMENTO!$AF$11)),
         0)</f>
        <v>1737.63</v>
      </c>
      <c r="AK127" s="452">
        <f ca="1">IF(AND($D127="Serviço",AK$12&lt;&gt;0,$H127&gt;0,OR(AUTOEVENTO&lt;&gt;"manual",$M127&lt;&gt;$A$15)),
        IF(Import.TipoArredondamento&lt;&gt;"TransfereGOV",
              ROUND(OFFSET($P127,0,AK$13),15-13*ORÇAMENTO!$AF$7)/$H127*OFFSET(ORÇAMENTO!$X$15,ROW(AK127)-ROW(AK$15),0),
              ROUND(ROUND(OFFSET($P127,0,AK$13),15-13*ORÇAMENTO!$AF$7)*OFFSET(ORÇAMENTO!$W$15,ROW(AK127)-ROW(AK$15),0),15-13*ORÇAMENTO!$AF$11)),
         0)</f>
        <v>1737.63</v>
      </c>
      <c r="AL127" s="452">
        <f ca="1">IF(AND($D127="Serviço",AL$12&lt;&gt;0,$H127&gt;0,OR(AUTOEVENTO&lt;&gt;"manual",$M127&lt;&gt;$A$15)),
        IF(Import.TipoArredondamento&lt;&gt;"TransfereGOV",
              ROUND(OFFSET($P127,0,AL$13),15-13*ORÇAMENTO!$AF$7)/$H127*OFFSET(ORÇAMENTO!$X$15,ROW(AL127)-ROW(AL$15),0),
              ROUND(ROUND(OFFSET($P127,0,AL$13),15-13*ORÇAMENTO!$AF$7)*OFFSET(ORÇAMENTO!$W$15,ROW(AL127)-ROW(AL$15),0),15-13*ORÇAMENTO!$AF$11)),
         0)</f>
        <v>1737.63</v>
      </c>
      <c r="AM127" s="452">
        <f ca="1">IF(AND($D127="Serviço",AM$12&lt;&gt;0,$H127&gt;0,OR(AUTOEVENTO&lt;&gt;"manual",$M127&lt;&gt;$A$15)),
        IF(Import.TipoArredondamento&lt;&gt;"TransfereGOV",
              ROUND(OFFSET($P127,0,AM$13),15-13*ORÇAMENTO!$AF$7)/$H127*OFFSET(ORÇAMENTO!$X$15,ROW(AM127)-ROW(AM$15),0),
              ROUND(ROUND(OFFSET($P127,0,AM$13),15-13*ORÇAMENTO!$AF$7)*OFFSET(ORÇAMENTO!$W$15,ROW(AM127)-ROW(AM$15),0),15-13*ORÇAMENTO!$AF$11)),
         0)</f>
        <v>1737.63</v>
      </c>
      <c r="AN127" s="452">
        <f ca="1">IF(AND($D127="Serviço",AN$12&lt;&gt;0,$H127&gt;0,OR(AUTOEVENTO&lt;&gt;"manual",$M127&lt;&gt;$A$15)),
        IF(Import.TipoArredondamento&lt;&gt;"TransfereGOV",
              ROUND(OFFSET($P127,0,AN$13),15-13*ORÇAMENTO!$AF$7)/$H127*OFFSET(ORÇAMENTO!$X$15,ROW(AN127)-ROW(AN$15),0),
              ROUND(ROUND(OFFSET($P127,0,AN$13),15-13*ORÇAMENTO!$AF$7)*OFFSET(ORÇAMENTO!$W$15,ROW(AN127)-ROW(AN$15),0),15-13*ORÇAMENTO!$AF$11)),
         0)</f>
        <v>0</v>
      </c>
      <c r="AO127" s="452">
        <f ca="1">IF(AND($D127="Serviço",AO$12&lt;&gt;0,$H127&gt;0,OR(AUTOEVENTO&lt;&gt;"manual",$M127&lt;&gt;$A$15)),
        IF(Import.TipoArredondamento&lt;&gt;"TransfereGOV",
              ROUND(OFFSET($P127,0,AO$13),15-13*ORÇAMENTO!$AF$7)/$H127*OFFSET(ORÇAMENTO!$X$15,ROW(AO127)-ROW(AO$15),0),
              ROUND(ROUND(OFFSET($P127,0,AO$13),15-13*ORÇAMENTO!$AF$7)*OFFSET(ORÇAMENTO!$W$15,ROW(AO127)-ROW(AO$15),0),15-13*ORÇAMENTO!$AF$11)),
         0)</f>
        <v>0</v>
      </c>
      <c r="AP127" s="452">
        <f ca="1">IF(AND($D127="Serviço",AP$12&lt;&gt;0,$H127&gt;0,OR(AUTOEVENTO&lt;&gt;"manual",$M127&lt;&gt;$A$15)),
        IF(Import.TipoArredondamento&lt;&gt;"TransfereGOV",
              ROUND(OFFSET($P127,0,AP$13),15-13*ORÇAMENTO!$AF$7)/$H127*OFFSET(ORÇAMENTO!$X$15,ROW(AP127)-ROW(AP$15),0),
              ROUND(ROUND(OFFSET($P127,0,AP$13),15-13*ORÇAMENTO!$AF$7)*OFFSET(ORÇAMENTO!$W$15,ROW(AP127)-ROW(AP$15),0),15-13*ORÇAMENTO!$AF$11)),
         0)</f>
        <v>0</v>
      </c>
      <c r="AQ127" s="452">
        <f ca="1">IF(AND($D127="Serviço",AQ$12&lt;&gt;0,$H127&gt;0,OR(AUTOEVENTO&lt;&gt;"manual",$M127&lt;&gt;$A$15)),
        IF(Import.TipoArredondamento&lt;&gt;"TransfereGOV",
              ROUND(OFFSET($P127,0,AQ$13),15-13*ORÇAMENTO!$AF$7)/$H127*OFFSET(ORÇAMENTO!$X$15,ROW(AQ127)-ROW(AQ$15),0),
              ROUND(ROUND(OFFSET($P127,0,AQ$13),15-13*ORÇAMENTO!$AF$7)*OFFSET(ORÇAMENTO!$W$15,ROW(AQ127)-ROW(AQ$15),0),15-13*ORÇAMENTO!$AF$11)),
         0)</f>
        <v>0</v>
      </c>
      <c r="AR127" s="452">
        <f ca="1">IF(AND($D127="Serviço",AR$12&lt;&gt;0,$H127&gt;0,OR(AUTOEVENTO&lt;&gt;"manual",$M127&lt;&gt;$A$15)),
        IF(Import.TipoArredondamento&lt;&gt;"TransfereGOV",
              ROUND(OFFSET($P127,0,AR$13),15-13*ORÇAMENTO!$AF$7)/$H127*OFFSET(ORÇAMENTO!$X$15,ROW(AR127)-ROW(AR$15),0),
              ROUND(ROUND(OFFSET($P127,0,AR$13),15-13*ORÇAMENTO!$AF$7)*OFFSET(ORÇAMENTO!$W$15,ROW(AR127)-ROW(AR$15),0),15-13*ORÇAMENTO!$AF$11)),
         0)</f>
        <v>0</v>
      </c>
      <c r="AS127" s="452">
        <f ca="1">IF(AND($D127="Serviço",AS$12&lt;&gt;0,$H127&gt;0,OR(AUTOEVENTO&lt;&gt;"manual",$M127&lt;&gt;$A$15)),
        IF(Import.TipoArredondamento&lt;&gt;"TransfereGOV",
              ROUND(OFFSET($P127,0,AS$13),15-13*ORÇAMENTO!$AF$7)/$H127*OFFSET(ORÇAMENTO!$X$15,ROW(AS127)-ROW(AS$15),0),
              ROUND(ROUND(OFFSET($P127,0,AS$13),15-13*ORÇAMENTO!$AF$7)*OFFSET(ORÇAMENTO!$W$15,ROW(AS127)-ROW(AS$15),0),15-13*ORÇAMENTO!$AF$11)),
         0)</f>
        <v>0</v>
      </c>
      <c r="AT127" s="452">
        <f ca="1">IF(AND($D127="Serviço",AT$12&lt;&gt;0,$H127&gt;0,OR(AUTOEVENTO&lt;&gt;"manual",$M127&lt;&gt;$A$15)),
        IF(Import.TipoArredondamento&lt;&gt;"TransfereGOV",
              ROUND(OFFSET($P127,0,AT$13),15-13*ORÇAMENTO!$AF$7)/$H127*OFFSET(ORÇAMENTO!$X$15,ROW(AT127)-ROW(AT$15),0),
              ROUND(ROUND(OFFSET($P127,0,AT$13),15-13*ORÇAMENTO!$AF$7)*OFFSET(ORÇAMENTO!$W$15,ROW(AT127)-ROW(AT$15),0),15-13*ORÇAMENTO!$AF$11)),
         0)</f>
        <v>0</v>
      </c>
      <c r="AU127" s="452">
        <f ca="1">IF(AND($D127="Serviço",AU$12&lt;&gt;0,$H127&gt;0,OR(AUTOEVENTO&lt;&gt;"manual",$M127&lt;&gt;$A$15)),
        IF(Import.TipoArredondamento&lt;&gt;"TransfereGOV",
              ROUND(OFFSET($P127,0,AU$13),15-13*ORÇAMENTO!$AF$7)/$H127*OFFSET(ORÇAMENTO!$X$15,ROW(AU127)-ROW(AU$15),0),
              ROUND(ROUND(OFFSET($P127,0,AU$13),15-13*ORÇAMENTO!$AF$7)*OFFSET(ORÇAMENTO!$W$15,ROW(AU127)-ROW(AU$15),0),15-13*ORÇAMENTO!$AF$11)),
         0)</f>
        <v>0</v>
      </c>
      <c r="AV127" s="452">
        <f ca="1">IF(AND($D127="Serviço",AV$12&lt;&gt;0,$H127&gt;0,OR(AUTOEVENTO&lt;&gt;"manual",$M127&lt;&gt;$A$15)),
        IF(Import.TipoArredondamento&lt;&gt;"TransfereGOV",
              ROUND(OFFSET($P127,0,AV$13),15-13*ORÇAMENTO!$AF$7)/$H127*OFFSET(ORÇAMENTO!$X$15,ROW(AV127)-ROW(AV$15),0),
              ROUND(ROUND(OFFSET($P127,0,AV$13),15-13*ORÇAMENTO!$AF$7)*OFFSET(ORÇAMENTO!$W$15,ROW(AV127)-ROW(AV$15),0),15-13*ORÇAMENTO!$AF$11)),
         0)</f>
        <v>0</v>
      </c>
      <c r="AW127" s="452">
        <f ca="1">IF(AND($D127="Serviço",AW$12&lt;&gt;0,$H127&gt;0,OR(AUTOEVENTO&lt;&gt;"manual",$M127&lt;&gt;$A$15)),
        IF(Import.TipoArredondamento&lt;&gt;"TransfereGOV",
              ROUND(OFFSET($P127,0,AW$13),15-13*ORÇAMENTO!$AF$7)/$H127*OFFSET(ORÇAMENTO!$X$15,ROW(AW127)-ROW(AW$15),0),
              ROUND(ROUND(OFFSET($P127,0,AW$13),15-13*ORÇAMENTO!$AF$7)*OFFSET(ORÇAMENTO!$W$15,ROW(AW127)-ROW(AW$15),0),15-13*ORÇAMENTO!$AF$11)),
         0)</f>
        <v>0</v>
      </c>
      <c r="AX127" s="452">
        <f ca="1">IF(AND($D127="Serviço",AX$12&lt;&gt;0,$H127&gt;0,OR(AUTOEVENTO&lt;&gt;"manual",$M127&lt;&gt;$A$15)),
        IF(Import.TipoArredondamento&lt;&gt;"TransfereGOV",
              ROUND(OFFSET($P127,0,AX$13),15-13*ORÇAMENTO!$AF$7)/$H127*OFFSET(ORÇAMENTO!$X$15,ROW(AX127)-ROW(AX$15),0),
              ROUND(ROUND(OFFSET($P127,0,AX$13),15-13*ORÇAMENTO!$AF$7)*OFFSET(ORÇAMENTO!$W$15,ROW(AX127)-ROW(AX$15),0),15-13*ORÇAMENTO!$AF$11)),
         0)</f>
        <v>0</v>
      </c>
      <c r="AY127" s="452">
        <f ca="1">IF(AND($D127="Serviço",AY$12&lt;&gt;0,$H127&gt;0,OR(AUTOEVENTO&lt;&gt;"manual",$M127&lt;&gt;$A$15)),
        IF(Import.TipoArredondamento&lt;&gt;"TransfereGOV",
              ROUND(OFFSET($P127,0,AY$13),15-13*ORÇAMENTO!$AF$7)/$H127*OFFSET(ORÇAMENTO!$X$15,ROW(AY127)-ROW(AY$15),0),
              ROUND(ROUND(OFFSET($P127,0,AY$13),15-13*ORÇAMENTO!$AF$7)*OFFSET(ORÇAMENTO!$W$15,ROW(AY127)-ROW(AY$15),0),15-13*ORÇAMENTO!$AF$11)),
         0)</f>
        <v>0</v>
      </c>
      <c r="AZ127" s="452">
        <f ca="1">IF(AND($D127="Serviço",AZ$12&lt;&gt;0,$H127&gt;0,OR(AUTOEVENTO&lt;&gt;"manual",$M127&lt;&gt;$A$15)),
        IF(Import.TipoArredondamento&lt;&gt;"TransfereGOV",
              ROUND(OFFSET($P127,0,AZ$13),15-13*ORÇAMENTO!$AF$7)/$H127*OFFSET(ORÇAMENTO!$X$15,ROW(AZ127)-ROW(AZ$15),0),
              ROUND(ROUND(OFFSET($P127,0,AZ$13),15-13*ORÇAMENTO!$AF$7)*OFFSET(ORÇAMENTO!$W$15,ROW(AZ127)-ROW(AZ$15),0),15-13*ORÇAMENTO!$AF$11)),
         0)</f>
        <v>0</v>
      </c>
      <c r="BA127" s="452">
        <f ca="1">IF(AND($D127="Serviço",BA$12&lt;&gt;0,$H127&gt;0,OR(AUTOEVENTO&lt;&gt;"manual",$M127&lt;&gt;$A$15)),
        IF(Import.TipoArredondamento&lt;&gt;"TransfereGOV",
              ROUND(OFFSET($P127,0,BA$13),15-13*ORÇAMENTO!$AF$7)/$H127*OFFSET(ORÇAMENTO!$X$15,ROW(BA127)-ROW(BA$15),0),
              ROUND(ROUND(OFFSET($P127,0,BA$13),15-13*ORÇAMENTO!$AF$7)*OFFSET(ORÇAMENTO!$W$15,ROW(BA127)-ROW(BA$15),0),15-13*ORÇAMENTO!$AF$11)),
         0)</f>
        <v>0</v>
      </c>
      <c r="BC127" s="171">
        <f ca="1">IF(OR($D127&lt;&gt;"Serviço",AND(AUTOEVENTO="Manual",$M127=$A$15)),0,
         IF(OFFSET(CRONOPLE!$F$15,$M127-$A$15,BC$13)=0,10^12,OFFSET(CRONOPLE!$F$15,$M127-$A$15,BC$13)))</f>
        <v>6</v>
      </c>
      <c r="BD127" s="171">
        <f ca="1">IF(OR($D127&lt;&gt;"Serviço",AND(AUTOEVENTO="Manual",$M127=$A$15)),0,
         IF(OFFSET(CRONOPLE!$F$15,$M127-$A$15,BD$13)=0,10^12,OFFSET(CRONOPLE!$F$15,$M127-$A$15,BD$13)))</f>
        <v>6</v>
      </c>
      <c r="BE127" s="171">
        <f ca="1">IF(OR($D127&lt;&gt;"Serviço",AND(AUTOEVENTO="Manual",$M127=$A$15)),0,
         IF(OFFSET(CRONOPLE!$F$15,$M127-$A$15,BE$13)=0,10^12,OFFSET(CRONOPLE!$F$15,$M127-$A$15,BE$13)))</f>
        <v>7</v>
      </c>
      <c r="BF127" s="171">
        <f ca="1">IF(OR($D127&lt;&gt;"Serviço",AND(AUTOEVENTO="Manual",$M127=$A$15)),0,
         IF(OFFSET(CRONOPLE!$F$15,$M127-$A$15,BF$13)=0,10^12,OFFSET(CRONOPLE!$F$15,$M127-$A$15,BF$13)))</f>
        <v>8</v>
      </c>
      <c r="BG127" s="171">
        <f ca="1">IF(OR($D127&lt;&gt;"Serviço",AND(AUTOEVENTO="Manual",$M127=$A$15)),0,
         IF(OFFSET(CRONOPLE!$F$15,$M127-$A$15,BG$13)=0,10^12,OFFSET(CRONOPLE!$F$15,$M127-$A$15,BG$13)))</f>
        <v>8</v>
      </c>
      <c r="BH127" s="171">
        <f ca="1">IF(OR($D127&lt;&gt;"Serviço",AND(AUTOEVENTO="Manual",$M127=$A$15)),0,
         IF(OFFSET(CRONOPLE!$F$15,$M127-$A$15,BH$13)=0,10^12,OFFSET(CRONOPLE!$F$15,$M127-$A$15,BH$13)))</f>
        <v>1000000000000</v>
      </c>
      <c r="BI127" s="171">
        <f ca="1">IF(OR($D127&lt;&gt;"Serviço",AND(AUTOEVENTO="Manual",$M127=$A$15)),0,
         IF(OFFSET(CRONOPLE!$F$15,$M127-$A$15,BI$13)=0,10^12,OFFSET(CRONOPLE!$F$15,$M127-$A$15,BI$13)))</f>
        <v>1000000000000</v>
      </c>
      <c r="BJ127" s="171">
        <f ca="1">IF(OR($D127&lt;&gt;"Serviço",AND(AUTOEVENTO="Manual",$M127=$A$15)),0,
         IF(OFFSET(CRONOPLE!$F$15,$M127-$A$15,BJ$13)=0,10^12,OFFSET(CRONOPLE!$F$15,$M127-$A$15,BJ$13)))</f>
        <v>8</v>
      </c>
      <c r="BK127" s="171">
        <f ca="1">IF(OR($D127&lt;&gt;"Serviço",AND(AUTOEVENTO="Manual",$M127=$A$15)),0,
         IF(OFFSET(CRONOPLE!$F$15,$M127-$A$15,BK$13)=0,10^12,OFFSET(CRONOPLE!$F$15,$M127-$A$15,BK$13)))</f>
        <v>9</v>
      </c>
      <c r="BL127" s="171">
        <f ca="1">IF(OR($D127&lt;&gt;"Serviço",AND(AUTOEVENTO="Manual",$M127=$A$15)),0,
         IF(OFFSET(CRONOPLE!$F$15,$M127-$A$15,BL$13)=0,10^12,OFFSET(CRONOPLE!$F$15,$M127-$A$15,BL$13)))</f>
        <v>1000000000000</v>
      </c>
      <c r="BM127" s="171">
        <f ca="1">IF(OR($D127&lt;&gt;"Serviço",AND(AUTOEVENTO="Manual",$M127=$A$15)),0,
         IF(OFFSET(CRONOPLE!$F$15,$M127-$A$15,BM$13)=0,10^12,OFFSET(CRONOPLE!$F$15,$M127-$A$15,BM$13)))</f>
        <v>1000000000000</v>
      </c>
      <c r="BN127" s="171">
        <f ca="1">IF(OR($D127&lt;&gt;"Serviço",AND(AUTOEVENTO="Manual",$M127=$A$15)),0,
         IF(OFFSET(CRONOPLE!$F$15,$M127-$A$15,BN$13)=0,10^12,OFFSET(CRONOPLE!$F$15,$M127-$A$15,BN$13)))</f>
        <v>1000000000000</v>
      </c>
      <c r="BO127" s="171">
        <f ca="1">IF(OR($D127&lt;&gt;"Serviço",AND(AUTOEVENTO="Manual",$M127=$A$15)),0,
         IF(OFFSET(CRONOPLE!$F$15,$M127-$A$15,BO$13)=0,10^12,OFFSET(CRONOPLE!$F$15,$M127-$A$15,BO$13)))</f>
        <v>1000000000000</v>
      </c>
      <c r="BP127" s="171">
        <f ca="1">IF(OR($D127&lt;&gt;"Serviço",AND(AUTOEVENTO="Manual",$M127=$A$15)),0,
         IF(OFFSET(CRONOPLE!$F$15,$M127-$A$15,BP$13)=0,10^12,OFFSET(CRONOPLE!$F$15,$M127-$A$15,BP$13)))</f>
        <v>1000000000000</v>
      </c>
      <c r="BQ127" s="171">
        <f ca="1">IF(OR($D127&lt;&gt;"Serviço",AND(AUTOEVENTO="Manual",$M127=$A$15)),0,
         IF(OFFSET(CRONOPLE!$F$15,$M127-$A$15,BQ$13)=0,10^12,OFFSET(CRONOPLE!$F$15,$M127-$A$15,BQ$13)))</f>
        <v>1000000000000</v>
      </c>
      <c r="BR127" s="171">
        <f ca="1">IF(OR($D127&lt;&gt;"Serviço",AND(AUTOEVENTO="Manual",$M127=$A$15)),0,
         IF(OFFSET(CRONOPLE!$F$15,$M127-$A$15,BR$13)=0,10^12,OFFSET(CRONOPLE!$F$15,$M127-$A$15,BR$13)))</f>
        <v>1000000000000</v>
      </c>
      <c r="BS127" s="171">
        <f ca="1">IF(OR($D127&lt;&gt;"Serviço",AND(AUTOEVENTO="Manual",$M127=$A$15)),0,
         IF(OFFSET(CRONOPLE!$F$15,$M127-$A$15,BS$13)=0,10^12,OFFSET(CRONOPLE!$F$15,$M127-$A$15,BS$13)))</f>
        <v>1000000000000</v>
      </c>
      <c r="BT127" s="171">
        <f ca="1">IF(OR($D127&lt;&gt;"Serviço",AND(AUTOEVENTO="Manual",$M127=$A$15)),0,
         IF(OFFSET(CRONOPLE!$F$15,$M127-$A$15,BT$13)=0,10^12,OFFSET(CRONOPLE!$F$15,$M127-$A$15,BT$13)))</f>
        <v>1000000000000</v>
      </c>
      <c r="BV127" s="172">
        <f t="array" aca="1" ref="BV127" ca="1">IF(OR($D127&lt;&gt;"Serviço",AND(AUTOEVENTO="Manual",$M127=$A$15),$M127&gt;(ROW(PLE.lastrow)-ROW(PLE.firstrow))),0,
           IF(OFFSET(PLE!$G$15,$M127-$A$15,BV$13)="",10^12,OFFSET(PLE!$G$15,$M127-$A$15,BV$13)))</f>
        <v>1000000000000</v>
      </c>
      <c r="BW127" s="172">
        <f t="array" aca="1" ref="BW127" ca="1">IF(OR($D127&lt;&gt;"Serviço",AND(AUTOEVENTO="Manual",$M127=$A$15),$M127&gt;(ROW(PLE.lastrow)-ROW(PLE.firstrow))),0,
           IF(OFFSET(PLE!$G$15,$M127-$A$15,BW$13)="",10^12,OFFSET(PLE!$G$15,$M127-$A$15,BW$13)))</f>
        <v>1000000000000</v>
      </c>
      <c r="BX127" s="172">
        <f t="array" aca="1" ref="BX127" ca="1">IF(OR($D127&lt;&gt;"Serviço",AND(AUTOEVENTO="Manual",$M127=$A$15),$M127&gt;(ROW(PLE.lastrow)-ROW(PLE.firstrow))),0,
           IF(OFFSET(PLE!$G$15,$M127-$A$15,BX$13)="",10^12,OFFSET(PLE!$G$15,$M127-$A$15,BX$13)))</f>
        <v>1000000000000</v>
      </c>
      <c r="BY127" s="172">
        <f t="array" aca="1" ref="BY127" ca="1">IF(OR($D127&lt;&gt;"Serviço",AND(AUTOEVENTO="Manual",$M127=$A$15),$M127&gt;(ROW(PLE.lastrow)-ROW(PLE.firstrow))),0,
           IF(OFFSET(PLE!$G$15,$M127-$A$15,BY$13)="",10^12,OFFSET(PLE!$G$15,$M127-$A$15,BY$13)))</f>
        <v>1000000000000</v>
      </c>
      <c r="BZ127" s="172">
        <f t="array" aca="1" ref="BZ127" ca="1">IF(OR($D127&lt;&gt;"Serviço",AND(AUTOEVENTO="Manual",$M127=$A$15),$M127&gt;(ROW(PLE.lastrow)-ROW(PLE.firstrow))),0,
           IF(OFFSET(PLE!$G$15,$M127-$A$15,BZ$13)="",10^12,OFFSET(PLE!$G$15,$M127-$A$15,BZ$13)))</f>
        <v>1000000000000</v>
      </c>
      <c r="CA127" s="172">
        <f t="array" aca="1" ref="CA127" ca="1">IF(OR($D127&lt;&gt;"Serviço",AND(AUTOEVENTO="Manual",$M127=$A$15),$M127&gt;(ROW(PLE.lastrow)-ROW(PLE.firstrow))),0,
           IF(OFFSET(PLE!$G$15,$M127-$A$15,CA$13)="",10^12,OFFSET(PLE!$G$15,$M127-$A$15,CA$13)))</f>
        <v>1000000000000</v>
      </c>
      <c r="CB127" s="172">
        <f t="array" aca="1" ref="CB127" ca="1">IF(OR($D127&lt;&gt;"Serviço",AND(AUTOEVENTO="Manual",$M127=$A$15),$M127&gt;(ROW(PLE.lastrow)-ROW(PLE.firstrow))),0,
           IF(OFFSET(PLE!$G$15,$M127-$A$15,CB$13)="",10^12,OFFSET(PLE!$G$15,$M127-$A$15,CB$13)))</f>
        <v>1000000000000</v>
      </c>
      <c r="CC127" s="172">
        <f t="array" aca="1" ref="CC127" ca="1">IF(OR($D127&lt;&gt;"Serviço",AND(AUTOEVENTO="Manual",$M127=$A$15),$M127&gt;(ROW(PLE.lastrow)-ROW(PLE.firstrow))),0,
           IF(OFFSET(PLE!$G$15,$M127-$A$15,CC$13)="",10^12,OFFSET(PLE!$G$15,$M127-$A$15,CC$13)))</f>
        <v>1000000000000</v>
      </c>
      <c r="CD127" s="172">
        <f t="array" aca="1" ref="CD127" ca="1">IF(OR($D127&lt;&gt;"Serviço",AND(AUTOEVENTO="Manual",$M127=$A$15),$M127&gt;(ROW(PLE.lastrow)-ROW(PLE.firstrow))),0,
           IF(OFFSET(PLE!$G$15,$M127-$A$15,CD$13)="",10^12,OFFSET(PLE!$G$15,$M127-$A$15,CD$13)))</f>
        <v>1000000000000</v>
      </c>
      <c r="CE127" s="172">
        <f t="array" aca="1" ref="CE127" ca="1">IF(OR($D127&lt;&gt;"Serviço",AND(AUTOEVENTO="Manual",$M127=$A$15),$M127&gt;(ROW(PLE.lastrow)-ROW(PLE.firstrow))),0,
           IF(OFFSET(PLE!$G$15,$M127-$A$15,CE$13)="",10^12,OFFSET(PLE!$G$15,$M127-$A$15,CE$13)))</f>
        <v>1000000000000</v>
      </c>
      <c r="CF127" s="172">
        <f t="array" aca="1" ref="CF127" ca="1">IF(OR($D127&lt;&gt;"Serviço",AND(AUTOEVENTO="Manual",$M127=$A$15),$M127&gt;(ROW(PLE.lastrow)-ROW(PLE.firstrow))),0,
           IF(OFFSET(PLE!$G$15,$M127-$A$15,CF$13)="",10^12,OFFSET(PLE!$G$15,$M127-$A$15,CF$13)))</f>
        <v>1000000000000</v>
      </c>
      <c r="CG127" s="172">
        <f t="array" aca="1" ref="CG127" ca="1">IF(OR($D127&lt;&gt;"Serviço",AND(AUTOEVENTO="Manual",$M127=$A$15),$M127&gt;(ROW(PLE.lastrow)-ROW(PLE.firstrow))),0,
           IF(OFFSET(PLE!$G$15,$M127-$A$15,CG$13)="",10^12,OFFSET(PLE!$G$15,$M127-$A$15,CG$13)))</f>
        <v>1000000000000</v>
      </c>
      <c r="CH127" s="172">
        <f t="array" aca="1" ref="CH127" ca="1">IF(OR($D127&lt;&gt;"Serviço",AND(AUTOEVENTO="Manual",$M127=$A$15),$M127&gt;(ROW(PLE.lastrow)-ROW(PLE.firstrow))),0,
           IF(OFFSET(PLE!$G$15,$M127-$A$15,CH$13)="",10^12,OFFSET(PLE!$G$15,$M127-$A$15,CH$13)))</f>
        <v>1000000000000</v>
      </c>
      <c r="CI127" s="172">
        <f t="array" aca="1" ref="CI127" ca="1">IF(OR($D127&lt;&gt;"Serviço",AND(AUTOEVENTO="Manual",$M127=$A$15),$M127&gt;(ROW(PLE.lastrow)-ROW(PLE.firstrow))),0,
           IF(OFFSET(PLE!$G$15,$M127-$A$15,CI$13)="",10^12,OFFSET(PLE!$G$15,$M127-$A$15,CI$13)))</f>
        <v>1000000000000</v>
      </c>
      <c r="CJ127" s="172">
        <f t="array" aca="1" ref="CJ127" ca="1">IF(OR($D127&lt;&gt;"Serviço",AND(AUTOEVENTO="Manual",$M127=$A$15),$M127&gt;(ROW(PLE.lastrow)-ROW(PLE.firstrow))),0,
           IF(OFFSET(PLE!$G$15,$M127-$A$15,CJ$13)="",10^12,OFFSET(PLE!$G$15,$M127-$A$15,CJ$13)))</f>
        <v>1000000000000</v>
      </c>
      <c r="CK127" s="172">
        <f t="array" aca="1" ref="CK127" ca="1">IF(OR($D127&lt;&gt;"Serviço",AND(AUTOEVENTO="Manual",$M127=$A$15),$M127&gt;(ROW(PLE.lastrow)-ROW(PLE.firstrow))),0,
           IF(OFFSET(PLE!$G$15,$M127-$A$15,CK$13)="",10^12,OFFSET(PLE!$G$15,$M127-$A$15,CK$13)))</f>
        <v>1000000000000</v>
      </c>
      <c r="CL127" s="172">
        <f t="array" aca="1" ref="CL127" ca="1">IF(OR($D127&lt;&gt;"Serviço",AND(AUTOEVENTO="Manual",$M127=$A$15),$M127&gt;(ROW(PLE.lastrow)-ROW(PLE.firstrow))),0,
           IF(OFFSET(PLE!$G$15,$M127-$A$15,CL$13)="",10^12,OFFSET(PLE!$G$15,$M127-$A$15,CL$13)))</f>
        <v>1000000000000</v>
      </c>
      <c r="CM127" s="172">
        <f t="array" aca="1" ref="CM127" ca="1">IF(OR($D127&lt;&gt;"Serviço",AND(AUTOEVENTO="Manual",$M127=$A$15),$M127&gt;(ROW(PLE.lastrow)-ROW(PLE.firstrow))),0,
           IF(OFFSET(PLE!$G$15,$M127-$A$15,CM$13)="",10^12,OFFSET(PLE!$G$15,$M127-$A$15,CM$13)))</f>
        <v>1000000000000</v>
      </c>
    </row>
    <row r="128" spans="1:91" s="696" customFormat="1" ht="51" x14ac:dyDescent="0.2">
      <c r="A128" s="694">
        <f t="shared" ca="1" si="45"/>
        <v>26</v>
      </c>
      <c r="B128" s="694" t="str">
        <f ca="1">OFFSET(ORÇAMENTO!C$15,$L128,0)</f>
        <v>S</v>
      </c>
      <c r="C128" s="694" t="str">
        <f ca="1">OFFSET(ORÇAMENTO!L$15,$L128,0)</f>
        <v>F</v>
      </c>
      <c r="D128" s="116" t="str">
        <f ca="1">OFFSET(ORÇAMENTO!N$15,$L128,0)</f>
        <v>Serviço</v>
      </c>
      <c r="E128" s="117" t="str">
        <f ca="1">OFFSET(ORÇAMENTO!O$15,$L128,0)</f>
        <v>1.22.3.</v>
      </c>
      <c r="F128" s="163" t="str">
        <f ca="1">OFFSET(ORÇAMENTO!R$15,$L128,0)</f>
        <v>PEITORIL LINEAR EM GRANITO OU MÁRMORE, L = 15CM, ASSENTADO COM ARGAMASSA 1:6 COM ADITIVO. AF_11/2020</v>
      </c>
      <c r="G128" s="164" t="str">
        <f ca="1">IF($D128&lt;&gt;"Serviço","",OFFSET(ORÇAMENTO!S$15,$L128,0))</f>
        <v>M</v>
      </c>
      <c r="H128" s="122">
        <f t="array" aca="1" ref="H128" ca="1">IF($D128&lt;&gt;"Serviço",0,IF(ACOMPANHAMENTO="BM",ROUND(OFFSET(ORÇAMENTO!AJ$15,$L128,0),15-13*ORÇAMENTO!$AF$7),IF(IFERROR(CÁLCULO.FrentesPreenchidas,0)=0,0,SUM(ROUND(OFFSET($P128,0,1,1,CÁLCULO.FrentesPreenchidas),15-13*ORÇAMENTO!$AF$7)))))</f>
        <v>130</v>
      </c>
      <c r="I128" s="467" t="s">
        <v>1283</v>
      </c>
      <c r="J128" s="653" t="str">
        <f t="array" aca="1" ref="J128" ca="1">IF(OR(B128&lt;&gt;"S",CÁLCULO.FrentesPreenchidas=0),"",IF(AND(ACOMPANHAMENTO="PLE",AUTOEVENTO="Manual",OR(H128&gt;0,ORÇAMENTO!AC128="QUANT."),OR(K128="",M128=0,N128="")),"►E",IF(AND(ACOMPANHAMENTO="PLE",ORÇAMENTO!AC128="QUANT."),"►Q",IF(AND(ACOMPANHAMENTO="PLE",H128&lt;&gt;SUMPRODUCT(($Q$1:$AI$1=1)*ROUND(Q128:AI128,15))),"►S",IF(AND(COUNTIF($P$11:$AI$11,"▼")=0,H128&gt;0,I128=""),"◄M","")))))</f>
        <v/>
      </c>
      <c r="K128" s="654" t="s">
        <v>1421</v>
      </c>
      <c r="L128" s="165">
        <f t="shared" ca="1" si="46"/>
        <v>113</v>
      </c>
      <c r="M128" s="166">
        <f ca="1">IF($D128&lt;&gt;"Serviço","",
          IF(AUTOEVENTO="manual",$A128,
                IF(ISERROR(MATCH($A128,$A$15:OFFSET($A128,-1,0),0)),MAX($M$15:OFFSET(M128,-1,0))+1,
                      INDEX($M$15:OFFSET(M128,-1,0),MATCH($A128,$A$15:OFFSET($A128,-1,0),0)))))</f>
        <v>26</v>
      </c>
      <c r="N128" s="167" t="str">
        <f ca="1">IF($D128&lt;&gt;"Serviço","",
         IF(AUTOEVENTO="Manual",
                IF($A128=0,"&lt;-- defina o número do agrupador",
                       OFFSET(EVENTOS!$D$15,$A128-$A$15,0)),
                OFFSET($F$15,$A128,0)))</f>
        <v>ACABAMENTO EM PEDRA NATURAL</v>
      </c>
      <c r="O128" s="168"/>
      <c r="Q128" s="169">
        <f>6.5*5</f>
        <v>32.5</v>
      </c>
      <c r="R128" s="169">
        <f t="shared" ref="R128:T128" si="81">6.5*5</f>
        <v>32.5</v>
      </c>
      <c r="S128" s="169">
        <f t="shared" si="81"/>
        <v>32.5</v>
      </c>
      <c r="T128" s="169">
        <f t="shared" si="81"/>
        <v>32.5</v>
      </c>
      <c r="U128" s="169"/>
      <c r="V128" s="169"/>
      <c r="W128" s="169"/>
      <c r="X128" s="169"/>
      <c r="Y128" s="169"/>
      <c r="Z128" s="170"/>
      <c r="AA128" s="169"/>
      <c r="AB128" s="169"/>
      <c r="AC128" s="169"/>
      <c r="AD128" s="169"/>
      <c r="AE128" s="169"/>
      <c r="AF128" s="169"/>
      <c r="AG128" s="169"/>
      <c r="AH128" s="170"/>
      <c r="AJ128" s="452">
        <f ca="1">IF(AND($D128="Serviço",AJ$12&lt;&gt;0,$H128&gt;0,OR(AUTOEVENTO&lt;&gt;"manual",$M128&lt;&gt;$A$15)),
        IF(Import.TipoArredondamento&lt;&gt;"TransfereGOV",
              ROUND(OFFSET($P128,0,AJ$13),15-13*ORÇAMENTO!$AF$7)/$H128*OFFSET(ORÇAMENTO!$X$15,ROW(AJ128)-ROW(AJ$15),0),
              ROUND(ROUND(OFFSET($P128,0,AJ$13),15-13*ORÇAMENTO!$AF$7)*OFFSET(ORÇAMENTO!$W$15,ROW(AJ128)-ROW(AJ$15),0),15-13*ORÇAMENTO!$AF$11)),
         0)</f>
        <v>4310.8</v>
      </c>
      <c r="AK128" s="452">
        <f ca="1">IF(AND($D128="Serviço",AK$12&lt;&gt;0,$H128&gt;0,OR(AUTOEVENTO&lt;&gt;"manual",$M128&lt;&gt;$A$15)),
        IF(Import.TipoArredondamento&lt;&gt;"TransfereGOV",
              ROUND(OFFSET($P128,0,AK$13),15-13*ORÇAMENTO!$AF$7)/$H128*OFFSET(ORÇAMENTO!$X$15,ROW(AK128)-ROW(AK$15),0),
              ROUND(ROUND(OFFSET($P128,0,AK$13),15-13*ORÇAMENTO!$AF$7)*OFFSET(ORÇAMENTO!$W$15,ROW(AK128)-ROW(AK$15),0),15-13*ORÇAMENTO!$AF$11)),
         0)</f>
        <v>4310.8</v>
      </c>
      <c r="AL128" s="452">
        <f ca="1">IF(AND($D128="Serviço",AL$12&lt;&gt;0,$H128&gt;0,OR(AUTOEVENTO&lt;&gt;"manual",$M128&lt;&gt;$A$15)),
        IF(Import.TipoArredondamento&lt;&gt;"TransfereGOV",
              ROUND(OFFSET($P128,0,AL$13),15-13*ORÇAMENTO!$AF$7)/$H128*OFFSET(ORÇAMENTO!$X$15,ROW(AL128)-ROW(AL$15),0),
              ROUND(ROUND(OFFSET($P128,0,AL$13),15-13*ORÇAMENTO!$AF$7)*OFFSET(ORÇAMENTO!$W$15,ROW(AL128)-ROW(AL$15),0),15-13*ORÇAMENTO!$AF$11)),
         0)</f>
        <v>4310.8</v>
      </c>
      <c r="AM128" s="452">
        <f ca="1">IF(AND($D128="Serviço",AM$12&lt;&gt;0,$H128&gt;0,OR(AUTOEVENTO&lt;&gt;"manual",$M128&lt;&gt;$A$15)),
        IF(Import.TipoArredondamento&lt;&gt;"TransfereGOV",
              ROUND(OFFSET($P128,0,AM$13),15-13*ORÇAMENTO!$AF$7)/$H128*OFFSET(ORÇAMENTO!$X$15,ROW(AM128)-ROW(AM$15),0),
              ROUND(ROUND(OFFSET($P128,0,AM$13),15-13*ORÇAMENTO!$AF$7)*OFFSET(ORÇAMENTO!$W$15,ROW(AM128)-ROW(AM$15),0),15-13*ORÇAMENTO!$AF$11)),
         0)</f>
        <v>4310.8</v>
      </c>
      <c r="AN128" s="452">
        <f ca="1">IF(AND($D128="Serviço",AN$12&lt;&gt;0,$H128&gt;0,OR(AUTOEVENTO&lt;&gt;"manual",$M128&lt;&gt;$A$15)),
        IF(Import.TipoArredondamento&lt;&gt;"TransfereGOV",
              ROUND(OFFSET($P128,0,AN$13),15-13*ORÇAMENTO!$AF$7)/$H128*OFFSET(ORÇAMENTO!$X$15,ROW(AN128)-ROW(AN$15),0),
              ROUND(ROUND(OFFSET($P128,0,AN$13),15-13*ORÇAMENTO!$AF$7)*OFFSET(ORÇAMENTO!$W$15,ROW(AN128)-ROW(AN$15),0),15-13*ORÇAMENTO!$AF$11)),
         0)</f>
        <v>0</v>
      </c>
      <c r="AO128" s="452">
        <f ca="1">IF(AND($D128="Serviço",AO$12&lt;&gt;0,$H128&gt;0,OR(AUTOEVENTO&lt;&gt;"manual",$M128&lt;&gt;$A$15)),
        IF(Import.TipoArredondamento&lt;&gt;"TransfereGOV",
              ROUND(OFFSET($P128,0,AO$13),15-13*ORÇAMENTO!$AF$7)/$H128*OFFSET(ORÇAMENTO!$X$15,ROW(AO128)-ROW(AO$15),0),
              ROUND(ROUND(OFFSET($P128,0,AO$13),15-13*ORÇAMENTO!$AF$7)*OFFSET(ORÇAMENTO!$W$15,ROW(AO128)-ROW(AO$15),0),15-13*ORÇAMENTO!$AF$11)),
         0)</f>
        <v>0</v>
      </c>
      <c r="AP128" s="452">
        <f ca="1">IF(AND($D128="Serviço",AP$12&lt;&gt;0,$H128&gt;0,OR(AUTOEVENTO&lt;&gt;"manual",$M128&lt;&gt;$A$15)),
        IF(Import.TipoArredondamento&lt;&gt;"TransfereGOV",
              ROUND(OFFSET($P128,0,AP$13),15-13*ORÇAMENTO!$AF$7)/$H128*OFFSET(ORÇAMENTO!$X$15,ROW(AP128)-ROW(AP$15),0),
              ROUND(ROUND(OFFSET($P128,0,AP$13),15-13*ORÇAMENTO!$AF$7)*OFFSET(ORÇAMENTO!$W$15,ROW(AP128)-ROW(AP$15),0),15-13*ORÇAMENTO!$AF$11)),
         0)</f>
        <v>0</v>
      </c>
      <c r="AQ128" s="452">
        <f ca="1">IF(AND($D128="Serviço",AQ$12&lt;&gt;0,$H128&gt;0,OR(AUTOEVENTO&lt;&gt;"manual",$M128&lt;&gt;$A$15)),
        IF(Import.TipoArredondamento&lt;&gt;"TransfereGOV",
              ROUND(OFFSET($P128,0,AQ$13),15-13*ORÇAMENTO!$AF$7)/$H128*OFFSET(ORÇAMENTO!$X$15,ROW(AQ128)-ROW(AQ$15),0),
              ROUND(ROUND(OFFSET($P128,0,AQ$13),15-13*ORÇAMENTO!$AF$7)*OFFSET(ORÇAMENTO!$W$15,ROW(AQ128)-ROW(AQ$15),0),15-13*ORÇAMENTO!$AF$11)),
         0)</f>
        <v>0</v>
      </c>
      <c r="AR128" s="452">
        <f ca="1">IF(AND($D128="Serviço",AR$12&lt;&gt;0,$H128&gt;0,OR(AUTOEVENTO&lt;&gt;"manual",$M128&lt;&gt;$A$15)),
        IF(Import.TipoArredondamento&lt;&gt;"TransfereGOV",
              ROUND(OFFSET($P128,0,AR$13),15-13*ORÇAMENTO!$AF$7)/$H128*OFFSET(ORÇAMENTO!$X$15,ROW(AR128)-ROW(AR$15),0),
              ROUND(ROUND(OFFSET($P128,0,AR$13),15-13*ORÇAMENTO!$AF$7)*OFFSET(ORÇAMENTO!$W$15,ROW(AR128)-ROW(AR$15),0),15-13*ORÇAMENTO!$AF$11)),
         0)</f>
        <v>0</v>
      </c>
      <c r="AS128" s="452">
        <f ca="1">IF(AND($D128="Serviço",AS$12&lt;&gt;0,$H128&gt;0,OR(AUTOEVENTO&lt;&gt;"manual",$M128&lt;&gt;$A$15)),
        IF(Import.TipoArredondamento&lt;&gt;"TransfereGOV",
              ROUND(OFFSET($P128,0,AS$13),15-13*ORÇAMENTO!$AF$7)/$H128*OFFSET(ORÇAMENTO!$X$15,ROW(AS128)-ROW(AS$15),0),
              ROUND(ROUND(OFFSET($P128,0,AS$13),15-13*ORÇAMENTO!$AF$7)*OFFSET(ORÇAMENTO!$W$15,ROW(AS128)-ROW(AS$15),0),15-13*ORÇAMENTO!$AF$11)),
         0)</f>
        <v>0</v>
      </c>
      <c r="AT128" s="452">
        <f ca="1">IF(AND($D128="Serviço",AT$12&lt;&gt;0,$H128&gt;0,OR(AUTOEVENTO&lt;&gt;"manual",$M128&lt;&gt;$A$15)),
        IF(Import.TipoArredondamento&lt;&gt;"TransfereGOV",
              ROUND(OFFSET($P128,0,AT$13),15-13*ORÇAMENTO!$AF$7)/$H128*OFFSET(ORÇAMENTO!$X$15,ROW(AT128)-ROW(AT$15),0),
              ROUND(ROUND(OFFSET($P128,0,AT$13),15-13*ORÇAMENTO!$AF$7)*OFFSET(ORÇAMENTO!$W$15,ROW(AT128)-ROW(AT$15),0),15-13*ORÇAMENTO!$AF$11)),
         0)</f>
        <v>0</v>
      </c>
      <c r="AU128" s="452">
        <f ca="1">IF(AND($D128="Serviço",AU$12&lt;&gt;0,$H128&gt;0,OR(AUTOEVENTO&lt;&gt;"manual",$M128&lt;&gt;$A$15)),
        IF(Import.TipoArredondamento&lt;&gt;"TransfereGOV",
              ROUND(OFFSET($P128,0,AU$13),15-13*ORÇAMENTO!$AF$7)/$H128*OFFSET(ORÇAMENTO!$X$15,ROW(AU128)-ROW(AU$15),0),
              ROUND(ROUND(OFFSET($P128,0,AU$13),15-13*ORÇAMENTO!$AF$7)*OFFSET(ORÇAMENTO!$W$15,ROW(AU128)-ROW(AU$15),0),15-13*ORÇAMENTO!$AF$11)),
         0)</f>
        <v>0</v>
      </c>
      <c r="AV128" s="452">
        <f ca="1">IF(AND($D128="Serviço",AV$12&lt;&gt;0,$H128&gt;0,OR(AUTOEVENTO&lt;&gt;"manual",$M128&lt;&gt;$A$15)),
        IF(Import.TipoArredondamento&lt;&gt;"TransfereGOV",
              ROUND(OFFSET($P128,0,AV$13),15-13*ORÇAMENTO!$AF$7)/$H128*OFFSET(ORÇAMENTO!$X$15,ROW(AV128)-ROW(AV$15),0),
              ROUND(ROUND(OFFSET($P128,0,AV$13),15-13*ORÇAMENTO!$AF$7)*OFFSET(ORÇAMENTO!$W$15,ROW(AV128)-ROW(AV$15),0),15-13*ORÇAMENTO!$AF$11)),
         0)</f>
        <v>0</v>
      </c>
      <c r="AW128" s="452">
        <f ca="1">IF(AND($D128="Serviço",AW$12&lt;&gt;0,$H128&gt;0,OR(AUTOEVENTO&lt;&gt;"manual",$M128&lt;&gt;$A$15)),
        IF(Import.TipoArredondamento&lt;&gt;"TransfereGOV",
              ROUND(OFFSET($P128,0,AW$13),15-13*ORÇAMENTO!$AF$7)/$H128*OFFSET(ORÇAMENTO!$X$15,ROW(AW128)-ROW(AW$15),0),
              ROUND(ROUND(OFFSET($P128,0,AW$13),15-13*ORÇAMENTO!$AF$7)*OFFSET(ORÇAMENTO!$W$15,ROW(AW128)-ROW(AW$15),0),15-13*ORÇAMENTO!$AF$11)),
         0)</f>
        <v>0</v>
      </c>
      <c r="AX128" s="452">
        <f ca="1">IF(AND($D128="Serviço",AX$12&lt;&gt;0,$H128&gt;0,OR(AUTOEVENTO&lt;&gt;"manual",$M128&lt;&gt;$A$15)),
        IF(Import.TipoArredondamento&lt;&gt;"TransfereGOV",
              ROUND(OFFSET($P128,0,AX$13),15-13*ORÇAMENTO!$AF$7)/$H128*OFFSET(ORÇAMENTO!$X$15,ROW(AX128)-ROW(AX$15),0),
              ROUND(ROUND(OFFSET($P128,0,AX$13),15-13*ORÇAMENTO!$AF$7)*OFFSET(ORÇAMENTO!$W$15,ROW(AX128)-ROW(AX$15),0),15-13*ORÇAMENTO!$AF$11)),
         0)</f>
        <v>0</v>
      </c>
      <c r="AY128" s="452">
        <f ca="1">IF(AND($D128="Serviço",AY$12&lt;&gt;0,$H128&gt;0,OR(AUTOEVENTO&lt;&gt;"manual",$M128&lt;&gt;$A$15)),
        IF(Import.TipoArredondamento&lt;&gt;"TransfereGOV",
              ROUND(OFFSET($P128,0,AY$13),15-13*ORÇAMENTO!$AF$7)/$H128*OFFSET(ORÇAMENTO!$X$15,ROW(AY128)-ROW(AY$15),0),
              ROUND(ROUND(OFFSET($P128,0,AY$13),15-13*ORÇAMENTO!$AF$7)*OFFSET(ORÇAMENTO!$W$15,ROW(AY128)-ROW(AY$15),0),15-13*ORÇAMENTO!$AF$11)),
         0)</f>
        <v>0</v>
      </c>
      <c r="AZ128" s="452">
        <f ca="1">IF(AND($D128="Serviço",AZ$12&lt;&gt;0,$H128&gt;0,OR(AUTOEVENTO&lt;&gt;"manual",$M128&lt;&gt;$A$15)),
        IF(Import.TipoArredondamento&lt;&gt;"TransfereGOV",
              ROUND(OFFSET($P128,0,AZ$13),15-13*ORÇAMENTO!$AF$7)/$H128*OFFSET(ORÇAMENTO!$X$15,ROW(AZ128)-ROW(AZ$15),0),
              ROUND(ROUND(OFFSET($P128,0,AZ$13),15-13*ORÇAMENTO!$AF$7)*OFFSET(ORÇAMENTO!$W$15,ROW(AZ128)-ROW(AZ$15),0),15-13*ORÇAMENTO!$AF$11)),
         0)</f>
        <v>0</v>
      </c>
      <c r="BA128" s="452">
        <f ca="1">IF(AND($D128="Serviço",BA$12&lt;&gt;0,$H128&gt;0,OR(AUTOEVENTO&lt;&gt;"manual",$M128&lt;&gt;$A$15)),
        IF(Import.TipoArredondamento&lt;&gt;"TransfereGOV",
              ROUND(OFFSET($P128,0,BA$13),15-13*ORÇAMENTO!$AF$7)/$H128*OFFSET(ORÇAMENTO!$X$15,ROW(BA128)-ROW(BA$15),0),
              ROUND(ROUND(OFFSET($P128,0,BA$13),15-13*ORÇAMENTO!$AF$7)*OFFSET(ORÇAMENTO!$W$15,ROW(BA128)-ROW(BA$15),0),15-13*ORÇAMENTO!$AF$11)),
         0)</f>
        <v>0</v>
      </c>
      <c r="BC128" s="171">
        <f ca="1">IF(OR($D128&lt;&gt;"Serviço",AND(AUTOEVENTO="Manual",$M128=$A$15)),0,
         IF(OFFSET(CRONOPLE!$F$15,$M128-$A$15,BC$13)=0,10^12,OFFSET(CRONOPLE!$F$15,$M128-$A$15,BC$13)))</f>
        <v>6</v>
      </c>
      <c r="BD128" s="171">
        <f ca="1">IF(OR($D128&lt;&gt;"Serviço",AND(AUTOEVENTO="Manual",$M128=$A$15)),0,
         IF(OFFSET(CRONOPLE!$F$15,$M128-$A$15,BD$13)=0,10^12,OFFSET(CRONOPLE!$F$15,$M128-$A$15,BD$13)))</f>
        <v>6</v>
      </c>
      <c r="BE128" s="171">
        <f ca="1">IF(OR($D128&lt;&gt;"Serviço",AND(AUTOEVENTO="Manual",$M128=$A$15)),0,
         IF(OFFSET(CRONOPLE!$F$15,$M128-$A$15,BE$13)=0,10^12,OFFSET(CRONOPLE!$F$15,$M128-$A$15,BE$13)))</f>
        <v>7</v>
      </c>
      <c r="BF128" s="171">
        <f ca="1">IF(OR($D128&lt;&gt;"Serviço",AND(AUTOEVENTO="Manual",$M128=$A$15)),0,
         IF(OFFSET(CRONOPLE!$F$15,$M128-$A$15,BF$13)=0,10^12,OFFSET(CRONOPLE!$F$15,$M128-$A$15,BF$13)))</f>
        <v>8</v>
      </c>
      <c r="BG128" s="171">
        <f ca="1">IF(OR($D128&lt;&gt;"Serviço",AND(AUTOEVENTO="Manual",$M128=$A$15)),0,
         IF(OFFSET(CRONOPLE!$F$15,$M128-$A$15,BG$13)=0,10^12,OFFSET(CRONOPLE!$F$15,$M128-$A$15,BG$13)))</f>
        <v>8</v>
      </c>
      <c r="BH128" s="171">
        <f ca="1">IF(OR($D128&lt;&gt;"Serviço",AND(AUTOEVENTO="Manual",$M128=$A$15)),0,
         IF(OFFSET(CRONOPLE!$F$15,$M128-$A$15,BH$13)=0,10^12,OFFSET(CRONOPLE!$F$15,$M128-$A$15,BH$13)))</f>
        <v>6</v>
      </c>
      <c r="BI128" s="171">
        <f ca="1">IF(OR($D128&lt;&gt;"Serviço",AND(AUTOEVENTO="Manual",$M128=$A$15)),0,
         IF(OFFSET(CRONOPLE!$F$15,$M128-$A$15,BI$13)=0,10^12,OFFSET(CRONOPLE!$F$15,$M128-$A$15,BI$13)))</f>
        <v>1000000000000</v>
      </c>
      <c r="BJ128" s="171">
        <f ca="1">IF(OR($D128&lt;&gt;"Serviço",AND(AUTOEVENTO="Manual",$M128=$A$15)),0,
         IF(OFFSET(CRONOPLE!$F$15,$M128-$A$15,BJ$13)=0,10^12,OFFSET(CRONOPLE!$F$15,$M128-$A$15,BJ$13)))</f>
        <v>1000000000000</v>
      </c>
      <c r="BK128" s="171">
        <f ca="1">IF(OR($D128&lt;&gt;"Serviço",AND(AUTOEVENTO="Manual",$M128=$A$15)),0,
         IF(OFFSET(CRONOPLE!$F$15,$M128-$A$15,BK$13)=0,10^12,OFFSET(CRONOPLE!$F$15,$M128-$A$15,BK$13)))</f>
        <v>1000000000000</v>
      </c>
      <c r="BL128" s="171">
        <f ca="1">IF(OR($D128&lt;&gt;"Serviço",AND(AUTOEVENTO="Manual",$M128=$A$15)),0,
         IF(OFFSET(CRONOPLE!$F$15,$M128-$A$15,BL$13)=0,10^12,OFFSET(CRONOPLE!$F$15,$M128-$A$15,BL$13)))</f>
        <v>1000000000000</v>
      </c>
      <c r="BM128" s="171">
        <f ca="1">IF(OR($D128&lt;&gt;"Serviço",AND(AUTOEVENTO="Manual",$M128=$A$15)),0,
         IF(OFFSET(CRONOPLE!$F$15,$M128-$A$15,BM$13)=0,10^12,OFFSET(CRONOPLE!$F$15,$M128-$A$15,BM$13)))</f>
        <v>1000000000000</v>
      </c>
      <c r="BN128" s="171">
        <f ca="1">IF(OR($D128&lt;&gt;"Serviço",AND(AUTOEVENTO="Manual",$M128=$A$15)),0,
         IF(OFFSET(CRONOPLE!$F$15,$M128-$A$15,BN$13)=0,10^12,OFFSET(CRONOPLE!$F$15,$M128-$A$15,BN$13)))</f>
        <v>1000000000000</v>
      </c>
      <c r="BO128" s="171">
        <f ca="1">IF(OR($D128&lt;&gt;"Serviço",AND(AUTOEVENTO="Manual",$M128=$A$15)),0,
         IF(OFFSET(CRONOPLE!$F$15,$M128-$A$15,BO$13)=0,10^12,OFFSET(CRONOPLE!$F$15,$M128-$A$15,BO$13)))</f>
        <v>1000000000000</v>
      </c>
      <c r="BP128" s="171">
        <f ca="1">IF(OR($D128&lt;&gt;"Serviço",AND(AUTOEVENTO="Manual",$M128=$A$15)),0,
         IF(OFFSET(CRONOPLE!$F$15,$M128-$A$15,BP$13)=0,10^12,OFFSET(CRONOPLE!$F$15,$M128-$A$15,BP$13)))</f>
        <v>1000000000000</v>
      </c>
      <c r="BQ128" s="171">
        <f ca="1">IF(OR($D128&lt;&gt;"Serviço",AND(AUTOEVENTO="Manual",$M128=$A$15)),0,
         IF(OFFSET(CRONOPLE!$F$15,$M128-$A$15,BQ$13)=0,10^12,OFFSET(CRONOPLE!$F$15,$M128-$A$15,BQ$13)))</f>
        <v>1000000000000</v>
      </c>
      <c r="BR128" s="171">
        <f ca="1">IF(OR($D128&lt;&gt;"Serviço",AND(AUTOEVENTO="Manual",$M128=$A$15)),0,
         IF(OFFSET(CRONOPLE!$F$15,$M128-$A$15,BR$13)=0,10^12,OFFSET(CRONOPLE!$F$15,$M128-$A$15,BR$13)))</f>
        <v>1000000000000</v>
      </c>
      <c r="BS128" s="171">
        <f ca="1">IF(OR($D128&lt;&gt;"Serviço",AND(AUTOEVENTO="Manual",$M128=$A$15)),0,
         IF(OFFSET(CRONOPLE!$F$15,$M128-$A$15,BS$13)=0,10^12,OFFSET(CRONOPLE!$F$15,$M128-$A$15,BS$13)))</f>
        <v>1000000000000</v>
      </c>
      <c r="BT128" s="171">
        <f ca="1">IF(OR($D128&lt;&gt;"Serviço",AND(AUTOEVENTO="Manual",$M128=$A$15)),0,
         IF(OFFSET(CRONOPLE!$F$15,$M128-$A$15,BT$13)=0,10^12,OFFSET(CRONOPLE!$F$15,$M128-$A$15,BT$13)))</f>
        <v>1000000000000</v>
      </c>
      <c r="BV128" s="172">
        <f t="array" aca="1" ref="BV128" ca="1">IF(OR($D128&lt;&gt;"Serviço",AND(AUTOEVENTO="Manual",$M128=$A$15),$M128&gt;(ROW(PLE.lastrow)-ROW(PLE.firstrow))),0,
           IF(OFFSET(PLE!$G$15,$M128-$A$15,BV$13)="",10^12,OFFSET(PLE!$G$15,$M128-$A$15,BV$13)))</f>
        <v>1000000000000</v>
      </c>
      <c r="BW128" s="172">
        <f t="array" aca="1" ref="BW128" ca="1">IF(OR($D128&lt;&gt;"Serviço",AND(AUTOEVENTO="Manual",$M128=$A$15),$M128&gt;(ROW(PLE.lastrow)-ROW(PLE.firstrow))),0,
           IF(OFFSET(PLE!$G$15,$M128-$A$15,BW$13)="",10^12,OFFSET(PLE!$G$15,$M128-$A$15,BW$13)))</f>
        <v>1000000000000</v>
      </c>
      <c r="BX128" s="172">
        <f t="array" aca="1" ref="BX128" ca="1">IF(OR($D128&lt;&gt;"Serviço",AND(AUTOEVENTO="Manual",$M128=$A$15),$M128&gt;(ROW(PLE.lastrow)-ROW(PLE.firstrow))),0,
           IF(OFFSET(PLE!$G$15,$M128-$A$15,BX$13)="",10^12,OFFSET(PLE!$G$15,$M128-$A$15,BX$13)))</f>
        <v>1000000000000</v>
      </c>
      <c r="BY128" s="172">
        <f t="array" aca="1" ref="BY128" ca="1">IF(OR($D128&lt;&gt;"Serviço",AND(AUTOEVENTO="Manual",$M128=$A$15),$M128&gt;(ROW(PLE.lastrow)-ROW(PLE.firstrow))),0,
           IF(OFFSET(PLE!$G$15,$M128-$A$15,BY$13)="",10^12,OFFSET(PLE!$G$15,$M128-$A$15,BY$13)))</f>
        <v>1000000000000</v>
      </c>
      <c r="BZ128" s="172">
        <f t="array" aca="1" ref="BZ128" ca="1">IF(OR($D128&lt;&gt;"Serviço",AND(AUTOEVENTO="Manual",$M128=$A$15),$M128&gt;(ROW(PLE.lastrow)-ROW(PLE.firstrow))),0,
           IF(OFFSET(PLE!$G$15,$M128-$A$15,BZ$13)="",10^12,OFFSET(PLE!$G$15,$M128-$A$15,BZ$13)))</f>
        <v>1000000000000</v>
      </c>
      <c r="CA128" s="172">
        <f t="array" aca="1" ref="CA128" ca="1">IF(OR($D128&lt;&gt;"Serviço",AND(AUTOEVENTO="Manual",$M128=$A$15),$M128&gt;(ROW(PLE.lastrow)-ROW(PLE.firstrow))),0,
           IF(OFFSET(PLE!$G$15,$M128-$A$15,CA$13)="",10^12,OFFSET(PLE!$G$15,$M128-$A$15,CA$13)))</f>
        <v>1000000000000</v>
      </c>
      <c r="CB128" s="172">
        <f t="array" aca="1" ref="CB128" ca="1">IF(OR($D128&lt;&gt;"Serviço",AND(AUTOEVENTO="Manual",$M128=$A$15),$M128&gt;(ROW(PLE.lastrow)-ROW(PLE.firstrow))),0,
           IF(OFFSET(PLE!$G$15,$M128-$A$15,CB$13)="",10^12,OFFSET(PLE!$G$15,$M128-$A$15,CB$13)))</f>
        <v>1000000000000</v>
      </c>
      <c r="CC128" s="172">
        <f t="array" aca="1" ref="CC128" ca="1">IF(OR($D128&lt;&gt;"Serviço",AND(AUTOEVENTO="Manual",$M128=$A$15),$M128&gt;(ROW(PLE.lastrow)-ROW(PLE.firstrow))),0,
           IF(OFFSET(PLE!$G$15,$M128-$A$15,CC$13)="",10^12,OFFSET(PLE!$G$15,$M128-$A$15,CC$13)))</f>
        <v>1000000000000</v>
      </c>
      <c r="CD128" s="172">
        <f t="array" aca="1" ref="CD128" ca="1">IF(OR($D128&lt;&gt;"Serviço",AND(AUTOEVENTO="Manual",$M128=$A$15),$M128&gt;(ROW(PLE.lastrow)-ROW(PLE.firstrow))),0,
           IF(OFFSET(PLE!$G$15,$M128-$A$15,CD$13)="",10^12,OFFSET(PLE!$G$15,$M128-$A$15,CD$13)))</f>
        <v>1000000000000</v>
      </c>
      <c r="CE128" s="172">
        <f t="array" aca="1" ref="CE128" ca="1">IF(OR($D128&lt;&gt;"Serviço",AND(AUTOEVENTO="Manual",$M128=$A$15),$M128&gt;(ROW(PLE.lastrow)-ROW(PLE.firstrow))),0,
           IF(OFFSET(PLE!$G$15,$M128-$A$15,CE$13)="",10^12,OFFSET(PLE!$G$15,$M128-$A$15,CE$13)))</f>
        <v>1000000000000</v>
      </c>
      <c r="CF128" s="172">
        <f t="array" aca="1" ref="CF128" ca="1">IF(OR($D128&lt;&gt;"Serviço",AND(AUTOEVENTO="Manual",$M128=$A$15),$M128&gt;(ROW(PLE.lastrow)-ROW(PLE.firstrow))),0,
           IF(OFFSET(PLE!$G$15,$M128-$A$15,CF$13)="",10^12,OFFSET(PLE!$G$15,$M128-$A$15,CF$13)))</f>
        <v>1000000000000</v>
      </c>
      <c r="CG128" s="172">
        <f t="array" aca="1" ref="CG128" ca="1">IF(OR($D128&lt;&gt;"Serviço",AND(AUTOEVENTO="Manual",$M128=$A$15),$M128&gt;(ROW(PLE.lastrow)-ROW(PLE.firstrow))),0,
           IF(OFFSET(PLE!$G$15,$M128-$A$15,CG$13)="",10^12,OFFSET(PLE!$G$15,$M128-$A$15,CG$13)))</f>
        <v>1000000000000</v>
      </c>
      <c r="CH128" s="172">
        <f t="array" aca="1" ref="CH128" ca="1">IF(OR($D128&lt;&gt;"Serviço",AND(AUTOEVENTO="Manual",$M128=$A$15),$M128&gt;(ROW(PLE.lastrow)-ROW(PLE.firstrow))),0,
           IF(OFFSET(PLE!$G$15,$M128-$A$15,CH$13)="",10^12,OFFSET(PLE!$G$15,$M128-$A$15,CH$13)))</f>
        <v>1000000000000</v>
      </c>
      <c r="CI128" s="172">
        <f t="array" aca="1" ref="CI128" ca="1">IF(OR($D128&lt;&gt;"Serviço",AND(AUTOEVENTO="Manual",$M128=$A$15),$M128&gt;(ROW(PLE.lastrow)-ROW(PLE.firstrow))),0,
           IF(OFFSET(PLE!$G$15,$M128-$A$15,CI$13)="",10^12,OFFSET(PLE!$G$15,$M128-$A$15,CI$13)))</f>
        <v>1000000000000</v>
      </c>
      <c r="CJ128" s="172">
        <f t="array" aca="1" ref="CJ128" ca="1">IF(OR($D128&lt;&gt;"Serviço",AND(AUTOEVENTO="Manual",$M128=$A$15),$M128&gt;(ROW(PLE.lastrow)-ROW(PLE.firstrow))),0,
           IF(OFFSET(PLE!$G$15,$M128-$A$15,CJ$13)="",10^12,OFFSET(PLE!$G$15,$M128-$A$15,CJ$13)))</f>
        <v>1000000000000</v>
      </c>
      <c r="CK128" s="172">
        <f t="array" aca="1" ref="CK128" ca="1">IF(OR($D128&lt;&gt;"Serviço",AND(AUTOEVENTO="Manual",$M128=$A$15),$M128&gt;(ROW(PLE.lastrow)-ROW(PLE.firstrow))),0,
           IF(OFFSET(PLE!$G$15,$M128-$A$15,CK$13)="",10^12,OFFSET(PLE!$G$15,$M128-$A$15,CK$13)))</f>
        <v>1000000000000</v>
      </c>
      <c r="CL128" s="172">
        <f t="array" aca="1" ref="CL128" ca="1">IF(OR($D128&lt;&gt;"Serviço",AND(AUTOEVENTO="Manual",$M128=$A$15),$M128&gt;(ROW(PLE.lastrow)-ROW(PLE.firstrow))),0,
           IF(OFFSET(PLE!$G$15,$M128-$A$15,CL$13)="",10^12,OFFSET(PLE!$G$15,$M128-$A$15,CL$13)))</f>
        <v>1000000000000</v>
      </c>
      <c r="CM128" s="172">
        <f t="array" aca="1" ref="CM128" ca="1">IF(OR($D128&lt;&gt;"Serviço",AND(AUTOEVENTO="Manual",$M128=$A$15),$M128&gt;(ROW(PLE.lastrow)-ROW(PLE.firstrow))),0,
           IF(OFFSET(PLE!$G$15,$M128-$A$15,CM$13)="",10^12,OFFSET(PLE!$G$15,$M128-$A$15,CM$13)))</f>
        <v>1000000000000</v>
      </c>
    </row>
    <row r="129" spans="1:91" s="696" customFormat="1" ht="12.75" x14ac:dyDescent="0.2">
      <c r="A129" s="694">
        <f t="shared" ca="1" si="45"/>
        <v>0</v>
      </c>
      <c r="B129" s="694">
        <f ca="1">OFFSET(ORÇAMENTO!C$15,$L129,0)</f>
        <v>2</v>
      </c>
      <c r="C129" s="694" t="str">
        <f ca="1">OFFSET(ORÇAMENTO!L$15,$L129,0)</f>
        <v>F</v>
      </c>
      <c r="D129" s="116" t="str">
        <f ca="1">OFFSET(ORÇAMENTO!N$15,$L129,0)</f>
        <v>Nível 2</v>
      </c>
      <c r="E129" s="117" t="str">
        <f ca="1">OFFSET(ORÇAMENTO!O$15,$L129,0)</f>
        <v>1.23.</v>
      </c>
      <c r="F129" s="163" t="str">
        <f ca="1">OFFSET(ORÇAMENTO!R$15,$L129,0)</f>
        <v>INSTALAÇÕES ELÉTRICAS/TELEFONE</v>
      </c>
      <c r="G129" s="164" t="str">
        <f ca="1">IF($D129&lt;&gt;"Serviço","",OFFSET(ORÇAMENTO!S$15,$L129,0))</f>
        <v/>
      </c>
      <c r="H129" s="122">
        <f t="array" aca="1" ref="H129" ca="1">IF($D129&lt;&gt;"Serviço",0,IF(ACOMPANHAMENTO="BM",ROUND(OFFSET(ORÇAMENTO!AJ$15,$L129,0),15-13*ORÇAMENTO!$AF$7),IF(IFERROR(CÁLCULO.FrentesPreenchidas,0)=0,0,SUM(ROUND(OFFSET($P129,0,1,1,CÁLCULO.FrentesPreenchidas),15-13*ORÇAMENTO!$AF$7)))))</f>
        <v>0</v>
      </c>
      <c r="I129" s="467"/>
      <c r="J129" s="653" t="str">
        <f t="array" aca="1" ref="J129" ca="1">IF(OR(B129&lt;&gt;"S",CÁLCULO.FrentesPreenchidas=0),"",IF(AND(ACOMPANHAMENTO="PLE",AUTOEVENTO="Manual",OR(H129&gt;0,ORÇAMENTO!AC129="QUANT."),OR(K129="",M129=0,N129="")),"►E",IF(AND(ACOMPANHAMENTO="PLE",ORÇAMENTO!AC129="QUANT."),"►Q",IF(AND(ACOMPANHAMENTO="PLE",H129&lt;&gt;SUMPRODUCT(($Q$1:$AI$1=1)*ROUND(Q129:AI129,15))),"►S",IF(AND(COUNTIF($P$11:$AI$11,"▼")=0,H129&gt;0,I129=""),"◄M","")))))</f>
        <v/>
      </c>
      <c r="K129" s="654"/>
      <c r="L129" s="165">
        <f t="shared" ca="1" si="46"/>
        <v>114</v>
      </c>
      <c r="M129" s="166" t="str">
        <f ca="1">IF($D129&lt;&gt;"Serviço","",
          IF(AUTOEVENTO="manual",$A129,
                IF(ISERROR(MATCH($A129,$A$15:OFFSET($A129,-1,0),0)),MAX($M$15:OFFSET(M129,-1,0))+1,
                      INDEX($M$15:OFFSET(M129,-1,0),MATCH($A129,$A$15:OFFSET($A129,-1,0),0)))))</f>
        <v/>
      </c>
      <c r="N129" s="167" t="str">
        <f ca="1">IF($D129&lt;&gt;"Serviço","",
         IF(AUTOEVENTO="Manual",
                IF($A129=0,"&lt;-- defina o número do agrupador",
                       OFFSET(EVENTOS!$D$15,$A129-$A$15,0)),
                OFFSET($F$15,$A129,0)))</f>
        <v/>
      </c>
      <c r="O129" s="168"/>
      <c r="Q129" s="169"/>
      <c r="R129" s="169"/>
      <c r="S129" s="169"/>
      <c r="T129" s="169"/>
      <c r="U129" s="169"/>
      <c r="V129" s="169"/>
      <c r="W129" s="169"/>
      <c r="X129" s="169"/>
      <c r="Y129" s="169"/>
      <c r="Z129" s="170"/>
      <c r="AA129" s="169"/>
      <c r="AB129" s="169"/>
      <c r="AC129" s="169"/>
      <c r="AD129" s="169"/>
      <c r="AE129" s="169"/>
      <c r="AF129" s="169"/>
      <c r="AG129" s="169"/>
      <c r="AH129" s="170"/>
      <c r="AJ129" s="452">
        <f ca="1">IF(AND($D129="Serviço",AJ$12&lt;&gt;0,$H129&gt;0,OR(AUTOEVENTO&lt;&gt;"manual",$M129&lt;&gt;$A$15)),
        IF(Import.TipoArredondamento&lt;&gt;"TransfereGOV",
              ROUND(OFFSET($P129,0,AJ$13),15-13*ORÇAMENTO!$AF$7)/$H129*OFFSET(ORÇAMENTO!$X$15,ROW(AJ129)-ROW(AJ$15),0),
              ROUND(ROUND(OFFSET($P129,0,AJ$13),15-13*ORÇAMENTO!$AF$7)*OFFSET(ORÇAMENTO!$W$15,ROW(AJ129)-ROW(AJ$15),0),15-13*ORÇAMENTO!$AF$11)),
         0)</f>
        <v>0</v>
      </c>
      <c r="AK129" s="452">
        <f ca="1">IF(AND($D129="Serviço",AK$12&lt;&gt;0,$H129&gt;0,OR(AUTOEVENTO&lt;&gt;"manual",$M129&lt;&gt;$A$15)),
        IF(Import.TipoArredondamento&lt;&gt;"TransfereGOV",
              ROUND(OFFSET($P129,0,AK$13),15-13*ORÇAMENTO!$AF$7)/$H129*OFFSET(ORÇAMENTO!$X$15,ROW(AK129)-ROW(AK$15),0),
              ROUND(ROUND(OFFSET($P129,0,AK$13),15-13*ORÇAMENTO!$AF$7)*OFFSET(ORÇAMENTO!$W$15,ROW(AK129)-ROW(AK$15),0),15-13*ORÇAMENTO!$AF$11)),
         0)</f>
        <v>0</v>
      </c>
      <c r="AL129" s="452">
        <f ca="1">IF(AND($D129="Serviço",AL$12&lt;&gt;0,$H129&gt;0,OR(AUTOEVENTO&lt;&gt;"manual",$M129&lt;&gt;$A$15)),
        IF(Import.TipoArredondamento&lt;&gt;"TransfereGOV",
              ROUND(OFFSET($P129,0,AL$13),15-13*ORÇAMENTO!$AF$7)/$H129*OFFSET(ORÇAMENTO!$X$15,ROW(AL129)-ROW(AL$15),0),
              ROUND(ROUND(OFFSET($P129,0,AL$13),15-13*ORÇAMENTO!$AF$7)*OFFSET(ORÇAMENTO!$W$15,ROW(AL129)-ROW(AL$15),0),15-13*ORÇAMENTO!$AF$11)),
         0)</f>
        <v>0</v>
      </c>
      <c r="AM129" s="452">
        <f ca="1">IF(AND($D129="Serviço",AM$12&lt;&gt;0,$H129&gt;0,OR(AUTOEVENTO&lt;&gt;"manual",$M129&lt;&gt;$A$15)),
        IF(Import.TipoArredondamento&lt;&gt;"TransfereGOV",
              ROUND(OFFSET($P129,0,AM$13),15-13*ORÇAMENTO!$AF$7)/$H129*OFFSET(ORÇAMENTO!$X$15,ROW(AM129)-ROW(AM$15),0),
              ROUND(ROUND(OFFSET($P129,0,AM$13),15-13*ORÇAMENTO!$AF$7)*OFFSET(ORÇAMENTO!$W$15,ROW(AM129)-ROW(AM$15),0),15-13*ORÇAMENTO!$AF$11)),
         0)</f>
        <v>0</v>
      </c>
      <c r="AN129" s="452">
        <f ca="1">IF(AND($D129="Serviço",AN$12&lt;&gt;0,$H129&gt;0,OR(AUTOEVENTO&lt;&gt;"manual",$M129&lt;&gt;$A$15)),
        IF(Import.TipoArredondamento&lt;&gt;"TransfereGOV",
              ROUND(OFFSET($P129,0,AN$13),15-13*ORÇAMENTO!$AF$7)/$H129*OFFSET(ORÇAMENTO!$X$15,ROW(AN129)-ROW(AN$15),0),
              ROUND(ROUND(OFFSET($P129,0,AN$13),15-13*ORÇAMENTO!$AF$7)*OFFSET(ORÇAMENTO!$W$15,ROW(AN129)-ROW(AN$15),0),15-13*ORÇAMENTO!$AF$11)),
         0)</f>
        <v>0</v>
      </c>
      <c r="AO129" s="452">
        <f ca="1">IF(AND($D129="Serviço",AO$12&lt;&gt;0,$H129&gt;0,OR(AUTOEVENTO&lt;&gt;"manual",$M129&lt;&gt;$A$15)),
        IF(Import.TipoArredondamento&lt;&gt;"TransfereGOV",
              ROUND(OFFSET($P129,0,AO$13),15-13*ORÇAMENTO!$AF$7)/$H129*OFFSET(ORÇAMENTO!$X$15,ROW(AO129)-ROW(AO$15),0),
              ROUND(ROUND(OFFSET($P129,0,AO$13),15-13*ORÇAMENTO!$AF$7)*OFFSET(ORÇAMENTO!$W$15,ROW(AO129)-ROW(AO$15),0),15-13*ORÇAMENTO!$AF$11)),
         0)</f>
        <v>0</v>
      </c>
      <c r="AP129" s="452">
        <f ca="1">IF(AND($D129="Serviço",AP$12&lt;&gt;0,$H129&gt;0,OR(AUTOEVENTO&lt;&gt;"manual",$M129&lt;&gt;$A$15)),
        IF(Import.TipoArredondamento&lt;&gt;"TransfereGOV",
              ROUND(OFFSET($P129,0,AP$13),15-13*ORÇAMENTO!$AF$7)/$H129*OFFSET(ORÇAMENTO!$X$15,ROW(AP129)-ROW(AP$15),0),
              ROUND(ROUND(OFFSET($P129,0,AP$13),15-13*ORÇAMENTO!$AF$7)*OFFSET(ORÇAMENTO!$W$15,ROW(AP129)-ROW(AP$15),0),15-13*ORÇAMENTO!$AF$11)),
         0)</f>
        <v>0</v>
      </c>
      <c r="AQ129" s="452">
        <f ca="1">IF(AND($D129="Serviço",AQ$12&lt;&gt;0,$H129&gt;0,OR(AUTOEVENTO&lt;&gt;"manual",$M129&lt;&gt;$A$15)),
        IF(Import.TipoArredondamento&lt;&gt;"TransfereGOV",
              ROUND(OFFSET($P129,0,AQ$13),15-13*ORÇAMENTO!$AF$7)/$H129*OFFSET(ORÇAMENTO!$X$15,ROW(AQ129)-ROW(AQ$15),0),
              ROUND(ROUND(OFFSET($P129,0,AQ$13),15-13*ORÇAMENTO!$AF$7)*OFFSET(ORÇAMENTO!$W$15,ROW(AQ129)-ROW(AQ$15),0),15-13*ORÇAMENTO!$AF$11)),
         0)</f>
        <v>0</v>
      </c>
      <c r="AR129" s="452">
        <f ca="1">IF(AND($D129="Serviço",AR$12&lt;&gt;0,$H129&gt;0,OR(AUTOEVENTO&lt;&gt;"manual",$M129&lt;&gt;$A$15)),
        IF(Import.TipoArredondamento&lt;&gt;"TransfereGOV",
              ROUND(OFFSET($P129,0,AR$13),15-13*ORÇAMENTO!$AF$7)/$H129*OFFSET(ORÇAMENTO!$X$15,ROW(AR129)-ROW(AR$15),0),
              ROUND(ROUND(OFFSET($P129,0,AR$13),15-13*ORÇAMENTO!$AF$7)*OFFSET(ORÇAMENTO!$W$15,ROW(AR129)-ROW(AR$15),0),15-13*ORÇAMENTO!$AF$11)),
         0)</f>
        <v>0</v>
      </c>
      <c r="AS129" s="452">
        <f ca="1">IF(AND($D129="Serviço",AS$12&lt;&gt;0,$H129&gt;0,OR(AUTOEVENTO&lt;&gt;"manual",$M129&lt;&gt;$A$15)),
        IF(Import.TipoArredondamento&lt;&gt;"TransfereGOV",
              ROUND(OFFSET($P129,0,AS$13),15-13*ORÇAMENTO!$AF$7)/$H129*OFFSET(ORÇAMENTO!$X$15,ROW(AS129)-ROW(AS$15),0),
              ROUND(ROUND(OFFSET($P129,0,AS$13),15-13*ORÇAMENTO!$AF$7)*OFFSET(ORÇAMENTO!$W$15,ROW(AS129)-ROW(AS$15),0),15-13*ORÇAMENTO!$AF$11)),
         0)</f>
        <v>0</v>
      </c>
      <c r="AT129" s="452">
        <f ca="1">IF(AND($D129="Serviço",AT$12&lt;&gt;0,$H129&gt;0,OR(AUTOEVENTO&lt;&gt;"manual",$M129&lt;&gt;$A$15)),
        IF(Import.TipoArredondamento&lt;&gt;"TransfereGOV",
              ROUND(OFFSET($P129,0,AT$13),15-13*ORÇAMENTO!$AF$7)/$H129*OFFSET(ORÇAMENTO!$X$15,ROW(AT129)-ROW(AT$15),0),
              ROUND(ROUND(OFFSET($P129,0,AT$13),15-13*ORÇAMENTO!$AF$7)*OFFSET(ORÇAMENTO!$W$15,ROW(AT129)-ROW(AT$15),0),15-13*ORÇAMENTO!$AF$11)),
         0)</f>
        <v>0</v>
      </c>
      <c r="AU129" s="452">
        <f ca="1">IF(AND($D129="Serviço",AU$12&lt;&gt;0,$H129&gt;0,OR(AUTOEVENTO&lt;&gt;"manual",$M129&lt;&gt;$A$15)),
        IF(Import.TipoArredondamento&lt;&gt;"TransfereGOV",
              ROUND(OFFSET($P129,0,AU$13),15-13*ORÇAMENTO!$AF$7)/$H129*OFFSET(ORÇAMENTO!$X$15,ROW(AU129)-ROW(AU$15),0),
              ROUND(ROUND(OFFSET($P129,0,AU$13),15-13*ORÇAMENTO!$AF$7)*OFFSET(ORÇAMENTO!$W$15,ROW(AU129)-ROW(AU$15),0),15-13*ORÇAMENTO!$AF$11)),
         0)</f>
        <v>0</v>
      </c>
      <c r="AV129" s="452">
        <f ca="1">IF(AND($D129="Serviço",AV$12&lt;&gt;0,$H129&gt;0,OR(AUTOEVENTO&lt;&gt;"manual",$M129&lt;&gt;$A$15)),
        IF(Import.TipoArredondamento&lt;&gt;"TransfereGOV",
              ROUND(OFFSET($P129,0,AV$13),15-13*ORÇAMENTO!$AF$7)/$H129*OFFSET(ORÇAMENTO!$X$15,ROW(AV129)-ROW(AV$15),0),
              ROUND(ROUND(OFFSET($P129,0,AV$13),15-13*ORÇAMENTO!$AF$7)*OFFSET(ORÇAMENTO!$W$15,ROW(AV129)-ROW(AV$15),0),15-13*ORÇAMENTO!$AF$11)),
         0)</f>
        <v>0</v>
      </c>
      <c r="AW129" s="452">
        <f ca="1">IF(AND($D129="Serviço",AW$12&lt;&gt;0,$H129&gt;0,OR(AUTOEVENTO&lt;&gt;"manual",$M129&lt;&gt;$A$15)),
        IF(Import.TipoArredondamento&lt;&gt;"TransfereGOV",
              ROUND(OFFSET($P129,0,AW$13),15-13*ORÇAMENTO!$AF$7)/$H129*OFFSET(ORÇAMENTO!$X$15,ROW(AW129)-ROW(AW$15),0),
              ROUND(ROUND(OFFSET($P129,0,AW$13),15-13*ORÇAMENTO!$AF$7)*OFFSET(ORÇAMENTO!$W$15,ROW(AW129)-ROW(AW$15),0),15-13*ORÇAMENTO!$AF$11)),
         0)</f>
        <v>0</v>
      </c>
      <c r="AX129" s="452">
        <f ca="1">IF(AND($D129="Serviço",AX$12&lt;&gt;0,$H129&gt;0,OR(AUTOEVENTO&lt;&gt;"manual",$M129&lt;&gt;$A$15)),
        IF(Import.TipoArredondamento&lt;&gt;"TransfereGOV",
              ROUND(OFFSET($P129,0,AX$13),15-13*ORÇAMENTO!$AF$7)/$H129*OFFSET(ORÇAMENTO!$X$15,ROW(AX129)-ROW(AX$15),0),
              ROUND(ROUND(OFFSET($P129,0,AX$13),15-13*ORÇAMENTO!$AF$7)*OFFSET(ORÇAMENTO!$W$15,ROW(AX129)-ROW(AX$15),0),15-13*ORÇAMENTO!$AF$11)),
         0)</f>
        <v>0</v>
      </c>
      <c r="AY129" s="452">
        <f ca="1">IF(AND($D129="Serviço",AY$12&lt;&gt;0,$H129&gt;0,OR(AUTOEVENTO&lt;&gt;"manual",$M129&lt;&gt;$A$15)),
        IF(Import.TipoArredondamento&lt;&gt;"TransfereGOV",
              ROUND(OFFSET($P129,0,AY$13),15-13*ORÇAMENTO!$AF$7)/$H129*OFFSET(ORÇAMENTO!$X$15,ROW(AY129)-ROW(AY$15),0),
              ROUND(ROUND(OFFSET($P129,0,AY$13),15-13*ORÇAMENTO!$AF$7)*OFFSET(ORÇAMENTO!$W$15,ROW(AY129)-ROW(AY$15),0),15-13*ORÇAMENTO!$AF$11)),
         0)</f>
        <v>0</v>
      </c>
      <c r="AZ129" s="452">
        <f ca="1">IF(AND($D129="Serviço",AZ$12&lt;&gt;0,$H129&gt;0,OR(AUTOEVENTO&lt;&gt;"manual",$M129&lt;&gt;$A$15)),
        IF(Import.TipoArredondamento&lt;&gt;"TransfereGOV",
              ROUND(OFFSET($P129,0,AZ$13),15-13*ORÇAMENTO!$AF$7)/$H129*OFFSET(ORÇAMENTO!$X$15,ROW(AZ129)-ROW(AZ$15),0),
              ROUND(ROUND(OFFSET($P129,0,AZ$13),15-13*ORÇAMENTO!$AF$7)*OFFSET(ORÇAMENTO!$W$15,ROW(AZ129)-ROW(AZ$15),0),15-13*ORÇAMENTO!$AF$11)),
         0)</f>
        <v>0</v>
      </c>
      <c r="BA129" s="452">
        <f ca="1">IF(AND($D129="Serviço",BA$12&lt;&gt;0,$H129&gt;0,OR(AUTOEVENTO&lt;&gt;"manual",$M129&lt;&gt;$A$15)),
        IF(Import.TipoArredondamento&lt;&gt;"TransfereGOV",
              ROUND(OFFSET($P129,0,BA$13),15-13*ORÇAMENTO!$AF$7)/$H129*OFFSET(ORÇAMENTO!$X$15,ROW(BA129)-ROW(BA$15),0),
              ROUND(ROUND(OFFSET($P129,0,BA$13),15-13*ORÇAMENTO!$AF$7)*OFFSET(ORÇAMENTO!$W$15,ROW(BA129)-ROW(BA$15),0),15-13*ORÇAMENTO!$AF$11)),
         0)</f>
        <v>0</v>
      </c>
      <c r="BC129" s="171">
        <f ca="1">IF(OR($D129&lt;&gt;"Serviço",AND(AUTOEVENTO="Manual",$M129=$A$15)),0,
         IF(OFFSET(CRONOPLE!$F$15,$M129-$A$15,BC$13)=0,10^12,OFFSET(CRONOPLE!$F$15,$M129-$A$15,BC$13)))</f>
        <v>0</v>
      </c>
      <c r="BD129" s="171">
        <f ca="1">IF(OR($D129&lt;&gt;"Serviço",AND(AUTOEVENTO="Manual",$M129=$A$15)),0,
         IF(OFFSET(CRONOPLE!$F$15,$M129-$A$15,BD$13)=0,10^12,OFFSET(CRONOPLE!$F$15,$M129-$A$15,BD$13)))</f>
        <v>0</v>
      </c>
      <c r="BE129" s="171">
        <f ca="1">IF(OR($D129&lt;&gt;"Serviço",AND(AUTOEVENTO="Manual",$M129=$A$15)),0,
         IF(OFFSET(CRONOPLE!$F$15,$M129-$A$15,BE$13)=0,10^12,OFFSET(CRONOPLE!$F$15,$M129-$A$15,BE$13)))</f>
        <v>0</v>
      </c>
      <c r="BF129" s="171">
        <f ca="1">IF(OR($D129&lt;&gt;"Serviço",AND(AUTOEVENTO="Manual",$M129=$A$15)),0,
         IF(OFFSET(CRONOPLE!$F$15,$M129-$A$15,BF$13)=0,10^12,OFFSET(CRONOPLE!$F$15,$M129-$A$15,BF$13)))</f>
        <v>0</v>
      </c>
      <c r="BG129" s="171">
        <f ca="1">IF(OR($D129&lt;&gt;"Serviço",AND(AUTOEVENTO="Manual",$M129=$A$15)),0,
         IF(OFFSET(CRONOPLE!$F$15,$M129-$A$15,BG$13)=0,10^12,OFFSET(CRONOPLE!$F$15,$M129-$A$15,BG$13)))</f>
        <v>0</v>
      </c>
      <c r="BH129" s="171">
        <f ca="1">IF(OR($D129&lt;&gt;"Serviço",AND(AUTOEVENTO="Manual",$M129=$A$15)),0,
         IF(OFFSET(CRONOPLE!$F$15,$M129-$A$15,BH$13)=0,10^12,OFFSET(CRONOPLE!$F$15,$M129-$A$15,BH$13)))</f>
        <v>0</v>
      </c>
      <c r="BI129" s="171">
        <f ca="1">IF(OR($D129&lt;&gt;"Serviço",AND(AUTOEVENTO="Manual",$M129=$A$15)),0,
         IF(OFFSET(CRONOPLE!$F$15,$M129-$A$15,BI$13)=0,10^12,OFFSET(CRONOPLE!$F$15,$M129-$A$15,BI$13)))</f>
        <v>0</v>
      </c>
      <c r="BJ129" s="171">
        <f ca="1">IF(OR($D129&lt;&gt;"Serviço",AND(AUTOEVENTO="Manual",$M129=$A$15)),0,
         IF(OFFSET(CRONOPLE!$F$15,$M129-$A$15,BJ$13)=0,10^12,OFFSET(CRONOPLE!$F$15,$M129-$A$15,BJ$13)))</f>
        <v>0</v>
      </c>
      <c r="BK129" s="171">
        <f ca="1">IF(OR($D129&lt;&gt;"Serviço",AND(AUTOEVENTO="Manual",$M129=$A$15)),0,
         IF(OFFSET(CRONOPLE!$F$15,$M129-$A$15,BK$13)=0,10^12,OFFSET(CRONOPLE!$F$15,$M129-$A$15,BK$13)))</f>
        <v>0</v>
      </c>
      <c r="BL129" s="171">
        <f ca="1">IF(OR($D129&lt;&gt;"Serviço",AND(AUTOEVENTO="Manual",$M129=$A$15)),0,
         IF(OFFSET(CRONOPLE!$F$15,$M129-$A$15,BL$13)=0,10^12,OFFSET(CRONOPLE!$F$15,$M129-$A$15,BL$13)))</f>
        <v>0</v>
      </c>
      <c r="BM129" s="171">
        <f ca="1">IF(OR($D129&lt;&gt;"Serviço",AND(AUTOEVENTO="Manual",$M129=$A$15)),0,
         IF(OFFSET(CRONOPLE!$F$15,$M129-$A$15,BM$13)=0,10^12,OFFSET(CRONOPLE!$F$15,$M129-$A$15,BM$13)))</f>
        <v>0</v>
      </c>
      <c r="BN129" s="171">
        <f ca="1">IF(OR($D129&lt;&gt;"Serviço",AND(AUTOEVENTO="Manual",$M129=$A$15)),0,
         IF(OFFSET(CRONOPLE!$F$15,$M129-$A$15,BN$13)=0,10^12,OFFSET(CRONOPLE!$F$15,$M129-$A$15,BN$13)))</f>
        <v>0</v>
      </c>
      <c r="BO129" s="171">
        <f ca="1">IF(OR($D129&lt;&gt;"Serviço",AND(AUTOEVENTO="Manual",$M129=$A$15)),0,
         IF(OFFSET(CRONOPLE!$F$15,$M129-$A$15,BO$13)=0,10^12,OFFSET(CRONOPLE!$F$15,$M129-$A$15,BO$13)))</f>
        <v>0</v>
      </c>
      <c r="BP129" s="171">
        <f ca="1">IF(OR($D129&lt;&gt;"Serviço",AND(AUTOEVENTO="Manual",$M129=$A$15)),0,
         IF(OFFSET(CRONOPLE!$F$15,$M129-$A$15,BP$13)=0,10^12,OFFSET(CRONOPLE!$F$15,$M129-$A$15,BP$13)))</f>
        <v>0</v>
      </c>
      <c r="BQ129" s="171">
        <f ca="1">IF(OR($D129&lt;&gt;"Serviço",AND(AUTOEVENTO="Manual",$M129=$A$15)),0,
         IF(OFFSET(CRONOPLE!$F$15,$M129-$A$15,BQ$13)=0,10^12,OFFSET(CRONOPLE!$F$15,$M129-$A$15,BQ$13)))</f>
        <v>0</v>
      </c>
      <c r="BR129" s="171">
        <f ca="1">IF(OR($D129&lt;&gt;"Serviço",AND(AUTOEVENTO="Manual",$M129=$A$15)),0,
         IF(OFFSET(CRONOPLE!$F$15,$M129-$A$15,BR$13)=0,10^12,OFFSET(CRONOPLE!$F$15,$M129-$A$15,BR$13)))</f>
        <v>0</v>
      </c>
      <c r="BS129" s="171">
        <f ca="1">IF(OR($D129&lt;&gt;"Serviço",AND(AUTOEVENTO="Manual",$M129=$A$15)),0,
         IF(OFFSET(CRONOPLE!$F$15,$M129-$A$15,BS$13)=0,10^12,OFFSET(CRONOPLE!$F$15,$M129-$A$15,BS$13)))</f>
        <v>0</v>
      </c>
      <c r="BT129" s="171">
        <f ca="1">IF(OR($D129&lt;&gt;"Serviço",AND(AUTOEVENTO="Manual",$M129=$A$15)),0,
         IF(OFFSET(CRONOPLE!$F$15,$M129-$A$15,BT$13)=0,10^12,OFFSET(CRONOPLE!$F$15,$M129-$A$15,BT$13)))</f>
        <v>0</v>
      </c>
      <c r="BV129" s="172">
        <f t="array" aca="1" ref="BV129" ca="1">IF(OR($D129&lt;&gt;"Serviço",AND(AUTOEVENTO="Manual",$M129=$A$15),$M129&gt;(ROW(PLE.lastrow)-ROW(PLE.firstrow))),0,
           IF(OFFSET(PLE!$G$15,$M129-$A$15,BV$13)="",10^12,OFFSET(PLE!$G$15,$M129-$A$15,BV$13)))</f>
        <v>0</v>
      </c>
      <c r="BW129" s="172">
        <f t="array" aca="1" ref="BW129" ca="1">IF(OR($D129&lt;&gt;"Serviço",AND(AUTOEVENTO="Manual",$M129=$A$15),$M129&gt;(ROW(PLE.lastrow)-ROW(PLE.firstrow))),0,
           IF(OFFSET(PLE!$G$15,$M129-$A$15,BW$13)="",10^12,OFFSET(PLE!$G$15,$M129-$A$15,BW$13)))</f>
        <v>0</v>
      </c>
      <c r="BX129" s="172">
        <f t="array" aca="1" ref="BX129" ca="1">IF(OR($D129&lt;&gt;"Serviço",AND(AUTOEVENTO="Manual",$M129=$A$15),$M129&gt;(ROW(PLE.lastrow)-ROW(PLE.firstrow))),0,
           IF(OFFSET(PLE!$G$15,$M129-$A$15,BX$13)="",10^12,OFFSET(PLE!$G$15,$M129-$A$15,BX$13)))</f>
        <v>0</v>
      </c>
      <c r="BY129" s="172">
        <f t="array" aca="1" ref="BY129" ca="1">IF(OR($D129&lt;&gt;"Serviço",AND(AUTOEVENTO="Manual",$M129=$A$15),$M129&gt;(ROW(PLE.lastrow)-ROW(PLE.firstrow))),0,
           IF(OFFSET(PLE!$G$15,$M129-$A$15,BY$13)="",10^12,OFFSET(PLE!$G$15,$M129-$A$15,BY$13)))</f>
        <v>0</v>
      </c>
      <c r="BZ129" s="172">
        <f t="array" aca="1" ref="BZ129" ca="1">IF(OR($D129&lt;&gt;"Serviço",AND(AUTOEVENTO="Manual",$M129=$A$15),$M129&gt;(ROW(PLE.lastrow)-ROW(PLE.firstrow))),0,
           IF(OFFSET(PLE!$G$15,$M129-$A$15,BZ$13)="",10^12,OFFSET(PLE!$G$15,$M129-$A$15,BZ$13)))</f>
        <v>0</v>
      </c>
      <c r="CA129" s="172">
        <f t="array" aca="1" ref="CA129" ca="1">IF(OR($D129&lt;&gt;"Serviço",AND(AUTOEVENTO="Manual",$M129=$A$15),$M129&gt;(ROW(PLE.lastrow)-ROW(PLE.firstrow))),0,
           IF(OFFSET(PLE!$G$15,$M129-$A$15,CA$13)="",10^12,OFFSET(PLE!$G$15,$M129-$A$15,CA$13)))</f>
        <v>0</v>
      </c>
      <c r="CB129" s="172">
        <f t="array" aca="1" ref="CB129" ca="1">IF(OR($D129&lt;&gt;"Serviço",AND(AUTOEVENTO="Manual",$M129=$A$15),$M129&gt;(ROW(PLE.lastrow)-ROW(PLE.firstrow))),0,
           IF(OFFSET(PLE!$G$15,$M129-$A$15,CB$13)="",10^12,OFFSET(PLE!$G$15,$M129-$A$15,CB$13)))</f>
        <v>0</v>
      </c>
      <c r="CC129" s="172">
        <f t="array" aca="1" ref="CC129" ca="1">IF(OR($D129&lt;&gt;"Serviço",AND(AUTOEVENTO="Manual",$M129=$A$15),$M129&gt;(ROW(PLE.lastrow)-ROW(PLE.firstrow))),0,
           IF(OFFSET(PLE!$G$15,$M129-$A$15,CC$13)="",10^12,OFFSET(PLE!$G$15,$M129-$A$15,CC$13)))</f>
        <v>0</v>
      </c>
      <c r="CD129" s="172">
        <f t="array" aca="1" ref="CD129" ca="1">IF(OR($D129&lt;&gt;"Serviço",AND(AUTOEVENTO="Manual",$M129=$A$15),$M129&gt;(ROW(PLE.lastrow)-ROW(PLE.firstrow))),0,
           IF(OFFSET(PLE!$G$15,$M129-$A$15,CD$13)="",10^12,OFFSET(PLE!$G$15,$M129-$A$15,CD$13)))</f>
        <v>0</v>
      </c>
      <c r="CE129" s="172">
        <f t="array" aca="1" ref="CE129" ca="1">IF(OR($D129&lt;&gt;"Serviço",AND(AUTOEVENTO="Manual",$M129=$A$15),$M129&gt;(ROW(PLE.lastrow)-ROW(PLE.firstrow))),0,
           IF(OFFSET(PLE!$G$15,$M129-$A$15,CE$13)="",10^12,OFFSET(PLE!$G$15,$M129-$A$15,CE$13)))</f>
        <v>0</v>
      </c>
      <c r="CF129" s="172">
        <f t="array" aca="1" ref="CF129" ca="1">IF(OR($D129&lt;&gt;"Serviço",AND(AUTOEVENTO="Manual",$M129=$A$15),$M129&gt;(ROW(PLE.lastrow)-ROW(PLE.firstrow))),0,
           IF(OFFSET(PLE!$G$15,$M129-$A$15,CF$13)="",10^12,OFFSET(PLE!$G$15,$M129-$A$15,CF$13)))</f>
        <v>0</v>
      </c>
      <c r="CG129" s="172">
        <f t="array" aca="1" ref="CG129" ca="1">IF(OR($D129&lt;&gt;"Serviço",AND(AUTOEVENTO="Manual",$M129=$A$15),$M129&gt;(ROW(PLE.lastrow)-ROW(PLE.firstrow))),0,
           IF(OFFSET(PLE!$G$15,$M129-$A$15,CG$13)="",10^12,OFFSET(PLE!$G$15,$M129-$A$15,CG$13)))</f>
        <v>0</v>
      </c>
      <c r="CH129" s="172">
        <f t="array" aca="1" ref="CH129" ca="1">IF(OR($D129&lt;&gt;"Serviço",AND(AUTOEVENTO="Manual",$M129=$A$15),$M129&gt;(ROW(PLE.lastrow)-ROW(PLE.firstrow))),0,
           IF(OFFSET(PLE!$G$15,$M129-$A$15,CH$13)="",10^12,OFFSET(PLE!$G$15,$M129-$A$15,CH$13)))</f>
        <v>0</v>
      </c>
      <c r="CI129" s="172">
        <f t="array" aca="1" ref="CI129" ca="1">IF(OR($D129&lt;&gt;"Serviço",AND(AUTOEVENTO="Manual",$M129=$A$15),$M129&gt;(ROW(PLE.lastrow)-ROW(PLE.firstrow))),0,
           IF(OFFSET(PLE!$G$15,$M129-$A$15,CI$13)="",10^12,OFFSET(PLE!$G$15,$M129-$A$15,CI$13)))</f>
        <v>0</v>
      </c>
      <c r="CJ129" s="172">
        <f t="array" aca="1" ref="CJ129" ca="1">IF(OR($D129&lt;&gt;"Serviço",AND(AUTOEVENTO="Manual",$M129=$A$15),$M129&gt;(ROW(PLE.lastrow)-ROW(PLE.firstrow))),0,
           IF(OFFSET(PLE!$G$15,$M129-$A$15,CJ$13)="",10^12,OFFSET(PLE!$G$15,$M129-$A$15,CJ$13)))</f>
        <v>0</v>
      </c>
      <c r="CK129" s="172">
        <f t="array" aca="1" ref="CK129" ca="1">IF(OR($D129&lt;&gt;"Serviço",AND(AUTOEVENTO="Manual",$M129=$A$15),$M129&gt;(ROW(PLE.lastrow)-ROW(PLE.firstrow))),0,
           IF(OFFSET(PLE!$G$15,$M129-$A$15,CK$13)="",10^12,OFFSET(PLE!$G$15,$M129-$A$15,CK$13)))</f>
        <v>0</v>
      </c>
      <c r="CL129" s="172">
        <f t="array" aca="1" ref="CL129" ca="1">IF(OR($D129&lt;&gt;"Serviço",AND(AUTOEVENTO="Manual",$M129=$A$15),$M129&gt;(ROW(PLE.lastrow)-ROW(PLE.firstrow))),0,
           IF(OFFSET(PLE!$G$15,$M129-$A$15,CL$13)="",10^12,OFFSET(PLE!$G$15,$M129-$A$15,CL$13)))</f>
        <v>0</v>
      </c>
      <c r="CM129" s="172">
        <f t="array" aca="1" ref="CM129" ca="1">IF(OR($D129&lt;&gt;"Serviço",AND(AUTOEVENTO="Manual",$M129=$A$15),$M129&gt;(ROW(PLE.lastrow)-ROW(PLE.firstrow))),0,
           IF(OFFSET(PLE!$G$15,$M129-$A$15,CM$13)="",10^12,OFFSET(PLE!$G$15,$M129-$A$15,CM$13)))</f>
        <v>0</v>
      </c>
    </row>
    <row r="130" spans="1:91" s="696" customFormat="1" ht="38.25" x14ac:dyDescent="0.2">
      <c r="A130" s="694">
        <f t="shared" ca="1" si="45"/>
        <v>27</v>
      </c>
      <c r="B130" s="694" t="str">
        <f ca="1">OFFSET(ORÇAMENTO!C$15,$L130,0)</f>
        <v>S</v>
      </c>
      <c r="C130" s="694" t="str">
        <f ca="1">OFFSET(ORÇAMENTO!L$15,$L130,0)</f>
        <v>F</v>
      </c>
      <c r="D130" s="116" t="str">
        <f ca="1">OFFSET(ORÇAMENTO!N$15,$L130,0)</f>
        <v>Serviço</v>
      </c>
      <c r="E130" s="117" t="str">
        <f ca="1">OFFSET(ORÇAMENTO!O$15,$L130,0)</f>
        <v>1.23.1.</v>
      </c>
      <c r="F130" s="163" t="str">
        <f ca="1">OFFSET(ORÇAMENTO!R$15,$L130,0)</f>
        <v>DISJUNTOR MONOPOLAR TIPO DIN, CORRENTE NOMINAL DE 10A - FORNECIMENTO E INSTALAÇÃO. AF_07/2025</v>
      </c>
      <c r="G130" s="164" t="str">
        <f ca="1">IF($D130&lt;&gt;"Serviço","",OFFSET(ORÇAMENTO!S$15,$L130,0))</f>
        <v>UN</v>
      </c>
      <c r="H130" s="122">
        <f t="array" aca="1" ref="H130" ca="1">IF($D130&lt;&gt;"Serviço",0,IF(ACOMPANHAMENTO="BM",ROUND(OFFSET(ORÇAMENTO!AJ$15,$L130,0),15-13*ORÇAMENTO!$AF$7),IF(IFERROR(CÁLCULO.FrentesPreenchidas,0)=0,0,SUM(ROUND(OFFSET($P130,0,1,1,CÁLCULO.FrentesPreenchidas),15-13*ORÇAMENTO!$AF$7)))))</f>
        <v>40</v>
      </c>
      <c r="I130" s="467" t="s">
        <v>1284</v>
      </c>
      <c r="J130" s="653" t="str">
        <f t="array" aca="1" ref="J130" ca="1">IF(OR(B130&lt;&gt;"S",CÁLCULO.FrentesPreenchidas=0),"",IF(AND(ACOMPANHAMENTO="PLE",AUTOEVENTO="Manual",OR(H130&gt;0,ORÇAMENTO!AC130="QUANT."),OR(K130="",M130=0,N130="")),"►E",IF(AND(ACOMPANHAMENTO="PLE",ORÇAMENTO!AC130="QUANT."),"►Q",IF(AND(ACOMPANHAMENTO="PLE",H130&lt;&gt;SUMPRODUCT(($Q$1:$AI$1=1)*ROUND(Q130:AI130,15))),"►S",IF(AND(COUNTIF($P$11:$AI$11,"▼")=0,H130&gt;0,I130=""),"◄M","")))))</f>
        <v/>
      </c>
      <c r="K130" s="654" t="s">
        <v>1428</v>
      </c>
      <c r="L130" s="165">
        <f t="shared" ca="1" si="46"/>
        <v>115</v>
      </c>
      <c r="M130" s="166">
        <f ca="1">IF($D130&lt;&gt;"Serviço","",
          IF(AUTOEVENTO="manual",$A130,
                IF(ISERROR(MATCH($A130,$A$15:OFFSET($A130,-1,0),0)),MAX($M$15:OFFSET(M130,-1,0))+1,
                      INDEX($M$15:OFFSET(M130,-1,0),MATCH($A130,$A$15:OFFSET($A130,-1,0),0)))))</f>
        <v>27</v>
      </c>
      <c r="N130" s="167" t="str">
        <f ca="1">IF($D130&lt;&gt;"Serviço","",
         IF(AUTOEVENTO="Manual",
                IF($A130=0,"&lt;-- defina o número do agrupador",
                       OFFSET(EVENTOS!$D$15,$A130-$A$15,0)),
                OFFSET($F$15,$A130,0)))</f>
        <v>CAIXAS E DISJUNTORES</v>
      </c>
      <c r="O130" s="168"/>
      <c r="Q130" s="169">
        <v>10</v>
      </c>
      <c r="R130" s="169">
        <v>10</v>
      </c>
      <c r="S130" s="169">
        <v>10</v>
      </c>
      <c r="T130" s="169">
        <v>10</v>
      </c>
      <c r="U130" s="169"/>
      <c r="V130" s="169"/>
      <c r="W130" s="169"/>
      <c r="X130" s="169"/>
      <c r="Y130" s="169"/>
      <c r="Z130" s="170"/>
      <c r="AA130" s="169"/>
      <c r="AB130" s="169"/>
      <c r="AC130" s="169"/>
      <c r="AD130" s="169"/>
      <c r="AE130" s="169"/>
      <c r="AF130" s="169"/>
      <c r="AG130" s="169"/>
      <c r="AH130" s="170"/>
      <c r="AJ130" s="452">
        <f ca="1">IF(AND($D130="Serviço",AJ$12&lt;&gt;0,$H130&gt;0,OR(AUTOEVENTO&lt;&gt;"manual",$M130&lt;&gt;$A$15)),
        IF(Import.TipoArredondamento&lt;&gt;"TransfereGOV",
              ROUND(OFFSET($P130,0,AJ$13),15-13*ORÇAMENTO!$AF$7)/$H130*OFFSET(ORÇAMENTO!$X$15,ROW(AJ130)-ROW(AJ$15),0),
              ROUND(ROUND(OFFSET($P130,0,AJ$13),15-13*ORÇAMENTO!$AF$7)*OFFSET(ORÇAMENTO!$W$15,ROW(AJ130)-ROW(AJ$15),0),15-13*ORÇAMENTO!$AF$11)),
         0)</f>
        <v>165.1</v>
      </c>
      <c r="AK130" s="452">
        <f ca="1">IF(AND($D130="Serviço",AK$12&lt;&gt;0,$H130&gt;0,OR(AUTOEVENTO&lt;&gt;"manual",$M130&lt;&gt;$A$15)),
        IF(Import.TipoArredondamento&lt;&gt;"TransfereGOV",
              ROUND(OFFSET($P130,0,AK$13),15-13*ORÇAMENTO!$AF$7)/$H130*OFFSET(ORÇAMENTO!$X$15,ROW(AK130)-ROW(AK$15),0),
              ROUND(ROUND(OFFSET($P130,0,AK$13),15-13*ORÇAMENTO!$AF$7)*OFFSET(ORÇAMENTO!$W$15,ROW(AK130)-ROW(AK$15),0),15-13*ORÇAMENTO!$AF$11)),
         0)</f>
        <v>165.1</v>
      </c>
      <c r="AL130" s="452">
        <f ca="1">IF(AND($D130="Serviço",AL$12&lt;&gt;0,$H130&gt;0,OR(AUTOEVENTO&lt;&gt;"manual",$M130&lt;&gt;$A$15)),
        IF(Import.TipoArredondamento&lt;&gt;"TransfereGOV",
              ROUND(OFFSET($P130,0,AL$13),15-13*ORÇAMENTO!$AF$7)/$H130*OFFSET(ORÇAMENTO!$X$15,ROW(AL130)-ROW(AL$15),0),
              ROUND(ROUND(OFFSET($P130,0,AL$13),15-13*ORÇAMENTO!$AF$7)*OFFSET(ORÇAMENTO!$W$15,ROW(AL130)-ROW(AL$15),0),15-13*ORÇAMENTO!$AF$11)),
         0)</f>
        <v>165.1</v>
      </c>
      <c r="AM130" s="452">
        <f ca="1">IF(AND($D130="Serviço",AM$12&lt;&gt;0,$H130&gt;0,OR(AUTOEVENTO&lt;&gt;"manual",$M130&lt;&gt;$A$15)),
        IF(Import.TipoArredondamento&lt;&gt;"TransfereGOV",
              ROUND(OFFSET($P130,0,AM$13),15-13*ORÇAMENTO!$AF$7)/$H130*OFFSET(ORÇAMENTO!$X$15,ROW(AM130)-ROW(AM$15),0),
              ROUND(ROUND(OFFSET($P130,0,AM$13),15-13*ORÇAMENTO!$AF$7)*OFFSET(ORÇAMENTO!$W$15,ROW(AM130)-ROW(AM$15),0),15-13*ORÇAMENTO!$AF$11)),
         0)</f>
        <v>165.1</v>
      </c>
      <c r="AN130" s="452">
        <f ca="1">IF(AND($D130="Serviço",AN$12&lt;&gt;0,$H130&gt;0,OR(AUTOEVENTO&lt;&gt;"manual",$M130&lt;&gt;$A$15)),
        IF(Import.TipoArredondamento&lt;&gt;"TransfereGOV",
              ROUND(OFFSET($P130,0,AN$13),15-13*ORÇAMENTO!$AF$7)/$H130*OFFSET(ORÇAMENTO!$X$15,ROW(AN130)-ROW(AN$15),0),
              ROUND(ROUND(OFFSET($P130,0,AN$13),15-13*ORÇAMENTO!$AF$7)*OFFSET(ORÇAMENTO!$W$15,ROW(AN130)-ROW(AN$15),0),15-13*ORÇAMENTO!$AF$11)),
         0)</f>
        <v>0</v>
      </c>
      <c r="AO130" s="452">
        <f ca="1">IF(AND($D130="Serviço",AO$12&lt;&gt;0,$H130&gt;0,OR(AUTOEVENTO&lt;&gt;"manual",$M130&lt;&gt;$A$15)),
        IF(Import.TipoArredondamento&lt;&gt;"TransfereGOV",
              ROUND(OFFSET($P130,0,AO$13),15-13*ORÇAMENTO!$AF$7)/$H130*OFFSET(ORÇAMENTO!$X$15,ROW(AO130)-ROW(AO$15),0),
              ROUND(ROUND(OFFSET($P130,0,AO$13),15-13*ORÇAMENTO!$AF$7)*OFFSET(ORÇAMENTO!$W$15,ROW(AO130)-ROW(AO$15),0),15-13*ORÇAMENTO!$AF$11)),
         0)</f>
        <v>0</v>
      </c>
      <c r="AP130" s="452">
        <f ca="1">IF(AND($D130="Serviço",AP$12&lt;&gt;0,$H130&gt;0,OR(AUTOEVENTO&lt;&gt;"manual",$M130&lt;&gt;$A$15)),
        IF(Import.TipoArredondamento&lt;&gt;"TransfereGOV",
              ROUND(OFFSET($P130,0,AP$13),15-13*ORÇAMENTO!$AF$7)/$H130*OFFSET(ORÇAMENTO!$X$15,ROW(AP130)-ROW(AP$15),0),
              ROUND(ROUND(OFFSET($P130,0,AP$13),15-13*ORÇAMENTO!$AF$7)*OFFSET(ORÇAMENTO!$W$15,ROW(AP130)-ROW(AP$15),0),15-13*ORÇAMENTO!$AF$11)),
         0)</f>
        <v>0</v>
      </c>
      <c r="AQ130" s="452">
        <f ca="1">IF(AND($D130="Serviço",AQ$12&lt;&gt;0,$H130&gt;0,OR(AUTOEVENTO&lt;&gt;"manual",$M130&lt;&gt;$A$15)),
        IF(Import.TipoArredondamento&lt;&gt;"TransfereGOV",
              ROUND(OFFSET($P130,0,AQ$13),15-13*ORÇAMENTO!$AF$7)/$H130*OFFSET(ORÇAMENTO!$X$15,ROW(AQ130)-ROW(AQ$15),0),
              ROUND(ROUND(OFFSET($P130,0,AQ$13),15-13*ORÇAMENTO!$AF$7)*OFFSET(ORÇAMENTO!$W$15,ROW(AQ130)-ROW(AQ$15),0),15-13*ORÇAMENTO!$AF$11)),
         0)</f>
        <v>0</v>
      </c>
      <c r="AR130" s="452">
        <f ca="1">IF(AND($D130="Serviço",AR$12&lt;&gt;0,$H130&gt;0,OR(AUTOEVENTO&lt;&gt;"manual",$M130&lt;&gt;$A$15)),
        IF(Import.TipoArredondamento&lt;&gt;"TransfereGOV",
              ROUND(OFFSET($P130,0,AR$13),15-13*ORÇAMENTO!$AF$7)/$H130*OFFSET(ORÇAMENTO!$X$15,ROW(AR130)-ROW(AR$15),0),
              ROUND(ROUND(OFFSET($P130,0,AR$13),15-13*ORÇAMENTO!$AF$7)*OFFSET(ORÇAMENTO!$W$15,ROW(AR130)-ROW(AR$15),0),15-13*ORÇAMENTO!$AF$11)),
         0)</f>
        <v>0</v>
      </c>
      <c r="AS130" s="452">
        <f ca="1">IF(AND($D130="Serviço",AS$12&lt;&gt;0,$H130&gt;0,OR(AUTOEVENTO&lt;&gt;"manual",$M130&lt;&gt;$A$15)),
        IF(Import.TipoArredondamento&lt;&gt;"TransfereGOV",
              ROUND(OFFSET($P130,0,AS$13),15-13*ORÇAMENTO!$AF$7)/$H130*OFFSET(ORÇAMENTO!$X$15,ROW(AS130)-ROW(AS$15),0),
              ROUND(ROUND(OFFSET($P130,0,AS$13),15-13*ORÇAMENTO!$AF$7)*OFFSET(ORÇAMENTO!$W$15,ROW(AS130)-ROW(AS$15),0),15-13*ORÇAMENTO!$AF$11)),
         0)</f>
        <v>0</v>
      </c>
      <c r="AT130" s="452">
        <f ca="1">IF(AND($D130="Serviço",AT$12&lt;&gt;0,$H130&gt;0,OR(AUTOEVENTO&lt;&gt;"manual",$M130&lt;&gt;$A$15)),
        IF(Import.TipoArredondamento&lt;&gt;"TransfereGOV",
              ROUND(OFFSET($P130,0,AT$13),15-13*ORÇAMENTO!$AF$7)/$H130*OFFSET(ORÇAMENTO!$X$15,ROW(AT130)-ROW(AT$15),0),
              ROUND(ROUND(OFFSET($P130,0,AT$13),15-13*ORÇAMENTO!$AF$7)*OFFSET(ORÇAMENTO!$W$15,ROW(AT130)-ROW(AT$15),0),15-13*ORÇAMENTO!$AF$11)),
         0)</f>
        <v>0</v>
      </c>
      <c r="AU130" s="452">
        <f ca="1">IF(AND($D130="Serviço",AU$12&lt;&gt;0,$H130&gt;0,OR(AUTOEVENTO&lt;&gt;"manual",$M130&lt;&gt;$A$15)),
        IF(Import.TipoArredondamento&lt;&gt;"TransfereGOV",
              ROUND(OFFSET($P130,0,AU$13),15-13*ORÇAMENTO!$AF$7)/$H130*OFFSET(ORÇAMENTO!$X$15,ROW(AU130)-ROW(AU$15),0),
              ROUND(ROUND(OFFSET($P130,0,AU$13),15-13*ORÇAMENTO!$AF$7)*OFFSET(ORÇAMENTO!$W$15,ROW(AU130)-ROW(AU$15),0),15-13*ORÇAMENTO!$AF$11)),
         0)</f>
        <v>0</v>
      </c>
      <c r="AV130" s="452">
        <f ca="1">IF(AND($D130="Serviço",AV$12&lt;&gt;0,$H130&gt;0,OR(AUTOEVENTO&lt;&gt;"manual",$M130&lt;&gt;$A$15)),
        IF(Import.TipoArredondamento&lt;&gt;"TransfereGOV",
              ROUND(OFFSET($P130,0,AV$13),15-13*ORÇAMENTO!$AF$7)/$H130*OFFSET(ORÇAMENTO!$X$15,ROW(AV130)-ROW(AV$15),0),
              ROUND(ROUND(OFFSET($P130,0,AV$13),15-13*ORÇAMENTO!$AF$7)*OFFSET(ORÇAMENTO!$W$15,ROW(AV130)-ROW(AV$15),0),15-13*ORÇAMENTO!$AF$11)),
         0)</f>
        <v>0</v>
      </c>
      <c r="AW130" s="452">
        <f ca="1">IF(AND($D130="Serviço",AW$12&lt;&gt;0,$H130&gt;0,OR(AUTOEVENTO&lt;&gt;"manual",$M130&lt;&gt;$A$15)),
        IF(Import.TipoArredondamento&lt;&gt;"TransfereGOV",
              ROUND(OFFSET($P130,0,AW$13),15-13*ORÇAMENTO!$AF$7)/$H130*OFFSET(ORÇAMENTO!$X$15,ROW(AW130)-ROW(AW$15),0),
              ROUND(ROUND(OFFSET($P130,0,AW$13),15-13*ORÇAMENTO!$AF$7)*OFFSET(ORÇAMENTO!$W$15,ROW(AW130)-ROW(AW$15),0),15-13*ORÇAMENTO!$AF$11)),
         0)</f>
        <v>0</v>
      </c>
      <c r="AX130" s="452">
        <f ca="1">IF(AND($D130="Serviço",AX$12&lt;&gt;0,$H130&gt;0,OR(AUTOEVENTO&lt;&gt;"manual",$M130&lt;&gt;$A$15)),
        IF(Import.TipoArredondamento&lt;&gt;"TransfereGOV",
              ROUND(OFFSET($P130,0,AX$13),15-13*ORÇAMENTO!$AF$7)/$H130*OFFSET(ORÇAMENTO!$X$15,ROW(AX130)-ROW(AX$15),0),
              ROUND(ROUND(OFFSET($P130,0,AX$13),15-13*ORÇAMENTO!$AF$7)*OFFSET(ORÇAMENTO!$W$15,ROW(AX130)-ROW(AX$15),0),15-13*ORÇAMENTO!$AF$11)),
         0)</f>
        <v>0</v>
      </c>
      <c r="AY130" s="452">
        <f ca="1">IF(AND($D130="Serviço",AY$12&lt;&gt;0,$H130&gt;0,OR(AUTOEVENTO&lt;&gt;"manual",$M130&lt;&gt;$A$15)),
        IF(Import.TipoArredondamento&lt;&gt;"TransfereGOV",
              ROUND(OFFSET($P130,0,AY$13),15-13*ORÇAMENTO!$AF$7)/$H130*OFFSET(ORÇAMENTO!$X$15,ROW(AY130)-ROW(AY$15),0),
              ROUND(ROUND(OFFSET($P130,0,AY$13),15-13*ORÇAMENTO!$AF$7)*OFFSET(ORÇAMENTO!$W$15,ROW(AY130)-ROW(AY$15),0),15-13*ORÇAMENTO!$AF$11)),
         0)</f>
        <v>0</v>
      </c>
      <c r="AZ130" s="452">
        <f ca="1">IF(AND($D130="Serviço",AZ$12&lt;&gt;0,$H130&gt;0,OR(AUTOEVENTO&lt;&gt;"manual",$M130&lt;&gt;$A$15)),
        IF(Import.TipoArredondamento&lt;&gt;"TransfereGOV",
              ROUND(OFFSET($P130,0,AZ$13),15-13*ORÇAMENTO!$AF$7)/$H130*OFFSET(ORÇAMENTO!$X$15,ROW(AZ130)-ROW(AZ$15),0),
              ROUND(ROUND(OFFSET($P130,0,AZ$13),15-13*ORÇAMENTO!$AF$7)*OFFSET(ORÇAMENTO!$W$15,ROW(AZ130)-ROW(AZ$15),0),15-13*ORÇAMENTO!$AF$11)),
         0)</f>
        <v>0</v>
      </c>
      <c r="BA130" s="452">
        <f ca="1">IF(AND($D130="Serviço",BA$12&lt;&gt;0,$H130&gt;0,OR(AUTOEVENTO&lt;&gt;"manual",$M130&lt;&gt;$A$15)),
        IF(Import.TipoArredondamento&lt;&gt;"TransfereGOV",
              ROUND(OFFSET($P130,0,BA$13),15-13*ORÇAMENTO!$AF$7)/$H130*OFFSET(ORÇAMENTO!$X$15,ROW(BA130)-ROW(BA$15),0),
              ROUND(ROUND(OFFSET($P130,0,BA$13),15-13*ORÇAMENTO!$AF$7)*OFFSET(ORÇAMENTO!$W$15,ROW(BA130)-ROW(BA$15),0),15-13*ORÇAMENTO!$AF$11)),
         0)</f>
        <v>0</v>
      </c>
      <c r="BC130" s="171">
        <f ca="1">IF(OR($D130&lt;&gt;"Serviço",AND(AUTOEVENTO="Manual",$M130=$A$15)),0,
         IF(OFFSET(CRONOPLE!$F$15,$M130-$A$15,BC$13)=0,10^12,OFFSET(CRONOPLE!$F$15,$M130-$A$15,BC$13)))</f>
        <v>7</v>
      </c>
      <c r="BD130" s="171">
        <f ca="1">IF(OR($D130&lt;&gt;"Serviço",AND(AUTOEVENTO="Manual",$M130=$A$15)),0,
         IF(OFFSET(CRONOPLE!$F$15,$M130-$A$15,BD$13)=0,10^12,OFFSET(CRONOPLE!$F$15,$M130-$A$15,BD$13)))</f>
        <v>7</v>
      </c>
      <c r="BE130" s="171">
        <f ca="1">IF(OR($D130&lt;&gt;"Serviço",AND(AUTOEVENTO="Manual",$M130=$A$15)),0,
         IF(OFFSET(CRONOPLE!$F$15,$M130-$A$15,BE$13)=0,10^12,OFFSET(CRONOPLE!$F$15,$M130-$A$15,BE$13)))</f>
        <v>8</v>
      </c>
      <c r="BF130" s="171">
        <f ca="1">IF(OR($D130&lt;&gt;"Serviço",AND(AUTOEVENTO="Manual",$M130=$A$15)),0,
         IF(OFFSET(CRONOPLE!$F$15,$M130-$A$15,BF$13)=0,10^12,OFFSET(CRONOPLE!$F$15,$M130-$A$15,BF$13)))</f>
        <v>9</v>
      </c>
      <c r="BG130" s="171">
        <f ca="1">IF(OR($D130&lt;&gt;"Serviço",AND(AUTOEVENTO="Manual",$M130=$A$15)),0,
         IF(OFFSET(CRONOPLE!$F$15,$M130-$A$15,BG$13)=0,10^12,OFFSET(CRONOPLE!$F$15,$M130-$A$15,BG$13)))</f>
        <v>9</v>
      </c>
      <c r="BH130" s="171">
        <f ca="1">IF(OR($D130&lt;&gt;"Serviço",AND(AUTOEVENTO="Manual",$M130=$A$15)),0,
         IF(OFFSET(CRONOPLE!$F$15,$M130-$A$15,BH$13)=0,10^12,OFFSET(CRONOPLE!$F$15,$M130-$A$15,BH$13)))</f>
        <v>6</v>
      </c>
      <c r="BI130" s="171">
        <f ca="1">IF(OR($D130&lt;&gt;"Serviço",AND(AUTOEVENTO="Manual",$M130=$A$15)),0,
         IF(OFFSET(CRONOPLE!$F$15,$M130-$A$15,BI$13)=0,10^12,OFFSET(CRONOPLE!$F$15,$M130-$A$15,BI$13)))</f>
        <v>1000000000000</v>
      </c>
      <c r="BJ130" s="171">
        <f ca="1">IF(OR($D130&lt;&gt;"Serviço",AND(AUTOEVENTO="Manual",$M130=$A$15)),0,
         IF(OFFSET(CRONOPLE!$F$15,$M130-$A$15,BJ$13)=0,10^12,OFFSET(CRONOPLE!$F$15,$M130-$A$15,BJ$13)))</f>
        <v>1000000000000</v>
      </c>
      <c r="BK130" s="171">
        <f ca="1">IF(OR($D130&lt;&gt;"Serviço",AND(AUTOEVENTO="Manual",$M130=$A$15)),0,
         IF(OFFSET(CRONOPLE!$F$15,$M130-$A$15,BK$13)=0,10^12,OFFSET(CRONOPLE!$F$15,$M130-$A$15,BK$13)))</f>
        <v>1000000000000</v>
      </c>
      <c r="BL130" s="171">
        <f ca="1">IF(OR($D130&lt;&gt;"Serviço",AND(AUTOEVENTO="Manual",$M130=$A$15)),0,
         IF(OFFSET(CRONOPLE!$F$15,$M130-$A$15,BL$13)=0,10^12,OFFSET(CRONOPLE!$F$15,$M130-$A$15,BL$13)))</f>
        <v>1000000000000</v>
      </c>
      <c r="BM130" s="171">
        <f ca="1">IF(OR($D130&lt;&gt;"Serviço",AND(AUTOEVENTO="Manual",$M130=$A$15)),0,
         IF(OFFSET(CRONOPLE!$F$15,$M130-$A$15,BM$13)=0,10^12,OFFSET(CRONOPLE!$F$15,$M130-$A$15,BM$13)))</f>
        <v>1000000000000</v>
      </c>
      <c r="BN130" s="171">
        <f ca="1">IF(OR($D130&lt;&gt;"Serviço",AND(AUTOEVENTO="Manual",$M130=$A$15)),0,
         IF(OFFSET(CRONOPLE!$F$15,$M130-$A$15,BN$13)=0,10^12,OFFSET(CRONOPLE!$F$15,$M130-$A$15,BN$13)))</f>
        <v>1000000000000</v>
      </c>
      <c r="BO130" s="171">
        <f ca="1">IF(OR($D130&lt;&gt;"Serviço",AND(AUTOEVENTO="Manual",$M130=$A$15)),0,
         IF(OFFSET(CRONOPLE!$F$15,$M130-$A$15,BO$13)=0,10^12,OFFSET(CRONOPLE!$F$15,$M130-$A$15,BO$13)))</f>
        <v>1000000000000</v>
      </c>
      <c r="BP130" s="171">
        <f ca="1">IF(OR($D130&lt;&gt;"Serviço",AND(AUTOEVENTO="Manual",$M130=$A$15)),0,
         IF(OFFSET(CRONOPLE!$F$15,$M130-$A$15,BP$13)=0,10^12,OFFSET(CRONOPLE!$F$15,$M130-$A$15,BP$13)))</f>
        <v>1000000000000</v>
      </c>
      <c r="BQ130" s="171">
        <f ca="1">IF(OR($D130&lt;&gt;"Serviço",AND(AUTOEVENTO="Manual",$M130=$A$15)),0,
         IF(OFFSET(CRONOPLE!$F$15,$M130-$A$15,BQ$13)=0,10^12,OFFSET(CRONOPLE!$F$15,$M130-$A$15,BQ$13)))</f>
        <v>1000000000000</v>
      </c>
      <c r="BR130" s="171">
        <f ca="1">IF(OR($D130&lt;&gt;"Serviço",AND(AUTOEVENTO="Manual",$M130=$A$15)),0,
         IF(OFFSET(CRONOPLE!$F$15,$M130-$A$15,BR$13)=0,10^12,OFFSET(CRONOPLE!$F$15,$M130-$A$15,BR$13)))</f>
        <v>1000000000000</v>
      </c>
      <c r="BS130" s="171">
        <f ca="1">IF(OR($D130&lt;&gt;"Serviço",AND(AUTOEVENTO="Manual",$M130=$A$15)),0,
         IF(OFFSET(CRONOPLE!$F$15,$M130-$A$15,BS$13)=0,10^12,OFFSET(CRONOPLE!$F$15,$M130-$A$15,BS$13)))</f>
        <v>1000000000000</v>
      </c>
      <c r="BT130" s="171">
        <f ca="1">IF(OR($D130&lt;&gt;"Serviço",AND(AUTOEVENTO="Manual",$M130=$A$15)),0,
         IF(OFFSET(CRONOPLE!$F$15,$M130-$A$15,BT$13)=0,10^12,OFFSET(CRONOPLE!$F$15,$M130-$A$15,BT$13)))</f>
        <v>1000000000000</v>
      </c>
      <c r="BV130" s="172">
        <f t="array" aca="1" ref="BV130" ca="1">IF(OR($D130&lt;&gt;"Serviço",AND(AUTOEVENTO="Manual",$M130=$A$15),$M130&gt;(ROW(PLE.lastrow)-ROW(PLE.firstrow))),0,
           IF(OFFSET(PLE!$G$15,$M130-$A$15,BV$13)="",10^12,OFFSET(PLE!$G$15,$M130-$A$15,BV$13)))</f>
        <v>1000000000000</v>
      </c>
      <c r="BW130" s="172">
        <f t="array" aca="1" ref="BW130" ca="1">IF(OR($D130&lt;&gt;"Serviço",AND(AUTOEVENTO="Manual",$M130=$A$15),$M130&gt;(ROW(PLE.lastrow)-ROW(PLE.firstrow))),0,
           IF(OFFSET(PLE!$G$15,$M130-$A$15,BW$13)="",10^12,OFFSET(PLE!$G$15,$M130-$A$15,BW$13)))</f>
        <v>1000000000000</v>
      </c>
      <c r="BX130" s="172">
        <f t="array" aca="1" ref="BX130" ca="1">IF(OR($D130&lt;&gt;"Serviço",AND(AUTOEVENTO="Manual",$M130=$A$15),$M130&gt;(ROW(PLE.lastrow)-ROW(PLE.firstrow))),0,
           IF(OFFSET(PLE!$G$15,$M130-$A$15,BX$13)="",10^12,OFFSET(PLE!$G$15,$M130-$A$15,BX$13)))</f>
        <v>1000000000000</v>
      </c>
      <c r="BY130" s="172">
        <f t="array" aca="1" ref="BY130" ca="1">IF(OR($D130&lt;&gt;"Serviço",AND(AUTOEVENTO="Manual",$M130=$A$15),$M130&gt;(ROW(PLE.lastrow)-ROW(PLE.firstrow))),0,
           IF(OFFSET(PLE!$G$15,$M130-$A$15,BY$13)="",10^12,OFFSET(PLE!$G$15,$M130-$A$15,BY$13)))</f>
        <v>1000000000000</v>
      </c>
      <c r="BZ130" s="172">
        <f t="array" aca="1" ref="BZ130" ca="1">IF(OR($D130&lt;&gt;"Serviço",AND(AUTOEVENTO="Manual",$M130=$A$15),$M130&gt;(ROW(PLE.lastrow)-ROW(PLE.firstrow))),0,
           IF(OFFSET(PLE!$G$15,$M130-$A$15,BZ$13)="",10^12,OFFSET(PLE!$G$15,$M130-$A$15,BZ$13)))</f>
        <v>1000000000000</v>
      </c>
      <c r="CA130" s="172">
        <f t="array" aca="1" ref="CA130" ca="1">IF(OR($D130&lt;&gt;"Serviço",AND(AUTOEVENTO="Manual",$M130=$A$15),$M130&gt;(ROW(PLE.lastrow)-ROW(PLE.firstrow))),0,
           IF(OFFSET(PLE!$G$15,$M130-$A$15,CA$13)="",10^12,OFFSET(PLE!$G$15,$M130-$A$15,CA$13)))</f>
        <v>1000000000000</v>
      </c>
      <c r="CB130" s="172">
        <f t="array" aca="1" ref="CB130" ca="1">IF(OR($D130&lt;&gt;"Serviço",AND(AUTOEVENTO="Manual",$M130=$A$15),$M130&gt;(ROW(PLE.lastrow)-ROW(PLE.firstrow))),0,
           IF(OFFSET(PLE!$G$15,$M130-$A$15,CB$13)="",10^12,OFFSET(PLE!$G$15,$M130-$A$15,CB$13)))</f>
        <v>1000000000000</v>
      </c>
      <c r="CC130" s="172">
        <f t="array" aca="1" ref="CC130" ca="1">IF(OR($D130&lt;&gt;"Serviço",AND(AUTOEVENTO="Manual",$M130=$A$15),$M130&gt;(ROW(PLE.lastrow)-ROW(PLE.firstrow))),0,
           IF(OFFSET(PLE!$G$15,$M130-$A$15,CC$13)="",10^12,OFFSET(PLE!$G$15,$M130-$A$15,CC$13)))</f>
        <v>1000000000000</v>
      </c>
      <c r="CD130" s="172">
        <f t="array" aca="1" ref="CD130" ca="1">IF(OR($D130&lt;&gt;"Serviço",AND(AUTOEVENTO="Manual",$M130=$A$15),$M130&gt;(ROW(PLE.lastrow)-ROW(PLE.firstrow))),0,
           IF(OFFSET(PLE!$G$15,$M130-$A$15,CD$13)="",10^12,OFFSET(PLE!$G$15,$M130-$A$15,CD$13)))</f>
        <v>1000000000000</v>
      </c>
      <c r="CE130" s="172">
        <f t="array" aca="1" ref="CE130" ca="1">IF(OR($D130&lt;&gt;"Serviço",AND(AUTOEVENTO="Manual",$M130=$A$15),$M130&gt;(ROW(PLE.lastrow)-ROW(PLE.firstrow))),0,
           IF(OFFSET(PLE!$G$15,$M130-$A$15,CE$13)="",10^12,OFFSET(PLE!$G$15,$M130-$A$15,CE$13)))</f>
        <v>1000000000000</v>
      </c>
      <c r="CF130" s="172">
        <f t="array" aca="1" ref="CF130" ca="1">IF(OR($D130&lt;&gt;"Serviço",AND(AUTOEVENTO="Manual",$M130=$A$15),$M130&gt;(ROW(PLE.lastrow)-ROW(PLE.firstrow))),0,
           IF(OFFSET(PLE!$G$15,$M130-$A$15,CF$13)="",10^12,OFFSET(PLE!$G$15,$M130-$A$15,CF$13)))</f>
        <v>1000000000000</v>
      </c>
      <c r="CG130" s="172">
        <f t="array" aca="1" ref="CG130" ca="1">IF(OR($D130&lt;&gt;"Serviço",AND(AUTOEVENTO="Manual",$M130=$A$15),$M130&gt;(ROW(PLE.lastrow)-ROW(PLE.firstrow))),0,
           IF(OFFSET(PLE!$G$15,$M130-$A$15,CG$13)="",10^12,OFFSET(PLE!$G$15,$M130-$A$15,CG$13)))</f>
        <v>1000000000000</v>
      </c>
      <c r="CH130" s="172">
        <f t="array" aca="1" ref="CH130" ca="1">IF(OR($D130&lt;&gt;"Serviço",AND(AUTOEVENTO="Manual",$M130=$A$15),$M130&gt;(ROW(PLE.lastrow)-ROW(PLE.firstrow))),0,
           IF(OFFSET(PLE!$G$15,$M130-$A$15,CH$13)="",10^12,OFFSET(PLE!$G$15,$M130-$A$15,CH$13)))</f>
        <v>1000000000000</v>
      </c>
      <c r="CI130" s="172">
        <f t="array" aca="1" ref="CI130" ca="1">IF(OR($D130&lt;&gt;"Serviço",AND(AUTOEVENTO="Manual",$M130=$A$15),$M130&gt;(ROW(PLE.lastrow)-ROW(PLE.firstrow))),0,
           IF(OFFSET(PLE!$G$15,$M130-$A$15,CI$13)="",10^12,OFFSET(PLE!$G$15,$M130-$A$15,CI$13)))</f>
        <v>1000000000000</v>
      </c>
      <c r="CJ130" s="172">
        <f t="array" aca="1" ref="CJ130" ca="1">IF(OR($D130&lt;&gt;"Serviço",AND(AUTOEVENTO="Manual",$M130=$A$15),$M130&gt;(ROW(PLE.lastrow)-ROW(PLE.firstrow))),0,
           IF(OFFSET(PLE!$G$15,$M130-$A$15,CJ$13)="",10^12,OFFSET(PLE!$G$15,$M130-$A$15,CJ$13)))</f>
        <v>1000000000000</v>
      </c>
      <c r="CK130" s="172">
        <f t="array" aca="1" ref="CK130" ca="1">IF(OR($D130&lt;&gt;"Serviço",AND(AUTOEVENTO="Manual",$M130=$A$15),$M130&gt;(ROW(PLE.lastrow)-ROW(PLE.firstrow))),0,
           IF(OFFSET(PLE!$G$15,$M130-$A$15,CK$13)="",10^12,OFFSET(PLE!$G$15,$M130-$A$15,CK$13)))</f>
        <v>1000000000000</v>
      </c>
      <c r="CL130" s="172">
        <f t="array" aca="1" ref="CL130" ca="1">IF(OR($D130&lt;&gt;"Serviço",AND(AUTOEVENTO="Manual",$M130=$A$15),$M130&gt;(ROW(PLE.lastrow)-ROW(PLE.firstrow))),0,
           IF(OFFSET(PLE!$G$15,$M130-$A$15,CL$13)="",10^12,OFFSET(PLE!$G$15,$M130-$A$15,CL$13)))</f>
        <v>1000000000000</v>
      </c>
      <c r="CM130" s="172">
        <f t="array" aca="1" ref="CM130" ca="1">IF(OR($D130&lt;&gt;"Serviço",AND(AUTOEVENTO="Manual",$M130=$A$15),$M130&gt;(ROW(PLE.lastrow)-ROW(PLE.firstrow))),0,
           IF(OFFSET(PLE!$G$15,$M130-$A$15,CM$13)="",10^12,OFFSET(PLE!$G$15,$M130-$A$15,CM$13)))</f>
        <v>1000000000000</v>
      </c>
    </row>
    <row r="131" spans="1:91" s="696" customFormat="1" ht="38.25" x14ac:dyDescent="0.2">
      <c r="A131" s="694">
        <f t="shared" ca="1" si="45"/>
        <v>27</v>
      </c>
      <c r="B131" s="694" t="str">
        <f ca="1">OFFSET(ORÇAMENTO!C$15,$L131,0)</f>
        <v>S</v>
      </c>
      <c r="C131" s="694" t="str">
        <f ca="1">OFFSET(ORÇAMENTO!L$15,$L131,0)</f>
        <v>F</v>
      </c>
      <c r="D131" s="116" t="str">
        <f ca="1">OFFSET(ORÇAMENTO!N$15,$L131,0)</f>
        <v>Serviço</v>
      </c>
      <c r="E131" s="117" t="str">
        <f ca="1">OFFSET(ORÇAMENTO!O$15,$L131,0)</f>
        <v>1.23.2.</v>
      </c>
      <c r="F131" s="163" t="str">
        <f ca="1">OFFSET(ORÇAMENTO!R$15,$L131,0)</f>
        <v>DISJUNTOR MONOPOLAR TIPO DIN, CORRENTE NOMINAL DE 16A - FORNECIMENTO E INSTALAÇÃO. AF_07/2025</v>
      </c>
      <c r="G131" s="164" t="str">
        <f ca="1">IF($D131&lt;&gt;"Serviço","",OFFSET(ORÇAMENTO!S$15,$L131,0))</f>
        <v>UN</v>
      </c>
      <c r="H131" s="122">
        <f t="array" aca="1" ref="H131" ca="1">IF($D131&lt;&gt;"Serviço",0,IF(ACOMPANHAMENTO="BM",ROUND(OFFSET(ORÇAMENTO!AJ$15,$L131,0),15-13*ORÇAMENTO!$AF$7),IF(IFERROR(CÁLCULO.FrentesPreenchidas,0)=0,0,SUM(ROUND(OFFSET($P131,0,1,1,CÁLCULO.FrentesPreenchidas),15-13*ORÇAMENTO!$AF$7)))))</f>
        <v>20</v>
      </c>
      <c r="I131" s="467" t="s">
        <v>1285</v>
      </c>
      <c r="J131" s="653" t="str">
        <f t="array" aca="1" ref="J131" ca="1">IF(OR(B131&lt;&gt;"S",CÁLCULO.FrentesPreenchidas=0),"",IF(AND(ACOMPANHAMENTO="PLE",AUTOEVENTO="Manual",OR(H131&gt;0,ORÇAMENTO!AC131="QUANT."),OR(K131="",M131=0,N131="")),"►E",IF(AND(ACOMPANHAMENTO="PLE",ORÇAMENTO!AC131="QUANT."),"►Q",IF(AND(ACOMPANHAMENTO="PLE",H131&lt;&gt;SUMPRODUCT(($Q$1:$AI$1=1)*ROUND(Q131:AI131,15))),"►S",IF(AND(COUNTIF($P$11:$AI$11,"▼")=0,H131&gt;0,I131=""),"◄M","")))))</f>
        <v/>
      </c>
      <c r="K131" s="654" t="s">
        <v>1428</v>
      </c>
      <c r="L131" s="165">
        <f t="shared" ca="1" si="46"/>
        <v>116</v>
      </c>
      <c r="M131" s="166">
        <f ca="1">IF($D131&lt;&gt;"Serviço","",
          IF(AUTOEVENTO="manual",$A131,
                IF(ISERROR(MATCH($A131,$A$15:OFFSET($A131,-1,0),0)),MAX($M$15:OFFSET(M131,-1,0))+1,
                      INDEX($M$15:OFFSET(M131,-1,0),MATCH($A131,$A$15:OFFSET($A131,-1,0),0)))))</f>
        <v>27</v>
      </c>
      <c r="N131" s="167" t="str">
        <f ca="1">IF($D131&lt;&gt;"Serviço","",
         IF(AUTOEVENTO="Manual",
                IF($A131=0,"&lt;-- defina o número do agrupador",
                       OFFSET(EVENTOS!$D$15,$A131-$A$15,0)),
                OFFSET($F$15,$A131,0)))</f>
        <v>CAIXAS E DISJUNTORES</v>
      </c>
      <c r="O131" s="168"/>
      <c r="Q131" s="169">
        <v>5</v>
      </c>
      <c r="R131" s="169">
        <v>5</v>
      </c>
      <c r="S131" s="169">
        <v>5</v>
      </c>
      <c r="T131" s="169">
        <v>5</v>
      </c>
      <c r="U131" s="169"/>
      <c r="V131" s="169"/>
      <c r="W131" s="169"/>
      <c r="X131" s="169"/>
      <c r="Y131" s="169"/>
      <c r="Z131" s="170"/>
      <c r="AA131" s="169"/>
      <c r="AB131" s="169"/>
      <c r="AC131" s="169"/>
      <c r="AD131" s="169"/>
      <c r="AE131" s="169"/>
      <c r="AF131" s="169"/>
      <c r="AG131" s="169"/>
      <c r="AH131" s="170"/>
      <c r="AJ131" s="452">
        <f ca="1">IF(AND($D131="Serviço",AJ$12&lt;&gt;0,$H131&gt;0,OR(AUTOEVENTO&lt;&gt;"manual",$M131&lt;&gt;$A$15)),
        IF(Import.TipoArredondamento&lt;&gt;"TransfereGOV",
              ROUND(OFFSET($P131,0,AJ$13),15-13*ORÇAMENTO!$AF$7)/$H131*OFFSET(ORÇAMENTO!$X$15,ROW(AJ131)-ROW(AJ$15),0),
              ROUND(ROUND(OFFSET($P131,0,AJ$13),15-13*ORÇAMENTO!$AF$7)*OFFSET(ORÇAMENTO!$W$15,ROW(AJ131)-ROW(AJ$15),0),15-13*ORÇAMENTO!$AF$11)),
         0)</f>
        <v>82.55</v>
      </c>
      <c r="AK131" s="452">
        <f ca="1">IF(AND($D131="Serviço",AK$12&lt;&gt;0,$H131&gt;0,OR(AUTOEVENTO&lt;&gt;"manual",$M131&lt;&gt;$A$15)),
        IF(Import.TipoArredondamento&lt;&gt;"TransfereGOV",
              ROUND(OFFSET($P131,0,AK$13),15-13*ORÇAMENTO!$AF$7)/$H131*OFFSET(ORÇAMENTO!$X$15,ROW(AK131)-ROW(AK$15),0),
              ROUND(ROUND(OFFSET($P131,0,AK$13),15-13*ORÇAMENTO!$AF$7)*OFFSET(ORÇAMENTO!$W$15,ROW(AK131)-ROW(AK$15),0),15-13*ORÇAMENTO!$AF$11)),
         0)</f>
        <v>82.55</v>
      </c>
      <c r="AL131" s="452">
        <f ca="1">IF(AND($D131="Serviço",AL$12&lt;&gt;0,$H131&gt;0,OR(AUTOEVENTO&lt;&gt;"manual",$M131&lt;&gt;$A$15)),
        IF(Import.TipoArredondamento&lt;&gt;"TransfereGOV",
              ROUND(OFFSET($P131,0,AL$13),15-13*ORÇAMENTO!$AF$7)/$H131*OFFSET(ORÇAMENTO!$X$15,ROW(AL131)-ROW(AL$15),0),
              ROUND(ROUND(OFFSET($P131,0,AL$13),15-13*ORÇAMENTO!$AF$7)*OFFSET(ORÇAMENTO!$W$15,ROW(AL131)-ROW(AL$15),0),15-13*ORÇAMENTO!$AF$11)),
         0)</f>
        <v>82.55</v>
      </c>
      <c r="AM131" s="452">
        <f ca="1">IF(AND($D131="Serviço",AM$12&lt;&gt;0,$H131&gt;0,OR(AUTOEVENTO&lt;&gt;"manual",$M131&lt;&gt;$A$15)),
        IF(Import.TipoArredondamento&lt;&gt;"TransfereGOV",
              ROUND(OFFSET($P131,0,AM$13),15-13*ORÇAMENTO!$AF$7)/$H131*OFFSET(ORÇAMENTO!$X$15,ROW(AM131)-ROW(AM$15),0),
              ROUND(ROUND(OFFSET($P131,0,AM$13),15-13*ORÇAMENTO!$AF$7)*OFFSET(ORÇAMENTO!$W$15,ROW(AM131)-ROW(AM$15),0),15-13*ORÇAMENTO!$AF$11)),
         0)</f>
        <v>82.55</v>
      </c>
      <c r="AN131" s="452">
        <f ca="1">IF(AND($D131="Serviço",AN$12&lt;&gt;0,$H131&gt;0,OR(AUTOEVENTO&lt;&gt;"manual",$M131&lt;&gt;$A$15)),
        IF(Import.TipoArredondamento&lt;&gt;"TransfereGOV",
              ROUND(OFFSET($P131,0,AN$13),15-13*ORÇAMENTO!$AF$7)/$H131*OFFSET(ORÇAMENTO!$X$15,ROW(AN131)-ROW(AN$15),0),
              ROUND(ROUND(OFFSET($P131,0,AN$13),15-13*ORÇAMENTO!$AF$7)*OFFSET(ORÇAMENTO!$W$15,ROW(AN131)-ROW(AN$15),0),15-13*ORÇAMENTO!$AF$11)),
         0)</f>
        <v>0</v>
      </c>
      <c r="AO131" s="452">
        <f ca="1">IF(AND($D131="Serviço",AO$12&lt;&gt;0,$H131&gt;0,OR(AUTOEVENTO&lt;&gt;"manual",$M131&lt;&gt;$A$15)),
        IF(Import.TipoArredondamento&lt;&gt;"TransfereGOV",
              ROUND(OFFSET($P131,0,AO$13),15-13*ORÇAMENTO!$AF$7)/$H131*OFFSET(ORÇAMENTO!$X$15,ROW(AO131)-ROW(AO$15),0),
              ROUND(ROUND(OFFSET($P131,0,AO$13),15-13*ORÇAMENTO!$AF$7)*OFFSET(ORÇAMENTO!$W$15,ROW(AO131)-ROW(AO$15),0),15-13*ORÇAMENTO!$AF$11)),
         0)</f>
        <v>0</v>
      </c>
      <c r="AP131" s="452">
        <f ca="1">IF(AND($D131="Serviço",AP$12&lt;&gt;0,$H131&gt;0,OR(AUTOEVENTO&lt;&gt;"manual",$M131&lt;&gt;$A$15)),
        IF(Import.TipoArredondamento&lt;&gt;"TransfereGOV",
              ROUND(OFFSET($P131,0,AP$13),15-13*ORÇAMENTO!$AF$7)/$H131*OFFSET(ORÇAMENTO!$X$15,ROW(AP131)-ROW(AP$15),0),
              ROUND(ROUND(OFFSET($P131,0,AP$13),15-13*ORÇAMENTO!$AF$7)*OFFSET(ORÇAMENTO!$W$15,ROW(AP131)-ROW(AP$15),0),15-13*ORÇAMENTO!$AF$11)),
         0)</f>
        <v>0</v>
      </c>
      <c r="AQ131" s="452">
        <f ca="1">IF(AND($D131="Serviço",AQ$12&lt;&gt;0,$H131&gt;0,OR(AUTOEVENTO&lt;&gt;"manual",$M131&lt;&gt;$A$15)),
        IF(Import.TipoArredondamento&lt;&gt;"TransfereGOV",
              ROUND(OFFSET($P131,0,AQ$13),15-13*ORÇAMENTO!$AF$7)/$H131*OFFSET(ORÇAMENTO!$X$15,ROW(AQ131)-ROW(AQ$15),0),
              ROUND(ROUND(OFFSET($P131,0,AQ$13),15-13*ORÇAMENTO!$AF$7)*OFFSET(ORÇAMENTO!$W$15,ROW(AQ131)-ROW(AQ$15),0),15-13*ORÇAMENTO!$AF$11)),
         0)</f>
        <v>0</v>
      </c>
      <c r="AR131" s="452">
        <f ca="1">IF(AND($D131="Serviço",AR$12&lt;&gt;0,$H131&gt;0,OR(AUTOEVENTO&lt;&gt;"manual",$M131&lt;&gt;$A$15)),
        IF(Import.TipoArredondamento&lt;&gt;"TransfereGOV",
              ROUND(OFFSET($P131,0,AR$13),15-13*ORÇAMENTO!$AF$7)/$H131*OFFSET(ORÇAMENTO!$X$15,ROW(AR131)-ROW(AR$15),0),
              ROUND(ROUND(OFFSET($P131,0,AR$13),15-13*ORÇAMENTO!$AF$7)*OFFSET(ORÇAMENTO!$W$15,ROW(AR131)-ROW(AR$15),0),15-13*ORÇAMENTO!$AF$11)),
         0)</f>
        <v>0</v>
      </c>
      <c r="AS131" s="452">
        <f ca="1">IF(AND($D131="Serviço",AS$12&lt;&gt;0,$H131&gt;0,OR(AUTOEVENTO&lt;&gt;"manual",$M131&lt;&gt;$A$15)),
        IF(Import.TipoArredondamento&lt;&gt;"TransfereGOV",
              ROUND(OFFSET($P131,0,AS$13),15-13*ORÇAMENTO!$AF$7)/$H131*OFFSET(ORÇAMENTO!$X$15,ROW(AS131)-ROW(AS$15),0),
              ROUND(ROUND(OFFSET($P131,0,AS$13),15-13*ORÇAMENTO!$AF$7)*OFFSET(ORÇAMENTO!$W$15,ROW(AS131)-ROW(AS$15),0),15-13*ORÇAMENTO!$AF$11)),
         0)</f>
        <v>0</v>
      </c>
      <c r="AT131" s="452">
        <f ca="1">IF(AND($D131="Serviço",AT$12&lt;&gt;0,$H131&gt;0,OR(AUTOEVENTO&lt;&gt;"manual",$M131&lt;&gt;$A$15)),
        IF(Import.TipoArredondamento&lt;&gt;"TransfereGOV",
              ROUND(OFFSET($P131,0,AT$13),15-13*ORÇAMENTO!$AF$7)/$H131*OFFSET(ORÇAMENTO!$X$15,ROW(AT131)-ROW(AT$15),0),
              ROUND(ROUND(OFFSET($P131,0,AT$13),15-13*ORÇAMENTO!$AF$7)*OFFSET(ORÇAMENTO!$W$15,ROW(AT131)-ROW(AT$15),0),15-13*ORÇAMENTO!$AF$11)),
         0)</f>
        <v>0</v>
      </c>
      <c r="AU131" s="452">
        <f ca="1">IF(AND($D131="Serviço",AU$12&lt;&gt;0,$H131&gt;0,OR(AUTOEVENTO&lt;&gt;"manual",$M131&lt;&gt;$A$15)),
        IF(Import.TipoArredondamento&lt;&gt;"TransfereGOV",
              ROUND(OFFSET($P131,0,AU$13),15-13*ORÇAMENTO!$AF$7)/$H131*OFFSET(ORÇAMENTO!$X$15,ROW(AU131)-ROW(AU$15),0),
              ROUND(ROUND(OFFSET($P131,0,AU$13),15-13*ORÇAMENTO!$AF$7)*OFFSET(ORÇAMENTO!$W$15,ROW(AU131)-ROW(AU$15),0),15-13*ORÇAMENTO!$AF$11)),
         0)</f>
        <v>0</v>
      </c>
      <c r="AV131" s="452">
        <f ca="1">IF(AND($D131="Serviço",AV$12&lt;&gt;0,$H131&gt;0,OR(AUTOEVENTO&lt;&gt;"manual",$M131&lt;&gt;$A$15)),
        IF(Import.TipoArredondamento&lt;&gt;"TransfereGOV",
              ROUND(OFFSET($P131,0,AV$13),15-13*ORÇAMENTO!$AF$7)/$H131*OFFSET(ORÇAMENTO!$X$15,ROW(AV131)-ROW(AV$15),0),
              ROUND(ROUND(OFFSET($P131,0,AV$13),15-13*ORÇAMENTO!$AF$7)*OFFSET(ORÇAMENTO!$W$15,ROW(AV131)-ROW(AV$15),0),15-13*ORÇAMENTO!$AF$11)),
         0)</f>
        <v>0</v>
      </c>
      <c r="AW131" s="452">
        <f ca="1">IF(AND($D131="Serviço",AW$12&lt;&gt;0,$H131&gt;0,OR(AUTOEVENTO&lt;&gt;"manual",$M131&lt;&gt;$A$15)),
        IF(Import.TipoArredondamento&lt;&gt;"TransfereGOV",
              ROUND(OFFSET($P131,0,AW$13),15-13*ORÇAMENTO!$AF$7)/$H131*OFFSET(ORÇAMENTO!$X$15,ROW(AW131)-ROW(AW$15),0),
              ROUND(ROUND(OFFSET($P131,0,AW$13),15-13*ORÇAMENTO!$AF$7)*OFFSET(ORÇAMENTO!$W$15,ROW(AW131)-ROW(AW$15),0),15-13*ORÇAMENTO!$AF$11)),
         0)</f>
        <v>0</v>
      </c>
      <c r="AX131" s="452">
        <f ca="1">IF(AND($D131="Serviço",AX$12&lt;&gt;0,$H131&gt;0,OR(AUTOEVENTO&lt;&gt;"manual",$M131&lt;&gt;$A$15)),
        IF(Import.TipoArredondamento&lt;&gt;"TransfereGOV",
              ROUND(OFFSET($P131,0,AX$13),15-13*ORÇAMENTO!$AF$7)/$H131*OFFSET(ORÇAMENTO!$X$15,ROW(AX131)-ROW(AX$15),0),
              ROUND(ROUND(OFFSET($P131,0,AX$13),15-13*ORÇAMENTO!$AF$7)*OFFSET(ORÇAMENTO!$W$15,ROW(AX131)-ROW(AX$15),0),15-13*ORÇAMENTO!$AF$11)),
         0)</f>
        <v>0</v>
      </c>
      <c r="AY131" s="452">
        <f ca="1">IF(AND($D131="Serviço",AY$12&lt;&gt;0,$H131&gt;0,OR(AUTOEVENTO&lt;&gt;"manual",$M131&lt;&gt;$A$15)),
        IF(Import.TipoArredondamento&lt;&gt;"TransfereGOV",
              ROUND(OFFSET($P131,0,AY$13),15-13*ORÇAMENTO!$AF$7)/$H131*OFFSET(ORÇAMENTO!$X$15,ROW(AY131)-ROW(AY$15),0),
              ROUND(ROUND(OFFSET($P131,0,AY$13),15-13*ORÇAMENTO!$AF$7)*OFFSET(ORÇAMENTO!$W$15,ROW(AY131)-ROW(AY$15),0),15-13*ORÇAMENTO!$AF$11)),
         0)</f>
        <v>0</v>
      </c>
      <c r="AZ131" s="452">
        <f ca="1">IF(AND($D131="Serviço",AZ$12&lt;&gt;0,$H131&gt;0,OR(AUTOEVENTO&lt;&gt;"manual",$M131&lt;&gt;$A$15)),
        IF(Import.TipoArredondamento&lt;&gt;"TransfereGOV",
              ROUND(OFFSET($P131,0,AZ$13),15-13*ORÇAMENTO!$AF$7)/$H131*OFFSET(ORÇAMENTO!$X$15,ROW(AZ131)-ROW(AZ$15),0),
              ROUND(ROUND(OFFSET($P131,0,AZ$13),15-13*ORÇAMENTO!$AF$7)*OFFSET(ORÇAMENTO!$W$15,ROW(AZ131)-ROW(AZ$15),0),15-13*ORÇAMENTO!$AF$11)),
         0)</f>
        <v>0</v>
      </c>
      <c r="BA131" s="452">
        <f ca="1">IF(AND($D131="Serviço",BA$12&lt;&gt;0,$H131&gt;0,OR(AUTOEVENTO&lt;&gt;"manual",$M131&lt;&gt;$A$15)),
        IF(Import.TipoArredondamento&lt;&gt;"TransfereGOV",
              ROUND(OFFSET($P131,0,BA$13),15-13*ORÇAMENTO!$AF$7)/$H131*OFFSET(ORÇAMENTO!$X$15,ROW(BA131)-ROW(BA$15),0),
              ROUND(ROUND(OFFSET($P131,0,BA$13),15-13*ORÇAMENTO!$AF$7)*OFFSET(ORÇAMENTO!$W$15,ROW(BA131)-ROW(BA$15),0),15-13*ORÇAMENTO!$AF$11)),
         0)</f>
        <v>0</v>
      </c>
      <c r="BC131" s="171">
        <f ca="1">IF(OR($D131&lt;&gt;"Serviço",AND(AUTOEVENTO="Manual",$M131=$A$15)),0,
         IF(OFFSET(CRONOPLE!$F$15,$M131-$A$15,BC$13)=0,10^12,OFFSET(CRONOPLE!$F$15,$M131-$A$15,BC$13)))</f>
        <v>7</v>
      </c>
      <c r="BD131" s="171">
        <f ca="1">IF(OR($D131&lt;&gt;"Serviço",AND(AUTOEVENTO="Manual",$M131=$A$15)),0,
         IF(OFFSET(CRONOPLE!$F$15,$M131-$A$15,BD$13)=0,10^12,OFFSET(CRONOPLE!$F$15,$M131-$A$15,BD$13)))</f>
        <v>7</v>
      </c>
      <c r="BE131" s="171">
        <f ca="1">IF(OR($D131&lt;&gt;"Serviço",AND(AUTOEVENTO="Manual",$M131=$A$15)),0,
         IF(OFFSET(CRONOPLE!$F$15,$M131-$A$15,BE$13)=0,10^12,OFFSET(CRONOPLE!$F$15,$M131-$A$15,BE$13)))</f>
        <v>8</v>
      </c>
      <c r="BF131" s="171">
        <f ca="1">IF(OR($D131&lt;&gt;"Serviço",AND(AUTOEVENTO="Manual",$M131=$A$15)),0,
         IF(OFFSET(CRONOPLE!$F$15,$M131-$A$15,BF$13)=0,10^12,OFFSET(CRONOPLE!$F$15,$M131-$A$15,BF$13)))</f>
        <v>9</v>
      </c>
      <c r="BG131" s="171">
        <f ca="1">IF(OR($D131&lt;&gt;"Serviço",AND(AUTOEVENTO="Manual",$M131=$A$15)),0,
         IF(OFFSET(CRONOPLE!$F$15,$M131-$A$15,BG$13)=0,10^12,OFFSET(CRONOPLE!$F$15,$M131-$A$15,BG$13)))</f>
        <v>9</v>
      </c>
      <c r="BH131" s="171">
        <f ca="1">IF(OR($D131&lt;&gt;"Serviço",AND(AUTOEVENTO="Manual",$M131=$A$15)),0,
         IF(OFFSET(CRONOPLE!$F$15,$M131-$A$15,BH$13)=0,10^12,OFFSET(CRONOPLE!$F$15,$M131-$A$15,BH$13)))</f>
        <v>6</v>
      </c>
      <c r="BI131" s="171">
        <f ca="1">IF(OR($D131&lt;&gt;"Serviço",AND(AUTOEVENTO="Manual",$M131=$A$15)),0,
         IF(OFFSET(CRONOPLE!$F$15,$M131-$A$15,BI$13)=0,10^12,OFFSET(CRONOPLE!$F$15,$M131-$A$15,BI$13)))</f>
        <v>1000000000000</v>
      </c>
      <c r="BJ131" s="171">
        <f ca="1">IF(OR($D131&lt;&gt;"Serviço",AND(AUTOEVENTO="Manual",$M131=$A$15)),0,
         IF(OFFSET(CRONOPLE!$F$15,$M131-$A$15,BJ$13)=0,10^12,OFFSET(CRONOPLE!$F$15,$M131-$A$15,BJ$13)))</f>
        <v>1000000000000</v>
      </c>
      <c r="BK131" s="171">
        <f ca="1">IF(OR($D131&lt;&gt;"Serviço",AND(AUTOEVENTO="Manual",$M131=$A$15)),0,
         IF(OFFSET(CRONOPLE!$F$15,$M131-$A$15,BK$13)=0,10^12,OFFSET(CRONOPLE!$F$15,$M131-$A$15,BK$13)))</f>
        <v>1000000000000</v>
      </c>
      <c r="BL131" s="171">
        <f ca="1">IF(OR($D131&lt;&gt;"Serviço",AND(AUTOEVENTO="Manual",$M131=$A$15)),0,
         IF(OFFSET(CRONOPLE!$F$15,$M131-$A$15,BL$13)=0,10^12,OFFSET(CRONOPLE!$F$15,$M131-$A$15,BL$13)))</f>
        <v>1000000000000</v>
      </c>
      <c r="BM131" s="171">
        <f ca="1">IF(OR($D131&lt;&gt;"Serviço",AND(AUTOEVENTO="Manual",$M131=$A$15)),0,
         IF(OFFSET(CRONOPLE!$F$15,$M131-$A$15,BM$13)=0,10^12,OFFSET(CRONOPLE!$F$15,$M131-$A$15,BM$13)))</f>
        <v>1000000000000</v>
      </c>
      <c r="BN131" s="171">
        <f ca="1">IF(OR($D131&lt;&gt;"Serviço",AND(AUTOEVENTO="Manual",$M131=$A$15)),0,
         IF(OFFSET(CRONOPLE!$F$15,$M131-$A$15,BN$13)=0,10^12,OFFSET(CRONOPLE!$F$15,$M131-$A$15,BN$13)))</f>
        <v>1000000000000</v>
      </c>
      <c r="BO131" s="171">
        <f ca="1">IF(OR($D131&lt;&gt;"Serviço",AND(AUTOEVENTO="Manual",$M131=$A$15)),0,
         IF(OFFSET(CRONOPLE!$F$15,$M131-$A$15,BO$13)=0,10^12,OFFSET(CRONOPLE!$F$15,$M131-$A$15,BO$13)))</f>
        <v>1000000000000</v>
      </c>
      <c r="BP131" s="171">
        <f ca="1">IF(OR($D131&lt;&gt;"Serviço",AND(AUTOEVENTO="Manual",$M131=$A$15)),0,
         IF(OFFSET(CRONOPLE!$F$15,$M131-$A$15,BP$13)=0,10^12,OFFSET(CRONOPLE!$F$15,$M131-$A$15,BP$13)))</f>
        <v>1000000000000</v>
      </c>
      <c r="BQ131" s="171">
        <f ca="1">IF(OR($D131&lt;&gt;"Serviço",AND(AUTOEVENTO="Manual",$M131=$A$15)),0,
         IF(OFFSET(CRONOPLE!$F$15,$M131-$A$15,BQ$13)=0,10^12,OFFSET(CRONOPLE!$F$15,$M131-$A$15,BQ$13)))</f>
        <v>1000000000000</v>
      </c>
      <c r="BR131" s="171">
        <f ca="1">IF(OR($D131&lt;&gt;"Serviço",AND(AUTOEVENTO="Manual",$M131=$A$15)),0,
         IF(OFFSET(CRONOPLE!$F$15,$M131-$A$15,BR$13)=0,10^12,OFFSET(CRONOPLE!$F$15,$M131-$A$15,BR$13)))</f>
        <v>1000000000000</v>
      </c>
      <c r="BS131" s="171">
        <f ca="1">IF(OR($D131&lt;&gt;"Serviço",AND(AUTOEVENTO="Manual",$M131=$A$15)),0,
         IF(OFFSET(CRONOPLE!$F$15,$M131-$A$15,BS$13)=0,10^12,OFFSET(CRONOPLE!$F$15,$M131-$A$15,BS$13)))</f>
        <v>1000000000000</v>
      </c>
      <c r="BT131" s="171">
        <f ca="1">IF(OR($D131&lt;&gt;"Serviço",AND(AUTOEVENTO="Manual",$M131=$A$15)),0,
         IF(OFFSET(CRONOPLE!$F$15,$M131-$A$15,BT$13)=0,10^12,OFFSET(CRONOPLE!$F$15,$M131-$A$15,BT$13)))</f>
        <v>1000000000000</v>
      </c>
      <c r="BV131" s="172">
        <f t="array" aca="1" ref="BV131" ca="1">IF(OR($D131&lt;&gt;"Serviço",AND(AUTOEVENTO="Manual",$M131=$A$15),$M131&gt;(ROW(PLE.lastrow)-ROW(PLE.firstrow))),0,
           IF(OFFSET(PLE!$G$15,$M131-$A$15,BV$13)="",10^12,OFFSET(PLE!$G$15,$M131-$A$15,BV$13)))</f>
        <v>1000000000000</v>
      </c>
      <c r="BW131" s="172">
        <f t="array" aca="1" ref="BW131" ca="1">IF(OR($D131&lt;&gt;"Serviço",AND(AUTOEVENTO="Manual",$M131=$A$15),$M131&gt;(ROW(PLE.lastrow)-ROW(PLE.firstrow))),0,
           IF(OFFSET(PLE!$G$15,$M131-$A$15,BW$13)="",10^12,OFFSET(PLE!$G$15,$M131-$A$15,BW$13)))</f>
        <v>1000000000000</v>
      </c>
      <c r="BX131" s="172">
        <f t="array" aca="1" ref="BX131" ca="1">IF(OR($D131&lt;&gt;"Serviço",AND(AUTOEVENTO="Manual",$M131=$A$15),$M131&gt;(ROW(PLE.lastrow)-ROW(PLE.firstrow))),0,
           IF(OFFSET(PLE!$G$15,$M131-$A$15,BX$13)="",10^12,OFFSET(PLE!$G$15,$M131-$A$15,BX$13)))</f>
        <v>1000000000000</v>
      </c>
      <c r="BY131" s="172">
        <f t="array" aca="1" ref="BY131" ca="1">IF(OR($D131&lt;&gt;"Serviço",AND(AUTOEVENTO="Manual",$M131=$A$15),$M131&gt;(ROW(PLE.lastrow)-ROW(PLE.firstrow))),0,
           IF(OFFSET(PLE!$G$15,$M131-$A$15,BY$13)="",10^12,OFFSET(PLE!$G$15,$M131-$A$15,BY$13)))</f>
        <v>1000000000000</v>
      </c>
      <c r="BZ131" s="172">
        <f t="array" aca="1" ref="BZ131" ca="1">IF(OR($D131&lt;&gt;"Serviço",AND(AUTOEVENTO="Manual",$M131=$A$15),$M131&gt;(ROW(PLE.lastrow)-ROW(PLE.firstrow))),0,
           IF(OFFSET(PLE!$G$15,$M131-$A$15,BZ$13)="",10^12,OFFSET(PLE!$G$15,$M131-$A$15,BZ$13)))</f>
        <v>1000000000000</v>
      </c>
      <c r="CA131" s="172">
        <f t="array" aca="1" ref="CA131" ca="1">IF(OR($D131&lt;&gt;"Serviço",AND(AUTOEVENTO="Manual",$M131=$A$15),$M131&gt;(ROW(PLE.lastrow)-ROW(PLE.firstrow))),0,
           IF(OFFSET(PLE!$G$15,$M131-$A$15,CA$13)="",10^12,OFFSET(PLE!$G$15,$M131-$A$15,CA$13)))</f>
        <v>1000000000000</v>
      </c>
      <c r="CB131" s="172">
        <f t="array" aca="1" ref="CB131" ca="1">IF(OR($D131&lt;&gt;"Serviço",AND(AUTOEVENTO="Manual",$M131=$A$15),$M131&gt;(ROW(PLE.lastrow)-ROW(PLE.firstrow))),0,
           IF(OFFSET(PLE!$G$15,$M131-$A$15,CB$13)="",10^12,OFFSET(PLE!$G$15,$M131-$A$15,CB$13)))</f>
        <v>1000000000000</v>
      </c>
      <c r="CC131" s="172">
        <f t="array" aca="1" ref="CC131" ca="1">IF(OR($D131&lt;&gt;"Serviço",AND(AUTOEVENTO="Manual",$M131=$A$15),$M131&gt;(ROW(PLE.lastrow)-ROW(PLE.firstrow))),0,
           IF(OFFSET(PLE!$G$15,$M131-$A$15,CC$13)="",10^12,OFFSET(PLE!$G$15,$M131-$A$15,CC$13)))</f>
        <v>1000000000000</v>
      </c>
      <c r="CD131" s="172">
        <f t="array" aca="1" ref="CD131" ca="1">IF(OR($D131&lt;&gt;"Serviço",AND(AUTOEVENTO="Manual",$M131=$A$15),$M131&gt;(ROW(PLE.lastrow)-ROW(PLE.firstrow))),0,
           IF(OFFSET(PLE!$G$15,$M131-$A$15,CD$13)="",10^12,OFFSET(PLE!$G$15,$M131-$A$15,CD$13)))</f>
        <v>1000000000000</v>
      </c>
      <c r="CE131" s="172">
        <f t="array" aca="1" ref="CE131" ca="1">IF(OR($D131&lt;&gt;"Serviço",AND(AUTOEVENTO="Manual",$M131=$A$15),$M131&gt;(ROW(PLE.lastrow)-ROW(PLE.firstrow))),0,
           IF(OFFSET(PLE!$G$15,$M131-$A$15,CE$13)="",10^12,OFFSET(PLE!$G$15,$M131-$A$15,CE$13)))</f>
        <v>1000000000000</v>
      </c>
      <c r="CF131" s="172">
        <f t="array" aca="1" ref="CF131" ca="1">IF(OR($D131&lt;&gt;"Serviço",AND(AUTOEVENTO="Manual",$M131=$A$15),$M131&gt;(ROW(PLE.lastrow)-ROW(PLE.firstrow))),0,
           IF(OFFSET(PLE!$G$15,$M131-$A$15,CF$13)="",10^12,OFFSET(PLE!$G$15,$M131-$A$15,CF$13)))</f>
        <v>1000000000000</v>
      </c>
      <c r="CG131" s="172">
        <f t="array" aca="1" ref="CG131" ca="1">IF(OR($D131&lt;&gt;"Serviço",AND(AUTOEVENTO="Manual",$M131=$A$15),$M131&gt;(ROW(PLE.lastrow)-ROW(PLE.firstrow))),0,
           IF(OFFSET(PLE!$G$15,$M131-$A$15,CG$13)="",10^12,OFFSET(PLE!$G$15,$M131-$A$15,CG$13)))</f>
        <v>1000000000000</v>
      </c>
      <c r="CH131" s="172">
        <f t="array" aca="1" ref="CH131" ca="1">IF(OR($D131&lt;&gt;"Serviço",AND(AUTOEVENTO="Manual",$M131=$A$15),$M131&gt;(ROW(PLE.lastrow)-ROW(PLE.firstrow))),0,
           IF(OFFSET(PLE!$G$15,$M131-$A$15,CH$13)="",10^12,OFFSET(PLE!$G$15,$M131-$A$15,CH$13)))</f>
        <v>1000000000000</v>
      </c>
      <c r="CI131" s="172">
        <f t="array" aca="1" ref="CI131" ca="1">IF(OR($D131&lt;&gt;"Serviço",AND(AUTOEVENTO="Manual",$M131=$A$15),$M131&gt;(ROW(PLE.lastrow)-ROW(PLE.firstrow))),0,
           IF(OFFSET(PLE!$G$15,$M131-$A$15,CI$13)="",10^12,OFFSET(PLE!$G$15,$M131-$A$15,CI$13)))</f>
        <v>1000000000000</v>
      </c>
      <c r="CJ131" s="172">
        <f t="array" aca="1" ref="CJ131" ca="1">IF(OR($D131&lt;&gt;"Serviço",AND(AUTOEVENTO="Manual",$M131=$A$15),$M131&gt;(ROW(PLE.lastrow)-ROW(PLE.firstrow))),0,
           IF(OFFSET(PLE!$G$15,$M131-$A$15,CJ$13)="",10^12,OFFSET(PLE!$G$15,$M131-$A$15,CJ$13)))</f>
        <v>1000000000000</v>
      </c>
      <c r="CK131" s="172">
        <f t="array" aca="1" ref="CK131" ca="1">IF(OR($D131&lt;&gt;"Serviço",AND(AUTOEVENTO="Manual",$M131=$A$15),$M131&gt;(ROW(PLE.lastrow)-ROW(PLE.firstrow))),0,
           IF(OFFSET(PLE!$G$15,$M131-$A$15,CK$13)="",10^12,OFFSET(PLE!$G$15,$M131-$A$15,CK$13)))</f>
        <v>1000000000000</v>
      </c>
      <c r="CL131" s="172">
        <f t="array" aca="1" ref="CL131" ca="1">IF(OR($D131&lt;&gt;"Serviço",AND(AUTOEVENTO="Manual",$M131=$A$15),$M131&gt;(ROW(PLE.lastrow)-ROW(PLE.firstrow))),0,
           IF(OFFSET(PLE!$G$15,$M131-$A$15,CL$13)="",10^12,OFFSET(PLE!$G$15,$M131-$A$15,CL$13)))</f>
        <v>1000000000000</v>
      </c>
      <c r="CM131" s="172">
        <f t="array" aca="1" ref="CM131" ca="1">IF(OR($D131&lt;&gt;"Serviço",AND(AUTOEVENTO="Manual",$M131=$A$15),$M131&gt;(ROW(PLE.lastrow)-ROW(PLE.firstrow))),0,
           IF(OFFSET(PLE!$G$15,$M131-$A$15,CM$13)="",10^12,OFFSET(PLE!$G$15,$M131-$A$15,CM$13)))</f>
        <v>1000000000000</v>
      </c>
    </row>
    <row r="132" spans="1:91" s="696" customFormat="1" ht="38.25" x14ac:dyDescent="0.2">
      <c r="A132" s="694">
        <f t="shared" ref="A132:A195" ca="1" si="82">IFERROR(IF(AUTOEVENTO="Manual",IF(K132&lt;&gt;"",MIN(VALUE(LEFT(K132,FIND(".",K132)-1)),COUNTA(EVENTOS.Lista)),0),IF(OR($B132&gt;AUTOEVENTO,$B132="S",$B132=0),SUBSTITUTE(OFFSET($A132,-1,0),IF($D132="Serviço",".",""),""),$L132&amp;".")),0)</f>
        <v>27</v>
      </c>
      <c r="B132" s="694" t="str">
        <f ca="1">OFFSET(ORÇAMENTO!C$15,$L132,0)</f>
        <v>S</v>
      </c>
      <c r="C132" s="694" t="str">
        <f ca="1">OFFSET(ORÇAMENTO!L$15,$L132,0)</f>
        <v>F</v>
      </c>
      <c r="D132" s="116" t="str">
        <f ca="1">OFFSET(ORÇAMENTO!N$15,$L132,0)</f>
        <v>Serviço</v>
      </c>
      <c r="E132" s="117" t="str">
        <f ca="1">OFFSET(ORÇAMENTO!O$15,$L132,0)</f>
        <v>1.23.3.</v>
      </c>
      <c r="F132" s="163" t="str">
        <f ca="1">OFFSET(ORÇAMENTO!R$15,$L132,0)</f>
        <v>DISJUNTOR MONOPOLAR TIPO DIN, CORRENTE NOMINAL DE 25A - FORNECIMENTO E INSTALAÇÃO. AF_07/2025</v>
      </c>
      <c r="G132" s="164" t="str">
        <f ca="1">IF($D132&lt;&gt;"Serviço","",OFFSET(ORÇAMENTO!S$15,$L132,0))</f>
        <v>UN</v>
      </c>
      <c r="H132" s="122">
        <f t="array" aca="1" ref="H132" ca="1">IF($D132&lt;&gt;"Serviço",0,IF(ACOMPANHAMENTO="BM",ROUND(OFFSET(ORÇAMENTO!AJ$15,$L132,0),15-13*ORÇAMENTO!$AF$7),IF(IFERROR(CÁLCULO.FrentesPreenchidas,0)=0,0,SUM(ROUND(OFFSET($P132,0,1,1,CÁLCULO.FrentesPreenchidas),15-13*ORÇAMENTO!$AF$7)))))</f>
        <v>12</v>
      </c>
      <c r="I132" s="467" t="s">
        <v>1285</v>
      </c>
      <c r="J132" s="653" t="str">
        <f t="array" aca="1" ref="J132" ca="1">IF(OR(B132&lt;&gt;"S",CÁLCULO.FrentesPreenchidas=0),"",IF(AND(ACOMPANHAMENTO="PLE",AUTOEVENTO="Manual",OR(H132&gt;0,ORÇAMENTO!AC132="QUANT."),OR(K132="",M132=0,N132="")),"►E",IF(AND(ACOMPANHAMENTO="PLE",ORÇAMENTO!AC132="QUANT."),"►Q",IF(AND(ACOMPANHAMENTO="PLE",H132&lt;&gt;SUMPRODUCT(($Q$1:$AI$1=1)*ROUND(Q132:AI132,15))),"►S",IF(AND(COUNTIF($P$11:$AI$11,"▼")=0,H132&gt;0,I132=""),"◄M","")))))</f>
        <v/>
      </c>
      <c r="K132" s="654" t="s">
        <v>1428</v>
      </c>
      <c r="L132" s="165">
        <f t="shared" ref="L132:L195" ca="1" si="83">OFFSET(L132,-1,0)+1</f>
        <v>117</v>
      </c>
      <c r="M132" s="166">
        <f ca="1">IF($D132&lt;&gt;"Serviço","",
          IF(AUTOEVENTO="manual",$A132,
                IF(ISERROR(MATCH($A132,$A$15:OFFSET($A132,-1,0),0)),MAX($M$15:OFFSET(M132,-1,0))+1,
                      INDEX($M$15:OFFSET(M132,-1,0),MATCH($A132,$A$15:OFFSET($A132,-1,0),0)))))</f>
        <v>27</v>
      </c>
      <c r="N132" s="167" t="str">
        <f ca="1">IF($D132&lt;&gt;"Serviço","",
         IF(AUTOEVENTO="Manual",
                IF($A132=0,"&lt;-- defina o número do agrupador",
                       OFFSET(EVENTOS!$D$15,$A132-$A$15,0)),
                OFFSET($F$15,$A132,0)))</f>
        <v>CAIXAS E DISJUNTORES</v>
      </c>
      <c r="O132" s="168"/>
      <c r="Q132" s="169">
        <v>3</v>
      </c>
      <c r="R132" s="169">
        <v>3</v>
      </c>
      <c r="S132" s="169">
        <v>3</v>
      </c>
      <c r="T132" s="169">
        <v>3</v>
      </c>
      <c r="U132" s="169"/>
      <c r="V132" s="169"/>
      <c r="W132" s="169"/>
      <c r="X132" s="169"/>
      <c r="Y132" s="169"/>
      <c r="Z132" s="170"/>
      <c r="AA132" s="169"/>
      <c r="AB132" s="169"/>
      <c r="AC132" s="169"/>
      <c r="AD132" s="169"/>
      <c r="AE132" s="169"/>
      <c r="AF132" s="169"/>
      <c r="AG132" s="169"/>
      <c r="AH132" s="170"/>
      <c r="AJ132" s="452">
        <f ca="1">IF(AND($D132="Serviço",AJ$12&lt;&gt;0,$H132&gt;0,OR(AUTOEVENTO&lt;&gt;"manual",$M132&lt;&gt;$A$15)),
        IF(Import.TipoArredondamento&lt;&gt;"TransfereGOV",
              ROUND(OFFSET($P132,0,AJ$13),15-13*ORÇAMENTO!$AF$7)/$H132*OFFSET(ORÇAMENTO!$X$15,ROW(AJ132)-ROW(AJ$15),0),
              ROUND(ROUND(OFFSET($P132,0,AJ$13),15-13*ORÇAMENTO!$AF$7)*OFFSET(ORÇAMENTO!$W$15,ROW(AJ132)-ROW(AJ$15),0),15-13*ORÇAMENTO!$AF$11)),
         0)</f>
        <v>56.49</v>
      </c>
      <c r="AK132" s="452">
        <f ca="1">IF(AND($D132="Serviço",AK$12&lt;&gt;0,$H132&gt;0,OR(AUTOEVENTO&lt;&gt;"manual",$M132&lt;&gt;$A$15)),
        IF(Import.TipoArredondamento&lt;&gt;"TransfereGOV",
              ROUND(OFFSET($P132,0,AK$13),15-13*ORÇAMENTO!$AF$7)/$H132*OFFSET(ORÇAMENTO!$X$15,ROW(AK132)-ROW(AK$15),0),
              ROUND(ROUND(OFFSET($P132,0,AK$13),15-13*ORÇAMENTO!$AF$7)*OFFSET(ORÇAMENTO!$W$15,ROW(AK132)-ROW(AK$15),0),15-13*ORÇAMENTO!$AF$11)),
         0)</f>
        <v>56.49</v>
      </c>
      <c r="AL132" s="452">
        <f ca="1">IF(AND($D132="Serviço",AL$12&lt;&gt;0,$H132&gt;0,OR(AUTOEVENTO&lt;&gt;"manual",$M132&lt;&gt;$A$15)),
        IF(Import.TipoArredondamento&lt;&gt;"TransfereGOV",
              ROUND(OFFSET($P132,0,AL$13),15-13*ORÇAMENTO!$AF$7)/$H132*OFFSET(ORÇAMENTO!$X$15,ROW(AL132)-ROW(AL$15),0),
              ROUND(ROUND(OFFSET($P132,0,AL$13),15-13*ORÇAMENTO!$AF$7)*OFFSET(ORÇAMENTO!$W$15,ROW(AL132)-ROW(AL$15),0),15-13*ORÇAMENTO!$AF$11)),
         0)</f>
        <v>56.49</v>
      </c>
      <c r="AM132" s="452">
        <f ca="1">IF(AND($D132="Serviço",AM$12&lt;&gt;0,$H132&gt;0,OR(AUTOEVENTO&lt;&gt;"manual",$M132&lt;&gt;$A$15)),
        IF(Import.TipoArredondamento&lt;&gt;"TransfereGOV",
              ROUND(OFFSET($P132,0,AM$13),15-13*ORÇAMENTO!$AF$7)/$H132*OFFSET(ORÇAMENTO!$X$15,ROW(AM132)-ROW(AM$15),0),
              ROUND(ROUND(OFFSET($P132,0,AM$13),15-13*ORÇAMENTO!$AF$7)*OFFSET(ORÇAMENTO!$W$15,ROW(AM132)-ROW(AM$15),0),15-13*ORÇAMENTO!$AF$11)),
         0)</f>
        <v>56.49</v>
      </c>
      <c r="AN132" s="452">
        <f ca="1">IF(AND($D132="Serviço",AN$12&lt;&gt;0,$H132&gt;0,OR(AUTOEVENTO&lt;&gt;"manual",$M132&lt;&gt;$A$15)),
        IF(Import.TipoArredondamento&lt;&gt;"TransfereGOV",
              ROUND(OFFSET($P132,0,AN$13),15-13*ORÇAMENTO!$AF$7)/$H132*OFFSET(ORÇAMENTO!$X$15,ROW(AN132)-ROW(AN$15),0),
              ROUND(ROUND(OFFSET($P132,0,AN$13),15-13*ORÇAMENTO!$AF$7)*OFFSET(ORÇAMENTO!$W$15,ROW(AN132)-ROW(AN$15),0),15-13*ORÇAMENTO!$AF$11)),
         0)</f>
        <v>0</v>
      </c>
      <c r="AO132" s="452">
        <f ca="1">IF(AND($D132="Serviço",AO$12&lt;&gt;0,$H132&gt;0,OR(AUTOEVENTO&lt;&gt;"manual",$M132&lt;&gt;$A$15)),
        IF(Import.TipoArredondamento&lt;&gt;"TransfereGOV",
              ROUND(OFFSET($P132,0,AO$13),15-13*ORÇAMENTO!$AF$7)/$H132*OFFSET(ORÇAMENTO!$X$15,ROW(AO132)-ROW(AO$15),0),
              ROUND(ROUND(OFFSET($P132,0,AO$13),15-13*ORÇAMENTO!$AF$7)*OFFSET(ORÇAMENTO!$W$15,ROW(AO132)-ROW(AO$15),0),15-13*ORÇAMENTO!$AF$11)),
         0)</f>
        <v>0</v>
      </c>
      <c r="AP132" s="452">
        <f ca="1">IF(AND($D132="Serviço",AP$12&lt;&gt;0,$H132&gt;0,OR(AUTOEVENTO&lt;&gt;"manual",$M132&lt;&gt;$A$15)),
        IF(Import.TipoArredondamento&lt;&gt;"TransfereGOV",
              ROUND(OFFSET($P132,0,AP$13),15-13*ORÇAMENTO!$AF$7)/$H132*OFFSET(ORÇAMENTO!$X$15,ROW(AP132)-ROW(AP$15),0),
              ROUND(ROUND(OFFSET($P132,0,AP$13),15-13*ORÇAMENTO!$AF$7)*OFFSET(ORÇAMENTO!$W$15,ROW(AP132)-ROW(AP$15),0),15-13*ORÇAMENTO!$AF$11)),
         0)</f>
        <v>0</v>
      </c>
      <c r="AQ132" s="452">
        <f ca="1">IF(AND($D132="Serviço",AQ$12&lt;&gt;0,$H132&gt;0,OR(AUTOEVENTO&lt;&gt;"manual",$M132&lt;&gt;$A$15)),
        IF(Import.TipoArredondamento&lt;&gt;"TransfereGOV",
              ROUND(OFFSET($P132,0,AQ$13),15-13*ORÇAMENTO!$AF$7)/$H132*OFFSET(ORÇAMENTO!$X$15,ROW(AQ132)-ROW(AQ$15),0),
              ROUND(ROUND(OFFSET($P132,0,AQ$13),15-13*ORÇAMENTO!$AF$7)*OFFSET(ORÇAMENTO!$W$15,ROW(AQ132)-ROW(AQ$15),0),15-13*ORÇAMENTO!$AF$11)),
         0)</f>
        <v>0</v>
      </c>
      <c r="AR132" s="452">
        <f ca="1">IF(AND($D132="Serviço",AR$12&lt;&gt;0,$H132&gt;0,OR(AUTOEVENTO&lt;&gt;"manual",$M132&lt;&gt;$A$15)),
        IF(Import.TipoArredondamento&lt;&gt;"TransfereGOV",
              ROUND(OFFSET($P132,0,AR$13),15-13*ORÇAMENTO!$AF$7)/$H132*OFFSET(ORÇAMENTO!$X$15,ROW(AR132)-ROW(AR$15),0),
              ROUND(ROUND(OFFSET($P132,0,AR$13),15-13*ORÇAMENTO!$AF$7)*OFFSET(ORÇAMENTO!$W$15,ROW(AR132)-ROW(AR$15),0),15-13*ORÇAMENTO!$AF$11)),
         0)</f>
        <v>0</v>
      </c>
      <c r="AS132" s="452">
        <f ca="1">IF(AND($D132="Serviço",AS$12&lt;&gt;0,$H132&gt;0,OR(AUTOEVENTO&lt;&gt;"manual",$M132&lt;&gt;$A$15)),
        IF(Import.TipoArredondamento&lt;&gt;"TransfereGOV",
              ROUND(OFFSET($P132,0,AS$13),15-13*ORÇAMENTO!$AF$7)/$H132*OFFSET(ORÇAMENTO!$X$15,ROW(AS132)-ROW(AS$15),0),
              ROUND(ROUND(OFFSET($P132,0,AS$13),15-13*ORÇAMENTO!$AF$7)*OFFSET(ORÇAMENTO!$W$15,ROW(AS132)-ROW(AS$15),0),15-13*ORÇAMENTO!$AF$11)),
         0)</f>
        <v>0</v>
      </c>
      <c r="AT132" s="452">
        <f ca="1">IF(AND($D132="Serviço",AT$12&lt;&gt;0,$H132&gt;0,OR(AUTOEVENTO&lt;&gt;"manual",$M132&lt;&gt;$A$15)),
        IF(Import.TipoArredondamento&lt;&gt;"TransfereGOV",
              ROUND(OFFSET($P132,0,AT$13),15-13*ORÇAMENTO!$AF$7)/$H132*OFFSET(ORÇAMENTO!$X$15,ROW(AT132)-ROW(AT$15),0),
              ROUND(ROUND(OFFSET($P132,0,AT$13),15-13*ORÇAMENTO!$AF$7)*OFFSET(ORÇAMENTO!$W$15,ROW(AT132)-ROW(AT$15),0),15-13*ORÇAMENTO!$AF$11)),
         0)</f>
        <v>0</v>
      </c>
      <c r="AU132" s="452">
        <f ca="1">IF(AND($D132="Serviço",AU$12&lt;&gt;0,$H132&gt;0,OR(AUTOEVENTO&lt;&gt;"manual",$M132&lt;&gt;$A$15)),
        IF(Import.TipoArredondamento&lt;&gt;"TransfereGOV",
              ROUND(OFFSET($P132,0,AU$13),15-13*ORÇAMENTO!$AF$7)/$H132*OFFSET(ORÇAMENTO!$X$15,ROW(AU132)-ROW(AU$15),0),
              ROUND(ROUND(OFFSET($P132,0,AU$13),15-13*ORÇAMENTO!$AF$7)*OFFSET(ORÇAMENTO!$W$15,ROW(AU132)-ROW(AU$15),0),15-13*ORÇAMENTO!$AF$11)),
         0)</f>
        <v>0</v>
      </c>
      <c r="AV132" s="452">
        <f ca="1">IF(AND($D132="Serviço",AV$12&lt;&gt;0,$H132&gt;0,OR(AUTOEVENTO&lt;&gt;"manual",$M132&lt;&gt;$A$15)),
        IF(Import.TipoArredondamento&lt;&gt;"TransfereGOV",
              ROUND(OFFSET($P132,0,AV$13),15-13*ORÇAMENTO!$AF$7)/$H132*OFFSET(ORÇAMENTO!$X$15,ROW(AV132)-ROW(AV$15),0),
              ROUND(ROUND(OFFSET($P132,0,AV$13),15-13*ORÇAMENTO!$AF$7)*OFFSET(ORÇAMENTO!$W$15,ROW(AV132)-ROW(AV$15),0),15-13*ORÇAMENTO!$AF$11)),
         0)</f>
        <v>0</v>
      </c>
      <c r="AW132" s="452">
        <f ca="1">IF(AND($D132="Serviço",AW$12&lt;&gt;0,$H132&gt;0,OR(AUTOEVENTO&lt;&gt;"manual",$M132&lt;&gt;$A$15)),
        IF(Import.TipoArredondamento&lt;&gt;"TransfereGOV",
              ROUND(OFFSET($P132,0,AW$13),15-13*ORÇAMENTO!$AF$7)/$H132*OFFSET(ORÇAMENTO!$X$15,ROW(AW132)-ROW(AW$15),0),
              ROUND(ROUND(OFFSET($P132,0,AW$13),15-13*ORÇAMENTO!$AF$7)*OFFSET(ORÇAMENTO!$W$15,ROW(AW132)-ROW(AW$15),0),15-13*ORÇAMENTO!$AF$11)),
         0)</f>
        <v>0</v>
      </c>
      <c r="AX132" s="452">
        <f ca="1">IF(AND($D132="Serviço",AX$12&lt;&gt;0,$H132&gt;0,OR(AUTOEVENTO&lt;&gt;"manual",$M132&lt;&gt;$A$15)),
        IF(Import.TipoArredondamento&lt;&gt;"TransfereGOV",
              ROUND(OFFSET($P132,0,AX$13),15-13*ORÇAMENTO!$AF$7)/$H132*OFFSET(ORÇAMENTO!$X$15,ROW(AX132)-ROW(AX$15),0),
              ROUND(ROUND(OFFSET($P132,0,AX$13),15-13*ORÇAMENTO!$AF$7)*OFFSET(ORÇAMENTO!$W$15,ROW(AX132)-ROW(AX$15),0),15-13*ORÇAMENTO!$AF$11)),
         0)</f>
        <v>0</v>
      </c>
      <c r="AY132" s="452">
        <f ca="1">IF(AND($D132="Serviço",AY$12&lt;&gt;0,$H132&gt;0,OR(AUTOEVENTO&lt;&gt;"manual",$M132&lt;&gt;$A$15)),
        IF(Import.TipoArredondamento&lt;&gt;"TransfereGOV",
              ROUND(OFFSET($P132,0,AY$13),15-13*ORÇAMENTO!$AF$7)/$H132*OFFSET(ORÇAMENTO!$X$15,ROW(AY132)-ROW(AY$15),0),
              ROUND(ROUND(OFFSET($P132,0,AY$13),15-13*ORÇAMENTO!$AF$7)*OFFSET(ORÇAMENTO!$W$15,ROW(AY132)-ROW(AY$15),0),15-13*ORÇAMENTO!$AF$11)),
         0)</f>
        <v>0</v>
      </c>
      <c r="AZ132" s="452">
        <f ca="1">IF(AND($D132="Serviço",AZ$12&lt;&gt;0,$H132&gt;0,OR(AUTOEVENTO&lt;&gt;"manual",$M132&lt;&gt;$A$15)),
        IF(Import.TipoArredondamento&lt;&gt;"TransfereGOV",
              ROUND(OFFSET($P132,0,AZ$13),15-13*ORÇAMENTO!$AF$7)/$H132*OFFSET(ORÇAMENTO!$X$15,ROW(AZ132)-ROW(AZ$15),0),
              ROUND(ROUND(OFFSET($P132,0,AZ$13),15-13*ORÇAMENTO!$AF$7)*OFFSET(ORÇAMENTO!$W$15,ROW(AZ132)-ROW(AZ$15),0),15-13*ORÇAMENTO!$AF$11)),
         0)</f>
        <v>0</v>
      </c>
      <c r="BA132" s="452">
        <f ca="1">IF(AND($D132="Serviço",BA$12&lt;&gt;0,$H132&gt;0,OR(AUTOEVENTO&lt;&gt;"manual",$M132&lt;&gt;$A$15)),
        IF(Import.TipoArredondamento&lt;&gt;"TransfereGOV",
              ROUND(OFFSET($P132,0,BA$13),15-13*ORÇAMENTO!$AF$7)/$H132*OFFSET(ORÇAMENTO!$X$15,ROW(BA132)-ROW(BA$15),0),
              ROUND(ROUND(OFFSET($P132,0,BA$13),15-13*ORÇAMENTO!$AF$7)*OFFSET(ORÇAMENTO!$W$15,ROW(BA132)-ROW(BA$15),0),15-13*ORÇAMENTO!$AF$11)),
         0)</f>
        <v>0</v>
      </c>
      <c r="BC132" s="171">
        <f ca="1">IF(OR($D132&lt;&gt;"Serviço",AND(AUTOEVENTO="Manual",$M132=$A$15)),0,
         IF(OFFSET(CRONOPLE!$F$15,$M132-$A$15,BC$13)=0,10^12,OFFSET(CRONOPLE!$F$15,$M132-$A$15,BC$13)))</f>
        <v>7</v>
      </c>
      <c r="BD132" s="171">
        <f ca="1">IF(OR($D132&lt;&gt;"Serviço",AND(AUTOEVENTO="Manual",$M132=$A$15)),0,
         IF(OFFSET(CRONOPLE!$F$15,$M132-$A$15,BD$13)=0,10^12,OFFSET(CRONOPLE!$F$15,$M132-$A$15,BD$13)))</f>
        <v>7</v>
      </c>
      <c r="BE132" s="171">
        <f ca="1">IF(OR($D132&lt;&gt;"Serviço",AND(AUTOEVENTO="Manual",$M132=$A$15)),0,
         IF(OFFSET(CRONOPLE!$F$15,$M132-$A$15,BE$13)=0,10^12,OFFSET(CRONOPLE!$F$15,$M132-$A$15,BE$13)))</f>
        <v>8</v>
      </c>
      <c r="BF132" s="171">
        <f ca="1">IF(OR($D132&lt;&gt;"Serviço",AND(AUTOEVENTO="Manual",$M132=$A$15)),0,
         IF(OFFSET(CRONOPLE!$F$15,$M132-$A$15,BF$13)=0,10^12,OFFSET(CRONOPLE!$F$15,$M132-$A$15,BF$13)))</f>
        <v>9</v>
      </c>
      <c r="BG132" s="171">
        <f ca="1">IF(OR($D132&lt;&gt;"Serviço",AND(AUTOEVENTO="Manual",$M132=$A$15)),0,
         IF(OFFSET(CRONOPLE!$F$15,$M132-$A$15,BG$13)=0,10^12,OFFSET(CRONOPLE!$F$15,$M132-$A$15,BG$13)))</f>
        <v>9</v>
      </c>
      <c r="BH132" s="171">
        <f ca="1">IF(OR($D132&lt;&gt;"Serviço",AND(AUTOEVENTO="Manual",$M132=$A$15)),0,
         IF(OFFSET(CRONOPLE!$F$15,$M132-$A$15,BH$13)=0,10^12,OFFSET(CRONOPLE!$F$15,$M132-$A$15,BH$13)))</f>
        <v>6</v>
      </c>
      <c r="BI132" s="171">
        <f ca="1">IF(OR($D132&lt;&gt;"Serviço",AND(AUTOEVENTO="Manual",$M132=$A$15)),0,
         IF(OFFSET(CRONOPLE!$F$15,$M132-$A$15,BI$13)=0,10^12,OFFSET(CRONOPLE!$F$15,$M132-$A$15,BI$13)))</f>
        <v>1000000000000</v>
      </c>
      <c r="BJ132" s="171">
        <f ca="1">IF(OR($D132&lt;&gt;"Serviço",AND(AUTOEVENTO="Manual",$M132=$A$15)),0,
         IF(OFFSET(CRONOPLE!$F$15,$M132-$A$15,BJ$13)=0,10^12,OFFSET(CRONOPLE!$F$15,$M132-$A$15,BJ$13)))</f>
        <v>1000000000000</v>
      </c>
      <c r="BK132" s="171">
        <f ca="1">IF(OR($D132&lt;&gt;"Serviço",AND(AUTOEVENTO="Manual",$M132=$A$15)),0,
         IF(OFFSET(CRONOPLE!$F$15,$M132-$A$15,BK$13)=0,10^12,OFFSET(CRONOPLE!$F$15,$M132-$A$15,BK$13)))</f>
        <v>1000000000000</v>
      </c>
      <c r="BL132" s="171">
        <f ca="1">IF(OR($D132&lt;&gt;"Serviço",AND(AUTOEVENTO="Manual",$M132=$A$15)),0,
         IF(OFFSET(CRONOPLE!$F$15,$M132-$A$15,BL$13)=0,10^12,OFFSET(CRONOPLE!$F$15,$M132-$A$15,BL$13)))</f>
        <v>1000000000000</v>
      </c>
      <c r="BM132" s="171">
        <f ca="1">IF(OR($D132&lt;&gt;"Serviço",AND(AUTOEVENTO="Manual",$M132=$A$15)),0,
         IF(OFFSET(CRONOPLE!$F$15,$M132-$A$15,BM$13)=0,10^12,OFFSET(CRONOPLE!$F$15,$M132-$A$15,BM$13)))</f>
        <v>1000000000000</v>
      </c>
      <c r="BN132" s="171">
        <f ca="1">IF(OR($D132&lt;&gt;"Serviço",AND(AUTOEVENTO="Manual",$M132=$A$15)),0,
         IF(OFFSET(CRONOPLE!$F$15,$M132-$A$15,BN$13)=0,10^12,OFFSET(CRONOPLE!$F$15,$M132-$A$15,BN$13)))</f>
        <v>1000000000000</v>
      </c>
      <c r="BO132" s="171">
        <f ca="1">IF(OR($D132&lt;&gt;"Serviço",AND(AUTOEVENTO="Manual",$M132=$A$15)),0,
         IF(OFFSET(CRONOPLE!$F$15,$M132-$A$15,BO$13)=0,10^12,OFFSET(CRONOPLE!$F$15,$M132-$A$15,BO$13)))</f>
        <v>1000000000000</v>
      </c>
      <c r="BP132" s="171">
        <f ca="1">IF(OR($D132&lt;&gt;"Serviço",AND(AUTOEVENTO="Manual",$M132=$A$15)),0,
         IF(OFFSET(CRONOPLE!$F$15,$M132-$A$15,BP$13)=0,10^12,OFFSET(CRONOPLE!$F$15,$M132-$A$15,BP$13)))</f>
        <v>1000000000000</v>
      </c>
      <c r="BQ132" s="171">
        <f ca="1">IF(OR($D132&lt;&gt;"Serviço",AND(AUTOEVENTO="Manual",$M132=$A$15)),0,
         IF(OFFSET(CRONOPLE!$F$15,$M132-$A$15,BQ$13)=0,10^12,OFFSET(CRONOPLE!$F$15,$M132-$A$15,BQ$13)))</f>
        <v>1000000000000</v>
      </c>
      <c r="BR132" s="171">
        <f ca="1">IF(OR($D132&lt;&gt;"Serviço",AND(AUTOEVENTO="Manual",$M132=$A$15)),0,
         IF(OFFSET(CRONOPLE!$F$15,$M132-$A$15,BR$13)=0,10^12,OFFSET(CRONOPLE!$F$15,$M132-$A$15,BR$13)))</f>
        <v>1000000000000</v>
      </c>
      <c r="BS132" s="171">
        <f ca="1">IF(OR($D132&lt;&gt;"Serviço",AND(AUTOEVENTO="Manual",$M132=$A$15)),0,
         IF(OFFSET(CRONOPLE!$F$15,$M132-$A$15,BS$13)=0,10^12,OFFSET(CRONOPLE!$F$15,$M132-$A$15,BS$13)))</f>
        <v>1000000000000</v>
      </c>
      <c r="BT132" s="171">
        <f ca="1">IF(OR($D132&lt;&gt;"Serviço",AND(AUTOEVENTO="Manual",$M132=$A$15)),0,
         IF(OFFSET(CRONOPLE!$F$15,$M132-$A$15,BT$13)=0,10^12,OFFSET(CRONOPLE!$F$15,$M132-$A$15,BT$13)))</f>
        <v>1000000000000</v>
      </c>
      <c r="BV132" s="172">
        <f t="array" aca="1" ref="BV132" ca="1">IF(OR($D132&lt;&gt;"Serviço",AND(AUTOEVENTO="Manual",$M132=$A$15),$M132&gt;(ROW(PLE.lastrow)-ROW(PLE.firstrow))),0,
           IF(OFFSET(PLE!$G$15,$M132-$A$15,BV$13)="",10^12,OFFSET(PLE!$G$15,$M132-$A$15,BV$13)))</f>
        <v>1000000000000</v>
      </c>
      <c r="BW132" s="172">
        <f t="array" aca="1" ref="BW132" ca="1">IF(OR($D132&lt;&gt;"Serviço",AND(AUTOEVENTO="Manual",$M132=$A$15),$M132&gt;(ROW(PLE.lastrow)-ROW(PLE.firstrow))),0,
           IF(OFFSET(PLE!$G$15,$M132-$A$15,BW$13)="",10^12,OFFSET(PLE!$G$15,$M132-$A$15,BW$13)))</f>
        <v>1000000000000</v>
      </c>
      <c r="BX132" s="172">
        <f t="array" aca="1" ref="BX132" ca="1">IF(OR($D132&lt;&gt;"Serviço",AND(AUTOEVENTO="Manual",$M132=$A$15),$M132&gt;(ROW(PLE.lastrow)-ROW(PLE.firstrow))),0,
           IF(OFFSET(PLE!$G$15,$M132-$A$15,BX$13)="",10^12,OFFSET(PLE!$G$15,$M132-$A$15,BX$13)))</f>
        <v>1000000000000</v>
      </c>
      <c r="BY132" s="172">
        <f t="array" aca="1" ref="BY132" ca="1">IF(OR($D132&lt;&gt;"Serviço",AND(AUTOEVENTO="Manual",$M132=$A$15),$M132&gt;(ROW(PLE.lastrow)-ROW(PLE.firstrow))),0,
           IF(OFFSET(PLE!$G$15,$M132-$A$15,BY$13)="",10^12,OFFSET(PLE!$G$15,$M132-$A$15,BY$13)))</f>
        <v>1000000000000</v>
      </c>
      <c r="BZ132" s="172">
        <f t="array" aca="1" ref="BZ132" ca="1">IF(OR($D132&lt;&gt;"Serviço",AND(AUTOEVENTO="Manual",$M132=$A$15),$M132&gt;(ROW(PLE.lastrow)-ROW(PLE.firstrow))),0,
           IF(OFFSET(PLE!$G$15,$M132-$A$15,BZ$13)="",10^12,OFFSET(PLE!$G$15,$M132-$A$15,BZ$13)))</f>
        <v>1000000000000</v>
      </c>
      <c r="CA132" s="172">
        <f t="array" aca="1" ref="CA132" ca="1">IF(OR($D132&lt;&gt;"Serviço",AND(AUTOEVENTO="Manual",$M132=$A$15),$M132&gt;(ROW(PLE.lastrow)-ROW(PLE.firstrow))),0,
           IF(OFFSET(PLE!$G$15,$M132-$A$15,CA$13)="",10^12,OFFSET(PLE!$G$15,$M132-$A$15,CA$13)))</f>
        <v>1000000000000</v>
      </c>
      <c r="CB132" s="172">
        <f t="array" aca="1" ref="CB132" ca="1">IF(OR($D132&lt;&gt;"Serviço",AND(AUTOEVENTO="Manual",$M132=$A$15),$M132&gt;(ROW(PLE.lastrow)-ROW(PLE.firstrow))),0,
           IF(OFFSET(PLE!$G$15,$M132-$A$15,CB$13)="",10^12,OFFSET(PLE!$G$15,$M132-$A$15,CB$13)))</f>
        <v>1000000000000</v>
      </c>
      <c r="CC132" s="172">
        <f t="array" aca="1" ref="CC132" ca="1">IF(OR($D132&lt;&gt;"Serviço",AND(AUTOEVENTO="Manual",$M132=$A$15),$M132&gt;(ROW(PLE.lastrow)-ROW(PLE.firstrow))),0,
           IF(OFFSET(PLE!$G$15,$M132-$A$15,CC$13)="",10^12,OFFSET(PLE!$G$15,$M132-$A$15,CC$13)))</f>
        <v>1000000000000</v>
      </c>
      <c r="CD132" s="172">
        <f t="array" aca="1" ref="CD132" ca="1">IF(OR($D132&lt;&gt;"Serviço",AND(AUTOEVENTO="Manual",$M132=$A$15),$M132&gt;(ROW(PLE.lastrow)-ROW(PLE.firstrow))),0,
           IF(OFFSET(PLE!$G$15,$M132-$A$15,CD$13)="",10^12,OFFSET(PLE!$G$15,$M132-$A$15,CD$13)))</f>
        <v>1000000000000</v>
      </c>
      <c r="CE132" s="172">
        <f t="array" aca="1" ref="CE132" ca="1">IF(OR($D132&lt;&gt;"Serviço",AND(AUTOEVENTO="Manual",$M132=$A$15),$M132&gt;(ROW(PLE.lastrow)-ROW(PLE.firstrow))),0,
           IF(OFFSET(PLE!$G$15,$M132-$A$15,CE$13)="",10^12,OFFSET(PLE!$G$15,$M132-$A$15,CE$13)))</f>
        <v>1000000000000</v>
      </c>
      <c r="CF132" s="172">
        <f t="array" aca="1" ref="CF132" ca="1">IF(OR($D132&lt;&gt;"Serviço",AND(AUTOEVENTO="Manual",$M132=$A$15),$M132&gt;(ROW(PLE.lastrow)-ROW(PLE.firstrow))),0,
           IF(OFFSET(PLE!$G$15,$M132-$A$15,CF$13)="",10^12,OFFSET(PLE!$G$15,$M132-$A$15,CF$13)))</f>
        <v>1000000000000</v>
      </c>
      <c r="CG132" s="172">
        <f t="array" aca="1" ref="CG132" ca="1">IF(OR($D132&lt;&gt;"Serviço",AND(AUTOEVENTO="Manual",$M132=$A$15),$M132&gt;(ROW(PLE.lastrow)-ROW(PLE.firstrow))),0,
           IF(OFFSET(PLE!$G$15,$M132-$A$15,CG$13)="",10^12,OFFSET(PLE!$G$15,$M132-$A$15,CG$13)))</f>
        <v>1000000000000</v>
      </c>
      <c r="CH132" s="172">
        <f t="array" aca="1" ref="CH132" ca="1">IF(OR($D132&lt;&gt;"Serviço",AND(AUTOEVENTO="Manual",$M132=$A$15),$M132&gt;(ROW(PLE.lastrow)-ROW(PLE.firstrow))),0,
           IF(OFFSET(PLE!$G$15,$M132-$A$15,CH$13)="",10^12,OFFSET(PLE!$G$15,$M132-$A$15,CH$13)))</f>
        <v>1000000000000</v>
      </c>
      <c r="CI132" s="172">
        <f t="array" aca="1" ref="CI132" ca="1">IF(OR($D132&lt;&gt;"Serviço",AND(AUTOEVENTO="Manual",$M132=$A$15),$M132&gt;(ROW(PLE.lastrow)-ROW(PLE.firstrow))),0,
           IF(OFFSET(PLE!$G$15,$M132-$A$15,CI$13)="",10^12,OFFSET(PLE!$G$15,$M132-$A$15,CI$13)))</f>
        <v>1000000000000</v>
      </c>
      <c r="CJ132" s="172">
        <f t="array" aca="1" ref="CJ132" ca="1">IF(OR($D132&lt;&gt;"Serviço",AND(AUTOEVENTO="Manual",$M132=$A$15),$M132&gt;(ROW(PLE.lastrow)-ROW(PLE.firstrow))),0,
           IF(OFFSET(PLE!$G$15,$M132-$A$15,CJ$13)="",10^12,OFFSET(PLE!$G$15,$M132-$A$15,CJ$13)))</f>
        <v>1000000000000</v>
      </c>
      <c r="CK132" s="172">
        <f t="array" aca="1" ref="CK132" ca="1">IF(OR($D132&lt;&gt;"Serviço",AND(AUTOEVENTO="Manual",$M132=$A$15),$M132&gt;(ROW(PLE.lastrow)-ROW(PLE.firstrow))),0,
           IF(OFFSET(PLE!$G$15,$M132-$A$15,CK$13)="",10^12,OFFSET(PLE!$G$15,$M132-$A$15,CK$13)))</f>
        <v>1000000000000</v>
      </c>
      <c r="CL132" s="172">
        <f t="array" aca="1" ref="CL132" ca="1">IF(OR($D132&lt;&gt;"Serviço",AND(AUTOEVENTO="Manual",$M132=$A$15),$M132&gt;(ROW(PLE.lastrow)-ROW(PLE.firstrow))),0,
           IF(OFFSET(PLE!$G$15,$M132-$A$15,CL$13)="",10^12,OFFSET(PLE!$G$15,$M132-$A$15,CL$13)))</f>
        <v>1000000000000</v>
      </c>
      <c r="CM132" s="172">
        <f t="array" aca="1" ref="CM132" ca="1">IF(OR($D132&lt;&gt;"Serviço",AND(AUTOEVENTO="Manual",$M132=$A$15),$M132&gt;(ROW(PLE.lastrow)-ROW(PLE.firstrow))),0,
           IF(OFFSET(PLE!$G$15,$M132-$A$15,CM$13)="",10^12,OFFSET(PLE!$G$15,$M132-$A$15,CM$13)))</f>
        <v>1000000000000</v>
      </c>
    </row>
    <row r="133" spans="1:91" s="696" customFormat="1" ht="38.25" x14ac:dyDescent="0.2">
      <c r="A133" s="694">
        <f t="shared" ca="1" si="82"/>
        <v>27</v>
      </c>
      <c r="B133" s="694" t="str">
        <f ca="1">OFFSET(ORÇAMENTO!C$15,$L133,0)</f>
        <v>S</v>
      </c>
      <c r="C133" s="694" t="str">
        <f ca="1">OFFSET(ORÇAMENTO!L$15,$L133,0)</f>
        <v>F</v>
      </c>
      <c r="D133" s="116" t="str">
        <f ca="1">OFFSET(ORÇAMENTO!N$15,$L133,0)</f>
        <v>Serviço</v>
      </c>
      <c r="E133" s="117" t="str">
        <f ca="1">OFFSET(ORÇAMENTO!O$15,$L133,0)</f>
        <v>1.23.4.</v>
      </c>
      <c r="F133" s="163" t="str">
        <f ca="1">OFFSET(ORÇAMENTO!R$15,$L133,0)</f>
        <v>DISJUNTOR MONOPOLAR TIPO DIN, CORRENTE NOMINAL DE 50A - FORNECIMENTO E INSTALAÇÃO. AF_07/2025</v>
      </c>
      <c r="G133" s="164" t="str">
        <f ca="1">IF($D133&lt;&gt;"Serviço","",OFFSET(ORÇAMENTO!S$15,$L133,0))</f>
        <v>UN</v>
      </c>
      <c r="H133" s="122">
        <f t="array" aca="1" ref="H133" ca="1">IF($D133&lt;&gt;"Serviço",0,IF(ACOMPANHAMENTO="BM",ROUND(OFFSET(ORÇAMENTO!AJ$15,$L133,0),15-13*ORÇAMENTO!$AF$7),IF(IFERROR(CÁLCULO.FrentesPreenchidas,0)=0,0,SUM(ROUND(OFFSET($P133,0,1,1,CÁLCULO.FrentesPreenchidas),15-13*ORÇAMENTO!$AF$7)))))</f>
        <v>20</v>
      </c>
      <c r="I133" s="467" t="s">
        <v>1285</v>
      </c>
      <c r="J133" s="653" t="str">
        <f t="array" aca="1" ref="J133" ca="1">IF(OR(B133&lt;&gt;"S",CÁLCULO.FrentesPreenchidas=0),"",IF(AND(ACOMPANHAMENTO="PLE",AUTOEVENTO="Manual",OR(H133&gt;0,ORÇAMENTO!AC133="QUANT."),OR(K133="",M133=0,N133="")),"►E",IF(AND(ACOMPANHAMENTO="PLE",ORÇAMENTO!AC133="QUANT."),"►Q",IF(AND(ACOMPANHAMENTO="PLE",H133&lt;&gt;SUMPRODUCT(($Q$1:$AI$1=1)*ROUND(Q133:AI133,15))),"►S",IF(AND(COUNTIF($P$11:$AI$11,"▼")=0,H133&gt;0,I133=""),"◄M","")))))</f>
        <v/>
      </c>
      <c r="K133" s="654" t="s">
        <v>1428</v>
      </c>
      <c r="L133" s="165">
        <f t="shared" ca="1" si="83"/>
        <v>118</v>
      </c>
      <c r="M133" s="166">
        <f ca="1">IF($D133&lt;&gt;"Serviço","",
          IF(AUTOEVENTO="manual",$A133,
                IF(ISERROR(MATCH($A133,$A$15:OFFSET($A133,-1,0),0)),MAX($M$15:OFFSET(M133,-1,0))+1,
                      INDEX($M$15:OFFSET(M133,-1,0),MATCH($A133,$A$15:OFFSET($A133,-1,0),0)))))</f>
        <v>27</v>
      </c>
      <c r="N133" s="167" t="str">
        <f ca="1">IF($D133&lt;&gt;"Serviço","",
         IF(AUTOEVENTO="Manual",
                IF($A133=0,"&lt;-- defina o número do agrupador",
                       OFFSET(EVENTOS!$D$15,$A133-$A$15,0)),
                OFFSET($F$15,$A133,0)))</f>
        <v>CAIXAS E DISJUNTORES</v>
      </c>
      <c r="O133" s="168"/>
      <c r="Q133" s="169">
        <v>5</v>
      </c>
      <c r="R133" s="169">
        <v>5</v>
      </c>
      <c r="S133" s="169">
        <v>5</v>
      </c>
      <c r="T133" s="169">
        <v>5</v>
      </c>
      <c r="U133" s="169"/>
      <c r="V133" s="169"/>
      <c r="W133" s="169"/>
      <c r="X133" s="169"/>
      <c r="Y133" s="169"/>
      <c r="Z133" s="170"/>
      <c r="AA133" s="169"/>
      <c r="AB133" s="169"/>
      <c r="AC133" s="169"/>
      <c r="AD133" s="169"/>
      <c r="AE133" s="169"/>
      <c r="AF133" s="169"/>
      <c r="AG133" s="169"/>
      <c r="AH133" s="170"/>
      <c r="AJ133" s="452">
        <f ca="1">IF(AND($D133="Serviço",AJ$12&lt;&gt;0,$H133&gt;0,OR(AUTOEVENTO&lt;&gt;"manual",$M133&lt;&gt;$A$15)),
        IF(Import.TipoArredondamento&lt;&gt;"TransfereGOV",
              ROUND(OFFSET($P133,0,AJ$13),15-13*ORÇAMENTO!$AF$7)/$H133*OFFSET(ORÇAMENTO!$X$15,ROW(AJ133)-ROW(AJ$15),0),
              ROUND(ROUND(OFFSET($P133,0,AJ$13),15-13*ORÇAMENTO!$AF$7)*OFFSET(ORÇAMENTO!$W$15,ROW(AJ133)-ROW(AJ$15),0),15-13*ORÇAMENTO!$AF$11)),
         0)</f>
        <v>166.55</v>
      </c>
      <c r="AK133" s="452">
        <f ca="1">IF(AND($D133="Serviço",AK$12&lt;&gt;0,$H133&gt;0,OR(AUTOEVENTO&lt;&gt;"manual",$M133&lt;&gt;$A$15)),
        IF(Import.TipoArredondamento&lt;&gt;"TransfereGOV",
              ROUND(OFFSET($P133,0,AK$13),15-13*ORÇAMENTO!$AF$7)/$H133*OFFSET(ORÇAMENTO!$X$15,ROW(AK133)-ROW(AK$15),0),
              ROUND(ROUND(OFFSET($P133,0,AK$13),15-13*ORÇAMENTO!$AF$7)*OFFSET(ORÇAMENTO!$W$15,ROW(AK133)-ROW(AK$15),0),15-13*ORÇAMENTO!$AF$11)),
         0)</f>
        <v>166.55</v>
      </c>
      <c r="AL133" s="452">
        <f ca="1">IF(AND($D133="Serviço",AL$12&lt;&gt;0,$H133&gt;0,OR(AUTOEVENTO&lt;&gt;"manual",$M133&lt;&gt;$A$15)),
        IF(Import.TipoArredondamento&lt;&gt;"TransfereGOV",
              ROUND(OFFSET($P133,0,AL$13),15-13*ORÇAMENTO!$AF$7)/$H133*OFFSET(ORÇAMENTO!$X$15,ROW(AL133)-ROW(AL$15),0),
              ROUND(ROUND(OFFSET($P133,0,AL$13),15-13*ORÇAMENTO!$AF$7)*OFFSET(ORÇAMENTO!$W$15,ROW(AL133)-ROW(AL$15),0),15-13*ORÇAMENTO!$AF$11)),
         0)</f>
        <v>166.55</v>
      </c>
      <c r="AM133" s="452">
        <f ca="1">IF(AND($D133="Serviço",AM$12&lt;&gt;0,$H133&gt;0,OR(AUTOEVENTO&lt;&gt;"manual",$M133&lt;&gt;$A$15)),
        IF(Import.TipoArredondamento&lt;&gt;"TransfereGOV",
              ROUND(OFFSET($P133,0,AM$13),15-13*ORÇAMENTO!$AF$7)/$H133*OFFSET(ORÇAMENTO!$X$15,ROW(AM133)-ROW(AM$15),0),
              ROUND(ROUND(OFFSET($P133,0,AM$13),15-13*ORÇAMENTO!$AF$7)*OFFSET(ORÇAMENTO!$W$15,ROW(AM133)-ROW(AM$15),0),15-13*ORÇAMENTO!$AF$11)),
         0)</f>
        <v>166.55</v>
      </c>
      <c r="AN133" s="452">
        <f ca="1">IF(AND($D133="Serviço",AN$12&lt;&gt;0,$H133&gt;0,OR(AUTOEVENTO&lt;&gt;"manual",$M133&lt;&gt;$A$15)),
        IF(Import.TipoArredondamento&lt;&gt;"TransfereGOV",
              ROUND(OFFSET($P133,0,AN$13),15-13*ORÇAMENTO!$AF$7)/$H133*OFFSET(ORÇAMENTO!$X$15,ROW(AN133)-ROW(AN$15),0),
              ROUND(ROUND(OFFSET($P133,0,AN$13),15-13*ORÇAMENTO!$AF$7)*OFFSET(ORÇAMENTO!$W$15,ROW(AN133)-ROW(AN$15),0),15-13*ORÇAMENTO!$AF$11)),
         0)</f>
        <v>0</v>
      </c>
      <c r="AO133" s="452">
        <f ca="1">IF(AND($D133="Serviço",AO$12&lt;&gt;0,$H133&gt;0,OR(AUTOEVENTO&lt;&gt;"manual",$M133&lt;&gt;$A$15)),
        IF(Import.TipoArredondamento&lt;&gt;"TransfereGOV",
              ROUND(OFFSET($P133,0,AO$13),15-13*ORÇAMENTO!$AF$7)/$H133*OFFSET(ORÇAMENTO!$X$15,ROW(AO133)-ROW(AO$15),0),
              ROUND(ROUND(OFFSET($P133,0,AO$13),15-13*ORÇAMENTO!$AF$7)*OFFSET(ORÇAMENTO!$W$15,ROW(AO133)-ROW(AO$15),0),15-13*ORÇAMENTO!$AF$11)),
         0)</f>
        <v>0</v>
      </c>
      <c r="AP133" s="452">
        <f ca="1">IF(AND($D133="Serviço",AP$12&lt;&gt;0,$H133&gt;0,OR(AUTOEVENTO&lt;&gt;"manual",$M133&lt;&gt;$A$15)),
        IF(Import.TipoArredondamento&lt;&gt;"TransfereGOV",
              ROUND(OFFSET($P133,0,AP$13),15-13*ORÇAMENTO!$AF$7)/$H133*OFFSET(ORÇAMENTO!$X$15,ROW(AP133)-ROW(AP$15),0),
              ROUND(ROUND(OFFSET($P133,0,AP$13),15-13*ORÇAMENTO!$AF$7)*OFFSET(ORÇAMENTO!$W$15,ROW(AP133)-ROW(AP$15),0),15-13*ORÇAMENTO!$AF$11)),
         0)</f>
        <v>0</v>
      </c>
      <c r="AQ133" s="452">
        <f ca="1">IF(AND($D133="Serviço",AQ$12&lt;&gt;0,$H133&gt;0,OR(AUTOEVENTO&lt;&gt;"manual",$M133&lt;&gt;$A$15)),
        IF(Import.TipoArredondamento&lt;&gt;"TransfereGOV",
              ROUND(OFFSET($P133,0,AQ$13),15-13*ORÇAMENTO!$AF$7)/$H133*OFFSET(ORÇAMENTO!$X$15,ROW(AQ133)-ROW(AQ$15),0),
              ROUND(ROUND(OFFSET($P133,0,AQ$13),15-13*ORÇAMENTO!$AF$7)*OFFSET(ORÇAMENTO!$W$15,ROW(AQ133)-ROW(AQ$15),0),15-13*ORÇAMENTO!$AF$11)),
         0)</f>
        <v>0</v>
      </c>
      <c r="AR133" s="452">
        <f ca="1">IF(AND($D133="Serviço",AR$12&lt;&gt;0,$H133&gt;0,OR(AUTOEVENTO&lt;&gt;"manual",$M133&lt;&gt;$A$15)),
        IF(Import.TipoArredondamento&lt;&gt;"TransfereGOV",
              ROUND(OFFSET($P133,0,AR$13),15-13*ORÇAMENTO!$AF$7)/$H133*OFFSET(ORÇAMENTO!$X$15,ROW(AR133)-ROW(AR$15),0),
              ROUND(ROUND(OFFSET($P133,0,AR$13),15-13*ORÇAMENTO!$AF$7)*OFFSET(ORÇAMENTO!$W$15,ROW(AR133)-ROW(AR$15),0),15-13*ORÇAMENTO!$AF$11)),
         0)</f>
        <v>0</v>
      </c>
      <c r="AS133" s="452">
        <f ca="1">IF(AND($D133="Serviço",AS$12&lt;&gt;0,$H133&gt;0,OR(AUTOEVENTO&lt;&gt;"manual",$M133&lt;&gt;$A$15)),
        IF(Import.TipoArredondamento&lt;&gt;"TransfereGOV",
              ROUND(OFFSET($P133,0,AS$13),15-13*ORÇAMENTO!$AF$7)/$H133*OFFSET(ORÇAMENTO!$X$15,ROW(AS133)-ROW(AS$15),0),
              ROUND(ROUND(OFFSET($P133,0,AS$13),15-13*ORÇAMENTO!$AF$7)*OFFSET(ORÇAMENTO!$W$15,ROW(AS133)-ROW(AS$15),0),15-13*ORÇAMENTO!$AF$11)),
         0)</f>
        <v>0</v>
      </c>
      <c r="AT133" s="452">
        <f ca="1">IF(AND($D133="Serviço",AT$12&lt;&gt;0,$H133&gt;0,OR(AUTOEVENTO&lt;&gt;"manual",$M133&lt;&gt;$A$15)),
        IF(Import.TipoArredondamento&lt;&gt;"TransfereGOV",
              ROUND(OFFSET($P133,0,AT$13),15-13*ORÇAMENTO!$AF$7)/$H133*OFFSET(ORÇAMENTO!$X$15,ROW(AT133)-ROW(AT$15),0),
              ROUND(ROUND(OFFSET($P133,0,AT$13),15-13*ORÇAMENTO!$AF$7)*OFFSET(ORÇAMENTO!$W$15,ROW(AT133)-ROW(AT$15),0),15-13*ORÇAMENTO!$AF$11)),
         0)</f>
        <v>0</v>
      </c>
      <c r="AU133" s="452">
        <f ca="1">IF(AND($D133="Serviço",AU$12&lt;&gt;0,$H133&gt;0,OR(AUTOEVENTO&lt;&gt;"manual",$M133&lt;&gt;$A$15)),
        IF(Import.TipoArredondamento&lt;&gt;"TransfereGOV",
              ROUND(OFFSET($P133,0,AU$13),15-13*ORÇAMENTO!$AF$7)/$H133*OFFSET(ORÇAMENTO!$X$15,ROW(AU133)-ROW(AU$15),0),
              ROUND(ROUND(OFFSET($P133,0,AU$13),15-13*ORÇAMENTO!$AF$7)*OFFSET(ORÇAMENTO!$W$15,ROW(AU133)-ROW(AU$15),0),15-13*ORÇAMENTO!$AF$11)),
         0)</f>
        <v>0</v>
      </c>
      <c r="AV133" s="452">
        <f ca="1">IF(AND($D133="Serviço",AV$12&lt;&gt;0,$H133&gt;0,OR(AUTOEVENTO&lt;&gt;"manual",$M133&lt;&gt;$A$15)),
        IF(Import.TipoArredondamento&lt;&gt;"TransfereGOV",
              ROUND(OFFSET($P133,0,AV$13),15-13*ORÇAMENTO!$AF$7)/$H133*OFFSET(ORÇAMENTO!$X$15,ROW(AV133)-ROW(AV$15),0),
              ROUND(ROUND(OFFSET($P133,0,AV$13),15-13*ORÇAMENTO!$AF$7)*OFFSET(ORÇAMENTO!$W$15,ROW(AV133)-ROW(AV$15),0),15-13*ORÇAMENTO!$AF$11)),
         0)</f>
        <v>0</v>
      </c>
      <c r="AW133" s="452">
        <f ca="1">IF(AND($D133="Serviço",AW$12&lt;&gt;0,$H133&gt;0,OR(AUTOEVENTO&lt;&gt;"manual",$M133&lt;&gt;$A$15)),
        IF(Import.TipoArredondamento&lt;&gt;"TransfereGOV",
              ROUND(OFFSET($P133,0,AW$13),15-13*ORÇAMENTO!$AF$7)/$H133*OFFSET(ORÇAMENTO!$X$15,ROW(AW133)-ROW(AW$15),0),
              ROUND(ROUND(OFFSET($P133,0,AW$13),15-13*ORÇAMENTO!$AF$7)*OFFSET(ORÇAMENTO!$W$15,ROW(AW133)-ROW(AW$15),0),15-13*ORÇAMENTO!$AF$11)),
         0)</f>
        <v>0</v>
      </c>
      <c r="AX133" s="452">
        <f ca="1">IF(AND($D133="Serviço",AX$12&lt;&gt;0,$H133&gt;0,OR(AUTOEVENTO&lt;&gt;"manual",$M133&lt;&gt;$A$15)),
        IF(Import.TipoArredondamento&lt;&gt;"TransfereGOV",
              ROUND(OFFSET($P133,0,AX$13),15-13*ORÇAMENTO!$AF$7)/$H133*OFFSET(ORÇAMENTO!$X$15,ROW(AX133)-ROW(AX$15),0),
              ROUND(ROUND(OFFSET($P133,0,AX$13),15-13*ORÇAMENTO!$AF$7)*OFFSET(ORÇAMENTO!$W$15,ROW(AX133)-ROW(AX$15),0),15-13*ORÇAMENTO!$AF$11)),
         0)</f>
        <v>0</v>
      </c>
      <c r="AY133" s="452">
        <f ca="1">IF(AND($D133="Serviço",AY$12&lt;&gt;0,$H133&gt;0,OR(AUTOEVENTO&lt;&gt;"manual",$M133&lt;&gt;$A$15)),
        IF(Import.TipoArredondamento&lt;&gt;"TransfereGOV",
              ROUND(OFFSET($P133,0,AY$13),15-13*ORÇAMENTO!$AF$7)/$H133*OFFSET(ORÇAMENTO!$X$15,ROW(AY133)-ROW(AY$15),0),
              ROUND(ROUND(OFFSET($P133,0,AY$13),15-13*ORÇAMENTO!$AF$7)*OFFSET(ORÇAMENTO!$W$15,ROW(AY133)-ROW(AY$15),0),15-13*ORÇAMENTO!$AF$11)),
         0)</f>
        <v>0</v>
      </c>
      <c r="AZ133" s="452">
        <f ca="1">IF(AND($D133="Serviço",AZ$12&lt;&gt;0,$H133&gt;0,OR(AUTOEVENTO&lt;&gt;"manual",$M133&lt;&gt;$A$15)),
        IF(Import.TipoArredondamento&lt;&gt;"TransfereGOV",
              ROUND(OFFSET($P133,0,AZ$13),15-13*ORÇAMENTO!$AF$7)/$H133*OFFSET(ORÇAMENTO!$X$15,ROW(AZ133)-ROW(AZ$15),0),
              ROUND(ROUND(OFFSET($P133,0,AZ$13),15-13*ORÇAMENTO!$AF$7)*OFFSET(ORÇAMENTO!$W$15,ROW(AZ133)-ROW(AZ$15),0),15-13*ORÇAMENTO!$AF$11)),
         0)</f>
        <v>0</v>
      </c>
      <c r="BA133" s="452">
        <f ca="1">IF(AND($D133="Serviço",BA$12&lt;&gt;0,$H133&gt;0,OR(AUTOEVENTO&lt;&gt;"manual",$M133&lt;&gt;$A$15)),
        IF(Import.TipoArredondamento&lt;&gt;"TransfereGOV",
              ROUND(OFFSET($P133,0,BA$13),15-13*ORÇAMENTO!$AF$7)/$H133*OFFSET(ORÇAMENTO!$X$15,ROW(BA133)-ROW(BA$15),0),
              ROUND(ROUND(OFFSET($P133,0,BA$13),15-13*ORÇAMENTO!$AF$7)*OFFSET(ORÇAMENTO!$W$15,ROW(BA133)-ROW(BA$15),0),15-13*ORÇAMENTO!$AF$11)),
         0)</f>
        <v>0</v>
      </c>
      <c r="BC133" s="171">
        <f ca="1">IF(OR($D133&lt;&gt;"Serviço",AND(AUTOEVENTO="Manual",$M133=$A$15)),0,
         IF(OFFSET(CRONOPLE!$F$15,$M133-$A$15,BC$13)=0,10^12,OFFSET(CRONOPLE!$F$15,$M133-$A$15,BC$13)))</f>
        <v>7</v>
      </c>
      <c r="BD133" s="171">
        <f ca="1">IF(OR($D133&lt;&gt;"Serviço",AND(AUTOEVENTO="Manual",$M133=$A$15)),0,
         IF(OFFSET(CRONOPLE!$F$15,$M133-$A$15,BD$13)=0,10^12,OFFSET(CRONOPLE!$F$15,$M133-$A$15,BD$13)))</f>
        <v>7</v>
      </c>
      <c r="BE133" s="171">
        <f ca="1">IF(OR($D133&lt;&gt;"Serviço",AND(AUTOEVENTO="Manual",$M133=$A$15)),0,
         IF(OFFSET(CRONOPLE!$F$15,$M133-$A$15,BE$13)=0,10^12,OFFSET(CRONOPLE!$F$15,$M133-$A$15,BE$13)))</f>
        <v>8</v>
      </c>
      <c r="BF133" s="171">
        <f ca="1">IF(OR($D133&lt;&gt;"Serviço",AND(AUTOEVENTO="Manual",$M133=$A$15)),0,
         IF(OFFSET(CRONOPLE!$F$15,$M133-$A$15,BF$13)=0,10^12,OFFSET(CRONOPLE!$F$15,$M133-$A$15,BF$13)))</f>
        <v>9</v>
      </c>
      <c r="BG133" s="171">
        <f ca="1">IF(OR($D133&lt;&gt;"Serviço",AND(AUTOEVENTO="Manual",$M133=$A$15)),0,
         IF(OFFSET(CRONOPLE!$F$15,$M133-$A$15,BG$13)=0,10^12,OFFSET(CRONOPLE!$F$15,$M133-$A$15,BG$13)))</f>
        <v>9</v>
      </c>
      <c r="BH133" s="171">
        <f ca="1">IF(OR($D133&lt;&gt;"Serviço",AND(AUTOEVENTO="Manual",$M133=$A$15)),0,
         IF(OFFSET(CRONOPLE!$F$15,$M133-$A$15,BH$13)=0,10^12,OFFSET(CRONOPLE!$F$15,$M133-$A$15,BH$13)))</f>
        <v>6</v>
      </c>
      <c r="BI133" s="171">
        <f ca="1">IF(OR($D133&lt;&gt;"Serviço",AND(AUTOEVENTO="Manual",$M133=$A$15)),0,
         IF(OFFSET(CRONOPLE!$F$15,$M133-$A$15,BI$13)=0,10^12,OFFSET(CRONOPLE!$F$15,$M133-$A$15,BI$13)))</f>
        <v>1000000000000</v>
      </c>
      <c r="BJ133" s="171">
        <f ca="1">IF(OR($D133&lt;&gt;"Serviço",AND(AUTOEVENTO="Manual",$M133=$A$15)),0,
         IF(OFFSET(CRONOPLE!$F$15,$M133-$A$15,BJ$13)=0,10^12,OFFSET(CRONOPLE!$F$15,$M133-$A$15,BJ$13)))</f>
        <v>1000000000000</v>
      </c>
      <c r="BK133" s="171">
        <f ca="1">IF(OR($D133&lt;&gt;"Serviço",AND(AUTOEVENTO="Manual",$M133=$A$15)),0,
         IF(OFFSET(CRONOPLE!$F$15,$M133-$A$15,BK$13)=0,10^12,OFFSET(CRONOPLE!$F$15,$M133-$A$15,BK$13)))</f>
        <v>1000000000000</v>
      </c>
      <c r="BL133" s="171">
        <f ca="1">IF(OR($D133&lt;&gt;"Serviço",AND(AUTOEVENTO="Manual",$M133=$A$15)),0,
         IF(OFFSET(CRONOPLE!$F$15,$M133-$A$15,BL$13)=0,10^12,OFFSET(CRONOPLE!$F$15,$M133-$A$15,BL$13)))</f>
        <v>1000000000000</v>
      </c>
      <c r="BM133" s="171">
        <f ca="1">IF(OR($D133&lt;&gt;"Serviço",AND(AUTOEVENTO="Manual",$M133=$A$15)),0,
         IF(OFFSET(CRONOPLE!$F$15,$M133-$A$15,BM$13)=0,10^12,OFFSET(CRONOPLE!$F$15,$M133-$A$15,BM$13)))</f>
        <v>1000000000000</v>
      </c>
      <c r="BN133" s="171">
        <f ca="1">IF(OR($D133&lt;&gt;"Serviço",AND(AUTOEVENTO="Manual",$M133=$A$15)),0,
         IF(OFFSET(CRONOPLE!$F$15,$M133-$A$15,BN$13)=0,10^12,OFFSET(CRONOPLE!$F$15,$M133-$A$15,BN$13)))</f>
        <v>1000000000000</v>
      </c>
      <c r="BO133" s="171">
        <f ca="1">IF(OR($D133&lt;&gt;"Serviço",AND(AUTOEVENTO="Manual",$M133=$A$15)),0,
         IF(OFFSET(CRONOPLE!$F$15,$M133-$A$15,BO$13)=0,10^12,OFFSET(CRONOPLE!$F$15,$M133-$A$15,BO$13)))</f>
        <v>1000000000000</v>
      </c>
      <c r="BP133" s="171">
        <f ca="1">IF(OR($D133&lt;&gt;"Serviço",AND(AUTOEVENTO="Manual",$M133=$A$15)),0,
         IF(OFFSET(CRONOPLE!$F$15,$M133-$A$15,BP$13)=0,10^12,OFFSET(CRONOPLE!$F$15,$M133-$A$15,BP$13)))</f>
        <v>1000000000000</v>
      </c>
      <c r="BQ133" s="171">
        <f ca="1">IF(OR($D133&lt;&gt;"Serviço",AND(AUTOEVENTO="Manual",$M133=$A$15)),0,
         IF(OFFSET(CRONOPLE!$F$15,$M133-$A$15,BQ$13)=0,10^12,OFFSET(CRONOPLE!$F$15,$M133-$A$15,BQ$13)))</f>
        <v>1000000000000</v>
      </c>
      <c r="BR133" s="171">
        <f ca="1">IF(OR($D133&lt;&gt;"Serviço",AND(AUTOEVENTO="Manual",$M133=$A$15)),0,
         IF(OFFSET(CRONOPLE!$F$15,$M133-$A$15,BR$13)=0,10^12,OFFSET(CRONOPLE!$F$15,$M133-$A$15,BR$13)))</f>
        <v>1000000000000</v>
      </c>
      <c r="BS133" s="171">
        <f ca="1">IF(OR($D133&lt;&gt;"Serviço",AND(AUTOEVENTO="Manual",$M133=$A$15)),0,
         IF(OFFSET(CRONOPLE!$F$15,$M133-$A$15,BS$13)=0,10^12,OFFSET(CRONOPLE!$F$15,$M133-$A$15,BS$13)))</f>
        <v>1000000000000</v>
      </c>
      <c r="BT133" s="171">
        <f ca="1">IF(OR($D133&lt;&gt;"Serviço",AND(AUTOEVENTO="Manual",$M133=$A$15)),0,
         IF(OFFSET(CRONOPLE!$F$15,$M133-$A$15,BT$13)=0,10^12,OFFSET(CRONOPLE!$F$15,$M133-$A$15,BT$13)))</f>
        <v>1000000000000</v>
      </c>
      <c r="BV133" s="172">
        <f t="array" aca="1" ref="BV133" ca="1">IF(OR($D133&lt;&gt;"Serviço",AND(AUTOEVENTO="Manual",$M133=$A$15),$M133&gt;(ROW(PLE.lastrow)-ROW(PLE.firstrow))),0,
           IF(OFFSET(PLE!$G$15,$M133-$A$15,BV$13)="",10^12,OFFSET(PLE!$G$15,$M133-$A$15,BV$13)))</f>
        <v>1000000000000</v>
      </c>
      <c r="BW133" s="172">
        <f t="array" aca="1" ref="BW133" ca="1">IF(OR($D133&lt;&gt;"Serviço",AND(AUTOEVENTO="Manual",$M133=$A$15),$M133&gt;(ROW(PLE.lastrow)-ROW(PLE.firstrow))),0,
           IF(OFFSET(PLE!$G$15,$M133-$A$15,BW$13)="",10^12,OFFSET(PLE!$G$15,$M133-$A$15,BW$13)))</f>
        <v>1000000000000</v>
      </c>
      <c r="BX133" s="172">
        <f t="array" aca="1" ref="BX133" ca="1">IF(OR($D133&lt;&gt;"Serviço",AND(AUTOEVENTO="Manual",$M133=$A$15),$M133&gt;(ROW(PLE.lastrow)-ROW(PLE.firstrow))),0,
           IF(OFFSET(PLE!$G$15,$M133-$A$15,BX$13)="",10^12,OFFSET(PLE!$G$15,$M133-$A$15,BX$13)))</f>
        <v>1000000000000</v>
      </c>
      <c r="BY133" s="172">
        <f t="array" aca="1" ref="BY133" ca="1">IF(OR($D133&lt;&gt;"Serviço",AND(AUTOEVENTO="Manual",$M133=$A$15),$M133&gt;(ROW(PLE.lastrow)-ROW(PLE.firstrow))),0,
           IF(OFFSET(PLE!$G$15,$M133-$A$15,BY$13)="",10^12,OFFSET(PLE!$G$15,$M133-$A$15,BY$13)))</f>
        <v>1000000000000</v>
      </c>
      <c r="BZ133" s="172">
        <f t="array" aca="1" ref="BZ133" ca="1">IF(OR($D133&lt;&gt;"Serviço",AND(AUTOEVENTO="Manual",$M133=$A$15),$M133&gt;(ROW(PLE.lastrow)-ROW(PLE.firstrow))),0,
           IF(OFFSET(PLE!$G$15,$M133-$A$15,BZ$13)="",10^12,OFFSET(PLE!$G$15,$M133-$A$15,BZ$13)))</f>
        <v>1000000000000</v>
      </c>
      <c r="CA133" s="172">
        <f t="array" aca="1" ref="CA133" ca="1">IF(OR($D133&lt;&gt;"Serviço",AND(AUTOEVENTO="Manual",$M133=$A$15),$M133&gt;(ROW(PLE.lastrow)-ROW(PLE.firstrow))),0,
           IF(OFFSET(PLE!$G$15,$M133-$A$15,CA$13)="",10^12,OFFSET(PLE!$G$15,$M133-$A$15,CA$13)))</f>
        <v>1000000000000</v>
      </c>
      <c r="CB133" s="172">
        <f t="array" aca="1" ref="CB133" ca="1">IF(OR($D133&lt;&gt;"Serviço",AND(AUTOEVENTO="Manual",$M133=$A$15),$M133&gt;(ROW(PLE.lastrow)-ROW(PLE.firstrow))),0,
           IF(OFFSET(PLE!$G$15,$M133-$A$15,CB$13)="",10^12,OFFSET(PLE!$G$15,$M133-$A$15,CB$13)))</f>
        <v>1000000000000</v>
      </c>
      <c r="CC133" s="172">
        <f t="array" aca="1" ref="CC133" ca="1">IF(OR($D133&lt;&gt;"Serviço",AND(AUTOEVENTO="Manual",$M133=$A$15),$M133&gt;(ROW(PLE.lastrow)-ROW(PLE.firstrow))),0,
           IF(OFFSET(PLE!$G$15,$M133-$A$15,CC$13)="",10^12,OFFSET(PLE!$G$15,$M133-$A$15,CC$13)))</f>
        <v>1000000000000</v>
      </c>
      <c r="CD133" s="172">
        <f t="array" aca="1" ref="CD133" ca="1">IF(OR($D133&lt;&gt;"Serviço",AND(AUTOEVENTO="Manual",$M133=$A$15),$M133&gt;(ROW(PLE.lastrow)-ROW(PLE.firstrow))),0,
           IF(OFFSET(PLE!$G$15,$M133-$A$15,CD$13)="",10^12,OFFSET(PLE!$G$15,$M133-$A$15,CD$13)))</f>
        <v>1000000000000</v>
      </c>
      <c r="CE133" s="172">
        <f t="array" aca="1" ref="CE133" ca="1">IF(OR($D133&lt;&gt;"Serviço",AND(AUTOEVENTO="Manual",$M133=$A$15),$M133&gt;(ROW(PLE.lastrow)-ROW(PLE.firstrow))),0,
           IF(OFFSET(PLE!$G$15,$M133-$A$15,CE$13)="",10^12,OFFSET(PLE!$G$15,$M133-$A$15,CE$13)))</f>
        <v>1000000000000</v>
      </c>
      <c r="CF133" s="172">
        <f t="array" aca="1" ref="CF133" ca="1">IF(OR($D133&lt;&gt;"Serviço",AND(AUTOEVENTO="Manual",$M133=$A$15),$M133&gt;(ROW(PLE.lastrow)-ROW(PLE.firstrow))),0,
           IF(OFFSET(PLE!$G$15,$M133-$A$15,CF$13)="",10^12,OFFSET(PLE!$G$15,$M133-$A$15,CF$13)))</f>
        <v>1000000000000</v>
      </c>
      <c r="CG133" s="172">
        <f t="array" aca="1" ref="CG133" ca="1">IF(OR($D133&lt;&gt;"Serviço",AND(AUTOEVENTO="Manual",$M133=$A$15),$M133&gt;(ROW(PLE.lastrow)-ROW(PLE.firstrow))),0,
           IF(OFFSET(PLE!$G$15,$M133-$A$15,CG$13)="",10^12,OFFSET(PLE!$G$15,$M133-$A$15,CG$13)))</f>
        <v>1000000000000</v>
      </c>
      <c r="CH133" s="172">
        <f t="array" aca="1" ref="CH133" ca="1">IF(OR($D133&lt;&gt;"Serviço",AND(AUTOEVENTO="Manual",$M133=$A$15),$M133&gt;(ROW(PLE.lastrow)-ROW(PLE.firstrow))),0,
           IF(OFFSET(PLE!$G$15,$M133-$A$15,CH$13)="",10^12,OFFSET(PLE!$G$15,$M133-$A$15,CH$13)))</f>
        <v>1000000000000</v>
      </c>
      <c r="CI133" s="172">
        <f t="array" aca="1" ref="CI133" ca="1">IF(OR($D133&lt;&gt;"Serviço",AND(AUTOEVENTO="Manual",$M133=$A$15),$M133&gt;(ROW(PLE.lastrow)-ROW(PLE.firstrow))),0,
           IF(OFFSET(PLE!$G$15,$M133-$A$15,CI$13)="",10^12,OFFSET(PLE!$G$15,$M133-$A$15,CI$13)))</f>
        <v>1000000000000</v>
      </c>
      <c r="CJ133" s="172">
        <f t="array" aca="1" ref="CJ133" ca="1">IF(OR($D133&lt;&gt;"Serviço",AND(AUTOEVENTO="Manual",$M133=$A$15),$M133&gt;(ROW(PLE.lastrow)-ROW(PLE.firstrow))),0,
           IF(OFFSET(PLE!$G$15,$M133-$A$15,CJ$13)="",10^12,OFFSET(PLE!$G$15,$M133-$A$15,CJ$13)))</f>
        <v>1000000000000</v>
      </c>
      <c r="CK133" s="172">
        <f t="array" aca="1" ref="CK133" ca="1">IF(OR($D133&lt;&gt;"Serviço",AND(AUTOEVENTO="Manual",$M133=$A$15),$M133&gt;(ROW(PLE.lastrow)-ROW(PLE.firstrow))),0,
           IF(OFFSET(PLE!$G$15,$M133-$A$15,CK$13)="",10^12,OFFSET(PLE!$G$15,$M133-$A$15,CK$13)))</f>
        <v>1000000000000</v>
      </c>
      <c r="CL133" s="172">
        <f t="array" aca="1" ref="CL133" ca="1">IF(OR($D133&lt;&gt;"Serviço",AND(AUTOEVENTO="Manual",$M133=$A$15),$M133&gt;(ROW(PLE.lastrow)-ROW(PLE.firstrow))),0,
           IF(OFFSET(PLE!$G$15,$M133-$A$15,CL$13)="",10^12,OFFSET(PLE!$G$15,$M133-$A$15,CL$13)))</f>
        <v>1000000000000</v>
      </c>
      <c r="CM133" s="172">
        <f t="array" aca="1" ref="CM133" ca="1">IF(OR($D133&lt;&gt;"Serviço",AND(AUTOEVENTO="Manual",$M133=$A$15),$M133&gt;(ROW(PLE.lastrow)-ROW(PLE.firstrow))),0,
           IF(OFFSET(PLE!$G$15,$M133-$A$15,CM$13)="",10^12,OFFSET(PLE!$G$15,$M133-$A$15,CM$13)))</f>
        <v>1000000000000</v>
      </c>
    </row>
    <row r="134" spans="1:91" s="696" customFormat="1" ht="38.25" x14ac:dyDescent="0.2">
      <c r="A134" s="694">
        <f t="shared" ca="1" si="82"/>
        <v>27</v>
      </c>
      <c r="B134" s="694" t="str">
        <f ca="1">OFFSET(ORÇAMENTO!C$15,$L134,0)</f>
        <v>S</v>
      </c>
      <c r="C134" s="694" t="str">
        <f ca="1">OFFSET(ORÇAMENTO!L$15,$L134,0)</f>
        <v>F</v>
      </c>
      <c r="D134" s="116" t="str">
        <f ca="1">OFFSET(ORÇAMENTO!N$15,$L134,0)</f>
        <v>Serviço</v>
      </c>
      <c r="E134" s="117" t="str">
        <f ca="1">OFFSET(ORÇAMENTO!O$15,$L134,0)</f>
        <v>1.23.5.</v>
      </c>
      <c r="F134" s="163" t="str">
        <f ca="1">OFFSET(ORÇAMENTO!R$15,$L134,0)</f>
        <v>DISJUNTOR BIPOLAR TIPO DR, CORRENTE NOMINAL DE 25A - FORNECIMENTO E INSTALAÇÃO. AF_07/2025</v>
      </c>
      <c r="G134" s="164" t="str">
        <f ca="1">IF($D134&lt;&gt;"Serviço","",OFFSET(ORÇAMENTO!S$15,$L134,0))</f>
        <v>UN</v>
      </c>
      <c r="H134" s="122">
        <f t="array" aca="1" ref="H134" ca="1">IF($D134&lt;&gt;"Serviço",0,IF(ACOMPANHAMENTO="BM",ROUND(OFFSET(ORÇAMENTO!AJ$15,$L134,0),15-13*ORÇAMENTO!$AF$7),IF(IFERROR(CÁLCULO.FrentesPreenchidas,0)=0,0,SUM(ROUND(OFFSET($P134,0,1,1,CÁLCULO.FrentesPreenchidas),15-13*ORÇAMENTO!$AF$7)))))</f>
        <v>40</v>
      </c>
      <c r="I134" s="467" t="s">
        <v>1284</v>
      </c>
      <c r="J134" s="653" t="str">
        <f t="array" aca="1" ref="J134" ca="1">IF(OR(B134&lt;&gt;"S",CÁLCULO.FrentesPreenchidas=0),"",IF(AND(ACOMPANHAMENTO="PLE",AUTOEVENTO="Manual",OR(H134&gt;0,ORÇAMENTO!AC134="QUANT."),OR(K134="",M134=0,N134="")),"►E",IF(AND(ACOMPANHAMENTO="PLE",ORÇAMENTO!AC134="QUANT."),"►Q",IF(AND(ACOMPANHAMENTO="PLE",H134&lt;&gt;SUMPRODUCT(($Q$1:$AI$1=1)*ROUND(Q134:AI134,15))),"►S",IF(AND(COUNTIF($P$11:$AI$11,"▼")=0,H134&gt;0,I134=""),"◄M","")))))</f>
        <v/>
      </c>
      <c r="K134" s="654" t="s">
        <v>1428</v>
      </c>
      <c r="L134" s="165">
        <f t="shared" ca="1" si="83"/>
        <v>119</v>
      </c>
      <c r="M134" s="166">
        <f ca="1">IF($D134&lt;&gt;"Serviço","",
          IF(AUTOEVENTO="manual",$A134,
                IF(ISERROR(MATCH($A134,$A$15:OFFSET($A134,-1,0),0)),MAX($M$15:OFFSET(M134,-1,0))+1,
                      INDEX($M$15:OFFSET(M134,-1,0),MATCH($A134,$A$15:OFFSET($A134,-1,0),0)))))</f>
        <v>27</v>
      </c>
      <c r="N134" s="167" t="str">
        <f ca="1">IF($D134&lt;&gt;"Serviço","",
         IF(AUTOEVENTO="Manual",
                IF($A134=0,"&lt;-- defina o número do agrupador",
                       OFFSET(EVENTOS!$D$15,$A134-$A$15,0)),
                OFFSET($F$15,$A134,0)))</f>
        <v>CAIXAS E DISJUNTORES</v>
      </c>
      <c r="O134" s="168"/>
      <c r="Q134" s="169">
        <v>10</v>
      </c>
      <c r="R134" s="169">
        <v>10</v>
      </c>
      <c r="S134" s="169">
        <v>10</v>
      </c>
      <c r="T134" s="169">
        <v>10</v>
      </c>
      <c r="U134" s="169"/>
      <c r="V134" s="169"/>
      <c r="W134" s="169"/>
      <c r="X134" s="169"/>
      <c r="Y134" s="169"/>
      <c r="Z134" s="170"/>
      <c r="AA134" s="169"/>
      <c r="AB134" s="169"/>
      <c r="AC134" s="169"/>
      <c r="AD134" s="169"/>
      <c r="AE134" s="169"/>
      <c r="AF134" s="169"/>
      <c r="AG134" s="169"/>
      <c r="AH134" s="170"/>
      <c r="AJ134" s="452">
        <f ca="1">IF(AND($D134="Serviço",AJ$12&lt;&gt;0,$H134&gt;0,OR(AUTOEVENTO&lt;&gt;"manual",$M134&lt;&gt;$A$15)),
        IF(Import.TipoArredondamento&lt;&gt;"TransfereGOV",
              ROUND(OFFSET($P134,0,AJ$13),15-13*ORÇAMENTO!$AF$7)/$H134*OFFSET(ORÇAMENTO!$X$15,ROW(AJ134)-ROW(AJ$15),0),
              ROUND(ROUND(OFFSET($P134,0,AJ$13),15-13*ORÇAMENTO!$AF$7)*OFFSET(ORÇAMENTO!$W$15,ROW(AJ134)-ROW(AJ$15),0),15-13*ORÇAMENTO!$AF$11)),
         0)</f>
        <v>2073.5</v>
      </c>
      <c r="AK134" s="452">
        <f ca="1">IF(AND($D134="Serviço",AK$12&lt;&gt;0,$H134&gt;0,OR(AUTOEVENTO&lt;&gt;"manual",$M134&lt;&gt;$A$15)),
        IF(Import.TipoArredondamento&lt;&gt;"TransfereGOV",
              ROUND(OFFSET($P134,0,AK$13),15-13*ORÇAMENTO!$AF$7)/$H134*OFFSET(ORÇAMENTO!$X$15,ROW(AK134)-ROW(AK$15),0),
              ROUND(ROUND(OFFSET($P134,0,AK$13),15-13*ORÇAMENTO!$AF$7)*OFFSET(ORÇAMENTO!$W$15,ROW(AK134)-ROW(AK$15),0),15-13*ORÇAMENTO!$AF$11)),
         0)</f>
        <v>2073.5</v>
      </c>
      <c r="AL134" s="452">
        <f ca="1">IF(AND($D134="Serviço",AL$12&lt;&gt;0,$H134&gt;0,OR(AUTOEVENTO&lt;&gt;"manual",$M134&lt;&gt;$A$15)),
        IF(Import.TipoArredondamento&lt;&gt;"TransfereGOV",
              ROUND(OFFSET($P134,0,AL$13),15-13*ORÇAMENTO!$AF$7)/$H134*OFFSET(ORÇAMENTO!$X$15,ROW(AL134)-ROW(AL$15),0),
              ROUND(ROUND(OFFSET($P134,0,AL$13),15-13*ORÇAMENTO!$AF$7)*OFFSET(ORÇAMENTO!$W$15,ROW(AL134)-ROW(AL$15),0),15-13*ORÇAMENTO!$AF$11)),
         0)</f>
        <v>2073.5</v>
      </c>
      <c r="AM134" s="452">
        <f ca="1">IF(AND($D134="Serviço",AM$12&lt;&gt;0,$H134&gt;0,OR(AUTOEVENTO&lt;&gt;"manual",$M134&lt;&gt;$A$15)),
        IF(Import.TipoArredondamento&lt;&gt;"TransfereGOV",
              ROUND(OFFSET($P134,0,AM$13),15-13*ORÇAMENTO!$AF$7)/$H134*OFFSET(ORÇAMENTO!$X$15,ROW(AM134)-ROW(AM$15),0),
              ROUND(ROUND(OFFSET($P134,0,AM$13),15-13*ORÇAMENTO!$AF$7)*OFFSET(ORÇAMENTO!$W$15,ROW(AM134)-ROW(AM$15),0),15-13*ORÇAMENTO!$AF$11)),
         0)</f>
        <v>2073.5</v>
      </c>
      <c r="AN134" s="452">
        <f ca="1">IF(AND($D134="Serviço",AN$12&lt;&gt;0,$H134&gt;0,OR(AUTOEVENTO&lt;&gt;"manual",$M134&lt;&gt;$A$15)),
        IF(Import.TipoArredondamento&lt;&gt;"TransfereGOV",
              ROUND(OFFSET($P134,0,AN$13),15-13*ORÇAMENTO!$AF$7)/$H134*OFFSET(ORÇAMENTO!$X$15,ROW(AN134)-ROW(AN$15),0),
              ROUND(ROUND(OFFSET($P134,0,AN$13),15-13*ORÇAMENTO!$AF$7)*OFFSET(ORÇAMENTO!$W$15,ROW(AN134)-ROW(AN$15),0),15-13*ORÇAMENTO!$AF$11)),
         0)</f>
        <v>0</v>
      </c>
      <c r="AO134" s="452">
        <f ca="1">IF(AND($D134="Serviço",AO$12&lt;&gt;0,$H134&gt;0,OR(AUTOEVENTO&lt;&gt;"manual",$M134&lt;&gt;$A$15)),
        IF(Import.TipoArredondamento&lt;&gt;"TransfereGOV",
              ROUND(OFFSET($P134,0,AO$13),15-13*ORÇAMENTO!$AF$7)/$H134*OFFSET(ORÇAMENTO!$X$15,ROW(AO134)-ROW(AO$15),0),
              ROUND(ROUND(OFFSET($P134,0,AO$13),15-13*ORÇAMENTO!$AF$7)*OFFSET(ORÇAMENTO!$W$15,ROW(AO134)-ROW(AO$15),0),15-13*ORÇAMENTO!$AF$11)),
         0)</f>
        <v>0</v>
      </c>
      <c r="AP134" s="452">
        <f ca="1">IF(AND($D134="Serviço",AP$12&lt;&gt;0,$H134&gt;0,OR(AUTOEVENTO&lt;&gt;"manual",$M134&lt;&gt;$A$15)),
        IF(Import.TipoArredondamento&lt;&gt;"TransfereGOV",
              ROUND(OFFSET($P134,0,AP$13),15-13*ORÇAMENTO!$AF$7)/$H134*OFFSET(ORÇAMENTO!$X$15,ROW(AP134)-ROW(AP$15),0),
              ROUND(ROUND(OFFSET($P134,0,AP$13),15-13*ORÇAMENTO!$AF$7)*OFFSET(ORÇAMENTO!$W$15,ROW(AP134)-ROW(AP$15),0),15-13*ORÇAMENTO!$AF$11)),
         0)</f>
        <v>0</v>
      </c>
      <c r="AQ134" s="452">
        <f ca="1">IF(AND($D134="Serviço",AQ$12&lt;&gt;0,$H134&gt;0,OR(AUTOEVENTO&lt;&gt;"manual",$M134&lt;&gt;$A$15)),
        IF(Import.TipoArredondamento&lt;&gt;"TransfereGOV",
              ROUND(OFFSET($P134,0,AQ$13),15-13*ORÇAMENTO!$AF$7)/$H134*OFFSET(ORÇAMENTO!$X$15,ROW(AQ134)-ROW(AQ$15),0),
              ROUND(ROUND(OFFSET($P134,0,AQ$13),15-13*ORÇAMENTO!$AF$7)*OFFSET(ORÇAMENTO!$W$15,ROW(AQ134)-ROW(AQ$15),0),15-13*ORÇAMENTO!$AF$11)),
         0)</f>
        <v>0</v>
      </c>
      <c r="AR134" s="452">
        <f ca="1">IF(AND($D134="Serviço",AR$12&lt;&gt;0,$H134&gt;0,OR(AUTOEVENTO&lt;&gt;"manual",$M134&lt;&gt;$A$15)),
        IF(Import.TipoArredondamento&lt;&gt;"TransfereGOV",
              ROUND(OFFSET($P134,0,AR$13),15-13*ORÇAMENTO!$AF$7)/$H134*OFFSET(ORÇAMENTO!$X$15,ROW(AR134)-ROW(AR$15),0),
              ROUND(ROUND(OFFSET($P134,0,AR$13),15-13*ORÇAMENTO!$AF$7)*OFFSET(ORÇAMENTO!$W$15,ROW(AR134)-ROW(AR$15),0),15-13*ORÇAMENTO!$AF$11)),
         0)</f>
        <v>0</v>
      </c>
      <c r="AS134" s="452">
        <f ca="1">IF(AND($D134="Serviço",AS$12&lt;&gt;0,$H134&gt;0,OR(AUTOEVENTO&lt;&gt;"manual",$M134&lt;&gt;$A$15)),
        IF(Import.TipoArredondamento&lt;&gt;"TransfereGOV",
              ROUND(OFFSET($P134,0,AS$13),15-13*ORÇAMENTO!$AF$7)/$H134*OFFSET(ORÇAMENTO!$X$15,ROW(AS134)-ROW(AS$15),0),
              ROUND(ROUND(OFFSET($P134,0,AS$13),15-13*ORÇAMENTO!$AF$7)*OFFSET(ORÇAMENTO!$W$15,ROW(AS134)-ROW(AS$15),0),15-13*ORÇAMENTO!$AF$11)),
         0)</f>
        <v>0</v>
      </c>
      <c r="AT134" s="452">
        <f ca="1">IF(AND($D134="Serviço",AT$12&lt;&gt;0,$H134&gt;0,OR(AUTOEVENTO&lt;&gt;"manual",$M134&lt;&gt;$A$15)),
        IF(Import.TipoArredondamento&lt;&gt;"TransfereGOV",
              ROUND(OFFSET($P134,0,AT$13),15-13*ORÇAMENTO!$AF$7)/$H134*OFFSET(ORÇAMENTO!$X$15,ROW(AT134)-ROW(AT$15),0),
              ROUND(ROUND(OFFSET($P134,0,AT$13),15-13*ORÇAMENTO!$AF$7)*OFFSET(ORÇAMENTO!$W$15,ROW(AT134)-ROW(AT$15),0),15-13*ORÇAMENTO!$AF$11)),
         0)</f>
        <v>0</v>
      </c>
      <c r="AU134" s="452">
        <f ca="1">IF(AND($D134="Serviço",AU$12&lt;&gt;0,$H134&gt;0,OR(AUTOEVENTO&lt;&gt;"manual",$M134&lt;&gt;$A$15)),
        IF(Import.TipoArredondamento&lt;&gt;"TransfereGOV",
              ROUND(OFFSET($P134,0,AU$13),15-13*ORÇAMENTO!$AF$7)/$H134*OFFSET(ORÇAMENTO!$X$15,ROW(AU134)-ROW(AU$15),0),
              ROUND(ROUND(OFFSET($P134,0,AU$13),15-13*ORÇAMENTO!$AF$7)*OFFSET(ORÇAMENTO!$W$15,ROW(AU134)-ROW(AU$15),0),15-13*ORÇAMENTO!$AF$11)),
         0)</f>
        <v>0</v>
      </c>
      <c r="AV134" s="452">
        <f ca="1">IF(AND($D134="Serviço",AV$12&lt;&gt;0,$H134&gt;0,OR(AUTOEVENTO&lt;&gt;"manual",$M134&lt;&gt;$A$15)),
        IF(Import.TipoArredondamento&lt;&gt;"TransfereGOV",
              ROUND(OFFSET($P134,0,AV$13),15-13*ORÇAMENTO!$AF$7)/$H134*OFFSET(ORÇAMENTO!$X$15,ROW(AV134)-ROW(AV$15),0),
              ROUND(ROUND(OFFSET($P134,0,AV$13),15-13*ORÇAMENTO!$AF$7)*OFFSET(ORÇAMENTO!$W$15,ROW(AV134)-ROW(AV$15),0),15-13*ORÇAMENTO!$AF$11)),
         0)</f>
        <v>0</v>
      </c>
      <c r="AW134" s="452">
        <f ca="1">IF(AND($D134="Serviço",AW$12&lt;&gt;0,$H134&gt;0,OR(AUTOEVENTO&lt;&gt;"manual",$M134&lt;&gt;$A$15)),
        IF(Import.TipoArredondamento&lt;&gt;"TransfereGOV",
              ROUND(OFFSET($P134,0,AW$13),15-13*ORÇAMENTO!$AF$7)/$H134*OFFSET(ORÇAMENTO!$X$15,ROW(AW134)-ROW(AW$15),0),
              ROUND(ROUND(OFFSET($P134,0,AW$13),15-13*ORÇAMENTO!$AF$7)*OFFSET(ORÇAMENTO!$W$15,ROW(AW134)-ROW(AW$15),0),15-13*ORÇAMENTO!$AF$11)),
         0)</f>
        <v>0</v>
      </c>
      <c r="AX134" s="452">
        <f ca="1">IF(AND($D134="Serviço",AX$12&lt;&gt;0,$H134&gt;0,OR(AUTOEVENTO&lt;&gt;"manual",$M134&lt;&gt;$A$15)),
        IF(Import.TipoArredondamento&lt;&gt;"TransfereGOV",
              ROUND(OFFSET($P134,0,AX$13),15-13*ORÇAMENTO!$AF$7)/$H134*OFFSET(ORÇAMENTO!$X$15,ROW(AX134)-ROW(AX$15),0),
              ROUND(ROUND(OFFSET($P134,0,AX$13),15-13*ORÇAMENTO!$AF$7)*OFFSET(ORÇAMENTO!$W$15,ROW(AX134)-ROW(AX$15),0),15-13*ORÇAMENTO!$AF$11)),
         0)</f>
        <v>0</v>
      </c>
      <c r="AY134" s="452">
        <f ca="1">IF(AND($D134="Serviço",AY$12&lt;&gt;0,$H134&gt;0,OR(AUTOEVENTO&lt;&gt;"manual",$M134&lt;&gt;$A$15)),
        IF(Import.TipoArredondamento&lt;&gt;"TransfereGOV",
              ROUND(OFFSET($P134,0,AY$13),15-13*ORÇAMENTO!$AF$7)/$H134*OFFSET(ORÇAMENTO!$X$15,ROW(AY134)-ROW(AY$15),0),
              ROUND(ROUND(OFFSET($P134,0,AY$13),15-13*ORÇAMENTO!$AF$7)*OFFSET(ORÇAMENTO!$W$15,ROW(AY134)-ROW(AY$15),0),15-13*ORÇAMENTO!$AF$11)),
         0)</f>
        <v>0</v>
      </c>
      <c r="AZ134" s="452">
        <f ca="1">IF(AND($D134="Serviço",AZ$12&lt;&gt;0,$H134&gt;0,OR(AUTOEVENTO&lt;&gt;"manual",$M134&lt;&gt;$A$15)),
        IF(Import.TipoArredondamento&lt;&gt;"TransfereGOV",
              ROUND(OFFSET($P134,0,AZ$13),15-13*ORÇAMENTO!$AF$7)/$H134*OFFSET(ORÇAMENTO!$X$15,ROW(AZ134)-ROW(AZ$15),0),
              ROUND(ROUND(OFFSET($P134,0,AZ$13),15-13*ORÇAMENTO!$AF$7)*OFFSET(ORÇAMENTO!$W$15,ROW(AZ134)-ROW(AZ$15),0),15-13*ORÇAMENTO!$AF$11)),
         0)</f>
        <v>0</v>
      </c>
      <c r="BA134" s="452">
        <f ca="1">IF(AND($D134="Serviço",BA$12&lt;&gt;0,$H134&gt;0,OR(AUTOEVENTO&lt;&gt;"manual",$M134&lt;&gt;$A$15)),
        IF(Import.TipoArredondamento&lt;&gt;"TransfereGOV",
              ROUND(OFFSET($P134,0,BA$13),15-13*ORÇAMENTO!$AF$7)/$H134*OFFSET(ORÇAMENTO!$X$15,ROW(BA134)-ROW(BA$15),0),
              ROUND(ROUND(OFFSET($P134,0,BA$13),15-13*ORÇAMENTO!$AF$7)*OFFSET(ORÇAMENTO!$W$15,ROW(BA134)-ROW(BA$15),0),15-13*ORÇAMENTO!$AF$11)),
         0)</f>
        <v>0</v>
      </c>
      <c r="BC134" s="171">
        <f ca="1">IF(OR($D134&lt;&gt;"Serviço",AND(AUTOEVENTO="Manual",$M134=$A$15)),0,
         IF(OFFSET(CRONOPLE!$F$15,$M134-$A$15,BC$13)=0,10^12,OFFSET(CRONOPLE!$F$15,$M134-$A$15,BC$13)))</f>
        <v>7</v>
      </c>
      <c r="BD134" s="171">
        <f ca="1">IF(OR($D134&lt;&gt;"Serviço",AND(AUTOEVENTO="Manual",$M134=$A$15)),0,
         IF(OFFSET(CRONOPLE!$F$15,$M134-$A$15,BD$13)=0,10^12,OFFSET(CRONOPLE!$F$15,$M134-$A$15,BD$13)))</f>
        <v>7</v>
      </c>
      <c r="BE134" s="171">
        <f ca="1">IF(OR($D134&lt;&gt;"Serviço",AND(AUTOEVENTO="Manual",$M134=$A$15)),0,
         IF(OFFSET(CRONOPLE!$F$15,$M134-$A$15,BE$13)=0,10^12,OFFSET(CRONOPLE!$F$15,$M134-$A$15,BE$13)))</f>
        <v>8</v>
      </c>
      <c r="BF134" s="171">
        <f ca="1">IF(OR($D134&lt;&gt;"Serviço",AND(AUTOEVENTO="Manual",$M134=$A$15)),0,
         IF(OFFSET(CRONOPLE!$F$15,$M134-$A$15,BF$13)=0,10^12,OFFSET(CRONOPLE!$F$15,$M134-$A$15,BF$13)))</f>
        <v>9</v>
      </c>
      <c r="BG134" s="171">
        <f ca="1">IF(OR($D134&lt;&gt;"Serviço",AND(AUTOEVENTO="Manual",$M134=$A$15)),0,
         IF(OFFSET(CRONOPLE!$F$15,$M134-$A$15,BG$13)=0,10^12,OFFSET(CRONOPLE!$F$15,$M134-$A$15,BG$13)))</f>
        <v>9</v>
      </c>
      <c r="BH134" s="171">
        <f ca="1">IF(OR($D134&lt;&gt;"Serviço",AND(AUTOEVENTO="Manual",$M134=$A$15)),0,
         IF(OFFSET(CRONOPLE!$F$15,$M134-$A$15,BH$13)=0,10^12,OFFSET(CRONOPLE!$F$15,$M134-$A$15,BH$13)))</f>
        <v>6</v>
      </c>
      <c r="BI134" s="171">
        <f ca="1">IF(OR($D134&lt;&gt;"Serviço",AND(AUTOEVENTO="Manual",$M134=$A$15)),0,
         IF(OFFSET(CRONOPLE!$F$15,$M134-$A$15,BI$13)=0,10^12,OFFSET(CRONOPLE!$F$15,$M134-$A$15,BI$13)))</f>
        <v>1000000000000</v>
      </c>
      <c r="BJ134" s="171">
        <f ca="1">IF(OR($D134&lt;&gt;"Serviço",AND(AUTOEVENTO="Manual",$M134=$A$15)),0,
         IF(OFFSET(CRONOPLE!$F$15,$M134-$A$15,BJ$13)=0,10^12,OFFSET(CRONOPLE!$F$15,$M134-$A$15,BJ$13)))</f>
        <v>1000000000000</v>
      </c>
      <c r="BK134" s="171">
        <f ca="1">IF(OR($D134&lt;&gt;"Serviço",AND(AUTOEVENTO="Manual",$M134=$A$15)),0,
         IF(OFFSET(CRONOPLE!$F$15,$M134-$A$15,BK$13)=0,10^12,OFFSET(CRONOPLE!$F$15,$M134-$A$15,BK$13)))</f>
        <v>1000000000000</v>
      </c>
      <c r="BL134" s="171">
        <f ca="1">IF(OR($D134&lt;&gt;"Serviço",AND(AUTOEVENTO="Manual",$M134=$A$15)),0,
         IF(OFFSET(CRONOPLE!$F$15,$M134-$A$15,BL$13)=0,10^12,OFFSET(CRONOPLE!$F$15,$M134-$A$15,BL$13)))</f>
        <v>1000000000000</v>
      </c>
      <c r="BM134" s="171">
        <f ca="1">IF(OR($D134&lt;&gt;"Serviço",AND(AUTOEVENTO="Manual",$M134=$A$15)),0,
         IF(OFFSET(CRONOPLE!$F$15,$M134-$A$15,BM$13)=0,10^12,OFFSET(CRONOPLE!$F$15,$M134-$A$15,BM$13)))</f>
        <v>1000000000000</v>
      </c>
      <c r="BN134" s="171">
        <f ca="1">IF(OR($D134&lt;&gt;"Serviço",AND(AUTOEVENTO="Manual",$M134=$A$15)),0,
         IF(OFFSET(CRONOPLE!$F$15,$M134-$A$15,BN$13)=0,10^12,OFFSET(CRONOPLE!$F$15,$M134-$A$15,BN$13)))</f>
        <v>1000000000000</v>
      </c>
      <c r="BO134" s="171">
        <f ca="1">IF(OR($D134&lt;&gt;"Serviço",AND(AUTOEVENTO="Manual",$M134=$A$15)),0,
         IF(OFFSET(CRONOPLE!$F$15,$M134-$A$15,BO$13)=0,10^12,OFFSET(CRONOPLE!$F$15,$M134-$A$15,BO$13)))</f>
        <v>1000000000000</v>
      </c>
      <c r="BP134" s="171">
        <f ca="1">IF(OR($D134&lt;&gt;"Serviço",AND(AUTOEVENTO="Manual",$M134=$A$15)),0,
         IF(OFFSET(CRONOPLE!$F$15,$M134-$A$15,BP$13)=0,10^12,OFFSET(CRONOPLE!$F$15,$M134-$A$15,BP$13)))</f>
        <v>1000000000000</v>
      </c>
      <c r="BQ134" s="171">
        <f ca="1">IF(OR($D134&lt;&gt;"Serviço",AND(AUTOEVENTO="Manual",$M134=$A$15)),0,
         IF(OFFSET(CRONOPLE!$F$15,$M134-$A$15,BQ$13)=0,10^12,OFFSET(CRONOPLE!$F$15,$M134-$A$15,BQ$13)))</f>
        <v>1000000000000</v>
      </c>
      <c r="BR134" s="171">
        <f ca="1">IF(OR($D134&lt;&gt;"Serviço",AND(AUTOEVENTO="Manual",$M134=$A$15)),0,
         IF(OFFSET(CRONOPLE!$F$15,$M134-$A$15,BR$13)=0,10^12,OFFSET(CRONOPLE!$F$15,$M134-$A$15,BR$13)))</f>
        <v>1000000000000</v>
      </c>
      <c r="BS134" s="171">
        <f ca="1">IF(OR($D134&lt;&gt;"Serviço",AND(AUTOEVENTO="Manual",$M134=$A$15)),0,
         IF(OFFSET(CRONOPLE!$F$15,$M134-$A$15,BS$13)=0,10^12,OFFSET(CRONOPLE!$F$15,$M134-$A$15,BS$13)))</f>
        <v>1000000000000</v>
      </c>
      <c r="BT134" s="171">
        <f ca="1">IF(OR($D134&lt;&gt;"Serviço",AND(AUTOEVENTO="Manual",$M134=$A$15)),0,
         IF(OFFSET(CRONOPLE!$F$15,$M134-$A$15,BT$13)=0,10^12,OFFSET(CRONOPLE!$F$15,$M134-$A$15,BT$13)))</f>
        <v>1000000000000</v>
      </c>
      <c r="BV134" s="172">
        <f t="array" aca="1" ref="BV134" ca="1">IF(OR($D134&lt;&gt;"Serviço",AND(AUTOEVENTO="Manual",$M134=$A$15),$M134&gt;(ROW(PLE.lastrow)-ROW(PLE.firstrow))),0,
           IF(OFFSET(PLE!$G$15,$M134-$A$15,BV$13)="",10^12,OFFSET(PLE!$G$15,$M134-$A$15,BV$13)))</f>
        <v>1000000000000</v>
      </c>
      <c r="BW134" s="172">
        <f t="array" aca="1" ref="BW134" ca="1">IF(OR($D134&lt;&gt;"Serviço",AND(AUTOEVENTO="Manual",$M134=$A$15),$M134&gt;(ROW(PLE.lastrow)-ROW(PLE.firstrow))),0,
           IF(OFFSET(PLE!$G$15,$M134-$A$15,BW$13)="",10^12,OFFSET(PLE!$G$15,$M134-$A$15,BW$13)))</f>
        <v>1000000000000</v>
      </c>
      <c r="BX134" s="172">
        <f t="array" aca="1" ref="BX134" ca="1">IF(OR($D134&lt;&gt;"Serviço",AND(AUTOEVENTO="Manual",$M134=$A$15),$M134&gt;(ROW(PLE.lastrow)-ROW(PLE.firstrow))),0,
           IF(OFFSET(PLE!$G$15,$M134-$A$15,BX$13)="",10^12,OFFSET(PLE!$G$15,$M134-$A$15,BX$13)))</f>
        <v>1000000000000</v>
      </c>
      <c r="BY134" s="172">
        <f t="array" aca="1" ref="BY134" ca="1">IF(OR($D134&lt;&gt;"Serviço",AND(AUTOEVENTO="Manual",$M134=$A$15),$M134&gt;(ROW(PLE.lastrow)-ROW(PLE.firstrow))),0,
           IF(OFFSET(PLE!$G$15,$M134-$A$15,BY$13)="",10^12,OFFSET(PLE!$G$15,$M134-$A$15,BY$13)))</f>
        <v>1000000000000</v>
      </c>
      <c r="BZ134" s="172">
        <f t="array" aca="1" ref="BZ134" ca="1">IF(OR($D134&lt;&gt;"Serviço",AND(AUTOEVENTO="Manual",$M134=$A$15),$M134&gt;(ROW(PLE.lastrow)-ROW(PLE.firstrow))),0,
           IF(OFFSET(PLE!$G$15,$M134-$A$15,BZ$13)="",10^12,OFFSET(PLE!$G$15,$M134-$A$15,BZ$13)))</f>
        <v>1000000000000</v>
      </c>
      <c r="CA134" s="172">
        <f t="array" aca="1" ref="CA134" ca="1">IF(OR($D134&lt;&gt;"Serviço",AND(AUTOEVENTO="Manual",$M134=$A$15),$M134&gt;(ROW(PLE.lastrow)-ROW(PLE.firstrow))),0,
           IF(OFFSET(PLE!$G$15,$M134-$A$15,CA$13)="",10^12,OFFSET(PLE!$G$15,$M134-$A$15,CA$13)))</f>
        <v>1000000000000</v>
      </c>
      <c r="CB134" s="172">
        <f t="array" aca="1" ref="CB134" ca="1">IF(OR($D134&lt;&gt;"Serviço",AND(AUTOEVENTO="Manual",$M134=$A$15),$M134&gt;(ROW(PLE.lastrow)-ROW(PLE.firstrow))),0,
           IF(OFFSET(PLE!$G$15,$M134-$A$15,CB$13)="",10^12,OFFSET(PLE!$G$15,$M134-$A$15,CB$13)))</f>
        <v>1000000000000</v>
      </c>
      <c r="CC134" s="172">
        <f t="array" aca="1" ref="CC134" ca="1">IF(OR($D134&lt;&gt;"Serviço",AND(AUTOEVENTO="Manual",$M134=$A$15),$M134&gt;(ROW(PLE.lastrow)-ROW(PLE.firstrow))),0,
           IF(OFFSET(PLE!$G$15,$M134-$A$15,CC$13)="",10^12,OFFSET(PLE!$G$15,$M134-$A$15,CC$13)))</f>
        <v>1000000000000</v>
      </c>
      <c r="CD134" s="172">
        <f t="array" aca="1" ref="CD134" ca="1">IF(OR($D134&lt;&gt;"Serviço",AND(AUTOEVENTO="Manual",$M134=$A$15),$M134&gt;(ROW(PLE.lastrow)-ROW(PLE.firstrow))),0,
           IF(OFFSET(PLE!$G$15,$M134-$A$15,CD$13)="",10^12,OFFSET(PLE!$G$15,$M134-$A$15,CD$13)))</f>
        <v>1000000000000</v>
      </c>
      <c r="CE134" s="172">
        <f t="array" aca="1" ref="CE134" ca="1">IF(OR($D134&lt;&gt;"Serviço",AND(AUTOEVENTO="Manual",$M134=$A$15),$M134&gt;(ROW(PLE.lastrow)-ROW(PLE.firstrow))),0,
           IF(OFFSET(PLE!$G$15,$M134-$A$15,CE$13)="",10^12,OFFSET(PLE!$G$15,$M134-$A$15,CE$13)))</f>
        <v>1000000000000</v>
      </c>
      <c r="CF134" s="172">
        <f t="array" aca="1" ref="CF134" ca="1">IF(OR($D134&lt;&gt;"Serviço",AND(AUTOEVENTO="Manual",$M134=$A$15),$M134&gt;(ROW(PLE.lastrow)-ROW(PLE.firstrow))),0,
           IF(OFFSET(PLE!$G$15,$M134-$A$15,CF$13)="",10^12,OFFSET(PLE!$G$15,$M134-$A$15,CF$13)))</f>
        <v>1000000000000</v>
      </c>
      <c r="CG134" s="172">
        <f t="array" aca="1" ref="CG134" ca="1">IF(OR($D134&lt;&gt;"Serviço",AND(AUTOEVENTO="Manual",$M134=$A$15),$M134&gt;(ROW(PLE.lastrow)-ROW(PLE.firstrow))),0,
           IF(OFFSET(PLE!$G$15,$M134-$A$15,CG$13)="",10^12,OFFSET(PLE!$G$15,$M134-$A$15,CG$13)))</f>
        <v>1000000000000</v>
      </c>
      <c r="CH134" s="172">
        <f t="array" aca="1" ref="CH134" ca="1">IF(OR($D134&lt;&gt;"Serviço",AND(AUTOEVENTO="Manual",$M134=$A$15),$M134&gt;(ROW(PLE.lastrow)-ROW(PLE.firstrow))),0,
           IF(OFFSET(PLE!$G$15,$M134-$A$15,CH$13)="",10^12,OFFSET(PLE!$G$15,$M134-$A$15,CH$13)))</f>
        <v>1000000000000</v>
      </c>
      <c r="CI134" s="172">
        <f t="array" aca="1" ref="CI134" ca="1">IF(OR($D134&lt;&gt;"Serviço",AND(AUTOEVENTO="Manual",$M134=$A$15),$M134&gt;(ROW(PLE.lastrow)-ROW(PLE.firstrow))),0,
           IF(OFFSET(PLE!$G$15,$M134-$A$15,CI$13)="",10^12,OFFSET(PLE!$G$15,$M134-$A$15,CI$13)))</f>
        <v>1000000000000</v>
      </c>
      <c r="CJ134" s="172">
        <f t="array" aca="1" ref="CJ134" ca="1">IF(OR($D134&lt;&gt;"Serviço",AND(AUTOEVENTO="Manual",$M134=$A$15),$M134&gt;(ROW(PLE.lastrow)-ROW(PLE.firstrow))),0,
           IF(OFFSET(PLE!$G$15,$M134-$A$15,CJ$13)="",10^12,OFFSET(PLE!$G$15,$M134-$A$15,CJ$13)))</f>
        <v>1000000000000</v>
      </c>
      <c r="CK134" s="172">
        <f t="array" aca="1" ref="CK134" ca="1">IF(OR($D134&lt;&gt;"Serviço",AND(AUTOEVENTO="Manual",$M134=$A$15),$M134&gt;(ROW(PLE.lastrow)-ROW(PLE.firstrow))),0,
           IF(OFFSET(PLE!$G$15,$M134-$A$15,CK$13)="",10^12,OFFSET(PLE!$G$15,$M134-$A$15,CK$13)))</f>
        <v>1000000000000</v>
      </c>
      <c r="CL134" s="172">
        <f t="array" aca="1" ref="CL134" ca="1">IF(OR($D134&lt;&gt;"Serviço",AND(AUTOEVENTO="Manual",$M134=$A$15),$M134&gt;(ROW(PLE.lastrow)-ROW(PLE.firstrow))),0,
           IF(OFFSET(PLE!$G$15,$M134-$A$15,CL$13)="",10^12,OFFSET(PLE!$G$15,$M134-$A$15,CL$13)))</f>
        <v>1000000000000</v>
      </c>
      <c r="CM134" s="172">
        <f t="array" aca="1" ref="CM134" ca="1">IF(OR($D134&lt;&gt;"Serviço",AND(AUTOEVENTO="Manual",$M134=$A$15),$M134&gt;(ROW(PLE.lastrow)-ROW(PLE.firstrow))),0,
           IF(OFFSET(PLE!$G$15,$M134-$A$15,CM$13)="",10^12,OFFSET(PLE!$G$15,$M134-$A$15,CM$13)))</f>
        <v>1000000000000</v>
      </c>
    </row>
    <row r="135" spans="1:91" s="696" customFormat="1" ht="51" x14ac:dyDescent="0.2">
      <c r="A135" s="694">
        <f t="shared" ca="1" si="82"/>
        <v>27</v>
      </c>
      <c r="B135" s="694" t="str">
        <f ca="1">OFFSET(ORÇAMENTO!C$15,$L135,0)</f>
        <v>S</v>
      </c>
      <c r="C135" s="694" t="str">
        <f ca="1">OFFSET(ORÇAMENTO!L$15,$L135,0)</f>
        <v>F</v>
      </c>
      <c r="D135" s="116" t="str">
        <f ca="1">OFFSET(ORÇAMENTO!N$15,$L135,0)</f>
        <v>Serviço</v>
      </c>
      <c r="E135" s="117" t="str">
        <f ca="1">OFFSET(ORÇAMENTO!O$15,$L135,0)</f>
        <v>1.23.6.</v>
      </c>
      <c r="F135" s="163" t="str">
        <f ca="1">OFFSET(ORÇAMENTO!R$15,$L135,0)</f>
        <v>ENTRADA DE ENERGIA AÉREA, TIPO B1, PADRÃO CEMIG, CARGA INSTALADA DE ATÉ 10KW, BIFÁSICO, COM SAÍDA SUBTERRÂNEA, INCLUSIVE POSTE, CAIXA PARA MEDIDOR, DISJUNTOR, BARRAMENTO, ATERRAMENTO E ACESSÓRIOS</v>
      </c>
      <c r="G135" s="164" t="str">
        <f ca="1">IF($D135&lt;&gt;"Serviço","",OFFSET(ORÇAMENTO!S$15,$L135,0))</f>
        <v>un</v>
      </c>
      <c r="H135" s="122">
        <f t="array" aca="1" ref="H135" ca="1">IF($D135&lt;&gt;"Serviço",0,IF(ACOMPANHAMENTO="BM",ROUND(OFFSET(ORÇAMENTO!AJ$15,$L135,0),15-13*ORÇAMENTO!$AF$7),IF(IFERROR(CÁLCULO.FrentesPreenchidas,0)=0,0,SUM(ROUND(OFFSET($P135,0,1,1,CÁLCULO.FrentesPreenchidas),15-13*ORÇAMENTO!$AF$7)))))</f>
        <v>20</v>
      </c>
      <c r="I135" s="467" t="s">
        <v>1286</v>
      </c>
      <c r="J135" s="653" t="str">
        <f t="array" aca="1" ref="J135" ca="1">IF(OR(B135&lt;&gt;"S",CÁLCULO.FrentesPreenchidas=0),"",IF(AND(ACOMPANHAMENTO="PLE",AUTOEVENTO="Manual",OR(H135&gt;0,ORÇAMENTO!AC135="QUANT."),OR(K135="",M135=0,N135="")),"►E",IF(AND(ACOMPANHAMENTO="PLE",ORÇAMENTO!AC135="QUANT."),"►Q",IF(AND(ACOMPANHAMENTO="PLE",H135&lt;&gt;SUMPRODUCT(($Q$1:$AI$1=1)*ROUND(Q135:AI135,15))),"►S",IF(AND(COUNTIF($P$11:$AI$11,"▼")=0,H135&gt;0,I135=""),"◄M","")))))</f>
        <v/>
      </c>
      <c r="K135" s="654" t="s">
        <v>1428</v>
      </c>
      <c r="L135" s="165">
        <f t="shared" ca="1" si="83"/>
        <v>120</v>
      </c>
      <c r="M135" s="166">
        <f ca="1">IF($D135&lt;&gt;"Serviço","",
          IF(AUTOEVENTO="manual",$A135,
                IF(ISERROR(MATCH($A135,$A$15:OFFSET($A135,-1,0),0)),MAX($M$15:OFFSET(M135,-1,0))+1,
                      INDEX($M$15:OFFSET(M135,-1,0),MATCH($A135,$A$15:OFFSET($A135,-1,0),0)))))</f>
        <v>27</v>
      </c>
      <c r="N135" s="167" t="str">
        <f ca="1">IF($D135&lt;&gt;"Serviço","",
         IF(AUTOEVENTO="Manual",
                IF($A135=0,"&lt;-- defina o número do agrupador",
                       OFFSET(EVENTOS!$D$15,$A135-$A$15,0)),
                OFFSET($F$15,$A135,0)))</f>
        <v>CAIXAS E DISJUNTORES</v>
      </c>
      <c r="O135" s="168"/>
      <c r="Q135" s="169">
        <v>5</v>
      </c>
      <c r="R135" s="169">
        <v>5</v>
      </c>
      <c r="S135" s="169">
        <v>5</v>
      </c>
      <c r="T135" s="169">
        <v>5</v>
      </c>
      <c r="U135" s="169"/>
      <c r="V135" s="169"/>
      <c r="W135" s="169"/>
      <c r="X135" s="169"/>
      <c r="Y135" s="169"/>
      <c r="Z135" s="170"/>
      <c r="AA135" s="169"/>
      <c r="AB135" s="169"/>
      <c r="AC135" s="169"/>
      <c r="AD135" s="169"/>
      <c r="AE135" s="169"/>
      <c r="AF135" s="169"/>
      <c r="AG135" s="169"/>
      <c r="AH135" s="170"/>
      <c r="AJ135" s="452">
        <f ca="1">IF(AND($D135="Serviço",AJ$12&lt;&gt;0,$H135&gt;0,OR(AUTOEVENTO&lt;&gt;"manual",$M135&lt;&gt;$A$15)),
        IF(Import.TipoArredondamento&lt;&gt;"TransfereGOV",
              ROUND(OFFSET($P135,0,AJ$13),15-13*ORÇAMENTO!$AF$7)/$H135*OFFSET(ORÇAMENTO!$X$15,ROW(AJ135)-ROW(AJ$15),0),
              ROUND(ROUND(OFFSET($P135,0,AJ$13),15-13*ORÇAMENTO!$AF$7)*OFFSET(ORÇAMENTO!$W$15,ROW(AJ135)-ROW(AJ$15),0),15-13*ORÇAMENTO!$AF$11)),
         0)</f>
        <v>10030</v>
      </c>
      <c r="AK135" s="452">
        <f ca="1">IF(AND($D135="Serviço",AK$12&lt;&gt;0,$H135&gt;0,OR(AUTOEVENTO&lt;&gt;"manual",$M135&lt;&gt;$A$15)),
        IF(Import.TipoArredondamento&lt;&gt;"TransfereGOV",
              ROUND(OFFSET($P135,0,AK$13),15-13*ORÇAMENTO!$AF$7)/$H135*OFFSET(ORÇAMENTO!$X$15,ROW(AK135)-ROW(AK$15),0),
              ROUND(ROUND(OFFSET($P135,0,AK$13),15-13*ORÇAMENTO!$AF$7)*OFFSET(ORÇAMENTO!$W$15,ROW(AK135)-ROW(AK$15),0),15-13*ORÇAMENTO!$AF$11)),
         0)</f>
        <v>10030</v>
      </c>
      <c r="AL135" s="452">
        <f ca="1">IF(AND($D135="Serviço",AL$12&lt;&gt;0,$H135&gt;0,OR(AUTOEVENTO&lt;&gt;"manual",$M135&lt;&gt;$A$15)),
        IF(Import.TipoArredondamento&lt;&gt;"TransfereGOV",
              ROUND(OFFSET($P135,0,AL$13),15-13*ORÇAMENTO!$AF$7)/$H135*OFFSET(ORÇAMENTO!$X$15,ROW(AL135)-ROW(AL$15),0),
              ROUND(ROUND(OFFSET($P135,0,AL$13),15-13*ORÇAMENTO!$AF$7)*OFFSET(ORÇAMENTO!$W$15,ROW(AL135)-ROW(AL$15),0),15-13*ORÇAMENTO!$AF$11)),
         0)</f>
        <v>10030</v>
      </c>
      <c r="AM135" s="452">
        <f ca="1">IF(AND($D135="Serviço",AM$12&lt;&gt;0,$H135&gt;0,OR(AUTOEVENTO&lt;&gt;"manual",$M135&lt;&gt;$A$15)),
        IF(Import.TipoArredondamento&lt;&gt;"TransfereGOV",
              ROUND(OFFSET($P135,0,AM$13),15-13*ORÇAMENTO!$AF$7)/$H135*OFFSET(ORÇAMENTO!$X$15,ROW(AM135)-ROW(AM$15),0),
              ROUND(ROUND(OFFSET($P135,0,AM$13),15-13*ORÇAMENTO!$AF$7)*OFFSET(ORÇAMENTO!$W$15,ROW(AM135)-ROW(AM$15),0),15-13*ORÇAMENTO!$AF$11)),
         0)</f>
        <v>10030</v>
      </c>
      <c r="AN135" s="452">
        <f ca="1">IF(AND($D135="Serviço",AN$12&lt;&gt;0,$H135&gt;0,OR(AUTOEVENTO&lt;&gt;"manual",$M135&lt;&gt;$A$15)),
        IF(Import.TipoArredondamento&lt;&gt;"TransfereGOV",
              ROUND(OFFSET($P135,0,AN$13),15-13*ORÇAMENTO!$AF$7)/$H135*OFFSET(ORÇAMENTO!$X$15,ROW(AN135)-ROW(AN$15),0),
              ROUND(ROUND(OFFSET($P135,0,AN$13),15-13*ORÇAMENTO!$AF$7)*OFFSET(ORÇAMENTO!$W$15,ROW(AN135)-ROW(AN$15),0),15-13*ORÇAMENTO!$AF$11)),
         0)</f>
        <v>0</v>
      </c>
      <c r="AO135" s="452">
        <f ca="1">IF(AND($D135="Serviço",AO$12&lt;&gt;0,$H135&gt;0,OR(AUTOEVENTO&lt;&gt;"manual",$M135&lt;&gt;$A$15)),
        IF(Import.TipoArredondamento&lt;&gt;"TransfereGOV",
              ROUND(OFFSET($P135,0,AO$13),15-13*ORÇAMENTO!$AF$7)/$H135*OFFSET(ORÇAMENTO!$X$15,ROW(AO135)-ROW(AO$15),0),
              ROUND(ROUND(OFFSET($P135,0,AO$13),15-13*ORÇAMENTO!$AF$7)*OFFSET(ORÇAMENTO!$W$15,ROW(AO135)-ROW(AO$15),0),15-13*ORÇAMENTO!$AF$11)),
         0)</f>
        <v>0</v>
      </c>
      <c r="AP135" s="452">
        <f ca="1">IF(AND($D135="Serviço",AP$12&lt;&gt;0,$H135&gt;0,OR(AUTOEVENTO&lt;&gt;"manual",$M135&lt;&gt;$A$15)),
        IF(Import.TipoArredondamento&lt;&gt;"TransfereGOV",
              ROUND(OFFSET($P135,0,AP$13),15-13*ORÇAMENTO!$AF$7)/$H135*OFFSET(ORÇAMENTO!$X$15,ROW(AP135)-ROW(AP$15),0),
              ROUND(ROUND(OFFSET($P135,0,AP$13),15-13*ORÇAMENTO!$AF$7)*OFFSET(ORÇAMENTO!$W$15,ROW(AP135)-ROW(AP$15),0),15-13*ORÇAMENTO!$AF$11)),
         0)</f>
        <v>0</v>
      </c>
      <c r="AQ135" s="452">
        <f ca="1">IF(AND($D135="Serviço",AQ$12&lt;&gt;0,$H135&gt;0,OR(AUTOEVENTO&lt;&gt;"manual",$M135&lt;&gt;$A$15)),
        IF(Import.TipoArredondamento&lt;&gt;"TransfereGOV",
              ROUND(OFFSET($P135,0,AQ$13),15-13*ORÇAMENTO!$AF$7)/$H135*OFFSET(ORÇAMENTO!$X$15,ROW(AQ135)-ROW(AQ$15),0),
              ROUND(ROUND(OFFSET($P135,0,AQ$13),15-13*ORÇAMENTO!$AF$7)*OFFSET(ORÇAMENTO!$W$15,ROW(AQ135)-ROW(AQ$15),0),15-13*ORÇAMENTO!$AF$11)),
         0)</f>
        <v>0</v>
      </c>
      <c r="AR135" s="452">
        <f ca="1">IF(AND($D135="Serviço",AR$12&lt;&gt;0,$H135&gt;0,OR(AUTOEVENTO&lt;&gt;"manual",$M135&lt;&gt;$A$15)),
        IF(Import.TipoArredondamento&lt;&gt;"TransfereGOV",
              ROUND(OFFSET($P135,0,AR$13),15-13*ORÇAMENTO!$AF$7)/$H135*OFFSET(ORÇAMENTO!$X$15,ROW(AR135)-ROW(AR$15),0),
              ROUND(ROUND(OFFSET($P135,0,AR$13),15-13*ORÇAMENTO!$AF$7)*OFFSET(ORÇAMENTO!$W$15,ROW(AR135)-ROW(AR$15),0),15-13*ORÇAMENTO!$AF$11)),
         0)</f>
        <v>0</v>
      </c>
      <c r="AS135" s="452">
        <f ca="1">IF(AND($D135="Serviço",AS$12&lt;&gt;0,$H135&gt;0,OR(AUTOEVENTO&lt;&gt;"manual",$M135&lt;&gt;$A$15)),
        IF(Import.TipoArredondamento&lt;&gt;"TransfereGOV",
              ROUND(OFFSET($P135,0,AS$13),15-13*ORÇAMENTO!$AF$7)/$H135*OFFSET(ORÇAMENTO!$X$15,ROW(AS135)-ROW(AS$15),0),
              ROUND(ROUND(OFFSET($P135,0,AS$13),15-13*ORÇAMENTO!$AF$7)*OFFSET(ORÇAMENTO!$W$15,ROW(AS135)-ROW(AS$15),0),15-13*ORÇAMENTO!$AF$11)),
         0)</f>
        <v>0</v>
      </c>
      <c r="AT135" s="452">
        <f ca="1">IF(AND($D135="Serviço",AT$12&lt;&gt;0,$H135&gt;0,OR(AUTOEVENTO&lt;&gt;"manual",$M135&lt;&gt;$A$15)),
        IF(Import.TipoArredondamento&lt;&gt;"TransfereGOV",
              ROUND(OFFSET($P135,0,AT$13),15-13*ORÇAMENTO!$AF$7)/$H135*OFFSET(ORÇAMENTO!$X$15,ROW(AT135)-ROW(AT$15),0),
              ROUND(ROUND(OFFSET($P135,0,AT$13),15-13*ORÇAMENTO!$AF$7)*OFFSET(ORÇAMENTO!$W$15,ROW(AT135)-ROW(AT$15),0),15-13*ORÇAMENTO!$AF$11)),
         0)</f>
        <v>0</v>
      </c>
      <c r="AU135" s="452">
        <f ca="1">IF(AND($D135="Serviço",AU$12&lt;&gt;0,$H135&gt;0,OR(AUTOEVENTO&lt;&gt;"manual",$M135&lt;&gt;$A$15)),
        IF(Import.TipoArredondamento&lt;&gt;"TransfereGOV",
              ROUND(OFFSET($P135,0,AU$13),15-13*ORÇAMENTO!$AF$7)/$H135*OFFSET(ORÇAMENTO!$X$15,ROW(AU135)-ROW(AU$15),0),
              ROUND(ROUND(OFFSET($P135,0,AU$13),15-13*ORÇAMENTO!$AF$7)*OFFSET(ORÇAMENTO!$W$15,ROW(AU135)-ROW(AU$15),0),15-13*ORÇAMENTO!$AF$11)),
         0)</f>
        <v>0</v>
      </c>
      <c r="AV135" s="452">
        <f ca="1">IF(AND($D135="Serviço",AV$12&lt;&gt;0,$H135&gt;0,OR(AUTOEVENTO&lt;&gt;"manual",$M135&lt;&gt;$A$15)),
        IF(Import.TipoArredondamento&lt;&gt;"TransfereGOV",
              ROUND(OFFSET($P135,0,AV$13),15-13*ORÇAMENTO!$AF$7)/$H135*OFFSET(ORÇAMENTO!$X$15,ROW(AV135)-ROW(AV$15),0),
              ROUND(ROUND(OFFSET($P135,0,AV$13),15-13*ORÇAMENTO!$AF$7)*OFFSET(ORÇAMENTO!$W$15,ROW(AV135)-ROW(AV$15),0),15-13*ORÇAMENTO!$AF$11)),
         0)</f>
        <v>0</v>
      </c>
      <c r="AW135" s="452">
        <f ca="1">IF(AND($D135="Serviço",AW$12&lt;&gt;0,$H135&gt;0,OR(AUTOEVENTO&lt;&gt;"manual",$M135&lt;&gt;$A$15)),
        IF(Import.TipoArredondamento&lt;&gt;"TransfereGOV",
              ROUND(OFFSET($P135,0,AW$13),15-13*ORÇAMENTO!$AF$7)/$H135*OFFSET(ORÇAMENTO!$X$15,ROW(AW135)-ROW(AW$15),0),
              ROUND(ROUND(OFFSET($P135,0,AW$13),15-13*ORÇAMENTO!$AF$7)*OFFSET(ORÇAMENTO!$W$15,ROW(AW135)-ROW(AW$15),0),15-13*ORÇAMENTO!$AF$11)),
         0)</f>
        <v>0</v>
      </c>
      <c r="AX135" s="452">
        <f ca="1">IF(AND($D135="Serviço",AX$12&lt;&gt;0,$H135&gt;0,OR(AUTOEVENTO&lt;&gt;"manual",$M135&lt;&gt;$A$15)),
        IF(Import.TipoArredondamento&lt;&gt;"TransfereGOV",
              ROUND(OFFSET($P135,0,AX$13),15-13*ORÇAMENTO!$AF$7)/$H135*OFFSET(ORÇAMENTO!$X$15,ROW(AX135)-ROW(AX$15),0),
              ROUND(ROUND(OFFSET($P135,0,AX$13),15-13*ORÇAMENTO!$AF$7)*OFFSET(ORÇAMENTO!$W$15,ROW(AX135)-ROW(AX$15),0),15-13*ORÇAMENTO!$AF$11)),
         0)</f>
        <v>0</v>
      </c>
      <c r="AY135" s="452">
        <f ca="1">IF(AND($D135="Serviço",AY$12&lt;&gt;0,$H135&gt;0,OR(AUTOEVENTO&lt;&gt;"manual",$M135&lt;&gt;$A$15)),
        IF(Import.TipoArredondamento&lt;&gt;"TransfereGOV",
              ROUND(OFFSET($P135,0,AY$13),15-13*ORÇAMENTO!$AF$7)/$H135*OFFSET(ORÇAMENTO!$X$15,ROW(AY135)-ROW(AY$15),0),
              ROUND(ROUND(OFFSET($P135,0,AY$13),15-13*ORÇAMENTO!$AF$7)*OFFSET(ORÇAMENTO!$W$15,ROW(AY135)-ROW(AY$15),0),15-13*ORÇAMENTO!$AF$11)),
         0)</f>
        <v>0</v>
      </c>
      <c r="AZ135" s="452">
        <f ca="1">IF(AND($D135="Serviço",AZ$12&lt;&gt;0,$H135&gt;0,OR(AUTOEVENTO&lt;&gt;"manual",$M135&lt;&gt;$A$15)),
        IF(Import.TipoArredondamento&lt;&gt;"TransfereGOV",
              ROUND(OFFSET($P135,0,AZ$13),15-13*ORÇAMENTO!$AF$7)/$H135*OFFSET(ORÇAMENTO!$X$15,ROW(AZ135)-ROW(AZ$15),0),
              ROUND(ROUND(OFFSET($P135,0,AZ$13),15-13*ORÇAMENTO!$AF$7)*OFFSET(ORÇAMENTO!$W$15,ROW(AZ135)-ROW(AZ$15),0),15-13*ORÇAMENTO!$AF$11)),
         0)</f>
        <v>0</v>
      </c>
      <c r="BA135" s="452">
        <f ca="1">IF(AND($D135="Serviço",BA$12&lt;&gt;0,$H135&gt;0,OR(AUTOEVENTO&lt;&gt;"manual",$M135&lt;&gt;$A$15)),
        IF(Import.TipoArredondamento&lt;&gt;"TransfereGOV",
              ROUND(OFFSET($P135,0,BA$13),15-13*ORÇAMENTO!$AF$7)/$H135*OFFSET(ORÇAMENTO!$X$15,ROW(BA135)-ROW(BA$15),0),
              ROUND(ROUND(OFFSET($P135,0,BA$13),15-13*ORÇAMENTO!$AF$7)*OFFSET(ORÇAMENTO!$W$15,ROW(BA135)-ROW(BA$15),0),15-13*ORÇAMENTO!$AF$11)),
         0)</f>
        <v>0</v>
      </c>
      <c r="BC135" s="171">
        <f ca="1">IF(OR($D135&lt;&gt;"Serviço",AND(AUTOEVENTO="Manual",$M135=$A$15)),0,
         IF(OFFSET(CRONOPLE!$F$15,$M135-$A$15,BC$13)=0,10^12,OFFSET(CRONOPLE!$F$15,$M135-$A$15,BC$13)))</f>
        <v>7</v>
      </c>
      <c r="BD135" s="171">
        <f ca="1">IF(OR($D135&lt;&gt;"Serviço",AND(AUTOEVENTO="Manual",$M135=$A$15)),0,
         IF(OFFSET(CRONOPLE!$F$15,$M135-$A$15,BD$13)=0,10^12,OFFSET(CRONOPLE!$F$15,$M135-$A$15,BD$13)))</f>
        <v>7</v>
      </c>
      <c r="BE135" s="171">
        <f ca="1">IF(OR($D135&lt;&gt;"Serviço",AND(AUTOEVENTO="Manual",$M135=$A$15)),0,
         IF(OFFSET(CRONOPLE!$F$15,$M135-$A$15,BE$13)=0,10^12,OFFSET(CRONOPLE!$F$15,$M135-$A$15,BE$13)))</f>
        <v>8</v>
      </c>
      <c r="BF135" s="171">
        <f ca="1">IF(OR($D135&lt;&gt;"Serviço",AND(AUTOEVENTO="Manual",$M135=$A$15)),0,
         IF(OFFSET(CRONOPLE!$F$15,$M135-$A$15,BF$13)=0,10^12,OFFSET(CRONOPLE!$F$15,$M135-$A$15,BF$13)))</f>
        <v>9</v>
      </c>
      <c r="BG135" s="171">
        <f ca="1">IF(OR($D135&lt;&gt;"Serviço",AND(AUTOEVENTO="Manual",$M135=$A$15)),0,
         IF(OFFSET(CRONOPLE!$F$15,$M135-$A$15,BG$13)=0,10^12,OFFSET(CRONOPLE!$F$15,$M135-$A$15,BG$13)))</f>
        <v>9</v>
      </c>
      <c r="BH135" s="171">
        <f ca="1">IF(OR($D135&lt;&gt;"Serviço",AND(AUTOEVENTO="Manual",$M135=$A$15)),0,
         IF(OFFSET(CRONOPLE!$F$15,$M135-$A$15,BH$13)=0,10^12,OFFSET(CRONOPLE!$F$15,$M135-$A$15,BH$13)))</f>
        <v>6</v>
      </c>
      <c r="BI135" s="171">
        <f ca="1">IF(OR($D135&lt;&gt;"Serviço",AND(AUTOEVENTO="Manual",$M135=$A$15)),0,
         IF(OFFSET(CRONOPLE!$F$15,$M135-$A$15,BI$13)=0,10^12,OFFSET(CRONOPLE!$F$15,$M135-$A$15,BI$13)))</f>
        <v>1000000000000</v>
      </c>
      <c r="BJ135" s="171">
        <f ca="1">IF(OR($D135&lt;&gt;"Serviço",AND(AUTOEVENTO="Manual",$M135=$A$15)),0,
         IF(OFFSET(CRONOPLE!$F$15,$M135-$A$15,BJ$13)=0,10^12,OFFSET(CRONOPLE!$F$15,$M135-$A$15,BJ$13)))</f>
        <v>1000000000000</v>
      </c>
      <c r="BK135" s="171">
        <f ca="1">IF(OR($D135&lt;&gt;"Serviço",AND(AUTOEVENTO="Manual",$M135=$A$15)),0,
         IF(OFFSET(CRONOPLE!$F$15,$M135-$A$15,BK$13)=0,10^12,OFFSET(CRONOPLE!$F$15,$M135-$A$15,BK$13)))</f>
        <v>1000000000000</v>
      </c>
      <c r="BL135" s="171">
        <f ca="1">IF(OR($D135&lt;&gt;"Serviço",AND(AUTOEVENTO="Manual",$M135=$A$15)),0,
         IF(OFFSET(CRONOPLE!$F$15,$M135-$A$15,BL$13)=0,10^12,OFFSET(CRONOPLE!$F$15,$M135-$A$15,BL$13)))</f>
        <v>1000000000000</v>
      </c>
      <c r="BM135" s="171">
        <f ca="1">IF(OR($D135&lt;&gt;"Serviço",AND(AUTOEVENTO="Manual",$M135=$A$15)),0,
         IF(OFFSET(CRONOPLE!$F$15,$M135-$A$15,BM$13)=0,10^12,OFFSET(CRONOPLE!$F$15,$M135-$A$15,BM$13)))</f>
        <v>1000000000000</v>
      </c>
      <c r="BN135" s="171">
        <f ca="1">IF(OR($D135&lt;&gt;"Serviço",AND(AUTOEVENTO="Manual",$M135=$A$15)),0,
         IF(OFFSET(CRONOPLE!$F$15,$M135-$A$15,BN$13)=0,10^12,OFFSET(CRONOPLE!$F$15,$M135-$A$15,BN$13)))</f>
        <v>1000000000000</v>
      </c>
      <c r="BO135" s="171">
        <f ca="1">IF(OR($D135&lt;&gt;"Serviço",AND(AUTOEVENTO="Manual",$M135=$A$15)),0,
         IF(OFFSET(CRONOPLE!$F$15,$M135-$A$15,BO$13)=0,10^12,OFFSET(CRONOPLE!$F$15,$M135-$A$15,BO$13)))</f>
        <v>1000000000000</v>
      </c>
      <c r="BP135" s="171">
        <f ca="1">IF(OR($D135&lt;&gt;"Serviço",AND(AUTOEVENTO="Manual",$M135=$A$15)),0,
         IF(OFFSET(CRONOPLE!$F$15,$M135-$A$15,BP$13)=0,10^12,OFFSET(CRONOPLE!$F$15,$M135-$A$15,BP$13)))</f>
        <v>1000000000000</v>
      </c>
      <c r="BQ135" s="171">
        <f ca="1">IF(OR($D135&lt;&gt;"Serviço",AND(AUTOEVENTO="Manual",$M135=$A$15)),0,
         IF(OFFSET(CRONOPLE!$F$15,$M135-$A$15,BQ$13)=0,10^12,OFFSET(CRONOPLE!$F$15,$M135-$A$15,BQ$13)))</f>
        <v>1000000000000</v>
      </c>
      <c r="BR135" s="171">
        <f ca="1">IF(OR($D135&lt;&gt;"Serviço",AND(AUTOEVENTO="Manual",$M135=$A$15)),0,
         IF(OFFSET(CRONOPLE!$F$15,$M135-$A$15,BR$13)=0,10^12,OFFSET(CRONOPLE!$F$15,$M135-$A$15,BR$13)))</f>
        <v>1000000000000</v>
      </c>
      <c r="BS135" s="171">
        <f ca="1">IF(OR($D135&lt;&gt;"Serviço",AND(AUTOEVENTO="Manual",$M135=$A$15)),0,
         IF(OFFSET(CRONOPLE!$F$15,$M135-$A$15,BS$13)=0,10^12,OFFSET(CRONOPLE!$F$15,$M135-$A$15,BS$13)))</f>
        <v>1000000000000</v>
      </c>
      <c r="BT135" s="171">
        <f ca="1">IF(OR($D135&lt;&gt;"Serviço",AND(AUTOEVENTO="Manual",$M135=$A$15)),0,
         IF(OFFSET(CRONOPLE!$F$15,$M135-$A$15,BT$13)=0,10^12,OFFSET(CRONOPLE!$F$15,$M135-$A$15,BT$13)))</f>
        <v>1000000000000</v>
      </c>
      <c r="BV135" s="172">
        <f t="array" aca="1" ref="BV135" ca="1">IF(OR($D135&lt;&gt;"Serviço",AND(AUTOEVENTO="Manual",$M135=$A$15),$M135&gt;(ROW(PLE.lastrow)-ROW(PLE.firstrow))),0,
           IF(OFFSET(PLE!$G$15,$M135-$A$15,BV$13)="",10^12,OFFSET(PLE!$G$15,$M135-$A$15,BV$13)))</f>
        <v>1000000000000</v>
      </c>
      <c r="BW135" s="172">
        <f t="array" aca="1" ref="BW135" ca="1">IF(OR($D135&lt;&gt;"Serviço",AND(AUTOEVENTO="Manual",$M135=$A$15),$M135&gt;(ROW(PLE.lastrow)-ROW(PLE.firstrow))),0,
           IF(OFFSET(PLE!$G$15,$M135-$A$15,BW$13)="",10^12,OFFSET(PLE!$G$15,$M135-$A$15,BW$13)))</f>
        <v>1000000000000</v>
      </c>
      <c r="BX135" s="172">
        <f t="array" aca="1" ref="BX135" ca="1">IF(OR($D135&lt;&gt;"Serviço",AND(AUTOEVENTO="Manual",$M135=$A$15),$M135&gt;(ROW(PLE.lastrow)-ROW(PLE.firstrow))),0,
           IF(OFFSET(PLE!$G$15,$M135-$A$15,BX$13)="",10^12,OFFSET(PLE!$G$15,$M135-$A$15,BX$13)))</f>
        <v>1000000000000</v>
      </c>
      <c r="BY135" s="172">
        <f t="array" aca="1" ref="BY135" ca="1">IF(OR($D135&lt;&gt;"Serviço",AND(AUTOEVENTO="Manual",$M135=$A$15),$M135&gt;(ROW(PLE.lastrow)-ROW(PLE.firstrow))),0,
           IF(OFFSET(PLE!$G$15,$M135-$A$15,BY$13)="",10^12,OFFSET(PLE!$G$15,$M135-$A$15,BY$13)))</f>
        <v>1000000000000</v>
      </c>
      <c r="BZ135" s="172">
        <f t="array" aca="1" ref="BZ135" ca="1">IF(OR($D135&lt;&gt;"Serviço",AND(AUTOEVENTO="Manual",$M135=$A$15),$M135&gt;(ROW(PLE.lastrow)-ROW(PLE.firstrow))),0,
           IF(OFFSET(PLE!$G$15,$M135-$A$15,BZ$13)="",10^12,OFFSET(PLE!$G$15,$M135-$A$15,BZ$13)))</f>
        <v>1000000000000</v>
      </c>
      <c r="CA135" s="172">
        <f t="array" aca="1" ref="CA135" ca="1">IF(OR($D135&lt;&gt;"Serviço",AND(AUTOEVENTO="Manual",$M135=$A$15),$M135&gt;(ROW(PLE.lastrow)-ROW(PLE.firstrow))),0,
           IF(OFFSET(PLE!$G$15,$M135-$A$15,CA$13)="",10^12,OFFSET(PLE!$G$15,$M135-$A$15,CA$13)))</f>
        <v>1000000000000</v>
      </c>
      <c r="CB135" s="172">
        <f t="array" aca="1" ref="CB135" ca="1">IF(OR($D135&lt;&gt;"Serviço",AND(AUTOEVENTO="Manual",$M135=$A$15),$M135&gt;(ROW(PLE.lastrow)-ROW(PLE.firstrow))),0,
           IF(OFFSET(PLE!$G$15,$M135-$A$15,CB$13)="",10^12,OFFSET(PLE!$G$15,$M135-$A$15,CB$13)))</f>
        <v>1000000000000</v>
      </c>
      <c r="CC135" s="172">
        <f t="array" aca="1" ref="CC135" ca="1">IF(OR($D135&lt;&gt;"Serviço",AND(AUTOEVENTO="Manual",$M135=$A$15),$M135&gt;(ROW(PLE.lastrow)-ROW(PLE.firstrow))),0,
           IF(OFFSET(PLE!$G$15,$M135-$A$15,CC$13)="",10^12,OFFSET(PLE!$G$15,$M135-$A$15,CC$13)))</f>
        <v>1000000000000</v>
      </c>
      <c r="CD135" s="172">
        <f t="array" aca="1" ref="CD135" ca="1">IF(OR($D135&lt;&gt;"Serviço",AND(AUTOEVENTO="Manual",$M135=$A$15),$M135&gt;(ROW(PLE.lastrow)-ROW(PLE.firstrow))),0,
           IF(OFFSET(PLE!$G$15,$M135-$A$15,CD$13)="",10^12,OFFSET(PLE!$G$15,$M135-$A$15,CD$13)))</f>
        <v>1000000000000</v>
      </c>
      <c r="CE135" s="172">
        <f t="array" aca="1" ref="CE135" ca="1">IF(OR($D135&lt;&gt;"Serviço",AND(AUTOEVENTO="Manual",$M135=$A$15),$M135&gt;(ROW(PLE.lastrow)-ROW(PLE.firstrow))),0,
           IF(OFFSET(PLE!$G$15,$M135-$A$15,CE$13)="",10^12,OFFSET(PLE!$G$15,$M135-$A$15,CE$13)))</f>
        <v>1000000000000</v>
      </c>
      <c r="CF135" s="172">
        <f t="array" aca="1" ref="CF135" ca="1">IF(OR($D135&lt;&gt;"Serviço",AND(AUTOEVENTO="Manual",$M135=$A$15),$M135&gt;(ROW(PLE.lastrow)-ROW(PLE.firstrow))),0,
           IF(OFFSET(PLE!$G$15,$M135-$A$15,CF$13)="",10^12,OFFSET(PLE!$G$15,$M135-$A$15,CF$13)))</f>
        <v>1000000000000</v>
      </c>
      <c r="CG135" s="172">
        <f t="array" aca="1" ref="CG135" ca="1">IF(OR($D135&lt;&gt;"Serviço",AND(AUTOEVENTO="Manual",$M135=$A$15),$M135&gt;(ROW(PLE.lastrow)-ROW(PLE.firstrow))),0,
           IF(OFFSET(PLE!$G$15,$M135-$A$15,CG$13)="",10^12,OFFSET(PLE!$G$15,$M135-$A$15,CG$13)))</f>
        <v>1000000000000</v>
      </c>
      <c r="CH135" s="172">
        <f t="array" aca="1" ref="CH135" ca="1">IF(OR($D135&lt;&gt;"Serviço",AND(AUTOEVENTO="Manual",$M135=$A$15),$M135&gt;(ROW(PLE.lastrow)-ROW(PLE.firstrow))),0,
           IF(OFFSET(PLE!$G$15,$M135-$A$15,CH$13)="",10^12,OFFSET(PLE!$G$15,$M135-$A$15,CH$13)))</f>
        <v>1000000000000</v>
      </c>
      <c r="CI135" s="172">
        <f t="array" aca="1" ref="CI135" ca="1">IF(OR($D135&lt;&gt;"Serviço",AND(AUTOEVENTO="Manual",$M135=$A$15),$M135&gt;(ROW(PLE.lastrow)-ROW(PLE.firstrow))),0,
           IF(OFFSET(PLE!$G$15,$M135-$A$15,CI$13)="",10^12,OFFSET(PLE!$G$15,$M135-$A$15,CI$13)))</f>
        <v>1000000000000</v>
      </c>
      <c r="CJ135" s="172">
        <f t="array" aca="1" ref="CJ135" ca="1">IF(OR($D135&lt;&gt;"Serviço",AND(AUTOEVENTO="Manual",$M135=$A$15),$M135&gt;(ROW(PLE.lastrow)-ROW(PLE.firstrow))),0,
           IF(OFFSET(PLE!$G$15,$M135-$A$15,CJ$13)="",10^12,OFFSET(PLE!$G$15,$M135-$A$15,CJ$13)))</f>
        <v>1000000000000</v>
      </c>
      <c r="CK135" s="172">
        <f t="array" aca="1" ref="CK135" ca="1">IF(OR($D135&lt;&gt;"Serviço",AND(AUTOEVENTO="Manual",$M135=$A$15),$M135&gt;(ROW(PLE.lastrow)-ROW(PLE.firstrow))),0,
           IF(OFFSET(PLE!$G$15,$M135-$A$15,CK$13)="",10^12,OFFSET(PLE!$G$15,$M135-$A$15,CK$13)))</f>
        <v>1000000000000</v>
      </c>
      <c r="CL135" s="172">
        <f t="array" aca="1" ref="CL135" ca="1">IF(OR($D135&lt;&gt;"Serviço",AND(AUTOEVENTO="Manual",$M135=$A$15),$M135&gt;(ROW(PLE.lastrow)-ROW(PLE.firstrow))),0,
           IF(OFFSET(PLE!$G$15,$M135-$A$15,CL$13)="",10^12,OFFSET(PLE!$G$15,$M135-$A$15,CL$13)))</f>
        <v>1000000000000</v>
      </c>
      <c r="CM135" s="172">
        <f t="array" aca="1" ref="CM135" ca="1">IF(OR($D135&lt;&gt;"Serviço",AND(AUTOEVENTO="Manual",$M135=$A$15),$M135&gt;(ROW(PLE.lastrow)-ROW(PLE.firstrow))),0,
           IF(OFFSET(PLE!$G$15,$M135-$A$15,CM$13)="",10^12,OFFSET(PLE!$G$15,$M135-$A$15,CM$13)))</f>
        <v>1000000000000</v>
      </c>
    </row>
    <row r="136" spans="1:91" s="696" customFormat="1" ht="38.25" x14ac:dyDescent="0.2">
      <c r="A136" s="694">
        <f t="shared" ca="1" si="82"/>
        <v>35</v>
      </c>
      <c r="B136" s="694" t="str">
        <f ca="1">OFFSET(ORÇAMENTO!C$15,$L136,0)</f>
        <v>S</v>
      </c>
      <c r="C136" s="694" t="str">
        <f ca="1">OFFSET(ORÇAMENTO!L$15,$L136,0)</f>
        <v>F</v>
      </c>
      <c r="D136" s="116" t="str">
        <f ca="1">OFFSET(ORÇAMENTO!N$15,$L136,0)</f>
        <v>Serviço</v>
      </c>
      <c r="E136" s="117" t="str">
        <f ca="1">OFFSET(ORÇAMENTO!O$15,$L136,0)</f>
        <v>1.23.7.</v>
      </c>
      <c r="F136" s="163" t="str">
        <f ca="1">OFFSET(ORÇAMENTO!R$15,$L136,0)</f>
        <v>CHUVEIRO ELÉTRICO COMUM CORPO PLÁSTICO, TIPO DUCHA - FORNECIMENTO E INSTALAÇÃO. AF_01/2020</v>
      </c>
      <c r="G136" s="164" t="str">
        <f ca="1">IF($D136&lt;&gt;"Serviço","",OFFSET(ORÇAMENTO!S$15,$L136,0))</f>
        <v>UN</v>
      </c>
      <c r="H136" s="122">
        <f t="array" aca="1" ref="H136" ca="1">IF($D136&lt;&gt;"Serviço",0,IF(ACOMPANHAMENTO="BM",ROUND(OFFSET(ORÇAMENTO!AJ$15,$L136,0),15-13*ORÇAMENTO!$AF$7),IF(IFERROR(CÁLCULO.FrentesPreenchidas,0)=0,0,SUM(ROUND(OFFSET($P136,0,1,1,CÁLCULO.FrentesPreenchidas),15-13*ORÇAMENTO!$AF$7)))))</f>
        <v>20</v>
      </c>
      <c r="I136" s="467" t="s">
        <v>1287</v>
      </c>
      <c r="J136" s="653" t="str">
        <f t="array" aca="1" ref="J136" ca="1">IF(OR(B136&lt;&gt;"S",CÁLCULO.FrentesPreenchidas=0),"",IF(AND(ACOMPANHAMENTO="PLE",AUTOEVENTO="Manual",OR(H136&gt;0,ORÇAMENTO!AC136="QUANT."),OR(K136="",M136=0,N136="")),"►E",IF(AND(ACOMPANHAMENTO="PLE",ORÇAMENTO!AC136="QUANT."),"►Q",IF(AND(ACOMPANHAMENTO="PLE",H136&lt;&gt;SUMPRODUCT(($Q$1:$AI$1=1)*ROUND(Q136:AI136,15))),"►S",IF(AND(COUNTIF($P$11:$AI$11,"▼")=0,H136&gt;0,I136=""),"◄M","")))))</f>
        <v/>
      </c>
      <c r="K136" s="654" t="s">
        <v>1440</v>
      </c>
      <c r="L136" s="165">
        <f t="shared" ca="1" si="83"/>
        <v>121</v>
      </c>
      <c r="M136" s="166">
        <f ca="1">IF($D136&lt;&gt;"Serviço","",
          IF(AUTOEVENTO="manual",$A136,
                IF(ISERROR(MATCH($A136,$A$15:OFFSET($A136,-1,0),0)),MAX($M$15:OFFSET(M136,-1,0))+1,
                      INDEX($M$15:OFFSET(M136,-1,0),MATCH($A136,$A$15:OFFSET($A136,-1,0),0)))))</f>
        <v>35</v>
      </c>
      <c r="N136" s="167" t="str">
        <f ca="1">IF($D136&lt;&gt;"Serviço","",
         IF(AUTOEVENTO="Manual",
                IF($A136=0,"&lt;-- defina o número do agrupador",
                       OFFSET(EVENTOS!$D$15,$A136-$A$15,0)),
                OFFSET($F$15,$A136,0)))</f>
        <v>EQUIPAMENTOS</v>
      </c>
      <c r="O136" s="168"/>
      <c r="Q136" s="169">
        <v>5</v>
      </c>
      <c r="R136" s="169">
        <v>5</v>
      </c>
      <c r="S136" s="169">
        <v>5</v>
      </c>
      <c r="T136" s="169">
        <v>5</v>
      </c>
      <c r="U136" s="169"/>
      <c r="V136" s="169"/>
      <c r="W136" s="169"/>
      <c r="X136" s="169"/>
      <c r="Y136" s="169"/>
      <c r="Z136" s="170"/>
      <c r="AA136" s="169"/>
      <c r="AB136" s="169"/>
      <c r="AC136" s="169"/>
      <c r="AD136" s="169"/>
      <c r="AE136" s="169"/>
      <c r="AF136" s="169"/>
      <c r="AG136" s="169"/>
      <c r="AH136" s="170"/>
      <c r="AJ136" s="452">
        <f ca="1">IF(AND($D136="Serviço",AJ$12&lt;&gt;0,$H136&gt;0,OR(AUTOEVENTO&lt;&gt;"manual",$M136&lt;&gt;$A$15)),
        IF(Import.TipoArredondamento&lt;&gt;"TransfereGOV",
              ROUND(OFFSET($P136,0,AJ$13),15-13*ORÇAMENTO!$AF$7)/$H136*OFFSET(ORÇAMENTO!$X$15,ROW(AJ136)-ROW(AJ$15),0),
              ROUND(ROUND(OFFSET($P136,0,AJ$13),15-13*ORÇAMENTO!$AF$7)*OFFSET(ORÇAMENTO!$W$15,ROW(AJ136)-ROW(AJ$15),0),15-13*ORÇAMENTO!$AF$11)),
         0)</f>
        <v>632.75</v>
      </c>
      <c r="AK136" s="452">
        <f ca="1">IF(AND($D136="Serviço",AK$12&lt;&gt;0,$H136&gt;0,OR(AUTOEVENTO&lt;&gt;"manual",$M136&lt;&gt;$A$15)),
        IF(Import.TipoArredondamento&lt;&gt;"TransfereGOV",
              ROUND(OFFSET($P136,0,AK$13),15-13*ORÇAMENTO!$AF$7)/$H136*OFFSET(ORÇAMENTO!$X$15,ROW(AK136)-ROW(AK$15),0),
              ROUND(ROUND(OFFSET($P136,0,AK$13),15-13*ORÇAMENTO!$AF$7)*OFFSET(ORÇAMENTO!$W$15,ROW(AK136)-ROW(AK$15),0),15-13*ORÇAMENTO!$AF$11)),
         0)</f>
        <v>632.75</v>
      </c>
      <c r="AL136" s="452">
        <f ca="1">IF(AND($D136="Serviço",AL$12&lt;&gt;0,$H136&gt;0,OR(AUTOEVENTO&lt;&gt;"manual",$M136&lt;&gt;$A$15)),
        IF(Import.TipoArredondamento&lt;&gt;"TransfereGOV",
              ROUND(OFFSET($P136,0,AL$13),15-13*ORÇAMENTO!$AF$7)/$H136*OFFSET(ORÇAMENTO!$X$15,ROW(AL136)-ROW(AL$15),0),
              ROUND(ROUND(OFFSET($P136,0,AL$13),15-13*ORÇAMENTO!$AF$7)*OFFSET(ORÇAMENTO!$W$15,ROW(AL136)-ROW(AL$15),0),15-13*ORÇAMENTO!$AF$11)),
         0)</f>
        <v>632.75</v>
      </c>
      <c r="AM136" s="452">
        <f ca="1">IF(AND($D136="Serviço",AM$12&lt;&gt;0,$H136&gt;0,OR(AUTOEVENTO&lt;&gt;"manual",$M136&lt;&gt;$A$15)),
        IF(Import.TipoArredondamento&lt;&gt;"TransfereGOV",
              ROUND(OFFSET($P136,0,AM$13),15-13*ORÇAMENTO!$AF$7)/$H136*OFFSET(ORÇAMENTO!$X$15,ROW(AM136)-ROW(AM$15),0),
              ROUND(ROUND(OFFSET($P136,0,AM$13),15-13*ORÇAMENTO!$AF$7)*OFFSET(ORÇAMENTO!$W$15,ROW(AM136)-ROW(AM$15),0),15-13*ORÇAMENTO!$AF$11)),
         0)</f>
        <v>632.75</v>
      </c>
      <c r="AN136" s="452">
        <f ca="1">IF(AND($D136="Serviço",AN$12&lt;&gt;0,$H136&gt;0,OR(AUTOEVENTO&lt;&gt;"manual",$M136&lt;&gt;$A$15)),
        IF(Import.TipoArredondamento&lt;&gt;"TransfereGOV",
              ROUND(OFFSET($P136,0,AN$13),15-13*ORÇAMENTO!$AF$7)/$H136*OFFSET(ORÇAMENTO!$X$15,ROW(AN136)-ROW(AN$15),0),
              ROUND(ROUND(OFFSET($P136,0,AN$13),15-13*ORÇAMENTO!$AF$7)*OFFSET(ORÇAMENTO!$W$15,ROW(AN136)-ROW(AN$15),0),15-13*ORÇAMENTO!$AF$11)),
         0)</f>
        <v>0</v>
      </c>
      <c r="AO136" s="452">
        <f ca="1">IF(AND($D136="Serviço",AO$12&lt;&gt;0,$H136&gt;0,OR(AUTOEVENTO&lt;&gt;"manual",$M136&lt;&gt;$A$15)),
        IF(Import.TipoArredondamento&lt;&gt;"TransfereGOV",
              ROUND(OFFSET($P136,0,AO$13),15-13*ORÇAMENTO!$AF$7)/$H136*OFFSET(ORÇAMENTO!$X$15,ROW(AO136)-ROW(AO$15),0),
              ROUND(ROUND(OFFSET($P136,0,AO$13),15-13*ORÇAMENTO!$AF$7)*OFFSET(ORÇAMENTO!$W$15,ROW(AO136)-ROW(AO$15),0),15-13*ORÇAMENTO!$AF$11)),
         0)</f>
        <v>0</v>
      </c>
      <c r="AP136" s="452">
        <f ca="1">IF(AND($D136="Serviço",AP$12&lt;&gt;0,$H136&gt;0,OR(AUTOEVENTO&lt;&gt;"manual",$M136&lt;&gt;$A$15)),
        IF(Import.TipoArredondamento&lt;&gt;"TransfereGOV",
              ROUND(OFFSET($P136,0,AP$13),15-13*ORÇAMENTO!$AF$7)/$H136*OFFSET(ORÇAMENTO!$X$15,ROW(AP136)-ROW(AP$15),0),
              ROUND(ROUND(OFFSET($P136,0,AP$13),15-13*ORÇAMENTO!$AF$7)*OFFSET(ORÇAMENTO!$W$15,ROW(AP136)-ROW(AP$15),0),15-13*ORÇAMENTO!$AF$11)),
         0)</f>
        <v>0</v>
      </c>
      <c r="AQ136" s="452">
        <f ca="1">IF(AND($D136="Serviço",AQ$12&lt;&gt;0,$H136&gt;0,OR(AUTOEVENTO&lt;&gt;"manual",$M136&lt;&gt;$A$15)),
        IF(Import.TipoArredondamento&lt;&gt;"TransfereGOV",
              ROUND(OFFSET($P136,0,AQ$13),15-13*ORÇAMENTO!$AF$7)/$H136*OFFSET(ORÇAMENTO!$X$15,ROW(AQ136)-ROW(AQ$15),0),
              ROUND(ROUND(OFFSET($P136,0,AQ$13),15-13*ORÇAMENTO!$AF$7)*OFFSET(ORÇAMENTO!$W$15,ROW(AQ136)-ROW(AQ$15),0),15-13*ORÇAMENTO!$AF$11)),
         0)</f>
        <v>0</v>
      </c>
      <c r="AR136" s="452">
        <f ca="1">IF(AND($D136="Serviço",AR$12&lt;&gt;0,$H136&gt;0,OR(AUTOEVENTO&lt;&gt;"manual",$M136&lt;&gt;$A$15)),
        IF(Import.TipoArredondamento&lt;&gt;"TransfereGOV",
              ROUND(OFFSET($P136,0,AR$13),15-13*ORÇAMENTO!$AF$7)/$H136*OFFSET(ORÇAMENTO!$X$15,ROW(AR136)-ROW(AR$15),0),
              ROUND(ROUND(OFFSET($P136,0,AR$13),15-13*ORÇAMENTO!$AF$7)*OFFSET(ORÇAMENTO!$W$15,ROW(AR136)-ROW(AR$15),0),15-13*ORÇAMENTO!$AF$11)),
         0)</f>
        <v>0</v>
      </c>
      <c r="AS136" s="452">
        <f ca="1">IF(AND($D136="Serviço",AS$12&lt;&gt;0,$H136&gt;0,OR(AUTOEVENTO&lt;&gt;"manual",$M136&lt;&gt;$A$15)),
        IF(Import.TipoArredondamento&lt;&gt;"TransfereGOV",
              ROUND(OFFSET($P136,0,AS$13),15-13*ORÇAMENTO!$AF$7)/$H136*OFFSET(ORÇAMENTO!$X$15,ROW(AS136)-ROW(AS$15),0),
              ROUND(ROUND(OFFSET($P136,0,AS$13),15-13*ORÇAMENTO!$AF$7)*OFFSET(ORÇAMENTO!$W$15,ROW(AS136)-ROW(AS$15),0),15-13*ORÇAMENTO!$AF$11)),
         0)</f>
        <v>0</v>
      </c>
      <c r="AT136" s="452">
        <f ca="1">IF(AND($D136="Serviço",AT$12&lt;&gt;0,$H136&gt;0,OR(AUTOEVENTO&lt;&gt;"manual",$M136&lt;&gt;$A$15)),
        IF(Import.TipoArredondamento&lt;&gt;"TransfereGOV",
              ROUND(OFFSET($P136,0,AT$13),15-13*ORÇAMENTO!$AF$7)/$H136*OFFSET(ORÇAMENTO!$X$15,ROW(AT136)-ROW(AT$15),0),
              ROUND(ROUND(OFFSET($P136,0,AT$13),15-13*ORÇAMENTO!$AF$7)*OFFSET(ORÇAMENTO!$W$15,ROW(AT136)-ROW(AT$15),0),15-13*ORÇAMENTO!$AF$11)),
         0)</f>
        <v>0</v>
      </c>
      <c r="AU136" s="452">
        <f ca="1">IF(AND($D136="Serviço",AU$12&lt;&gt;0,$H136&gt;0,OR(AUTOEVENTO&lt;&gt;"manual",$M136&lt;&gt;$A$15)),
        IF(Import.TipoArredondamento&lt;&gt;"TransfereGOV",
              ROUND(OFFSET($P136,0,AU$13),15-13*ORÇAMENTO!$AF$7)/$H136*OFFSET(ORÇAMENTO!$X$15,ROW(AU136)-ROW(AU$15),0),
              ROUND(ROUND(OFFSET($P136,0,AU$13),15-13*ORÇAMENTO!$AF$7)*OFFSET(ORÇAMENTO!$W$15,ROW(AU136)-ROW(AU$15),0),15-13*ORÇAMENTO!$AF$11)),
         0)</f>
        <v>0</v>
      </c>
      <c r="AV136" s="452">
        <f ca="1">IF(AND($D136="Serviço",AV$12&lt;&gt;0,$H136&gt;0,OR(AUTOEVENTO&lt;&gt;"manual",$M136&lt;&gt;$A$15)),
        IF(Import.TipoArredondamento&lt;&gt;"TransfereGOV",
              ROUND(OFFSET($P136,0,AV$13),15-13*ORÇAMENTO!$AF$7)/$H136*OFFSET(ORÇAMENTO!$X$15,ROW(AV136)-ROW(AV$15),0),
              ROUND(ROUND(OFFSET($P136,0,AV$13),15-13*ORÇAMENTO!$AF$7)*OFFSET(ORÇAMENTO!$W$15,ROW(AV136)-ROW(AV$15),0),15-13*ORÇAMENTO!$AF$11)),
         0)</f>
        <v>0</v>
      </c>
      <c r="AW136" s="452">
        <f ca="1">IF(AND($D136="Serviço",AW$12&lt;&gt;0,$H136&gt;0,OR(AUTOEVENTO&lt;&gt;"manual",$M136&lt;&gt;$A$15)),
        IF(Import.TipoArredondamento&lt;&gt;"TransfereGOV",
              ROUND(OFFSET($P136,0,AW$13),15-13*ORÇAMENTO!$AF$7)/$H136*OFFSET(ORÇAMENTO!$X$15,ROW(AW136)-ROW(AW$15),0),
              ROUND(ROUND(OFFSET($P136,0,AW$13),15-13*ORÇAMENTO!$AF$7)*OFFSET(ORÇAMENTO!$W$15,ROW(AW136)-ROW(AW$15),0),15-13*ORÇAMENTO!$AF$11)),
         0)</f>
        <v>0</v>
      </c>
      <c r="AX136" s="452">
        <f ca="1">IF(AND($D136="Serviço",AX$12&lt;&gt;0,$H136&gt;0,OR(AUTOEVENTO&lt;&gt;"manual",$M136&lt;&gt;$A$15)),
        IF(Import.TipoArredondamento&lt;&gt;"TransfereGOV",
              ROUND(OFFSET($P136,0,AX$13),15-13*ORÇAMENTO!$AF$7)/$H136*OFFSET(ORÇAMENTO!$X$15,ROW(AX136)-ROW(AX$15),0),
              ROUND(ROUND(OFFSET($P136,0,AX$13),15-13*ORÇAMENTO!$AF$7)*OFFSET(ORÇAMENTO!$W$15,ROW(AX136)-ROW(AX$15),0),15-13*ORÇAMENTO!$AF$11)),
         0)</f>
        <v>0</v>
      </c>
      <c r="AY136" s="452">
        <f ca="1">IF(AND($D136="Serviço",AY$12&lt;&gt;0,$H136&gt;0,OR(AUTOEVENTO&lt;&gt;"manual",$M136&lt;&gt;$A$15)),
        IF(Import.TipoArredondamento&lt;&gt;"TransfereGOV",
              ROUND(OFFSET($P136,0,AY$13),15-13*ORÇAMENTO!$AF$7)/$H136*OFFSET(ORÇAMENTO!$X$15,ROW(AY136)-ROW(AY$15),0),
              ROUND(ROUND(OFFSET($P136,0,AY$13),15-13*ORÇAMENTO!$AF$7)*OFFSET(ORÇAMENTO!$W$15,ROW(AY136)-ROW(AY$15),0),15-13*ORÇAMENTO!$AF$11)),
         0)</f>
        <v>0</v>
      </c>
      <c r="AZ136" s="452">
        <f ca="1">IF(AND($D136="Serviço",AZ$12&lt;&gt;0,$H136&gt;0,OR(AUTOEVENTO&lt;&gt;"manual",$M136&lt;&gt;$A$15)),
        IF(Import.TipoArredondamento&lt;&gt;"TransfereGOV",
              ROUND(OFFSET($P136,0,AZ$13),15-13*ORÇAMENTO!$AF$7)/$H136*OFFSET(ORÇAMENTO!$X$15,ROW(AZ136)-ROW(AZ$15),0),
              ROUND(ROUND(OFFSET($P136,0,AZ$13),15-13*ORÇAMENTO!$AF$7)*OFFSET(ORÇAMENTO!$W$15,ROW(AZ136)-ROW(AZ$15),0),15-13*ORÇAMENTO!$AF$11)),
         0)</f>
        <v>0</v>
      </c>
      <c r="BA136" s="452">
        <f ca="1">IF(AND($D136="Serviço",BA$12&lt;&gt;0,$H136&gt;0,OR(AUTOEVENTO&lt;&gt;"manual",$M136&lt;&gt;$A$15)),
        IF(Import.TipoArredondamento&lt;&gt;"TransfereGOV",
              ROUND(OFFSET($P136,0,BA$13),15-13*ORÇAMENTO!$AF$7)/$H136*OFFSET(ORÇAMENTO!$X$15,ROW(BA136)-ROW(BA$15),0),
              ROUND(ROUND(OFFSET($P136,0,BA$13),15-13*ORÇAMENTO!$AF$7)*OFFSET(ORÇAMENTO!$W$15,ROW(BA136)-ROW(BA$15),0),15-13*ORÇAMENTO!$AF$11)),
         0)</f>
        <v>0</v>
      </c>
      <c r="BC136" s="171">
        <f ca="1">IF(OR($D136&lt;&gt;"Serviço",AND(AUTOEVENTO="Manual",$M136=$A$15)),0,
         IF(OFFSET(CRONOPLE!$F$15,$M136-$A$15,BC$13)=0,10^12,OFFSET(CRONOPLE!$F$15,$M136-$A$15,BC$13)))</f>
        <v>9</v>
      </c>
      <c r="BD136" s="171">
        <f ca="1">IF(OR($D136&lt;&gt;"Serviço",AND(AUTOEVENTO="Manual",$M136=$A$15)),0,
         IF(OFFSET(CRONOPLE!$F$15,$M136-$A$15,BD$13)=0,10^12,OFFSET(CRONOPLE!$F$15,$M136-$A$15,BD$13)))</f>
        <v>9</v>
      </c>
      <c r="BE136" s="171">
        <f ca="1">IF(OR($D136&lt;&gt;"Serviço",AND(AUTOEVENTO="Manual",$M136=$A$15)),0,
         IF(OFFSET(CRONOPLE!$F$15,$M136-$A$15,BE$13)=0,10^12,OFFSET(CRONOPLE!$F$15,$M136-$A$15,BE$13)))</f>
        <v>9</v>
      </c>
      <c r="BF136" s="171">
        <f ca="1">IF(OR($D136&lt;&gt;"Serviço",AND(AUTOEVENTO="Manual",$M136=$A$15)),0,
         IF(OFFSET(CRONOPLE!$F$15,$M136-$A$15,BF$13)=0,10^12,OFFSET(CRONOPLE!$F$15,$M136-$A$15,BF$13)))</f>
        <v>9</v>
      </c>
      <c r="BG136" s="171">
        <f ca="1">IF(OR($D136&lt;&gt;"Serviço",AND(AUTOEVENTO="Manual",$M136=$A$15)),0,
         IF(OFFSET(CRONOPLE!$F$15,$M136-$A$15,BG$13)=0,10^12,OFFSET(CRONOPLE!$F$15,$M136-$A$15,BG$13)))</f>
        <v>9</v>
      </c>
      <c r="BH136" s="171">
        <f ca="1">IF(OR($D136&lt;&gt;"Serviço",AND(AUTOEVENTO="Manual",$M136=$A$15)),0,
         IF(OFFSET(CRONOPLE!$F$15,$M136-$A$15,BH$13)=0,10^12,OFFSET(CRONOPLE!$F$15,$M136-$A$15,BH$13)))</f>
        <v>1000000000000</v>
      </c>
      <c r="BI136" s="171">
        <f ca="1">IF(OR($D136&lt;&gt;"Serviço",AND(AUTOEVENTO="Manual",$M136=$A$15)),0,
         IF(OFFSET(CRONOPLE!$F$15,$M136-$A$15,BI$13)=0,10^12,OFFSET(CRONOPLE!$F$15,$M136-$A$15,BI$13)))</f>
        <v>1000000000000</v>
      </c>
      <c r="BJ136" s="171">
        <f ca="1">IF(OR($D136&lt;&gt;"Serviço",AND(AUTOEVENTO="Manual",$M136=$A$15)),0,
         IF(OFFSET(CRONOPLE!$F$15,$M136-$A$15,BJ$13)=0,10^12,OFFSET(CRONOPLE!$F$15,$M136-$A$15,BJ$13)))</f>
        <v>1000000000000</v>
      </c>
      <c r="BK136" s="171">
        <f ca="1">IF(OR($D136&lt;&gt;"Serviço",AND(AUTOEVENTO="Manual",$M136=$A$15)),0,
         IF(OFFSET(CRONOPLE!$F$15,$M136-$A$15,BK$13)=0,10^12,OFFSET(CRONOPLE!$F$15,$M136-$A$15,BK$13)))</f>
        <v>1000000000000</v>
      </c>
      <c r="BL136" s="171">
        <f ca="1">IF(OR($D136&lt;&gt;"Serviço",AND(AUTOEVENTO="Manual",$M136=$A$15)),0,
         IF(OFFSET(CRONOPLE!$F$15,$M136-$A$15,BL$13)=0,10^12,OFFSET(CRONOPLE!$F$15,$M136-$A$15,BL$13)))</f>
        <v>1000000000000</v>
      </c>
      <c r="BM136" s="171">
        <f ca="1">IF(OR($D136&lt;&gt;"Serviço",AND(AUTOEVENTO="Manual",$M136=$A$15)),0,
         IF(OFFSET(CRONOPLE!$F$15,$M136-$A$15,BM$13)=0,10^12,OFFSET(CRONOPLE!$F$15,$M136-$A$15,BM$13)))</f>
        <v>1000000000000</v>
      </c>
      <c r="BN136" s="171">
        <f ca="1">IF(OR($D136&lt;&gt;"Serviço",AND(AUTOEVENTO="Manual",$M136=$A$15)),0,
         IF(OFFSET(CRONOPLE!$F$15,$M136-$A$15,BN$13)=0,10^12,OFFSET(CRONOPLE!$F$15,$M136-$A$15,BN$13)))</f>
        <v>1000000000000</v>
      </c>
      <c r="BO136" s="171">
        <f ca="1">IF(OR($D136&lt;&gt;"Serviço",AND(AUTOEVENTO="Manual",$M136=$A$15)),0,
         IF(OFFSET(CRONOPLE!$F$15,$M136-$A$15,BO$13)=0,10^12,OFFSET(CRONOPLE!$F$15,$M136-$A$15,BO$13)))</f>
        <v>1000000000000</v>
      </c>
      <c r="BP136" s="171">
        <f ca="1">IF(OR($D136&lt;&gt;"Serviço",AND(AUTOEVENTO="Manual",$M136=$A$15)),0,
         IF(OFFSET(CRONOPLE!$F$15,$M136-$A$15,BP$13)=0,10^12,OFFSET(CRONOPLE!$F$15,$M136-$A$15,BP$13)))</f>
        <v>1000000000000</v>
      </c>
      <c r="BQ136" s="171">
        <f ca="1">IF(OR($D136&lt;&gt;"Serviço",AND(AUTOEVENTO="Manual",$M136=$A$15)),0,
         IF(OFFSET(CRONOPLE!$F$15,$M136-$A$15,BQ$13)=0,10^12,OFFSET(CRONOPLE!$F$15,$M136-$A$15,BQ$13)))</f>
        <v>1000000000000</v>
      </c>
      <c r="BR136" s="171">
        <f ca="1">IF(OR($D136&lt;&gt;"Serviço",AND(AUTOEVENTO="Manual",$M136=$A$15)),0,
         IF(OFFSET(CRONOPLE!$F$15,$M136-$A$15,BR$13)=0,10^12,OFFSET(CRONOPLE!$F$15,$M136-$A$15,BR$13)))</f>
        <v>1000000000000</v>
      </c>
      <c r="BS136" s="171">
        <f ca="1">IF(OR($D136&lt;&gt;"Serviço",AND(AUTOEVENTO="Manual",$M136=$A$15)),0,
         IF(OFFSET(CRONOPLE!$F$15,$M136-$A$15,BS$13)=0,10^12,OFFSET(CRONOPLE!$F$15,$M136-$A$15,BS$13)))</f>
        <v>1000000000000</v>
      </c>
      <c r="BT136" s="171">
        <f ca="1">IF(OR($D136&lt;&gt;"Serviço",AND(AUTOEVENTO="Manual",$M136=$A$15)),0,
         IF(OFFSET(CRONOPLE!$F$15,$M136-$A$15,BT$13)=0,10^12,OFFSET(CRONOPLE!$F$15,$M136-$A$15,BT$13)))</f>
        <v>1000000000000</v>
      </c>
      <c r="BV136" s="172">
        <f t="array" aca="1" ref="BV136" ca="1">IF(OR($D136&lt;&gt;"Serviço",AND(AUTOEVENTO="Manual",$M136=$A$15),$M136&gt;(ROW(PLE.lastrow)-ROW(PLE.firstrow))),0,
           IF(OFFSET(PLE!$G$15,$M136-$A$15,BV$13)="",10^12,OFFSET(PLE!$G$15,$M136-$A$15,BV$13)))</f>
        <v>1000000000000</v>
      </c>
      <c r="BW136" s="172">
        <f t="array" aca="1" ref="BW136" ca="1">IF(OR($D136&lt;&gt;"Serviço",AND(AUTOEVENTO="Manual",$M136=$A$15),$M136&gt;(ROW(PLE.lastrow)-ROW(PLE.firstrow))),0,
           IF(OFFSET(PLE!$G$15,$M136-$A$15,BW$13)="",10^12,OFFSET(PLE!$G$15,$M136-$A$15,BW$13)))</f>
        <v>1000000000000</v>
      </c>
      <c r="BX136" s="172">
        <f t="array" aca="1" ref="BX136" ca="1">IF(OR($D136&lt;&gt;"Serviço",AND(AUTOEVENTO="Manual",$M136=$A$15),$M136&gt;(ROW(PLE.lastrow)-ROW(PLE.firstrow))),0,
           IF(OFFSET(PLE!$G$15,$M136-$A$15,BX$13)="",10^12,OFFSET(PLE!$G$15,$M136-$A$15,BX$13)))</f>
        <v>1000000000000</v>
      </c>
      <c r="BY136" s="172">
        <f t="array" aca="1" ref="BY136" ca="1">IF(OR($D136&lt;&gt;"Serviço",AND(AUTOEVENTO="Manual",$M136=$A$15),$M136&gt;(ROW(PLE.lastrow)-ROW(PLE.firstrow))),0,
           IF(OFFSET(PLE!$G$15,$M136-$A$15,BY$13)="",10^12,OFFSET(PLE!$G$15,$M136-$A$15,BY$13)))</f>
        <v>1000000000000</v>
      </c>
      <c r="BZ136" s="172">
        <f t="array" aca="1" ref="BZ136" ca="1">IF(OR($D136&lt;&gt;"Serviço",AND(AUTOEVENTO="Manual",$M136=$A$15),$M136&gt;(ROW(PLE.lastrow)-ROW(PLE.firstrow))),0,
           IF(OFFSET(PLE!$G$15,$M136-$A$15,BZ$13)="",10^12,OFFSET(PLE!$G$15,$M136-$A$15,BZ$13)))</f>
        <v>1000000000000</v>
      </c>
      <c r="CA136" s="172">
        <f t="array" aca="1" ref="CA136" ca="1">IF(OR($D136&lt;&gt;"Serviço",AND(AUTOEVENTO="Manual",$M136=$A$15),$M136&gt;(ROW(PLE.lastrow)-ROW(PLE.firstrow))),0,
           IF(OFFSET(PLE!$G$15,$M136-$A$15,CA$13)="",10^12,OFFSET(PLE!$G$15,$M136-$A$15,CA$13)))</f>
        <v>1000000000000</v>
      </c>
      <c r="CB136" s="172">
        <f t="array" aca="1" ref="CB136" ca="1">IF(OR($D136&lt;&gt;"Serviço",AND(AUTOEVENTO="Manual",$M136=$A$15),$M136&gt;(ROW(PLE.lastrow)-ROW(PLE.firstrow))),0,
           IF(OFFSET(PLE!$G$15,$M136-$A$15,CB$13)="",10^12,OFFSET(PLE!$G$15,$M136-$A$15,CB$13)))</f>
        <v>1000000000000</v>
      </c>
      <c r="CC136" s="172">
        <f t="array" aca="1" ref="CC136" ca="1">IF(OR($D136&lt;&gt;"Serviço",AND(AUTOEVENTO="Manual",$M136=$A$15),$M136&gt;(ROW(PLE.lastrow)-ROW(PLE.firstrow))),0,
           IF(OFFSET(PLE!$G$15,$M136-$A$15,CC$13)="",10^12,OFFSET(PLE!$G$15,$M136-$A$15,CC$13)))</f>
        <v>1000000000000</v>
      </c>
      <c r="CD136" s="172">
        <f t="array" aca="1" ref="CD136" ca="1">IF(OR($D136&lt;&gt;"Serviço",AND(AUTOEVENTO="Manual",$M136=$A$15),$M136&gt;(ROW(PLE.lastrow)-ROW(PLE.firstrow))),0,
           IF(OFFSET(PLE!$G$15,$M136-$A$15,CD$13)="",10^12,OFFSET(PLE!$G$15,$M136-$A$15,CD$13)))</f>
        <v>1000000000000</v>
      </c>
      <c r="CE136" s="172">
        <f t="array" aca="1" ref="CE136" ca="1">IF(OR($D136&lt;&gt;"Serviço",AND(AUTOEVENTO="Manual",$M136=$A$15),$M136&gt;(ROW(PLE.lastrow)-ROW(PLE.firstrow))),0,
           IF(OFFSET(PLE!$G$15,$M136-$A$15,CE$13)="",10^12,OFFSET(PLE!$G$15,$M136-$A$15,CE$13)))</f>
        <v>1000000000000</v>
      </c>
      <c r="CF136" s="172">
        <f t="array" aca="1" ref="CF136" ca="1">IF(OR($D136&lt;&gt;"Serviço",AND(AUTOEVENTO="Manual",$M136=$A$15),$M136&gt;(ROW(PLE.lastrow)-ROW(PLE.firstrow))),0,
           IF(OFFSET(PLE!$G$15,$M136-$A$15,CF$13)="",10^12,OFFSET(PLE!$G$15,$M136-$A$15,CF$13)))</f>
        <v>1000000000000</v>
      </c>
      <c r="CG136" s="172">
        <f t="array" aca="1" ref="CG136" ca="1">IF(OR($D136&lt;&gt;"Serviço",AND(AUTOEVENTO="Manual",$M136=$A$15),$M136&gt;(ROW(PLE.lastrow)-ROW(PLE.firstrow))),0,
           IF(OFFSET(PLE!$G$15,$M136-$A$15,CG$13)="",10^12,OFFSET(PLE!$G$15,$M136-$A$15,CG$13)))</f>
        <v>1000000000000</v>
      </c>
      <c r="CH136" s="172">
        <f t="array" aca="1" ref="CH136" ca="1">IF(OR($D136&lt;&gt;"Serviço",AND(AUTOEVENTO="Manual",$M136=$A$15),$M136&gt;(ROW(PLE.lastrow)-ROW(PLE.firstrow))),0,
           IF(OFFSET(PLE!$G$15,$M136-$A$15,CH$13)="",10^12,OFFSET(PLE!$G$15,$M136-$A$15,CH$13)))</f>
        <v>1000000000000</v>
      </c>
      <c r="CI136" s="172">
        <f t="array" aca="1" ref="CI136" ca="1">IF(OR($D136&lt;&gt;"Serviço",AND(AUTOEVENTO="Manual",$M136=$A$15),$M136&gt;(ROW(PLE.lastrow)-ROW(PLE.firstrow))),0,
           IF(OFFSET(PLE!$G$15,$M136-$A$15,CI$13)="",10^12,OFFSET(PLE!$G$15,$M136-$A$15,CI$13)))</f>
        <v>1000000000000</v>
      </c>
      <c r="CJ136" s="172">
        <f t="array" aca="1" ref="CJ136" ca="1">IF(OR($D136&lt;&gt;"Serviço",AND(AUTOEVENTO="Manual",$M136=$A$15),$M136&gt;(ROW(PLE.lastrow)-ROW(PLE.firstrow))),0,
           IF(OFFSET(PLE!$G$15,$M136-$A$15,CJ$13)="",10^12,OFFSET(PLE!$G$15,$M136-$A$15,CJ$13)))</f>
        <v>1000000000000</v>
      </c>
      <c r="CK136" s="172">
        <f t="array" aca="1" ref="CK136" ca="1">IF(OR($D136&lt;&gt;"Serviço",AND(AUTOEVENTO="Manual",$M136=$A$15),$M136&gt;(ROW(PLE.lastrow)-ROW(PLE.firstrow))),0,
           IF(OFFSET(PLE!$G$15,$M136-$A$15,CK$13)="",10^12,OFFSET(PLE!$G$15,$M136-$A$15,CK$13)))</f>
        <v>1000000000000</v>
      </c>
      <c r="CL136" s="172">
        <f t="array" aca="1" ref="CL136" ca="1">IF(OR($D136&lt;&gt;"Serviço",AND(AUTOEVENTO="Manual",$M136=$A$15),$M136&gt;(ROW(PLE.lastrow)-ROW(PLE.firstrow))),0,
           IF(OFFSET(PLE!$G$15,$M136-$A$15,CL$13)="",10^12,OFFSET(PLE!$G$15,$M136-$A$15,CL$13)))</f>
        <v>1000000000000</v>
      </c>
      <c r="CM136" s="172">
        <f t="array" aca="1" ref="CM136" ca="1">IF(OR($D136&lt;&gt;"Serviço",AND(AUTOEVENTO="Manual",$M136=$A$15),$M136&gt;(ROW(PLE.lastrow)-ROW(PLE.firstrow))),0,
           IF(OFFSET(PLE!$G$15,$M136-$A$15,CM$13)="",10^12,OFFSET(PLE!$G$15,$M136-$A$15,CM$13)))</f>
        <v>1000000000000</v>
      </c>
    </row>
    <row r="137" spans="1:91" s="696" customFormat="1" ht="12.75" x14ac:dyDescent="0.2">
      <c r="A137" s="694">
        <f t="shared" ca="1" si="82"/>
        <v>0</v>
      </c>
      <c r="B137" s="694">
        <f ca="1">OFFSET(ORÇAMENTO!C$15,$L137,0)</f>
        <v>2</v>
      </c>
      <c r="C137" s="694" t="str">
        <f ca="1">OFFSET(ORÇAMENTO!L$15,$L137,0)</f>
        <v>F</v>
      </c>
      <c r="D137" s="116" t="str">
        <f ca="1">OFFSET(ORÇAMENTO!N$15,$L137,0)</f>
        <v>Nível 2</v>
      </c>
      <c r="E137" s="117" t="str">
        <f ca="1">OFFSET(ORÇAMENTO!O$15,$L137,0)</f>
        <v>1.24.</v>
      </c>
      <c r="F137" s="163" t="str">
        <f ca="1">OFFSET(ORÇAMENTO!R$15,$L137,0)</f>
        <v>ILUMINAÇÃO, TOMADAS E INTERRUPTORES</v>
      </c>
      <c r="G137" s="164" t="str">
        <f ca="1">IF($D137&lt;&gt;"Serviço","",OFFSET(ORÇAMENTO!S$15,$L137,0))</f>
        <v/>
      </c>
      <c r="H137" s="122">
        <f t="array" aca="1" ref="H137" ca="1">IF($D137&lt;&gt;"Serviço",0,IF(ACOMPANHAMENTO="BM",ROUND(OFFSET(ORÇAMENTO!AJ$15,$L137,0),15-13*ORÇAMENTO!$AF$7),IF(IFERROR(CÁLCULO.FrentesPreenchidas,0)=0,0,SUM(ROUND(OFFSET($P137,0,1,1,CÁLCULO.FrentesPreenchidas),15-13*ORÇAMENTO!$AF$7)))))</f>
        <v>0</v>
      </c>
      <c r="I137" s="467"/>
      <c r="J137" s="653" t="str">
        <f t="array" aca="1" ref="J137" ca="1">IF(OR(B137&lt;&gt;"S",CÁLCULO.FrentesPreenchidas=0),"",IF(AND(ACOMPANHAMENTO="PLE",AUTOEVENTO="Manual",OR(H137&gt;0,ORÇAMENTO!AC137="QUANT."),OR(K137="",M137=0,N137="")),"►E",IF(AND(ACOMPANHAMENTO="PLE",ORÇAMENTO!AC137="QUANT."),"►Q",IF(AND(ACOMPANHAMENTO="PLE",H137&lt;&gt;SUMPRODUCT(($Q$1:$AI$1=1)*ROUND(Q137:AI137,15))),"►S",IF(AND(COUNTIF($P$11:$AI$11,"▼")=0,H137&gt;0,I137=""),"◄M","")))))</f>
        <v/>
      </c>
      <c r="K137" s="654"/>
      <c r="L137" s="165">
        <f t="shared" ca="1" si="83"/>
        <v>122</v>
      </c>
      <c r="M137" s="166" t="str">
        <f ca="1">IF($D137&lt;&gt;"Serviço","",
          IF(AUTOEVENTO="manual",$A137,
                IF(ISERROR(MATCH($A137,$A$15:OFFSET($A137,-1,0),0)),MAX($M$15:OFFSET(M137,-1,0))+1,
                      INDEX($M$15:OFFSET(M137,-1,0),MATCH($A137,$A$15:OFFSET($A137,-1,0),0)))))</f>
        <v/>
      </c>
      <c r="N137" s="167" t="str">
        <f ca="1">IF($D137&lt;&gt;"Serviço","",
         IF(AUTOEVENTO="Manual",
                IF($A137=0,"&lt;-- defina o número do agrupador",
                       OFFSET(EVENTOS!$D$15,$A137-$A$15,0)),
                OFFSET($F$15,$A137,0)))</f>
        <v/>
      </c>
      <c r="O137" s="168"/>
      <c r="Q137" s="169"/>
      <c r="R137" s="169"/>
      <c r="S137" s="169"/>
      <c r="T137" s="169"/>
      <c r="U137" s="169"/>
      <c r="V137" s="169"/>
      <c r="W137" s="169"/>
      <c r="X137" s="169"/>
      <c r="Y137" s="169"/>
      <c r="Z137" s="170"/>
      <c r="AA137" s="169"/>
      <c r="AB137" s="169"/>
      <c r="AC137" s="169"/>
      <c r="AD137" s="169"/>
      <c r="AE137" s="169"/>
      <c r="AF137" s="169"/>
      <c r="AG137" s="169"/>
      <c r="AH137" s="170"/>
      <c r="AJ137" s="452">
        <f ca="1">IF(AND($D137="Serviço",AJ$12&lt;&gt;0,$H137&gt;0,OR(AUTOEVENTO&lt;&gt;"manual",$M137&lt;&gt;$A$15)),
        IF(Import.TipoArredondamento&lt;&gt;"TransfereGOV",
              ROUND(OFFSET($P137,0,AJ$13),15-13*ORÇAMENTO!$AF$7)/$H137*OFFSET(ORÇAMENTO!$X$15,ROW(AJ137)-ROW(AJ$15),0),
              ROUND(ROUND(OFFSET($P137,0,AJ$13),15-13*ORÇAMENTO!$AF$7)*OFFSET(ORÇAMENTO!$W$15,ROW(AJ137)-ROW(AJ$15),0),15-13*ORÇAMENTO!$AF$11)),
         0)</f>
        <v>0</v>
      </c>
      <c r="AK137" s="452">
        <f ca="1">IF(AND($D137="Serviço",AK$12&lt;&gt;0,$H137&gt;0,OR(AUTOEVENTO&lt;&gt;"manual",$M137&lt;&gt;$A$15)),
        IF(Import.TipoArredondamento&lt;&gt;"TransfereGOV",
              ROUND(OFFSET($P137,0,AK$13),15-13*ORÇAMENTO!$AF$7)/$H137*OFFSET(ORÇAMENTO!$X$15,ROW(AK137)-ROW(AK$15),0),
              ROUND(ROUND(OFFSET($P137,0,AK$13),15-13*ORÇAMENTO!$AF$7)*OFFSET(ORÇAMENTO!$W$15,ROW(AK137)-ROW(AK$15),0),15-13*ORÇAMENTO!$AF$11)),
         0)</f>
        <v>0</v>
      </c>
      <c r="AL137" s="452">
        <f ca="1">IF(AND($D137="Serviço",AL$12&lt;&gt;0,$H137&gt;0,OR(AUTOEVENTO&lt;&gt;"manual",$M137&lt;&gt;$A$15)),
        IF(Import.TipoArredondamento&lt;&gt;"TransfereGOV",
              ROUND(OFFSET($P137,0,AL$13),15-13*ORÇAMENTO!$AF$7)/$H137*OFFSET(ORÇAMENTO!$X$15,ROW(AL137)-ROW(AL$15),0),
              ROUND(ROUND(OFFSET($P137,0,AL$13),15-13*ORÇAMENTO!$AF$7)*OFFSET(ORÇAMENTO!$W$15,ROW(AL137)-ROW(AL$15),0),15-13*ORÇAMENTO!$AF$11)),
         0)</f>
        <v>0</v>
      </c>
      <c r="AM137" s="452">
        <f ca="1">IF(AND($D137="Serviço",AM$12&lt;&gt;0,$H137&gt;0,OR(AUTOEVENTO&lt;&gt;"manual",$M137&lt;&gt;$A$15)),
        IF(Import.TipoArredondamento&lt;&gt;"TransfereGOV",
              ROUND(OFFSET($P137,0,AM$13),15-13*ORÇAMENTO!$AF$7)/$H137*OFFSET(ORÇAMENTO!$X$15,ROW(AM137)-ROW(AM$15),0),
              ROUND(ROUND(OFFSET($P137,0,AM$13),15-13*ORÇAMENTO!$AF$7)*OFFSET(ORÇAMENTO!$W$15,ROW(AM137)-ROW(AM$15),0),15-13*ORÇAMENTO!$AF$11)),
         0)</f>
        <v>0</v>
      </c>
      <c r="AN137" s="452">
        <f ca="1">IF(AND($D137="Serviço",AN$12&lt;&gt;0,$H137&gt;0,OR(AUTOEVENTO&lt;&gt;"manual",$M137&lt;&gt;$A$15)),
        IF(Import.TipoArredondamento&lt;&gt;"TransfereGOV",
              ROUND(OFFSET($P137,0,AN$13),15-13*ORÇAMENTO!$AF$7)/$H137*OFFSET(ORÇAMENTO!$X$15,ROW(AN137)-ROW(AN$15),0),
              ROUND(ROUND(OFFSET($P137,0,AN$13),15-13*ORÇAMENTO!$AF$7)*OFFSET(ORÇAMENTO!$W$15,ROW(AN137)-ROW(AN$15),0),15-13*ORÇAMENTO!$AF$11)),
         0)</f>
        <v>0</v>
      </c>
      <c r="AO137" s="452">
        <f ca="1">IF(AND($D137="Serviço",AO$12&lt;&gt;0,$H137&gt;0,OR(AUTOEVENTO&lt;&gt;"manual",$M137&lt;&gt;$A$15)),
        IF(Import.TipoArredondamento&lt;&gt;"TransfereGOV",
              ROUND(OFFSET($P137,0,AO$13),15-13*ORÇAMENTO!$AF$7)/$H137*OFFSET(ORÇAMENTO!$X$15,ROW(AO137)-ROW(AO$15),0),
              ROUND(ROUND(OFFSET($P137,0,AO$13),15-13*ORÇAMENTO!$AF$7)*OFFSET(ORÇAMENTO!$W$15,ROW(AO137)-ROW(AO$15),0),15-13*ORÇAMENTO!$AF$11)),
         0)</f>
        <v>0</v>
      </c>
      <c r="AP137" s="452">
        <f ca="1">IF(AND($D137="Serviço",AP$12&lt;&gt;0,$H137&gt;0,OR(AUTOEVENTO&lt;&gt;"manual",$M137&lt;&gt;$A$15)),
        IF(Import.TipoArredondamento&lt;&gt;"TransfereGOV",
              ROUND(OFFSET($P137,0,AP$13),15-13*ORÇAMENTO!$AF$7)/$H137*OFFSET(ORÇAMENTO!$X$15,ROW(AP137)-ROW(AP$15),0),
              ROUND(ROUND(OFFSET($P137,0,AP$13),15-13*ORÇAMENTO!$AF$7)*OFFSET(ORÇAMENTO!$W$15,ROW(AP137)-ROW(AP$15),0),15-13*ORÇAMENTO!$AF$11)),
         0)</f>
        <v>0</v>
      </c>
      <c r="AQ137" s="452">
        <f ca="1">IF(AND($D137="Serviço",AQ$12&lt;&gt;0,$H137&gt;0,OR(AUTOEVENTO&lt;&gt;"manual",$M137&lt;&gt;$A$15)),
        IF(Import.TipoArredondamento&lt;&gt;"TransfereGOV",
              ROUND(OFFSET($P137,0,AQ$13),15-13*ORÇAMENTO!$AF$7)/$H137*OFFSET(ORÇAMENTO!$X$15,ROW(AQ137)-ROW(AQ$15),0),
              ROUND(ROUND(OFFSET($P137,0,AQ$13),15-13*ORÇAMENTO!$AF$7)*OFFSET(ORÇAMENTO!$W$15,ROW(AQ137)-ROW(AQ$15),0),15-13*ORÇAMENTO!$AF$11)),
         0)</f>
        <v>0</v>
      </c>
      <c r="AR137" s="452">
        <f ca="1">IF(AND($D137="Serviço",AR$12&lt;&gt;0,$H137&gt;0,OR(AUTOEVENTO&lt;&gt;"manual",$M137&lt;&gt;$A$15)),
        IF(Import.TipoArredondamento&lt;&gt;"TransfereGOV",
              ROUND(OFFSET($P137,0,AR$13),15-13*ORÇAMENTO!$AF$7)/$H137*OFFSET(ORÇAMENTO!$X$15,ROW(AR137)-ROW(AR$15),0),
              ROUND(ROUND(OFFSET($P137,0,AR$13),15-13*ORÇAMENTO!$AF$7)*OFFSET(ORÇAMENTO!$W$15,ROW(AR137)-ROW(AR$15),0),15-13*ORÇAMENTO!$AF$11)),
         0)</f>
        <v>0</v>
      </c>
      <c r="AS137" s="452">
        <f ca="1">IF(AND($D137="Serviço",AS$12&lt;&gt;0,$H137&gt;0,OR(AUTOEVENTO&lt;&gt;"manual",$M137&lt;&gt;$A$15)),
        IF(Import.TipoArredondamento&lt;&gt;"TransfereGOV",
              ROUND(OFFSET($P137,0,AS$13),15-13*ORÇAMENTO!$AF$7)/$H137*OFFSET(ORÇAMENTO!$X$15,ROW(AS137)-ROW(AS$15),0),
              ROUND(ROUND(OFFSET($P137,0,AS$13),15-13*ORÇAMENTO!$AF$7)*OFFSET(ORÇAMENTO!$W$15,ROW(AS137)-ROW(AS$15),0),15-13*ORÇAMENTO!$AF$11)),
         0)</f>
        <v>0</v>
      </c>
      <c r="AT137" s="452">
        <f ca="1">IF(AND($D137="Serviço",AT$12&lt;&gt;0,$H137&gt;0,OR(AUTOEVENTO&lt;&gt;"manual",$M137&lt;&gt;$A$15)),
        IF(Import.TipoArredondamento&lt;&gt;"TransfereGOV",
              ROUND(OFFSET($P137,0,AT$13),15-13*ORÇAMENTO!$AF$7)/$H137*OFFSET(ORÇAMENTO!$X$15,ROW(AT137)-ROW(AT$15),0),
              ROUND(ROUND(OFFSET($P137,0,AT$13),15-13*ORÇAMENTO!$AF$7)*OFFSET(ORÇAMENTO!$W$15,ROW(AT137)-ROW(AT$15),0),15-13*ORÇAMENTO!$AF$11)),
         0)</f>
        <v>0</v>
      </c>
      <c r="AU137" s="452">
        <f ca="1">IF(AND($D137="Serviço",AU$12&lt;&gt;0,$H137&gt;0,OR(AUTOEVENTO&lt;&gt;"manual",$M137&lt;&gt;$A$15)),
        IF(Import.TipoArredondamento&lt;&gt;"TransfereGOV",
              ROUND(OFFSET($P137,0,AU$13),15-13*ORÇAMENTO!$AF$7)/$H137*OFFSET(ORÇAMENTO!$X$15,ROW(AU137)-ROW(AU$15),0),
              ROUND(ROUND(OFFSET($P137,0,AU$13),15-13*ORÇAMENTO!$AF$7)*OFFSET(ORÇAMENTO!$W$15,ROW(AU137)-ROW(AU$15),0),15-13*ORÇAMENTO!$AF$11)),
         0)</f>
        <v>0</v>
      </c>
      <c r="AV137" s="452">
        <f ca="1">IF(AND($D137="Serviço",AV$12&lt;&gt;0,$H137&gt;0,OR(AUTOEVENTO&lt;&gt;"manual",$M137&lt;&gt;$A$15)),
        IF(Import.TipoArredondamento&lt;&gt;"TransfereGOV",
              ROUND(OFFSET($P137,0,AV$13),15-13*ORÇAMENTO!$AF$7)/$H137*OFFSET(ORÇAMENTO!$X$15,ROW(AV137)-ROW(AV$15),0),
              ROUND(ROUND(OFFSET($P137,0,AV$13),15-13*ORÇAMENTO!$AF$7)*OFFSET(ORÇAMENTO!$W$15,ROW(AV137)-ROW(AV$15),0),15-13*ORÇAMENTO!$AF$11)),
         0)</f>
        <v>0</v>
      </c>
      <c r="AW137" s="452">
        <f ca="1">IF(AND($D137="Serviço",AW$12&lt;&gt;0,$H137&gt;0,OR(AUTOEVENTO&lt;&gt;"manual",$M137&lt;&gt;$A$15)),
        IF(Import.TipoArredondamento&lt;&gt;"TransfereGOV",
              ROUND(OFFSET($P137,0,AW$13),15-13*ORÇAMENTO!$AF$7)/$H137*OFFSET(ORÇAMENTO!$X$15,ROW(AW137)-ROW(AW$15),0),
              ROUND(ROUND(OFFSET($P137,0,AW$13),15-13*ORÇAMENTO!$AF$7)*OFFSET(ORÇAMENTO!$W$15,ROW(AW137)-ROW(AW$15),0),15-13*ORÇAMENTO!$AF$11)),
         0)</f>
        <v>0</v>
      </c>
      <c r="AX137" s="452">
        <f ca="1">IF(AND($D137="Serviço",AX$12&lt;&gt;0,$H137&gt;0,OR(AUTOEVENTO&lt;&gt;"manual",$M137&lt;&gt;$A$15)),
        IF(Import.TipoArredondamento&lt;&gt;"TransfereGOV",
              ROUND(OFFSET($P137,0,AX$13),15-13*ORÇAMENTO!$AF$7)/$H137*OFFSET(ORÇAMENTO!$X$15,ROW(AX137)-ROW(AX$15),0),
              ROUND(ROUND(OFFSET($P137,0,AX$13),15-13*ORÇAMENTO!$AF$7)*OFFSET(ORÇAMENTO!$W$15,ROW(AX137)-ROW(AX$15),0),15-13*ORÇAMENTO!$AF$11)),
         0)</f>
        <v>0</v>
      </c>
      <c r="AY137" s="452">
        <f ca="1">IF(AND($D137="Serviço",AY$12&lt;&gt;0,$H137&gt;0,OR(AUTOEVENTO&lt;&gt;"manual",$M137&lt;&gt;$A$15)),
        IF(Import.TipoArredondamento&lt;&gt;"TransfereGOV",
              ROUND(OFFSET($P137,0,AY$13),15-13*ORÇAMENTO!$AF$7)/$H137*OFFSET(ORÇAMENTO!$X$15,ROW(AY137)-ROW(AY$15),0),
              ROUND(ROUND(OFFSET($P137,0,AY$13),15-13*ORÇAMENTO!$AF$7)*OFFSET(ORÇAMENTO!$W$15,ROW(AY137)-ROW(AY$15),0),15-13*ORÇAMENTO!$AF$11)),
         0)</f>
        <v>0</v>
      </c>
      <c r="AZ137" s="452">
        <f ca="1">IF(AND($D137="Serviço",AZ$12&lt;&gt;0,$H137&gt;0,OR(AUTOEVENTO&lt;&gt;"manual",$M137&lt;&gt;$A$15)),
        IF(Import.TipoArredondamento&lt;&gt;"TransfereGOV",
              ROUND(OFFSET($P137,0,AZ$13),15-13*ORÇAMENTO!$AF$7)/$H137*OFFSET(ORÇAMENTO!$X$15,ROW(AZ137)-ROW(AZ$15),0),
              ROUND(ROUND(OFFSET($P137,0,AZ$13),15-13*ORÇAMENTO!$AF$7)*OFFSET(ORÇAMENTO!$W$15,ROW(AZ137)-ROW(AZ$15),0),15-13*ORÇAMENTO!$AF$11)),
         0)</f>
        <v>0</v>
      </c>
      <c r="BA137" s="452">
        <f ca="1">IF(AND($D137="Serviço",BA$12&lt;&gt;0,$H137&gt;0,OR(AUTOEVENTO&lt;&gt;"manual",$M137&lt;&gt;$A$15)),
        IF(Import.TipoArredondamento&lt;&gt;"TransfereGOV",
              ROUND(OFFSET($P137,0,BA$13),15-13*ORÇAMENTO!$AF$7)/$H137*OFFSET(ORÇAMENTO!$X$15,ROW(BA137)-ROW(BA$15),0),
              ROUND(ROUND(OFFSET($P137,0,BA$13),15-13*ORÇAMENTO!$AF$7)*OFFSET(ORÇAMENTO!$W$15,ROW(BA137)-ROW(BA$15),0),15-13*ORÇAMENTO!$AF$11)),
         0)</f>
        <v>0</v>
      </c>
      <c r="BC137" s="171">
        <f ca="1">IF(OR($D137&lt;&gt;"Serviço",AND(AUTOEVENTO="Manual",$M137=$A$15)),0,
         IF(OFFSET(CRONOPLE!$F$15,$M137-$A$15,BC$13)=0,10^12,OFFSET(CRONOPLE!$F$15,$M137-$A$15,BC$13)))</f>
        <v>0</v>
      </c>
      <c r="BD137" s="171">
        <f ca="1">IF(OR($D137&lt;&gt;"Serviço",AND(AUTOEVENTO="Manual",$M137=$A$15)),0,
         IF(OFFSET(CRONOPLE!$F$15,$M137-$A$15,BD$13)=0,10^12,OFFSET(CRONOPLE!$F$15,$M137-$A$15,BD$13)))</f>
        <v>0</v>
      </c>
      <c r="BE137" s="171">
        <f ca="1">IF(OR($D137&lt;&gt;"Serviço",AND(AUTOEVENTO="Manual",$M137=$A$15)),0,
         IF(OFFSET(CRONOPLE!$F$15,$M137-$A$15,BE$13)=0,10^12,OFFSET(CRONOPLE!$F$15,$M137-$A$15,BE$13)))</f>
        <v>0</v>
      </c>
      <c r="BF137" s="171">
        <f ca="1">IF(OR($D137&lt;&gt;"Serviço",AND(AUTOEVENTO="Manual",$M137=$A$15)),0,
         IF(OFFSET(CRONOPLE!$F$15,$M137-$A$15,BF$13)=0,10^12,OFFSET(CRONOPLE!$F$15,$M137-$A$15,BF$13)))</f>
        <v>0</v>
      </c>
      <c r="BG137" s="171">
        <f ca="1">IF(OR($D137&lt;&gt;"Serviço",AND(AUTOEVENTO="Manual",$M137=$A$15)),0,
         IF(OFFSET(CRONOPLE!$F$15,$M137-$A$15,BG$13)=0,10^12,OFFSET(CRONOPLE!$F$15,$M137-$A$15,BG$13)))</f>
        <v>0</v>
      </c>
      <c r="BH137" s="171">
        <f ca="1">IF(OR($D137&lt;&gt;"Serviço",AND(AUTOEVENTO="Manual",$M137=$A$15)),0,
         IF(OFFSET(CRONOPLE!$F$15,$M137-$A$15,BH$13)=0,10^12,OFFSET(CRONOPLE!$F$15,$M137-$A$15,BH$13)))</f>
        <v>0</v>
      </c>
      <c r="BI137" s="171">
        <f ca="1">IF(OR($D137&lt;&gt;"Serviço",AND(AUTOEVENTO="Manual",$M137=$A$15)),0,
         IF(OFFSET(CRONOPLE!$F$15,$M137-$A$15,BI$13)=0,10^12,OFFSET(CRONOPLE!$F$15,$M137-$A$15,BI$13)))</f>
        <v>0</v>
      </c>
      <c r="BJ137" s="171">
        <f ca="1">IF(OR($D137&lt;&gt;"Serviço",AND(AUTOEVENTO="Manual",$M137=$A$15)),0,
         IF(OFFSET(CRONOPLE!$F$15,$M137-$A$15,BJ$13)=0,10^12,OFFSET(CRONOPLE!$F$15,$M137-$A$15,BJ$13)))</f>
        <v>0</v>
      </c>
      <c r="BK137" s="171">
        <f ca="1">IF(OR($D137&lt;&gt;"Serviço",AND(AUTOEVENTO="Manual",$M137=$A$15)),0,
         IF(OFFSET(CRONOPLE!$F$15,$M137-$A$15,BK$13)=0,10^12,OFFSET(CRONOPLE!$F$15,$M137-$A$15,BK$13)))</f>
        <v>0</v>
      </c>
      <c r="BL137" s="171">
        <f ca="1">IF(OR($D137&lt;&gt;"Serviço",AND(AUTOEVENTO="Manual",$M137=$A$15)),0,
         IF(OFFSET(CRONOPLE!$F$15,$M137-$A$15,BL$13)=0,10^12,OFFSET(CRONOPLE!$F$15,$M137-$A$15,BL$13)))</f>
        <v>0</v>
      </c>
      <c r="BM137" s="171">
        <f ca="1">IF(OR($D137&lt;&gt;"Serviço",AND(AUTOEVENTO="Manual",$M137=$A$15)),0,
         IF(OFFSET(CRONOPLE!$F$15,$M137-$A$15,BM$13)=0,10^12,OFFSET(CRONOPLE!$F$15,$M137-$A$15,BM$13)))</f>
        <v>0</v>
      </c>
      <c r="BN137" s="171">
        <f ca="1">IF(OR($D137&lt;&gt;"Serviço",AND(AUTOEVENTO="Manual",$M137=$A$15)),0,
         IF(OFFSET(CRONOPLE!$F$15,$M137-$A$15,BN$13)=0,10^12,OFFSET(CRONOPLE!$F$15,$M137-$A$15,BN$13)))</f>
        <v>0</v>
      </c>
      <c r="BO137" s="171">
        <f ca="1">IF(OR($D137&lt;&gt;"Serviço",AND(AUTOEVENTO="Manual",$M137=$A$15)),0,
         IF(OFFSET(CRONOPLE!$F$15,$M137-$A$15,BO$13)=0,10^12,OFFSET(CRONOPLE!$F$15,$M137-$A$15,BO$13)))</f>
        <v>0</v>
      </c>
      <c r="BP137" s="171">
        <f ca="1">IF(OR($D137&lt;&gt;"Serviço",AND(AUTOEVENTO="Manual",$M137=$A$15)),0,
         IF(OFFSET(CRONOPLE!$F$15,$M137-$A$15,BP$13)=0,10^12,OFFSET(CRONOPLE!$F$15,$M137-$A$15,BP$13)))</f>
        <v>0</v>
      </c>
      <c r="BQ137" s="171">
        <f ca="1">IF(OR($D137&lt;&gt;"Serviço",AND(AUTOEVENTO="Manual",$M137=$A$15)),0,
         IF(OFFSET(CRONOPLE!$F$15,$M137-$A$15,BQ$13)=0,10^12,OFFSET(CRONOPLE!$F$15,$M137-$A$15,BQ$13)))</f>
        <v>0</v>
      </c>
      <c r="BR137" s="171">
        <f ca="1">IF(OR($D137&lt;&gt;"Serviço",AND(AUTOEVENTO="Manual",$M137=$A$15)),0,
         IF(OFFSET(CRONOPLE!$F$15,$M137-$A$15,BR$13)=0,10^12,OFFSET(CRONOPLE!$F$15,$M137-$A$15,BR$13)))</f>
        <v>0</v>
      </c>
      <c r="BS137" s="171">
        <f ca="1">IF(OR($D137&lt;&gt;"Serviço",AND(AUTOEVENTO="Manual",$M137=$A$15)),0,
         IF(OFFSET(CRONOPLE!$F$15,$M137-$A$15,BS$13)=0,10^12,OFFSET(CRONOPLE!$F$15,$M137-$A$15,BS$13)))</f>
        <v>0</v>
      </c>
      <c r="BT137" s="171">
        <f ca="1">IF(OR($D137&lt;&gt;"Serviço",AND(AUTOEVENTO="Manual",$M137=$A$15)),0,
         IF(OFFSET(CRONOPLE!$F$15,$M137-$A$15,BT$13)=0,10^12,OFFSET(CRONOPLE!$F$15,$M137-$A$15,BT$13)))</f>
        <v>0</v>
      </c>
      <c r="BV137" s="172">
        <f t="array" aca="1" ref="BV137" ca="1">IF(OR($D137&lt;&gt;"Serviço",AND(AUTOEVENTO="Manual",$M137=$A$15),$M137&gt;(ROW(PLE.lastrow)-ROW(PLE.firstrow))),0,
           IF(OFFSET(PLE!$G$15,$M137-$A$15,BV$13)="",10^12,OFFSET(PLE!$G$15,$M137-$A$15,BV$13)))</f>
        <v>0</v>
      </c>
      <c r="BW137" s="172">
        <f t="array" aca="1" ref="BW137" ca="1">IF(OR($D137&lt;&gt;"Serviço",AND(AUTOEVENTO="Manual",$M137=$A$15),$M137&gt;(ROW(PLE.lastrow)-ROW(PLE.firstrow))),0,
           IF(OFFSET(PLE!$G$15,$M137-$A$15,BW$13)="",10^12,OFFSET(PLE!$G$15,$M137-$A$15,BW$13)))</f>
        <v>0</v>
      </c>
      <c r="BX137" s="172">
        <f t="array" aca="1" ref="BX137" ca="1">IF(OR($D137&lt;&gt;"Serviço",AND(AUTOEVENTO="Manual",$M137=$A$15),$M137&gt;(ROW(PLE.lastrow)-ROW(PLE.firstrow))),0,
           IF(OFFSET(PLE!$G$15,$M137-$A$15,BX$13)="",10^12,OFFSET(PLE!$G$15,$M137-$A$15,BX$13)))</f>
        <v>0</v>
      </c>
      <c r="BY137" s="172">
        <f t="array" aca="1" ref="BY137" ca="1">IF(OR($D137&lt;&gt;"Serviço",AND(AUTOEVENTO="Manual",$M137=$A$15),$M137&gt;(ROW(PLE.lastrow)-ROW(PLE.firstrow))),0,
           IF(OFFSET(PLE!$G$15,$M137-$A$15,BY$13)="",10^12,OFFSET(PLE!$G$15,$M137-$A$15,BY$13)))</f>
        <v>0</v>
      </c>
      <c r="BZ137" s="172">
        <f t="array" aca="1" ref="BZ137" ca="1">IF(OR($D137&lt;&gt;"Serviço",AND(AUTOEVENTO="Manual",$M137=$A$15),$M137&gt;(ROW(PLE.lastrow)-ROW(PLE.firstrow))),0,
           IF(OFFSET(PLE!$G$15,$M137-$A$15,BZ$13)="",10^12,OFFSET(PLE!$G$15,$M137-$A$15,BZ$13)))</f>
        <v>0</v>
      </c>
      <c r="CA137" s="172">
        <f t="array" aca="1" ref="CA137" ca="1">IF(OR($D137&lt;&gt;"Serviço",AND(AUTOEVENTO="Manual",$M137=$A$15),$M137&gt;(ROW(PLE.lastrow)-ROW(PLE.firstrow))),0,
           IF(OFFSET(PLE!$G$15,$M137-$A$15,CA$13)="",10^12,OFFSET(PLE!$G$15,$M137-$A$15,CA$13)))</f>
        <v>0</v>
      </c>
      <c r="CB137" s="172">
        <f t="array" aca="1" ref="CB137" ca="1">IF(OR($D137&lt;&gt;"Serviço",AND(AUTOEVENTO="Manual",$M137=$A$15),$M137&gt;(ROW(PLE.lastrow)-ROW(PLE.firstrow))),0,
           IF(OFFSET(PLE!$G$15,$M137-$A$15,CB$13)="",10^12,OFFSET(PLE!$G$15,$M137-$A$15,CB$13)))</f>
        <v>0</v>
      </c>
      <c r="CC137" s="172">
        <f t="array" aca="1" ref="CC137" ca="1">IF(OR($D137&lt;&gt;"Serviço",AND(AUTOEVENTO="Manual",$M137=$A$15),$M137&gt;(ROW(PLE.lastrow)-ROW(PLE.firstrow))),0,
           IF(OFFSET(PLE!$G$15,$M137-$A$15,CC$13)="",10^12,OFFSET(PLE!$G$15,$M137-$A$15,CC$13)))</f>
        <v>0</v>
      </c>
      <c r="CD137" s="172">
        <f t="array" aca="1" ref="CD137" ca="1">IF(OR($D137&lt;&gt;"Serviço",AND(AUTOEVENTO="Manual",$M137=$A$15),$M137&gt;(ROW(PLE.lastrow)-ROW(PLE.firstrow))),0,
           IF(OFFSET(PLE!$G$15,$M137-$A$15,CD$13)="",10^12,OFFSET(PLE!$G$15,$M137-$A$15,CD$13)))</f>
        <v>0</v>
      </c>
      <c r="CE137" s="172">
        <f t="array" aca="1" ref="CE137" ca="1">IF(OR($D137&lt;&gt;"Serviço",AND(AUTOEVENTO="Manual",$M137=$A$15),$M137&gt;(ROW(PLE.lastrow)-ROW(PLE.firstrow))),0,
           IF(OFFSET(PLE!$G$15,$M137-$A$15,CE$13)="",10^12,OFFSET(PLE!$G$15,$M137-$A$15,CE$13)))</f>
        <v>0</v>
      </c>
      <c r="CF137" s="172">
        <f t="array" aca="1" ref="CF137" ca="1">IF(OR($D137&lt;&gt;"Serviço",AND(AUTOEVENTO="Manual",$M137=$A$15),$M137&gt;(ROW(PLE.lastrow)-ROW(PLE.firstrow))),0,
           IF(OFFSET(PLE!$G$15,$M137-$A$15,CF$13)="",10^12,OFFSET(PLE!$G$15,$M137-$A$15,CF$13)))</f>
        <v>0</v>
      </c>
      <c r="CG137" s="172">
        <f t="array" aca="1" ref="CG137" ca="1">IF(OR($D137&lt;&gt;"Serviço",AND(AUTOEVENTO="Manual",$M137=$A$15),$M137&gt;(ROW(PLE.lastrow)-ROW(PLE.firstrow))),0,
           IF(OFFSET(PLE!$G$15,$M137-$A$15,CG$13)="",10^12,OFFSET(PLE!$G$15,$M137-$A$15,CG$13)))</f>
        <v>0</v>
      </c>
      <c r="CH137" s="172">
        <f t="array" aca="1" ref="CH137" ca="1">IF(OR($D137&lt;&gt;"Serviço",AND(AUTOEVENTO="Manual",$M137=$A$15),$M137&gt;(ROW(PLE.lastrow)-ROW(PLE.firstrow))),0,
           IF(OFFSET(PLE!$G$15,$M137-$A$15,CH$13)="",10^12,OFFSET(PLE!$G$15,$M137-$A$15,CH$13)))</f>
        <v>0</v>
      </c>
      <c r="CI137" s="172">
        <f t="array" aca="1" ref="CI137" ca="1">IF(OR($D137&lt;&gt;"Serviço",AND(AUTOEVENTO="Manual",$M137=$A$15),$M137&gt;(ROW(PLE.lastrow)-ROW(PLE.firstrow))),0,
           IF(OFFSET(PLE!$G$15,$M137-$A$15,CI$13)="",10^12,OFFSET(PLE!$G$15,$M137-$A$15,CI$13)))</f>
        <v>0</v>
      </c>
      <c r="CJ137" s="172">
        <f t="array" aca="1" ref="CJ137" ca="1">IF(OR($D137&lt;&gt;"Serviço",AND(AUTOEVENTO="Manual",$M137=$A$15),$M137&gt;(ROW(PLE.lastrow)-ROW(PLE.firstrow))),0,
           IF(OFFSET(PLE!$G$15,$M137-$A$15,CJ$13)="",10^12,OFFSET(PLE!$G$15,$M137-$A$15,CJ$13)))</f>
        <v>0</v>
      </c>
      <c r="CK137" s="172">
        <f t="array" aca="1" ref="CK137" ca="1">IF(OR($D137&lt;&gt;"Serviço",AND(AUTOEVENTO="Manual",$M137=$A$15),$M137&gt;(ROW(PLE.lastrow)-ROW(PLE.firstrow))),0,
           IF(OFFSET(PLE!$G$15,$M137-$A$15,CK$13)="",10^12,OFFSET(PLE!$G$15,$M137-$A$15,CK$13)))</f>
        <v>0</v>
      </c>
      <c r="CL137" s="172">
        <f t="array" aca="1" ref="CL137" ca="1">IF(OR($D137&lt;&gt;"Serviço",AND(AUTOEVENTO="Manual",$M137=$A$15),$M137&gt;(ROW(PLE.lastrow)-ROW(PLE.firstrow))),0,
           IF(OFFSET(PLE!$G$15,$M137-$A$15,CL$13)="",10^12,OFFSET(PLE!$G$15,$M137-$A$15,CL$13)))</f>
        <v>0</v>
      </c>
      <c r="CM137" s="172">
        <f t="array" aca="1" ref="CM137" ca="1">IF(OR($D137&lt;&gt;"Serviço",AND(AUTOEVENTO="Manual",$M137=$A$15),$M137&gt;(ROW(PLE.lastrow)-ROW(PLE.firstrow))),0,
           IF(OFFSET(PLE!$G$15,$M137-$A$15,CM$13)="",10^12,OFFSET(PLE!$G$15,$M137-$A$15,CM$13)))</f>
        <v>0</v>
      </c>
    </row>
    <row r="138" spans="1:91" s="696" customFormat="1" ht="38.25" x14ac:dyDescent="0.2">
      <c r="A138" s="694">
        <f t="shared" ca="1" si="82"/>
        <v>32</v>
      </c>
      <c r="B138" s="694" t="str">
        <f ca="1">OFFSET(ORÇAMENTO!C$15,$L138,0)</f>
        <v>S</v>
      </c>
      <c r="C138" s="694" t="str">
        <f ca="1">OFFSET(ORÇAMENTO!L$15,$L138,0)</f>
        <v>F</v>
      </c>
      <c r="D138" s="116" t="str">
        <f ca="1">OFFSET(ORÇAMENTO!N$15,$L138,0)</f>
        <v>Serviço</v>
      </c>
      <c r="E138" s="117" t="str">
        <f ca="1">OFFSET(ORÇAMENTO!O$15,$L138,0)</f>
        <v>1.24.1.</v>
      </c>
      <c r="F138" s="163" t="str">
        <f ca="1">OFFSET(ORÇAMENTO!R$15,$L138,0)</f>
        <v>LUMINÁRIA TIPO PLAFON CIRCULAR, DE SOBREPOR, COM LED DE 12/13 W - FORNECIMENTO E INSTALAÇÃO. AF_09/2024</v>
      </c>
      <c r="G138" s="164" t="str">
        <f ca="1">IF($D138&lt;&gt;"Serviço","",OFFSET(ORÇAMENTO!S$15,$L138,0))</f>
        <v>UN</v>
      </c>
      <c r="H138" s="122">
        <f t="array" aca="1" ref="H138" ca="1">IF($D138&lt;&gt;"Serviço",0,IF(ACOMPANHAMENTO="BM",ROUND(OFFSET(ORÇAMENTO!AJ$15,$L138,0),15-13*ORÇAMENTO!$AF$7),IF(IFERROR(CÁLCULO.FrentesPreenchidas,0)=0,0,SUM(ROUND(OFFSET($P138,0,1,1,CÁLCULO.FrentesPreenchidas),15-13*ORÇAMENTO!$AF$7)))))</f>
        <v>140</v>
      </c>
      <c r="I138" s="467" t="s">
        <v>1288</v>
      </c>
      <c r="J138" s="653" t="str">
        <f t="array" aca="1" ref="J138" ca="1">IF(OR(B138&lt;&gt;"S",CÁLCULO.FrentesPreenchidas=0),"",IF(AND(ACOMPANHAMENTO="PLE",AUTOEVENTO="Manual",OR(H138&gt;0,ORÇAMENTO!AC138="QUANT."),OR(K138="",M138=0,N138="")),"►E",IF(AND(ACOMPANHAMENTO="PLE",ORÇAMENTO!AC138="QUANT."),"►Q",IF(AND(ACOMPANHAMENTO="PLE",H138&lt;&gt;SUMPRODUCT(($Q$1:$AI$1=1)*ROUND(Q138:AI138,15))),"►S",IF(AND(COUNTIF($P$11:$AI$11,"▼")=0,H138&gt;0,I138=""),"◄M","")))))</f>
        <v/>
      </c>
      <c r="K138" s="654" t="s">
        <v>1441</v>
      </c>
      <c r="L138" s="165">
        <f t="shared" ca="1" si="83"/>
        <v>123</v>
      </c>
      <c r="M138" s="166">
        <f ca="1">IF($D138&lt;&gt;"Serviço","",
          IF(AUTOEVENTO="manual",$A138,
                IF(ISERROR(MATCH($A138,$A$15:OFFSET($A138,-1,0),0)),MAX($M$15:OFFSET(M138,-1,0))+1,
                      INDEX($M$15:OFFSET(M138,-1,0),MATCH($A138,$A$15:OFFSET($A138,-1,0),0)))))</f>
        <v>32</v>
      </c>
      <c r="N138" s="167" t="str">
        <f ca="1">IF($D138&lt;&gt;"Serviço","",
         IF(AUTOEVENTO="Manual",
                IF($A138=0,"&lt;-- defina o número do agrupador",
                       OFFSET(EVENTOS!$D$15,$A138-$A$15,0)),
                OFFSET($F$15,$A138,0)))</f>
        <v>ACABAMENTOS ELÉTRICOS</v>
      </c>
      <c r="O138" s="168"/>
      <c r="Q138" s="169">
        <v>35</v>
      </c>
      <c r="R138" s="169">
        <v>35</v>
      </c>
      <c r="S138" s="169">
        <v>35</v>
      </c>
      <c r="T138" s="169">
        <v>35</v>
      </c>
      <c r="U138" s="169"/>
      <c r="V138" s="169"/>
      <c r="W138" s="169"/>
      <c r="X138" s="169"/>
      <c r="Y138" s="169"/>
      <c r="Z138" s="170"/>
      <c r="AA138" s="169"/>
      <c r="AB138" s="169"/>
      <c r="AC138" s="169"/>
      <c r="AD138" s="169"/>
      <c r="AE138" s="169"/>
      <c r="AF138" s="169"/>
      <c r="AG138" s="169"/>
      <c r="AH138" s="170"/>
      <c r="AJ138" s="452">
        <f ca="1">IF(AND($D138="Serviço",AJ$12&lt;&gt;0,$H138&gt;0,OR(AUTOEVENTO&lt;&gt;"manual",$M138&lt;&gt;$A$15)),
        IF(Import.TipoArredondamento&lt;&gt;"TransfereGOV",
              ROUND(OFFSET($P138,0,AJ$13),15-13*ORÇAMENTO!$AF$7)/$H138*OFFSET(ORÇAMENTO!$X$15,ROW(AJ138)-ROW(AJ$15),0),
              ROUND(ROUND(OFFSET($P138,0,AJ$13),15-13*ORÇAMENTO!$AF$7)*OFFSET(ORÇAMENTO!$W$15,ROW(AJ138)-ROW(AJ$15),0),15-13*ORÇAMENTO!$AF$11)),
         0)</f>
        <v>1211.3499999999999</v>
      </c>
      <c r="AK138" s="452">
        <f ca="1">IF(AND($D138="Serviço",AK$12&lt;&gt;0,$H138&gt;0,OR(AUTOEVENTO&lt;&gt;"manual",$M138&lt;&gt;$A$15)),
        IF(Import.TipoArredondamento&lt;&gt;"TransfereGOV",
              ROUND(OFFSET($P138,0,AK$13),15-13*ORÇAMENTO!$AF$7)/$H138*OFFSET(ORÇAMENTO!$X$15,ROW(AK138)-ROW(AK$15),0),
              ROUND(ROUND(OFFSET($P138,0,AK$13),15-13*ORÇAMENTO!$AF$7)*OFFSET(ORÇAMENTO!$W$15,ROW(AK138)-ROW(AK$15),0),15-13*ORÇAMENTO!$AF$11)),
         0)</f>
        <v>1211.3499999999999</v>
      </c>
      <c r="AL138" s="452">
        <f ca="1">IF(AND($D138="Serviço",AL$12&lt;&gt;0,$H138&gt;0,OR(AUTOEVENTO&lt;&gt;"manual",$M138&lt;&gt;$A$15)),
        IF(Import.TipoArredondamento&lt;&gt;"TransfereGOV",
              ROUND(OFFSET($P138,0,AL$13),15-13*ORÇAMENTO!$AF$7)/$H138*OFFSET(ORÇAMENTO!$X$15,ROW(AL138)-ROW(AL$15),0),
              ROUND(ROUND(OFFSET($P138,0,AL$13),15-13*ORÇAMENTO!$AF$7)*OFFSET(ORÇAMENTO!$W$15,ROW(AL138)-ROW(AL$15),0),15-13*ORÇAMENTO!$AF$11)),
         0)</f>
        <v>1211.3499999999999</v>
      </c>
      <c r="AM138" s="452">
        <f ca="1">IF(AND($D138="Serviço",AM$12&lt;&gt;0,$H138&gt;0,OR(AUTOEVENTO&lt;&gt;"manual",$M138&lt;&gt;$A$15)),
        IF(Import.TipoArredondamento&lt;&gt;"TransfereGOV",
              ROUND(OFFSET($P138,0,AM$13),15-13*ORÇAMENTO!$AF$7)/$H138*OFFSET(ORÇAMENTO!$X$15,ROW(AM138)-ROW(AM$15),0),
              ROUND(ROUND(OFFSET($P138,0,AM$13),15-13*ORÇAMENTO!$AF$7)*OFFSET(ORÇAMENTO!$W$15,ROW(AM138)-ROW(AM$15),0),15-13*ORÇAMENTO!$AF$11)),
         0)</f>
        <v>1211.3499999999999</v>
      </c>
      <c r="AN138" s="452">
        <f ca="1">IF(AND($D138="Serviço",AN$12&lt;&gt;0,$H138&gt;0,OR(AUTOEVENTO&lt;&gt;"manual",$M138&lt;&gt;$A$15)),
        IF(Import.TipoArredondamento&lt;&gt;"TransfereGOV",
              ROUND(OFFSET($P138,0,AN$13),15-13*ORÇAMENTO!$AF$7)/$H138*OFFSET(ORÇAMENTO!$X$15,ROW(AN138)-ROW(AN$15),0),
              ROUND(ROUND(OFFSET($P138,0,AN$13),15-13*ORÇAMENTO!$AF$7)*OFFSET(ORÇAMENTO!$W$15,ROW(AN138)-ROW(AN$15),0),15-13*ORÇAMENTO!$AF$11)),
         0)</f>
        <v>0</v>
      </c>
      <c r="AO138" s="452">
        <f ca="1">IF(AND($D138="Serviço",AO$12&lt;&gt;0,$H138&gt;0,OR(AUTOEVENTO&lt;&gt;"manual",$M138&lt;&gt;$A$15)),
        IF(Import.TipoArredondamento&lt;&gt;"TransfereGOV",
              ROUND(OFFSET($P138,0,AO$13),15-13*ORÇAMENTO!$AF$7)/$H138*OFFSET(ORÇAMENTO!$X$15,ROW(AO138)-ROW(AO$15),0),
              ROUND(ROUND(OFFSET($P138,0,AO$13),15-13*ORÇAMENTO!$AF$7)*OFFSET(ORÇAMENTO!$W$15,ROW(AO138)-ROW(AO$15),0),15-13*ORÇAMENTO!$AF$11)),
         0)</f>
        <v>0</v>
      </c>
      <c r="AP138" s="452">
        <f ca="1">IF(AND($D138="Serviço",AP$12&lt;&gt;0,$H138&gt;0,OR(AUTOEVENTO&lt;&gt;"manual",$M138&lt;&gt;$A$15)),
        IF(Import.TipoArredondamento&lt;&gt;"TransfereGOV",
              ROUND(OFFSET($P138,0,AP$13),15-13*ORÇAMENTO!$AF$7)/$H138*OFFSET(ORÇAMENTO!$X$15,ROW(AP138)-ROW(AP$15),0),
              ROUND(ROUND(OFFSET($P138,0,AP$13),15-13*ORÇAMENTO!$AF$7)*OFFSET(ORÇAMENTO!$W$15,ROW(AP138)-ROW(AP$15),0),15-13*ORÇAMENTO!$AF$11)),
         0)</f>
        <v>0</v>
      </c>
      <c r="AQ138" s="452">
        <f ca="1">IF(AND($D138="Serviço",AQ$12&lt;&gt;0,$H138&gt;0,OR(AUTOEVENTO&lt;&gt;"manual",$M138&lt;&gt;$A$15)),
        IF(Import.TipoArredondamento&lt;&gt;"TransfereGOV",
              ROUND(OFFSET($P138,0,AQ$13),15-13*ORÇAMENTO!$AF$7)/$H138*OFFSET(ORÇAMENTO!$X$15,ROW(AQ138)-ROW(AQ$15),0),
              ROUND(ROUND(OFFSET($P138,0,AQ$13),15-13*ORÇAMENTO!$AF$7)*OFFSET(ORÇAMENTO!$W$15,ROW(AQ138)-ROW(AQ$15),0),15-13*ORÇAMENTO!$AF$11)),
         0)</f>
        <v>0</v>
      </c>
      <c r="AR138" s="452">
        <f ca="1">IF(AND($D138="Serviço",AR$12&lt;&gt;0,$H138&gt;0,OR(AUTOEVENTO&lt;&gt;"manual",$M138&lt;&gt;$A$15)),
        IF(Import.TipoArredondamento&lt;&gt;"TransfereGOV",
              ROUND(OFFSET($P138,0,AR$13),15-13*ORÇAMENTO!$AF$7)/$H138*OFFSET(ORÇAMENTO!$X$15,ROW(AR138)-ROW(AR$15),0),
              ROUND(ROUND(OFFSET($P138,0,AR$13),15-13*ORÇAMENTO!$AF$7)*OFFSET(ORÇAMENTO!$W$15,ROW(AR138)-ROW(AR$15),0),15-13*ORÇAMENTO!$AF$11)),
         0)</f>
        <v>0</v>
      </c>
      <c r="AS138" s="452">
        <f ca="1">IF(AND($D138="Serviço",AS$12&lt;&gt;0,$H138&gt;0,OR(AUTOEVENTO&lt;&gt;"manual",$M138&lt;&gt;$A$15)),
        IF(Import.TipoArredondamento&lt;&gt;"TransfereGOV",
              ROUND(OFFSET($P138,0,AS$13),15-13*ORÇAMENTO!$AF$7)/$H138*OFFSET(ORÇAMENTO!$X$15,ROW(AS138)-ROW(AS$15),0),
              ROUND(ROUND(OFFSET($P138,0,AS$13),15-13*ORÇAMENTO!$AF$7)*OFFSET(ORÇAMENTO!$W$15,ROW(AS138)-ROW(AS$15),0),15-13*ORÇAMENTO!$AF$11)),
         0)</f>
        <v>0</v>
      </c>
      <c r="AT138" s="452">
        <f ca="1">IF(AND($D138="Serviço",AT$12&lt;&gt;0,$H138&gt;0,OR(AUTOEVENTO&lt;&gt;"manual",$M138&lt;&gt;$A$15)),
        IF(Import.TipoArredondamento&lt;&gt;"TransfereGOV",
              ROUND(OFFSET($P138,0,AT$13),15-13*ORÇAMENTO!$AF$7)/$H138*OFFSET(ORÇAMENTO!$X$15,ROW(AT138)-ROW(AT$15),0),
              ROUND(ROUND(OFFSET($P138,0,AT$13),15-13*ORÇAMENTO!$AF$7)*OFFSET(ORÇAMENTO!$W$15,ROW(AT138)-ROW(AT$15),0),15-13*ORÇAMENTO!$AF$11)),
         0)</f>
        <v>0</v>
      </c>
      <c r="AU138" s="452">
        <f ca="1">IF(AND($D138="Serviço",AU$12&lt;&gt;0,$H138&gt;0,OR(AUTOEVENTO&lt;&gt;"manual",$M138&lt;&gt;$A$15)),
        IF(Import.TipoArredondamento&lt;&gt;"TransfereGOV",
              ROUND(OFFSET($P138,0,AU$13),15-13*ORÇAMENTO!$AF$7)/$H138*OFFSET(ORÇAMENTO!$X$15,ROW(AU138)-ROW(AU$15),0),
              ROUND(ROUND(OFFSET($P138,0,AU$13),15-13*ORÇAMENTO!$AF$7)*OFFSET(ORÇAMENTO!$W$15,ROW(AU138)-ROW(AU$15),0),15-13*ORÇAMENTO!$AF$11)),
         0)</f>
        <v>0</v>
      </c>
      <c r="AV138" s="452">
        <f ca="1">IF(AND($D138="Serviço",AV$12&lt;&gt;0,$H138&gt;0,OR(AUTOEVENTO&lt;&gt;"manual",$M138&lt;&gt;$A$15)),
        IF(Import.TipoArredondamento&lt;&gt;"TransfereGOV",
              ROUND(OFFSET($P138,0,AV$13),15-13*ORÇAMENTO!$AF$7)/$H138*OFFSET(ORÇAMENTO!$X$15,ROW(AV138)-ROW(AV$15),0),
              ROUND(ROUND(OFFSET($P138,0,AV$13),15-13*ORÇAMENTO!$AF$7)*OFFSET(ORÇAMENTO!$W$15,ROW(AV138)-ROW(AV$15),0),15-13*ORÇAMENTO!$AF$11)),
         0)</f>
        <v>0</v>
      </c>
      <c r="AW138" s="452">
        <f ca="1">IF(AND($D138="Serviço",AW$12&lt;&gt;0,$H138&gt;0,OR(AUTOEVENTO&lt;&gt;"manual",$M138&lt;&gt;$A$15)),
        IF(Import.TipoArredondamento&lt;&gt;"TransfereGOV",
              ROUND(OFFSET($P138,0,AW$13),15-13*ORÇAMENTO!$AF$7)/$H138*OFFSET(ORÇAMENTO!$X$15,ROW(AW138)-ROW(AW$15),0),
              ROUND(ROUND(OFFSET($P138,0,AW$13),15-13*ORÇAMENTO!$AF$7)*OFFSET(ORÇAMENTO!$W$15,ROW(AW138)-ROW(AW$15),0),15-13*ORÇAMENTO!$AF$11)),
         0)</f>
        <v>0</v>
      </c>
      <c r="AX138" s="452">
        <f ca="1">IF(AND($D138="Serviço",AX$12&lt;&gt;0,$H138&gt;0,OR(AUTOEVENTO&lt;&gt;"manual",$M138&lt;&gt;$A$15)),
        IF(Import.TipoArredondamento&lt;&gt;"TransfereGOV",
              ROUND(OFFSET($P138,0,AX$13),15-13*ORÇAMENTO!$AF$7)/$H138*OFFSET(ORÇAMENTO!$X$15,ROW(AX138)-ROW(AX$15),0),
              ROUND(ROUND(OFFSET($P138,0,AX$13),15-13*ORÇAMENTO!$AF$7)*OFFSET(ORÇAMENTO!$W$15,ROW(AX138)-ROW(AX$15),0),15-13*ORÇAMENTO!$AF$11)),
         0)</f>
        <v>0</v>
      </c>
      <c r="AY138" s="452">
        <f ca="1">IF(AND($D138="Serviço",AY$12&lt;&gt;0,$H138&gt;0,OR(AUTOEVENTO&lt;&gt;"manual",$M138&lt;&gt;$A$15)),
        IF(Import.TipoArredondamento&lt;&gt;"TransfereGOV",
              ROUND(OFFSET($P138,0,AY$13),15-13*ORÇAMENTO!$AF$7)/$H138*OFFSET(ORÇAMENTO!$X$15,ROW(AY138)-ROW(AY$15),0),
              ROUND(ROUND(OFFSET($P138,0,AY$13),15-13*ORÇAMENTO!$AF$7)*OFFSET(ORÇAMENTO!$W$15,ROW(AY138)-ROW(AY$15),0),15-13*ORÇAMENTO!$AF$11)),
         0)</f>
        <v>0</v>
      </c>
      <c r="AZ138" s="452">
        <f ca="1">IF(AND($D138="Serviço",AZ$12&lt;&gt;0,$H138&gt;0,OR(AUTOEVENTO&lt;&gt;"manual",$M138&lt;&gt;$A$15)),
        IF(Import.TipoArredondamento&lt;&gt;"TransfereGOV",
              ROUND(OFFSET($P138,0,AZ$13),15-13*ORÇAMENTO!$AF$7)/$H138*OFFSET(ORÇAMENTO!$X$15,ROW(AZ138)-ROW(AZ$15),0),
              ROUND(ROUND(OFFSET($P138,0,AZ$13),15-13*ORÇAMENTO!$AF$7)*OFFSET(ORÇAMENTO!$W$15,ROW(AZ138)-ROW(AZ$15),0),15-13*ORÇAMENTO!$AF$11)),
         0)</f>
        <v>0</v>
      </c>
      <c r="BA138" s="452">
        <f ca="1">IF(AND($D138="Serviço",BA$12&lt;&gt;0,$H138&gt;0,OR(AUTOEVENTO&lt;&gt;"manual",$M138&lt;&gt;$A$15)),
        IF(Import.TipoArredondamento&lt;&gt;"TransfereGOV",
              ROUND(OFFSET($P138,0,BA$13),15-13*ORÇAMENTO!$AF$7)/$H138*OFFSET(ORÇAMENTO!$X$15,ROW(BA138)-ROW(BA$15),0),
              ROUND(ROUND(OFFSET($P138,0,BA$13),15-13*ORÇAMENTO!$AF$7)*OFFSET(ORÇAMENTO!$W$15,ROW(BA138)-ROW(BA$15),0),15-13*ORÇAMENTO!$AF$11)),
         0)</f>
        <v>0</v>
      </c>
      <c r="BC138" s="171">
        <f ca="1">IF(OR($D138&lt;&gt;"Serviço",AND(AUTOEVENTO="Manual",$M138=$A$15)),0,
         IF(OFFSET(CRONOPLE!$F$15,$M138-$A$15,BC$13)=0,10^12,OFFSET(CRONOPLE!$F$15,$M138-$A$15,BC$13)))</f>
        <v>8</v>
      </c>
      <c r="BD138" s="171">
        <f ca="1">IF(OR($D138&lt;&gt;"Serviço",AND(AUTOEVENTO="Manual",$M138=$A$15)),0,
         IF(OFFSET(CRONOPLE!$F$15,$M138-$A$15,BD$13)=0,10^12,OFFSET(CRONOPLE!$F$15,$M138-$A$15,BD$13)))</f>
        <v>8</v>
      </c>
      <c r="BE138" s="171">
        <f ca="1">IF(OR($D138&lt;&gt;"Serviço",AND(AUTOEVENTO="Manual",$M138=$A$15)),0,
         IF(OFFSET(CRONOPLE!$F$15,$M138-$A$15,BE$13)=0,10^12,OFFSET(CRONOPLE!$F$15,$M138-$A$15,BE$13)))</f>
        <v>9</v>
      </c>
      <c r="BF138" s="171">
        <f ca="1">IF(OR($D138&lt;&gt;"Serviço",AND(AUTOEVENTO="Manual",$M138=$A$15)),0,
         IF(OFFSET(CRONOPLE!$F$15,$M138-$A$15,BF$13)=0,10^12,OFFSET(CRONOPLE!$F$15,$M138-$A$15,BF$13)))</f>
        <v>9</v>
      </c>
      <c r="BG138" s="171">
        <f ca="1">IF(OR($D138&lt;&gt;"Serviço",AND(AUTOEVENTO="Manual",$M138=$A$15)),0,
         IF(OFFSET(CRONOPLE!$F$15,$M138-$A$15,BG$13)=0,10^12,OFFSET(CRONOPLE!$F$15,$M138-$A$15,BG$13)))</f>
        <v>9</v>
      </c>
      <c r="BH138" s="171">
        <f ca="1">IF(OR($D138&lt;&gt;"Serviço",AND(AUTOEVENTO="Manual",$M138=$A$15)),0,
         IF(OFFSET(CRONOPLE!$F$15,$M138-$A$15,BH$13)=0,10^12,OFFSET(CRONOPLE!$F$15,$M138-$A$15,BH$13)))</f>
        <v>1000000000000</v>
      </c>
      <c r="BI138" s="171">
        <f ca="1">IF(OR($D138&lt;&gt;"Serviço",AND(AUTOEVENTO="Manual",$M138=$A$15)),0,
         IF(OFFSET(CRONOPLE!$F$15,$M138-$A$15,BI$13)=0,10^12,OFFSET(CRONOPLE!$F$15,$M138-$A$15,BI$13)))</f>
        <v>1000000000000</v>
      </c>
      <c r="BJ138" s="171">
        <f ca="1">IF(OR($D138&lt;&gt;"Serviço",AND(AUTOEVENTO="Manual",$M138=$A$15)),0,
         IF(OFFSET(CRONOPLE!$F$15,$M138-$A$15,BJ$13)=0,10^12,OFFSET(CRONOPLE!$F$15,$M138-$A$15,BJ$13)))</f>
        <v>8</v>
      </c>
      <c r="BK138" s="171">
        <f ca="1">IF(OR($D138&lt;&gt;"Serviço",AND(AUTOEVENTO="Manual",$M138=$A$15)),0,
         IF(OFFSET(CRONOPLE!$F$15,$M138-$A$15,BK$13)=0,10^12,OFFSET(CRONOPLE!$F$15,$M138-$A$15,BK$13)))</f>
        <v>9</v>
      </c>
      <c r="BL138" s="171">
        <f ca="1">IF(OR($D138&lt;&gt;"Serviço",AND(AUTOEVENTO="Manual",$M138=$A$15)),0,
         IF(OFFSET(CRONOPLE!$F$15,$M138-$A$15,BL$13)=0,10^12,OFFSET(CRONOPLE!$F$15,$M138-$A$15,BL$13)))</f>
        <v>1000000000000</v>
      </c>
      <c r="BM138" s="171">
        <f ca="1">IF(OR($D138&lt;&gt;"Serviço",AND(AUTOEVENTO="Manual",$M138=$A$15)),0,
         IF(OFFSET(CRONOPLE!$F$15,$M138-$A$15,BM$13)=0,10^12,OFFSET(CRONOPLE!$F$15,$M138-$A$15,BM$13)))</f>
        <v>1000000000000</v>
      </c>
      <c r="BN138" s="171">
        <f ca="1">IF(OR($D138&lt;&gt;"Serviço",AND(AUTOEVENTO="Manual",$M138=$A$15)),0,
         IF(OFFSET(CRONOPLE!$F$15,$M138-$A$15,BN$13)=0,10^12,OFFSET(CRONOPLE!$F$15,$M138-$A$15,BN$13)))</f>
        <v>1000000000000</v>
      </c>
      <c r="BO138" s="171">
        <f ca="1">IF(OR($D138&lt;&gt;"Serviço",AND(AUTOEVENTO="Manual",$M138=$A$15)),0,
         IF(OFFSET(CRONOPLE!$F$15,$M138-$A$15,BO$13)=0,10^12,OFFSET(CRONOPLE!$F$15,$M138-$A$15,BO$13)))</f>
        <v>1000000000000</v>
      </c>
      <c r="BP138" s="171">
        <f ca="1">IF(OR($D138&lt;&gt;"Serviço",AND(AUTOEVENTO="Manual",$M138=$A$15)),0,
         IF(OFFSET(CRONOPLE!$F$15,$M138-$A$15,BP$13)=0,10^12,OFFSET(CRONOPLE!$F$15,$M138-$A$15,BP$13)))</f>
        <v>1000000000000</v>
      </c>
      <c r="BQ138" s="171">
        <f ca="1">IF(OR($D138&lt;&gt;"Serviço",AND(AUTOEVENTO="Manual",$M138=$A$15)),0,
         IF(OFFSET(CRONOPLE!$F$15,$M138-$A$15,BQ$13)=0,10^12,OFFSET(CRONOPLE!$F$15,$M138-$A$15,BQ$13)))</f>
        <v>1000000000000</v>
      </c>
      <c r="BR138" s="171">
        <f ca="1">IF(OR($D138&lt;&gt;"Serviço",AND(AUTOEVENTO="Manual",$M138=$A$15)),0,
         IF(OFFSET(CRONOPLE!$F$15,$M138-$A$15,BR$13)=0,10^12,OFFSET(CRONOPLE!$F$15,$M138-$A$15,BR$13)))</f>
        <v>1000000000000</v>
      </c>
      <c r="BS138" s="171">
        <f ca="1">IF(OR($D138&lt;&gt;"Serviço",AND(AUTOEVENTO="Manual",$M138=$A$15)),0,
         IF(OFFSET(CRONOPLE!$F$15,$M138-$A$15,BS$13)=0,10^12,OFFSET(CRONOPLE!$F$15,$M138-$A$15,BS$13)))</f>
        <v>1000000000000</v>
      </c>
      <c r="BT138" s="171">
        <f ca="1">IF(OR($D138&lt;&gt;"Serviço",AND(AUTOEVENTO="Manual",$M138=$A$15)),0,
         IF(OFFSET(CRONOPLE!$F$15,$M138-$A$15,BT$13)=0,10^12,OFFSET(CRONOPLE!$F$15,$M138-$A$15,BT$13)))</f>
        <v>1000000000000</v>
      </c>
      <c r="BV138" s="172">
        <f t="array" aca="1" ref="BV138" ca="1">IF(OR($D138&lt;&gt;"Serviço",AND(AUTOEVENTO="Manual",$M138=$A$15),$M138&gt;(ROW(PLE.lastrow)-ROW(PLE.firstrow))),0,
           IF(OFFSET(PLE!$G$15,$M138-$A$15,BV$13)="",10^12,OFFSET(PLE!$G$15,$M138-$A$15,BV$13)))</f>
        <v>1000000000000</v>
      </c>
      <c r="BW138" s="172">
        <f t="array" aca="1" ref="BW138" ca="1">IF(OR($D138&lt;&gt;"Serviço",AND(AUTOEVENTO="Manual",$M138=$A$15),$M138&gt;(ROW(PLE.lastrow)-ROW(PLE.firstrow))),0,
           IF(OFFSET(PLE!$G$15,$M138-$A$15,BW$13)="",10^12,OFFSET(PLE!$G$15,$M138-$A$15,BW$13)))</f>
        <v>1000000000000</v>
      </c>
      <c r="BX138" s="172">
        <f t="array" aca="1" ref="BX138" ca="1">IF(OR($D138&lt;&gt;"Serviço",AND(AUTOEVENTO="Manual",$M138=$A$15),$M138&gt;(ROW(PLE.lastrow)-ROW(PLE.firstrow))),0,
           IF(OFFSET(PLE!$G$15,$M138-$A$15,BX$13)="",10^12,OFFSET(PLE!$G$15,$M138-$A$15,BX$13)))</f>
        <v>1000000000000</v>
      </c>
      <c r="BY138" s="172">
        <f t="array" aca="1" ref="BY138" ca="1">IF(OR($D138&lt;&gt;"Serviço",AND(AUTOEVENTO="Manual",$M138=$A$15),$M138&gt;(ROW(PLE.lastrow)-ROW(PLE.firstrow))),0,
           IF(OFFSET(PLE!$G$15,$M138-$A$15,BY$13)="",10^12,OFFSET(PLE!$G$15,$M138-$A$15,BY$13)))</f>
        <v>1000000000000</v>
      </c>
      <c r="BZ138" s="172">
        <f t="array" aca="1" ref="BZ138" ca="1">IF(OR($D138&lt;&gt;"Serviço",AND(AUTOEVENTO="Manual",$M138=$A$15),$M138&gt;(ROW(PLE.lastrow)-ROW(PLE.firstrow))),0,
           IF(OFFSET(PLE!$G$15,$M138-$A$15,BZ$13)="",10^12,OFFSET(PLE!$G$15,$M138-$A$15,BZ$13)))</f>
        <v>1000000000000</v>
      </c>
      <c r="CA138" s="172">
        <f t="array" aca="1" ref="CA138" ca="1">IF(OR($D138&lt;&gt;"Serviço",AND(AUTOEVENTO="Manual",$M138=$A$15),$M138&gt;(ROW(PLE.lastrow)-ROW(PLE.firstrow))),0,
           IF(OFFSET(PLE!$G$15,$M138-$A$15,CA$13)="",10^12,OFFSET(PLE!$G$15,$M138-$A$15,CA$13)))</f>
        <v>1000000000000</v>
      </c>
      <c r="CB138" s="172">
        <f t="array" aca="1" ref="CB138" ca="1">IF(OR($D138&lt;&gt;"Serviço",AND(AUTOEVENTO="Manual",$M138=$A$15),$M138&gt;(ROW(PLE.lastrow)-ROW(PLE.firstrow))),0,
           IF(OFFSET(PLE!$G$15,$M138-$A$15,CB$13)="",10^12,OFFSET(PLE!$G$15,$M138-$A$15,CB$13)))</f>
        <v>1000000000000</v>
      </c>
      <c r="CC138" s="172">
        <f t="array" aca="1" ref="CC138" ca="1">IF(OR($D138&lt;&gt;"Serviço",AND(AUTOEVENTO="Manual",$M138=$A$15),$M138&gt;(ROW(PLE.lastrow)-ROW(PLE.firstrow))),0,
           IF(OFFSET(PLE!$G$15,$M138-$A$15,CC$13)="",10^12,OFFSET(PLE!$G$15,$M138-$A$15,CC$13)))</f>
        <v>1000000000000</v>
      </c>
      <c r="CD138" s="172">
        <f t="array" aca="1" ref="CD138" ca="1">IF(OR($D138&lt;&gt;"Serviço",AND(AUTOEVENTO="Manual",$M138=$A$15),$M138&gt;(ROW(PLE.lastrow)-ROW(PLE.firstrow))),0,
           IF(OFFSET(PLE!$G$15,$M138-$A$15,CD$13)="",10^12,OFFSET(PLE!$G$15,$M138-$A$15,CD$13)))</f>
        <v>1000000000000</v>
      </c>
      <c r="CE138" s="172">
        <f t="array" aca="1" ref="CE138" ca="1">IF(OR($D138&lt;&gt;"Serviço",AND(AUTOEVENTO="Manual",$M138=$A$15),$M138&gt;(ROW(PLE.lastrow)-ROW(PLE.firstrow))),0,
           IF(OFFSET(PLE!$G$15,$M138-$A$15,CE$13)="",10^12,OFFSET(PLE!$G$15,$M138-$A$15,CE$13)))</f>
        <v>1000000000000</v>
      </c>
      <c r="CF138" s="172">
        <f t="array" aca="1" ref="CF138" ca="1">IF(OR($D138&lt;&gt;"Serviço",AND(AUTOEVENTO="Manual",$M138=$A$15),$M138&gt;(ROW(PLE.lastrow)-ROW(PLE.firstrow))),0,
           IF(OFFSET(PLE!$G$15,$M138-$A$15,CF$13)="",10^12,OFFSET(PLE!$G$15,$M138-$A$15,CF$13)))</f>
        <v>1000000000000</v>
      </c>
      <c r="CG138" s="172">
        <f t="array" aca="1" ref="CG138" ca="1">IF(OR($D138&lt;&gt;"Serviço",AND(AUTOEVENTO="Manual",$M138=$A$15),$M138&gt;(ROW(PLE.lastrow)-ROW(PLE.firstrow))),0,
           IF(OFFSET(PLE!$G$15,$M138-$A$15,CG$13)="",10^12,OFFSET(PLE!$G$15,$M138-$A$15,CG$13)))</f>
        <v>1000000000000</v>
      </c>
      <c r="CH138" s="172">
        <f t="array" aca="1" ref="CH138" ca="1">IF(OR($D138&lt;&gt;"Serviço",AND(AUTOEVENTO="Manual",$M138=$A$15),$M138&gt;(ROW(PLE.lastrow)-ROW(PLE.firstrow))),0,
           IF(OFFSET(PLE!$G$15,$M138-$A$15,CH$13)="",10^12,OFFSET(PLE!$G$15,$M138-$A$15,CH$13)))</f>
        <v>1000000000000</v>
      </c>
      <c r="CI138" s="172">
        <f t="array" aca="1" ref="CI138" ca="1">IF(OR($D138&lt;&gt;"Serviço",AND(AUTOEVENTO="Manual",$M138=$A$15),$M138&gt;(ROW(PLE.lastrow)-ROW(PLE.firstrow))),0,
           IF(OFFSET(PLE!$G$15,$M138-$A$15,CI$13)="",10^12,OFFSET(PLE!$G$15,$M138-$A$15,CI$13)))</f>
        <v>1000000000000</v>
      </c>
      <c r="CJ138" s="172">
        <f t="array" aca="1" ref="CJ138" ca="1">IF(OR($D138&lt;&gt;"Serviço",AND(AUTOEVENTO="Manual",$M138=$A$15),$M138&gt;(ROW(PLE.lastrow)-ROW(PLE.firstrow))),0,
           IF(OFFSET(PLE!$G$15,$M138-$A$15,CJ$13)="",10^12,OFFSET(PLE!$G$15,$M138-$A$15,CJ$13)))</f>
        <v>1000000000000</v>
      </c>
      <c r="CK138" s="172">
        <f t="array" aca="1" ref="CK138" ca="1">IF(OR($D138&lt;&gt;"Serviço",AND(AUTOEVENTO="Manual",$M138=$A$15),$M138&gt;(ROW(PLE.lastrow)-ROW(PLE.firstrow))),0,
           IF(OFFSET(PLE!$G$15,$M138-$A$15,CK$13)="",10^12,OFFSET(PLE!$G$15,$M138-$A$15,CK$13)))</f>
        <v>1000000000000</v>
      </c>
      <c r="CL138" s="172">
        <f t="array" aca="1" ref="CL138" ca="1">IF(OR($D138&lt;&gt;"Serviço",AND(AUTOEVENTO="Manual",$M138=$A$15),$M138&gt;(ROW(PLE.lastrow)-ROW(PLE.firstrow))),0,
           IF(OFFSET(PLE!$G$15,$M138-$A$15,CL$13)="",10^12,OFFSET(PLE!$G$15,$M138-$A$15,CL$13)))</f>
        <v>1000000000000</v>
      </c>
      <c r="CM138" s="172">
        <f t="array" aca="1" ref="CM138" ca="1">IF(OR($D138&lt;&gt;"Serviço",AND(AUTOEVENTO="Manual",$M138=$A$15),$M138&gt;(ROW(PLE.lastrow)-ROW(PLE.firstrow))),0,
           IF(OFFSET(PLE!$G$15,$M138-$A$15,CM$13)="",10^12,OFFSET(PLE!$G$15,$M138-$A$15,CM$13)))</f>
        <v>1000000000000</v>
      </c>
    </row>
    <row r="139" spans="1:91" s="696" customFormat="1" ht="38.25" x14ac:dyDescent="0.2">
      <c r="A139" s="694">
        <f t="shared" ca="1" si="82"/>
        <v>32</v>
      </c>
      <c r="B139" s="694" t="str">
        <f ca="1">OFFSET(ORÇAMENTO!C$15,$L139,0)</f>
        <v>S</v>
      </c>
      <c r="C139" s="694" t="str">
        <f ca="1">OFFSET(ORÇAMENTO!L$15,$L139,0)</f>
        <v>F</v>
      </c>
      <c r="D139" s="116" t="str">
        <f ca="1">OFFSET(ORÇAMENTO!N$15,$L139,0)</f>
        <v>Serviço</v>
      </c>
      <c r="E139" s="117" t="str">
        <f ca="1">OFFSET(ORÇAMENTO!O$15,$L139,0)</f>
        <v>1.24.2.</v>
      </c>
      <c r="F139" s="163" t="str">
        <f ca="1">OFFSET(ORÇAMENTO!R$15,$L139,0)</f>
        <v>LÂMPADA COMPACTA DE LED 10 W, BASE E27 - FORNECIMENTO E INSTALAÇÃO. AF_09/2024</v>
      </c>
      <c r="G139" s="164" t="str">
        <f ca="1">IF($D139&lt;&gt;"Serviço","",OFFSET(ORÇAMENTO!S$15,$L139,0))</f>
        <v>UN</v>
      </c>
      <c r="H139" s="122">
        <f t="array" aca="1" ref="H139" ca="1">IF($D139&lt;&gt;"Serviço",0,IF(ACOMPANHAMENTO="BM",ROUND(OFFSET(ORÇAMENTO!AJ$15,$L139,0),15-13*ORÇAMENTO!$AF$7),IF(IFERROR(CÁLCULO.FrentesPreenchidas,0)=0,0,SUM(ROUND(OFFSET($P139,0,1,1,CÁLCULO.FrentesPreenchidas),15-13*ORÇAMENTO!$AF$7)))))</f>
        <v>140</v>
      </c>
      <c r="I139" s="467" t="s">
        <v>1289</v>
      </c>
      <c r="J139" s="653" t="str">
        <f t="array" aca="1" ref="J139" ca="1">IF(OR(B139&lt;&gt;"S",CÁLCULO.FrentesPreenchidas=0),"",IF(AND(ACOMPANHAMENTO="PLE",AUTOEVENTO="Manual",OR(H139&gt;0,ORÇAMENTO!AC139="QUANT."),OR(K139="",M139=0,N139="")),"►E",IF(AND(ACOMPANHAMENTO="PLE",ORÇAMENTO!AC139="QUANT."),"►Q",IF(AND(ACOMPANHAMENTO="PLE",H139&lt;&gt;SUMPRODUCT(($Q$1:$AI$1=1)*ROUND(Q139:AI139,15))),"►S",IF(AND(COUNTIF($P$11:$AI$11,"▼")=0,H139&gt;0,I139=""),"◄M","")))))</f>
        <v/>
      </c>
      <c r="K139" s="654" t="s">
        <v>1441</v>
      </c>
      <c r="L139" s="165">
        <f t="shared" ca="1" si="83"/>
        <v>124</v>
      </c>
      <c r="M139" s="166">
        <f ca="1">IF($D139&lt;&gt;"Serviço","",
          IF(AUTOEVENTO="manual",$A139,
                IF(ISERROR(MATCH($A139,$A$15:OFFSET($A139,-1,0),0)),MAX($M$15:OFFSET(M139,-1,0))+1,
                      INDEX($M$15:OFFSET(M139,-1,0),MATCH($A139,$A$15:OFFSET($A139,-1,0),0)))))</f>
        <v>32</v>
      </c>
      <c r="N139" s="167" t="str">
        <f ca="1">IF($D139&lt;&gt;"Serviço","",
         IF(AUTOEVENTO="Manual",
                IF($A139=0,"&lt;-- defina o número do agrupador",
                       OFFSET(EVENTOS!$D$15,$A139-$A$15,0)),
                OFFSET($F$15,$A139,0)))</f>
        <v>ACABAMENTOS ELÉTRICOS</v>
      </c>
      <c r="O139" s="168"/>
      <c r="Q139" s="169">
        <v>35</v>
      </c>
      <c r="R139" s="169">
        <v>35</v>
      </c>
      <c r="S139" s="169">
        <v>35</v>
      </c>
      <c r="T139" s="169">
        <v>35</v>
      </c>
      <c r="U139" s="169"/>
      <c r="V139" s="169"/>
      <c r="W139" s="169"/>
      <c r="X139" s="169"/>
      <c r="Y139" s="169"/>
      <c r="Z139" s="170"/>
      <c r="AA139" s="169"/>
      <c r="AB139" s="169"/>
      <c r="AC139" s="169"/>
      <c r="AD139" s="169"/>
      <c r="AE139" s="169"/>
      <c r="AF139" s="169"/>
      <c r="AG139" s="169"/>
      <c r="AH139" s="170"/>
      <c r="AJ139" s="452">
        <f ca="1">IF(AND($D139="Serviço",AJ$12&lt;&gt;0,$H139&gt;0,OR(AUTOEVENTO&lt;&gt;"manual",$M139&lt;&gt;$A$15)),
        IF(Import.TipoArredondamento&lt;&gt;"TransfereGOV",
              ROUND(OFFSET($P139,0,AJ$13),15-13*ORÇAMENTO!$AF$7)/$H139*OFFSET(ORÇAMENTO!$X$15,ROW(AJ139)-ROW(AJ$15),0),
              ROUND(ROUND(OFFSET($P139,0,AJ$13),15-13*ORÇAMENTO!$AF$7)*OFFSET(ORÇAMENTO!$W$15,ROW(AJ139)-ROW(AJ$15),0),15-13*ORÇAMENTO!$AF$11)),
         0)</f>
        <v>568.04999999999995</v>
      </c>
      <c r="AK139" s="452">
        <f ca="1">IF(AND($D139="Serviço",AK$12&lt;&gt;0,$H139&gt;0,OR(AUTOEVENTO&lt;&gt;"manual",$M139&lt;&gt;$A$15)),
        IF(Import.TipoArredondamento&lt;&gt;"TransfereGOV",
              ROUND(OFFSET($P139,0,AK$13),15-13*ORÇAMENTO!$AF$7)/$H139*OFFSET(ORÇAMENTO!$X$15,ROW(AK139)-ROW(AK$15),0),
              ROUND(ROUND(OFFSET($P139,0,AK$13),15-13*ORÇAMENTO!$AF$7)*OFFSET(ORÇAMENTO!$W$15,ROW(AK139)-ROW(AK$15),0),15-13*ORÇAMENTO!$AF$11)),
         0)</f>
        <v>568.04999999999995</v>
      </c>
      <c r="AL139" s="452">
        <f ca="1">IF(AND($D139="Serviço",AL$12&lt;&gt;0,$H139&gt;0,OR(AUTOEVENTO&lt;&gt;"manual",$M139&lt;&gt;$A$15)),
        IF(Import.TipoArredondamento&lt;&gt;"TransfereGOV",
              ROUND(OFFSET($P139,0,AL$13),15-13*ORÇAMENTO!$AF$7)/$H139*OFFSET(ORÇAMENTO!$X$15,ROW(AL139)-ROW(AL$15),0),
              ROUND(ROUND(OFFSET($P139,0,AL$13),15-13*ORÇAMENTO!$AF$7)*OFFSET(ORÇAMENTO!$W$15,ROW(AL139)-ROW(AL$15),0),15-13*ORÇAMENTO!$AF$11)),
         0)</f>
        <v>568.04999999999995</v>
      </c>
      <c r="AM139" s="452">
        <f ca="1">IF(AND($D139="Serviço",AM$12&lt;&gt;0,$H139&gt;0,OR(AUTOEVENTO&lt;&gt;"manual",$M139&lt;&gt;$A$15)),
        IF(Import.TipoArredondamento&lt;&gt;"TransfereGOV",
              ROUND(OFFSET($P139,0,AM$13),15-13*ORÇAMENTO!$AF$7)/$H139*OFFSET(ORÇAMENTO!$X$15,ROW(AM139)-ROW(AM$15),0),
              ROUND(ROUND(OFFSET($P139,0,AM$13),15-13*ORÇAMENTO!$AF$7)*OFFSET(ORÇAMENTO!$W$15,ROW(AM139)-ROW(AM$15),0),15-13*ORÇAMENTO!$AF$11)),
         0)</f>
        <v>568.04999999999995</v>
      </c>
      <c r="AN139" s="452">
        <f ca="1">IF(AND($D139="Serviço",AN$12&lt;&gt;0,$H139&gt;0,OR(AUTOEVENTO&lt;&gt;"manual",$M139&lt;&gt;$A$15)),
        IF(Import.TipoArredondamento&lt;&gt;"TransfereGOV",
              ROUND(OFFSET($P139,0,AN$13),15-13*ORÇAMENTO!$AF$7)/$H139*OFFSET(ORÇAMENTO!$X$15,ROW(AN139)-ROW(AN$15),0),
              ROUND(ROUND(OFFSET($P139,0,AN$13),15-13*ORÇAMENTO!$AF$7)*OFFSET(ORÇAMENTO!$W$15,ROW(AN139)-ROW(AN$15),0),15-13*ORÇAMENTO!$AF$11)),
         0)</f>
        <v>0</v>
      </c>
      <c r="AO139" s="452">
        <f ca="1">IF(AND($D139="Serviço",AO$12&lt;&gt;0,$H139&gt;0,OR(AUTOEVENTO&lt;&gt;"manual",$M139&lt;&gt;$A$15)),
        IF(Import.TipoArredondamento&lt;&gt;"TransfereGOV",
              ROUND(OFFSET($P139,0,AO$13),15-13*ORÇAMENTO!$AF$7)/$H139*OFFSET(ORÇAMENTO!$X$15,ROW(AO139)-ROW(AO$15),0),
              ROUND(ROUND(OFFSET($P139,0,AO$13),15-13*ORÇAMENTO!$AF$7)*OFFSET(ORÇAMENTO!$W$15,ROW(AO139)-ROW(AO$15),0),15-13*ORÇAMENTO!$AF$11)),
         0)</f>
        <v>0</v>
      </c>
      <c r="AP139" s="452">
        <f ca="1">IF(AND($D139="Serviço",AP$12&lt;&gt;0,$H139&gt;0,OR(AUTOEVENTO&lt;&gt;"manual",$M139&lt;&gt;$A$15)),
        IF(Import.TipoArredondamento&lt;&gt;"TransfereGOV",
              ROUND(OFFSET($P139,0,AP$13),15-13*ORÇAMENTO!$AF$7)/$H139*OFFSET(ORÇAMENTO!$X$15,ROW(AP139)-ROW(AP$15),0),
              ROUND(ROUND(OFFSET($P139,0,AP$13),15-13*ORÇAMENTO!$AF$7)*OFFSET(ORÇAMENTO!$W$15,ROW(AP139)-ROW(AP$15),0),15-13*ORÇAMENTO!$AF$11)),
         0)</f>
        <v>0</v>
      </c>
      <c r="AQ139" s="452">
        <f ca="1">IF(AND($D139="Serviço",AQ$12&lt;&gt;0,$H139&gt;0,OR(AUTOEVENTO&lt;&gt;"manual",$M139&lt;&gt;$A$15)),
        IF(Import.TipoArredondamento&lt;&gt;"TransfereGOV",
              ROUND(OFFSET($P139,0,AQ$13),15-13*ORÇAMENTO!$AF$7)/$H139*OFFSET(ORÇAMENTO!$X$15,ROW(AQ139)-ROW(AQ$15),0),
              ROUND(ROUND(OFFSET($P139,0,AQ$13),15-13*ORÇAMENTO!$AF$7)*OFFSET(ORÇAMENTO!$W$15,ROW(AQ139)-ROW(AQ$15),0),15-13*ORÇAMENTO!$AF$11)),
         0)</f>
        <v>0</v>
      </c>
      <c r="AR139" s="452">
        <f ca="1">IF(AND($D139="Serviço",AR$12&lt;&gt;0,$H139&gt;0,OR(AUTOEVENTO&lt;&gt;"manual",$M139&lt;&gt;$A$15)),
        IF(Import.TipoArredondamento&lt;&gt;"TransfereGOV",
              ROUND(OFFSET($P139,0,AR$13),15-13*ORÇAMENTO!$AF$7)/$H139*OFFSET(ORÇAMENTO!$X$15,ROW(AR139)-ROW(AR$15),0),
              ROUND(ROUND(OFFSET($P139,0,AR$13),15-13*ORÇAMENTO!$AF$7)*OFFSET(ORÇAMENTO!$W$15,ROW(AR139)-ROW(AR$15),0),15-13*ORÇAMENTO!$AF$11)),
         0)</f>
        <v>0</v>
      </c>
      <c r="AS139" s="452">
        <f ca="1">IF(AND($D139="Serviço",AS$12&lt;&gt;0,$H139&gt;0,OR(AUTOEVENTO&lt;&gt;"manual",$M139&lt;&gt;$A$15)),
        IF(Import.TipoArredondamento&lt;&gt;"TransfereGOV",
              ROUND(OFFSET($P139,0,AS$13),15-13*ORÇAMENTO!$AF$7)/$H139*OFFSET(ORÇAMENTO!$X$15,ROW(AS139)-ROW(AS$15),0),
              ROUND(ROUND(OFFSET($P139,0,AS$13),15-13*ORÇAMENTO!$AF$7)*OFFSET(ORÇAMENTO!$W$15,ROW(AS139)-ROW(AS$15),0),15-13*ORÇAMENTO!$AF$11)),
         0)</f>
        <v>0</v>
      </c>
      <c r="AT139" s="452">
        <f ca="1">IF(AND($D139="Serviço",AT$12&lt;&gt;0,$H139&gt;0,OR(AUTOEVENTO&lt;&gt;"manual",$M139&lt;&gt;$A$15)),
        IF(Import.TipoArredondamento&lt;&gt;"TransfereGOV",
              ROUND(OFFSET($P139,0,AT$13),15-13*ORÇAMENTO!$AF$7)/$H139*OFFSET(ORÇAMENTO!$X$15,ROW(AT139)-ROW(AT$15),0),
              ROUND(ROUND(OFFSET($P139,0,AT$13),15-13*ORÇAMENTO!$AF$7)*OFFSET(ORÇAMENTO!$W$15,ROW(AT139)-ROW(AT$15),0),15-13*ORÇAMENTO!$AF$11)),
         0)</f>
        <v>0</v>
      </c>
      <c r="AU139" s="452">
        <f ca="1">IF(AND($D139="Serviço",AU$12&lt;&gt;0,$H139&gt;0,OR(AUTOEVENTO&lt;&gt;"manual",$M139&lt;&gt;$A$15)),
        IF(Import.TipoArredondamento&lt;&gt;"TransfereGOV",
              ROUND(OFFSET($P139,0,AU$13),15-13*ORÇAMENTO!$AF$7)/$H139*OFFSET(ORÇAMENTO!$X$15,ROW(AU139)-ROW(AU$15),0),
              ROUND(ROUND(OFFSET($P139,0,AU$13),15-13*ORÇAMENTO!$AF$7)*OFFSET(ORÇAMENTO!$W$15,ROW(AU139)-ROW(AU$15),0),15-13*ORÇAMENTO!$AF$11)),
         0)</f>
        <v>0</v>
      </c>
      <c r="AV139" s="452">
        <f ca="1">IF(AND($D139="Serviço",AV$12&lt;&gt;0,$H139&gt;0,OR(AUTOEVENTO&lt;&gt;"manual",$M139&lt;&gt;$A$15)),
        IF(Import.TipoArredondamento&lt;&gt;"TransfereGOV",
              ROUND(OFFSET($P139,0,AV$13),15-13*ORÇAMENTO!$AF$7)/$H139*OFFSET(ORÇAMENTO!$X$15,ROW(AV139)-ROW(AV$15),0),
              ROUND(ROUND(OFFSET($P139,0,AV$13),15-13*ORÇAMENTO!$AF$7)*OFFSET(ORÇAMENTO!$W$15,ROW(AV139)-ROW(AV$15),0),15-13*ORÇAMENTO!$AF$11)),
         0)</f>
        <v>0</v>
      </c>
      <c r="AW139" s="452">
        <f ca="1">IF(AND($D139="Serviço",AW$12&lt;&gt;0,$H139&gt;0,OR(AUTOEVENTO&lt;&gt;"manual",$M139&lt;&gt;$A$15)),
        IF(Import.TipoArredondamento&lt;&gt;"TransfereGOV",
              ROUND(OFFSET($P139,0,AW$13),15-13*ORÇAMENTO!$AF$7)/$H139*OFFSET(ORÇAMENTO!$X$15,ROW(AW139)-ROW(AW$15),0),
              ROUND(ROUND(OFFSET($P139,0,AW$13),15-13*ORÇAMENTO!$AF$7)*OFFSET(ORÇAMENTO!$W$15,ROW(AW139)-ROW(AW$15),0),15-13*ORÇAMENTO!$AF$11)),
         0)</f>
        <v>0</v>
      </c>
      <c r="AX139" s="452">
        <f ca="1">IF(AND($D139="Serviço",AX$12&lt;&gt;0,$H139&gt;0,OR(AUTOEVENTO&lt;&gt;"manual",$M139&lt;&gt;$A$15)),
        IF(Import.TipoArredondamento&lt;&gt;"TransfereGOV",
              ROUND(OFFSET($P139,0,AX$13),15-13*ORÇAMENTO!$AF$7)/$H139*OFFSET(ORÇAMENTO!$X$15,ROW(AX139)-ROW(AX$15),0),
              ROUND(ROUND(OFFSET($P139,0,AX$13),15-13*ORÇAMENTO!$AF$7)*OFFSET(ORÇAMENTO!$W$15,ROW(AX139)-ROW(AX$15),0),15-13*ORÇAMENTO!$AF$11)),
         0)</f>
        <v>0</v>
      </c>
      <c r="AY139" s="452">
        <f ca="1">IF(AND($D139="Serviço",AY$12&lt;&gt;0,$H139&gt;0,OR(AUTOEVENTO&lt;&gt;"manual",$M139&lt;&gt;$A$15)),
        IF(Import.TipoArredondamento&lt;&gt;"TransfereGOV",
              ROUND(OFFSET($P139,0,AY$13),15-13*ORÇAMENTO!$AF$7)/$H139*OFFSET(ORÇAMENTO!$X$15,ROW(AY139)-ROW(AY$15),0),
              ROUND(ROUND(OFFSET($P139,0,AY$13),15-13*ORÇAMENTO!$AF$7)*OFFSET(ORÇAMENTO!$W$15,ROW(AY139)-ROW(AY$15),0),15-13*ORÇAMENTO!$AF$11)),
         0)</f>
        <v>0</v>
      </c>
      <c r="AZ139" s="452">
        <f ca="1">IF(AND($D139="Serviço",AZ$12&lt;&gt;0,$H139&gt;0,OR(AUTOEVENTO&lt;&gt;"manual",$M139&lt;&gt;$A$15)),
        IF(Import.TipoArredondamento&lt;&gt;"TransfereGOV",
              ROUND(OFFSET($P139,0,AZ$13),15-13*ORÇAMENTO!$AF$7)/$H139*OFFSET(ORÇAMENTO!$X$15,ROW(AZ139)-ROW(AZ$15),0),
              ROUND(ROUND(OFFSET($P139,0,AZ$13),15-13*ORÇAMENTO!$AF$7)*OFFSET(ORÇAMENTO!$W$15,ROW(AZ139)-ROW(AZ$15),0),15-13*ORÇAMENTO!$AF$11)),
         0)</f>
        <v>0</v>
      </c>
      <c r="BA139" s="452">
        <f ca="1">IF(AND($D139="Serviço",BA$12&lt;&gt;0,$H139&gt;0,OR(AUTOEVENTO&lt;&gt;"manual",$M139&lt;&gt;$A$15)),
        IF(Import.TipoArredondamento&lt;&gt;"TransfereGOV",
              ROUND(OFFSET($P139,0,BA$13),15-13*ORÇAMENTO!$AF$7)/$H139*OFFSET(ORÇAMENTO!$X$15,ROW(BA139)-ROW(BA$15),0),
              ROUND(ROUND(OFFSET($P139,0,BA$13),15-13*ORÇAMENTO!$AF$7)*OFFSET(ORÇAMENTO!$W$15,ROW(BA139)-ROW(BA$15),0),15-13*ORÇAMENTO!$AF$11)),
         0)</f>
        <v>0</v>
      </c>
      <c r="BC139" s="171">
        <f ca="1">IF(OR($D139&lt;&gt;"Serviço",AND(AUTOEVENTO="Manual",$M139=$A$15)),0,
         IF(OFFSET(CRONOPLE!$F$15,$M139-$A$15,BC$13)=0,10^12,OFFSET(CRONOPLE!$F$15,$M139-$A$15,BC$13)))</f>
        <v>8</v>
      </c>
      <c r="BD139" s="171">
        <f ca="1">IF(OR($D139&lt;&gt;"Serviço",AND(AUTOEVENTO="Manual",$M139=$A$15)),0,
         IF(OFFSET(CRONOPLE!$F$15,$M139-$A$15,BD$13)=0,10^12,OFFSET(CRONOPLE!$F$15,$M139-$A$15,BD$13)))</f>
        <v>8</v>
      </c>
      <c r="BE139" s="171">
        <f ca="1">IF(OR($D139&lt;&gt;"Serviço",AND(AUTOEVENTO="Manual",$M139=$A$15)),0,
         IF(OFFSET(CRONOPLE!$F$15,$M139-$A$15,BE$13)=0,10^12,OFFSET(CRONOPLE!$F$15,$M139-$A$15,BE$13)))</f>
        <v>9</v>
      </c>
      <c r="BF139" s="171">
        <f ca="1">IF(OR($D139&lt;&gt;"Serviço",AND(AUTOEVENTO="Manual",$M139=$A$15)),0,
         IF(OFFSET(CRONOPLE!$F$15,$M139-$A$15,BF$13)=0,10^12,OFFSET(CRONOPLE!$F$15,$M139-$A$15,BF$13)))</f>
        <v>9</v>
      </c>
      <c r="BG139" s="171">
        <f ca="1">IF(OR($D139&lt;&gt;"Serviço",AND(AUTOEVENTO="Manual",$M139=$A$15)),0,
         IF(OFFSET(CRONOPLE!$F$15,$M139-$A$15,BG$13)=0,10^12,OFFSET(CRONOPLE!$F$15,$M139-$A$15,BG$13)))</f>
        <v>9</v>
      </c>
      <c r="BH139" s="171">
        <f ca="1">IF(OR($D139&lt;&gt;"Serviço",AND(AUTOEVENTO="Manual",$M139=$A$15)),0,
         IF(OFFSET(CRONOPLE!$F$15,$M139-$A$15,BH$13)=0,10^12,OFFSET(CRONOPLE!$F$15,$M139-$A$15,BH$13)))</f>
        <v>1000000000000</v>
      </c>
      <c r="BI139" s="171">
        <f ca="1">IF(OR($D139&lt;&gt;"Serviço",AND(AUTOEVENTO="Manual",$M139=$A$15)),0,
         IF(OFFSET(CRONOPLE!$F$15,$M139-$A$15,BI$13)=0,10^12,OFFSET(CRONOPLE!$F$15,$M139-$A$15,BI$13)))</f>
        <v>1000000000000</v>
      </c>
      <c r="BJ139" s="171">
        <f ca="1">IF(OR($D139&lt;&gt;"Serviço",AND(AUTOEVENTO="Manual",$M139=$A$15)),0,
         IF(OFFSET(CRONOPLE!$F$15,$M139-$A$15,BJ$13)=0,10^12,OFFSET(CRONOPLE!$F$15,$M139-$A$15,BJ$13)))</f>
        <v>8</v>
      </c>
      <c r="BK139" s="171">
        <f ca="1">IF(OR($D139&lt;&gt;"Serviço",AND(AUTOEVENTO="Manual",$M139=$A$15)),0,
         IF(OFFSET(CRONOPLE!$F$15,$M139-$A$15,BK$13)=0,10^12,OFFSET(CRONOPLE!$F$15,$M139-$A$15,BK$13)))</f>
        <v>9</v>
      </c>
      <c r="BL139" s="171">
        <f ca="1">IF(OR($D139&lt;&gt;"Serviço",AND(AUTOEVENTO="Manual",$M139=$A$15)),0,
         IF(OFFSET(CRONOPLE!$F$15,$M139-$A$15,BL$13)=0,10^12,OFFSET(CRONOPLE!$F$15,$M139-$A$15,BL$13)))</f>
        <v>1000000000000</v>
      </c>
      <c r="BM139" s="171">
        <f ca="1">IF(OR($D139&lt;&gt;"Serviço",AND(AUTOEVENTO="Manual",$M139=$A$15)),0,
         IF(OFFSET(CRONOPLE!$F$15,$M139-$A$15,BM$13)=0,10^12,OFFSET(CRONOPLE!$F$15,$M139-$A$15,BM$13)))</f>
        <v>1000000000000</v>
      </c>
      <c r="BN139" s="171">
        <f ca="1">IF(OR($D139&lt;&gt;"Serviço",AND(AUTOEVENTO="Manual",$M139=$A$15)),0,
         IF(OFFSET(CRONOPLE!$F$15,$M139-$A$15,BN$13)=0,10^12,OFFSET(CRONOPLE!$F$15,$M139-$A$15,BN$13)))</f>
        <v>1000000000000</v>
      </c>
      <c r="BO139" s="171">
        <f ca="1">IF(OR($D139&lt;&gt;"Serviço",AND(AUTOEVENTO="Manual",$M139=$A$15)),0,
         IF(OFFSET(CRONOPLE!$F$15,$M139-$A$15,BO$13)=0,10^12,OFFSET(CRONOPLE!$F$15,$M139-$A$15,BO$13)))</f>
        <v>1000000000000</v>
      </c>
      <c r="BP139" s="171">
        <f ca="1">IF(OR($D139&lt;&gt;"Serviço",AND(AUTOEVENTO="Manual",$M139=$A$15)),0,
         IF(OFFSET(CRONOPLE!$F$15,$M139-$A$15,BP$13)=0,10^12,OFFSET(CRONOPLE!$F$15,$M139-$A$15,BP$13)))</f>
        <v>1000000000000</v>
      </c>
      <c r="BQ139" s="171">
        <f ca="1">IF(OR($D139&lt;&gt;"Serviço",AND(AUTOEVENTO="Manual",$M139=$A$15)),0,
         IF(OFFSET(CRONOPLE!$F$15,$M139-$A$15,BQ$13)=0,10^12,OFFSET(CRONOPLE!$F$15,$M139-$A$15,BQ$13)))</f>
        <v>1000000000000</v>
      </c>
      <c r="BR139" s="171">
        <f ca="1">IF(OR($D139&lt;&gt;"Serviço",AND(AUTOEVENTO="Manual",$M139=$A$15)),0,
         IF(OFFSET(CRONOPLE!$F$15,$M139-$A$15,BR$13)=0,10^12,OFFSET(CRONOPLE!$F$15,$M139-$A$15,BR$13)))</f>
        <v>1000000000000</v>
      </c>
      <c r="BS139" s="171">
        <f ca="1">IF(OR($D139&lt;&gt;"Serviço",AND(AUTOEVENTO="Manual",$M139=$A$15)),0,
         IF(OFFSET(CRONOPLE!$F$15,$M139-$A$15,BS$13)=0,10^12,OFFSET(CRONOPLE!$F$15,$M139-$A$15,BS$13)))</f>
        <v>1000000000000</v>
      </c>
      <c r="BT139" s="171">
        <f ca="1">IF(OR($D139&lt;&gt;"Serviço",AND(AUTOEVENTO="Manual",$M139=$A$15)),0,
         IF(OFFSET(CRONOPLE!$F$15,$M139-$A$15,BT$13)=0,10^12,OFFSET(CRONOPLE!$F$15,$M139-$A$15,BT$13)))</f>
        <v>1000000000000</v>
      </c>
      <c r="BV139" s="172">
        <f t="array" aca="1" ref="BV139" ca="1">IF(OR($D139&lt;&gt;"Serviço",AND(AUTOEVENTO="Manual",$M139=$A$15),$M139&gt;(ROW(PLE.lastrow)-ROW(PLE.firstrow))),0,
           IF(OFFSET(PLE!$G$15,$M139-$A$15,BV$13)="",10^12,OFFSET(PLE!$G$15,$M139-$A$15,BV$13)))</f>
        <v>1000000000000</v>
      </c>
      <c r="BW139" s="172">
        <f t="array" aca="1" ref="BW139" ca="1">IF(OR($D139&lt;&gt;"Serviço",AND(AUTOEVENTO="Manual",$M139=$A$15),$M139&gt;(ROW(PLE.lastrow)-ROW(PLE.firstrow))),0,
           IF(OFFSET(PLE!$G$15,$M139-$A$15,BW$13)="",10^12,OFFSET(PLE!$G$15,$M139-$A$15,BW$13)))</f>
        <v>1000000000000</v>
      </c>
      <c r="BX139" s="172">
        <f t="array" aca="1" ref="BX139" ca="1">IF(OR($D139&lt;&gt;"Serviço",AND(AUTOEVENTO="Manual",$M139=$A$15),$M139&gt;(ROW(PLE.lastrow)-ROW(PLE.firstrow))),0,
           IF(OFFSET(PLE!$G$15,$M139-$A$15,BX$13)="",10^12,OFFSET(PLE!$G$15,$M139-$A$15,BX$13)))</f>
        <v>1000000000000</v>
      </c>
      <c r="BY139" s="172">
        <f t="array" aca="1" ref="BY139" ca="1">IF(OR($D139&lt;&gt;"Serviço",AND(AUTOEVENTO="Manual",$M139=$A$15),$M139&gt;(ROW(PLE.lastrow)-ROW(PLE.firstrow))),0,
           IF(OFFSET(PLE!$G$15,$M139-$A$15,BY$13)="",10^12,OFFSET(PLE!$G$15,$M139-$A$15,BY$13)))</f>
        <v>1000000000000</v>
      </c>
      <c r="BZ139" s="172">
        <f t="array" aca="1" ref="BZ139" ca="1">IF(OR($D139&lt;&gt;"Serviço",AND(AUTOEVENTO="Manual",$M139=$A$15),$M139&gt;(ROW(PLE.lastrow)-ROW(PLE.firstrow))),0,
           IF(OFFSET(PLE!$G$15,$M139-$A$15,BZ$13)="",10^12,OFFSET(PLE!$G$15,$M139-$A$15,BZ$13)))</f>
        <v>1000000000000</v>
      </c>
      <c r="CA139" s="172">
        <f t="array" aca="1" ref="CA139" ca="1">IF(OR($D139&lt;&gt;"Serviço",AND(AUTOEVENTO="Manual",$M139=$A$15),$M139&gt;(ROW(PLE.lastrow)-ROW(PLE.firstrow))),0,
           IF(OFFSET(PLE!$G$15,$M139-$A$15,CA$13)="",10^12,OFFSET(PLE!$G$15,$M139-$A$15,CA$13)))</f>
        <v>1000000000000</v>
      </c>
      <c r="CB139" s="172">
        <f t="array" aca="1" ref="CB139" ca="1">IF(OR($D139&lt;&gt;"Serviço",AND(AUTOEVENTO="Manual",$M139=$A$15),$M139&gt;(ROW(PLE.lastrow)-ROW(PLE.firstrow))),0,
           IF(OFFSET(PLE!$G$15,$M139-$A$15,CB$13)="",10^12,OFFSET(PLE!$G$15,$M139-$A$15,CB$13)))</f>
        <v>1000000000000</v>
      </c>
      <c r="CC139" s="172">
        <f t="array" aca="1" ref="CC139" ca="1">IF(OR($D139&lt;&gt;"Serviço",AND(AUTOEVENTO="Manual",$M139=$A$15),$M139&gt;(ROW(PLE.lastrow)-ROW(PLE.firstrow))),0,
           IF(OFFSET(PLE!$G$15,$M139-$A$15,CC$13)="",10^12,OFFSET(PLE!$G$15,$M139-$A$15,CC$13)))</f>
        <v>1000000000000</v>
      </c>
      <c r="CD139" s="172">
        <f t="array" aca="1" ref="CD139" ca="1">IF(OR($D139&lt;&gt;"Serviço",AND(AUTOEVENTO="Manual",$M139=$A$15),$M139&gt;(ROW(PLE.lastrow)-ROW(PLE.firstrow))),0,
           IF(OFFSET(PLE!$G$15,$M139-$A$15,CD$13)="",10^12,OFFSET(PLE!$G$15,$M139-$A$15,CD$13)))</f>
        <v>1000000000000</v>
      </c>
      <c r="CE139" s="172">
        <f t="array" aca="1" ref="CE139" ca="1">IF(OR($D139&lt;&gt;"Serviço",AND(AUTOEVENTO="Manual",$M139=$A$15),$M139&gt;(ROW(PLE.lastrow)-ROW(PLE.firstrow))),0,
           IF(OFFSET(PLE!$G$15,$M139-$A$15,CE$13)="",10^12,OFFSET(PLE!$G$15,$M139-$A$15,CE$13)))</f>
        <v>1000000000000</v>
      </c>
      <c r="CF139" s="172">
        <f t="array" aca="1" ref="CF139" ca="1">IF(OR($D139&lt;&gt;"Serviço",AND(AUTOEVENTO="Manual",$M139=$A$15),$M139&gt;(ROW(PLE.lastrow)-ROW(PLE.firstrow))),0,
           IF(OFFSET(PLE!$G$15,$M139-$A$15,CF$13)="",10^12,OFFSET(PLE!$G$15,$M139-$A$15,CF$13)))</f>
        <v>1000000000000</v>
      </c>
      <c r="CG139" s="172">
        <f t="array" aca="1" ref="CG139" ca="1">IF(OR($D139&lt;&gt;"Serviço",AND(AUTOEVENTO="Manual",$M139=$A$15),$M139&gt;(ROW(PLE.lastrow)-ROW(PLE.firstrow))),0,
           IF(OFFSET(PLE!$G$15,$M139-$A$15,CG$13)="",10^12,OFFSET(PLE!$G$15,$M139-$A$15,CG$13)))</f>
        <v>1000000000000</v>
      </c>
      <c r="CH139" s="172">
        <f t="array" aca="1" ref="CH139" ca="1">IF(OR($D139&lt;&gt;"Serviço",AND(AUTOEVENTO="Manual",$M139=$A$15),$M139&gt;(ROW(PLE.lastrow)-ROW(PLE.firstrow))),0,
           IF(OFFSET(PLE!$G$15,$M139-$A$15,CH$13)="",10^12,OFFSET(PLE!$G$15,$M139-$A$15,CH$13)))</f>
        <v>1000000000000</v>
      </c>
      <c r="CI139" s="172">
        <f t="array" aca="1" ref="CI139" ca="1">IF(OR($D139&lt;&gt;"Serviço",AND(AUTOEVENTO="Manual",$M139=$A$15),$M139&gt;(ROW(PLE.lastrow)-ROW(PLE.firstrow))),0,
           IF(OFFSET(PLE!$G$15,$M139-$A$15,CI$13)="",10^12,OFFSET(PLE!$G$15,$M139-$A$15,CI$13)))</f>
        <v>1000000000000</v>
      </c>
      <c r="CJ139" s="172">
        <f t="array" aca="1" ref="CJ139" ca="1">IF(OR($D139&lt;&gt;"Serviço",AND(AUTOEVENTO="Manual",$M139=$A$15),$M139&gt;(ROW(PLE.lastrow)-ROW(PLE.firstrow))),0,
           IF(OFFSET(PLE!$G$15,$M139-$A$15,CJ$13)="",10^12,OFFSET(PLE!$G$15,$M139-$A$15,CJ$13)))</f>
        <v>1000000000000</v>
      </c>
      <c r="CK139" s="172">
        <f t="array" aca="1" ref="CK139" ca="1">IF(OR($D139&lt;&gt;"Serviço",AND(AUTOEVENTO="Manual",$M139=$A$15),$M139&gt;(ROW(PLE.lastrow)-ROW(PLE.firstrow))),0,
           IF(OFFSET(PLE!$G$15,$M139-$A$15,CK$13)="",10^12,OFFSET(PLE!$G$15,$M139-$A$15,CK$13)))</f>
        <v>1000000000000</v>
      </c>
      <c r="CL139" s="172">
        <f t="array" aca="1" ref="CL139" ca="1">IF(OR($D139&lt;&gt;"Serviço",AND(AUTOEVENTO="Manual",$M139=$A$15),$M139&gt;(ROW(PLE.lastrow)-ROW(PLE.firstrow))),0,
           IF(OFFSET(PLE!$G$15,$M139-$A$15,CL$13)="",10^12,OFFSET(PLE!$G$15,$M139-$A$15,CL$13)))</f>
        <v>1000000000000</v>
      </c>
      <c r="CM139" s="172">
        <f t="array" aca="1" ref="CM139" ca="1">IF(OR($D139&lt;&gt;"Serviço",AND(AUTOEVENTO="Manual",$M139=$A$15),$M139&gt;(ROW(PLE.lastrow)-ROW(PLE.firstrow))),0,
           IF(OFFSET(PLE!$G$15,$M139-$A$15,CM$13)="",10^12,OFFSET(PLE!$G$15,$M139-$A$15,CM$13)))</f>
        <v>1000000000000</v>
      </c>
    </row>
    <row r="140" spans="1:91" s="696" customFormat="1" ht="51" x14ac:dyDescent="0.2">
      <c r="A140" s="694">
        <f t="shared" ca="1" si="82"/>
        <v>32</v>
      </c>
      <c r="B140" s="694" t="str">
        <f ca="1">OFFSET(ORÇAMENTO!C$15,$L140,0)</f>
        <v>S</v>
      </c>
      <c r="C140" s="694" t="str">
        <f ca="1">OFFSET(ORÇAMENTO!L$15,$L140,0)</f>
        <v>F</v>
      </c>
      <c r="D140" s="116" t="str">
        <f ca="1">OFFSET(ORÇAMENTO!N$15,$L140,0)</f>
        <v>Serviço</v>
      </c>
      <c r="E140" s="117" t="str">
        <f ca="1">OFFSET(ORÇAMENTO!O$15,$L140,0)</f>
        <v>1.24.3.</v>
      </c>
      <c r="F140" s="163" t="str">
        <f ca="1">OFFSET(ORÇAMENTO!R$15,$L140,0)</f>
        <v>INTERRUPTOR SIMPLES (1 MÓDULO), 10A/250V, INCLUINDO SUPORTE E PLACA - FORNECIMENTO E INSTALAÇÃO. AF_03/2023</v>
      </c>
      <c r="G140" s="164" t="str">
        <f ca="1">IF($D140&lt;&gt;"Serviço","",OFFSET(ORÇAMENTO!S$15,$L140,0))</f>
        <v>UN</v>
      </c>
      <c r="H140" s="122">
        <f t="array" aca="1" ref="H140" ca="1">IF($D140&lt;&gt;"Serviço",0,IF(ACOMPANHAMENTO="BM",ROUND(OFFSET(ORÇAMENTO!AJ$15,$L140,0),15-13*ORÇAMENTO!$AF$7),IF(IFERROR(CÁLCULO.FrentesPreenchidas,0)=0,0,SUM(ROUND(OFFSET($P140,0,1,1,CÁLCULO.FrentesPreenchidas),15-13*ORÇAMENTO!$AF$7)))))</f>
        <v>100</v>
      </c>
      <c r="I140" s="467" t="s">
        <v>1291</v>
      </c>
      <c r="J140" s="653" t="str">
        <f t="array" aca="1" ref="J140" ca="1">IF(OR(B140&lt;&gt;"S",CÁLCULO.FrentesPreenchidas=0),"",IF(AND(ACOMPANHAMENTO="PLE",AUTOEVENTO="Manual",OR(H140&gt;0,ORÇAMENTO!AC140="QUANT."),OR(K140="",M140=0,N140="")),"►E",IF(AND(ACOMPANHAMENTO="PLE",ORÇAMENTO!AC140="QUANT."),"►Q",IF(AND(ACOMPANHAMENTO="PLE",H140&lt;&gt;SUMPRODUCT(($Q$1:$AI$1=1)*ROUND(Q140:AI140,15))),"►S",IF(AND(COUNTIF($P$11:$AI$11,"▼")=0,H140&gt;0,I140=""),"◄M","")))))</f>
        <v/>
      </c>
      <c r="K140" s="654" t="s">
        <v>1441</v>
      </c>
      <c r="L140" s="165">
        <f t="shared" ca="1" si="83"/>
        <v>125</v>
      </c>
      <c r="M140" s="166">
        <f ca="1">IF($D140&lt;&gt;"Serviço","",
          IF(AUTOEVENTO="manual",$A140,
                IF(ISERROR(MATCH($A140,$A$15:OFFSET($A140,-1,0),0)),MAX($M$15:OFFSET(M140,-1,0))+1,
                      INDEX($M$15:OFFSET(M140,-1,0),MATCH($A140,$A$15:OFFSET($A140,-1,0),0)))))</f>
        <v>32</v>
      </c>
      <c r="N140" s="167" t="str">
        <f ca="1">IF($D140&lt;&gt;"Serviço","",
         IF(AUTOEVENTO="Manual",
                IF($A140=0,"&lt;-- defina o número do agrupador",
                       OFFSET(EVENTOS!$D$15,$A140-$A$15,0)),
                OFFSET($F$15,$A140,0)))</f>
        <v>ACABAMENTOS ELÉTRICOS</v>
      </c>
      <c r="O140" s="168"/>
      <c r="Q140" s="169">
        <v>25</v>
      </c>
      <c r="R140" s="169">
        <v>25</v>
      </c>
      <c r="S140" s="169">
        <v>25</v>
      </c>
      <c r="T140" s="169">
        <v>25</v>
      </c>
      <c r="U140" s="169"/>
      <c r="V140" s="169"/>
      <c r="W140" s="169"/>
      <c r="X140" s="169"/>
      <c r="Y140" s="169"/>
      <c r="Z140" s="170"/>
      <c r="AA140" s="169"/>
      <c r="AB140" s="169"/>
      <c r="AC140" s="169"/>
      <c r="AD140" s="169"/>
      <c r="AE140" s="169"/>
      <c r="AF140" s="169"/>
      <c r="AG140" s="169"/>
      <c r="AH140" s="170"/>
      <c r="AJ140" s="452">
        <f ca="1">IF(AND($D140="Serviço",AJ$12&lt;&gt;0,$H140&gt;0,OR(AUTOEVENTO&lt;&gt;"manual",$M140&lt;&gt;$A$15)),
        IF(Import.TipoArredondamento&lt;&gt;"TransfereGOV",
              ROUND(OFFSET($P140,0,AJ$13),15-13*ORÇAMENTO!$AF$7)/$H140*OFFSET(ORÇAMENTO!$X$15,ROW(AJ140)-ROW(AJ$15),0),
              ROUND(ROUND(OFFSET($P140,0,AJ$13),15-13*ORÇAMENTO!$AF$7)*OFFSET(ORÇAMENTO!$W$15,ROW(AJ140)-ROW(AJ$15),0),15-13*ORÇAMENTO!$AF$11)),
         0)</f>
        <v>876.5</v>
      </c>
      <c r="AK140" s="452">
        <f ca="1">IF(AND($D140="Serviço",AK$12&lt;&gt;0,$H140&gt;0,OR(AUTOEVENTO&lt;&gt;"manual",$M140&lt;&gt;$A$15)),
        IF(Import.TipoArredondamento&lt;&gt;"TransfereGOV",
              ROUND(OFFSET($P140,0,AK$13),15-13*ORÇAMENTO!$AF$7)/$H140*OFFSET(ORÇAMENTO!$X$15,ROW(AK140)-ROW(AK$15),0),
              ROUND(ROUND(OFFSET($P140,0,AK$13),15-13*ORÇAMENTO!$AF$7)*OFFSET(ORÇAMENTO!$W$15,ROW(AK140)-ROW(AK$15),0),15-13*ORÇAMENTO!$AF$11)),
         0)</f>
        <v>876.5</v>
      </c>
      <c r="AL140" s="452">
        <f ca="1">IF(AND($D140="Serviço",AL$12&lt;&gt;0,$H140&gt;0,OR(AUTOEVENTO&lt;&gt;"manual",$M140&lt;&gt;$A$15)),
        IF(Import.TipoArredondamento&lt;&gt;"TransfereGOV",
              ROUND(OFFSET($P140,0,AL$13),15-13*ORÇAMENTO!$AF$7)/$H140*OFFSET(ORÇAMENTO!$X$15,ROW(AL140)-ROW(AL$15),0),
              ROUND(ROUND(OFFSET($P140,0,AL$13),15-13*ORÇAMENTO!$AF$7)*OFFSET(ORÇAMENTO!$W$15,ROW(AL140)-ROW(AL$15),0),15-13*ORÇAMENTO!$AF$11)),
         0)</f>
        <v>876.5</v>
      </c>
      <c r="AM140" s="452">
        <f ca="1">IF(AND($D140="Serviço",AM$12&lt;&gt;0,$H140&gt;0,OR(AUTOEVENTO&lt;&gt;"manual",$M140&lt;&gt;$A$15)),
        IF(Import.TipoArredondamento&lt;&gt;"TransfereGOV",
              ROUND(OFFSET($P140,0,AM$13),15-13*ORÇAMENTO!$AF$7)/$H140*OFFSET(ORÇAMENTO!$X$15,ROW(AM140)-ROW(AM$15),0),
              ROUND(ROUND(OFFSET($P140,0,AM$13),15-13*ORÇAMENTO!$AF$7)*OFFSET(ORÇAMENTO!$W$15,ROW(AM140)-ROW(AM$15),0),15-13*ORÇAMENTO!$AF$11)),
         0)</f>
        <v>876.5</v>
      </c>
      <c r="AN140" s="452">
        <f ca="1">IF(AND($D140="Serviço",AN$12&lt;&gt;0,$H140&gt;0,OR(AUTOEVENTO&lt;&gt;"manual",$M140&lt;&gt;$A$15)),
        IF(Import.TipoArredondamento&lt;&gt;"TransfereGOV",
              ROUND(OFFSET($P140,0,AN$13),15-13*ORÇAMENTO!$AF$7)/$H140*OFFSET(ORÇAMENTO!$X$15,ROW(AN140)-ROW(AN$15),0),
              ROUND(ROUND(OFFSET($P140,0,AN$13),15-13*ORÇAMENTO!$AF$7)*OFFSET(ORÇAMENTO!$W$15,ROW(AN140)-ROW(AN$15),0),15-13*ORÇAMENTO!$AF$11)),
         0)</f>
        <v>0</v>
      </c>
      <c r="AO140" s="452">
        <f ca="1">IF(AND($D140="Serviço",AO$12&lt;&gt;0,$H140&gt;0,OR(AUTOEVENTO&lt;&gt;"manual",$M140&lt;&gt;$A$15)),
        IF(Import.TipoArredondamento&lt;&gt;"TransfereGOV",
              ROUND(OFFSET($P140,0,AO$13),15-13*ORÇAMENTO!$AF$7)/$H140*OFFSET(ORÇAMENTO!$X$15,ROW(AO140)-ROW(AO$15),0),
              ROUND(ROUND(OFFSET($P140,0,AO$13),15-13*ORÇAMENTO!$AF$7)*OFFSET(ORÇAMENTO!$W$15,ROW(AO140)-ROW(AO$15),0),15-13*ORÇAMENTO!$AF$11)),
         0)</f>
        <v>0</v>
      </c>
      <c r="AP140" s="452">
        <f ca="1">IF(AND($D140="Serviço",AP$12&lt;&gt;0,$H140&gt;0,OR(AUTOEVENTO&lt;&gt;"manual",$M140&lt;&gt;$A$15)),
        IF(Import.TipoArredondamento&lt;&gt;"TransfereGOV",
              ROUND(OFFSET($P140,0,AP$13),15-13*ORÇAMENTO!$AF$7)/$H140*OFFSET(ORÇAMENTO!$X$15,ROW(AP140)-ROW(AP$15),0),
              ROUND(ROUND(OFFSET($P140,0,AP$13),15-13*ORÇAMENTO!$AF$7)*OFFSET(ORÇAMENTO!$W$15,ROW(AP140)-ROW(AP$15),0),15-13*ORÇAMENTO!$AF$11)),
         0)</f>
        <v>0</v>
      </c>
      <c r="AQ140" s="452">
        <f ca="1">IF(AND($D140="Serviço",AQ$12&lt;&gt;0,$H140&gt;0,OR(AUTOEVENTO&lt;&gt;"manual",$M140&lt;&gt;$A$15)),
        IF(Import.TipoArredondamento&lt;&gt;"TransfereGOV",
              ROUND(OFFSET($P140,0,AQ$13),15-13*ORÇAMENTO!$AF$7)/$H140*OFFSET(ORÇAMENTO!$X$15,ROW(AQ140)-ROW(AQ$15),0),
              ROUND(ROUND(OFFSET($P140,0,AQ$13),15-13*ORÇAMENTO!$AF$7)*OFFSET(ORÇAMENTO!$W$15,ROW(AQ140)-ROW(AQ$15),0),15-13*ORÇAMENTO!$AF$11)),
         0)</f>
        <v>0</v>
      </c>
      <c r="AR140" s="452">
        <f ca="1">IF(AND($D140="Serviço",AR$12&lt;&gt;0,$H140&gt;0,OR(AUTOEVENTO&lt;&gt;"manual",$M140&lt;&gt;$A$15)),
        IF(Import.TipoArredondamento&lt;&gt;"TransfereGOV",
              ROUND(OFFSET($P140,0,AR$13),15-13*ORÇAMENTO!$AF$7)/$H140*OFFSET(ORÇAMENTO!$X$15,ROW(AR140)-ROW(AR$15),0),
              ROUND(ROUND(OFFSET($P140,0,AR$13),15-13*ORÇAMENTO!$AF$7)*OFFSET(ORÇAMENTO!$W$15,ROW(AR140)-ROW(AR$15),0),15-13*ORÇAMENTO!$AF$11)),
         0)</f>
        <v>0</v>
      </c>
      <c r="AS140" s="452">
        <f ca="1">IF(AND($D140="Serviço",AS$12&lt;&gt;0,$H140&gt;0,OR(AUTOEVENTO&lt;&gt;"manual",$M140&lt;&gt;$A$15)),
        IF(Import.TipoArredondamento&lt;&gt;"TransfereGOV",
              ROUND(OFFSET($P140,0,AS$13),15-13*ORÇAMENTO!$AF$7)/$H140*OFFSET(ORÇAMENTO!$X$15,ROW(AS140)-ROW(AS$15),0),
              ROUND(ROUND(OFFSET($P140,0,AS$13),15-13*ORÇAMENTO!$AF$7)*OFFSET(ORÇAMENTO!$W$15,ROW(AS140)-ROW(AS$15),0),15-13*ORÇAMENTO!$AF$11)),
         0)</f>
        <v>0</v>
      </c>
      <c r="AT140" s="452">
        <f ca="1">IF(AND($D140="Serviço",AT$12&lt;&gt;0,$H140&gt;0,OR(AUTOEVENTO&lt;&gt;"manual",$M140&lt;&gt;$A$15)),
        IF(Import.TipoArredondamento&lt;&gt;"TransfereGOV",
              ROUND(OFFSET($P140,0,AT$13),15-13*ORÇAMENTO!$AF$7)/$H140*OFFSET(ORÇAMENTO!$X$15,ROW(AT140)-ROW(AT$15),0),
              ROUND(ROUND(OFFSET($P140,0,AT$13),15-13*ORÇAMENTO!$AF$7)*OFFSET(ORÇAMENTO!$W$15,ROW(AT140)-ROW(AT$15),0),15-13*ORÇAMENTO!$AF$11)),
         0)</f>
        <v>0</v>
      </c>
      <c r="AU140" s="452">
        <f ca="1">IF(AND($D140="Serviço",AU$12&lt;&gt;0,$H140&gt;0,OR(AUTOEVENTO&lt;&gt;"manual",$M140&lt;&gt;$A$15)),
        IF(Import.TipoArredondamento&lt;&gt;"TransfereGOV",
              ROUND(OFFSET($P140,0,AU$13),15-13*ORÇAMENTO!$AF$7)/$H140*OFFSET(ORÇAMENTO!$X$15,ROW(AU140)-ROW(AU$15),0),
              ROUND(ROUND(OFFSET($P140,0,AU$13),15-13*ORÇAMENTO!$AF$7)*OFFSET(ORÇAMENTO!$W$15,ROW(AU140)-ROW(AU$15),0),15-13*ORÇAMENTO!$AF$11)),
         0)</f>
        <v>0</v>
      </c>
      <c r="AV140" s="452">
        <f ca="1">IF(AND($D140="Serviço",AV$12&lt;&gt;0,$H140&gt;0,OR(AUTOEVENTO&lt;&gt;"manual",$M140&lt;&gt;$A$15)),
        IF(Import.TipoArredondamento&lt;&gt;"TransfereGOV",
              ROUND(OFFSET($P140,0,AV$13),15-13*ORÇAMENTO!$AF$7)/$H140*OFFSET(ORÇAMENTO!$X$15,ROW(AV140)-ROW(AV$15),0),
              ROUND(ROUND(OFFSET($P140,0,AV$13),15-13*ORÇAMENTO!$AF$7)*OFFSET(ORÇAMENTO!$W$15,ROW(AV140)-ROW(AV$15),0),15-13*ORÇAMENTO!$AF$11)),
         0)</f>
        <v>0</v>
      </c>
      <c r="AW140" s="452">
        <f ca="1">IF(AND($D140="Serviço",AW$12&lt;&gt;0,$H140&gt;0,OR(AUTOEVENTO&lt;&gt;"manual",$M140&lt;&gt;$A$15)),
        IF(Import.TipoArredondamento&lt;&gt;"TransfereGOV",
              ROUND(OFFSET($P140,0,AW$13),15-13*ORÇAMENTO!$AF$7)/$H140*OFFSET(ORÇAMENTO!$X$15,ROW(AW140)-ROW(AW$15),0),
              ROUND(ROUND(OFFSET($P140,0,AW$13),15-13*ORÇAMENTO!$AF$7)*OFFSET(ORÇAMENTO!$W$15,ROW(AW140)-ROW(AW$15),0),15-13*ORÇAMENTO!$AF$11)),
         0)</f>
        <v>0</v>
      </c>
      <c r="AX140" s="452">
        <f ca="1">IF(AND($D140="Serviço",AX$12&lt;&gt;0,$H140&gt;0,OR(AUTOEVENTO&lt;&gt;"manual",$M140&lt;&gt;$A$15)),
        IF(Import.TipoArredondamento&lt;&gt;"TransfereGOV",
              ROUND(OFFSET($P140,0,AX$13),15-13*ORÇAMENTO!$AF$7)/$H140*OFFSET(ORÇAMENTO!$X$15,ROW(AX140)-ROW(AX$15),0),
              ROUND(ROUND(OFFSET($P140,0,AX$13),15-13*ORÇAMENTO!$AF$7)*OFFSET(ORÇAMENTO!$W$15,ROW(AX140)-ROW(AX$15),0),15-13*ORÇAMENTO!$AF$11)),
         0)</f>
        <v>0</v>
      </c>
      <c r="AY140" s="452">
        <f ca="1">IF(AND($D140="Serviço",AY$12&lt;&gt;0,$H140&gt;0,OR(AUTOEVENTO&lt;&gt;"manual",$M140&lt;&gt;$A$15)),
        IF(Import.TipoArredondamento&lt;&gt;"TransfereGOV",
              ROUND(OFFSET($P140,0,AY$13),15-13*ORÇAMENTO!$AF$7)/$H140*OFFSET(ORÇAMENTO!$X$15,ROW(AY140)-ROW(AY$15),0),
              ROUND(ROUND(OFFSET($P140,0,AY$13),15-13*ORÇAMENTO!$AF$7)*OFFSET(ORÇAMENTO!$W$15,ROW(AY140)-ROW(AY$15),0),15-13*ORÇAMENTO!$AF$11)),
         0)</f>
        <v>0</v>
      </c>
      <c r="AZ140" s="452">
        <f ca="1">IF(AND($D140="Serviço",AZ$12&lt;&gt;0,$H140&gt;0,OR(AUTOEVENTO&lt;&gt;"manual",$M140&lt;&gt;$A$15)),
        IF(Import.TipoArredondamento&lt;&gt;"TransfereGOV",
              ROUND(OFFSET($P140,0,AZ$13),15-13*ORÇAMENTO!$AF$7)/$H140*OFFSET(ORÇAMENTO!$X$15,ROW(AZ140)-ROW(AZ$15),0),
              ROUND(ROUND(OFFSET($P140,0,AZ$13),15-13*ORÇAMENTO!$AF$7)*OFFSET(ORÇAMENTO!$W$15,ROW(AZ140)-ROW(AZ$15),0),15-13*ORÇAMENTO!$AF$11)),
         0)</f>
        <v>0</v>
      </c>
      <c r="BA140" s="452">
        <f ca="1">IF(AND($D140="Serviço",BA$12&lt;&gt;0,$H140&gt;0,OR(AUTOEVENTO&lt;&gt;"manual",$M140&lt;&gt;$A$15)),
        IF(Import.TipoArredondamento&lt;&gt;"TransfereGOV",
              ROUND(OFFSET($P140,0,BA$13),15-13*ORÇAMENTO!$AF$7)/$H140*OFFSET(ORÇAMENTO!$X$15,ROW(BA140)-ROW(BA$15),0),
              ROUND(ROUND(OFFSET($P140,0,BA$13),15-13*ORÇAMENTO!$AF$7)*OFFSET(ORÇAMENTO!$W$15,ROW(BA140)-ROW(BA$15),0),15-13*ORÇAMENTO!$AF$11)),
         0)</f>
        <v>0</v>
      </c>
      <c r="BC140" s="171">
        <f ca="1">IF(OR($D140&lt;&gt;"Serviço",AND(AUTOEVENTO="Manual",$M140=$A$15)),0,
         IF(OFFSET(CRONOPLE!$F$15,$M140-$A$15,BC$13)=0,10^12,OFFSET(CRONOPLE!$F$15,$M140-$A$15,BC$13)))</f>
        <v>8</v>
      </c>
      <c r="BD140" s="171">
        <f ca="1">IF(OR($D140&lt;&gt;"Serviço",AND(AUTOEVENTO="Manual",$M140=$A$15)),0,
         IF(OFFSET(CRONOPLE!$F$15,$M140-$A$15,BD$13)=0,10^12,OFFSET(CRONOPLE!$F$15,$M140-$A$15,BD$13)))</f>
        <v>8</v>
      </c>
      <c r="BE140" s="171">
        <f ca="1">IF(OR($D140&lt;&gt;"Serviço",AND(AUTOEVENTO="Manual",$M140=$A$15)),0,
         IF(OFFSET(CRONOPLE!$F$15,$M140-$A$15,BE$13)=0,10^12,OFFSET(CRONOPLE!$F$15,$M140-$A$15,BE$13)))</f>
        <v>9</v>
      </c>
      <c r="BF140" s="171">
        <f ca="1">IF(OR($D140&lt;&gt;"Serviço",AND(AUTOEVENTO="Manual",$M140=$A$15)),0,
         IF(OFFSET(CRONOPLE!$F$15,$M140-$A$15,BF$13)=0,10^12,OFFSET(CRONOPLE!$F$15,$M140-$A$15,BF$13)))</f>
        <v>9</v>
      </c>
      <c r="BG140" s="171">
        <f ca="1">IF(OR($D140&lt;&gt;"Serviço",AND(AUTOEVENTO="Manual",$M140=$A$15)),0,
         IF(OFFSET(CRONOPLE!$F$15,$M140-$A$15,BG$13)=0,10^12,OFFSET(CRONOPLE!$F$15,$M140-$A$15,BG$13)))</f>
        <v>9</v>
      </c>
      <c r="BH140" s="171">
        <f ca="1">IF(OR($D140&lt;&gt;"Serviço",AND(AUTOEVENTO="Manual",$M140=$A$15)),0,
         IF(OFFSET(CRONOPLE!$F$15,$M140-$A$15,BH$13)=0,10^12,OFFSET(CRONOPLE!$F$15,$M140-$A$15,BH$13)))</f>
        <v>1000000000000</v>
      </c>
      <c r="BI140" s="171">
        <f ca="1">IF(OR($D140&lt;&gt;"Serviço",AND(AUTOEVENTO="Manual",$M140=$A$15)),0,
         IF(OFFSET(CRONOPLE!$F$15,$M140-$A$15,BI$13)=0,10^12,OFFSET(CRONOPLE!$F$15,$M140-$A$15,BI$13)))</f>
        <v>1000000000000</v>
      </c>
      <c r="BJ140" s="171">
        <f ca="1">IF(OR($D140&lt;&gt;"Serviço",AND(AUTOEVENTO="Manual",$M140=$A$15)),0,
         IF(OFFSET(CRONOPLE!$F$15,$M140-$A$15,BJ$13)=0,10^12,OFFSET(CRONOPLE!$F$15,$M140-$A$15,BJ$13)))</f>
        <v>8</v>
      </c>
      <c r="BK140" s="171">
        <f ca="1">IF(OR($D140&lt;&gt;"Serviço",AND(AUTOEVENTO="Manual",$M140=$A$15)),0,
         IF(OFFSET(CRONOPLE!$F$15,$M140-$A$15,BK$13)=0,10^12,OFFSET(CRONOPLE!$F$15,$M140-$A$15,BK$13)))</f>
        <v>9</v>
      </c>
      <c r="BL140" s="171">
        <f ca="1">IF(OR($D140&lt;&gt;"Serviço",AND(AUTOEVENTO="Manual",$M140=$A$15)),0,
         IF(OFFSET(CRONOPLE!$F$15,$M140-$A$15,BL$13)=0,10^12,OFFSET(CRONOPLE!$F$15,$M140-$A$15,BL$13)))</f>
        <v>1000000000000</v>
      </c>
      <c r="BM140" s="171">
        <f ca="1">IF(OR($D140&lt;&gt;"Serviço",AND(AUTOEVENTO="Manual",$M140=$A$15)),0,
         IF(OFFSET(CRONOPLE!$F$15,$M140-$A$15,BM$13)=0,10^12,OFFSET(CRONOPLE!$F$15,$M140-$A$15,BM$13)))</f>
        <v>1000000000000</v>
      </c>
      <c r="BN140" s="171">
        <f ca="1">IF(OR($D140&lt;&gt;"Serviço",AND(AUTOEVENTO="Manual",$M140=$A$15)),0,
         IF(OFFSET(CRONOPLE!$F$15,$M140-$A$15,BN$13)=0,10^12,OFFSET(CRONOPLE!$F$15,$M140-$A$15,BN$13)))</f>
        <v>1000000000000</v>
      </c>
      <c r="BO140" s="171">
        <f ca="1">IF(OR($D140&lt;&gt;"Serviço",AND(AUTOEVENTO="Manual",$M140=$A$15)),0,
         IF(OFFSET(CRONOPLE!$F$15,$M140-$A$15,BO$13)=0,10^12,OFFSET(CRONOPLE!$F$15,$M140-$A$15,BO$13)))</f>
        <v>1000000000000</v>
      </c>
      <c r="BP140" s="171">
        <f ca="1">IF(OR($D140&lt;&gt;"Serviço",AND(AUTOEVENTO="Manual",$M140=$A$15)),0,
         IF(OFFSET(CRONOPLE!$F$15,$M140-$A$15,BP$13)=0,10^12,OFFSET(CRONOPLE!$F$15,$M140-$A$15,BP$13)))</f>
        <v>1000000000000</v>
      </c>
      <c r="BQ140" s="171">
        <f ca="1">IF(OR($D140&lt;&gt;"Serviço",AND(AUTOEVENTO="Manual",$M140=$A$15)),0,
         IF(OFFSET(CRONOPLE!$F$15,$M140-$A$15,BQ$13)=0,10^12,OFFSET(CRONOPLE!$F$15,$M140-$A$15,BQ$13)))</f>
        <v>1000000000000</v>
      </c>
      <c r="BR140" s="171">
        <f ca="1">IF(OR($D140&lt;&gt;"Serviço",AND(AUTOEVENTO="Manual",$M140=$A$15)),0,
         IF(OFFSET(CRONOPLE!$F$15,$M140-$A$15,BR$13)=0,10^12,OFFSET(CRONOPLE!$F$15,$M140-$A$15,BR$13)))</f>
        <v>1000000000000</v>
      </c>
      <c r="BS140" s="171">
        <f ca="1">IF(OR($D140&lt;&gt;"Serviço",AND(AUTOEVENTO="Manual",$M140=$A$15)),0,
         IF(OFFSET(CRONOPLE!$F$15,$M140-$A$15,BS$13)=0,10^12,OFFSET(CRONOPLE!$F$15,$M140-$A$15,BS$13)))</f>
        <v>1000000000000</v>
      </c>
      <c r="BT140" s="171">
        <f ca="1">IF(OR($D140&lt;&gt;"Serviço",AND(AUTOEVENTO="Manual",$M140=$A$15)),0,
         IF(OFFSET(CRONOPLE!$F$15,$M140-$A$15,BT$13)=0,10^12,OFFSET(CRONOPLE!$F$15,$M140-$A$15,BT$13)))</f>
        <v>1000000000000</v>
      </c>
      <c r="BV140" s="172">
        <f t="array" aca="1" ref="BV140" ca="1">IF(OR($D140&lt;&gt;"Serviço",AND(AUTOEVENTO="Manual",$M140=$A$15),$M140&gt;(ROW(PLE.lastrow)-ROW(PLE.firstrow))),0,
           IF(OFFSET(PLE!$G$15,$M140-$A$15,BV$13)="",10^12,OFFSET(PLE!$G$15,$M140-$A$15,BV$13)))</f>
        <v>1000000000000</v>
      </c>
      <c r="BW140" s="172">
        <f t="array" aca="1" ref="BW140" ca="1">IF(OR($D140&lt;&gt;"Serviço",AND(AUTOEVENTO="Manual",$M140=$A$15),$M140&gt;(ROW(PLE.lastrow)-ROW(PLE.firstrow))),0,
           IF(OFFSET(PLE!$G$15,$M140-$A$15,BW$13)="",10^12,OFFSET(PLE!$G$15,$M140-$A$15,BW$13)))</f>
        <v>1000000000000</v>
      </c>
      <c r="BX140" s="172">
        <f t="array" aca="1" ref="BX140" ca="1">IF(OR($D140&lt;&gt;"Serviço",AND(AUTOEVENTO="Manual",$M140=$A$15),$M140&gt;(ROW(PLE.lastrow)-ROW(PLE.firstrow))),0,
           IF(OFFSET(PLE!$G$15,$M140-$A$15,BX$13)="",10^12,OFFSET(PLE!$G$15,$M140-$A$15,BX$13)))</f>
        <v>1000000000000</v>
      </c>
      <c r="BY140" s="172">
        <f t="array" aca="1" ref="BY140" ca="1">IF(OR($D140&lt;&gt;"Serviço",AND(AUTOEVENTO="Manual",$M140=$A$15),$M140&gt;(ROW(PLE.lastrow)-ROW(PLE.firstrow))),0,
           IF(OFFSET(PLE!$G$15,$M140-$A$15,BY$13)="",10^12,OFFSET(PLE!$G$15,$M140-$A$15,BY$13)))</f>
        <v>1000000000000</v>
      </c>
      <c r="BZ140" s="172">
        <f t="array" aca="1" ref="BZ140" ca="1">IF(OR($D140&lt;&gt;"Serviço",AND(AUTOEVENTO="Manual",$M140=$A$15),$M140&gt;(ROW(PLE.lastrow)-ROW(PLE.firstrow))),0,
           IF(OFFSET(PLE!$G$15,$M140-$A$15,BZ$13)="",10^12,OFFSET(PLE!$G$15,$M140-$A$15,BZ$13)))</f>
        <v>1000000000000</v>
      </c>
      <c r="CA140" s="172">
        <f t="array" aca="1" ref="CA140" ca="1">IF(OR($D140&lt;&gt;"Serviço",AND(AUTOEVENTO="Manual",$M140=$A$15),$M140&gt;(ROW(PLE.lastrow)-ROW(PLE.firstrow))),0,
           IF(OFFSET(PLE!$G$15,$M140-$A$15,CA$13)="",10^12,OFFSET(PLE!$G$15,$M140-$A$15,CA$13)))</f>
        <v>1000000000000</v>
      </c>
      <c r="CB140" s="172">
        <f t="array" aca="1" ref="CB140" ca="1">IF(OR($D140&lt;&gt;"Serviço",AND(AUTOEVENTO="Manual",$M140=$A$15),$M140&gt;(ROW(PLE.lastrow)-ROW(PLE.firstrow))),0,
           IF(OFFSET(PLE!$G$15,$M140-$A$15,CB$13)="",10^12,OFFSET(PLE!$G$15,$M140-$A$15,CB$13)))</f>
        <v>1000000000000</v>
      </c>
      <c r="CC140" s="172">
        <f t="array" aca="1" ref="CC140" ca="1">IF(OR($D140&lt;&gt;"Serviço",AND(AUTOEVENTO="Manual",$M140=$A$15),$M140&gt;(ROW(PLE.lastrow)-ROW(PLE.firstrow))),0,
           IF(OFFSET(PLE!$G$15,$M140-$A$15,CC$13)="",10^12,OFFSET(PLE!$G$15,$M140-$A$15,CC$13)))</f>
        <v>1000000000000</v>
      </c>
      <c r="CD140" s="172">
        <f t="array" aca="1" ref="CD140" ca="1">IF(OR($D140&lt;&gt;"Serviço",AND(AUTOEVENTO="Manual",$M140=$A$15),$M140&gt;(ROW(PLE.lastrow)-ROW(PLE.firstrow))),0,
           IF(OFFSET(PLE!$G$15,$M140-$A$15,CD$13)="",10^12,OFFSET(PLE!$G$15,$M140-$A$15,CD$13)))</f>
        <v>1000000000000</v>
      </c>
      <c r="CE140" s="172">
        <f t="array" aca="1" ref="CE140" ca="1">IF(OR($D140&lt;&gt;"Serviço",AND(AUTOEVENTO="Manual",$M140=$A$15),$M140&gt;(ROW(PLE.lastrow)-ROW(PLE.firstrow))),0,
           IF(OFFSET(PLE!$G$15,$M140-$A$15,CE$13)="",10^12,OFFSET(PLE!$G$15,$M140-$A$15,CE$13)))</f>
        <v>1000000000000</v>
      </c>
      <c r="CF140" s="172">
        <f t="array" aca="1" ref="CF140" ca="1">IF(OR($D140&lt;&gt;"Serviço",AND(AUTOEVENTO="Manual",$M140=$A$15),$M140&gt;(ROW(PLE.lastrow)-ROW(PLE.firstrow))),0,
           IF(OFFSET(PLE!$G$15,$M140-$A$15,CF$13)="",10^12,OFFSET(PLE!$G$15,$M140-$A$15,CF$13)))</f>
        <v>1000000000000</v>
      </c>
      <c r="CG140" s="172">
        <f t="array" aca="1" ref="CG140" ca="1">IF(OR($D140&lt;&gt;"Serviço",AND(AUTOEVENTO="Manual",$M140=$A$15),$M140&gt;(ROW(PLE.lastrow)-ROW(PLE.firstrow))),0,
           IF(OFFSET(PLE!$G$15,$M140-$A$15,CG$13)="",10^12,OFFSET(PLE!$G$15,$M140-$A$15,CG$13)))</f>
        <v>1000000000000</v>
      </c>
      <c r="CH140" s="172">
        <f t="array" aca="1" ref="CH140" ca="1">IF(OR($D140&lt;&gt;"Serviço",AND(AUTOEVENTO="Manual",$M140=$A$15),$M140&gt;(ROW(PLE.lastrow)-ROW(PLE.firstrow))),0,
           IF(OFFSET(PLE!$G$15,$M140-$A$15,CH$13)="",10^12,OFFSET(PLE!$G$15,$M140-$A$15,CH$13)))</f>
        <v>1000000000000</v>
      </c>
      <c r="CI140" s="172">
        <f t="array" aca="1" ref="CI140" ca="1">IF(OR($D140&lt;&gt;"Serviço",AND(AUTOEVENTO="Manual",$M140=$A$15),$M140&gt;(ROW(PLE.lastrow)-ROW(PLE.firstrow))),0,
           IF(OFFSET(PLE!$G$15,$M140-$A$15,CI$13)="",10^12,OFFSET(PLE!$G$15,$M140-$A$15,CI$13)))</f>
        <v>1000000000000</v>
      </c>
      <c r="CJ140" s="172">
        <f t="array" aca="1" ref="CJ140" ca="1">IF(OR($D140&lt;&gt;"Serviço",AND(AUTOEVENTO="Manual",$M140=$A$15),$M140&gt;(ROW(PLE.lastrow)-ROW(PLE.firstrow))),0,
           IF(OFFSET(PLE!$G$15,$M140-$A$15,CJ$13)="",10^12,OFFSET(PLE!$G$15,$M140-$A$15,CJ$13)))</f>
        <v>1000000000000</v>
      </c>
      <c r="CK140" s="172">
        <f t="array" aca="1" ref="CK140" ca="1">IF(OR($D140&lt;&gt;"Serviço",AND(AUTOEVENTO="Manual",$M140=$A$15),$M140&gt;(ROW(PLE.lastrow)-ROW(PLE.firstrow))),0,
           IF(OFFSET(PLE!$G$15,$M140-$A$15,CK$13)="",10^12,OFFSET(PLE!$G$15,$M140-$A$15,CK$13)))</f>
        <v>1000000000000</v>
      </c>
      <c r="CL140" s="172">
        <f t="array" aca="1" ref="CL140" ca="1">IF(OR($D140&lt;&gt;"Serviço",AND(AUTOEVENTO="Manual",$M140=$A$15),$M140&gt;(ROW(PLE.lastrow)-ROW(PLE.firstrow))),0,
           IF(OFFSET(PLE!$G$15,$M140-$A$15,CL$13)="",10^12,OFFSET(PLE!$G$15,$M140-$A$15,CL$13)))</f>
        <v>1000000000000</v>
      </c>
      <c r="CM140" s="172">
        <f t="array" aca="1" ref="CM140" ca="1">IF(OR($D140&lt;&gt;"Serviço",AND(AUTOEVENTO="Manual",$M140=$A$15),$M140&gt;(ROW(PLE.lastrow)-ROW(PLE.firstrow))),0,
           IF(OFFSET(PLE!$G$15,$M140-$A$15,CM$13)="",10^12,OFFSET(PLE!$G$15,$M140-$A$15,CM$13)))</f>
        <v>1000000000000</v>
      </c>
    </row>
    <row r="141" spans="1:91" s="696" customFormat="1" ht="51" x14ac:dyDescent="0.2">
      <c r="A141" s="694">
        <f t="shared" ca="1" si="82"/>
        <v>32</v>
      </c>
      <c r="B141" s="694" t="str">
        <f ca="1">OFFSET(ORÇAMENTO!C$15,$L141,0)</f>
        <v>S</v>
      </c>
      <c r="C141" s="694" t="str">
        <f ca="1">OFFSET(ORÇAMENTO!L$15,$L141,0)</f>
        <v>F</v>
      </c>
      <c r="D141" s="116" t="str">
        <f ca="1">OFFSET(ORÇAMENTO!N$15,$L141,0)</f>
        <v>Serviço</v>
      </c>
      <c r="E141" s="117" t="str">
        <f ca="1">OFFSET(ORÇAMENTO!O$15,$L141,0)</f>
        <v>1.24.4.</v>
      </c>
      <c r="F141" s="163" t="str">
        <f ca="1">OFFSET(ORÇAMENTO!R$15,$L141,0)</f>
        <v>INTERRUPTOR SIMPLES (2 MÓDULOS), 10A/250V, INCLUINDO SUPORTE E PLACA - FORNECIMENTO E INSTALAÇÃO. AF_03/2023</v>
      </c>
      <c r="G141" s="164" t="str">
        <f ca="1">IF($D141&lt;&gt;"Serviço","",OFFSET(ORÇAMENTO!S$15,$L141,0))</f>
        <v>UN</v>
      </c>
      <c r="H141" s="122">
        <f t="array" aca="1" ref="H141" ca="1">IF($D141&lt;&gt;"Serviço",0,IF(ACOMPANHAMENTO="BM",ROUND(OFFSET(ORÇAMENTO!AJ$15,$L141,0),15-13*ORÇAMENTO!$AF$7),IF(IFERROR(CÁLCULO.FrentesPreenchidas,0)=0,0,SUM(ROUND(OFFSET($P141,0,1,1,CÁLCULO.FrentesPreenchidas),15-13*ORÇAMENTO!$AF$7)))))</f>
        <v>20</v>
      </c>
      <c r="I141" s="467" t="s">
        <v>1290</v>
      </c>
      <c r="J141" s="653" t="str">
        <f t="array" aca="1" ref="J141" ca="1">IF(OR(B141&lt;&gt;"S",CÁLCULO.FrentesPreenchidas=0),"",IF(AND(ACOMPANHAMENTO="PLE",AUTOEVENTO="Manual",OR(H141&gt;0,ORÇAMENTO!AC141="QUANT."),OR(K141="",M141=0,N141="")),"►E",IF(AND(ACOMPANHAMENTO="PLE",ORÇAMENTO!AC141="QUANT."),"►Q",IF(AND(ACOMPANHAMENTO="PLE",H141&lt;&gt;SUMPRODUCT(($Q$1:$AI$1=1)*ROUND(Q141:AI141,15))),"►S",IF(AND(COUNTIF($P$11:$AI$11,"▼")=0,H141&gt;0,I141=""),"◄M","")))))</f>
        <v/>
      </c>
      <c r="K141" s="654" t="s">
        <v>1441</v>
      </c>
      <c r="L141" s="165">
        <f t="shared" ca="1" si="83"/>
        <v>126</v>
      </c>
      <c r="M141" s="166">
        <f ca="1">IF($D141&lt;&gt;"Serviço","",
          IF(AUTOEVENTO="manual",$A141,
                IF(ISERROR(MATCH($A141,$A$15:OFFSET($A141,-1,0),0)),MAX($M$15:OFFSET(M141,-1,0))+1,
                      INDEX($M$15:OFFSET(M141,-1,0),MATCH($A141,$A$15:OFFSET($A141,-1,0),0)))))</f>
        <v>32</v>
      </c>
      <c r="N141" s="167" t="str">
        <f ca="1">IF($D141&lt;&gt;"Serviço","",
         IF(AUTOEVENTO="Manual",
                IF($A141=0,"&lt;-- defina o número do agrupador",
                       OFFSET(EVENTOS!$D$15,$A141-$A$15,0)),
                OFFSET($F$15,$A141,0)))</f>
        <v>ACABAMENTOS ELÉTRICOS</v>
      </c>
      <c r="O141" s="168"/>
      <c r="Q141" s="169">
        <v>5</v>
      </c>
      <c r="R141" s="169">
        <v>5</v>
      </c>
      <c r="S141" s="169">
        <v>5</v>
      </c>
      <c r="T141" s="169">
        <v>5</v>
      </c>
      <c r="U141" s="169"/>
      <c r="V141" s="169"/>
      <c r="W141" s="169"/>
      <c r="X141" s="169"/>
      <c r="Y141" s="169"/>
      <c r="Z141" s="170"/>
      <c r="AA141" s="169"/>
      <c r="AB141" s="169"/>
      <c r="AC141" s="169"/>
      <c r="AD141" s="169"/>
      <c r="AE141" s="169"/>
      <c r="AF141" s="169"/>
      <c r="AG141" s="169"/>
      <c r="AH141" s="170"/>
      <c r="AJ141" s="452">
        <f ca="1">IF(AND($D141="Serviço",AJ$12&lt;&gt;0,$H141&gt;0,OR(AUTOEVENTO&lt;&gt;"manual",$M141&lt;&gt;$A$15)),
        IF(Import.TipoArredondamento&lt;&gt;"TransfereGOV",
              ROUND(OFFSET($P141,0,AJ$13),15-13*ORÇAMENTO!$AF$7)/$H141*OFFSET(ORÇAMENTO!$X$15,ROW(AJ141)-ROW(AJ$15),0),
              ROUND(ROUND(OFFSET($P141,0,AJ$13),15-13*ORÇAMENTO!$AF$7)*OFFSET(ORÇAMENTO!$W$15,ROW(AJ141)-ROW(AJ$15),0),15-13*ORÇAMENTO!$AF$11)),
         0)</f>
        <v>266.14999999999998</v>
      </c>
      <c r="AK141" s="452">
        <f ca="1">IF(AND($D141="Serviço",AK$12&lt;&gt;0,$H141&gt;0,OR(AUTOEVENTO&lt;&gt;"manual",$M141&lt;&gt;$A$15)),
        IF(Import.TipoArredondamento&lt;&gt;"TransfereGOV",
              ROUND(OFFSET($P141,0,AK$13),15-13*ORÇAMENTO!$AF$7)/$H141*OFFSET(ORÇAMENTO!$X$15,ROW(AK141)-ROW(AK$15),0),
              ROUND(ROUND(OFFSET($P141,0,AK$13),15-13*ORÇAMENTO!$AF$7)*OFFSET(ORÇAMENTO!$W$15,ROW(AK141)-ROW(AK$15),0),15-13*ORÇAMENTO!$AF$11)),
         0)</f>
        <v>266.14999999999998</v>
      </c>
      <c r="AL141" s="452">
        <f ca="1">IF(AND($D141="Serviço",AL$12&lt;&gt;0,$H141&gt;0,OR(AUTOEVENTO&lt;&gt;"manual",$M141&lt;&gt;$A$15)),
        IF(Import.TipoArredondamento&lt;&gt;"TransfereGOV",
              ROUND(OFFSET($P141,0,AL$13),15-13*ORÇAMENTO!$AF$7)/$H141*OFFSET(ORÇAMENTO!$X$15,ROW(AL141)-ROW(AL$15),0),
              ROUND(ROUND(OFFSET($P141,0,AL$13),15-13*ORÇAMENTO!$AF$7)*OFFSET(ORÇAMENTO!$W$15,ROW(AL141)-ROW(AL$15),0),15-13*ORÇAMENTO!$AF$11)),
         0)</f>
        <v>266.14999999999998</v>
      </c>
      <c r="AM141" s="452">
        <f ca="1">IF(AND($D141="Serviço",AM$12&lt;&gt;0,$H141&gt;0,OR(AUTOEVENTO&lt;&gt;"manual",$M141&lt;&gt;$A$15)),
        IF(Import.TipoArredondamento&lt;&gt;"TransfereGOV",
              ROUND(OFFSET($P141,0,AM$13),15-13*ORÇAMENTO!$AF$7)/$H141*OFFSET(ORÇAMENTO!$X$15,ROW(AM141)-ROW(AM$15),0),
              ROUND(ROUND(OFFSET($P141,0,AM$13),15-13*ORÇAMENTO!$AF$7)*OFFSET(ORÇAMENTO!$W$15,ROW(AM141)-ROW(AM$15),0),15-13*ORÇAMENTO!$AF$11)),
         0)</f>
        <v>266.14999999999998</v>
      </c>
      <c r="AN141" s="452">
        <f ca="1">IF(AND($D141="Serviço",AN$12&lt;&gt;0,$H141&gt;0,OR(AUTOEVENTO&lt;&gt;"manual",$M141&lt;&gt;$A$15)),
        IF(Import.TipoArredondamento&lt;&gt;"TransfereGOV",
              ROUND(OFFSET($P141,0,AN$13),15-13*ORÇAMENTO!$AF$7)/$H141*OFFSET(ORÇAMENTO!$X$15,ROW(AN141)-ROW(AN$15),0),
              ROUND(ROUND(OFFSET($P141,0,AN$13),15-13*ORÇAMENTO!$AF$7)*OFFSET(ORÇAMENTO!$W$15,ROW(AN141)-ROW(AN$15),0),15-13*ORÇAMENTO!$AF$11)),
         0)</f>
        <v>0</v>
      </c>
      <c r="AO141" s="452">
        <f ca="1">IF(AND($D141="Serviço",AO$12&lt;&gt;0,$H141&gt;0,OR(AUTOEVENTO&lt;&gt;"manual",$M141&lt;&gt;$A$15)),
        IF(Import.TipoArredondamento&lt;&gt;"TransfereGOV",
              ROUND(OFFSET($P141,0,AO$13),15-13*ORÇAMENTO!$AF$7)/$H141*OFFSET(ORÇAMENTO!$X$15,ROW(AO141)-ROW(AO$15),0),
              ROUND(ROUND(OFFSET($P141,0,AO$13),15-13*ORÇAMENTO!$AF$7)*OFFSET(ORÇAMENTO!$W$15,ROW(AO141)-ROW(AO$15),0),15-13*ORÇAMENTO!$AF$11)),
         0)</f>
        <v>0</v>
      </c>
      <c r="AP141" s="452">
        <f ca="1">IF(AND($D141="Serviço",AP$12&lt;&gt;0,$H141&gt;0,OR(AUTOEVENTO&lt;&gt;"manual",$M141&lt;&gt;$A$15)),
        IF(Import.TipoArredondamento&lt;&gt;"TransfereGOV",
              ROUND(OFFSET($P141,0,AP$13),15-13*ORÇAMENTO!$AF$7)/$H141*OFFSET(ORÇAMENTO!$X$15,ROW(AP141)-ROW(AP$15),0),
              ROUND(ROUND(OFFSET($P141,0,AP$13),15-13*ORÇAMENTO!$AF$7)*OFFSET(ORÇAMENTO!$W$15,ROW(AP141)-ROW(AP$15),0),15-13*ORÇAMENTO!$AF$11)),
         0)</f>
        <v>0</v>
      </c>
      <c r="AQ141" s="452">
        <f ca="1">IF(AND($D141="Serviço",AQ$12&lt;&gt;0,$H141&gt;0,OR(AUTOEVENTO&lt;&gt;"manual",$M141&lt;&gt;$A$15)),
        IF(Import.TipoArredondamento&lt;&gt;"TransfereGOV",
              ROUND(OFFSET($P141,0,AQ$13),15-13*ORÇAMENTO!$AF$7)/$H141*OFFSET(ORÇAMENTO!$X$15,ROW(AQ141)-ROW(AQ$15),0),
              ROUND(ROUND(OFFSET($P141,0,AQ$13),15-13*ORÇAMENTO!$AF$7)*OFFSET(ORÇAMENTO!$W$15,ROW(AQ141)-ROW(AQ$15),0),15-13*ORÇAMENTO!$AF$11)),
         0)</f>
        <v>0</v>
      </c>
      <c r="AR141" s="452">
        <f ca="1">IF(AND($D141="Serviço",AR$12&lt;&gt;0,$H141&gt;0,OR(AUTOEVENTO&lt;&gt;"manual",$M141&lt;&gt;$A$15)),
        IF(Import.TipoArredondamento&lt;&gt;"TransfereGOV",
              ROUND(OFFSET($P141,0,AR$13),15-13*ORÇAMENTO!$AF$7)/$H141*OFFSET(ORÇAMENTO!$X$15,ROW(AR141)-ROW(AR$15),0),
              ROUND(ROUND(OFFSET($P141,0,AR$13),15-13*ORÇAMENTO!$AF$7)*OFFSET(ORÇAMENTO!$W$15,ROW(AR141)-ROW(AR$15),0),15-13*ORÇAMENTO!$AF$11)),
         0)</f>
        <v>0</v>
      </c>
      <c r="AS141" s="452">
        <f ca="1">IF(AND($D141="Serviço",AS$12&lt;&gt;0,$H141&gt;0,OR(AUTOEVENTO&lt;&gt;"manual",$M141&lt;&gt;$A$15)),
        IF(Import.TipoArredondamento&lt;&gt;"TransfereGOV",
              ROUND(OFFSET($P141,0,AS$13),15-13*ORÇAMENTO!$AF$7)/$H141*OFFSET(ORÇAMENTO!$X$15,ROW(AS141)-ROW(AS$15),0),
              ROUND(ROUND(OFFSET($P141,0,AS$13),15-13*ORÇAMENTO!$AF$7)*OFFSET(ORÇAMENTO!$W$15,ROW(AS141)-ROW(AS$15),0),15-13*ORÇAMENTO!$AF$11)),
         0)</f>
        <v>0</v>
      </c>
      <c r="AT141" s="452">
        <f ca="1">IF(AND($D141="Serviço",AT$12&lt;&gt;0,$H141&gt;0,OR(AUTOEVENTO&lt;&gt;"manual",$M141&lt;&gt;$A$15)),
        IF(Import.TipoArredondamento&lt;&gt;"TransfereGOV",
              ROUND(OFFSET($P141,0,AT$13),15-13*ORÇAMENTO!$AF$7)/$H141*OFFSET(ORÇAMENTO!$X$15,ROW(AT141)-ROW(AT$15),0),
              ROUND(ROUND(OFFSET($P141,0,AT$13),15-13*ORÇAMENTO!$AF$7)*OFFSET(ORÇAMENTO!$W$15,ROW(AT141)-ROW(AT$15),0),15-13*ORÇAMENTO!$AF$11)),
         0)</f>
        <v>0</v>
      </c>
      <c r="AU141" s="452">
        <f ca="1">IF(AND($D141="Serviço",AU$12&lt;&gt;0,$H141&gt;0,OR(AUTOEVENTO&lt;&gt;"manual",$M141&lt;&gt;$A$15)),
        IF(Import.TipoArredondamento&lt;&gt;"TransfereGOV",
              ROUND(OFFSET($P141,0,AU$13),15-13*ORÇAMENTO!$AF$7)/$H141*OFFSET(ORÇAMENTO!$X$15,ROW(AU141)-ROW(AU$15),0),
              ROUND(ROUND(OFFSET($P141,0,AU$13),15-13*ORÇAMENTO!$AF$7)*OFFSET(ORÇAMENTO!$W$15,ROW(AU141)-ROW(AU$15),0),15-13*ORÇAMENTO!$AF$11)),
         0)</f>
        <v>0</v>
      </c>
      <c r="AV141" s="452">
        <f ca="1">IF(AND($D141="Serviço",AV$12&lt;&gt;0,$H141&gt;0,OR(AUTOEVENTO&lt;&gt;"manual",$M141&lt;&gt;$A$15)),
        IF(Import.TipoArredondamento&lt;&gt;"TransfereGOV",
              ROUND(OFFSET($P141,0,AV$13),15-13*ORÇAMENTO!$AF$7)/$H141*OFFSET(ORÇAMENTO!$X$15,ROW(AV141)-ROW(AV$15),0),
              ROUND(ROUND(OFFSET($P141,0,AV$13),15-13*ORÇAMENTO!$AF$7)*OFFSET(ORÇAMENTO!$W$15,ROW(AV141)-ROW(AV$15),0),15-13*ORÇAMENTO!$AF$11)),
         0)</f>
        <v>0</v>
      </c>
      <c r="AW141" s="452">
        <f ca="1">IF(AND($D141="Serviço",AW$12&lt;&gt;0,$H141&gt;0,OR(AUTOEVENTO&lt;&gt;"manual",$M141&lt;&gt;$A$15)),
        IF(Import.TipoArredondamento&lt;&gt;"TransfereGOV",
              ROUND(OFFSET($P141,0,AW$13),15-13*ORÇAMENTO!$AF$7)/$H141*OFFSET(ORÇAMENTO!$X$15,ROW(AW141)-ROW(AW$15),0),
              ROUND(ROUND(OFFSET($P141,0,AW$13),15-13*ORÇAMENTO!$AF$7)*OFFSET(ORÇAMENTO!$W$15,ROW(AW141)-ROW(AW$15),0),15-13*ORÇAMENTO!$AF$11)),
         0)</f>
        <v>0</v>
      </c>
      <c r="AX141" s="452">
        <f ca="1">IF(AND($D141="Serviço",AX$12&lt;&gt;0,$H141&gt;0,OR(AUTOEVENTO&lt;&gt;"manual",$M141&lt;&gt;$A$15)),
        IF(Import.TipoArredondamento&lt;&gt;"TransfereGOV",
              ROUND(OFFSET($P141,0,AX$13),15-13*ORÇAMENTO!$AF$7)/$H141*OFFSET(ORÇAMENTO!$X$15,ROW(AX141)-ROW(AX$15),0),
              ROUND(ROUND(OFFSET($P141,0,AX$13),15-13*ORÇAMENTO!$AF$7)*OFFSET(ORÇAMENTO!$W$15,ROW(AX141)-ROW(AX$15),0),15-13*ORÇAMENTO!$AF$11)),
         0)</f>
        <v>0</v>
      </c>
      <c r="AY141" s="452">
        <f ca="1">IF(AND($D141="Serviço",AY$12&lt;&gt;0,$H141&gt;0,OR(AUTOEVENTO&lt;&gt;"manual",$M141&lt;&gt;$A$15)),
        IF(Import.TipoArredondamento&lt;&gt;"TransfereGOV",
              ROUND(OFFSET($P141,0,AY$13),15-13*ORÇAMENTO!$AF$7)/$H141*OFFSET(ORÇAMENTO!$X$15,ROW(AY141)-ROW(AY$15),0),
              ROUND(ROUND(OFFSET($P141,0,AY$13),15-13*ORÇAMENTO!$AF$7)*OFFSET(ORÇAMENTO!$W$15,ROW(AY141)-ROW(AY$15),0),15-13*ORÇAMENTO!$AF$11)),
         0)</f>
        <v>0</v>
      </c>
      <c r="AZ141" s="452">
        <f ca="1">IF(AND($D141="Serviço",AZ$12&lt;&gt;0,$H141&gt;0,OR(AUTOEVENTO&lt;&gt;"manual",$M141&lt;&gt;$A$15)),
        IF(Import.TipoArredondamento&lt;&gt;"TransfereGOV",
              ROUND(OFFSET($P141,0,AZ$13),15-13*ORÇAMENTO!$AF$7)/$H141*OFFSET(ORÇAMENTO!$X$15,ROW(AZ141)-ROW(AZ$15),0),
              ROUND(ROUND(OFFSET($P141,0,AZ$13),15-13*ORÇAMENTO!$AF$7)*OFFSET(ORÇAMENTO!$W$15,ROW(AZ141)-ROW(AZ$15),0),15-13*ORÇAMENTO!$AF$11)),
         0)</f>
        <v>0</v>
      </c>
      <c r="BA141" s="452">
        <f ca="1">IF(AND($D141="Serviço",BA$12&lt;&gt;0,$H141&gt;0,OR(AUTOEVENTO&lt;&gt;"manual",$M141&lt;&gt;$A$15)),
        IF(Import.TipoArredondamento&lt;&gt;"TransfereGOV",
              ROUND(OFFSET($P141,0,BA$13),15-13*ORÇAMENTO!$AF$7)/$H141*OFFSET(ORÇAMENTO!$X$15,ROW(BA141)-ROW(BA$15),0),
              ROUND(ROUND(OFFSET($P141,0,BA$13),15-13*ORÇAMENTO!$AF$7)*OFFSET(ORÇAMENTO!$W$15,ROW(BA141)-ROW(BA$15),0),15-13*ORÇAMENTO!$AF$11)),
         0)</f>
        <v>0</v>
      </c>
      <c r="BC141" s="171">
        <f ca="1">IF(OR($D141&lt;&gt;"Serviço",AND(AUTOEVENTO="Manual",$M141=$A$15)),0,
         IF(OFFSET(CRONOPLE!$F$15,$M141-$A$15,BC$13)=0,10^12,OFFSET(CRONOPLE!$F$15,$M141-$A$15,BC$13)))</f>
        <v>8</v>
      </c>
      <c r="BD141" s="171">
        <f ca="1">IF(OR($D141&lt;&gt;"Serviço",AND(AUTOEVENTO="Manual",$M141=$A$15)),0,
         IF(OFFSET(CRONOPLE!$F$15,$M141-$A$15,BD$13)=0,10^12,OFFSET(CRONOPLE!$F$15,$M141-$A$15,BD$13)))</f>
        <v>8</v>
      </c>
      <c r="BE141" s="171">
        <f ca="1">IF(OR($D141&lt;&gt;"Serviço",AND(AUTOEVENTO="Manual",$M141=$A$15)),0,
         IF(OFFSET(CRONOPLE!$F$15,$M141-$A$15,BE$13)=0,10^12,OFFSET(CRONOPLE!$F$15,$M141-$A$15,BE$13)))</f>
        <v>9</v>
      </c>
      <c r="BF141" s="171">
        <f ca="1">IF(OR($D141&lt;&gt;"Serviço",AND(AUTOEVENTO="Manual",$M141=$A$15)),0,
         IF(OFFSET(CRONOPLE!$F$15,$M141-$A$15,BF$13)=0,10^12,OFFSET(CRONOPLE!$F$15,$M141-$A$15,BF$13)))</f>
        <v>9</v>
      </c>
      <c r="BG141" s="171">
        <f ca="1">IF(OR($D141&lt;&gt;"Serviço",AND(AUTOEVENTO="Manual",$M141=$A$15)),0,
         IF(OFFSET(CRONOPLE!$F$15,$M141-$A$15,BG$13)=0,10^12,OFFSET(CRONOPLE!$F$15,$M141-$A$15,BG$13)))</f>
        <v>9</v>
      </c>
      <c r="BH141" s="171">
        <f ca="1">IF(OR($D141&lt;&gt;"Serviço",AND(AUTOEVENTO="Manual",$M141=$A$15)),0,
         IF(OFFSET(CRONOPLE!$F$15,$M141-$A$15,BH$13)=0,10^12,OFFSET(CRONOPLE!$F$15,$M141-$A$15,BH$13)))</f>
        <v>1000000000000</v>
      </c>
      <c r="BI141" s="171">
        <f ca="1">IF(OR($D141&lt;&gt;"Serviço",AND(AUTOEVENTO="Manual",$M141=$A$15)),0,
         IF(OFFSET(CRONOPLE!$F$15,$M141-$A$15,BI$13)=0,10^12,OFFSET(CRONOPLE!$F$15,$M141-$A$15,BI$13)))</f>
        <v>1000000000000</v>
      </c>
      <c r="BJ141" s="171">
        <f ca="1">IF(OR($D141&lt;&gt;"Serviço",AND(AUTOEVENTO="Manual",$M141=$A$15)),0,
         IF(OFFSET(CRONOPLE!$F$15,$M141-$A$15,BJ$13)=0,10^12,OFFSET(CRONOPLE!$F$15,$M141-$A$15,BJ$13)))</f>
        <v>8</v>
      </c>
      <c r="BK141" s="171">
        <f ca="1">IF(OR($D141&lt;&gt;"Serviço",AND(AUTOEVENTO="Manual",$M141=$A$15)),0,
         IF(OFFSET(CRONOPLE!$F$15,$M141-$A$15,BK$13)=0,10^12,OFFSET(CRONOPLE!$F$15,$M141-$A$15,BK$13)))</f>
        <v>9</v>
      </c>
      <c r="BL141" s="171">
        <f ca="1">IF(OR($D141&lt;&gt;"Serviço",AND(AUTOEVENTO="Manual",$M141=$A$15)),0,
         IF(OFFSET(CRONOPLE!$F$15,$M141-$A$15,BL$13)=0,10^12,OFFSET(CRONOPLE!$F$15,$M141-$A$15,BL$13)))</f>
        <v>1000000000000</v>
      </c>
      <c r="BM141" s="171">
        <f ca="1">IF(OR($D141&lt;&gt;"Serviço",AND(AUTOEVENTO="Manual",$M141=$A$15)),0,
         IF(OFFSET(CRONOPLE!$F$15,$M141-$A$15,BM$13)=0,10^12,OFFSET(CRONOPLE!$F$15,$M141-$A$15,BM$13)))</f>
        <v>1000000000000</v>
      </c>
      <c r="BN141" s="171">
        <f ca="1">IF(OR($D141&lt;&gt;"Serviço",AND(AUTOEVENTO="Manual",$M141=$A$15)),0,
         IF(OFFSET(CRONOPLE!$F$15,$M141-$A$15,BN$13)=0,10^12,OFFSET(CRONOPLE!$F$15,$M141-$A$15,BN$13)))</f>
        <v>1000000000000</v>
      </c>
      <c r="BO141" s="171">
        <f ca="1">IF(OR($D141&lt;&gt;"Serviço",AND(AUTOEVENTO="Manual",$M141=$A$15)),0,
         IF(OFFSET(CRONOPLE!$F$15,$M141-$A$15,BO$13)=0,10^12,OFFSET(CRONOPLE!$F$15,$M141-$A$15,BO$13)))</f>
        <v>1000000000000</v>
      </c>
      <c r="BP141" s="171">
        <f ca="1">IF(OR($D141&lt;&gt;"Serviço",AND(AUTOEVENTO="Manual",$M141=$A$15)),0,
         IF(OFFSET(CRONOPLE!$F$15,$M141-$A$15,BP$13)=0,10^12,OFFSET(CRONOPLE!$F$15,$M141-$A$15,BP$13)))</f>
        <v>1000000000000</v>
      </c>
      <c r="BQ141" s="171">
        <f ca="1">IF(OR($D141&lt;&gt;"Serviço",AND(AUTOEVENTO="Manual",$M141=$A$15)),0,
         IF(OFFSET(CRONOPLE!$F$15,$M141-$A$15,BQ$13)=0,10^12,OFFSET(CRONOPLE!$F$15,$M141-$A$15,BQ$13)))</f>
        <v>1000000000000</v>
      </c>
      <c r="BR141" s="171">
        <f ca="1">IF(OR($D141&lt;&gt;"Serviço",AND(AUTOEVENTO="Manual",$M141=$A$15)),0,
         IF(OFFSET(CRONOPLE!$F$15,$M141-$A$15,BR$13)=0,10^12,OFFSET(CRONOPLE!$F$15,$M141-$A$15,BR$13)))</f>
        <v>1000000000000</v>
      </c>
      <c r="BS141" s="171">
        <f ca="1">IF(OR($D141&lt;&gt;"Serviço",AND(AUTOEVENTO="Manual",$M141=$A$15)),0,
         IF(OFFSET(CRONOPLE!$F$15,$M141-$A$15,BS$13)=0,10^12,OFFSET(CRONOPLE!$F$15,$M141-$A$15,BS$13)))</f>
        <v>1000000000000</v>
      </c>
      <c r="BT141" s="171">
        <f ca="1">IF(OR($D141&lt;&gt;"Serviço",AND(AUTOEVENTO="Manual",$M141=$A$15)),0,
         IF(OFFSET(CRONOPLE!$F$15,$M141-$A$15,BT$13)=0,10^12,OFFSET(CRONOPLE!$F$15,$M141-$A$15,BT$13)))</f>
        <v>1000000000000</v>
      </c>
      <c r="BV141" s="172">
        <f t="array" aca="1" ref="BV141" ca="1">IF(OR($D141&lt;&gt;"Serviço",AND(AUTOEVENTO="Manual",$M141=$A$15),$M141&gt;(ROW(PLE.lastrow)-ROW(PLE.firstrow))),0,
           IF(OFFSET(PLE!$G$15,$M141-$A$15,BV$13)="",10^12,OFFSET(PLE!$G$15,$M141-$A$15,BV$13)))</f>
        <v>1000000000000</v>
      </c>
      <c r="BW141" s="172">
        <f t="array" aca="1" ref="BW141" ca="1">IF(OR($D141&lt;&gt;"Serviço",AND(AUTOEVENTO="Manual",$M141=$A$15),$M141&gt;(ROW(PLE.lastrow)-ROW(PLE.firstrow))),0,
           IF(OFFSET(PLE!$G$15,$M141-$A$15,BW$13)="",10^12,OFFSET(PLE!$G$15,$M141-$A$15,BW$13)))</f>
        <v>1000000000000</v>
      </c>
      <c r="BX141" s="172">
        <f t="array" aca="1" ref="BX141" ca="1">IF(OR($D141&lt;&gt;"Serviço",AND(AUTOEVENTO="Manual",$M141=$A$15),$M141&gt;(ROW(PLE.lastrow)-ROW(PLE.firstrow))),0,
           IF(OFFSET(PLE!$G$15,$M141-$A$15,BX$13)="",10^12,OFFSET(PLE!$G$15,$M141-$A$15,BX$13)))</f>
        <v>1000000000000</v>
      </c>
      <c r="BY141" s="172">
        <f t="array" aca="1" ref="BY141" ca="1">IF(OR($D141&lt;&gt;"Serviço",AND(AUTOEVENTO="Manual",$M141=$A$15),$M141&gt;(ROW(PLE.lastrow)-ROW(PLE.firstrow))),0,
           IF(OFFSET(PLE!$G$15,$M141-$A$15,BY$13)="",10^12,OFFSET(PLE!$G$15,$M141-$A$15,BY$13)))</f>
        <v>1000000000000</v>
      </c>
      <c r="BZ141" s="172">
        <f t="array" aca="1" ref="BZ141" ca="1">IF(OR($D141&lt;&gt;"Serviço",AND(AUTOEVENTO="Manual",$M141=$A$15),$M141&gt;(ROW(PLE.lastrow)-ROW(PLE.firstrow))),0,
           IF(OFFSET(PLE!$G$15,$M141-$A$15,BZ$13)="",10^12,OFFSET(PLE!$G$15,$M141-$A$15,BZ$13)))</f>
        <v>1000000000000</v>
      </c>
      <c r="CA141" s="172">
        <f t="array" aca="1" ref="CA141" ca="1">IF(OR($D141&lt;&gt;"Serviço",AND(AUTOEVENTO="Manual",$M141=$A$15),$M141&gt;(ROW(PLE.lastrow)-ROW(PLE.firstrow))),0,
           IF(OFFSET(PLE!$G$15,$M141-$A$15,CA$13)="",10^12,OFFSET(PLE!$G$15,$M141-$A$15,CA$13)))</f>
        <v>1000000000000</v>
      </c>
      <c r="CB141" s="172">
        <f t="array" aca="1" ref="CB141" ca="1">IF(OR($D141&lt;&gt;"Serviço",AND(AUTOEVENTO="Manual",$M141=$A$15),$M141&gt;(ROW(PLE.lastrow)-ROW(PLE.firstrow))),0,
           IF(OFFSET(PLE!$G$15,$M141-$A$15,CB$13)="",10^12,OFFSET(PLE!$G$15,$M141-$A$15,CB$13)))</f>
        <v>1000000000000</v>
      </c>
      <c r="CC141" s="172">
        <f t="array" aca="1" ref="CC141" ca="1">IF(OR($D141&lt;&gt;"Serviço",AND(AUTOEVENTO="Manual",$M141=$A$15),$M141&gt;(ROW(PLE.lastrow)-ROW(PLE.firstrow))),0,
           IF(OFFSET(PLE!$G$15,$M141-$A$15,CC$13)="",10^12,OFFSET(PLE!$G$15,$M141-$A$15,CC$13)))</f>
        <v>1000000000000</v>
      </c>
      <c r="CD141" s="172">
        <f t="array" aca="1" ref="CD141" ca="1">IF(OR($D141&lt;&gt;"Serviço",AND(AUTOEVENTO="Manual",$M141=$A$15),$M141&gt;(ROW(PLE.lastrow)-ROW(PLE.firstrow))),0,
           IF(OFFSET(PLE!$G$15,$M141-$A$15,CD$13)="",10^12,OFFSET(PLE!$G$15,$M141-$A$15,CD$13)))</f>
        <v>1000000000000</v>
      </c>
      <c r="CE141" s="172">
        <f t="array" aca="1" ref="CE141" ca="1">IF(OR($D141&lt;&gt;"Serviço",AND(AUTOEVENTO="Manual",$M141=$A$15),$M141&gt;(ROW(PLE.lastrow)-ROW(PLE.firstrow))),0,
           IF(OFFSET(PLE!$G$15,$M141-$A$15,CE$13)="",10^12,OFFSET(PLE!$G$15,$M141-$A$15,CE$13)))</f>
        <v>1000000000000</v>
      </c>
      <c r="CF141" s="172">
        <f t="array" aca="1" ref="CF141" ca="1">IF(OR($D141&lt;&gt;"Serviço",AND(AUTOEVENTO="Manual",$M141=$A$15),$M141&gt;(ROW(PLE.lastrow)-ROW(PLE.firstrow))),0,
           IF(OFFSET(PLE!$G$15,$M141-$A$15,CF$13)="",10^12,OFFSET(PLE!$G$15,$M141-$A$15,CF$13)))</f>
        <v>1000000000000</v>
      </c>
      <c r="CG141" s="172">
        <f t="array" aca="1" ref="CG141" ca="1">IF(OR($D141&lt;&gt;"Serviço",AND(AUTOEVENTO="Manual",$M141=$A$15),$M141&gt;(ROW(PLE.lastrow)-ROW(PLE.firstrow))),0,
           IF(OFFSET(PLE!$G$15,$M141-$A$15,CG$13)="",10^12,OFFSET(PLE!$G$15,$M141-$A$15,CG$13)))</f>
        <v>1000000000000</v>
      </c>
      <c r="CH141" s="172">
        <f t="array" aca="1" ref="CH141" ca="1">IF(OR($D141&lt;&gt;"Serviço",AND(AUTOEVENTO="Manual",$M141=$A$15),$M141&gt;(ROW(PLE.lastrow)-ROW(PLE.firstrow))),0,
           IF(OFFSET(PLE!$G$15,$M141-$A$15,CH$13)="",10^12,OFFSET(PLE!$G$15,$M141-$A$15,CH$13)))</f>
        <v>1000000000000</v>
      </c>
      <c r="CI141" s="172">
        <f t="array" aca="1" ref="CI141" ca="1">IF(OR($D141&lt;&gt;"Serviço",AND(AUTOEVENTO="Manual",$M141=$A$15),$M141&gt;(ROW(PLE.lastrow)-ROW(PLE.firstrow))),0,
           IF(OFFSET(PLE!$G$15,$M141-$A$15,CI$13)="",10^12,OFFSET(PLE!$G$15,$M141-$A$15,CI$13)))</f>
        <v>1000000000000</v>
      </c>
      <c r="CJ141" s="172">
        <f t="array" aca="1" ref="CJ141" ca="1">IF(OR($D141&lt;&gt;"Serviço",AND(AUTOEVENTO="Manual",$M141=$A$15),$M141&gt;(ROW(PLE.lastrow)-ROW(PLE.firstrow))),0,
           IF(OFFSET(PLE!$G$15,$M141-$A$15,CJ$13)="",10^12,OFFSET(PLE!$G$15,$M141-$A$15,CJ$13)))</f>
        <v>1000000000000</v>
      </c>
      <c r="CK141" s="172">
        <f t="array" aca="1" ref="CK141" ca="1">IF(OR($D141&lt;&gt;"Serviço",AND(AUTOEVENTO="Manual",$M141=$A$15),$M141&gt;(ROW(PLE.lastrow)-ROW(PLE.firstrow))),0,
           IF(OFFSET(PLE!$G$15,$M141-$A$15,CK$13)="",10^12,OFFSET(PLE!$G$15,$M141-$A$15,CK$13)))</f>
        <v>1000000000000</v>
      </c>
      <c r="CL141" s="172">
        <f t="array" aca="1" ref="CL141" ca="1">IF(OR($D141&lt;&gt;"Serviço",AND(AUTOEVENTO="Manual",$M141=$A$15),$M141&gt;(ROW(PLE.lastrow)-ROW(PLE.firstrow))),0,
           IF(OFFSET(PLE!$G$15,$M141-$A$15,CL$13)="",10^12,OFFSET(PLE!$G$15,$M141-$A$15,CL$13)))</f>
        <v>1000000000000</v>
      </c>
      <c r="CM141" s="172">
        <f t="array" aca="1" ref="CM141" ca="1">IF(OR($D141&lt;&gt;"Serviço",AND(AUTOEVENTO="Manual",$M141=$A$15),$M141&gt;(ROW(PLE.lastrow)-ROW(PLE.firstrow))),0,
           IF(OFFSET(PLE!$G$15,$M141-$A$15,CM$13)="",10^12,OFFSET(PLE!$G$15,$M141-$A$15,CM$13)))</f>
        <v>1000000000000</v>
      </c>
    </row>
    <row r="142" spans="1:91" s="696" customFormat="1" ht="51" x14ac:dyDescent="0.2">
      <c r="A142" s="694">
        <f t="shared" ca="1" si="82"/>
        <v>32</v>
      </c>
      <c r="B142" s="694" t="str">
        <f ca="1">OFFSET(ORÇAMENTO!C$15,$L142,0)</f>
        <v>S</v>
      </c>
      <c r="C142" s="694" t="str">
        <f ca="1">OFFSET(ORÇAMENTO!L$15,$L142,0)</f>
        <v>F</v>
      </c>
      <c r="D142" s="116" t="str">
        <f ca="1">OFFSET(ORÇAMENTO!N$15,$L142,0)</f>
        <v>Serviço</v>
      </c>
      <c r="E142" s="117" t="str">
        <f ca="1">OFFSET(ORÇAMENTO!O$15,$L142,0)</f>
        <v>1.24.5.</v>
      </c>
      <c r="F142" s="163" t="str">
        <f ca="1">OFFSET(ORÇAMENTO!R$15,$L142,0)</f>
        <v>TOMADA BAIXA DE EMBUTIR (1 MÓDULO), 2P+T 10 A, INCLUINDO SUPORTE E PLACA - FORNECIMENTO E INSTALAÇÃO. AF_03/2023</v>
      </c>
      <c r="G142" s="164" t="str">
        <f ca="1">IF($D142&lt;&gt;"Serviço","",OFFSET(ORÇAMENTO!S$15,$L142,0))</f>
        <v>UN</v>
      </c>
      <c r="H142" s="122">
        <f t="array" aca="1" ref="H142" ca="1">IF($D142&lt;&gt;"Serviço",0,IF(ACOMPANHAMENTO="BM",ROUND(OFFSET(ORÇAMENTO!AJ$15,$L142,0),15-13*ORÇAMENTO!$AF$7),IF(IFERROR(CÁLCULO.FrentesPreenchidas,0)=0,0,SUM(ROUND(OFFSET($P142,0,1,1,CÁLCULO.FrentesPreenchidas),15-13*ORÇAMENTO!$AF$7)))))</f>
        <v>200</v>
      </c>
      <c r="I142" s="467" t="s">
        <v>1292</v>
      </c>
      <c r="J142" s="653" t="str">
        <f t="array" aca="1" ref="J142" ca="1">IF(OR(B142&lt;&gt;"S",CÁLCULO.FrentesPreenchidas=0),"",IF(AND(ACOMPANHAMENTO="PLE",AUTOEVENTO="Manual",OR(H142&gt;0,ORÇAMENTO!AC142="QUANT."),OR(K142="",M142=0,N142="")),"►E",IF(AND(ACOMPANHAMENTO="PLE",ORÇAMENTO!AC142="QUANT."),"►Q",IF(AND(ACOMPANHAMENTO="PLE",H142&lt;&gt;SUMPRODUCT(($Q$1:$AI$1=1)*ROUND(Q142:AI142,15))),"►S",IF(AND(COUNTIF($P$11:$AI$11,"▼")=0,H142&gt;0,I142=""),"◄M","")))))</f>
        <v/>
      </c>
      <c r="K142" s="654" t="s">
        <v>1441</v>
      </c>
      <c r="L142" s="165">
        <f t="shared" ca="1" si="83"/>
        <v>127</v>
      </c>
      <c r="M142" s="166">
        <f ca="1">IF($D142&lt;&gt;"Serviço","",
          IF(AUTOEVENTO="manual",$A142,
                IF(ISERROR(MATCH($A142,$A$15:OFFSET($A142,-1,0),0)),MAX($M$15:OFFSET(M142,-1,0))+1,
                      INDEX($M$15:OFFSET(M142,-1,0),MATCH($A142,$A$15:OFFSET($A142,-1,0),0)))))</f>
        <v>32</v>
      </c>
      <c r="N142" s="167" t="str">
        <f ca="1">IF($D142&lt;&gt;"Serviço","",
         IF(AUTOEVENTO="Manual",
                IF($A142=0,"&lt;-- defina o número do agrupador",
                       OFFSET(EVENTOS!$D$15,$A142-$A$15,0)),
                OFFSET($F$15,$A142,0)))</f>
        <v>ACABAMENTOS ELÉTRICOS</v>
      </c>
      <c r="O142" s="168"/>
      <c r="Q142" s="169">
        <v>50</v>
      </c>
      <c r="R142" s="169">
        <v>50</v>
      </c>
      <c r="S142" s="169">
        <v>50</v>
      </c>
      <c r="T142" s="169">
        <v>50</v>
      </c>
      <c r="U142" s="169"/>
      <c r="V142" s="169"/>
      <c r="W142" s="169"/>
      <c r="X142" s="169"/>
      <c r="Y142" s="169"/>
      <c r="Z142" s="170"/>
      <c r="AA142" s="169"/>
      <c r="AB142" s="169"/>
      <c r="AC142" s="169"/>
      <c r="AD142" s="169"/>
      <c r="AE142" s="169"/>
      <c r="AF142" s="169"/>
      <c r="AG142" s="169"/>
      <c r="AH142" s="170"/>
      <c r="AJ142" s="452">
        <f ca="1">IF(AND($D142="Serviço",AJ$12&lt;&gt;0,$H142&gt;0,OR(AUTOEVENTO&lt;&gt;"manual",$M142&lt;&gt;$A$15)),
        IF(Import.TipoArredondamento&lt;&gt;"TransfereGOV",
              ROUND(OFFSET($P142,0,AJ$13),15-13*ORÇAMENTO!$AF$7)/$H142*OFFSET(ORÇAMENTO!$X$15,ROW(AJ142)-ROW(AJ$15),0),
              ROUND(ROUND(OFFSET($P142,0,AJ$13),15-13*ORÇAMENTO!$AF$7)*OFFSET(ORÇAMENTO!$W$15,ROW(AJ142)-ROW(AJ$15),0),15-13*ORÇAMENTO!$AF$11)),
         0)</f>
        <v>1834.5</v>
      </c>
      <c r="AK142" s="452">
        <f ca="1">IF(AND($D142="Serviço",AK$12&lt;&gt;0,$H142&gt;0,OR(AUTOEVENTO&lt;&gt;"manual",$M142&lt;&gt;$A$15)),
        IF(Import.TipoArredondamento&lt;&gt;"TransfereGOV",
              ROUND(OFFSET($P142,0,AK$13),15-13*ORÇAMENTO!$AF$7)/$H142*OFFSET(ORÇAMENTO!$X$15,ROW(AK142)-ROW(AK$15),0),
              ROUND(ROUND(OFFSET($P142,0,AK$13),15-13*ORÇAMENTO!$AF$7)*OFFSET(ORÇAMENTO!$W$15,ROW(AK142)-ROW(AK$15),0),15-13*ORÇAMENTO!$AF$11)),
         0)</f>
        <v>1834.5</v>
      </c>
      <c r="AL142" s="452">
        <f ca="1">IF(AND($D142="Serviço",AL$12&lt;&gt;0,$H142&gt;0,OR(AUTOEVENTO&lt;&gt;"manual",$M142&lt;&gt;$A$15)),
        IF(Import.TipoArredondamento&lt;&gt;"TransfereGOV",
              ROUND(OFFSET($P142,0,AL$13),15-13*ORÇAMENTO!$AF$7)/$H142*OFFSET(ORÇAMENTO!$X$15,ROW(AL142)-ROW(AL$15),0),
              ROUND(ROUND(OFFSET($P142,0,AL$13),15-13*ORÇAMENTO!$AF$7)*OFFSET(ORÇAMENTO!$W$15,ROW(AL142)-ROW(AL$15),0),15-13*ORÇAMENTO!$AF$11)),
         0)</f>
        <v>1834.5</v>
      </c>
      <c r="AM142" s="452">
        <f ca="1">IF(AND($D142="Serviço",AM$12&lt;&gt;0,$H142&gt;0,OR(AUTOEVENTO&lt;&gt;"manual",$M142&lt;&gt;$A$15)),
        IF(Import.TipoArredondamento&lt;&gt;"TransfereGOV",
              ROUND(OFFSET($P142,0,AM$13),15-13*ORÇAMENTO!$AF$7)/$H142*OFFSET(ORÇAMENTO!$X$15,ROW(AM142)-ROW(AM$15),0),
              ROUND(ROUND(OFFSET($P142,0,AM$13),15-13*ORÇAMENTO!$AF$7)*OFFSET(ORÇAMENTO!$W$15,ROW(AM142)-ROW(AM$15),0),15-13*ORÇAMENTO!$AF$11)),
         0)</f>
        <v>1834.5</v>
      </c>
      <c r="AN142" s="452">
        <f ca="1">IF(AND($D142="Serviço",AN$12&lt;&gt;0,$H142&gt;0,OR(AUTOEVENTO&lt;&gt;"manual",$M142&lt;&gt;$A$15)),
        IF(Import.TipoArredondamento&lt;&gt;"TransfereGOV",
              ROUND(OFFSET($P142,0,AN$13),15-13*ORÇAMENTO!$AF$7)/$H142*OFFSET(ORÇAMENTO!$X$15,ROW(AN142)-ROW(AN$15),0),
              ROUND(ROUND(OFFSET($P142,0,AN$13),15-13*ORÇAMENTO!$AF$7)*OFFSET(ORÇAMENTO!$W$15,ROW(AN142)-ROW(AN$15),0),15-13*ORÇAMENTO!$AF$11)),
         0)</f>
        <v>0</v>
      </c>
      <c r="AO142" s="452">
        <f ca="1">IF(AND($D142="Serviço",AO$12&lt;&gt;0,$H142&gt;0,OR(AUTOEVENTO&lt;&gt;"manual",$M142&lt;&gt;$A$15)),
        IF(Import.TipoArredondamento&lt;&gt;"TransfereGOV",
              ROUND(OFFSET($P142,0,AO$13),15-13*ORÇAMENTO!$AF$7)/$H142*OFFSET(ORÇAMENTO!$X$15,ROW(AO142)-ROW(AO$15),0),
              ROUND(ROUND(OFFSET($P142,0,AO$13),15-13*ORÇAMENTO!$AF$7)*OFFSET(ORÇAMENTO!$W$15,ROW(AO142)-ROW(AO$15),0),15-13*ORÇAMENTO!$AF$11)),
         0)</f>
        <v>0</v>
      </c>
      <c r="AP142" s="452">
        <f ca="1">IF(AND($D142="Serviço",AP$12&lt;&gt;0,$H142&gt;0,OR(AUTOEVENTO&lt;&gt;"manual",$M142&lt;&gt;$A$15)),
        IF(Import.TipoArredondamento&lt;&gt;"TransfereGOV",
              ROUND(OFFSET($P142,0,AP$13),15-13*ORÇAMENTO!$AF$7)/$H142*OFFSET(ORÇAMENTO!$X$15,ROW(AP142)-ROW(AP$15),0),
              ROUND(ROUND(OFFSET($P142,0,AP$13),15-13*ORÇAMENTO!$AF$7)*OFFSET(ORÇAMENTO!$W$15,ROW(AP142)-ROW(AP$15),0),15-13*ORÇAMENTO!$AF$11)),
         0)</f>
        <v>0</v>
      </c>
      <c r="AQ142" s="452">
        <f ca="1">IF(AND($D142="Serviço",AQ$12&lt;&gt;0,$H142&gt;0,OR(AUTOEVENTO&lt;&gt;"manual",$M142&lt;&gt;$A$15)),
        IF(Import.TipoArredondamento&lt;&gt;"TransfereGOV",
              ROUND(OFFSET($P142,0,AQ$13),15-13*ORÇAMENTO!$AF$7)/$H142*OFFSET(ORÇAMENTO!$X$15,ROW(AQ142)-ROW(AQ$15),0),
              ROUND(ROUND(OFFSET($P142,0,AQ$13),15-13*ORÇAMENTO!$AF$7)*OFFSET(ORÇAMENTO!$W$15,ROW(AQ142)-ROW(AQ$15),0),15-13*ORÇAMENTO!$AF$11)),
         0)</f>
        <v>0</v>
      </c>
      <c r="AR142" s="452">
        <f ca="1">IF(AND($D142="Serviço",AR$12&lt;&gt;0,$H142&gt;0,OR(AUTOEVENTO&lt;&gt;"manual",$M142&lt;&gt;$A$15)),
        IF(Import.TipoArredondamento&lt;&gt;"TransfereGOV",
              ROUND(OFFSET($P142,0,AR$13),15-13*ORÇAMENTO!$AF$7)/$H142*OFFSET(ORÇAMENTO!$X$15,ROW(AR142)-ROW(AR$15),0),
              ROUND(ROUND(OFFSET($P142,0,AR$13),15-13*ORÇAMENTO!$AF$7)*OFFSET(ORÇAMENTO!$W$15,ROW(AR142)-ROW(AR$15),0),15-13*ORÇAMENTO!$AF$11)),
         0)</f>
        <v>0</v>
      </c>
      <c r="AS142" s="452">
        <f ca="1">IF(AND($D142="Serviço",AS$12&lt;&gt;0,$H142&gt;0,OR(AUTOEVENTO&lt;&gt;"manual",$M142&lt;&gt;$A$15)),
        IF(Import.TipoArredondamento&lt;&gt;"TransfereGOV",
              ROUND(OFFSET($P142,0,AS$13),15-13*ORÇAMENTO!$AF$7)/$H142*OFFSET(ORÇAMENTO!$X$15,ROW(AS142)-ROW(AS$15),0),
              ROUND(ROUND(OFFSET($P142,0,AS$13),15-13*ORÇAMENTO!$AF$7)*OFFSET(ORÇAMENTO!$W$15,ROW(AS142)-ROW(AS$15),0),15-13*ORÇAMENTO!$AF$11)),
         0)</f>
        <v>0</v>
      </c>
      <c r="AT142" s="452">
        <f ca="1">IF(AND($D142="Serviço",AT$12&lt;&gt;0,$H142&gt;0,OR(AUTOEVENTO&lt;&gt;"manual",$M142&lt;&gt;$A$15)),
        IF(Import.TipoArredondamento&lt;&gt;"TransfereGOV",
              ROUND(OFFSET($P142,0,AT$13),15-13*ORÇAMENTO!$AF$7)/$H142*OFFSET(ORÇAMENTO!$X$15,ROW(AT142)-ROW(AT$15),0),
              ROUND(ROUND(OFFSET($P142,0,AT$13),15-13*ORÇAMENTO!$AF$7)*OFFSET(ORÇAMENTO!$W$15,ROW(AT142)-ROW(AT$15),0),15-13*ORÇAMENTO!$AF$11)),
         0)</f>
        <v>0</v>
      </c>
      <c r="AU142" s="452">
        <f ca="1">IF(AND($D142="Serviço",AU$12&lt;&gt;0,$H142&gt;0,OR(AUTOEVENTO&lt;&gt;"manual",$M142&lt;&gt;$A$15)),
        IF(Import.TipoArredondamento&lt;&gt;"TransfereGOV",
              ROUND(OFFSET($P142,0,AU$13),15-13*ORÇAMENTO!$AF$7)/$H142*OFFSET(ORÇAMENTO!$X$15,ROW(AU142)-ROW(AU$15),0),
              ROUND(ROUND(OFFSET($P142,0,AU$13),15-13*ORÇAMENTO!$AF$7)*OFFSET(ORÇAMENTO!$W$15,ROW(AU142)-ROW(AU$15),0),15-13*ORÇAMENTO!$AF$11)),
         0)</f>
        <v>0</v>
      </c>
      <c r="AV142" s="452">
        <f ca="1">IF(AND($D142="Serviço",AV$12&lt;&gt;0,$H142&gt;0,OR(AUTOEVENTO&lt;&gt;"manual",$M142&lt;&gt;$A$15)),
        IF(Import.TipoArredondamento&lt;&gt;"TransfereGOV",
              ROUND(OFFSET($P142,0,AV$13),15-13*ORÇAMENTO!$AF$7)/$H142*OFFSET(ORÇAMENTO!$X$15,ROW(AV142)-ROW(AV$15),0),
              ROUND(ROUND(OFFSET($P142,0,AV$13),15-13*ORÇAMENTO!$AF$7)*OFFSET(ORÇAMENTO!$W$15,ROW(AV142)-ROW(AV$15),0),15-13*ORÇAMENTO!$AF$11)),
         0)</f>
        <v>0</v>
      </c>
      <c r="AW142" s="452">
        <f ca="1">IF(AND($D142="Serviço",AW$12&lt;&gt;0,$H142&gt;0,OR(AUTOEVENTO&lt;&gt;"manual",$M142&lt;&gt;$A$15)),
        IF(Import.TipoArredondamento&lt;&gt;"TransfereGOV",
              ROUND(OFFSET($P142,0,AW$13),15-13*ORÇAMENTO!$AF$7)/$H142*OFFSET(ORÇAMENTO!$X$15,ROW(AW142)-ROW(AW$15),0),
              ROUND(ROUND(OFFSET($P142,0,AW$13),15-13*ORÇAMENTO!$AF$7)*OFFSET(ORÇAMENTO!$W$15,ROW(AW142)-ROW(AW$15),0),15-13*ORÇAMENTO!$AF$11)),
         0)</f>
        <v>0</v>
      </c>
      <c r="AX142" s="452">
        <f ca="1">IF(AND($D142="Serviço",AX$12&lt;&gt;0,$H142&gt;0,OR(AUTOEVENTO&lt;&gt;"manual",$M142&lt;&gt;$A$15)),
        IF(Import.TipoArredondamento&lt;&gt;"TransfereGOV",
              ROUND(OFFSET($P142,0,AX$13),15-13*ORÇAMENTO!$AF$7)/$H142*OFFSET(ORÇAMENTO!$X$15,ROW(AX142)-ROW(AX$15),0),
              ROUND(ROUND(OFFSET($P142,0,AX$13),15-13*ORÇAMENTO!$AF$7)*OFFSET(ORÇAMENTO!$W$15,ROW(AX142)-ROW(AX$15),0),15-13*ORÇAMENTO!$AF$11)),
         0)</f>
        <v>0</v>
      </c>
      <c r="AY142" s="452">
        <f ca="1">IF(AND($D142="Serviço",AY$12&lt;&gt;0,$H142&gt;0,OR(AUTOEVENTO&lt;&gt;"manual",$M142&lt;&gt;$A$15)),
        IF(Import.TipoArredondamento&lt;&gt;"TransfereGOV",
              ROUND(OFFSET($P142,0,AY$13),15-13*ORÇAMENTO!$AF$7)/$H142*OFFSET(ORÇAMENTO!$X$15,ROW(AY142)-ROW(AY$15),0),
              ROUND(ROUND(OFFSET($P142,0,AY$13),15-13*ORÇAMENTO!$AF$7)*OFFSET(ORÇAMENTO!$W$15,ROW(AY142)-ROW(AY$15),0),15-13*ORÇAMENTO!$AF$11)),
         0)</f>
        <v>0</v>
      </c>
      <c r="AZ142" s="452">
        <f ca="1">IF(AND($D142="Serviço",AZ$12&lt;&gt;0,$H142&gt;0,OR(AUTOEVENTO&lt;&gt;"manual",$M142&lt;&gt;$A$15)),
        IF(Import.TipoArredondamento&lt;&gt;"TransfereGOV",
              ROUND(OFFSET($P142,0,AZ$13),15-13*ORÇAMENTO!$AF$7)/$H142*OFFSET(ORÇAMENTO!$X$15,ROW(AZ142)-ROW(AZ$15),0),
              ROUND(ROUND(OFFSET($P142,0,AZ$13),15-13*ORÇAMENTO!$AF$7)*OFFSET(ORÇAMENTO!$W$15,ROW(AZ142)-ROW(AZ$15),0),15-13*ORÇAMENTO!$AF$11)),
         0)</f>
        <v>0</v>
      </c>
      <c r="BA142" s="452">
        <f ca="1">IF(AND($D142="Serviço",BA$12&lt;&gt;0,$H142&gt;0,OR(AUTOEVENTO&lt;&gt;"manual",$M142&lt;&gt;$A$15)),
        IF(Import.TipoArredondamento&lt;&gt;"TransfereGOV",
              ROUND(OFFSET($P142,0,BA$13),15-13*ORÇAMENTO!$AF$7)/$H142*OFFSET(ORÇAMENTO!$X$15,ROW(BA142)-ROW(BA$15),0),
              ROUND(ROUND(OFFSET($P142,0,BA$13),15-13*ORÇAMENTO!$AF$7)*OFFSET(ORÇAMENTO!$W$15,ROW(BA142)-ROW(BA$15),0),15-13*ORÇAMENTO!$AF$11)),
         0)</f>
        <v>0</v>
      </c>
      <c r="BC142" s="171">
        <f ca="1">IF(OR($D142&lt;&gt;"Serviço",AND(AUTOEVENTO="Manual",$M142=$A$15)),0,
         IF(OFFSET(CRONOPLE!$F$15,$M142-$A$15,BC$13)=0,10^12,OFFSET(CRONOPLE!$F$15,$M142-$A$15,BC$13)))</f>
        <v>8</v>
      </c>
      <c r="BD142" s="171">
        <f ca="1">IF(OR($D142&lt;&gt;"Serviço",AND(AUTOEVENTO="Manual",$M142=$A$15)),0,
         IF(OFFSET(CRONOPLE!$F$15,$M142-$A$15,BD$13)=0,10^12,OFFSET(CRONOPLE!$F$15,$M142-$A$15,BD$13)))</f>
        <v>8</v>
      </c>
      <c r="BE142" s="171">
        <f ca="1">IF(OR($D142&lt;&gt;"Serviço",AND(AUTOEVENTO="Manual",$M142=$A$15)),0,
         IF(OFFSET(CRONOPLE!$F$15,$M142-$A$15,BE$13)=0,10^12,OFFSET(CRONOPLE!$F$15,$M142-$A$15,BE$13)))</f>
        <v>9</v>
      </c>
      <c r="BF142" s="171">
        <f ca="1">IF(OR($D142&lt;&gt;"Serviço",AND(AUTOEVENTO="Manual",$M142=$A$15)),0,
         IF(OFFSET(CRONOPLE!$F$15,$M142-$A$15,BF$13)=0,10^12,OFFSET(CRONOPLE!$F$15,$M142-$A$15,BF$13)))</f>
        <v>9</v>
      </c>
      <c r="BG142" s="171">
        <f ca="1">IF(OR($D142&lt;&gt;"Serviço",AND(AUTOEVENTO="Manual",$M142=$A$15)),0,
         IF(OFFSET(CRONOPLE!$F$15,$M142-$A$15,BG$13)=0,10^12,OFFSET(CRONOPLE!$F$15,$M142-$A$15,BG$13)))</f>
        <v>9</v>
      </c>
      <c r="BH142" s="171">
        <f ca="1">IF(OR($D142&lt;&gt;"Serviço",AND(AUTOEVENTO="Manual",$M142=$A$15)),0,
         IF(OFFSET(CRONOPLE!$F$15,$M142-$A$15,BH$13)=0,10^12,OFFSET(CRONOPLE!$F$15,$M142-$A$15,BH$13)))</f>
        <v>1000000000000</v>
      </c>
      <c r="BI142" s="171">
        <f ca="1">IF(OR($D142&lt;&gt;"Serviço",AND(AUTOEVENTO="Manual",$M142=$A$15)),0,
         IF(OFFSET(CRONOPLE!$F$15,$M142-$A$15,BI$13)=0,10^12,OFFSET(CRONOPLE!$F$15,$M142-$A$15,BI$13)))</f>
        <v>1000000000000</v>
      </c>
      <c r="BJ142" s="171">
        <f ca="1">IF(OR($D142&lt;&gt;"Serviço",AND(AUTOEVENTO="Manual",$M142=$A$15)),0,
         IF(OFFSET(CRONOPLE!$F$15,$M142-$A$15,BJ$13)=0,10^12,OFFSET(CRONOPLE!$F$15,$M142-$A$15,BJ$13)))</f>
        <v>8</v>
      </c>
      <c r="BK142" s="171">
        <f ca="1">IF(OR($D142&lt;&gt;"Serviço",AND(AUTOEVENTO="Manual",$M142=$A$15)),0,
         IF(OFFSET(CRONOPLE!$F$15,$M142-$A$15,BK$13)=0,10^12,OFFSET(CRONOPLE!$F$15,$M142-$A$15,BK$13)))</f>
        <v>9</v>
      </c>
      <c r="BL142" s="171">
        <f ca="1">IF(OR($D142&lt;&gt;"Serviço",AND(AUTOEVENTO="Manual",$M142=$A$15)),0,
         IF(OFFSET(CRONOPLE!$F$15,$M142-$A$15,BL$13)=0,10^12,OFFSET(CRONOPLE!$F$15,$M142-$A$15,BL$13)))</f>
        <v>1000000000000</v>
      </c>
      <c r="BM142" s="171">
        <f ca="1">IF(OR($D142&lt;&gt;"Serviço",AND(AUTOEVENTO="Manual",$M142=$A$15)),0,
         IF(OFFSET(CRONOPLE!$F$15,$M142-$A$15,BM$13)=0,10^12,OFFSET(CRONOPLE!$F$15,$M142-$A$15,BM$13)))</f>
        <v>1000000000000</v>
      </c>
      <c r="BN142" s="171">
        <f ca="1">IF(OR($D142&lt;&gt;"Serviço",AND(AUTOEVENTO="Manual",$M142=$A$15)),0,
         IF(OFFSET(CRONOPLE!$F$15,$M142-$A$15,BN$13)=0,10^12,OFFSET(CRONOPLE!$F$15,$M142-$A$15,BN$13)))</f>
        <v>1000000000000</v>
      </c>
      <c r="BO142" s="171">
        <f ca="1">IF(OR($D142&lt;&gt;"Serviço",AND(AUTOEVENTO="Manual",$M142=$A$15)),0,
         IF(OFFSET(CRONOPLE!$F$15,$M142-$A$15,BO$13)=0,10^12,OFFSET(CRONOPLE!$F$15,$M142-$A$15,BO$13)))</f>
        <v>1000000000000</v>
      </c>
      <c r="BP142" s="171">
        <f ca="1">IF(OR($D142&lt;&gt;"Serviço",AND(AUTOEVENTO="Manual",$M142=$A$15)),0,
         IF(OFFSET(CRONOPLE!$F$15,$M142-$A$15,BP$13)=0,10^12,OFFSET(CRONOPLE!$F$15,$M142-$A$15,BP$13)))</f>
        <v>1000000000000</v>
      </c>
      <c r="BQ142" s="171">
        <f ca="1">IF(OR($D142&lt;&gt;"Serviço",AND(AUTOEVENTO="Manual",$M142=$A$15)),0,
         IF(OFFSET(CRONOPLE!$F$15,$M142-$A$15,BQ$13)=0,10^12,OFFSET(CRONOPLE!$F$15,$M142-$A$15,BQ$13)))</f>
        <v>1000000000000</v>
      </c>
      <c r="BR142" s="171">
        <f ca="1">IF(OR($D142&lt;&gt;"Serviço",AND(AUTOEVENTO="Manual",$M142=$A$15)),0,
         IF(OFFSET(CRONOPLE!$F$15,$M142-$A$15,BR$13)=0,10^12,OFFSET(CRONOPLE!$F$15,$M142-$A$15,BR$13)))</f>
        <v>1000000000000</v>
      </c>
      <c r="BS142" s="171">
        <f ca="1">IF(OR($D142&lt;&gt;"Serviço",AND(AUTOEVENTO="Manual",$M142=$A$15)),0,
         IF(OFFSET(CRONOPLE!$F$15,$M142-$A$15,BS$13)=0,10^12,OFFSET(CRONOPLE!$F$15,$M142-$A$15,BS$13)))</f>
        <v>1000000000000</v>
      </c>
      <c r="BT142" s="171">
        <f ca="1">IF(OR($D142&lt;&gt;"Serviço",AND(AUTOEVENTO="Manual",$M142=$A$15)),0,
         IF(OFFSET(CRONOPLE!$F$15,$M142-$A$15,BT$13)=0,10^12,OFFSET(CRONOPLE!$F$15,$M142-$A$15,BT$13)))</f>
        <v>1000000000000</v>
      </c>
      <c r="BV142" s="172">
        <f t="array" aca="1" ref="BV142" ca="1">IF(OR($D142&lt;&gt;"Serviço",AND(AUTOEVENTO="Manual",$M142=$A$15),$M142&gt;(ROW(PLE.lastrow)-ROW(PLE.firstrow))),0,
           IF(OFFSET(PLE!$G$15,$M142-$A$15,BV$13)="",10^12,OFFSET(PLE!$G$15,$M142-$A$15,BV$13)))</f>
        <v>1000000000000</v>
      </c>
      <c r="BW142" s="172">
        <f t="array" aca="1" ref="BW142" ca="1">IF(OR($D142&lt;&gt;"Serviço",AND(AUTOEVENTO="Manual",$M142=$A$15),$M142&gt;(ROW(PLE.lastrow)-ROW(PLE.firstrow))),0,
           IF(OFFSET(PLE!$G$15,$M142-$A$15,BW$13)="",10^12,OFFSET(PLE!$G$15,$M142-$A$15,BW$13)))</f>
        <v>1000000000000</v>
      </c>
      <c r="BX142" s="172">
        <f t="array" aca="1" ref="BX142" ca="1">IF(OR($D142&lt;&gt;"Serviço",AND(AUTOEVENTO="Manual",$M142=$A$15),$M142&gt;(ROW(PLE.lastrow)-ROW(PLE.firstrow))),0,
           IF(OFFSET(PLE!$G$15,$M142-$A$15,BX$13)="",10^12,OFFSET(PLE!$G$15,$M142-$A$15,BX$13)))</f>
        <v>1000000000000</v>
      </c>
      <c r="BY142" s="172">
        <f t="array" aca="1" ref="BY142" ca="1">IF(OR($D142&lt;&gt;"Serviço",AND(AUTOEVENTO="Manual",$M142=$A$15),$M142&gt;(ROW(PLE.lastrow)-ROW(PLE.firstrow))),0,
           IF(OFFSET(PLE!$G$15,$M142-$A$15,BY$13)="",10^12,OFFSET(PLE!$G$15,$M142-$A$15,BY$13)))</f>
        <v>1000000000000</v>
      </c>
      <c r="BZ142" s="172">
        <f t="array" aca="1" ref="BZ142" ca="1">IF(OR($D142&lt;&gt;"Serviço",AND(AUTOEVENTO="Manual",$M142=$A$15),$M142&gt;(ROW(PLE.lastrow)-ROW(PLE.firstrow))),0,
           IF(OFFSET(PLE!$G$15,$M142-$A$15,BZ$13)="",10^12,OFFSET(PLE!$G$15,$M142-$A$15,BZ$13)))</f>
        <v>1000000000000</v>
      </c>
      <c r="CA142" s="172">
        <f t="array" aca="1" ref="CA142" ca="1">IF(OR($D142&lt;&gt;"Serviço",AND(AUTOEVENTO="Manual",$M142=$A$15),$M142&gt;(ROW(PLE.lastrow)-ROW(PLE.firstrow))),0,
           IF(OFFSET(PLE!$G$15,$M142-$A$15,CA$13)="",10^12,OFFSET(PLE!$G$15,$M142-$A$15,CA$13)))</f>
        <v>1000000000000</v>
      </c>
      <c r="CB142" s="172">
        <f t="array" aca="1" ref="CB142" ca="1">IF(OR($D142&lt;&gt;"Serviço",AND(AUTOEVENTO="Manual",$M142=$A$15),$M142&gt;(ROW(PLE.lastrow)-ROW(PLE.firstrow))),0,
           IF(OFFSET(PLE!$G$15,$M142-$A$15,CB$13)="",10^12,OFFSET(PLE!$G$15,$M142-$A$15,CB$13)))</f>
        <v>1000000000000</v>
      </c>
      <c r="CC142" s="172">
        <f t="array" aca="1" ref="CC142" ca="1">IF(OR($D142&lt;&gt;"Serviço",AND(AUTOEVENTO="Manual",$M142=$A$15),$M142&gt;(ROW(PLE.lastrow)-ROW(PLE.firstrow))),0,
           IF(OFFSET(PLE!$G$15,$M142-$A$15,CC$13)="",10^12,OFFSET(PLE!$G$15,$M142-$A$15,CC$13)))</f>
        <v>1000000000000</v>
      </c>
      <c r="CD142" s="172">
        <f t="array" aca="1" ref="CD142" ca="1">IF(OR($D142&lt;&gt;"Serviço",AND(AUTOEVENTO="Manual",$M142=$A$15),$M142&gt;(ROW(PLE.lastrow)-ROW(PLE.firstrow))),0,
           IF(OFFSET(PLE!$G$15,$M142-$A$15,CD$13)="",10^12,OFFSET(PLE!$G$15,$M142-$A$15,CD$13)))</f>
        <v>1000000000000</v>
      </c>
      <c r="CE142" s="172">
        <f t="array" aca="1" ref="CE142" ca="1">IF(OR($D142&lt;&gt;"Serviço",AND(AUTOEVENTO="Manual",$M142=$A$15),$M142&gt;(ROW(PLE.lastrow)-ROW(PLE.firstrow))),0,
           IF(OFFSET(PLE!$G$15,$M142-$A$15,CE$13)="",10^12,OFFSET(PLE!$G$15,$M142-$A$15,CE$13)))</f>
        <v>1000000000000</v>
      </c>
      <c r="CF142" s="172">
        <f t="array" aca="1" ref="CF142" ca="1">IF(OR($D142&lt;&gt;"Serviço",AND(AUTOEVENTO="Manual",$M142=$A$15),$M142&gt;(ROW(PLE.lastrow)-ROW(PLE.firstrow))),0,
           IF(OFFSET(PLE!$G$15,$M142-$A$15,CF$13)="",10^12,OFFSET(PLE!$G$15,$M142-$A$15,CF$13)))</f>
        <v>1000000000000</v>
      </c>
      <c r="CG142" s="172">
        <f t="array" aca="1" ref="CG142" ca="1">IF(OR($D142&lt;&gt;"Serviço",AND(AUTOEVENTO="Manual",$M142=$A$15),$M142&gt;(ROW(PLE.lastrow)-ROW(PLE.firstrow))),0,
           IF(OFFSET(PLE!$G$15,$M142-$A$15,CG$13)="",10^12,OFFSET(PLE!$G$15,$M142-$A$15,CG$13)))</f>
        <v>1000000000000</v>
      </c>
      <c r="CH142" s="172">
        <f t="array" aca="1" ref="CH142" ca="1">IF(OR($D142&lt;&gt;"Serviço",AND(AUTOEVENTO="Manual",$M142=$A$15),$M142&gt;(ROW(PLE.lastrow)-ROW(PLE.firstrow))),0,
           IF(OFFSET(PLE!$G$15,$M142-$A$15,CH$13)="",10^12,OFFSET(PLE!$G$15,$M142-$A$15,CH$13)))</f>
        <v>1000000000000</v>
      </c>
      <c r="CI142" s="172">
        <f t="array" aca="1" ref="CI142" ca="1">IF(OR($D142&lt;&gt;"Serviço",AND(AUTOEVENTO="Manual",$M142=$A$15),$M142&gt;(ROW(PLE.lastrow)-ROW(PLE.firstrow))),0,
           IF(OFFSET(PLE!$G$15,$M142-$A$15,CI$13)="",10^12,OFFSET(PLE!$G$15,$M142-$A$15,CI$13)))</f>
        <v>1000000000000</v>
      </c>
      <c r="CJ142" s="172">
        <f t="array" aca="1" ref="CJ142" ca="1">IF(OR($D142&lt;&gt;"Serviço",AND(AUTOEVENTO="Manual",$M142=$A$15),$M142&gt;(ROW(PLE.lastrow)-ROW(PLE.firstrow))),0,
           IF(OFFSET(PLE!$G$15,$M142-$A$15,CJ$13)="",10^12,OFFSET(PLE!$G$15,$M142-$A$15,CJ$13)))</f>
        <v>1000000000000</v>
      </c>
      <c r="CK142" s="172">
        <f t="array" aca="1" ref="CK142" ca="1">IF(OR($D142&lt;&gt;"Serviço",AND(AUTOEVENTO="Manual",$M142=$A$15),$M142&gt;(ROW(PLE.lastrow)-ROW(PLE.firstrow))),0,
           IF(OFFSET(PLE!$G$15,$M142-$A$15,CK$13)="",10^12,OFFSET(PLE!$G$15,$M142-$A$15,CK$13)))</f>
        <v>1000000000000</v>
      </c>
      <c r="CL142" s="172">
        <f t="array" aca="1" ref="CL142" ca="1">IF(OR($D142&lt;&gt;"Serviço",AND(AUTOEVENTO="Manual",$M142=$A$15),$M142&gt;(ROW(PLE.lastrow)-ROW(PLE.firstrow))),0,
           IF(OFFSET(PLE!$G$15,$M142-$A$15,CL$13)="",10^12,OFFSET(PLE!$G$15,$M142-$A$15,CL$13)))</f>
        <v>1000000000000</v>
      </c>
      <c r="CM142" s="172">
        <f t="array" aca="1" ref="CM142" ca="1">IF(OR($D142&lt;&gt;"Serviço",AND(AUTOEVENTO="Manual",$M142=$A$15),$M142&gt;(ROW(PLE.lastrow)-ROW(PLE.firstrow))),0,
           IF(OFFSET(PLE!$G$15,$M142-$A$15,CM$13)="",10^12,OFFSET(PLE!$G$15,$M142-$A$15,CM$13)))</f>
        <v>1000000000000</v>
      </c>
    </row>
    <row r="143" spans="1:91" s="696" customFormat="1" ht="51" x14ac:dyDescent="0.2">
      <c r="A143" s="694">
        <f t="shared" ca="1" si="82"/>
        <v>32</v>
      </c>
      <c r="B143" s="694" t="str">
        <f ca="1">OFFSET(ORÇAMENTO!C$15,$L143,0)</f>
        <v>S</v>
      </c>
      <c r="C143" s="694" t="str">
        <f ca="1">OFFSET(ORÇAMENTO!L$15,$L143,0)</f>
        <v>F</v>
      </c>
      <c r="D143" s="116" t="str">
        <f ca="1">OFFSET(ORÇAMENTO!N$15,$L143,0)</f>
        <v>Serviço</v>
      </c>
      <c r="E143" s="117" t="str">
        <f ca="1">OFFSET(ORÇAMENTO!O$15,$L143,0)</f>
        <v>1.24.6.</v>
      </c>
      <c r="F143" s="163" t="str">
        <f ca="1">OFFSET(ORÇAMENTO!R$15,$L143,0)</f>
        <v>TOMADA MÉDIA DE EMBUTIR (1 MÓDULO), 2P+T 10 A, INCLUINDO SUPORTE E PLACA - FORNECIMENTO E INSTALAÇÃO. AF_03/2023</v>
      </c>
      <c r="G143" s="164" t="str">
        <f ca="1">IF($D143&lt;&gt;"Serviço","",OFFSET(ORÇAMENTO!S$15,$L143,0))</f>
        <v>UN</v>
      </c>
      <c r="H143" s="122">
        <f t="array" aca="1" ref="H143" ca="1">IF($D143&lt;&gt;"Serviço",0,IF(ACOMPANHAMENTO="BM",ROUND(OFFSET(ORÇAMENTO!AJ$15,$L143,0),15-13*ORÇAMENTO!$AF$7),IF(IFERROR(CÁLCULO.FrentesPreenchidas,0)=0,0,SUM(ROUND(OFFSET($P143,0,1,1,CÁLCULO.FrentesPreenchidas),15-13*ORÇAMENTO!$AF$7)))))</f>
        <v>120</v>
      </c>
      <c r="I143" s="467" t="s">
        <v>1293</v>
      </c>
      <c r="J143" s="653" t="str">
        <f t="array" aca="1" ref="J143" ca="1">IF(OR(B143&lt;&gt;"S",CÁLCULO.FrentesPreenchidas=0),"",IF(AND(ACOMPANHAMENTO="PLE",AUTOEVENTO="Manual",OR(H143&gt;0,ORÇAMENTO!AC143="QUANT."),OR(K143="",M143=0,N143="")),"►E",IF(AND(ACOMPANHAMENTO="PLE",ORÇAMENTO!AC143="QUANT."),"►Q",IF(AND(ACOMPANHAMENTO="PLE",H143&lt;&gt;SUMPRODUCT(($Q$1:$AI$1=1)*ROUND(Q143:AI143,15))),"►S",IF(AND(COUNTIF($P$11:$AI$11,"▼")=0,H143&gt;0,I143=""),"◄M","")))))</f>
        <v/>
      </c>
      <c r="K143" s="654" t="s">
        <v>1441</v>
      </c>
      <c r="L143" s="165">
        <f t="shared" ca="1" si="83"/>
        <v>128</v>
      </c>
      <c r="M143" s="166">
        <f ca="1">IF($D143&lt;&gt;"Serviço","",
          IF(AUTOEVENTO="manual",$A143,
                IF(ISERROR(MATCH($A143,$A$15:OFFSET($A143,-1,0),0)),MAX($M$15:OFFSET(M143,-1,0))+1,
                      INDEX($M$15:OFFSET(M143,-1,0),MATCH($A143,$A$15:OFFSET($A143,-1,0),0)))))</f>
        <v>32</v>
      </c>
      <c r="N143" s="167" t="str">
        <f ca="1">IF($D143&lt;&gt;"Serviço","",
         IF(AUTOEVENTO="Manual",
                IF($A143=0,"&lt;-- defina o número do agrupador",
                       OFFSET(EVENTOS!$D$15,$A143-$A$15,0)),
                OFFSET($F$15,$A143,0)))</f>
        <v>ACABAMENTOS ELÉTRICOS</v>
      </c>
      <c r="O143" s="168"/>
      <c r="Q143" s="169">
        <v>30</v>
      </c>
      <c r="R143" s="169">
        <v>30</v>
      </c>
      <c r="S143" s="169">
        <v>30</v>
      </c>
      <c r="T143" s="169">
        <v>30</v>
      </c>
      <c r="U143" s="169"/>
      <c r="V143" s="169"/>
      <c r="W143" s="169"/>
      <c r="X143" s="169"/>
      <c r="Y143" s="169"/>
      <c r="Z143" s="170"/>
      <c r="AA143" s="169"/>
      <c r="AB143" s="169"/>
      <c r="AC143" s="169"/>
      <c r="AD143" s="169"/>
      <c r="AE143" s="169"/>
      <c r="AF143" s="169"/>
      <c r="AG143" s="169"/>
      <c r="AH143" s="170"/>
      <c r="AJ143" s="452">
        <f ca="1">IF(AND($D143="Serviço",AJ$12&lt;&gt;0,$H143&gt;0,OR(AUTOEVENTO&lt;&gt;"manual",$M143&lt;&gt;$A$15)),
        IF(Import.TipoArredondamento&lt;&gt;"TransfereGOV",
              ROUND(OFFSET($P143,0,AJ$13),15-13*ORÇAMENTO!$AF$7)/$H143*OFFSET(ORÇAMENTO!$X$15,ROW(AJ143)-ROW(AJ$15),0),
              ROUND(ROUND(OFFSET($P143,0,AJ$13),15-13*ORÇAMENTO!$AF$7)*OFFSET(ORÇAMENTO!$W$15,ROW(AJ143)-ROW(AJ$15),0),15-13*ORÇAMENTO!$AF$11)),
         0)</f>
        <v>1246.2</v>
      </c>
      <c r="AK143" s="452">
        <f ca="1">IF(AND($D143="Serviço",AK$12&lt;&gt;0,$H143&gt;0,OR(AUTOEVENTO&lt;&gt;"manual",$M143&lt;&gt;$A$15)),
        IF(Import.TipoArredondamento&lt;&gt;"TransfereGOV",
              ROUND(OFFSET($P143,0,AK$13),15-13*ORÇAMENTO!$AF$7)/$H143*OFFSET(ORÇAMENTO!$X$15,ROW(AK143)-ROW(AK$15),0),
              ROUND(ROUND(OFFSET($P143,0,AK$13),15-13*ORÇAMENTO!$AF$7)*OFFSET(ORÇAMENTO!$W$15,ROW(AK143)-ROW(AK$15),0),15-13*ORÇAMENTO!$AF$11)),
         0)</f>
        <v>1246.2</v>
      </c>
      <c r="AL143" s="452">
        <f ca="1">IF(AND($D143="Serviço",AL$12&lt;&gt;0,$H143&gt;0,OR(AUTOEVENTO&lt;&gt;"manual",$M143&lt;&gt;$A$15)),
        IF(Import.TipoArredondamento&lt;&gt;"TransfereGOV",
              ROUND(OFFSET($P143,0,AL$13),15-13*ORÇAMENTO!$AF$7)/$H143*OFFSET(ORÇAMENTO!$X$15,ROW(AL143)-ROW(AL$15),0),
              ROUND(ROUND(OFFSET($P143,0,AL$13),15-13*ORÇAMENTO!$AF$7)*OFFSET(ORÇAMENTO!$W$15,ROW(AL143)-ROW(AL$15),0),15-13*ORÇAMENTO!$AF$11)),
         0)</f>
        <v>1246.2</v>
      </c>
      <c r="AM143" s="452">
        <f ca="1">IF(AND($D143="Serviço",AM$12&lt;&gt;0,$H143&gt;0,OR(AUTOEVENTO&lt;&gt;"manual",$M143&lt;&gt;$A$15)),
        IF(Import.TipoArredondamento&lt;&gt;"TransfereGOV",
              ROUND(OFFSET($P143,0,AM$13),15-13*ORÇAMENTO!$AF$7)/$H143*OFFSET(ORÇAMENTO!$X$15,ROW(AM143)-ROW(AM$15),0),
              ROUND(ROUND(OFFSET($P143,0,AM$13),15-13*ORÇAMENTO!$AF$7)*OFFSET(ORÇAMENTO!$W$15,ROW(AM143)-ROW(AM$15),0),15-13*ORÇAMENTO!$AF$11)),
         0)</f>
        <v>1246.2</v>
      </c>
      <c r="AN143" s="452">
        <f ca="1">IF(AND($D143="Serviço",AN$12&lt;&gt;0,$H143&gt;0,OR(AUTOEVENTO&lt;&gt;"manual",$M143&lt;&gt;$A$15)),
        IF(Import.TipoArredondamento&lt;&gt;"TransfereGOV",
              ROUND(OFFSET($P143,0,AN$13),15-13*ORÇAMENTO!$AF$7)/$H143*OFFSET(ORÇAMENTO!$X$15,ROW(AN143)-ROW(AN$15),0),
              ROUND(ROUND(OFFSET($P143,0,AN$13),15-13*ORÇAMENTO!$AF$7)*OFFSET(ORÇAMENTO!$W$15,ROW(AN143)-ROW(AN$15),0),15-13*ORÇAMENTO!$AF$11)),
         0)</f>
        <v>0</v>
      </c>
      <c r="AO143" s="452">
        <f ca="1">IF(AND($D143="Serviço",AO$12&lt;&gt;0,$H143&gt;0,OR(AUTOEVENTO&lt;&gt;"manual",$M143&lt;&gt;$A$15)),
        IF(Import.TipoArredondamento&lt;&gt;"TransfereGOV",
              ROUND(OFFSET($P143,0,AO$13),15-13*ORÇAMENTO!$AF$7)/$H143*OFFSET(ORÇAMENTO!$X$15,ROW(AO143)-ROW(AO$15),0),
              ROUND(ROUND(OFFSET($P143,0,AO$13),15-13*ORÇAMENTO!$AF$7)*OFFSET(ORÇAMENTO!$W$15,ROW(AO143)-ROW(AO$15),0),15-13*ORÇAMENTO!$AF$11)),
         0)</f>
        <v>0</v>
      </c>
      <c r="AP143" s="452">
        <f ca="1">IF(AND($D143="Serviço",AP$12&lt;&gt;0,$H143&gt;0,OR(AUTOEVENTO&lt;&gt;"manual",$M143&lt;&gt;$A$15)),
        IF(Import.TipoArredondamento&lt;&gt;"TransfereGOV",
              ROUND(OFFSET($P143,0,AP$13),15-13*ORÇAMENTO!$AF$7)/$H143*OFFSET(ORÇAMENTO!$X$15,ROW(AP143)-ROW(AP$15),0),
              ROUND(ROUND(OFFSET($P143,0,AP$13),15-13*ORÇAMENTO!$AF$7)*OFFSET(ORÇAMENTO!$W$15,ROW(AP143)-ROW(AP$15),0),15-13*ORÇAMENTO!$AF$11)),
         0)</f>
        <v>0</v>
      </c>
      <c r="AQ143" s="452">
        <f ca="1">IF(AND($D143="Serviço",AQ$12&lt;&gt;0,$H143&gt;0,OR(AUTOEVENTO&lt;&gt;"manual",$M143&lt;&gt;$A$15)),
        IF(Import.TipoArredondamento&lt;&gt;"TransfereGOV",
              ROUND(OFFSET($P143,0,AQ$13),15-13*ORÇAMENTO!$AF$7)/$H143*OFFSET(ORÇAMENTO!$X$15,ROW(AQ143)-ROW(AQ$15),0),
              ROUND(ROUND(OFFSET($P143,0,AQ$13),15-13*ORÇAMENTO!$AF$7)*OFFSET(ORÇAMENTO!$W$15,ROW(AQ143)-ROW(AQ$15),0),15-13*ORÇAMENTO!$AF$11)),
         0)</f>
        <v>0</v>
      </c>
      <c r="AR143" s="452">
        <f ca="1">IF(AND($D143="Serviço",AR$12&lt;&gt;0,$H143&gt;0,OR(AUTOEVENTO&lt;&gt;"manual",$M143&lt;&gt;$A$15)),
        IF(Import.TipoArredondamento&lt;&gt;"TransfereGOV",
              ROUND(OFFSET($P143,0,AR$13),15-13*ORÇAMENTO!$AF$7)/$H143*OFFSET(ORÇAMENTO!$X$15,ROW(AR143)-ROW(AR$15),0),
              ROUND(ROUND(OFFSET($P143,0,AR$13),15-13*ORÇAMENTO!$AF$7)*OFFSET(ORÇAMENTO!$W$15,ROW(AR143)-ROW(AR$15),0),15-13*ORÇAMENTO!$AF$11)),
         0)</f>
        <v>0</v>
      </c>
      <c r="AS143" s="452">
        <f ca="1">IF(AND($D143="Serviço",AS$12&lt;&gt;0,$H143&gt;0,OR(AUTOEVENTO&lt;&gt;"manual",$M143&lt;&gt;$A$15)),
        IF(Import.TipoArredondamento&lt;&gt;"TransfereGOV",
              ROUND(OFFSET($P143,0,AS$13),15-13*ORÇAMENTO!$AF$7)/$H143*OFFSET(ORÇAMENTO!$X$15,ROW(AS143)-ROW(AS$15),0),
              ROUND(ROUND(OFFSET($P143,0,AS$13),15-13*ORÇAMENTO!$AF$7)*OFFSET(ORÇAMENTO!$W$15,ROW(AS143)-ROW(AS$15),0),15-13*ORÇAMENTO!$AF$11)),
         0)</f>
        <v>0</v>
      </c>
      <c r="AT143" s="452">
        <f ca="1">IF(AND($D143="Serviço",AT$12&lt;&gt;0,$H143&gt;0,OR(AUTOEVENTO&lt;&gt;"manual",$M143&lt;&gt;$A$15)),
        IF(Import.TipoArredondamento&lt;&gt;"TransfereGOV",
              ROUND(OFFSET($P143,0,AT$13),15-13*ORÇAMENTO!$AF$7)/$H143*OFFSET(ORÇAMENTO!$X$15,ROW(AT143)-ROW(AT$15),0),
              ROUND(ROUND(OFFSET($P143,0,AT$13),15-13*ORÇAMENTO!$AF$7)*OFFSET(ORÇAMENTO!$W$15,ROW(AT143)-ROW(AT$15),0),15-13*ORÇAMENTO!$AF$11)),
         0)</f>
        <v>0</v>
      </c>
      <c r="AU143" s="452">
        <f ca="1">IF(AND($D143="Serviço",AU$12&lt;&gt;0,$H143&gt;0,OR(AUTOEVENTO&lt;&gt;"manual",$M143&lt;&gt;$A$15)),
        IF(Import.TipoArredondamento&lt;&gt;"TransfereGOV",
              ROUND(OFFSET($P143,0,AU$13),15-13*ORÇAMENTO!$AF$7)/$H143*OFFSET(ORÇAMENTO!$X$15,ROW(AU143)-ROW(AU$15),0),
              ROUND(ROUND(OFFSET($P143,0,AU$13),15-13*ORÇAMENTO!$AF$7)*OFFSET(ORÇAMENTO!$W$15,ROW(AU143)-ROW(AU$15),0),15-13*ORÇAMENTO!$AF$11)),
         0)</f>
        <v>0</v>
      </c>
      <c r="AV143" s="452">
        <f ca="1">IF(AND($D143="Serviço",AV$12&lt;&gt;0,$H143&gt;0,OR(AUTOEVENTO&lt;&gt;"manual",$M143&lt;&gt;$A$15)),
        IF(Import.TipoArredondamento&lt;&gt;"TransfereGOV",
              ROUND(OFFSET($P143,0,AV$13),15-13*ORÇAMENTO!$AF$7)/$H143*OFFSET(ORÇAMENTO!$X$15,ROW(AV143)-ROW(AV$15),0),
              ROUND(ROUND(OFFSET($P143,0,AV$13),15-13*ORÇAMENTO!$AF$7)*OFFSET(ORÇAMENTO!$W$15,ROW(AV143)-ROW(AV$15),0),15-13*ORÇAMENTO!$AF$11)),
         0)</f>
        <v>0</v>
      </c>
      <c r="AW143" s="452">
        <f ca="1">IF(AND($D143="Serviço",AW$12&lt;&gt;0,$H143&gt;0,OR(AUTOEVENTO&lt;&gt;"manual",$M143&lt;&gt;$A$15)),
        IF(Import.TipoArredondamento&lt;&gt;"TransfereGOV",
              ROUND(OFFSET($P143,0,AW$13),15-13*ORÇAMENTO!$AF$7)/$H143*OFFSET(ORÇAMENTO!$X$15,ROW(AW143)-ROW(AW$15),0),
              ROUND(ROUND(OFFSET($P143,0,AW$13),15-13*ORÇAMENTO!$AF$7)*OFFSET(ORÇAMENTO!$W$15,ROW(AW143)-ROW(AW$15),0),15-13*ORÇAMENTO!$AF$11)),
         0)</f>
        <v>0</v>
      </c>
      <c r="AX143" s="452">
        <f ca="1">IF(AND($D143="Serviço",AX$12&lt;&gt;0,$H143&gt;0,OR(AUTOEVENTO&lt;&gt;"manual",$M143&lt;&gt;$A$15)),
        IF(Import.TipoArredondamento&lt;&gt;"TransfereGOV",
              ROUND(OFFSET($P143,0,AX$13),15-13*ORÇAMENTO!$AF$7)/$H143*OFFSET(ORÇAMENTO!$X$15,ROW(AX143)-ROW(AX$15),0),
              ROUND(ROUND(OFFSET($P143,0,AX$13),15-13*ORÇAMENTO!$AF$7)*OFFSET(ORÇAMENTO!$W$15,ROW(AX143)-ROW(AX$15),0),15-13*ORÇAMENTO!$AF$11)),
         0)</f>
        <v>0</v>
      </c>
      <c r="AY143" s="452">
        <f ca="1">IF(AND($D143="Serviço",AY$12&lt;&gt;0,$H143&gt;0,OR(AUTOEVENTO&lt;&gt;"manual",$M143&lt;&gt;$A$15)),
        IF(Import.TipoArredondamento&lt;&gt;"TransfereGOV",
              ROUND(OFFSET($P143,0,AY$13),15-13*ORÇAMENTO!$AF$7)/$H143*OFFSET(ORÇAMENTO!$X$15,ROW(AY143)-ROW(AY$15),0),
              ROUND(ROUND(OFFSET($P143,0,AY$13),15-13*ORÇAMENTO!$AF$7)*OFFSET(ORÇAMENTO!$W$15,ROW(AY143)-ROW(AY$15),0),15-13*ORÇAMENTO!$AF$11)),
         0)</f>
        <v>0</v>
      </c>
      <c r="AZ143" s="452">
        <f ca="1">IF(AND($D143="Serviço",AZ$12&lt;&gt;0,$H143&gt;0,OR(AUTOEVENTO&lt;&gt;"manual",$M143&lt;&gt;$A$15)),
        IF(Import.TipoArredondamento&lt;&gt;"TransfereGOV",
              ROUND(OFFSET($P143,0,AZ$13),15-13*ORÇAMENTO!$AF$7)/$H143*OFFSET(ORÇAMENTO!$X$15,ROW(AZ143)-ROW(AZ$15),0),
              ROUND(ROUND(OFFSET($P143,0,AZ$13),15-13*ORÇAMENTO!$AF$7)*OFFSET(ORÇAMENTO!$W$15,ROW(AZ143)-ROW(AZ$15),0),15-13*ORÇAMENTO!$AF$11)),
         0)</f>
        <v>0</v>
      </c>
      <c r="BA143" s="452">
        <f ca="1">IF(AND($D143="Serviço",BA$12&lt;&gt;0,$H143&gt;0,OR(AUTOEVENTO&lt;&gt;"manual",$M143&lt;&gt;$A$15)),
        IF(Import.TipoArredondamento&lt;&gt;"TransfereGOV",
              ROUND(OFFSET($P143,0,BA$13),15-13*ORÇAMENTO!$AF$7)/$H143*OFFSET(ORÇAMENTO!$X$15,ROW(BA143)-ROW(BA$15),0),
              ROUND(ROUND(OFFSET($P143,0,BA$13),15-13*ORÇAMENTO!$AF$7)*OFFSET(ORÇAMENTO!$W$15,ROW(BA143)-ROW(BA$15),0),15-13*ORÇAMENTO!$AF$11)),
         0)</f>
        <v>0</v>
      </c>
      <c r="BC143" s="171">
        <f ca="1">IF(OR($D143&lt;&gt;"Serviço",AND(AUTOEVENTO="Manual",$M143=$A$15)),0,
         IF(OFFSET(CRONOPLE!$F$15,$M143-$A$15,BC$13)=0,10^12,OFFSET(CRONOPLE!$F$15,$M143-$A$15,BC$13)))</f>
        <v>8</v>
      </c>
      <c r="BD143" s="171">
        <f ca="1">IF(OR($D143&lt;&gt;"Serviço",AND(AUTOEVENTO="Manual",$M143=$A$15)),0,
         IF(OFFSET(CRONOPLE!$F$15,$M143-$A$15,BD$13)=0,10^12,OFFSET(CRONOPLE!$F$15,$M143-$A$15,BD$13)))</f>
        <v>8</v>
      </c>
      <c r="BE143" s="171">
        <f ca="1">IF(OR($D143&lt;&gt;"Serviço",AND(AUTOEVENTO="Manual",$M143=$A$15)),0,
         IF(OFFSET(CRONOPLE!$F$15,$M143-$A$15,BE$13)=0,10^12,OFFSET(CRONOPLE!$F$15,$M143-$A$15,BE$13)))</f>
        <v>9</v>
      </c>
      <c r="BF143" s="171">
        <f ca="1">IF(OR($D143&lt;&gt;"Serviço",AND(AUTOEVENTO="Manual",$M143=$A$15)),0,
         IF(OFFSET(CRONOPLE!$F$15,$M143-$A$15,BF$13)=0,10^12,OFFSET(CRONOPLE!$F$15,$M143-$A$15,BF$13)))</f>
        <v>9</v>
      </c>
      <c r="BG143" s="171">
        <f ca="1">IF(OR($D143&lt;&gt;"Serviço",AND(AUTOEVENTO="Manual",$M143=$A$15)),0,
         IF(OFFSET(CRONOPLE!$F$15,$M143-$A$15,BG$13)=0,10^12,OFFSET(CRONOPLE!$F$15,$M143-$A$15,BG$13)))</f>
        <v>9</v>
      </c>
      <c r="BH143" s="171">
        <f ca="1">IF(OR($D143&lt;&gt;"Serviço",AND(AUTOEVENTO="Manual",$M143=$A$15)),0,
         IF(OFFSET(CRONOPLE!$F$15,$M143-$A$15,BH$13)=0,10^12,OFFSET(CRONOPLE!$F$15,$M143-$A$15,BH$13)))</f>
        <v>1000000000000</v>
      </c>
      <c r="BI143" s="171">
        <f ca="1">IF(OR($D143&lt;&gt;"Serviço",AND(AUTOEVENTO="Manual",$M143=$A$15)),0,
         IF(OFFSET(CRONOPLE!$F$15,$M143-$A$15,BI$13)=0,10^12,OFFSET(CRONOPLE!$F$15,$M143-$A$15,BI$13)))</f>
        <v>1000000000000</v>
      </c>
      <c r="BJ143" s="171">
        <f ca="1">IF(OR($D143&lt;&gt;"Serviço",AND(AUTOEVENTO="Manual",$M143=$A$15)),0,
         IF(OFFSET(CRONOPLE!$F$15,$M143-$A$15,BJ$13)=0,10^12,OFFSET(CRONOPLE!$F$15,$M143-$A$15,BJ$13)))</f>
        <v>8</v>
      </c>
      <c r="BK143" s="171">
        <f ca="1">IF(OR($D143&lt;&gt;"Serviço",AND(AUTOEVENTO="Manual",$M143=$A$15)),0,
         IF(OFFSET(CRONOPLE!$F$15,$M143-$A$15,BK$13)=0,10^12,OFFSET(CRONOPLE!$F$15,$M143-$A$15,BK$13)))</f>
        <v>9</v>
      </c>
      <c r="BL143" s="171">
        <f ca="1">IF(OR($D143&lt;&gt;"Serviço",AND(AUTOEVENTO="Manual",$M143=$A$15)),0,
         IF(OFFSET(CRONOPLE!$F$15,$M143-$A$15,BL$13)=0,10^12,OFFSET(CRONOPLE!$F$15,$M143-$A$15,BL$13)))</f>
        <v>1000000000000</v>
      </c>
      <c r="BM143" s="171">
        <f ca="1">IF(OR($D143&lt;&gt;"Serviço",AND(AUTOEVENTO="Manual",$M143=$A$15)),0,
         IF(OFFSET(CRONOPLE!$F$15,$M143-$A$15,BM$13)=0,10^12,OFFSET(CRONOPLE!$F$15,$M143-$A$15,BM$13)))</f>
        <v>1000000000000</v>
      </c>
      <c r="BN143" s="171">
        <f ca="1">IF(OR($D143&lt;&gt;"Serviço",AND(AUTOEVENTO="Manual",$M143=$A$15)),0,
         IF(OFFSET(CRONOPLE!$F$15,$M143-$A$15,BN$13)=0,10^12,OFFSET(CRONOPLE!$F$15,$M143-$A$15,BN$13)))</f>
        <v>1000000000000</v>
      </c>
      <c r="BO143" s="171">
        <f ca="1">IF(OR($D143&lt;&gt;"Serviço",AND(AUTOEVENTO="Manual",$M143=$A$15)),0,
         IF(OFFSET(CRONOPLE!$F$15,$M143-$A$15,BO$13)=0,10^12,OFFSET(CRONOPLE!$F$15,$M143-$A$15,BO$13)))</f>
        <v>1000000000000</v>
      </c>
      <c r="BP143" s="171">
        <f ca="1">IF(OR($D143&lt;&gt;"Serviço",AND(AUTOEVENTO="Manual",$M143=$A$15)),0,
         IF(OFFSET(CRONOPLE!$F$15,$M143-$A$15,BP$13)=0,10^12,OFFSET(CRONOPLE!$F$15,$M143-$A$15,BP$13)))</f>
        <v>1000000000000</v>
      </c>
      <c r="BQ143" s="171">
        <f ca="1">IF(OR($D143&lt;&gt;"Serviço",AND(AUTOEVENTO="Manual",$M143=$A$15)),0,
         IF(OFFSET(CRONOPLE!$F$15,$M143-$A$15,BQ$13)=0,10^12,OFFSET(CRONOPLE!$F$15,$M143-$A$15,BQ$13)))</f>
        <v>1000000000000</v>
      </c>
      <c r="BR143" s="171">
        <f ca="1">IF(OR($D143&lt;&gt;"Serviço",AND(AUTOEVENTO="Manual",$M143=$A$15)),0,
         IF(OFFSET(CRONOPLE!$F$15,$M143-$A$15,BR$13)=0,10^12,OFFSET(CRONOPLE!$F$15,$M143-$A$15,BR$13)))</f>
        <v>1000000000000</v>
      </c>
      <c r="BS143" s="171">
        <f ca="1">IF(OR($D143&lt;&gt;"Serviço",AND(AUTOEVENTO="Manual",$M143=$A$15)),0,
         IF(OFFSET(CRONOPLE!$F$15,$M143-$A$15,BS$13)=0,10^12,OFFSET(CRONOPLE!$F$15,$M143-$A$15,BS$13)))</f>
        <v>1000000000000</v>
      </c>
      <c r="BT143" s="171">
        <f ca="1">IF(OR($D143&lt;&gt;"Serviço",AND(AUTOEVENTO="Manual",$M143=$A$15)),0,
         IF(OFFSET(CRONOPLE!$F$15,$M143-$A$15,BT$13)=0,10^12,OFFSET(CRONOPLE!$F$15,$M143-$A$15,BT$13)))</f>
        <v>1000000000000</v>
      </c>
      <c r="BV143" s="172">
        <f t="array" aca="1" ref="BV143" ca="1">IF(OR($D143&lt;&gt;"Serviço",AND(AUTOEVENTO="Manual",$M143=$A$15),$M143&gt;(ROW(PLE.lastrow)-ROW(PLE.firstrow))),0,
           IF(OFFSET(PLE!$G$15,$M143-$A$15,BV$13)="",10^12,OFFSET(PLE!$G$15,$M143-$A$15,BV$13)))</f>
        <v>1000000000000</v>
      </c>
      <c r="BW143" s="172">
        <f t="array" aca="1" ref="BW143" ca="1">IF(OR($D143&lt;&gt;"Serviço",AND(AUTOEVENTO="Manual",$M143=$A$15),$M143&gt;(ROW(PLE.lastrow)-ROW(PLE.firstrow))),0,
           IF(OFFSET(PLE!$G$15,$M143-$A$15,BW$13)="",10^12,OFFSET(PLE!$G$15,$M143-$A$15,BW$13)))</f>
        <v>1000000000000</v>
      </c>
      <c r="BX143" s="172">
        <f t="array" aca="1" ref="BX143" ca="1">IF(OR($D143&lt;&gt;"Serviço",AND(AUTOEVENTO="Manual",$M143=$A$15),$M143&gt;(ROW(PLE.lastrow)-ROW(PLE.firstrow))),0,
           IF(OFFSET(PLE!$G$15,$M143-$A$15,BX$13)="",10^12,OFFSET(PLE!$G$15,$M143-$A$15,BX$13)))</f>
        <v>1000000000000</v>
      </c>
      <c r="BY143" s="172">
        <f t="array" aca="1" ref="BY143" ca="1">IF(OR($D143&lt;&gt;"Serviço",AND(AUTOEVENTO="Manual",$M143=$A$15),$M143&gt;(ROW(PLE.lastrow)-ROW(PLE.firstrow))),0,
           IF(OFFSET(PLE!$G$15,$M143-$A$15,BY$13)="",10^12,OFFSET(PLE!$G$15,$M143-$A$15,BY$13)))</f>
        <v>1000000000000</v>
      </c>
      <c r="BZ143" s="172">
        <f t="array" aca="1" ref="BZ143" ca="1">IF(OR($D143&lt;&gt;"Serviço",AND(AUTOEVENTO="Manual",$M143=$A$15),$M143&gt;(ROW(PLE.lastrow)-ROW(PLE.firstrow))),0,
           IF(OFFSET(PLE!$G$15,$M143-$A$15,BZ$13)="",10^12,OFFSET(PLE!$G$15,$M143-$A$15,BZ$13)))</f>
        <v>1000000000000</v>
      </c>
      <c r="CA143" s="172">
        <f t="array" aca="1" ref="CA143" ca="1">IF(OR($D143&lt;&gt;"Serviço",AND(AUTOEVENTO="Manual",$M143=$A$15),$M143&gt;(ROW(PLE.lastrow)-ROW(PLE.firstrow))),0,
           IF(OFFSET(PLE!$G$15,$M143-$A$15,CA$13)="",10^12,OFFSET(PLE!$G$15,$M143-$A$15,CA$13)))</f>
        <v>1000000000000</v>
      </c>
      <c r="CB143" s="172">
        <f t="array" aca="1" ref="CB143" ca="1">IF(OR($D143&lt;&gt;"Serviço",AND(AUTOEVENTO="Manual",$M143=$A$15),$M143&gt;(ROW(PLE.lastrow)-ROW(PLE.firstrow))),0,
           IF(OFFSET(PLE!$G$15,$M143-$A$15,CB$13)="",10^12,OFFSET(PLE!$G$15,$M143-$A$15,CB$13)))</f>
        <v>1000000000000</v>
      </c>
      <c r="CC143" s="172">
        <f t="array" aca="1" ref="CC143" ca="1">IF(OR($D143&lt;&gt;"Serviço",AND(AUTOEVENTO="Manual",$M143=$A$15),$M143&gt;(ROW(PLE.lastrow)-ROW(PLE.firstrow))),0,
           IF(OFFSET(PLE!$G$15,$M143-$A$15,CC$13)="",10^12,OFFSET(PLE!$G$15,$M143-$A$15,CC$13)))</f>
        <v>1000000000000</v>
      </c>
      <c r="CD143" s="172">
        <f t="array" aca="1" ref="CD143" ca="1">IF(OR($D143&lt;&gt;"Serviço",AND(AUTOEVENTO="Manual",$M143=$A$15),$M143&gt;(ROW(PLE.lastrow)-ROW(PLE.firstrow))),0,
           IF(OFFSET(PLE!$G$15,$M143-$A$15,CD$13)="",10^12,OFFSET(PLE!$G$15,$M143-$A$15,CD$13)))</f>
        <v>1000000000000</v>
      </c>
      <c r="CE143" s="172">
        <f t="array" aca="1" ref="CE143" ca="1">IF(OR($D143&lt;&gt;"Serviço",AND(AUTOEVENTO="Manual",$M143=$A$15),$M143&gt;(ROW(PLE.lastrow)-ROW(PLE.firstrow))),0,
           IF(OFFSET(PLE!$G$15,$M143-$A$15,CE$13)="",10^12,OFFSET(PLE!$G$15,$M143-$A$15,CE$13)))</f>
        <v>1000000000000</v>
      </c>
      <c r="CF143" s="172">
        <f t="array" aca="1" ref="CF143" ca="1">IF(OR($D143&lt;&gt;"Serviço",AND(AUTOEVENTO="Manual",$M143=$A$15),$M143&gt;(ROW(PLE.lastrow)-ROW(PLE.firstrow))),0,
           IF(OFFSET(PLE!$G$15,$M143-$A$15,CF$13)="",10^12,OFFSET(PLE!$G$15,$M143-$A$15,CF$13)))</f>
        <v>1000000000000</v>
      </c>
      <c r="CG143" s="172">
        <f t="array" aca="1" ref="CG143" ca="1">IF(OR($D143&lt;&gt;"Serviço",AND(AUTOEVENTO="Manual",$M143=$A$15),$M143&gt;(ROW(PLE.lastrow)-ROW(PLE.firstrow))),0,
           IF(OFFSET(PLE!$G$15,$M143-$A$15,CG$13)="",10^12,OFFSET(PLE!$G$15,$M143-$A$15,CG$13)))</f>
        <v>1000000000000</v>
      </c>
      <c r="CH143" s="172">
        <f t="array" aca="1" ref="CH143" ca="1">IF(OR($D143&lt;&gt;"Serviço",AND(AUTOEVENTO="Manual",$M143=$A$15),$M143&gt;(ROW(PLE.lastrow)-ROW(PLE.firstrow))),0,
           IF(OFFSET(PLE!$G$15,$M143-$A$15,CH$13)="",10^12,OFFSET(PLE!$G$15,$M143-$A$15,CH$13)))</f>
        <v>1000000000000</v>
      </c>
      <c r="CI143" s="172">
        <f t="array" aca="1" ref="CI143" ca="1">IF(OR($D143&lt;&gt;"Serviço",AND(AUTOEVENTO="Manual",$M143=$A$15),$M143&gt;(ROW(PLE.lastrow)-ROW(PLE.firstrow))),0,
           IF(OFFSET(PLE!$G$15,$M143-$A$15,CI$13)="",10^12,OFFSET(PLE!$G$15,$M143-$A$15,CI$13)))</f>
        <v>1000000000000</v>
      </c>
      <c r="CJ143" s="172">
        <f t="array" aca="1" ref="CJ143" ca="1">IF(OR($D143&lt;&gt;"Serviço",AND(AUTOEVENTO="Manual",$M143=$A$15),$M143&gt;(ROW(PLE.lastrow)-ROW(PLE.firstrow))),0,
           IF(OFFSET(PLE!$G$15,$M143-$A$15,CJ$13)="",10^12,OFFSET(PLE!$G$15,$M143-$A$15,CJ$13)))</f>
        <v>1000000000000</v>
      </c>
      <c r="CK143" s="172">
        <f t="array" aca="1" ref="CK143" ca="1">IF(OR($D143&lt;&gt;"Serviço",AND(AUTOEVENTO="Manual",$M143=$A$15),$M143&gt;(ROW(PLE.lastrow)-ROW(PLE.firstrow))),0,
           IF(OFFSET(PLE!$G$15,$M143-$A$15,CK$13)="",10^12,OFFSET(PLE!$G$15,$M143-$A$15,CK$13)))</f>
        <v>1000000000000</v>
      </c>
      <c r="CL143" s="172">
        <f t="array" aca="1" ref="CL143" ca="1">IF(OR($D143&lt;&gt;"Serviço",AND(AUTOEVENTO="Manual",$M143=$A$15),$M143&gt;(ROW(PLE.lastrow)-ROW(PLE.firstrow))),0,
           IF(OFFSET(PLE!$G$15,$M143-$A$15,CL$13)="",10^12,OFFSET(PLE!$G$15,$M143-$A$15,CL$13)))</f>
        <v>1000000000000</v>
      </c>
      <c r="CM143" s="172">
        <f t="array" aca="1" ref="CM143" ca="1">IF(OR($D143&lt;&gt;"Serviço",AND(AUTOEVENTO="Manual",$M143=$A$15),$M143&gt;(ROW(PLE.lastrow)-ROW(PLE.firstrow))),0,
           IF(OFFSET(PLE!$G$15,$M143-$A$15,CM$13)="",10^12,OFFSET(PLE!$G$15,$M143-$A$15,CM$13)))</f>
        <v>1000000000000</v>
      </c>
    </row>
    <row r="144" spans="1:91" s="696" customFormat="1" ht="38.25" x14ac:dyDescent="0.2">
      <c r="A144" s="694">
        <f t="shared" ca="1" si="82"/>
        <v>32</v>
      </c>
      <c r="B144" s="694" t="str">
        <f ca="1">OFFSET(ORÇAMENTO!C$15,$L144,0)</f>
        <v>S</v>
      </c>
      <c r="C144" s="694" t="str">
        <f ca="1">OFFSET(ORÇAMENTO!L$15,$L144,0)</f>
        <v>F</v>
      </c>
      <c r="D144" s="116" t="str">
        <f ca="1">OFFSET(ORÇAMENTO!N$15,$L144,0)</f>
        <v>Serviço</v>
      </c>
      <c r="E144" s="117" t="str">
        <f ca="1">OFFSET(ORÇAMENTO!O$15,$L144,0)</f>
        <v>1.24.7.</v>
      </c>
      <c r="F144" s="163" t="str">
        <f ca="1">OFFSET(ORÇAMENTO!R$15,$L144,0)</f>
        <v>TOMADA ALTA DE EMBUTIR (1 MÓDULO), 2P+T 20 A, INCLUINDO SUPORTE E PLACA - FORNECIMENTO E INSTALAÇÃO. AF_03/2023</v>
      </c>
      <c r="G144" s="164" t="str">
        <f ca="1">IF($D144&lt;&gt;"Serviço","",OFFSET(ORÇAMENTO!S$15,$L144,0))</f>
        <v>UN</v>
      </c>
      <c r="H144" s="122">
        <f t="array" aca="1" ref="H144" ca="1">IF($D144&lt;&gt;"Serviço",0,IF(ACOMPANHAMENTO="BM",ROUND(OFFSET(ORÇAMENTO!AJ$15,$L144,0),15-13*ORÇAMENTO!$AF$7),IF(IFERROR(CÁLCULO.FrentesPreenchidas,0)=0,0,SUM(ROUND(OFFSET($P144,0,1,1,CÁLCULO.FrentesPreenchidas),15-13*ORÇAMENTO!$AF$7)))))</f>
        <v>20</v>
      </c>
      <c r="I144" s="467" t="s">
        <v>1294</v>
      </c>
      <c r="J144" s="653" t="str">
        <f t="array" aca="1" ref="J144" ca="1">IF(OR(B144&lt;&gt;"S",CÁLCULO.FrentesPreenchidas=0),"",IF(AND(ACOMPANHAMENTO="PLE",AUTOEVENTO="Manual",OR(H144&gt;0,ORÇAMENTO!AC144="QUANT."),OR(K144="",M144=0,N144="")),"►E",IF(AND(ACOMPANHAMENTO="PLE",ORÇAMENTO!AC144="QUANT."),"►Q",IF(AND(ACOMPANHAMENTO="PLE",H144&lt;&gt;SUMPRODUCT(($Q$1:$AI$1=1)*ROUND(Q144:AI144,15))),"►S",IF(AND(COUNTIF($P$11:$AI$11,"▼")=0,H144&gt;0,I144=""),"◄M","")))))</f>
        <v/>
      </c>
      <c r="K144" s="654" t="s">
        <v>1441</v>
      </c>
      <c r="L144" s="165">
        <f t="shared" ca="1" si="83"/>
        <v>129</v>
      </c>
      <c r="M144" s="166">
        <f ca="1">IF($D144&lt;&gt;"Serviço","",
          IF(AUTOEVENTO="manual",$A144,
                IF(ISERROR(MATCH($A144,$A$15:OFFSET($A144,-1,0),0)),MAX($M$15:OFFSET(M144,-1,0))+1,
                      INDEX($M$15:OFFSET(M144,-1,0),MATCH($A144,$A$15:OFFSET($A144,-1,0),0)))))</f>
        <v>32</v>
      </c>
      <c r="N144" s="167" t="str">
        <f ca="1">IF($D144&lt;&gt;"Serviço","",
         IF(AUTOEVENTO="Manual",
                IF($A144=0,"&lt;-- defina o número do agrupador",
                       OFFSET(EVENTOS!$D$15,$A144-$A$15,0)),
                OFFSET($F$15,$A144,0)))</f>
        <v>ACABAMENTOS ELÉTRICOS</v>
      </c>
      <c r="O144" s="168"/>
      <c r="Q144" s="169">
        <v>5</v>
      </c>
      <c r="R144" s="169">
        <v>5</v>
      </c>
      <c r="S144" s="169">
        <v>5</v>
      </c>
      <c r="T144" s="169">
        <v>5</v>
      </c>
      <c r="U144" s="169"/>
      <c r="V144" s="169"/>
      <c r="W144" s="169"/>
      <c r="X144" s="169"/>
      <c r="Y144" s="169"/>
      <c r="Z144" s="170"/>
      <c r="AA144" s="169"/>
      <c r="AB144" s="169"/>
      <c r="AC144" s="169"/>
      <c r="AD144" s="169"/>
      <c r="AE144" s="169"/>
      <c r="AF144" s="169"/>
      <c r="AG144" s="169"/>
      <c r="AH144" s="170"/>
      <c r="AJ144" s="452">
        <f ca="1">IF(AND($D144="Serviço",AJ$12&lt;&gt;0,$H144&gt;0,OR(AUTOEVENTO&lt;&gt;"manual",$M144&lt;&gt;$A$15)),
        IF(Import.TipoArredondamento&lt;&gt;"TransfereGOV",
              ROUND(OFFSET($P144,0,AJ$13),15-13*ORÇAMENTO!$AF$7)/$H144*OFFSET(ORÇAMENTO!$X$15,ROW(AJ144)-ROW(AJ$15),0),
              ROUND(ROUND(OFFSET($P144,0,AJ$13),15-13*ORÇAMENTO!$AF$7)*OFFSET(ORÇAMENTO!$W$15,ROW(AJ144)-ROW(AJ$15),0),15-13*ORÇAMENTO!$AF$11)),
         0)</f>
        <v>281.89999999999998</v>
      </c>
      <c r="AK144" s="452">
        <f ca="1">IF(AND($D144="Serviço",AK$12&lt;&gt;0,$H144&gt;0,OR(AUTOEVENTO&lt;&gt;"manual",$M144&lt;&gt;$A$15)),
        IF(Import.TipoArredondamento&lt;&gt;"TransfereGOV",
              ROUND(OFFSET($P144,0,AK$13),15-13*ORÇAMENTO!$AF$7)/$H144*OFFSET(ORÇAMENTO!$X$15,ROW(AK144)-ROW(AK$15),0),
              ROUND(ROUND(OFFSET($P144,0,AK$13),15-13*ORÇAMENTO!$AF$7)*OFFSET(ORÇAMENTO!$W$15,ROW(AK144)-ROW(AK$15),0),15-13*ORÇAMENTO!$AF$11)),
         0)</f>
        <v>281.89999999999998</v>
      </c>
      <c r="AL144" s="452">
        <f ca="1">IF(AND($D144="Serviço",AL$12&lt;&gt;0,$H144&gt;0,OR(AUTOEVENTO&lt;&gt;"manual",$M144&lt;&gt;$A$15)),
        IF(Import.TipoArredondamento&lt;&gt;"TransfereGOV",
              ROUND(OFFSET($P144,0,AL$13),15-13*ORÇAMENTO!$AF$7)/$H144*OFFSET(ORÇAMENTO!$X$15,ROW(AL144)-ROW(AL$15),0),
              ROUND(ROUND(OFFSET($P144,0,AL$13),15-13*ORÇAMENTO!$AF$7)*OFFSET(ORÇAMENTO!$W$15,ROW(AL144)-ROW(AL$15),0),15-13*ORÇAMENTO!$AF$11)),
         0)</f>
        <v>281.89999999999998</v>
      </c>
      <c r="AM144" s="452">
        <f ca="1">IF(AND($D144="Serviço",AM$12&lt;&gt;0,$H144&gt;0,OR(AUTOEVENTO&lt;&gt;"manual",$M144&lt;&gt;$A$15)),
        IF(Import.TipoArredondamento&lt;&gt;"TransfereGOV",
              ROUND(OFFSET($P144,0,AM$13),15-13*ORÇAMENTO!$AF$7)/$H144*OFFSET(ORÇAMENTO!$X$15,ROW(AM144)-ROW(AM$15),0),
              ROUND(ROUND(OFFSET($P144,0,AM$13),15-13*ORÇAMENTO!$AF$7)*OFFSET(ORÇAMENTO!$W$15,ROW(AM144)-ROW(AM$15),0),15-13*ORÇAMENTO!$AF$11)),
         0)</f>
        <v>281.89999999999998</v>
      </c>
      <c r="AN144" s="452">
        <f ca="1">IF(AND($D144="Serviço",AN$12&lt;&gt;0,$H144&gt;0,OR(AUTOEVENTO&lt;&gt;"manual",$M144&lt;&gt;$A$15)),
        IF(Import.TipoArredondamento&lt;&gt;"TransfereGOV",
              ROUND(OFFSET($P144,0,AN$13),15-13*ORÇAMENTO!$AF$7)/$H144*OFFSET(ORÇAMENTO!$X$15,ROW(AN144)-ROW(AN$15),0),
              ROUND(ROUND(OFFSET($P144,0,AN$13),15-13*ORÇAMENTO!$AF$7)*OFFSET(ORÇAMENTO!$W$15,ROW(AN144)-ROW(AN$15),0),15-13*ORÇAMENTO!$AF$11)),
         0)</f>
        <v>0</v>
      </c>
      <c r="AO144" s="452">
        <f ca="1">IF(AND($D144="Serviço",AO$12&lt;&gt;0,$H144&gt;0,OR(AUTOEVENTO&lt;&gt;"manual",$M144&lt;&gt;$A$15)),
        IF(Import.TipoArredondamento&lt;&gt;"TransfereGOV",
              ROUND(OFFSET($P144,0,AO$13),15-13*ORÇAMENTO!$AF$7)/$H144*OFFSET(ORÇAMENTO!$X$15,ROW(AO144)-ROW(AO$15),0),
              ROUND(ROUND(OFFSET($P144,0,AO$13),15-13*ORÇAMENTO!$AF$7)*OFFSET(ORÇAMENTO!$W$15,ROW(AO144)-ROW(AO$15),0),15-13*ORÇAMENTO!$AF$11)),
         0)</f>
        <v>0</v>
      </c>
      <c r="AP144" s="452">
        <f ca="1">IF(AND($D144="Serviço",AP$12&lt;&gt;0,$H144&gt;0,OR(AUTOEVENTO&lt;&gt;"manual",$M144&lt;&gt;$A$15)),
        IF(Import.TipoArredondamento&lt;&gt;"TransfereGOV",
              ROUND(OFFSET($P144,0,AP$13),15-13*ORÇAMENTO!$AF$7)/$H144*OFFSET(ORÇAMENTO!$X$15,ROW(AP144)-ROW(AP$15),0),
              ROUND(ROUND(OFFSET($P144,0,AP$13),15-13*ORÇAMENTO!$AF$7)*OFFSET(ORÇAMENTO!$W$15,ROW(AP144)-ROW(AP$15),0),15-13*ORÇAMENTO!$AF$11)),
         0)</f>
        <v>0</v>
      </c>
      <c r="AQ144" s="452">
        <f ca="1">IF(AND($D144="Serviço",AQ$12&lt;&gt;0,$H144&gt;0,OR(AUTOEVENTO&lt;&gt;"manual",$M144&lt;&gt;$A$15)),
        IF(Import.TipoArredondamento&lt;&gt;"TransfereGOV",
              ROUND(OFFSET($P144,0,AQ$13),15-13*ORÇAMENTO!$AF$7)/$H144*OFFSET(ORÇAMENTO!$X$15,ROW(AQ144)-ROW(AQ$15),0),
              ROUND(ROUND(OFFSET($P144,0,AQ$13),15-13*ORÇAMENTO!$AF$7)*OFFSET(ORÇAMENTO!$W$15,ROW(AQ144)-ROW(AQ$15),0),15-13*ORÇAMENTO!$AF$11)),
         0)</f>
        <v>0</v>
      </c>
      <c r="AR144" s="452">
        <f ca="1">IF(AND($D144="Serviço",AR$12&lt;&gt;0,$H144&gt;0,OR(AUTOEVENTO&lt;&gt;"manual",$M144&lt;&gt;$A$15)),
        IF(Import.TipoArredondamento&lt;&gt;"TransfereGOV",
              ROUND(OFFSET($P144,0,AR$13),15-13*ORÇAMENTO!$AF$7)/$H144*OFFSET(ORÇAMENTO!$X$15,ROW(AR144)-ROW(AR$15),0),
              ROUND(ROUND(OFFSET($P144,0,AR$13),15-13*ORÇAMENTO!$AF$7)*OFFSET(ORÇAMENTO!$W$15,ROW(AR144)-ROW(AR$15),0),15-13*ORÇAMENTO!$AF$11)),
         0)</f>
        <v>0</v>
      </c>
      <c r="AS144" s="452">
        <f ca="1">IF(AND($D144="Serviço",AS$12&lt;&gt;0,$H144&gt;0,OR(AUTOEVENTO&lt;&gt;"manual",$M144&lt;&gt;$A$15)),
        IF(Import.TipoArredondamento&lt;&gt;"TransfereGOV",
              ROUND(OFFSET($P144,0,AS$13),15-13*ORÇAMENTO!$AF$7)/$H144*OFFSET(ORÇAMENTO!$X$15,ROW(AS144)-ROW(AS$15),0),
              ROUND(ROUND(OFFSET($P144,0,AS$13),15-13*ORÇAMENTO!$AF$7)*OFFSET(ORÇAMENTO!$W$15,ROW(AS144)-ROW(AS$15),0),15-13*ORÇAMENTO!$AF$11)),
         0)</f>
        <v>0</v>
      </c>
      <c r="AT144" s="452">
        <f ca="1">IF(AND($D144="Serviço",AT$12&lt;&gt;0,$H144&gt;0,OR(AUTOEVENTO&lt;&gt;"manual",$M144&lt;&gt;$A$15)),
        IF(Import.TipoArredondamento&lt;&gt;"TransfereGOV",
              ROUND(OFFSET($P144,0,AT$13),15-13*ORÇAMENTO!$AF$7)/$H144*OFFSET(ORÇAMENTO!$X$15,ROW(AT144)-ROW(AT$15),0),
              ROUND(ROUND(OFFSET($P144,0,AT$13),15-13*ORÇAMENTO!$AF$7)*OFFSET(ORÇAMENTO!$W$15,ROW(AT144)-ROW(AT$15),0),15-13*ORÇAMENTO!$AF$11)),
         0)</f>
        <v>0</v>
      </c>
      <c r="AU144" s="452">
        <f ca="1">IF(AND($D144="Serviço",AU$12&lt;&gt;0,$H144&gt;0,OR(AUTOEVENTO&lt;&gt;"manual",$M144&lt;&gt;$A$15)),
        IF(Import.TipoArredondamento&lt;&gt;"TransfereGOV",
              ROUND(OFFSET($P144,0,AU$13),15-13*ORÇAMENTO!$AF$7)/$H144*OFFSET(ORÇAMENTO!$X$15,ROW(AU144)-ROW(AU$15),0),
              ROUND(ROUND(OFFSET($P144,0,AU$13),15-13*ORÇAMENTO!$AF$7)*OFFSET(ORÇAMENTO!$W$15,ROW(AU144)-ROW(AU$15),0),15-13*ORÇAMENTO!$AF$11)),
         0)</f>
        <v>0</v>
      </c>
      <c r="AV144" s="452">
        <f ca="1">IF(AND($D144="Serviço",AV$12&lt;&gt;0,$H144&gt;0,OR(AUTOEVENTO&lt;&gt;"manual",$M144&lt;&gt;$A$15)),
        IF(Import.TipoArredondamento&lt;&gt;"TransfereGOV",
              ROUND(OFFSET($P144,0,AV$13),15-13*ORÇAMENTO!$AF$7)/$H144*OFFSET(ORÇAMENTO!$X$15,ROW(AV144)-ROW(AV$15),0),
              ROUND(ROUND(OFFSET($P144,0,AV$13),15-13*ORÇAMENTO!$AF$7)*OFFSET(ORÇAMENTO!$W$15,ROW(AV144)-ROW(AV$15),0),15-13*ORÇAMENTO!$AF$11)),
         0)</f>
        <v>0</v>
      </c>
      <c r="AW144" s="452">
        <f ca="1">IF(AND($D144="Serviço",AW$12&lt;&gt;0,$H144&gt;0,OR(AUTOEVENTO&lt;&gt;"manual",$M144&lt;&gt;$A$15)),
        IF(Import.TipoArredondamento&lt;&gt;"TransfereGOV",
              ROUND(OFFSET($P144,0,AW$13),15-13*ORÇAMENTO!$AF$7)/$H144*OFFSET(ORÇAMENTO!$X$15,ROW(AW144)-ROW(AW$15),0),
              ROUND(ROUND(OFFSET($P144,0,AW$13),15-13*ORÇAMENTO!$AF$7)*OFFSET(ORÇAMENTO!$W$15,ROW(AW144)-ROW(AW$15),0),15-13*ORÇAMENTO!$AF$11)),
         0)</f>
        <v>0</v>
      </c>
      <c r="AX144" s="452">
        <f ca="1">IF(AND($D144="Serviço",AX$12&lt;&gt;0,$H144&gt;0,OR(AUTOEVENTO&lt;&gt;"manual",$M144&lt;&gt;$A$15)),
        IF(Import.TipoArredondamento&lt;&gt;"TransfereGOV",
              ROUND(OFFSET($P144,0,AX$13),15-13*ORÇAMENTO!$AF$7)/$H144*OFFSET(ORÇAMENTO!$X$15,ROW(AX144)-ROW(AX$15),0),
              ROUND(ROUND(OFFSET($P144,0,AX$13),15-13*ORÇAMENTO!$AF$7)*OFFSET(ORÇAMENTO!$W$15,ROW(AX144)-ROW(AX$15),0),15-13*ORÇAMENTO!$AF$11)),
         0)</f>
        <v>0</v>
      </c>
      <c r="AY144" s="452">
        <f ca="1">IF(AND($D144="Serviço",AY$12&lt;&gt;0,$H144&gt;0,OR(AUTOEVENTO&lt;&gt;"manual",$M144&lt;&gt;$A$15)),
        IF(Import.TipoArredondamento&lt;&gt;"TransfereGOV",
              ROUND(OFFSET($P144,0,AY$13),15-13*ORÇAMENTO!$AF$7)/$H144*OFFSET(ORÇAMENTO!$X$15,ROW(AY144)-ROW(AY$15),0),
              ROUND(ROUND(OFFSET($P144,0,AY$13),15-13*ORÇAMENTO!$AF$7)*OFFSET(ORÇAMENTO!$W$15,ROW(AY144)-ROW(AY$15),0),15-13*ORÇAMENTO!$AF$11)),
         0)</f>
        <v>0</v>
      </c>
      <c r="AZ144" s="452">
        <f ca="1">IF(AND($D144="Serviço",AZ$12&lt;&gt;0,$H144&gt;0,OR(AUTOEVENTO&lt;&gt;"manual",$M144&lt;&gt;$A$15)),
        IF(Import.TipoArredondamento&lt;&gt;"TransfereGOV",
              ROUND(OFFSET($P144,0,AZ$13),15-13*ORÇAMENTO!$AF$7)/$H144*OFFSET(ORÇAMENTO!$X$15,ROW(AZ144)-ROW(AZ$15),0),
              ROUND(ROUND(OFFSET($P144,0,AZ$13),15-13*ORÇAMENTO!$AF$7)*OFFSET(ORÇAMENTO!$W$15,ROW(AZ144)-ROW(AZ$15),0),15-13*ORÇAMENTO!$AF$11)),
         0)</f>
        <v>0</v>
      </c>
      <c r="BA144" s="452">
        <f ca="1">IF(AND($D144="Serviço",BA$12&lt;&gt;0,$H144&gt;0,OR(AUTOEVENTO&lt;&gt;"manual",$M144&lt;&gt;$A$15)),
        IF(Import.TipoArredondamento&lt;&gt;"TransfereGOV",
              ROUND(OFFSET($P144,0,BA$13),15-13*ORÇAMENTO!$AF$7)/$H144*OFFSET(ORÇAMENTO!$X$15,ROW(BA144)-ROW(BA$15),0),
              ROUND(ROUND(OFFSET($P144,0,BA$13),15-13*ORÇAMENTO!$AF$7)*OFFSET(ORÇAMENTO!$W$15,ROW(BA144)-ROW(BA$15),0),15-13*ORÇAMENTO!$AF$11)),
         0)</f>
        <v>0</v>
      </c>
      <c r="BC144" s="171">
        <f ca="1">IF(OR($D144&lt;&gt;"Serviço",AND(AUTOEVENTO="Manual",$M144=$A$15)),0,
         IF(OFFSET(CRONOPLE!$F$15,$M144-$A$15,BC$13)=0,10^12,OFFSET(CRONOPLE!$F$15,$M144-$A$15,BC$13)))</f>
        <v>8</v>
      </c>
      <c r="BD144" s="171">
        <f ca="1">IF(OR($D144&lt;&gt;"Serviço",AND(AUTOEVENTO="Manual",$M144=$A$15)),0,
         IF(OFFSET(CRONOPLE!$F$15,$M144-$A$15,BD$13)=0,10^12,OFFSET(CRONOPLE!$F$15,$M144-$A$15,BD$13)))</f>
        <v>8</v>
      </c>
      <c r="BE144" s="171">
        <f ca="1">IF(OR($D144&lt;&gt;"Serviço",AND(AUTOEVENTO="Manual",$M144=$A$15)),0,
         IF(OFFSET(CRONOPLE!$F$15,$M144-$A$15,BE$13)=0,10^12,OFFSET(CRONOPLE!$F$15,$M144-$A$15,BE$13)))</f>
        <v>9</v>
      </c>
      <c r="BF144" s="171">
        <f ca="1">IF(OR($D144&lt;&gt;"Serviço",AND(AUTOEVENTO="Manual",$M144=$A$15)),0,
         IF(OFFSET(CRONOPLE!$F$15,$M144-$A$15,BF$13)=0,10^12,OFFSET(CRONOPLE!$F$15,$M144-$A$15,BF$13)))</f>
        <v>9</v>
      </c>
      <c r="BG144" s="171">
        <f ca="1">IF(OR($D144&lt;&gt;"Serviço",AND(AUTOEVENTO="Manual",$M144=$A$15)),0,
         IF(OFFSET(CRONOPLE!$F$15,$M144-$A$15,BG$13)=0,10^12,OFFSET(CRONOPLE!$F$15,$M144-$A$15,BG$13)))</f>
        <v>9</v>
      </c>
      <c r="BH144" s="171">
        <f ca="1">IF(OR($D144&lt;&gt;"Serviço",AND(AUTOEVENTO="Manual",$M144=$A$15)),0,
         IF(OFFSET(CRONOPLE!$F$15,$M144-$A$15,BH$13)=0,10^12,OFFSET(CRONOPLE!$F$15,$M144-$A$15,BH$13)))</f>
        <v>1000000000000</v>
      </c>
      <c r="BI144" s="171">
        <f ca="1">IF(OR($D144&lt;&gt;"Serviço",AND(AUTOEVENTO="Manual",$M144=$A$15)),0,
         IF(OFFSET(CRONOPLE!$F$15,$M144-$A$15,BI$13)=0,10^12,OFFSET(CRONOPLE!$F$15,$M144-$A$15,BI$13)))</f>
        <v>1000000000000</v>
      </c>
      <c r="BJ144" s="171">
        <f ca="1">IF(OR($D144&lt;&gt;"Serviço",AND(AUTOEVENTO="Manual",$M144=$A$15)),0,
         IF(OFFSET(CRONOPLE!$F$15,$M144-$A$15,BJ$13)=0,10^12,OFFSET(CRONOPLE!$F$15,$M144-$A$15,BJ$13)))</f>
        <v>8</v>
      </c>
      <c r="BK144" s="171">
        <f ca="1">IF(OR($D144&lt;&gt;"Serviço",AND(AUTOEVENTO="Manual",$M144=$A$15)),0,
         IF(OFFSET(CRONOPLE!$F$15,$M144-$A$15,BK$13)=0,10^12,OFFSET(CRONOPLE!$F$15,$M144-$A$15,BK$13)))</f>
        <v>9</v>
      </c>
      <c r="BL144" s="171">
        <f ca="1">IF(OR($D144&lt;&gt;"Serviço",AND(AUTOEVENTO="Manual",$M144=$A$15)),0,
         IF(OFFSET(CRONOPLE!$F$15,$M144-$A$15,BL$13)=0,10^12,OFFSET(CRONOPLE!$F$15,$M144-$A$15,BL$13)))</f>
        <v>1000000000000</v>
      </c>
      <c r="BM144" s="171">
        <f ca="1">IF(OR($D144&lt;&gt;"Serviço",AND(AUTOEVENTO="Manual",$M144=$A$15)),0,
         IF(OFFSET(CRONOPLE!$F$15,$M144-$A$15,BM$13)=0,10^12,OFFSET(CRONOPLE!$F$15,$M144-$A$15,BM$13)))</f>
        <v>1000000000000</v>
      </c>
      <c r="BN144" s="171">
        <f ca="1">IF(OR($D144&lt;&gt;"Serviço",AND(AUTOEVENTO="Manual",$M144=$A$15)),0,
         IF(OFFSET(CRONOPLE!$F$15,$M144-$A$15,BN$13)=0,10^12,OFFSET(CRONOPLE!$F$15,$M144-$A$15,BN$13)))</f>
        <v>1000000000000</v>
      </c>
      <c r="BO144" s="171">
        <f ca="1">IF(OR($D144&lt;&gt;"Serviço",AND(AUTOEVENTO="Manual",$M144=$A$15)),0,
         IF(OFFSET(CRONOPLE!$F$15,$M144-$A$15,BO$13)=0,10^12,OFFSET(CRONOPLE!$F$15,$M144-$A$15,BO$13)))</f>
        <v>1000000000000</v>
      </c>
      <c r="BP144" s="171">
        <f ca="1">IF(OR($D144&lt;&gt;"Serviço",AND(AUTOEVENTO="Manual",$M144=$A$15)),0,
         IF(OFFSET(CRONOPLE!$F$15,$M144-$A$15,BP$13)=0,10^12,OFFSET(CRONOPLE!$F$15,$M144-$A$15,BP$13)))</f>
        <v>1000000000000</v>
      </c>
      <c r="BQ144" s="171">
        <f ca="1">IF(OR($D144&lt;&gt;"Serviço",AND(AUTOEVENTO="Manual",$M144=$A$15)),0,
         IF(OFFSET(CRONOPLE!$F$15,$M144-$A$15,BQ$13)=0,10^12,OFFSET(CRONOPLE!$F$15,$M144-$A$15,BQ$13)))</f>
        <v>1000000000000</v>
      </c>
      <c r="BR144" s="171">
        <f ca="1">IF(OR($D144&lt;&gt;"Serviço",AND(AUTOEVENTO="Manual",$M144=$A$15)),0,
         IF(OFFSET(CRONOPLE!$F$15,$M144-$A$15,BR$13)=0,10^12,OFFSET(CRONOPLE!$F$15,$M144-$A$15,BR$13)))</f>
        <v>1000000000000</v>
      </c>
      <c r="BS144" s="171">
        <f ca="1">IF(OR($D144&lt;&gt;"Serviço",AND(AUTOEVENTO="Manual",$M144=$A$15)),0,
         IF(OFFSET(CRONOPLE!$F$15,$M144-$A$15,BS$13)=0,10^12,OFFSET(CRONOPLE!$F$15,$M144-$A$15,BS$13)))</f>
        <v>1000000000000</v>
      </c>
      <c r="BT144" s="171">
        <f ca="1">IF(OR($D144&lt;&gt;"Serviço",AND(AUTOEVENTO="Manual",$M144=$A$15)),0,
         IF(OFFSET(CRONOPLE!$F$15,$M144-$A$15,BT$13)=0,10^12,OFFSET(CRONOPLE!$F$15,$M144-$A$15,BT$13)))</f>
        <v>1000000000000</v>
      </c>
      <c r="BV144" s="172">
        <f t="array" aca="1" ref="BV144" ca="1">IF(OR($D144&lt;&gt;"Serviço",AND(AUTOEVENTO="Manual",$M144=$A$15),$M144&gt;(ROW(PLE.lastrow)-ROW(PLE.firstrow))),0,
           IF(OFFSET(PLE!$G$15,$M144-$A$15,BV$13)="",10^12,OFFSET(PLE!$G$15,$M144-$A$15,BV$13)))</f>
        <v>1000000000000</v>
      </c>
      <c r="BW144" s="172">
        <f t="array" aca="1" ref="BW144" ca="1">IF(OR($D144&lt;&gt;"Serviço",AND(AUTOEVENTO="Manual",$M144=$A$15),$M144&gt;(ROW(PLE.lastrow)-ROW(PLE.firstrow))),0,
           IF(OFFSET(PLE!$G$15,$M144-$A$15,BW$13)="",10^12,OFFSET(PLE!$G$15,$M144-$A$15,BW$13)))</f>
        <v>1000000000000</v>
      </c>
      <c r="BX144" s="172">
        <f t="array" aca="1" ref="BX144" ca="1">IF(OR($D144&lt;&gt;"Serviço",AND(AUTOEVENTO="Manual",$M144=$A$15),$M144&gt;(ROW(PLE.lastrow)-ROW(PLE.firstrow))),0,
           IF(OFFSET(PLE!$G$15,$M144-$A$15,BX$13)="",10^12,OFFSET(PLE!$G$15,$M144-$A$15,BX$13)))</f>
        <v>1000000000000</v>
      </c>
      <c r="BY144" s="172">
        <f t="array" aca="1" ref="BY144" ca="1">IF(OR($D144&lt;&gt;"Serviço",AND(AUTOEVENTO="Manual",$M144=$A$15),$M144&gt;(ROW(PLE.lastrow)-ROW(PLE.firstrow))),0,
           IF(OFFSET(PLE!$G$15,$M144-$A$15,BY$13)="",10^12,OFFSET(PLE!$G$15,$M144-$A$15,BY$13)))</f>
        <v>1000000000000</v>
      </c>
      <c r="BZ144" s="172">
        <f t="array" aca="1" ref="BZ144" ca="1">IF(OR($D144&lt;&gt;"Serviço",AND(AUTOEVENTO="Manual",$M144=$A$15),$M144&gt;(ROW(PLE.lastrow)-ROW(PLE.firstrow))),0,
           IF(OFFSET(PLE!$G$15,$M144-$A$15,BZ$13)="",10^12,OFFSET(PLE!$G$15,$M144-$A$15,BZ$13)))</f>
        <v>1000000000000</v>
      </c>
      <c r="CA144" s="172">
        <f t="array" aca="1" ref="CA144" ca="1">IF(OR($D144&lt;&gt;"Serviço",AND(AUTOEVENTO="Manual",$M144=$A$15),$M144&gt;(ROW(PLE.lastrow)-ROW(PLE.firstrow))),0,
           IF(OFFSET(PLE!$G$15,$M144-$A$15,CA$13)="",10^12,OFFSET(PLE!$G$15,$M144-$A$15,CA$13)))</f>
        <v>1000000000000</v>
      </c>
      <c r="CB144" s="172">
        <f t="array" aca="1" ref="CB144" ca="1">IF(OR($D144&lt;&gt;"Serviço",AND(AUTOEVENTO="Manual",$M144=$A$15),$M144&gt;(ROW(PLE.lastrow)-ROW(PLE.firstrow))),0,
           IF(OFFSET(PLE!$G$15,$M144-$A$15,CB$13)="",10^12,OFFSET(PLE!$G$15,$M144-$A$15,CB$13)))</f>
        <v>1000000000000</v>
      </c>
      <c r="CC144" s="172">
        <f t="array" aca="1" ref="CC144" ca="1">IF(OR($D144&lt;&gt;"Serviço",AND(AUTOEVENTO="Manual",$M144=$A$15),$M144&gt;(ROW(PLE.lastrow)-ROW(PLE.firstrow))),0,
           IF(OFFSET(PLE!$G$15,$M144-$A$15,CC$13)="",10^12,OFFSET(PLE!$G$15,$M144-$A$15,CC$13)))</f>
        <v>1000000000000</v>
      </c>
      <c r="CD144" s="172">
        <f t="array" aca="1" ref="CD144" ca="1">IF(OR($D144&lt;&gt;"Serviço",AND(AUTOEVENTO="Manual",$M144=$A$15),$M144&gt;(ROW(PLE.lastrow)-ROW(PLE.firstrow))),0,
           IF(OFFSET(PLE!$G$15,$M144-$A$15,CD$13)="",10^12,OFFSET(PLE!$G$15,$M144-$A$15,CD$13)))</f>
        <v>1000000000000</v>
      </c>
      <c r="CE144" s="172">
        <f t="array" aca="1" ref="CE144" ca="1">IF(OR($D144&lt;&gt;"Serviço",AND(AUTOEVENTO="Manual",$M144=$A$15),$M144&gt;(ROW(PLE.lastrow)-ROW(PLE.firstrow))),0,
           IF(OFFSET(PLE!$G$15,$M144-$A$15,CE$13)="",10^12,OFFSET(PLE!$G$15,$M144-$A$15,CE$13)))</f>
        <v>1000000000000</v>
      </c>
      <c r="CF144" s="172">
        <f t="array" aca="1" ref="CF144" ca="1">IF(OR($D144&lt;&gt;"Serviço",AND(AUTOEVENTO="Manual",$M144=$A$15),$M144&gt;(ROW(PLE.lastrow)-ROW(PLE.firstrow))),0,
           IF(OFFSET(PLE!$G$15,$M144-$A$15,CF$13)="",10^12,OFFSET(PLE!$G$15,$M144-$A$15,CF$13)))</f>
        <v>1000000000000</v>
      </c>
      <c r="CG144" s="172">
        <f t="array" aca="1" ref="CG144" ca="1">IF(OR($D144&lt;&gt;"Serviço",AND(AUTOEVENTO="Manual",$M144=$A$15),$M144&gt;(ROW(PLE.lastrow)-ROW(PLE.firstrow))),0,
           IF(OFFSET(PLE!$G$15,$M144-$A$15,CG$13)="",10^12,OFFSET(PLE!$G$15,$M144-$A$15,CG$13)))</f>
        <v>1000000000000</v>
      </c>
      <c r="CH144" s="172">
        <f t="array" aca="1" ref="CH144" ca="1">IF(OR($D144&lt;&gt;"Serviço",AND(AUTOEVENTO="Manual",$M144=$A$15),$M144&gt;(ROW(PLE.lastrow)-ROW(PLE.firstrow))),0,
           IF(OFFSET(PLE!$G$15,$M144-$A$15,CH$13)="",10^12,OFFSET(PLE!$G$15,$M144-$A$15,CH$13)))</f>
        <v>1000000000000</v>
      </c>
      <c r="CI144" s="172">
        <f t="array" aca="1" ref="CI144" ca="1">IF(OR($D144&lt;&gt;"Serviço",AND(AUTOEVENTO="Manual",$M144=$A$15),$M144&gt;(ROW(PLE.lastrow)-ROW(PLE.firstrow))),0,
           IF(OFFSET(PLE!$G$15,$M144-$A$15,CI$13)="",10^12,OFFSET(PLE!$G$15,$M144-$A$15,CI$13)))</f>
        <v>1000000000000</v>
      </c>
      <c r="CJ144" s="172">
        <f t="array" aca="1" ref="CJ144" ca="1">IF(OR($D144&lt;&gt;"Serviço",AND(AUTOEVENTO="Manual",$M144=$A$15),$M144&gt;(ROW(PLE.lastrow)-ROW(PLE.firstrow))),0,
           IF(OFFSET(PLE!$G$15,$M144-$A$15,CJ$13)="",10^12,OFFSET(PLE!$G$15,$M144-$A$15,CJ$13)))</f>
        <v>1000000000000</v>
      </c>
      <c r="CK144" s="172">
        <f t="array" aca="1" ref="CK144" ca="1">IF(OR($D144&lt;&gt;"Serviço",AND(AUTOEVENTO="Manual",$M144=$A$15),$M144&gt;(ROW(PLE.lastrow)-ROW(PLE.firstrow))),0,
           IF(OFFSET(PLE!$G$15,$M144-$A$15,CK$13)="",10^12,OFFSET(PLE!$G$15,$M144-$A$15,CK$13)))</f>
        <v>1000000000000</v>
      </c>
      <c r="CL144" s="172">
        <f t="array" aca="1" ref="CL144" ca="1">IF(OR($D144&lt;&gt;"Serviço",AND(AUTOEVENTO="Manual",$M144=$A$15),$M144&gt;(ROW(PLE.lastrow)-ROW(PLE.firstrow))),0,
           IF(OFFSET(PLE!$G$15,$M144-$A$15,CL$13)="",10^12,OFFSET(PLE!$G$15,$M144-$A$15,CL$13)))</f>
        <v>1000000000000</v>
      </c>
      <c r="CM144" s="172">
        <f t="array" aca="1" ref="CM144" ca="1">IF(OR($D144&lt;&gt;"Serviço",AND(AUTOEVENTO="Manual",$M144=$A$15),$M144&gt;(ROW(PLE.lastrow)-ROW(PLE.firstrow))),0,
           IF(OFFSET(PLE!$G$15,$M144-$A$15,CM$13)="",10^12,OFFSET(PLE!$G$15,$M144-$A$15,CM$13)))</f>
        <v>1000000000000</v>
      </c>
    </row>
    <row r="145" spans="1:91" s="696" customFormat="1" ht="76.5" x14ac:dyDescent="0.2">
      <c r="A145" s="694">
        <f t="shared" ca="1" si="82"/>
        <v>35</v>
      </c>
      <c r="B145" s="694" t="str">
        <f ca="1">OFFSET(ORÇAMENTO!C$15,$L145,0)</f>
        <v>S</v>
      </c>
      <c r="C145" s="694" t="str">
        <f ca="1">OFFSET(ORÇAMENTO!L$15,$L145,0)</f>
        <v>F</v>
      </c>
      <c r="D145" s="116" t="str">
        <f ca="1">OFFSET(ORÇAMENTO!N$15,$L145,0)</f>
        <v>Serviço</v>
      </c>
      <c r="E145" s="117" t="str">
        <f ca="1">OFFSET(ORÇAMENTO!O$15,$L145,0)</f>
        <v>1.24.8.</v>
      </c>
      <c r="F145" s="163" t="str">
        <f ca="1">OFFSET(ORÇAMENTO!R$15,$L145,0)</f>
        <v>INTERRUPTOR PULSADOR CAMPAINHA (1 MÓDULO), 10A/250V, INCLUINDO SUPORTE E PLACA - FORNECIMENTO E INSTALAÇÃO. AF_03/2023</v>
      </c>
      <c r="G145" s="164" t="str">
        <f ca="1">IF($D145&lt;&gt;"Serviço","",OFFSET(ORÇAMENTO!S$15,$L145,0))</f>
        <v>UN</v>
      </c>
      <c r="H145" s="122">
        <f t="array" aca="1" ref="H145" ca="1">IF($D145&lt;&gt;"Serviço",0,IF(ACOMPANHAMENTO="BM",ROUND(OFFSET(ORÇAMENTO!AJ$15,$L145,0),15-13*ORÇAMENTO!$AF$7),IF(IFERROR(CÁLCULO.FrentesPreenchidas,0)=0,0,SUM(ROUND(OFFSET($P145,0,1,1,CÁLCULO.FrentesPreenchidas),15-13*ORÇAMENTO!$AF$7)))))</f>
        <v>20</v>
      </c>
      <c r="I145" s="467" t="s">
        <v>1295</v>
      </c>
      <c r="J145" s="653" t="str">
        <f t="array" aca="1" ref="J145" ca="1">IF(OR(B145&lt;&gt;"S",CÁLCULO.FrentesPreenchidas=0),"",IF(AND(ACOMPANHAMENTO="PLE",AUTOEVENTO="Manual",OR(H145&gt;0,ORÇAMENTO!AC145="QUANT."),OR(K145="",M145=0,N145="")),"►E",IF(AND(ACOMPANHAMENTO="PLE",ORÇAMENTO!AC145="QUANT."),"►Q",IF(AND(ACOMPANHAMENTO="PLE",H145&lt;&gt;SUMPRODUCT(($Q$1:$AI$1=1)*ROUND(Q145:AI145,15))),"►S",IF(AND(COUNTIF($P$11:$AI$11,"▼")=0,H145&gt;0,I145=""),"◄M","")))))</f>
        <v/>
      </c>
      <c r="K145" s="654" t="s">
        <v>1440</v>
      </c>
      <c r="L145" s="165">
        <f t="shared" ca="1" si="83"/>
        <v>130</v>
      </c>
      <c r="M145" s="166">
        <f ca="1">IF($D145&lt;&gt;"Serviço","",
          IF(AUTOEVENTO="manual",$A145,
                IF(ISERROR(MATCH($A145,$A$15:OFFSET($A145,-1,0),0)),MAX($M$15:OFFSET(M145,-1,0))+1,
                      INDEX($M$15:OFFSET(M145,-1,0),MATCH($A145,$A$15:OFFSET($A145,-1,0),0)))))</f>
        <v>35</v>
      </c>
      <c r="N145" s="167" t="str">
        <f ca="1">IF($D145&lt;&gt;"Serviço","",
         IF(AUTOEVENTO="Manual",
                IF($A145=0,"&lt;-- defina o número do agrupador",
                       OFFSET(EVENTOS!$D$15,$A145-$A$15,0)),
                OFFSET($F$15,$A145,0)))</f>
        <v>EQUIPAMENTOS</v>
      </c>
      <c r="O145" s="168"/>
      <c r="Q145" s="169">
        <v>5</v>
      </c>
      <c r="R145" s="169">
        <v>5</v>
      </c>
      <c r="S145" s="169">
        <v>5</v>
      </c>
      <c r="T145" s="169">
        <v>5</v>
      </c>
      <c r="U145" s="169"/>
      <c r="V145" s="169"/>
      <c r="W145" s="169"/>
      <c r="X145" s="169"/>
      <c r="Y145" s="169"/>
      <c r="Z145" s="170"/>
      <c r="AA145" s="169"/>
      <c r="AB145" s="169"/>
      <c r="AC145" s="169"/>
      <c r="AD145" s="169"/>
      <c r="AE145" s="169"/>
      <c r="AF145" s="169"/>
      <c r="AG145" s="169"/>
      <c r="AH145" s="170"/>
      <c r="AJ145" s="452">
        <f ca="1">IF(AND($D145="Serviço",AJ$12&lt;&gt;0,$H145&gt;0,OR(AUTOEVENTO&lt;&gt;"manual",$M145&lt;&gt;$A$15)),
        IF(Import.TipoArredondamento&lt;&gt;"TransfereGOV",
              ROUND(OFFSET($P145,0,AJ$13),15-13*ORÇAMENTO!$AF$7)/$H145*OFFSET(ORÇAMENTO!$X$15,ROW(AJ145)-ROW(AJ$15),0),
              ROUND(ROUND(OFFSET($P145,0,AJ$13),15-13*ORÇAMENTO!$AF$7)*OFFSET(ORÇAMENTO!$W$15,ROW(AJ145)-ROW(AJ$15),0),15-13*ORÇAMENTO!$AF$11)),
         0)</f>
        <v>169.45</v>
      </c>
      <c r="AK145" s="452">
        <f ca="1">IF(AND($D145="Serviço",AK$12&lt;&gt;0,$H145&gt;0,OR(AUTOEVENTO&lt;&gt;"manual",$M145&lt;&gt;$A$15)),
        IF(Import.TipoArredondamento&lt;&gt;"TransfereGOV",
              ROUND(OFFSET($P145,0,AK$13),15-13*ORÇAMENTO!$AF$7)/$H145*OFFSET(ORÇAMENTO!$X$15,ROW(AK145)-ROW(AK$15),0),
              ROUND(ROUND(OFFSET($P145,0,AK$13),15-13*ORÇAMENTO!$AF$7)*OFFSET(ORÇAMENTO!$W$15,ROW(AK145)-ROW(AK$15),0),15-13*ORÇAMENTO!$AF$11)),
         0)</f>
        <v>169.45</v>
      </c>
      <c r="AL145" s="452">
        <f ca="1">IF(AND($D145="Serviço",AL$12&lt;&gt;0,$H145&gt;0,OR(AUTOEVENTO&lt;&gt;"manual",$M145&lt;&gt;$A$15)),
        IF(Import.TipoArredondamento&lt;&gt;"TransfereGOV",
              ROUND(OFFSET($P145,0,AL$13),15-13*ORÇAMENTO!$AF$7)/$H145*OFFSET(ORÇAMENTO!$X$15,ROW(AL145)-ROW(AL$15),0),
              ROUND(ROUND(OFFSET($P145,0,AL$13),15-13*ORÇAMENTO!$AF$7)*OFFSET(ORÇAMENTO!$W$15,ROW(AL145)-ROW(AL$15),0),15-13*ORÇAMENTO!$AF$11)),
         0)</f>
        <v>169.45</v>
      </c>
      <c r="AM145" s="452">
        <f ca="1">IF(AND($D145="Serviço",AM$12&lt;&gt;0,$H145&gt;0,OR(AUTOEVENTO&lt;&gt;"manual",$M145&lt;&gt;$A$15)),
        IF(Import.TipoArredondamento&lt;&gt;"TransfereGOV",
              ROUND(OFFSET($P145,0,AM$13),15-13*ORÇAMENTO!$AF$7)/$H145*OFFSET(ORÇAMENTO!$X$15,ROW(AM145)-ROW(AM$15),0),
              ROUND(ROUND(OFFSET($P145,0,AM$13),15-13*ORÇAMENTO!$AF$7)*OFFSET(ORÇAMENTO!$W$15,ROW(AM145)-ROW(AM$15),0),15-13*ORÇAMENTO!$AF$11)),
         0)</f>
        <v>169.45</v>
      </c>
      <c r="AN145" s="452">
        <f ca="1">IF(AND($D145="Serviço",AN$12&lt;&gt;0,$H145&gt;0,OR(AUTOEVENTO&lt;&gt;"manual",$M145&lt;&gt;$A$15)),
        IF(Import.TipoArredondamento&lt;&gt;"TransfereGOV",
              ROUND(OFFSET($P145,0,AN$13),15-13*ORÇAMENTO!$AF$7)/$H145*OFFSET(ORÇAMENTO!$X$15,ROW(AN145)-ROW(AN$15),0),
              ROUND(ROUND(OFFSET($P145,0,AN$13),15-13*ORÇAMENTO!$AF$7)*OFFSET(ORÇAMENTO!$W$15,ROW(AN145)-ROW(AN$15),0),15-13*ORÇAMENTO!$AF$11)),
         0)</f>
        <v>0</v>
      </c>
      <c r="AO145" s="452">
        <f ca="1">IF(AND($D145="Serviço",AO$12&lt;&gt;0,$H145&gt;0,OR(AUTOEVENTO&lt;&gt;"manual",$M145&lt;&gt;$A$15)),
        IF(Import.TipoArredondamento&lt;&gt;"TransfereGOV",
              ROUND(OFFSET($P145,0,AO$13),15-13*ORÇAMENTO!$AF$7)/$H145*OFFSET(ORÇAMENTO!$X$15,ROW(AO145)-ROW(AO$15),0),
              ROUND(ROUND(OFFSET($P145,0,AO$13),15-13*ORÇAMENTO!$AF$7)*OFFSET(ORÇAMENTO!$W$15,ROW(AO145)-ROW(AO$15),0),15-13*ORÇAMENTO!$AF$11)),
         0)</f>
        <v>0</v>
      </c>
      <c r="AP145" s="452">
        <f ca="1">IF(AND($D145="Serviço",AP$12&lt;&gt;0,$H145&gt;0,OR(AUTOEVENTO&lt;&gt;"manual",$M145&lt;&gt;$A$15)),
        IF(Import.TipoArredondamento&lt;&gt;"TransfereGOV",
              ROUND(OFFSET($P145,0,AP$13),15-13*ORÇAMENTO!$AF$7)/$H145*OFFSET(ORÇAMENTO!$X$15,ROW(AP145)-ROW(AP$15),0),
              ROUND(ROUND(OFFSET($P145,0,AP$13),15-13*ORÇAMENTO!$AF$7)*OFFSET(ORÇAMENTO!$W$15,ROW(AP145)-ROW(AP$15),0),15-13*ORÇAMENTO!$AF$11)),
         0)</f>
        <v>0</v>
      </c>
      <c r="AQ145" s="452">
        <f ca="1">IF(AND($D145="Serviço",AQ$12&lt;&gt;0,$H145&gt;0,OR(AUTOEVENTO&lt;&gt;"manual",$M145&lt;&gt;$A$15)),
        IF(Import.TipoArredondamento&lt;&gt;"TransfereGOV",
              ROUND(OFFSET($P145,0,AQ$13),15-13*ORÇAMENTO!$AF$7)/$H145*OFFSET(ORÇAMENTO!$X$15,ROW(AQ145)-ROW(AQ$15),0),
              ROUND(ROUND(OFFSET($P145,0,AQ$13),15-13*ORÇAMENTO!$AF$7)*OFFSET(ORÇAMENTO!$W$15,ROW(AQ145)-ROW(AQ$15),0),15-13*ORÇAMENTO!$AF$11)),
         0)</f>
        <v>0</v>
      </c>
      <c r="AR145" s="452">
        <f ca="1">IF(AND($D145="Serviço",AR$12&lt;&gt;0,$H145&gt;0,OR(AUTOEVENTO&lt;&gt;"manual",$M145&lt;&gt;$A$15)),
        IF(Import.TipoArredondamento&lt;&gt;"TransfereGOV",
              ROUND(OFFSET($P145,0,AR$13),15-13*ORÇAMENTO!$AF$7)/$H145*OFFSET(ORÇAMENTO!$X$15,ROW(AR145)-ROW(AR$15),0),
              ROUND(ROUND(OFFSET($P145,0,AR$13),15-13*ORÇAMENTO!$AF$7)*OFFSET(ORÇAMENTO!$W$15,ROW(AR145)-ROW(AR$15),0),15-13*ORÇAMENTO!$AF$11)),
         0)</f>
        <v>0</v>
      </c>
      <c r="AS145" s="452">
        <f ca="1">IF(AND($D145="Serviço",AS$12&lt;&gt;0,$H145&gt;0,OR(AUTOEVENTO&lt;&gt;"manual",$M145&lt;&gt;$A$15)),
        IF(Import.TipoArredondamento&lt;&gt;"TransfereGOV",
              ROUND(OFFSET($P145,0,AS$13),15-13*ORÇAMENTO!$AF$7)/$H145*OFFSET(ORÇAMENTO!$X$15,ROW(AS145)-ROW(AS$15),0),
              ROUND(ROUND(OFFSET($P145,0,AS$13),15-13*ORÇAMENTO!$AF$7)*OFFSET(ORÇAMENTO!$W$15,ROW(AS145)-ROW(AS$15),0),15-13*ORÇAMENTO!$AF$11)),
         0)</f>
        <v>0</v>
      </c>
      <c r="AT145" s="452">
        <f ca="1">IF(AND($D145="Serviço",AT$12&lt;&gt;0,$H145&gt;0,OR(AUTOEVENTO&lt;&gt;"manual",$M145&lt;&gt;$A$15)),
        IF(Import.TipoArredondamento&lt;&gt;"TransfereGOV",
              ROUND(OFFSET($P145,0,AT$13),15-13*ORÇAMENTO!$AF$7)/$H145*OFFSET(ORÇAMENTO!$X$15,ROW(AT145)-ROW(AT$15),0),
              ROUND(ROUND(OFFSET($P145,0,AT$13),15-13*ORÇAMENTO!$AF$7)*OFFSET(ORÇAMENTO!$W$15,ROW(AT145)-ROW(AT$15),0),15-13*ORÇAMENTO!$AF$11)),
         0)</f>
        <v>0</v>
      </c>
      <c r="AU145" s="452">
        <f ca="1">IF(AND($D145="Serviço",AU$12&lt;&gt;0,$H145&gt;0,OR(AUTOEVENTO&lt;&gt;"manual",$M145&lt;&gt;$A$15)),
        IF(Import.TipoArredondamento&lt;&gt;"TransfereGOV",
              ROUND(OFFSET($P145,0,AU$13),15-13*ORÇAMENTO!$AF$7)/$H145*OFFSET(ORÇAMENTO!$X$15,ROW(AU145)-ROW(AU$15),0),
              ROUND(ROUND(OFFSET($P145,0,AU$13),15-13*ORÇAMENTO!$AF$7)*OFFSET(ORÇAMENTO!$W$15,ROW(AU145)-ROW(AU$15),0),15-13*ORÇAMENTO!$AF$11)),
         0)</f>
        <v>0</v>
      </c>
      <c r="AV145" s="452">
        <f ca="1">IF(AND($D145="Serviço",AV$12&lt;&gt;0,$H145&gt;0,OR(AUTOEVENTO&lt;&gt;"manual",$M145&lt;&gt;$A$15)),
        IF(Import.TipoArredondamento&lt;&gt;"TransfereGOV",
              ROUND(OFFSET($P145,0,AV$13),15-13*ORÇAMENTO!$AF$7)/$H145*OFFSET(ORÇAMENTO!$X$15,ROW(AV145)-ROW(AV$15),0),
              ROUND(ROUND(OFFSET($P145,0,AV$13),15-13*ORÇAMENTO!$AF$7)*OFFSET(ORÇAMENTO!$W$15,ROW(AV145)-ROW(AV$15),0),15-13*ORÇAMENTO!$AF$11)),
         0)</f>
        <v>0</v>
      </c>
      <c r="AW145" s="452">
        <f ca="1">IF(AND($D145="Serviço",AW$12&lt;&gt;0,$H145&gt;0,OR(AUTOEVENTO&lt;&gt;"manual",$M145&lt;&gt;$A$15)),
        IF(Import.TipoArredondamento&lt;&gt;"TransfereGOV",
              ROUND(OFFSET($P145,0,AW$13),15-13*ORÇAMENTO!$AF$7)/$H145*OFFSET(ORÇAMENTO!$X$15,ROW(AW145)-ROW(AW$15),0),
              ROUND(ROUND(OFFSET($P145,0,AW$13),15-13*ORÇAMENTO!$AF$7)*OFFSET(ORÇAMENTO!$W$15,ROW(AW145)-ROW(AW$15),0),15-13*ORÇAMENTO!$AF$11)),
         0)</f>
        <v>0</v>
      </c>
      <c r="AX145" s="452">
        <f ca="1">IF(AND($D145="Serviço",AX$12&lt;&gt;0,$H145&gt;0,OR(AUTOEVENTO&lt;&gt;"manual",$M145&lt;&gt;$A$15)),
        IF(Import.TipoArredondamento&lt;&gt;"TransfereGOV",
              ROUND(OFFSET($P145,0,AX$13),15-13*ORÇAMENTO!$AF$7)/$H145*OFFSET(ORÇAMENTO!$X$15,ROW(AX145)-ROW(AX$15),0),
              ROUND(ROUND(OFFSET($P145,0,AX$13),15-13*ORÇAMENTO!$AF$7)*OFFSET(ORÇAMENTO!$W$15,ROW(AX145)-ROW(AX$15),0),15-13*ORÇAMENTO!$AF$11)),
         0)</f>
        <v>0</v>
      </c>
      <c r="AY145" s="452">
        <f ca="1">IF(AND($D145="Serviço",AY$12&lt;&gt;0,$H145&gt;0,OR(AUTOEVENTO&lt;&gt;"manual",$M145&lt;&gt;$A$15)),
        IF(Import.TipoArredondamento&lt;&gt;"TransfereGOV",
              ROUND(OFFSET($P145,0,AY$13),15-13*ORÇAMENTO!$AF$7)/$H145*OFFSET(ORÇAMENTO!$X$15,ROW(AY145)-ROW(AY$15),0),
              ROUND(ROUND(OFFSET($P145,0,AY$13),15-13*ORÇAMENTO!$AF$7)*OFFSET(ORÇAMENTO!$W$15,ROW(AY145)-ROW(AY$15),0),15-13*ORÇAMENTO!$AF$11)),
         0)</f>
        <v>0</v>
      </c>
      <c r="AZ145" s="452">
        <f ca="1">IF(AND($D145="Serviço",AZ$12&lt;&gt;0,$H145&gt;0,OR(AUTOEVENTO&lt;&gt;"manual",$M145&lt;&gt;$A$15)),
        IF(Import.TipoArredondamento&lt;&gt;"TransfereGOV",
              ROUND(OFFSET($P145,0,AZ$13),15-13*ORÇAMENTO!$AF$7)/$H145*OFFSET(ORÇAMENTO!$X$15,ROW(AZ145)-ROW(AZ$15),0),
              ROUND(ROUND(OFFSET($P145,0,AZ$13),15-13*ORÇAMENTO!$AF$7)*OFFSET(ORÇAMENTO!$W$15,ROW(AZ145)-ROW(AZ$15),0),15-13*ORÇAMENTO!$AF$11)),
         0)</f>
        <v>0</v>
      </c>
      <c r="BA145" s="452">
        <f ca="1">IF(AND($D145="Serviço",BA$12&lt;&gt;0,$H145&gt;0,OR(AUTOEVENTO&lt;&gt;"manual",$M145&lt;&gt;$A$15)),
        IF(Import.TipoArredondamento&lt;&gt;"TransfereGOV",
              ROUND(OFFSET($P145,0,BA$13),15-13*ORÇAMENTO!$AF$7)/$H145*OFFSET(ORÇAMENTO!$X$15,ROW(BA145)-ROW(BA$15),0),
              ROUND(ROUND(OFFSET($P145,0,BA$13),15-13*ORÇAMENTO!$AF$7)*OFFSET(ORÇAMENTO!$W$15,ROW(BA145)-ROW(BA$15),0),15-13*ORÇAMENTO!$AF$11)),
         0)</f>
        <v>0</v>
      </c>
      <c r="BC145" s="171">
        <f ca="1">IF(OR($D145&lt;&gt;"Serviço",AND(AUTOEVENTO="Manual",$M145=$A$15)),0,
         IF(OFFSET(CRONOPLE!$F$15,$M145-$A$15,BC$13)=0,10^12,OFFSET(CRONOPLE!$F$15,$M145-$A$15,BC$13)))</f>
        <v>9</v>
      </c>
      <c r="BD145" s="171">
        <f ca="1">IF(OR($D145&lt;&gt;"Serviço",AND(AUTOEVENTO="Manual",$M145=$A$15)),0,
         IF(OFFSET(CRONOPLE!$F$15,$M145-$A$15,BD$13)=0,10^12,OFFSET(CRONOPLE!$F$15,$M145-$A$15,BD$13)))</f>
        <v>9</v>
      </c>
      <c r="BE145" s="171">
        <f ca="1">IF(OR($D145&lt;&gt;"Serviço",AND(AUTOEVENTO="Manual",$M145=$A$15)),0,
         IF(OFFSET(CRONOPLE!$F$15,$M145-$A$15,BE$13)=0,10^12,OFFSET(CRONOPLE!$F$15,$M145-$A$15,BE$13)))</f>
        <v>9</v>
      </c>
      <c r="BF145" s="171">
        <f ca="1">IF(OR($D145&lt;&gt;"Serviço",AND(AUTOEVENTO="Manual",$M145=$A$15)),0,
         IF(OFFSET(CRONOPLE!$F$15,$M145-$A$15,BF$13)=0,10^12,OFFSET(CRONOPLE!$F$15,$M145-$A$15,BF$13)))</f>
        <v>9</v>
      </c>
      <c r="BG145" s="171">
        <f ca="1">IF(OR($D145&lt;&gt;"Serviço",AND(AUTOEVENTO="Manual",$M145=$A$15)),0,
         IF(OFFSET(CRONOPLE!$F$15,$M145-$A$15,BG$13)=0,10^12,OFFSET(CRONOPLE!$F$15,$M145-$A$15,BG$13)))</f>
        <v>9</v>
      </c>
      <c r="BH145" s="171">
        <f ca="1">IF(OR($D145&lt;&gt;"Serviço",AND(AUTOEVENTO="Manual",$M145=$A$15)),0,
         IF(OFFSET(CRONOPLE!$F$15,$M145-$A$15,BH$13)=0,10^12,OFFSET(CRONOPLE!$F$15,$M145-$A$15,BH$13)))</f>
        <v>1000000000000</v>
      </c>
      <c r="BI145" s="171">
        <f ca="1">IF(OR($D145&lt;&gt;"Serviço",AND(AUTOEVENTO="Manual",$M145=$A$15)),0,
         IF(OFFSET(CRONOPLE!$F$15,$M145-$A$15,BI$13)=0,10^12,OFFSET(CRONOPLE!$F$15,$M145-$A$15,BI$13)))</f>
        <v>1000000000000</v>
      </c>
      <c r="BJ145" s="171">
        <f ca="1">IF(OR($D145&lt;&gt;"Serviço",AND(AUTOEVENTO="Manual",$M145=$A$15)),0,
         IF(OFFSET(CRONOPLE!$F$15,$M145-$A$15,BJ$13)=0,10^12,OFFSET(CRONOPLE!$F$15,$M145-$A$15,BJ$13)))</f>
        <v>1000000000000</v>
      </c>
      <c r="BK145" s="171">
        <f ca="1">IF(OR($D145&lt;&gt;"Serviço",AND(AUTOEVENTO="Manual",$M145=$A$15)),0,
         IF(OFFSET(CRONOPLE!$F$15,$M145-$A$15,BK$13)=0,10^12,OFFSET(CRONOPLE!$F$15,$M145-$A$15,BK$13)))</f>
        <v>1000000000000</v>
      </c>
      <c r="BL145" s="171">
        <f ca="1">IF(OR($D145&lt;&gt;"Serviço",AND(AUTOEVENTO="Manual",$M145=$A$15)),0,
         IF(OFFSET(CRONOPLE!$F$15,$M145-$A$15,BL$13)=0,10^12,OFFSET(CRONOPLE!$F$15,$M145-$A$15,BL$13)))</f>
        <v>1000000000000</v>
      </c>
      <c r="BM145" s="171">
        <f ca="1">IF(OR($D145&lt;&gt;"Serviço",AND(AUTOEVENTO="Manual",$M145=$A$15)),0,
         IF(OFFSET(CRONOPLE!$F$15,$M145-$A$15,BM$13)=0,10^12,OFFSET(CRONOPLE!$F$15,$M145-$A$15,BM$13)))</f>
        <v>1000000000000</v>
      </c>
      <c r="BN145" s="171">
        <f ca="1">IF(OR($D145&lt;&gt;"Serviço",AND(AUTOEVENTO="Manual",$M145=$A$15)),0,
         IF(OFFSET(CRONOPLE!$F$15,$M145-$A$15,BN$13)=0,10^12,OFFSET(CRONOPLE!$F$15,$M145-$A$15,BN$13)))</f>
        <v>1000000000000</v>
      </c>
      <c r="BO145" s="171">
        <f ca="1">IF(OR($D145&lt;&gt;"Serviço",AND(AUTOEVENTO="Manual",$M145=$A$15)),0,
         IF(OFFSET(CRONOPLE!$F$15,$M145-$A$15,BO$13)=0,10^12,OFFSET(CRONOPLE!$F$15,$M145-$A$15,BO$13)))</f>
        <v>1000000000000</v>
      </c>
      <c r="BP145" s="171">
        <f ca="1">IF(OR($D145&lt;&gt;"Serviço",AND(AUTOEVENTO="Manual",$M145=$A$15)),0,
         IF(OFFSET(CRONOPLE!$F$15,$M145-$A$15,BP$13)=0,10^12,OFFSET(CRONOPLE!$F$15,$M145-$A$15,BP$13)))</f>
        <v>1000000000000</v>
      </c>
      <c r="BQ145" s="171">
        <f ca="1">IF(OR($D145&lt;&gt;"Serviço",AND(AUTOEVENTO="Manual",$M145=$A$15)),0,
         IF(OFFSET(CRONOPLE!$F$15,$M145-$A$15,BQ$13)=0,10^12,OFFSET(CRONOPLE!$F$15,$M145-$A$15,BQ$13)))</f>
        <v>1000000000000</v>
      </c>
      <c r="BR145" s="171">
        <f ca="1">IF(OR($D145&lt;&gt;"Serviço",AND(AUTOEVENTO="Manual",$M145=$A$15)),0,
         IF(OFFSET(CRONOPLE!$F$15,$M145-$A$15,BR$13)=0,10^12,OFFSET(CRONOPLE!$F$15,$M145-$A$15,BR$13)))</f>
        <v>1000000000000</v>
      </c>
      <c r="BS145" s="171">
        <f ca="1">IF(OR($D145&lt;&gt;"Serviço",AND(AUTOEVENTO="Manual",$M145=$A$15)),0,
         IF(OFFSET(CRONOPLE!$F$15,$M145-$A$15,BS$13)=0,10^12,OFFSET(CRONOPLE!$F$15,$M145-$A$15,BS$13)))</f>
        <v>1000000000000</v>
      </c>
      <c r="BT145" s="171">
        <f ca="1">IF(OR($D145&lt;&gt;"Serviço",AND(AUTOEVENTO="Manual",$M145=$A$15)),0,
         IF(OFFSET(CRONOPLE!$F$15,$M145-$A$15,BT$13)=0,10^12,OFFSET(CRONOPLE!$F$15,$M145-$A$15,BT$13)))</f>
        <v>1000000000000</v>
      </c>
      <c r="BV145" s="172">
        <f t="array" aca="1" ref="BV145" ca="1">IF(OR($D145&lt;&gt;"Serviço",AND(AUTOEVENTO="Manual",$M145=$A$15),$M145&gt;(ROW(PLE.lastrow)-ROW(PLE.firstrow))),0,
           IF(OFFSET(PLE!$G$15,$M145-$A$15,BV$13)="",10^12,OFFSET(PLE!$G$15,$M145-$A$15,BV$13)))</f>
        <v>1000000000000</v>
      </c>
      <c r="BW145" s="172">
        <f t="array" aca="1" ref="BW145" ca="1">IF(OR($D145&lt;&gt;"Serviço",AND(AUTOEVENTO="Manual",$M145=$A$15),$M145&gt;(ROW(PLE.lastrow)-ROW(PLE.firstrow))),0,
           IF(OFFSET(PLE!$G$15,$M145-$A$15,BW$13)="",10^12,OFFSET(PLE!$G$15,$M145-$A$15,BW$13)))</f>
        <v>1000000000000</v>
      </c>
      <c r="BX145" s="172">
        <f t="array" aca="1" ref="BX145" ca="1">IF(OR($D145&lt;&gt;"Serviço",AND(AUTOEVENTO="Manual",$M145=$A$15),$M145&gt;(ROW(PLE.lastrow)-ROW(PLE.firstrow))),0,
           IF(OFFSET(PLE!$G$15,$M145-$A$15,BX$13)="",10^12,OFFSET(PLE!$G$15,$M145-$A$15,BX$13)))</f>
        <v>1000000000000</v>
      </c>
      <c r="BY145" s="172">
        <f t="array" aca="1" ref="BY145" ca="1">IF(OR($D145&lt;&gt;"Serviço",AND(AUTOEVENTO="Manual",$M145=$A$15),$M145&gt;(ROW(PLE.lastrow)-ROW(PLE.firstrow))),0,
           IF(OFFSET(PLE!$G$15,$M145-$A$15,BY$13)="",10^12,OFFSET(PLE!$G$15,$M145-$A$15,BY$13)))</f>
        <v>1000000000000</v>
      </c>
      <c r="BZ145" s="172">
        <f t="array" aca="1" ref="BZ145" ca="1">IF(OR($D145&lt;&gt;"Serviço",AND(AUTOEVENTO="Manual",$M145=$A$15),$M145&gt;(ROW(PLE.lastrow)-ROW(PLE.firstrow))),0,
           IF(OFFSET(PLE!$G$15,$M145-$A$15,BZ$13)="",10^12,OFFSET(PLE!$G$15,$M145-$A$15,BZ$13)))</f>
        <v>1000000000000</v>
      </c>
      <c r="CA145" s="172">
        <f t="array" aca="1" ref="CA145" ca="1">IF(OR($D145&lt;&gt;"Serviço",AND(AUTOEVENTO="Manual",$M145=$A$15),$M145&gt;(ROW(PLE.lastrow)-ROW(PLE.firstrow))),0,
           IF(OFFSET(PLE!$G$15,$M145-$A$15,CA$13)="",10^12,OFFSET(PLE!$G$15,$M145-$A$15,CA$13)))</f>
        <v>1000000000000</v>
      </c>
      <c r="CB145" s="172">
        <f t="array" aca="1" ref="CB145" ca="1">IF(OR($D145&lt;&gt;"Serviço",AND(AUTOEVENTO="Manual",$M145=$A$15),$M145&gt;(ROW(PLE.lastrow)-ROW(PLE.firstrow))),0,
           IF(OFFSET(PLE!$G$15,$M145-$A$15,CB$13)="",10^12,OFFSET(PLE!$G$15,$M145-$A$15,CB$13)))</f>
        <v>1000000000000</v>
      </c>
      <c r="CC145" s="172">
        <f t="array" aca="1" ref="CC145" ca="1">IF(OR($D145&lt;&gt;"Serviço",AND(AUTOEVENTO="Manual",$M145=$A$15),$M145&gt;(ROW(PLE.lastrow)-ROW(PLE.firstrow))),0,
           IF(OFFSET(PLE!$G$15,$M145-$A$15,CC$13)="",10^12,OFFSET(PLE!$G$15,$M145-$A$15,CC$13)))</f>
        <v>1000000000000</v>
      </c>
      <c r="CD145" s="172">
        <f t="array" aca="1" ref="CD145" ca="1">IF(OR($D145&lt;&gt;"Serviço",AND(AUTOEVENTO="Manual",$M145=$A$15),$M145&gt;(ROW(PLE.lastrow)-ROW(PLE.firstrow))),0,
           IF(OFFSET(PLE!$G$15,$M145-$A$15,CD$13)="",10^12,OFFSET(PLE!$G$15,$M145-$A$15,CD$13)))</f>
        <v>1000000000000</v>
      </c>
      <c r="CE145" s="172">
        <f t="array" aca="1" ref="CE145" ca="1">IF(OR($D145&lt;&gt;"Serviço",AND(AUTOEVENTO="Manual",$M145=$A$15),$M145&gt;(ROW(PLE.lastrow)-ROW(PLE.firstrow))),0,
           IF(OFFSET(PLE!$G$15,$M145-$A$15,CE$13)="",10^12,OFFSET(PLE!$G$15,$M145-$A$15,CE$13)))</f>
        <v>1000000000000</v>
      </c>
      <c r="CF145" s="172">
        <f t="array" aca="1" ref="CF145" ca="1">IF(OR($D145&lt;&gt;"Serviço",AND(AUTOEVENTO="Manual",$M145=$A$15),$M145&gt;(ROW(PLE.lastrow)-ROW(PLE.firstrow))),0,
           IF(OFFSET(PLE!$G$15,$M145-$A$15,CF$13)="",10^12,OFFSET(PLE!$G$15,$M145-$A$15,CF$13)))</f>
        <v>1000000000000</v>
      </c>
      <c r="CG145" s="172">
        <f t="array" aca="1" ref="CG145" ca="1">IF(OR($D145&lt;&gt;"Serviço",AND(AUTOEVENTO="Manual",$M145=$A$15),$M145&gt;(ROW(PLE.lastrow)-ROW(PLE.firstrow))),0,
           IF(OFFSET(PLE!$G$15,$M145-$A$15,CG$13)="",10^12,OFFSET(PLE!$G$15,$M145-$A$15,CG$13)))</f>
        <v>1000000000000</v>
      </c>
      <c r="CH145" s="172">
        <f t="array" aca="1" ref="CH145" ca="1">IF(OR($D145&lt;&gt;"Serviço",AND(AUTOEVENTO="Manual",$M145=$A$15),$M145&gt;(ROW(PLE.lastrow)-ROW(PLE.firstrow))),0,
           IF(OFFSET(PLE!$G$15,$M145-$A$15,CH$13)="",10^12,OFFSET(PLE!$G$15,$M145-$A$15,CH$13)))</f>
        <v>1000000000000</v>
      </c>
      <c r="CI145" s="172">
        <f t="array" aca="1" ref="CI145" ca="1">IF(OR($D145&lt;&gt;"Serviço",AND(AUTOEVENTO="Manual",$M145=$A$15),$M145&gt;(ROW(PLE.lastrow)-ROW(PLE.firstrow))),0,
           IF(OFFSET(PLE!$G$15,$M145-$A$15,CI$13)="",10^12,OFFSET(PLE!$G$15,$M145-$A$15,CI$13)))</f>
        <v>1000000000000</v>
      </c>
      <c r="CJ145" s="172">
        <f t="array" aca="1" ref="CJ145" ca="1">IF(OR($D145&lt;&gt;"Serviço",AND(AUTOEVENTO="Manual",$M145=$A$15),$M145&gt;(ROW(PLE.lastrow)-ROW(PLE.firstrow))),0,
           IF(OFFSET(PLE!$G$15,$M145-$A$15,CJ$13)="",10^12,OFFSET(PLE!$G$15,$M145-$A$15,CJ$13)))</f>
        <v>1000000000000</v>
      </c>
      <c r="CK145" s="172">
        <f t="array" aca="1" ref="CK145" ca="1">IF(OR($D145&lt;&gt;"Serviço",AND(AUTOEVENTO="Manual",$M145=$A$15),$M145&gt;(ROW(PLE.lastrow)-ROW(PLE.firstrow))),0,
           IF(OFFSET(PLE!$G$15,$M145-$A$15,CK$13)="",10^12,OFFSET(PLE!$G$15,$M145-$A$15,CK$13)))</f>
        <v>1000000000000</v>
      </c>
      <c r="CL145" s="172">
        <f t="array" aca="1" ref="CL145" ca="1">IF(OR($D145&lt;&gt;"Serviço",AND(AUTOEVENTO="Manual",$M145=$A$15),$M145&gt;(ROW(PLE.lastrow)-ROW(PLE.firstrow))),0,
           IF(OFFSET(PLE!$G$15,$M145-$A$15,CL$13)="",10^12,OFFSET(PLE!$G$15,$M145-$A$15,CL$13)))</f>
        <v>1000000000000</v>
      </c>
      <c r="CM145" s="172">
        <f t="array" aca="1" ref="CM145" ca="1">IF(OR($D145&lt;&gt;"Serviço",AND(AUTOEVENTO="Manual",$M145=$A$15),$M145&gt;(ROW(PLE.lastrow)-ROW(PLE.firstrow))),0,
           IF(OFFSET(PLE!$G$15,$M145-$A$15,CM$13)="",10^12,OFFSET(PLE!$G$15,$M145-$A$15,CM$13)))</f>
        <v>1000000000000</v>
      </c>
    </row>
    <row r="146" spans="1:91" s="696" customFormat="1" ht="76.5" x14ac:dyDescent="0.2">
      <c r="A146" s="694">
        <f t="shared" ca="1" si="82"/>
        <v>35</v>
      </c>
      <c r="B146" s="694" t="str">
        <f ca="1">OFFSET(ORÇAMENTO!C$15,$L146,0)</f>
        <v>S</v>
      </c>
      <c r="C146" s="694" t="str">
        <f ca="1">OFFSET(ORÇAMENTO!L$15,$L146,0)</f>
        <v>F</v>
      </c>
      <c r="D146" s="116" t="str">
        <f ca="1">OFFSET(ORÇAMENTO!N$15,$L146,0)</f>
        <v>Serviço</v>
      </c>
      <c r="E146" s="117" t="str">
        <f ca="1">OFFSET(ORÇAMENTO!O$15,$L146,0)</f>
        <v>1.24.9.</v>
      </c>
      <c r="F146" s="163" t="str">
        <f ca="1">OFFSET(ORÇAMENTO!R$15,$L146,0)</f>
        <v>CAMPAINHA CIGARRA (1 MÓDULO), 10A/250V, INCLUINDO SUPORTE E PLACA - FORNECIMENTO E INSTALAÇÃO. AF_03/2023</v>
      </c>
      <c r="G146" s="164" t="str">
        <f ca="1">IF($D146&lt;&gt;"Serviço","",OFFSET(ORÇAMENTO!S$15,$L146,0))</f>
        <v>UN</v>
      </c>
      <c r="H146" s="122">
        <f t="array" aca="1" ref="H146" ca="1">IF($D146&lt;&gt;"Serviço",0,IF(ACOMPANHAMENTO="BM",ROUND(OFFSET(ORÇAMENTO!AJ$15,$L146,0),15-13*ORÇAMENTO!$AF$7),IF(IFERROR(CÁLCULO.FrentesPreenchidas,0)=0,0,SUM(ROUND(OFFSET($P146,0,1,1,CÁLCULO.FrentesPreenchidas),15-13*ORÇAMENTO!$AF$7)))))</f>
        <v>20</v>
      </c>
      <c r="I146" s="467" t="s">
        <v>1295</v>
      </c>
      <c r="J146" s="653" t="str">
        <f t="array" aca="1" ref="J146" ca="1">IF(OR(B146&lt;&gt;"S",CÁLCULO.FrentesPreenchidas=0),"",IF(AND(ACOMPANHAMENTO="PLE",AUTOEVENTO="Manual",OR(H146&gt;0,ORÇAMENTO!AC146="QUANT."),OR(K146="",M146=0,N146="")),"►E",IF(AND(ACOMPANHAMENTO="PLE",ORÇAMENTO!AC146="QUANT."),"►Q",IF(AND(ACOMPANHAMENTO="PLE",H146&lt;&gt;SUMPRODUCT(($Q$1:$AI$1=1)*ROUND(Q146:AI146,15))),"►S",IF(AND(COUNTIF($P$11:$AI$11,"▼")=0,H146&gt;0,I146=""),"◄M","")))))</f>
        <v/>
      </c>
      <c r="K146" s="654" t="s">
        <v>1440</v>
      </c>
      <c r="L146" s="165">
        <f t="shared" ca="1" si="83"/>
        <v>131</v>
      </c>
      <c r="M146" s="166">
        <f ca="1">IF($D146&lt;&gt;"Serviço","",
          IF(AUTOEVENTO="manual",$A146,
                IF(ISERROR(MATCH($A146,$A$15:OFFSET($A146,-1,0),0)),MAX($M$15:OFFSET(M146,-1,0))+1,
                      INDEX($M$15:OFFSET(M146,-1,0),MATCH($A146,$A$15:OFFSET($A146,-1,0),0)))))</f>
        <v>35</v>
      </c>
      <c r="N146" s="167" t="str">
        <f ca="1">IF($D146&lt;&gt;"Serviço","",
         IF(AUTOEVENTO="Manual",
                IF($A146=0,"&lt;-- defina o número do agrupador",
                       OFFSET(EVENTOS!$D$15,$A146-$A$15,0)),
                OFFSET($F$15,$A146,0)))</f>
        <v>EQUIPAMENTOS</v>
      </c>
      <c r="O146" s="168"/>
      <c r="Q146" s="169">
        <v>5</v>
      </c>
      <c r="R146" s="169">
        <v>5</v>
      </c>
      <c r="S146" s="169">
        <v>5</v>
      </c>
      <c r="T146" s="169">
        <v>5</v>
      </c>
      <c r="U146" s="169"/>
      <c r="V146" s="169"/>
      <c r="W146" s="169"/>
      <c r="X146" s="169"/>
      <c r="Y146" s="169"/>
      <c r="Z146" s="170"/>
      <c r="AA146" s="169"/>
      <c r="AB146" s="169"/>
      <c r="AC146" s="169"/>
      <c r="AD146" s="169"/>
      <c r="AE146" s="169"/>
      <c r="AF146" s="169"/>
      <c r="AG146" s="169"/>
      <c r="AH146" s="170"/>
      <c r="AJ146" s="452">
        <f ca="1">IF(AND($D146="Serviço",AJ$12&lt;&gt;0,$H146&gt;0,OR(AUTOEVENTO&lt;&gt;"manual",$M146&lt;&gt;$A$15)),
        IF(Import.TipoArredondamento&lt;&gt;"TransfereGOV",
              ROUND(OFFSET($P146,0,AJ$13),15-13*ORÇAMENTO!$AF$7)/$H146*OFFSET(ORÇAMENTO!$X$15,ROW(AJ146)-ROW(AJ$15),0),
              ROUND(ROUND(OFFSET($P146,0,AJ$13),15-13*ORÇAMENTO!$AF$7)*OFFSET(ORÇAMENTO!$W$15,ROW(AJ146)-ROW(AJ$15),0),15-13*ORÇAMENTO!$AF$11)),
         0)</f>
        <v>277.39999999999998</v>
      </c>
      <c r="AK146" s="452">
        <f ca="1">IF(AND($D146="Serviço",AK$12&lt;&gt;0,$H146&gt;0,OR(AUTOEVENTO&lt;&gt;"manual",$M146&lt;&gt;$A$15)),
        IF(Import.TipoArredondamento&lt;&gt;"TransfereGOV",
              ROUND(OFFSET($P146,0,AK$13),15-13*ORÇAMENTO!$AF$7)/$H146*OFFSET(ORÇAMENTO!$X$15,ROW(AK146)-ROW(AK$15),0),
              ROUND(ROUND(OFFSET($P146,0,AK$13),15-13*ORÇAMENTO!$AF$7)*OFFSET(ORÇAMENTO!$W$15,ROW(AK146)-ROW(AK$15),0),15-13*ORÇAMENTO!$AF$11)),
         0)</f>
        <v>277.39999999999998</v>
      </c>
      <c r="AL146" s="452">
        <f ca="1">IF(AND($D146="Serviço",AL$12&lt;&gt;0,$H146&gt;0,OR(AUTOEVENTO&lt;&gt;"manual",$M146&lt;&gt;$A$15)),
        IF(Import.TipoArredondamento&lt;&gt;"TransfereGOV",
              ROUND(OFFSET($P146,0,AL$13),15-13*ORÇAMENTO!$AF$7)/$H146*OFFSET(ORÇAMENTO!$X$15,ROW(AL146)-ROW(AL$15),0),
              ROUND(ROUND(OFFSET($P146,0,AL$13),15-13*ORÇAMENTO!$AF$7)*OFFSET(ORÇAMENTO!$W$15,ROW(AL146)-ROW(AL$15),0),15-13*ORÇAMENTO!$AF$11)),
         0)</f>
        <v>277.39999999999998</v>
      </c>
      <c r="AM146" s="452">
        <f ca="1">IF(AND($D146="Serviço",AM$12&lt;&gt;0,$H146&gt;0,OR(AUTOEVENTO&lt;&gt;"manual",$M146&lt;&gt;$A$15)),
        IF(Import.TipoArredondamento&lt;&gt;"TransfereGOV",
              ROUND(OFFSET($P146,0,AM$13),15-13*ORÇAMENTO!$AF$7)/$H146*OFFSET(ORÇAMENTO!$X$15,ROW(AM146)-ROW(AM$15),0),
              ROUND(ROUND(OFFSET($P146,0,AM$13),15-13*ORÇAMENTO!$AF$7)*OFFSET(ORÇAMENTO!$W$15,ROW(AM146)-ROW(AM$15),0),15-13*ORÇAMENTO!$AF$11)),
         0)</f>
        <v>277.39999999999998</v>
      </c>
      <c r="AN146" s="452">
        <f ca="1">IF(AND($D146="Serviço",AN$12&lt;&gt;0,$H146&gt;0,OR(AUTOEVENTO&lt;&gt;"manual",$M146&lt;&gt;$A$15)),
        IF(Import.TipoArredondamento&lt;&gt;"TransfereGOV",
              ROUND(OFFSET($P146,0,AN$13),15-13*ORÇAMENTO!$AF$7)/$H146*OFFSET(ORÇAMENTO!$X$15,ROW(AN146)-ROW(AN$15),0),
              ROUND(ROUND(OFFSET($P146,0,AN$13),15-13*ORÇAMENTO!$AF$7)*OFFSET(ORÇAMENTO!$W$15,ROW(AN146)-ROW(AN$15),0),15-13*ORÇAMENTO!$AF$11)),
         0)</f>
        <v>0</v>
      </c>
      <c r="AO146" s="452">
        <f ca="1">IF(AND($D146="Serviço",AO$12&lt;&gt;0,$H146&gt;0,OR(AUTOEVENTO&lt;&gt;"manual",$M146&lt;&gt;$A$15)),
        IF(Import.TipoArredondamento&lt;&gt;"TransfereGOV",
              ROUND(OFFSET($P146,0,AO$13),15-13*ORÇAMENTO!$AF$7)/$H146*OFFSET(ORÇAMENTO!$X$15,ROW(AO146)-ROW(AO$15),0),
              ROUND(ROUND(OFFSET($P146,0,AO$13),15-13*ORÇAMENTO!$AF$7)*OFFSET(ORÇAMENTO!$W$15,ROW(AO146)-ROW(AO$15),0),15-13*ORÇAMENTO!$AF$11)),
         0)</f>
        <v>0</v>
      </c>
      <c r="AP146" s="452">
        <f ca="1">IF(AND($D146="Serviço",AP$12&lt;&gt;0,$H146&gt;0,OR(AUTOEVENTO&lt;&gt;"manual",$M146&lt;&gt;$A$15)),
        IF(Import.TipoArredondamento&lt;&gt;"TransfereGOV",
              ROUND(OFFSET($P146,0,AP$13),15-13*ORÇAMENTO!$AF$7)/$H146*OFFSET(ORÇAMENTO!$X$15,ROW(AP146)-ROW(AP$15),0),
              ROUND(ROUND(OFFSET($P146,0,AP$13),15-13*ORÇAMENTO!$AF$7)*OFFSET(ORÇAMENTO!$W$15,ROW(AP146)-ROW(AP$15),0),15-13*ORÇAMENTO!$AF$11)),
         0)</f>
        <v>0</v>
      </c>
      <c r="AQ146" s="452">
        <f ca="1">IF(AND($D146="Serviço",AQ$12&lt;&gt;0,$H146&gt;0,OR(AUTOEVENTO&lt;&gt;"manual",$M146&lt;&gt;$A$15)),
        IF(Import.TipoArredondamento&lt;&gt;"TransfereGOV",
              ROUND(OFFSET($P146,0,AQ$13),15-13*ORÇAMENTO!$AF$7)/$H146*OFFSET(ORÇAMENTO!$X$15,ROW(AQ146)-ROW(AQ$15),0),
              ROUND(ROUND(OFFSET($P146,0,AQ$13),15-13*ORÇAMENTO!$AF$7)*OFFSET(ORÇAMENTO!$W$15,ROW(AQ146)-ROW(AQ$15),0),15-13*ORÇAMENTO!$AF$11)),
         0)</f>
        <v>0</v>
      </c>
      <c r="AR146" s="452">
        <f ca="1">IF(AND($D146="Serviço",AR$12&lt;&gt;0,$H146&gt;0,OR(AUTOEVENTO&lt;&gt;"manual",$M146&lt;&gt;$A$15)),
        IF(Import.TipoArredondamento&lt;&gt;"TransfereGOV",
              ROUND(OFFSET($P146,0,AR$13),15-13*ORÇAMENTO!$AF$7)/$H146*OFFSET(ORÇAMENTO!$X$15,ROW(AR146)-ROW(AR$15),0),
              ROUND(ROUND(OFFSET($P146,0,AR$13),15-13*ORÇAMENTO!$AF$7)*OFFSET(ORÇAMENTO!$W$15,ROW(AR146)-ROW(AR$15),0),15-13*ORÇAMENTO!$AF$11)),
         0)</f>
        <v>0</v>
      </c>
      <c r="AS146" s="452">
        <f ca="1">IF(AND($D146="Serviço",AS$12&lt;&gt;0,$H146&gt;0,OR(AUTOEVENTO&lt;&gt;"manual",$M146&lt;&gt;$A$15)),
        IF(Import.TipoArredondamento&lt;&gt;"TransfereGOV",
              ROUND(OFFSET($P146,0,AS$13),15-13*ORÇAMENTO!$AF$7)/$H146*OFFSET(ORÇAMENTO!$X$15,ROW(AS146)-ROW(AS$15),0),
              ROUND(ROUND(OFFSET($P146,0,AS$13),15-13*ORÇAMENTO!$AF$7)*OFFSET(ORÇAMENTO!$W$15,ROW(AS146)-ROW(AS$15),0),15-13*ORÇAMENTO!$AF$11)),
         0)</f>
        <v>0</v>
      </c>
      <c r="AT146" s="452">
        <f ca="1">IF(AND($D146="Serviço",AT$12&lt;&gt;0,$H146&gt;0,OR(AUTOEVENTO&lt;&gt;"manual",$M146&lt;&gt;$A$15)),
        IF(Import.TipoArredondamento&lt;&gt;"TransfereGOV",
              ROUND(OFFSET($P146,0,AT$13),15-13*ORÇAMENTO!$AF$7)/$H146*OFFSET(ORÇAMENTO!$X$15,ROW(AT146)-ROW(AT$15),0),
              ROUND(ROUND(OFFSET($P146,0,AT$13),15-13*ORÇAMENTO!$AF$7)*OFFSET(ORÇAMENTO!$W$15,ROW(AT146)-ROW(AT$15),0),15-13*ORÇAMENTO!$AF$11)),
         0)</f>
        <v>0</v>
      </c>
      <c r="AU146" s="452">
        <f ca="1">IF(AND($D146="Serviço",AU$12&lt;&gt;0,$H146&gt;0,OR(AUTOEVENTO&lt;&gt;"manual",$M146&lt;&gt;$A$15)),
        IF(Import.TipoArredondamento&lt;&gt;"TransfereGOV",
              ROUND(OFFSET($P146,0,AU$13),15-13*ORÇAMENTO!$AF$7)/$H146*OFFSET(ORÇAMENTO!$X$15,ROW(AU146)-ROW(AU$15),0),
              ROUND(ROUND(OFFSET($P146,0,AU$13),15-13*ORÇAMENTO!$AF$7)*OFFSET(ORÇAMENTO!$W$15,ROW(AU146)-ROW(AU$15),0),15-13*ORÇAMENTO!$AF$11)),
         0)</f>
        <v>0</v>
      </c>
      <c r="AV146" s="452">
        <f ca="1">IF(AND($D146="Serviço",AV$12&lt;&gt;0,$H146&gt;0,OR(AUTOEVENTO&lt;&gt;"manual",$M146&lt;&gt;$A$15)),
        IF(Import.TipoArredondamento&lt;&gt;"TransfereGOV",
              ROUND(OFFSET($P146,0,AV$13),15-13*ORÇAMENTO!$AF$7)/$H146*OFFSET(ORÇAMENTO!$X$15,ROW(AV146)-ROW(AV$15),0),
              ROUND(ROUND(OFFSET($P146,0,AV$13),15-13*ORÇAMENTO!$AF$7)*OFFSET(ORÇAMENTO!$W$15,ROW(AV146)-ROW(AV$15),0),15-13*ORÇAMENTO!$AF$11)),
         0)</f>
        <v>0</v>
      </c>
      <c r="AW146" s="452">
        <f ca="1">IF(AND($D146="Serviço",AW$12&lt;&gt;0,$H146&gt;0,OR(AUTOEVENTO&lt;&gt;"manual",$M146&lt;&gt;$A$15)),
        IF(Import.TipoArredondamento&lt;&gt;"TransfereGOV",
              ROUND(OFFSET($P146,0,AW$13),15-13*ORÇAMENTO!$AF$7)/$H146*OFFSET(ORÇAMENTO!$X$15,ROW(AW146)-ROW(AW$15),0),
              ROUND(ROUND(OFFSET($P146,0,AW$13),15-13*ORÇAMENTO!$AF$7)*OFFSET(ORÇAMENTO!$W$15,ROW(AW146)-ROW(AW$15),0),15-13*ORÇAMENTO!$AF$11)),
         0)</f>
        <v>0</v>
      </c>
      <c r="AX146" s="452">
        <f ca="1">IF(AND($D146="Serviço",AX$12&lt;&gt;0,$H146&gt;0,OR(AUTOEVENTO&lt;&gt;"manual",$M146&lt;&gt;$A$15)),
        IF(Import.TipoArredondamento&lt;&gt;"TransfereGOV",
              ROUND(OFFSET($P146,0,AX$13),15-13*ORÇAMENTO!$AF$7)/$H146*OFFSET(ORÇAMENTO!$X$15,ROW(AX146)-ROW(AX$15),0),
              ROUND(ROUND(OFFSET($P146,0,AX$13),15-13*ORÇAMENTO!$AF$7)*OFFSET(ORÇAMENTO!$W$15,ROW(AX146)-ROW(AX$15),0),15-13*ORÇAMENTO!$AF$11)),
         0)</f>
        <v>0</v>
      </c>
      <c r="AY146" s="452">
        <f ca="1">IF(AND($D146="Serviço",AY$12&lt;&gt;0,$H146&gt;0,OR(AUTOEVENTO&lt;&gt;"manual",$M146&lt;&gt;$A$15)),
        IF(Import.TipoArredondamento&lt;&gt;"TransfereGOV",
              ROUND(OFFSET($P146,0,AY$13),15-13*ORÇAMENTO!$AF$7)/$H146*OFFSET(ORÇAMENTO!$X$15,ROW(AY146)-ROW(AY$15),0),
              ROUND(ROUND(OFFSET($P146,0,AY$13),15-13*ORÇAMENTO!$AF$7)*OFFSET(ORÇAMENTO!$W$15,ROW(AY146)-ROW(AY$15),0),15-13*ORÇAMENTO!$AF$11)),
         0)</f>
        <v>0</v>
      </c>
      <c r="AZ146" s="452">
        <f ca="1">IF(AND($D146="Serviço",AZ$12&lt;&gt;0,$H146&gt;0,OR(AUTOEVENTO&lt;&gt;"manual",$M146&lt;&gt;$A$15)),
        IF(Import.TipoArredondamento&lt;&gt;"TransfereGOV",
              ROUND(OFFSET($P146,0,AZ$13),15-13*ORÇAMENTO!$AF$7)/$H146*OFFSET(ORÇAMENTO!$X$15,ROW(AZ146)-ROW(AZ$15),0),
              ROUND(ROUND(OFFSET($P146,0,AZ$13),15-13*ORÇAMENTO!$AF$7)*OFFSET(ORÇAMENTO!$W$15,ROW(AZ146)-ROW(AZ$15),0),15-13*ORÇAMENTO!$AF$11)),
         0)</f>
        <v>0</v>
      </c>
      <c r="BA146" s="452">
        <f ca="1">IF(AND($D146="Serviço",BA$12&lt;&gt;0,$H146&gt;0,OR(AUTOEVENTO&lt;&gt;"manual",$M146&lt;&gt;$A$15)),
        IF(Import.TipoArredondamento&lt;&gt;"TransfereGOV",
              ROUND(OFFSET($P146,0,BA$13),15-13*ORÇAMENTO!$AF$7)/$H146*OFFSET(ORÇAMENTO!$X$15,ROW(BA146)-ROW(BA$15),0),
              ROUND(ROUND(OFFSET($P146,0,BA$13),15-13*ORÇAMENTO!$AF$7)*OFFSET(ORÇAMENTO!$W$15,ROW(BA146)-ROW(BA$15),0),15-13*ORÇAMENTO!$AF$11)),
         0)</f>
        <v>0</v>
      </c>
      <c r="BC146" s="171">
        <f ca="1">IF(OR($D146&lt;&gt;"Serviço",AND(AUTOEVENTO="Manual",$M146=$A$15)),0,
         IF(OFFSET(CRONOPLE!$F$15,$M146-$A$15,BC$13)=0,10^12,OFFSET(CRONOPLE!$F$15,$M146-$A$15,BC$13)))</f>
        <v>9</v>
      </c>
      <c r="BD146" s="171">
        <f ca="1">IF(OR($D146&lt;&gt;"Serviço",AND(AUTOEVENTO="Manual",$M146=$A$15)),0,
         IF(OFFSET(CRONOPLE!$F$15,$M146-$A$15,BD$13)=0,10^12,OFFSET(CRONOPLE!$F$15,$M146-$A$15,BD$13)))</f>
        <v>9</v>
      </c>
      <c r="BE146" s="171">
        <f ca="1">IF(OR($D146&lt;&gt;"Serviço",AND(AUTOEVENTO="Manual",$M146=$A$15)),0,
         IF(OFFSET(CRONOPLE!$F$15,$M146-$A$15,BE$13)=0,10^12,OFFSET(CRONOPLE!$F$15,$M146-$A$15,BE$13)))</f>
        <v>9</v>
      </c>
      <c r="BF146" s="171">
        <f ca="1">IF(OR($D146&lt;&gt;"Serviço",AND(AUTOEVENTO="Manual",$M146=$A$15)),0,
         IF(OFFSET(CRONOPLE!$F$15,$M146-$A$15,BF$13)=0,10^12,OFFSET(CRONOPLE!$F$15,$M146-$A$15,BF$13)))</f>
        <v>9</v>
      </c>
      <c r="BG146" s="171">
        <f ca="1">IF(OR($D146&lt;&gt;"Serviço",AND(AUTOEVENTO="Manual",$M146=$A$15)),0,
         IF(OFFSET(CRONOPLE!$F$15,$M146-$A$15,BG$13)=0,10^12,OFFSET(CRONOPLE!$F$15,$M146-$A$15,BG$13)))</f>
        <v>9</v>
      </c>
      <c r="BH146" s="171">
        <f ca="1">IF(OR($D146&lt;&gt;"Serviço",AND(AUTOEVENTO="Manual",$M146=$A$15)),0,
         IF(OFFSET(CRONOPLE!$F$15,$M146-$A$15,BH$13)=0,10^12,OFFSET(CRONOPLE!$F$15,$M146-$A$15,BH$13)))</f>
        <v>1000000000000</v>
      </c>
      <c r="BI146" s="171">
        <f ca="1">IF(OR($D146&lt;&gt;"Serviço",AND(AUTOEVENTO="Manual",$M146=$A$15)),0,
         IF(OFFSET(CRONOPLE!$F$15,$M146-$A$15,BI$13)=0,10^12,OFFSET(CRONOPLE!$F$15,$M146-$A$15,BI$13)))</f>
        <v>1000000000000</v>
      </c>
      <c r="BJ146" s="171">
        <f ca="1">IF(OR($D146&lt;&gt;"Serviço",AND(AUTOEVENTO="Manual",$M146=$A$15)),0,
         IF(OFFSET(CRONOPLE!$F$15,$M146-$A$15,BJ$13)=0,10^12,OFFSET(CRONOPLE!$F$15,$M146-$A$15,BJ$13)))</f>
        <v>1000000000000</v>
      </c>
      <c r="BK146" s="171">
        <f ca="1">IF(OR($D146&lt;&gt;"Serviço",AND(AUTOEVENTO="Manual",$M146=$A$15)),0,
         IF(OFFSET(CRONOPLE!$F$15,$M146-$A$15,BK$13)=0,10^12,OFFSET(CRONOPLE!$F$15,$M146-$A$15,BK$13)))</f>
        <v>1000000000000</v>
      </c>
      <c r="BL146" s="171">
        <f ca="1">IF(OR($D146&lt;&gt;"Serviço",AND(AUTOEVENTO="Manual",$M146=$A$15)),0,
         IF(OFFSET(CRONOPLE!$F$15,$M146-$A$15,BL$13)=0,10^12,OFFSET(CRONOPLE!$F$15,$M146-$A$15,BL$13)))</f>
        <v>1000000000000</v>
      </c>
      <c r="BM146" s="171">
        <f ca="1">IF(OR($D146&lt;&gt;"Serviço",AND(AUTOEVENTO="Manual",$M146=$A$15)),0,
         IF(OFFSET(CRONOPLE!$F$15,$M146-$A$15,BM$13)=0,10^12,OFFSET(CRONOPLE!$F$15,$M146-$A$15,BM$13)))</f>
        <v>1000000000000</v>
      </c>
      <c r="BN146" s="171">
        <f ca="1">IF(OR($D146&lt;&gt;"Serviço",AND(AUTOEVENTO="Manual",$M146=$A$15)),0,
         IF(OFFSET(CRONOPLE!$F$15,$M146-$A$15,BN$13)=0,10^12,OFFSET(CRONOPLE!$F$15,$M146-$A$15,BN$13)))</f>
        <v>1000000000000</v>
      </c>
      <c r="BO146" s="171">
        <f ca="1">IF(OR($D146&lt;&gt;"Serviço",AND(AUTOEVENTO="Manual",$M146=$A$15)),0,
         IF(OFFSET(CRONOPLE!$F$15,$M146-$A$15,BO$13)=0,10^12,OFFSET(CRONOPLE!$F$15,$M146-$A$15,BO$13)))</f>
        <v>1000000000000</v>
      </c>
      <c r="BP146" s="171">
        <f ca="1">IF(OR($D146&lt;&gt;"Serviço",AND(AUTOEVENTO="Manual",$M146=$A$15)),0,
         IF(OFFSET(CRONOPLE!$F$15,$M146-$A$15,BP$13)=0,10^12,OFFSET(CRONOPLE!$F$15,$M146-$A$15,BP$13)))</f>
        <v>1000000000000</v>
      </c>
      <c r="BQ146" s="171">
        <f ca="1">IF(OR($D146&lt;&gt;"Serviço",AND(AUTOEVENTO="Manual",$M146=$A$15)),0,
         IF(OFFSET(CRONOPLE!$F$15,$M146-$A$15,BQ$13)=0,10^12,OFFSET(CRONOPLE!$F$15,$M146-$A$15,BQ$13)))</f>
        <v>1000000000000</v>
      </c>
      <c r="BR146" s="171">
        <f ca="1">IF(OR($D146&lt;&gt;"Serviço",AND(AUTOEVENTO="Manual",$M146=$A$15)),0,
         IF(OFFSET(CRONOPLE!$F$15,$M146-$A$15,BR$13)=0,10^12,OFFSET(CRONOPLE!$F$15,$M146-$A$15,BR$13)))</f>
        <v>1000000000000</v>
      </c>
      <c r="BS146" s="171">
        <f ca="1">IF(OR($D146&lt;&gt;"Serviço",AND(AUTOEVENTO="Manual",$M146=$A$15)),0,
         IF(OFFSET(CRONOPLE!$F$15,$M146-$A$15,BS$13)=0,10^12,OFFSET(CRONOPLE!$F$15,$M146-$A$15,BS$13)))</f>
        <v>1000000000000</v>
      </c>
      <c r="BT146" s="171">
        <f ca="1">IF(OR($D146&lt;&gt;"Serviço",AND(AUTOEVENTO="Manual",$M146=$A$15)),0,
         IF(OFFSET(CRONOPLE!$F$15,$M146-$A$15,BT$13)=0,10^12,OFFSET(CRONOPLE!$F$15,$M146-$A$15,BT$13)))</f>
        <v>1000000000000</v>
      </c>
      <c r="BV146" s="172">
        <f t="array" aca="1" ref="BV146" ca="1">IF(OR($D146&lt;&gt;"Serviço",AND(AUTOEVENTO="Manual",$M146=$A$15),$M146&gt;(ROW(PLE.lastrow)-ROW(PLE.firstrow))),0,
           IF(OFFSET(PLE!$G$15,$M146-$A$15,BV$13)="",10^12,OFFSET(PLE!$G$15,$M146-$A$15,BV$13)))</f>
        <v>1000000000000</v>
      </c>
      <c r="BW146" s="172">
        <f t="array" aca="1" ref="BW146" ca="1">IF(OR($D146&lt;&gt;"Serviço",AND(AUTOEVENTO="Manual",$M146=$A$15),$M146&gt;(ROW(PLE.lastrow)-ROW(PLE.firstrow))),0,
           IF(OFFSET(PLE!$G$15,$M146-$A$15,BW$13)="",10^12,OFFSET(PLE!$G$15,$M146-$A$15,BW$13)))</f>
        <v>1000000000000</v>
      </c>
      <c r="BX146" s="172">
        <f t="array" aca="1" ref="BX146" ca="1">IF(OR($D146&lt;&gt;"Serviço",AND(AUTOEVENTO="Manual",$M146=$A$15),$M146&gt;(ROW(PLE.lastrow)-ROW(PLE.firstrow))),0,
           IF(OFFSET(PLE!$G$15,$M146-$A$15,BX$13)="",10^12,OFFSET(PLE!$G$15,$M146-$A$15,BX$13)))</f>
        <v>1000000000000</v>
      </c>
      <c r="BY146" s="172">
        <f t="array" aca="1" ref="BY146" ca="1">IF(OR($D146&lt;&gt;"Serviço",AND(AUTOEVENTO="Manual",$M146=$A$15),$M146&gt;(ROW(PLE.lastrow)-ROW(PLE.firstrow))),0,
           IF(OFFSET(PLE!$G$15,$M146-$A$15,BY$13)="",10^12,OFFSET(PLE!$G$15,$M146-$A$15,BY$13)))</f>
        <v>1000000000000</v>
      </c>
      <c r="BZ146" s="172">
        <f t="array" aca="1" ref="BZ146" ca="1">IF(OR($D146&lt;&gt;"Serviço",AND(AUTOEVENTO="Manual",$M146=$A$15),$M146&gt;(ROW(PLE.lastrow)-ROW(PLE.firstrow))),0,
           IF(OFFSET(PLE!$G$15,$M146-$A$15,BZ$13)="",10^12,OFFSET(PLE!$G$15,$M146-$A$15,BZ$13)))</f>
        <v>1000000000000</v>
      </c>
      <c r="CA146" s="172">
        <f t="array" aca="1" ref="CA146" ca="1">IF(OR($D146&lt;&gt;"Serviço",AND(AUTOEVENTO="Manual",$M146=$A$15),$M146&gt;(ROW(PLE.lastrow)-ROW(PLE.firstrow))),0,
           IF(OFFSET(PLE!$G$15,$M146-$A$15,CA$13)="",10^12,OFFSET(PLE!$G$15,$M146-$A$15,CA$13)))</f>
        <v>1000000000000</v>
      </c>
      <c r="CB146" s="172">
        <f t="array" aca="1" ref="CB146" ca="1">IF(OR($D146&lt;&gt;"Serviço",AND(AUTOEVENTO="Manual",$M146=$A$15),$M146&gt;(ROW(PLE.lastrow)-ROW(PLE.firstrow))),0,
           IF(OFFSET(PLE!$G$15,$M146-$A$15,CB$13)="",10^12,OFFSET(PLE!$G$15,$M146-$A$15,CB$13)))</f>
        <v>1000000000000</v>
      </c>
      <c r="CC146" s="172">
        <f t="array" aca="1" ref="CC146" ca="1">IF(OR($D146&lt;&gt;"Serviço",AND(AUTOEVENTO="Manual",$M146=$A$15),$M146&gt;(ROW(PLE.lastrow)-ROW(PLE.firstrow))),0,
           IF(OFFSET(PLE!$G$15,$M146-$A$15,CC$13)="",10^12,OFFSET(PLE!$G$15,$M146-$A$15,CC$13)))</f>
        <v>1000000000000</v>
      </c>
      <c r="CD146" s="172">
        <f t="array" aca="1" ref="CD146" ca="1">IF(OR($D146&lt;&gt;"Serviço",AND(AUTOEVENTO="Manual",$M146=$A$15),$M146&gt;(ROW(PLE.lastrow)-ROW(PLE.firstrow))),0,
           IF(OFFSET(PLE!$G$15,$M146-$A$15,CD$13)="",10^12,OFFSET(PLE!$G$15,$M146-$A$15,CD$13)))</f>
        <v>1000000000000</v>
      </c>
      <c r="CE146" s="172">
        <f t="array" aca="1" ref="CE146" ca="1">IF(OR($D146&lt;&gt;"Serviço",AND(AUTOEVENTO="Manual",$M146=$A$15),$M146&gt;(ROW(PLE.lastrow)-ROW(PLE.firstrow))),0,
           IF(OFFSET(PLE!$G$15,$M146-$A$15,CE$13)="",10^12,OFFSET(PLE!$G$15,$M146-$A$15,CE$13)))</f>
        <v>1000000000000</v>
      </c>
      <c r="CF146" s="172">
        <f t="array" aca="1" ref="CF146" ca="1">IF(OR($D146&lt;&gt;"Serviço",AND(AUTOEVENTO="Manual",$M146=$A$15),$M146&gt;(ROW(PLE.lastrow)-ROW(PLE.firstrow))),0,
           IF(OFFSET(PLE!$G$15,$M146-$A$15,CF$13)="",10^12,OFFSET(PLE!$G$15,$M146-$A$15,CF$13)))</f>
        <v>1000000000000</v>
      </c>
      <c r="CG146" s="172">
        <f t="array" aca="1" ref="CG146" ca="1">IF(OR($D146&lt;&gt;"Serviço",AND(AUTOEVENTO="Manual",$M146=$A$15),$M146&gt;(ROW(PLE.lastrow)-ROW(PLE.firstrow))),0,
           IF(OFFSET(PLE!$G$15,$M146-$A$15,CG$13)="",10^12,OFFSET(PLE!$G$15,$M146-$A$15,CG$13)))</f>
        <v>1000000000000</v>
      </c>
      <c r="CH146" s="172">
        <f t="array" aca="1" ref="CH146" ca="1">IF(OR($D146&lt;&gt;"Serviço",AND(AUTOEVENTO="Manual",$M146=$A$15),$M146&gt;(ROW(PLE.lastrow)-ROW(PLE.firstrow))),0,
           IF(OFFSET(PLE!$G$15,$M146-$A$15,CH$13)="",10^12,OFFSET(PLE!$G$15,$M146-$A$15,CH$13)))</f>
        <v>1000000000000</v>
      </c>
      <c r="CI146" s="172">
        <f t="array" aca="1" ref="CI146" ca="1">IF(OR($D146&lt;&gt;"Serviço",AND(AUTOEVENTO="Manual",$M146=$A$15),$M146&gt;(ROW(PLE.lastrow)-ROW(PLE.firstrow))),0,
           IF(OFFSET(PLE!$G$15,$M146-$A$15,CI$13)="",10^12,OFFSET(PLE!$G$15,$M146-$A$15,CI$13)))</f>
        <v>1000000000000</v>
      </c>
      <c r="CJ146" s="172">
        <f t="array" aca="1" ref="CJ146" ca="1">IF(OR($D146&lt;&gt;"Serviço",AND(AUTOEVENTO="Manual",$M146=$A$15),$M146&gt;(ROW(PLE.lastrow)-ROW(PLE.firstrow))),0,
           IF(OFFSET(PLE!$G$15,$M146-$A$15,CJ$13)="",10^12,OFFSET(PLE!$G$15,$M146-$A$15,CJ$13)))</f>
        <v>1000000000000</v>
      </c>
      <c r="CK146" s="172">
        <f t="array" aca="1" ref="CK146" ca="1">IF(OR($D146&lt;&gt;"Serviço",AND(AUTOEVENTO="Manual",$M146=$A$15),$M146&gt;(ROW(PLE.lastrow)-ROW(PLE.firstrow))),0,
           IF(OFFSET(PLE!$G$15,$M146-$A$15,CK$13)="",10^12,OFFSET(PLE!$G$15,$M146-$A$15,CK$13)))</f>
        <v>1000000000000</v>
      </c>
      <c r="CL146" s="172">
        <f t="array" aca="1" ref="CL146" ca="1">IF(OR($D146&lt;&gt;"Serviço",AND(AUTOEVENTO="Manual",$M146=$A$15),$M146&gt;(ROW(PLE.lastrow)-ROW(PLE.firstrow))),0,
           IF(OFFSET(PLE!$G$15,$M146-$A$15,CL$13)="",10^12,OFFSET(PLE!$G$15,$M146-$A$15,CL$13)))</f>
        <v>1000000000000</v>
      </c>
      <c r="CM146" s="172">
        <f t="array" aca="1" ref="CM146" ca="1">IF(OR($D146&lt;&gt;"Serviço",AND(AUTOEVENTO="Manual",$M146=$A$15),$M146&gt;(ROW(PLE.lastrow)-ROW(PLE.firstrow))),0,
           IF(OFFSET(PLE!$G$15,$M146-$A$15,CM$13)="",10^12,OFFSET(PLE!$G$15,$M146-$A$15,CM$13)))</f>
        <v>1000000000000</v>
      </c>
    </row>
    <row r="147" spans="1:91" s="696" customFormat="1" ht="38.25" x14ac:dyDescent="0.2">
      <c r="A147" s="694">
        <f t="shared" ca="1" si="82"/>
        <v>32</v>
      </c>
      <c r="B147" s="694" t="str">
        <f ca="1">OFFSET(ORÇAMENTO!C$15,$L147,0)</f>
        <v>S</v>
      </c>
      <c r="C147" s="694" t="str">
        <f ca="1">OFFSET(ORÇAMENTO!L$15,$L147,0)</f>
        <v>F</v>
      </c>
      <c r="D147" s="116" t="str">
        <f ca="1">OFFSET(ORÇAMENTO!N$15,$L147,0)</f>
        <v>Serviço</v>
      </c>
      <c r="E147" s="117" t="str">
        <f ca="1">OFFSET(ORÇAMENTO!O$15,$L147,0)</f>
        <v>1.24.10.</v>
      </c>
      <c r="F147" s="163" t="str">
        <f ca="1">OFFSET(ORÇAMENTO!R$15,$L147,0)</f>
        <v>PLACA 4"X2" CEGA, INCLUSIVE FORNECIMENTO E INSTALAÇÃO, EXCLUSIVE SUPORTE</v>
      </c>
      <c r="G147" s="164" t="str">
        <f ca="1">IF($D147&lt;&gt;"Serviço","",OFFSET(ORÇAMENTO!S$15,$L147,0))</f>
        <v>un</v>
      </c>
      <c r="H147" s="122">
        <f t="array" aca="1" ref="H147" ca="1">IF($D147&lt;&gt;"Serviço",0,IF(ACOMPANHAMENTO="BM",ROUND(OFFSET(ORÇAMENTO!AJ$15,$L147,0),15-13*ORÇAMENTO!$AF$7),IF(IFERROR(CÁLCULO.FrentesPreenchidas,0)=0,0,SUM(ROUND(OFFSET($P147,0,1,1,CÁLCULO.FrentesPreenchidas),15-13*ORÇAMENTO!$AF$7)))))</f>
        <v>40</v>
      </c>
      <c r="I147" s="467" t="s">
        <v>1296</v>
      </c>
      <c r="J147" s="653" t="str">
        <f t="array" aca="1" ref="J147" ca="1">IF(OR(B147&lt;&gt;"S",CÁLCULO.FrentesPreenchidas=0),"",IF(AND(ACOMPANHAMENTO="PLE",AUTOEVENTO="Manual",OR(H147&gt;0,ORÇAMENTO!AC147="QUANT."),OR(K147="",M147=0,N147="")),"►E",IF(AND(ACOMPANHAMENTO="PLE",ORÇAMENTO!AC147="QUANT."),"►Q",IF(AND(ACOMPANHAMENTO="PLE",H147&lt;&gt;SUMPRODUCT(($Q$1:$AI$1=1)*ROUND(Q147:AI147,15))),"►S",IF(AND(COUNTIF($P$11:$AI$11,"▼")=0,H147&gt;0,I147=""),"◄M","")))))</f>
        <v/>
      </c>
      <c r="K147" s="654" t="s">
        <v>1441</v>
      </c>
      <c r="L147" s="165">
        <f t="shared" ca="1" si="83"/>
        <v>132</v>
      </c>
      <c r="M147" s="166">
        <f ca="1">IF($D147&lt;&gt;"Serviço","",
          IF(AUTOEVENTO="manual",$A147,
                IF(ISERROR(MATCH($A147,$A$15:OFFSET($A147,-1,0),0)),MAX($M$15:OFFSET(M147,-1,0))+1,
                      INDEX($M$15:OFFSET(M147,-1,0),MATCH($A147,$A$15:OFFSET($A147,-1,0),0)))))</f>
        <v>32</v>
      </c>
      <c r="N147" s="167" t="str">
        <f ca="1">IF($D147&lt;&gt;"Serviço","",
         IF(AUTOEVENTO="Manual",
                IF($A147=0,"&lt;-- defina o número do agrupador",
                       OFFSET(EVENTOS!$D$15,$A147-$A$15,0)),
                OFFSET($F$15,$A147,0)))</f>
        <v>ACABAMENTOS ELÉTRICOS</v>
      </c>
      <c r="O147" s="168"/>
      <c r="Q147" s="169">
        <v>10</v>
      </c>
      <c r="R147" s="169">
        <v>10</v>
      </c>
      <c r="S147" s="169">
        <v>10</v>
      </c>
      <c r="T147" s="169">
        <v>10</v>
      </c>
      <c r="U147" s="169"/>
      <c r="V147" s="169"/>
      <c r="W147" s="169"/>
      <c r="X147" s="169"/>
      <c r="Y147" s="169"/>
      <c r="Z147" s="170"/>
      <c r="AA147" s="169"/>
      <c r="AB147" s="169"/>
      <c r="AC147" s="169"/>
      <c r="AD147" s="169"/>
      <c r="AE147" s="169"/>
      <c r="AF147" s="169"/>
      <c r="AG147" s="169"/>
      <c r="AH147" s="170"/>
      <c r="AJ147" s="452">
        <f ca="1">IF(AND($D147="Serviço",AJ$12&lt;&gt;0,$H147&gt;0,OR(AUTOEVENTO&lt;&gt;"manual",$M147&lt;&gt;$A$15)),
        IF(Import.TipoArredondamento&lt;&gt;"TransfereGOV",
              ROUND(OFFSET($P147,0,AJ$13),15-13*ORÇAMENTO!$AF$7)/$H147*OFFSET(ORÇAMENTO!$X$15,ROW(AJ147)-ROW(AJ$15),0),
              ROUND(ROUND(OFFSET($P147,0,AJ$13),15-13*ORÇAMENTO!$AF$7)*OFFSET(ORÇAMENTO!$W$15,ROW(AJ147)-ROW(AJ$15),0),15-13*ORÇAMENTO!$AF$11)),
         0)</f>
        <v>61</v>
      </c>
      <c r="AK147" s="452">
        <f ca="1">IF(AND($D147="Serviço",AK$12&lt;&gt;0,$H147&gt;0,OR(AUTOEVENTO&lt;&gt;"manual",$M147&lt;&gt;$A$15)),
        IF(Import.TipoArredondamento&lt;&gt;"TransfereGOV",
              ROUND(OFFSET($P147,0,AK$13),15-13*ORÇAMENTO!$AF$7)/$H147*OFFSET(ORÇAMENTO!$X$15,ROW(AK147)-ROW(AK$15),0),
              ROUND(ROUND(OFFSET($P147,0,AK$13),15-13*ORÇAMENTO!$AF$7)*OFFSET(ORÇAMENTO!$W$15,ROW(AK147)-ROW(AK$15),0),15-13*ORÇAMENTO!$AF$11)),
         0)</f>
        <v>61</v>
      </c>
      <c r="AL147" s="452">
        <f ca="1">IF(AND($D147="Serviço",AL$12&lt;&gt;0,$H147&gt;0,OR(AUTOEVENTO&lt;&gt;"manual",$M147&lt;&gt;$A$15)),
        IF(Import.TipoArredondamento&lt;&gt;"TransfereGOV",
              ROUND(OFFSET($P147,0,AL$13),15-13*ORÇAMENTO!$AF$7)/$H147*OFFSET(ORÇAMENTO!$X$15,ROW(AL147)-ROW(AL$15),0),
              ROUND(ROUND(OFFSET($P147,0,AL$13),15-13*ORÇAMENTO!$AF$7)*OFFSET(ORÇAMENTO!$W$15,ROW(AL147)-ROW(AL$15),0),15-13*ORÇAMENTO!$AF$11)),
         0)</f>
        <v>61</v>
      </c>
      <c r="AM147" s="452">
        <f ca="1">IF(AND($D147="Serviço",AM$12&lt;&gt;0,$H147&gt;0,OR(AUTOEVENTO&lt;&gt;"manual",$M147&lt;&gt;$A$15)),
        IF(Import.TipoArredondamento&lt;&gt;"TransfereGOV",
              ROUND(OFFSET($P147,0,AM$13),15-13*ORÇAMENTO!$AF$7)/$H147*OFFSET(ORÇAMENTO!$X$15,ROW(AM147)-ROW(AM$15),0),
              ROUND(ROUND(OFFSET($P147,0,AM$13),15-13*ORÇAMENTO!$AF$7)*OFFSET(ORÇAMENTO!$W$15,ROW(AM147)-ROW(AM$15),0),15-13*ORÇAMENTO!$AF$11)),
         0)</f>
        <v>61</v>
      </c>
      <c r="AN147" s="452">
        <f ca="1">IF(AND($D147="Serviço",AN$12&lt;&gt;0,$H147&gt;0,OR(AUTOEVENTO&lt;&gt;"manual",$M147&lt;&gt;$A$15)),
        IF(Import.TipoArredondamento&lt;&gt;"TransfereGOV",
              ROUND(OFFSET($P147,0,AN$13),15-13*ORÇAMENTO!$AF$7)/$H147*OFFSET(ORÇAMENTO!$X$15,ROW(AN147)-ROW(AN$15),0),
              ROUND(ROUND(OFFSET($P147,0,AN$13),15-13*ORÇAMENTO!$AF$7)*OFFSET(ORÇAMENTO!$W$15,ROW(AN147)-ROW(AN$15),0),15-13*ORÇAMENTO!$AF$11)),
         0)</f>
        <v>0</v>
      </c>
      <c r="AO147" s="452">
        <f ca="1">IF(AND($D147="Serviço",AO$12&lt;&gt;0,$H147&gt;0,OR(AUTOEVENTO&lt;&gt;"manual",$M147&lt;&gt;$A$15)),
        IF(Import.TipoArredondamento&lt;&gt;"TransfereGOV",
              ROUND(OFFSET($P147,0,AO$13),15-13*ORÇAMENTO!$AF$7)/$H147*OFFSET(ORÇAMENTO!$X$15,ROW(AO147)-ROW(AO$15),0),
              ROUND(ROUND(OFFSET($P147,0,AO$13),15-13*ORÇAMENTO!$AF$7)*OFFSET(ORÇAMENTO!$W$15,ROW(AO147)-ROW(AO$15),0),15-13*ORÇAMENTO!$AF$11)),
         0)</f>
        <v>0</v>
      </c>
      <c r="AP147" s="452">
        <f ca="1">IF(AND($D147="Serviço",AP$12&lt;&gt;0,$H147&gt;0,OR(AUTOEVENTO&lt;&gt;"manual",$M147&lt;&gt;$A$15)),
        IF(Import.TipoArredondamento&lt;&gt;"TransfereGOV",
              ROUND(OFFSET($P147,0,AP$13),15-13*ORÇAMENTO!$AF$7)/$H147*OFFSET(ORÇAMENTO!$X$15,ROW(AP147)-ROW(AP$15),0),
              ROUND(ROUND(OFFSET($P147,0,AP$13),15-13*ORÇAMENTO!$AF$7)*OFFSET(ORÇAMENTO!$W$15,ROW(AP147)-ROW(AP$15),0),15-13*ORÇAMENTO!$AF$11)),
         0)</f>
        <v>0</v>
      </c>
      <c r="AQ147" s="452">
        <f ca="1">IF(AND($D147="Serviço",AQ$12&lt;&gt;0,$H147&gt;0,OR(AUTOEVENTO&lt;&gt;"manual",$M147&lt;&gt;$A$15)),
        IF(Import.TipoArredondamento&lt;&gt;"TransfereGOV",
              ROUND(OFFSET($P147,0,AQ$13),15-13*ORÇAMENTO!$AF$7)/$H147*OFFSET(ORÇAMENTO!$X$15,ROW(AQ147)-ROW(AQ$15),0),
              ROUND(ROUND(OFFSET($P147,0,AQ$13),15-13*ORÇAMENTO!$AF$7)*OFFSET(ORÇAMENTO!$W$15,ROW(AQ147)-ROW(AQ$15),0),15-13*ORÇAMENTO!$AF$11)),
         0)</f>
        <v>0</v>
      </c>
      <c r="AR147" s="452">
        <f ca="1">IF(AND($D147="Serviço",AR$12&lt;&gt;0,$H147&gt;0,OR(AUTOEVENTO&lt;&gt;"manual",$M147&lt;&gt;$A$15)),
        IF(Import.TipoArredondamento&lt;&gt;"TransfereGOV",
              ROUND(OFFSET($P147,0,AR$13),15-13*ORÇAMENTO!$AF$7)/$H147*OFFSET(ORÇAMENTO!$X$15,ROW(AR147)-ROW(AR$15),0),
              ROUND(ROUND(OFFSET($P147,0,AR$13),15-13*ORÇAMENTO!$AF$7)*OFFSET(ORÇAMENTO!$W$15,ROW(AR147)-ROW(AR$15),0),15-13*ORÇAMENTO!$AF$11)),
         0)</f>
        <v>0</v>
      </c>
      <c r="AS147" s="452">
        <f ca="1">IF(AND($D147="Serviço",AS$12&lt;&gt;0,$H147&gt;0,OR(AUTOEVENTO&lt;&gt;"manual",$M147&lt;&gt;$A$15)),
        IF(Import.TipoArredondamento&lt;&gt;"TransfereGOV",
              ROUND(OFFSET($P147,0,AS$13),15-13*ORÇAMENTO!$AF$7)/$H147*OFFSET(ORÇAMENTO!$X$15,ROW(AS147)-ROW(AS$15),0),
              ROUND(ROUND(OFFSET($P147,0,AS$13),15-13*ORÇAMENTO!$AF$7)*OFFSET(ORÇAMENTO!$W$15,ROW(AS147)-ROW(AS$15),0),15-13*ORÇAMENTO!$AF$11)),
         0)</f>
        <v>0</v>
      </c>
      <c r="AT147" s="452">
        <f ca="1">IF(AND($D147="Serviço",AT$12&lt;&gt;0,$H147&gt;0,OR(AUTOEVENTO&lt;&gt;"manual",$M147&lt;&gt;$A$15)),
        IF(Import.TipoArredondamento&lt;&gt;"TransfereGOV",
              ROUND(OFFSET($P147,0,AT$13),15-13*ORÇAMENTO!$AF$7)/$H147*OFFSET(ORÇAMENTO!$X$15,ROW(AT147)-ROW(AT$15),0),
              ROUND(ROUND(OFFSET($P147,0,AT$13),15-13*ORÇAMENTO!$AF$7)*OFFSET(ORÇAMENTO!$W$15,ROW(AT147)-ROW(AT$15),0),15-13*ORÇAMENTO!$AF$11)),
         0)</f>
        <v>0</v>
      </c>
      <c r="AU147" s="452">
        <f ca="1">IF(AND($D147="Serviço",AU$12&lt;&gt;0,$H147&gt;0,OR(AUTOEVENTO&lt;&gt;"manual",$M147&lt;&gt;$A$15)),
        IF(Import.TipoArredondamento&lt;&gt;"TransfereGOV",
              ROUND(OFFSET($P147,0,AU$13),15-13*ORÇAMENTO!$AF$7)/$H147*OFFSET(ORÇAMENTO!$X$15,ROW(AU147)-ROW(AU$15),0),
              ROUND(ROUND(OFFSET($P147,0,AU$13),15-13*ORÇAMENTO!$AF$7)*OFFSET(ORÇAMENTO!$W$15,ROW(AU147)-ROW(AU$15),0),15-13*ORÇAMENTO!$AF$11)),
         0)</f>
        <v>0</v>
      </c>
      <c r="AV147" s="452">
        <f ca="1">IF(AND($D147="Serviço",AV$12&lt;&gt;0,$H147&gt;0,OR(AUTOEVENTO&lt;&gt;"manual",$M147&lt;&gt;$A$15)),
        IF(Import.TipoArredondamento&lt;&gt;"TransfereGOV",
              ROUND(OFFSET($P147,0,AV$13),15-13*ORÇAMENTO!$AF$7)/$H147*OFFSET(ORÇAMENTO!$X$15,ROW(AV147)-ROW(AV$15),0),
              ROUND(ROUND(OFFSET($P147,0,AV$13),15-13*ORÇAMENTO!$AF$7)*OFFSET(ORÇAMENTO!$W$15,ROW(AV147)-ROW(AV$15),0),15-13*ORÇAMENTO!$AF$11)),
         0)</f>
        <v>0</v>
      </c>
      <c r="AW147" s="452">
        <f ca="1">IF(AND($D147="Serviço",AW$12&lt;&gt;0,$H147&gt;0,OR(AUTOEVENTO&lt;&gt;"manual",$M147&lt;&gt;$A$15)),
        IF(Import.TipoArredondamento&lt;&gt;"TransfereGOV",
              ROUND(OFFSET($P147,0,AW$13),15-13*ORÇAMENTO!$AF$7)/$H147*OFFSET(ORÇAMENTO!$X$15,ROW(AW147)-ROW(AW$15),0),
              ROUND(ROUND(OFFSET($P147,0,AW$13),15-13*ORÇAMENTO!$AF$7)*OFFSET(ORÇAMENTO!$W$15,ROW(AW147)-ROW(AW$15),0),15-13*ORÇAMENTO!$AF$11)),
         0)</f>
        <v>0</v>
      </c>
      <c r="AX147" s="452">
        <f ca="1">IF(AND($D147="Serviço",AX$12&lt;&gt;0,$H147&gt;0,OR(AUTOEVENTO&lt;&gt;"manual",$M147&lt;&gt;$A$15)),
        IF(Import.TipoArredondamento&lt;&gt;"TransfereGOV",
              ROUND(OFFSET($P147,0,AX$13),15-13*ORÇAMENTO!$AF$7)/$H147*OFFSET(ORÇAMENTO!$X$15,ROW(AX147)-ROW(AX$15),0),
              ROUND(ROUND(OFFSET($P147,0,AX$13),15-13*ORÇAMENTO!$AF$7)*OFFSET(ORÇAMENTO!$W$15,ROW(AX147)-ROW(AX$15),0),15-13*ORÇAMENTO!$AF$11)),
         0)</f>
        <v>0</v>
      </c>
      <c r="AY147" s="452">
        <f ca="1">IF(AND($D147="Serviço",AY$12&lt;&gt;0,$H147&gt;0,OR(AUTOEVENTO&lt;&gt;"manual",$M147&lt;&gt;$A$15)),
        IF(Import.TipoArredondamento&lt;&gt;"TransfereGOV",
              ROUND(OFFSET($P147,0,AY$13),15-13*ORÇAMENTO!$AF$7)/$H147*OFFSET(ORÇAMENTO!$X$15,ROW(AY147)-ROW(AY$15),0),
              ROUND(ROUND(OFFSET($P147,0,AY$13),15-13*ORÇAMENTO!$AF$7)*OFFSET(ORÇAMENTO!$W$15,ROW(AY147)-ROW(AY$15),0),15-13*ORÇAMENTO!$AF$11)),
         0)</f>
        <v>0</v>
      </c>
      <c r="AZ147" s="452">
        <f ca="1">IF(AND($D147="Serviço",AZ$12&lt;&gt;0,$H147&gt;0,OR(AUTOEVENTO&lt;&gt;"manual",$M147&lt;&gt;$A$15)),
        IF(Import.TipoArredondamento&lt;&gt;"TransfereGOV",
              ROUND(OFFSET($P147,0,AZ$13),15-13*ORÇAMENTO!$AF$7)/$H147*OFFSET(ORÇAMENTO!$X$15,ROW(AZ147)-ROW(AZ$15),0),
              ROUND(ROUND(OFFSET($P147,0,AZ$13),15-13*ORÇAMENTO!$AF$7)*OFFSET(ORÇAMENTO!$W$15,ROW(AZ147)-ROW(AZ$15),0),15-13*ORÇAMENTO!$AF$11)),
         0)</f>
        <v>0</v>
      </c>
      <c r="BA147" s="452">
        <f ca="1">IF(AND($D147="Serviço",BA$12&lt;&gt;0,$H147&gt;0,OR(AUTOEVENTO&lt;&gt;"manual",$M147&lt;&gt;$A$15)),
        IF(Import.TipoArredondamento&lt;&gt;"TransfereGOV",
              ROUND(OFFSET($P147,0,BA$13),15-13*ORÇAMENTO!$AF$7)/$H147*OFFSET(ORÇAMENTO!$X$15,ROW(BA147)-ROW(BA$15),0),
              ROUND(ROUND(OFFSET($P147,0,BA$13),15-13*ORÇAMENTO!$AF$7)*OFFSET(ORÇAMENTO!$W$15,ROW(BA147)-ROW(BA$15),0),15-13*ORÇAMENTO!$AF$11)),
         0)</f>
        <v>0</v>
      </c>
      <c r="BC147" s="171">
        <f ca="1">IF(OR($D147&lt;&gt;"Serviço",AND(AUTOEVENTO="Manual",$M147=$A$15)),0,
         IF(OFFSET(CRONOPLE!$F$15,$M147-$A$15,BC$13)=0,10^12,OFFSET(CRONOPLE!$F$15,$M147-$A$15,BC$13)))</f>
        <v>8</v>
      </c>
      <c r="BD147" s="171">
        <f ca="1">IF(OR($D147&lt;&gt;"Serviço",AND(AUTOEVENTO="Manual",$M147=$A$15)),0,
         IF(OFFSET(CRONOPLE!$F$15,$M147-$A$15,BD$13)=0,10^12,OFFSET(CRONOPLE!$F$15,$M147-$A$15,BD$13)))</f>
        <v>8</v>
      </c>
      <c r="BE147" s="171">
        <f ca="1">IF(OR($D147&lt;&gt;"Serviço",AND(AUTOEVENTO="Manual",$M147=$A$15)),0,
         IF(OFFSET(CRONOPLE!$F$15,$M147-$A$15,BE$13)=0,10^12,OFFSET(CRONOPLE!$F$15,$M147-$A$15,BE$13)))</f>
        <v>9</v>
      </c>
      <c r="BF147" s="171">
        <f ca="1">IF(OR($D147&lt;&gt;"Serviço",AND(AUTOEVENTO="Manual",$M147=$A$15)),0,
         IF(OFFSET(CRONOPLE!$F$15,$M147-$A$15,BF$13)=0,10^12,OFFSET(CRONOPLE!$F$15,$M147-$A$15,BF$13)))</f>
        <v>9</v>
      </c>
      <c r="BG147" s="171">
        <f ca="1">IF(OR($D147&lt;&gt;"Serviço",AND(AUTOEVENTO="Manual",$M147=$A$15)),0,
         IF(OFFSET(CRONOPLE!$F$15,$M147-$A$15,BG$13)=0,10^12,OFFSET(CRONOPLE!$F$15,$M147-$A$15,BG$13)))</f>
        <v>9</v>
      </c>
      <c r="BH147" s="171">
        <f ca="1">IF(OR($D147&lt;&gt;"Serviço",AND(AUTOEVENTO="Manual",$M147=$A$15)),0,
         IF(OFFSET(CRONOPLE!$F$15,$M147-$A$15,BH$13)=0,10^12,OFFSET(CRONOPLE!$F$15,$M147-$A$15,BH$13)))</f>
        <v>1000000000000</v>
      </c>
      <c r="BI147" s="171">
        <f ca="1">IF(OR($D147&lt;&gt;"Serviço",AND(AUTOEVENTO="Manual",$M147=$A$15)),0,
         IF(OFFSET(CRONOPLE!$F$15,$M147-$A$15,BI$13)=0,10^12,OFFSET(CRONOPLE!$F$15,$M147-$A$15,BI$13)))</f>
        <v>1000000000000</v>
      </c>
      <c r="BJ147" s="171">
        <f ca="1">IF(OR($D147&lt;&gt;"Serviço",AND(AUTOEVENTO="Manual",$M147=$A$15)),0,
         IF(OFFSET(CRONOPLE!$F$15,$M147-$A$15,BJ$13)=0,10^12,OFFSET(CRONOPLE!$F$15,$M147-$A$15,BJ$13)))</f>
        <v>8</v>
      </c>
      <c r="BK147" s="171">
        <f ca="1">IF(OR($D147&lt;&gt;"Serviço",AND(AUTOEVENTO="Manual",$M147=$A$15)),0,
         IF(OFFSET(CRONOPLE!$F$15,$M147-$A$15,BK$13)=0,10^12,OFFSET(CRONOPLE!$F$15,$M147-$A$15,BK$13)))</f>
        <v>9</v>
      </c>
      <c r="BL147" s="171">
        <f ca="1">IF(OR($D147&lt;&gt;"Serviço",AND(AUTOEVENTO="Manual",$M147=$A$15)),0,
         IF(OFFSET(CRONOPLE!$F$15,$M147-$A$15,BL$13)=0,10^12,OFFSET(CRONOPLE!$F$15,$M147-$A$15,BL$13)))</f>
        <v>1000000000000</v>
      </c>
      <c r="BM147" s="171">
        <f ca="1">IF(OR($D147&lt;&gt;"Serviço",AND(AUTOEVENTO="Manual",$M147=$A$15)),0,
         IF(OFFSET(CRONOPLE!$F$15,$M147-$A$15,BM$13)=0,10^12,OFFSET(CRONOPLE!$F$15,$M147-$A$15,BM$13)))</f>
        <v>1000000000000</v>
      </c>
      <c r="BN147" s="171">
        <f ca="1">IF(OR($D147&lt;&gt;"Serviço",AND(AUTOEVENTO="Manual",$M147=$A$15)),0,
         IF(OFFSET(CRONOPLE!$F$15,$M147-$A$15,BN$13)=0,10^12,OFFSET(CRONOPLE!$F$15,$M147-$A$15,BN$13)))</f>
        <v>1000000000000</v>
      </c>
      <c r="BO147" s="171">
        <f ca="1">IF(OR($D147&lt;&gt;"Serviço",AND(AUTOEVENTO="Manual",$M147=$A$15)),0,
         IF(OFFSET(CRONOPLE!$F$15,$M147-$A$15,BO$13)=0,10^12,OFFSET(CRONOPLE!$F$15,$M147-$A$15,BO$13)))</f>
        <v>1000000000000</v>
      </c>
      <c r="BP147" s="171">
        <f ca="1">IF(OR($D147&lt;&gt;"Serviço",AND(AUTOEVENTO="Manual",$M147=$A$15)),0,
         IF(OFFSET(CRONOPLE!$F$15,$M147-$A$15,BP$13)=0,10^12,OFFSET(CRONOPLE!$F$15,$M147-$A$15,BP$13)))</f>
        <v>1000000000000</v>
      </c>
      <c r="BQ147" s="171">
        <f ca="1">IF(OR($D147&lt;&gt;"Serviço",AND(AUTOEVENTO="Manual",$M147=$A$15)),0,
         IF(OFFSET(CRONOPLE!$F$15,$M147-$A$15,BQ$13)=0,10^12,OFFSET(CRONOPLE!$F$15,$M147-$A$15,BQ$13)))</f>
        <v>1000000000000</v>
      </c>
      <c r="BR147" s="171">
        <f ca="1">IF(OR($D147&lt;&gt;"Serviço",AND(AUTOEVENTO="Manual",$M147=$A$15)),0,
         IF(OFFSET(CRONOPLE!$F$15,$M147-$A$15,BR$13)=0,10^12,OFFSET(CRONOPLE!$F$15,$M147-$A$15,BR$13)))</f>
        <v>1000000000000</v>
      </c>
      <c r="BS147" s="171">
        <f ca="1">IF(OR($D147&lt;&gt;"Serviço",AND(AUTOEVENTO="Manual",$M147=$A$15)),0,
         IF(OFFSET(CRONOPLE!$F$15,$M147-$A$15,BS$13)=0,10^12,OFFSET(CRONOPLE!$F$15,$M147-$A$15,BS$13)))</f>
        <v>1000000000000</v>
      </c>
      <c r="BT147" s="171">
        <f ca="1">IF(OR($D147&lt;&gt;"Serviço",AND(AUTOEVENTO="Manual",$M147=$A$15)),0,
         IF(OFFSET(CRONOPLE!$F$15,$M147-$A$15,BT$13)=0,10^12,OFFSET(CRONOPLE!$F$15,$M147-$A$15,BT$13)))</f>
        <v>1000000000000</v>
      </c>
      <c r="BV147" s="172">
        <f t="array" aca="1" ref="BV147" ca="1">IF(OR($D147&lt;&gt;"Serviço",AND(AUTOEVENTO="Manual",$M147=$A$15),$M147&gt;(ROW(PLE.lastrow)-ROW(PLE.firstrow))),0,
           IF(OFFSET(PLE!$G$15,$M147-$A$15,BV$13)="",10^12,OFFSET(PLE!$G$15,$M147-$A$15,BV$13)))</f>
        <v>1000000000000</v>
      </c>
      <c r="BW147" s="172">
        <f t="array" aca="1" ref="BW147" ca="1">IF(OR($D147&lt;&gt;"Serviço",AND(AUTOEVENTO="Manual",$M147=$A$15),$M147&gt;(ROW(PLE.lastrow)-ROW(PLE.firstrow))),0,
           IF(OFFSET(PLE!$G$15,$M147-$A$15,BW$13)="",10^12,OFFSET(PLE!$G$15,$M147-$A$15,BW$13)))</f>
        <v>1000000000000</v>
      </c>
      <c r="BX147" s="172">
        <f t="array" aca="1" ref="BX147" ca="1">IF(OR($D147&lt;&gt;"Serviço",AND(AUTOEVENTO="Manual",$M147=$A$15),$M147&gt;(ROW(PLE.lastrow)-ROW(PLE.firstrow))),0,
           IF(OFFSET(PLE!$G$15,$M147-$A$15,BX$13)="",10^12,OFFSET(PLE!$G$15,$M147-$A$15,BX$13)))</f>
        <v>1000000000000</v>
      </c>
      <c r="BY147" s="172">
        <f t="array" aca="1" ref="BY147" ca="1">IF(OR($D147&lt;&gt;"Serviço",AND(AUTOEVENTO="Manual",$M147=$A$15),$M147&gt;(ROW(PLE.lastrow)-ROW(PLE.firstrow))),0,
           IF(OFFSET(PLE!$G$15,$M147-$A$15,BY$13)="",10^12,OFFSET(PLE!$G$15,$M147-$A$15,BY$13)))</f>
        <v>1000000000000</v>
      </c>
      <c r="BZ147" s="172">
        <f t="array" aca="1" ref="BZ147" ca="1">IF(OR($D147&lt;&gt;"Serviço",AND(AUTOEVENTO="Manual",$M147=$A$15),$M147&gt;(ROW(PLE.lastrow)-ROW(PLE.firstrow))),0,
           IF(OFFSET(PLE!$G$15,$M147-$A$15,BZ$13)="",10^12,OFFSET(PLE!$G$15,$M147-$A$15,BZ$13)))</f>
        <v>1000000000000</v>
      </c>
      <c r="CA147" s="172">
        <f t="array" aca="1" ref="CA147" ca="1">IF(OR($D147&lt;&gt;"Serviço",AND(AUTOEVENTO="Manual",$M147=$A$15),$M147&gt;(ROW(PLE.lastrow)-ROW(PLE.firstrow))),0,
           IF(OFFSET(PLE!$G$15,$M147-$A$15,CA$13)="",10^12,OFFSET(PLE!$G$15,$M147-$A$15,CA$13)))</f>
        <v>1000000000000</v>
      </c>
      <c r="CB147" s="172">
        <f t="array" aca="1" ref="CB147" ca="1">IF(OR($D147&lt;&gt;"Serviço",AND(AUTOEVENTO="Manual",$M147=$A$15),$M147&gt;(ROW(PLE.lastrow)-ROW(PLE.firstrow))),0,
           IF(OFFSET(PLE!$G$15,$M147-$A$15,CB$13)="",10^12,OFFSET(PLE!$G$15,$M147-$A$15,CB$13)))</f>
        <v>1000000000000</v>
      </c>
      <c r="CC147" s="172">
        <f t="array" aca="1" ref="CC147" ca="1">IF(OR($D147&lt;&gt;"Serviço",AND(AUTOEVENTO="Manual",$M147=$A$15),$M147&gt;(ROW(PLE.lastrow)-ROW(PLE.firstrow))),0,
           IF(OFFSET(PLE!$G$15,$M147-$A$15,CC$13)="",10^12,OFFSET(PLE!$G$15,$M147-$A$15,CC$13)))</f>
        <v>1000000000000</v>
      </c>
      <c r="CD147" s="172">
        <f t="array" aca="1" ref="CD147" ca="1">IF(OR($D147&lt;&gt;"Serviço",AND(AUTOEVENTO="Manual",$M147=$A$15),$M147&gt;(ROW(PLE.lastrow)-ROW(PLE.firstrow))),0,
           IF(OFFSET(PLE!$G$15,$M147-$A$15,CD$13)="",10^12,OFFSET(PLE!$G$15,$M147-$A$15,CD$13)))</f>
        <v>1000000000000</v>
      </c>
      <c r="CE147" s="172">
        <f t="array" aca="1" ref="CE147" ca="1">IF(OR($D147&lt;&gt;"Serviço",AND(AUTOEVENTO="Manual",$M147=$A$15),$M147&gt;(ROW(PLE.lastrow)-ROW(PLE.firstrow))),0,
           IF(OFFSET(PLE!$G$15,$M147-$A$15,CE$13)="",10^12,OFFSET(PLE!$G$15,$M147-$A$15,CE$13)))</f>
        <v>1000000000000</v>
      </c>
      <c r="CF147" s="172">
        <f t="array" aca="1" ref="CF147" ca="1">IF(OR($D147&lt;&gt;"Serviço",AND(AUTOEVENTO="Manual",$M147=$A$15),$M147&gt;(ROW(PLE.lastrow)-ROW(PLE.firstrow))),0,
           IF(OFFSET(PLE!$G$15,$M147-$A$15,CF$13)="",10^12,OFFSET(PLE!$G$15,$M147-$A$15,CF$13)))</f>
        <v>1000000000000</v>
      </c>
      <c r="CG147" s="172">
        <f t="array" aca="1" ref="CG147" ca="1">IF(OR($D147&lt;&gt;"Serviço",AND(AUTOEVENTO="Manual",$M147=$A$15),$M147&gt;(ROW(PLE.lastrow)-ROW(PLE.firstrow))),0,
           IF(OFFSET(PLE!$G$15,$M147-$A$15,CG$13)="",10^12,OFFSET(PLE!$G$15,$M147-$A$15,CG$13)))</f>
        <v>1000000000000</v>
      </c>
      <c r="CH147" s="172">
        <f t="array" aca="1" ref="CH147" ca="1">IF(OR($D147&lt;&gt;"Serviço",AND(AUTOEVENTO="Manual",$M147=$A$15),$M147&gt;(ROW(PLE.lastrow)-ROW(PLE.firstrow))),0,
           IF(OFFSET(PLE!$G$15,$M147-$A$15,CH$13)="",10^12,OFFSET(PLE!$G$15,$M147-$A$15,CH$13)))</f>
        <v>1000000000000</v>
      </c>
      <c r="CI147" s="172">
        <f t="array" aca="1" ref="CI147" ca="1">IF(OR($D147&lt;&gt;"Serviço",AND(AUTOEVENTO="Manual",$M147=$A$15),$M147&gt;(ROW(PLE.lastrow)-ROW(PLE.firstrow))),0,
           IF(OFFSET(PLE!$G$15,$M147-$A$15,CI$13)="",10^12,OFFSET(PLE!$G$15,$M147-$A$15,CI$13)))</f>
        <v>1000000000000</v>
      </c>
      <c r="CJ147" s="172">
        <f t="array" aca="1" ref="CJ147" ca="1">IF(OR($D147&lt;&gt;"Serviço",AND(AUTOEVENTO="Manual",$M147=$A$15),$M147&gt;(ROW(PLE.lastrow)-ROW(PLE.firstrow))),0,
           IF(OFFSET(PLE!$G$15,$M147-$A$15,CJ$13)="",10^12,OFFSET(PLE!$G$15,$M147-$A$15,CJ$13)))</f>
        <v>1000000000000</v>
      </c>
      <c r="CK147" s="172">
        <f t="array" aca="1" ref="CK147" ca="1">IF(OR($D147&lt;&gt;"Serviço",AND(AUTOEVENTO="Manual",$M147=$A$15),$M147&gt;(ROW(PLE.lastrow)-ROW(PLE.firstrow))),0,
           IF(OFFSET(PLE!$G$15,$M147-$A$15,CK$13)="",10^12,OFFSET(PLE!$G$15,$M147-$A$15,CK$13)))</f>
        <v>1000000000000</v>
      </c>
      <c r="CL147" s="172">
        <f t="array" aca="1" ref="CL147" ca="1">IF(OR($D147&lt;&gt;"Serviço",AND(AUTOEVENTO="Manual",$M147=$A$15),$M147&gt;(ROW(PLE.lastrow)-ROW(PLE.firstrow))),0,
           IF(OFFSET(PLE!$G$15,$M147-$A$15,CL$13)="",10^12,OFFSET(PLE!$G$15,$M147-$A$15,CL$13)))</f>
        <v>1000000000000</v>
      </c>
      <c r="CM147" s="172">
        <f t="array" aca="1" ref="CM147" ca="1">IF(OR($D147&lt;&gt;"Serviço",AND(AUTOEVENTO="Manual",$M147=$A$15),$M147&gt;(ROW(PLE.lastrow)-ROW(PLE.firstrow))),0,
           IF(OFFSET(PLE!$G$15,$M147-$A$15,CM$13)="",10^12,OFFSET(PLE!$G$15,$M147-$A$15,CM$13)))</f>
        <v>1000000000000</v>
      </c>
    </row>
    <row r="148" spans="1:91" s="696" customFormat="1" ht="51" x14ac:dyDescent="0.2">
      <c r="A148" s="694">
        <f t="shared" ca="1" si="82"/>
        <v>37</v>
      </c>
      <c r="B148" s="694" t="str">
        <f ca="1">OFFSET(ORÇAMENTO!C$15,$L148,0)</f>
        <v>S</v>
      </c>
      <c r="C148" s="694" t="str">
        <f ca="1">OFFSET(ORÇAMENTO!L$15,$L148,0)</f>
        <v>F</v>
      </c>
      <c r="D148" s="116" t="str">
        <f ca="1">OFFSET(ORÇAMENTO!N$15,$L148,0)</f>
        <v>Serviço</v>
      </c>
      <c r="E148" s="117" t="str">
        <f ca="1">OFFSET(ORÇAMENTO!O$15,$L148,0)</f>
        <v>1.24.11.</v>
      </c>
      <c r="F148" s="163" t="str">
        <f ca="1">OFFSET(ORÇAMENTO!R$15,$L148,0)</f>
        <v>CAIXA RETANGULAR 4" X 2" BAIXA (0,30 M DO PISO), PVC, INSTALADA EM PAREDE - FORNECIMENTO E INSTALAÇÃO. AF_03/2023</v>
      </c>
      <c r="G148" s="164" t="str">
        <f ca="1">IF($D148&lt;&gt;"Serviço","",OFFSET(ORÇAMENTO!S$15,$L148,0))</f>
        <v>UN</v>
      </c>
      <c r="H148" s="122">
        <f t="array" aca="1" ref="H148" ca="1">IF($D148&lt;&gt;"Serviço",0,IF(ACOMPANHAMENTO="BM",ROUND(OFFSET(ORÇAMENTO!AJ$15,$L148,0),15-13*ORÇAMENTO!$AF$7),IF(IFERROR(CÁLCULO.FrentesPreenchidas,0)=0,0,SUM(ROUND(OFFSET($P148,0,1,1,CÁLCULO.FrentesPreenchidas),15-13*ORÇAMENTO!$AF$7)))))</f>
        <v>240</v>
      </c>
      <c r="I148" s="467" t="s">
        <v>1297</v>
      </c>
      <c r="J148" s="653" t="str">
        <f t="array" aca="1" ref="J148" ca="1">IF(OR(B148&lt;&gt;"S",CÁLCULO.FrentesPreenchidas=0),"",IF(AND(ACOMPANHAMENTO="PLE",AUTOEVENTO="Manual",OR(H148&gt;0,ORÇAMENTO!AC148="QUANT."),OR(K148="",M148=0,N148="")),"►E",IF(AND(ACOMPANHAMENTO="PLE",ORÇAMENTO!AC148="QUANT."),"►Q",IF(AND(ACOMPANHAMENTO="PLE",H148&lt;&gt;SUMPRODUCT(($Q$1:$AI$1=1)*ROUND(Q148:AI148,15))),"►S",IF(AND(COUNTIF($P$11:$AI$11,"▼")=0,H148&gt;0,I148=""),"◄M","")))))</f>
        <v/>
      </c>
      <c r="K148" s="654" t="s">
        <v>1442</v>
      </c>
      <c r="L148" s="165">
        <f t="shared" ca="1" si="83"/>
        <v>133</v>
      </c>
      <c r="M148" s="166">
        <f ca="1">IF($D148&lt;&gt;"Serviço","",
          IF(AUTOEVENTO="manual",$A148,
                IF(ISERROR(MATCH($A148,$A$15:OFFSET($A148,-1,0),0)),MAX($M$15:OFFSET(M148,-1,0))+1,
                      INDEX($M$15:OFFSET(M148,-1,0),MATCH($A148,$A$15:OFFSET($A148,-1,0),0)))))</f>
        <v>37</v>
      </c>
      <c r="N148" s="167" t="str">
        <f ca="1">IF($D148&lt;&gt;"Serviço","",
         IF(AUTOEVENTO="Manual",
                IF($A148=0,"&lt;-- defina o número do agrupador",
                       OFFSET(EVENTOS!$D$15,$A148-$A$15,0)),
                OFFSET($F$15,$A148,0)))</f>
        <v>ELÉTRICA EMBUTIDA EM PAREDE</v>
      </c>
      <c r="O148" s="168"/>
      <c r="Q148" s="169">
        <v>60</v>
      </c>
      <c r="R148" s="169">
        <v>60</v>
      </c>
      <c r="S148" s="169">
        <v>60</v>
      </c>
      <c r="T148" s="169">
        <v>60</v>
      </c>
      <c r="U148" s="169"/>
      <c r="V148" s="169"/>
      <c r="W148" s="169"/>
      <c r="X148" s="169"/>
      <c r="Y148" s="169"/>
      <c r="Z148" s="170"/>
      <c r="AA148" s="169"/>
      <c r="AB148" s="169"/>
      <c r="AC148" s="169"/>
      <c r="AD148" s="169"/>
      <c r="AE148" s="169"/>
      <c r="AF148" s="169"/>
      <c r="AG148" s="169"/>
      <c r="AH148" s="170"/>
      <c r="AJ148" s="452">
        <f ca="1">IF(AND($D148="Serviço",AJ$12&lt;&gt;0,$H148&gt;0,OR(AUTOEVENTO&lt;&gt;"manual",$M148&lt;&gt;$A$15)),
        IF(Import.TipoArredondamento&lt;&gt;"TransfereGOV",
              ROUND(OFFSET($P148,0,AJ$13),15-13*ORÇAMENTO!$AF$7)/$H148*OFFSET(ORÇAMENTO!$X$15,ROW(AJ148)-ROW(AJ$15),0),
              ROUND(ROUND(OFFSET($P148,0,AJ$13),15-13*ORÇAMENTO!$AF$7)*OFFSET(ORÇAMENTO!$W$15,ROW(AJ148)-ROW(AJ$15),0),15-13*ORÇAMENTO!$AF$11)),
         0)</f>
        <v>876.6</v>
      </c>
      <c r="AK148" s="452">
        <f ca="1">IF(AND($D148="Serviço",AK$12&lt;&gt;0,$H148&gt;0,OR(AUTOEVENTO&lt;&gt;"manual",$M148&lt;&gt;$A$15)),
        IF(Import.TipoArredondamento&lt;&gt;"TransfereGOV",
              ROUND(OFFSET($P148,0,AK$13),15-13*ORÇAMENTO!$AF$7)/$H148*OFFSET(ORÇAMENTO!$X$15,ROW(AK148)-ROW(AK$15),0),
              ROUND(ROUND(OFFSET($P148,0,AK$13),15-13*ORÇAMENTO!$AF$7)*OFFSET(ORÇAMENTO!$W$15,ROW(AK148)-ROW(AK$15),0),15-13*ORÇAMENTO!$AF$11)),
         0)</f>
        <v>876.6</v>
      </c>
      <c r="AL148" s="452">
        <f ca="1">IF(AND($D148="Serviço",AL$12&lt;&gt;0,$H148&gt;0,OR(AUTOEVENTO&lt;&gt;"manual",$M148&lt;&gt;$A$15)),
        IF(Import.TipoArredondamento&lt;&gt;"TransfereGOV",
              ROUND(OFFSET($P148,0,AL$13),15-13*ORÇAMENTO!$AF$7)/$H148*OFFSET(ORÇAMENTO!$X$15,ROW(AL148)-ROW(AL$15),0),
              ROUND(ROUND(OFFSET($P148,0,AL$13),15-13*ORÇAMENTO!$AF$7)*OFFSET(ORÇAMENTO!$W$15,ROW(AL148)-ROW(AL$15),0),15-13*ORÇAMENTO!$AF$11)),
         0)</f>
        <v>876.6</v>
      </c>
      <c r="AM148" s="452">
        <f ca="1">IF(AND($D148="Serviço",AM$12&lt;&gt;0,$H148&gt;0,OR(AUTOEVENTO&lt;&gt;"manual",$M148&lt;&gt;$A$15)),
        IF(Import.TipoArredondamento&lt;&gt;"TransfereGOV",
              ROUND(OFFSET($P148,0,AM$13),15-13*ORÇAMENTO!$AF$7)/$H148*OFFSET(ORÇAMENTO!$X$15,ROW(AM148)-ROW(AM$15),0),
              ROUND(ROUND(OFFSET($P148,0,AM$13),15-13*ORÇAMENTO!$AF$7)*OFFSET(ORÇAMENTO!$W$15,ROW(AM148)-ROW(AM$15),0),15-13*ORÇAMENTO!$AF$11)),
         0)</f>
        <v>876.6</v>
      </c>
      <c r="AN148" s="452">
        <f ca="1">IF(AND($D148="Serviço",AN$12&lt;&gt;0,$H148&gt;0,OR(AUTOEVENTO&lt;&gt;"manual",$M148&lt;&gt;$A$15)),
        IF(Import.TipoArredondamento&lt;&gt;"TransfereGOV",
              ROUND(OFFSET($P148,0,AN$13),15-13*ORÇAMENTO!$AF$7)/$H148*OFFSET(ORÇAMENTO!$X$15,ROW(AN148)-ROW(AN$15),0),
              ROUND(ROUND(OFFSET($P148,0,AN$13),15-13*ORÇAMENTO!$AF$7)*OFFSET(ORÇAMENTO!$W$15,ROW(AN148)-ROW(AN$15),0),15-13*ORÇAMENTO!$AF$11)),
         0)</f>
        <v>0</v>
      </c>
      <c r="AO148" s="452">
        <f ca="1">IF(AND($D148="Serviço",AO$12&lt;&gt;0,$H148&gt;0,OR(AUTOEVENTO&lt;&gt;"manual",$M148&lt;&gt;$A$15)),
        IF(Import.TipoArredondamento&lt;&gt;"TransfereGOV",
              ROUND(OFFSET($P148,0,AO$13),15-13*ORÇAMENTO!$AF$7)/$H148*OFFSET(ORÇAMENTO!$X$15,ROW(AO148)-ROW(AO$15),0),
              ROUND(ROUND(OFFSET($P148,0,AO$13),15-13*ORÇAMENTO!$AF$7)*OFFSET(ORÇAMENTO!$W$15,ROW(AO148)-ROW(AO$15),0),15-13*ORÇAMENTO!$AF$11)),
         0)</f>
        <v>0</v>
      </c>
      <c r="AP148" s="452">
        <f ca="1">IF(AND($D148="Serviço",AP$12&lt;&gt;0,$H148&gt;0,OR(AUTOEVENTO&lt;&gt;"manual",$M148&lt;&gt;$A$15)),
        IF(Import.TipoArredondamento&lt;&gt;"TransfereGOV",
              ROUND(OFFSET($P148,0,AP$13),15-13*ORÇAMENTO!$AF$7)/$H148*OFFSET(ORÇAMENTO!$X$15,ROW(AP148)-ROW(AP$15),0),
              ROUND(ROUND(OFFSET($P148,0,AP$13),15-13*ORÇAMENTO!$AF$7)*OFFSET(ORÇAMENTO!$W$15,ROW(AP148)-ROW(AP$15),0),15-13*ORÇAMENTO!$AF$11)),
         0)</f>
        <v>0</v>
      </c>
      <c r="AQ148" s="452">
        <f ca="1">IF(AND($D148="Serviço",AQ$12&lt;&gt;0,$H148&gt;0,OR(AUTOEVENTO&lt;&gt;"manual",$M148&lt;&gt;$A$15)),
        IF(Import.TipoArredondamento&lt;&gt;"TransfereGOV",
              ROUND(OFFSET($P148,0,AQ$13),15-13*ORÇAMENTO!$AF$7)/$H148*OFFSET(ORÇAMENTO!$X$15,ROW(AQ148)-ROW(AQ$15),0),
              ROUND(ROUND(OFFSET($P148,0,AQ$13),15-13*ORÇAMENTO!$AF$7)*OFFSET(ORÇAMENTO!$W$15,ROW(AQ148)-ROW(AQ$15),0),15-13*ORÇAMENTO!$AF$11)),
         0)</f>
        <v>0</v>
      </c>
      <c r="AR148" s="452">
        <f ca="1">IF(AND($D148="Serviço",AR$12&lt;&gt;0,$H148&gt;0,OR(AUTOEVENTO&lt;&gt;"manual",$M148&lt;&gt;$A$15)),
        IF(Import.TipoArredondamento&lt;&gt;"TransfereGOV",
              ROUND(OFFSET($P148,0,AR$13),15-13*ORÇAMENTO!$AF$7)/$H148*OFFSET(ORÇAMENTO!$X$15,ROW(AR148)-ROW(AR$15),0),
              ROUND(ROUND(OFFSET($P148,0,AR$13),15-13*ORÇAMENTO!$AF$7)*OFFSET(ORÇAMENTO!$W$15,ROW(AR148)-ROW(AR$15),0),15-13*ORÇAMENTO!$AF$11)),
         0)</f>
        <v>0</v>
      </c>
      <c r="AS148" s="452">
        <f ca="1">IF(AND($D148="Serviço",AS$12&lt;&gt;0,$H148&gt;0,OR(AUTOEVENTO&lt;&gt;"manual",$M148&lt;&gt;$A$15)),
        IF(Import.TipoArredondamento&lt;&gt;"TransfereGOV",
              ROUND(OFFSET($P148,0,AS$13),15-13*ORÇAMENTO!$AF$7)/$H148*OFFSET(ORÇAMENTO!$X$15,ROW(AS148)-ROW(AS$15),0),
              ROUND(ROUND(OFFSET($P148,0,AS$13),15-13*ORÇAMENTO!$AF$7)*OFFSET(ORÇAMENTO!$W$15,ROW(AS148)-ROW(AS$15),0),15-13*ORÇAMENTO!$AF$11)),
         0)</f>
        <v>0</v>
      </c>
      <c r="AT148" s="452">
        <f ca="1">IF(AND($D148="Serviço",AT$12&lt;&gt;0,$H148&gt;0,OR(AUTOEVENTO&lt;&gt;"manual",$M148&lt;&gt;$A$15)),
        IF(Import.TipoArredondamento&lt;&gt;"TransfereGOV",
              ROUND(OFFSET($P148,0,AT$13),15-13*ORÇAMENTO!$AF$7)/$H148*OFFSET(ORÇAMENTO!$X$15,ROW(AT148)-ROW(AT$15),0),
              ROUND(ROUND(OFFSET($P148,0,AT$13),15-13*ORÇAMENTO!$AF$7)*OFFSET(ORÇAMENTO!$W$15,ROW(AT148)-ROW(AT$15),0),15-13*ORÇAMENTO!$AF$11)),
         0)</f>
        <v>0</v>
      </c>
      <c r="AU148" s="452">
        <f ca="1">IF(AND($D148="Serviço",AU$12&lt;&gt;0,$H148&gt;0,OR(AUTOEVENTO&lt;&gt;"manual",$M148&lt;&gt;$A$15)),
        IF(Import.TipoArredondamento&lt;&gt;"TransfereGOV",
              ROUND(OFFSET($P148,0,AU$13),15-13*ORÇAMENTO!$AF$7)/$H148*OFFSET(ORÇAMENTO!$X$15,ROW(AU148)-ROW(AU$15),0),
              ROUND(ROUND(OFFSET($P148,0,AU$13),15-13*ORÇAMENTO!$AF$7)*OFFSET(ORÇAMENTO!$W$15,ROW(AU148)-ROW(AU$15),0),15-13*ORÇAMENTO!$AF$11)),
         0)</f>
        <v>0</v>
      </c>
      <c r="AV148" s="452">
        <f ca="1">IF(AND($D148="Serviço",AV$12&lt;&gt;0,$H148&gt;0,OR(AUTOEVENTO&lt;&gt;"manual",$M148&lt;&gt;$A$15)),
        IF(Import.TipoArredondamento&lt;&gt;"TransfereGOV",
              ROUND(OFFSET($P148,0,AV$13),15-13*ORÇAMENTO!$AF$7)/$H148*OFFSET(ORÇAMENTO!$X$15,ROW(AV148)-ROW(AV$15),0),
              ROUND(ROUND(OFFSET($P148,0,AV$13),15-13*ORÇAMENTO!$AF$7)*OFFSET(ORÇAMENTO!$W$15,ROW(AV148)-ROW(AV$15),0),15-13*ORÇAMENTO!$AF$11)),
         0)</f>
        <v>0</v>
      </c>
      <c r="AW148" s="452">
        <f ca="1">IF(AND($D148="Serviço",AW$12&lt;&gt;0,$H148&gt;0,OR(AUTOEVENTO&lt;&gt;"manual",$M148&lt;&gt;$A$15)),
        IF(Import.TipoArredondamento&lt;&gt;"TransfereGOV",
              ROUND(OFFSET($P148,0,AW$13),15-13*ORÇAMENTO!$AF$7)/$H148*OFFSET(ORÇAMENTO!$X$15,ROW(AW148)-ROW(AW$15),0),
              ROUND(ROUND(OFFSET($P148,0,AW$13),15-13*ORÇAMENTO!$AF$7)*OFFSET(ORÇAMENTO!$W$15,ROW(AW148)-ROW(AW$15),0),15-13*ORÇAMENTO!$AF$11)),
         0)</f>
        <v>0</v>
      </c>
      <c r="AX148" s="452">
        <f ca="1">IF(AND($D148="Serviço",AX$12&lt;&gt;0,$H148&gt;0,OR(AUTOEVENTO&lt;&gt;"manual",$M148&lt;&gt;$A$15)),
        IF(Import.TipoArredondamento&lt;&gt;"TransfereGOV",
              ROUND(OFFSET($P148,0,AX$13),15-13*ORÇAMENTO!$AF$7)/$H148*OFFSET(ORÇAMENTO!$X$15,ROW(AX148)-ROW(AX$15),0),
              ROUND(ROUND(OFFSET($P148,0,AX$13),15-13*ORÇAMENTO!$AF$7)*OFFSET(ORÇAMENTO!$W$15,ROW(AX148)-ROW(AX$15),0),15-13*ORÇAMENTO!$AF$11)),
         0)</f>
        <v>0</v>
      </c>
      <c r="AY148" s="452">
        <f ca="1">IF(AND($D148="Serviço",AY$12&lt;&gt;0,$H148&gt;0,OR(AUTOEVENTO&lt;&gt;"manual",$M148&lt;&gt;$A$15)),
        IF(Import.TipoArredondamento&lt;&gt;"TransfereGOV",
              ROUND(OFFSET($P148,0,AY$13),15-13*ORÇAMENTO!$AF$7)/$H148*OFFSET(ORÇAMENTO!$X$15,ROW(AY148)-ROW(AY$15),0),
              ROUND(ROUND(OFFSET($P148,0,AY$13),15-13*ORÇAMENTO!$AF$7)*OFFSET(ORÇAMENTO!$W$15,ROW(AY148)-ROW(AY$15),0),15-13*ORÇAMENTO!$AF$11)),
         0)</f>
        <v>0</v>
      </c>
      <c r="AZ148" s="452">
        <f ca="1">IF(AND($D148="Serviço",AZ$12&lt;&gt;0,$H148&gt;0,OR(AUTOEVENTO&lt;&gt;"manual",$M148&lt;&gt;$A$15)),
        IF(Import.TipoArredondamento&lt;&gt;"TransfereGOV",
              ROUND(OFFSET($P148,0,AZ$13),15-13*ORÇAMENTO!$AF$7)/$H148*OFFSET(ORÇAMENTO!$X$15,ROW(AZ148)-ROW(AZ$15),0),
              ROUND(ROUND(OFFSET($P148,0,AZ$13),15-13*ORÇAMENTO!$AF$7)*OFFSET(ORÇAMENTO!$W$15,ROW(AZ148)-ROW(AZ$15),0),15-13*ORÇAMENTO!$AF$11)),
         0)</f>
        <v>0</v>
      </c>
      <c r="BA148" s="452">
        <f ca="1">IF(AND($D148="Serviço",BA$12&lt;&gt;0,$H148&gt;0,OR(AUTOEVENTO&lt;&gt;"manual",$M148&lt;&gt;$A$15)),
        IF(Import.TipoArredondamento&lt;&gt;"TransfereGOV",
              ROUND(OFFSET($P148,0,BA$13),15-13*ORÇAMENTO!$AF$7)/$H148*OFFSET(ORÇAMENTO!$X$15,ROW(BA148)-ROW(BA$15),0),
              ROUND(ROUND(OFFSET($P148,0,BA$13),15-13*ORÇAMENTO!$AF$7)*OFFSET(ORÇAMENTO!$W$15,ROW(BA148)-ROW(BA$15),0),15-13*ORÇAMENTO!$AF$11)),
         0)</f>
        <v>0</v>
      </c>
      <c r="BC148" s="171">
        <f ca="1">IF(OR($D148&lt;&gt;"Serviço",AND(AUTOEVENTO="Manual",$M148=$A$15)),0,
         IF(OFFSET(CRONOPLE!$F$15,$M148-$A$15,BC$13)=0,10^12,OFFSET(CRONOPLE!$F$15,$M148-$A$15,BC$13)))</f>
        <v>5</v>
      </c>
      <c r="BD148" s="171">
        <f ca="1">IF(OR($D148&lt;&gt;"Serviço",AND(AUTOEVENTO="Manual",$M148=$A$15)),0,
         IF(OFFSET(CRONOPLE!$F$15,$M148-$A$15,BD$13)=0,10^12,OFFSET(CRONOPLE!$F$15,$M148-$A$15,BD$13)))</f>
        <v>5</v>
      </c>
      <c r="BE148" s="171">
        <f ca="1">IF(OR($D148&lt;&gt;"Serviço",AND(AUTOEVENTO="Manual",$M148=$A$15)),0,
         IF(OFFSET(CRONOPLE!$F$15,$M148-$A$15,BE$13)=0,10^12,OFFSET(CRONOPLE!$F$15,$M148-$A$15,BE$13)))</f>
        <v>6</v>
      </c>
      <c r="BF148" s="171">
        <f ca="1">IF(OR($D148&lt;&gt;"Serviço",AND(AUTOEVENTO="Manual",$M148=$A$15)),0,
         IF(OFFSET(CRONOPLE!$F$15,$M148-$A$15,BF$13)=0,10^12,OFFSET(CRONOPLE!$F$15,$M148-$A$15,BF$13)))</f>
        <v>6</v>
      </c>
      <c r="BG148" s="171">
        <f ca="1">IF(OR($D148&lt;&gt;"Serviço",AND(AUTOEVENTO="Manual",$M148=$A$15)),0,
         IF(OFFSET(CRONOPLE!$F$15,$M148-$A$15,BG$13)=0,10^12,OFFSET(CRONOPLE!$F$15,$M148-$A$15,BG$13)))</f>
        <v>6</v>
      </c>
      <c r="BH148" s="171">
        <f ca="1">IF(OR($D148&lt;&gt;"Serviço",AND(AUTOEVENTO="Manual",$M148=$A$15)),0,
         IF(OFFSET(CRONOPLE!$F$15,$M148-$A$15,BH$13)=0,10^12,OFFSET(CRONOPLE!$F$15,$M148-$A$15,BH$13)))</f>
        <v>1000000000000</v>
      </c>
      <c r="BI148" s="171">
        <f ca="1">IF(OR($D148&lt;&gt;"Serviço",AND(AUTOEVENTO="Manual",$M148=$A$15)),0,
         IF(OFFSET(CRONOPLE!$F$15,$M148-$A$15,BI$13)=0,10^12,OFFSET(CRONOPLE!$F$15,$M148-$A$15,BI$13)))</f>
        <v>1000000000000</v>
      </c>
      <c r="BJ148" s="171">
        <f ca="1">IF(OR($D148&lt;&gt;"Serviço",AND(AUTOEVENTO="Manual",$M148=$A$15)),0,
         IF(OFFSET(CRONOPLE!$F$15,$M148-$A$15,BJ$13)=0,10^12,OFFSET(CRONOPLE!$F$15,$M148-$A$15,BJ$13)))</f>
        <v>1000000000000</v>
      </c>
      <c r="BK148" s="171">
        <f ca="1">IF(OR($D148&lt;&gt;"Serviço",AND(AUTOEVENTO="Manual",$M148=$A$15)),0,
         IF(OFFSET(CRONOPLE!$F$15,$M148-$A$15,BK$13)=0,10^12,OFFSET(CRONOPLE!$F$15,$M148-$A$15,BK$13)))</f>
        <v>1000000000000</v>
      </c>
      <c r="BL148" s="171">
        <f ca="1">IF(OR($D148&lt;&gt;"Serviço",AND(AUTOEVENTO="Manual",$M148=$A$15)),0,
         IF(OFFSET(CRONOPLE!$F$15,$M148-$A$15,BL$13)=0,10^12,OFFSET(CRONOPLE!$F$15,$M148-$A$15,BL$13)))</f>
        <v>1000000000000</v>
      </c>
      <c r="BM148" s="171">
        <f ca="1">IF(OR($D148&lt;&gt;"Serviço",AND(AUTOEVENTO="Manual",$M148=$A$15)),0,
         IF(OFFSET(CRONOPLE!$F$15,$M148-$A$15,BM$13)=0,10^12,OFFSET(CRONOPLE!$F$15,$M148-$A$15,BM$13)))</f>
        <v>1000000000000</v>
      </c>
      <c r="BN148" s="171">
        <f ca="1">IF(OR($D148&lt;&gt;"Serviço",AND(AUTOEVENTO="Manual",$M148=$A$15)),0,
         IF(OFFSET(CRONOPLE!$F$15,$M148-$A$15,BN$13)=0,10^12,OFFSET(CRONOPLE!$F$15,$M148-$A$15,BN$13)))</f>
        <v>1000000000000</v>
      </c>
      <c r="BO148" s="171">
        <f ca="1">IF(OR($D148&lt;&gt;"Serviço",AND(AUTOEVENTO="Manual",$M148=$A$15)),0,
         IF(OFFSET(CRONOPLE!$F$15,$M148-$A$15,BO$13)=0,10^12,OFFSET(CRONOPLE!$F$15,$M148-$A$15,BO$13)))</f>
        <v>1000000000000</v>
      </c>
      <c r="BP148" s="171">
        <f ca="1">IF(OR($D148&lt;&gt;"Serviço",AND(AUTOEVENTO="Manual",$M148=$A$15)),0,
         IF(OFFSET(CRONOPLE!$F$15,$M148-$A$15,BP$13)=0,10^12,OFFSET(CRONOPLE!$F$15,$M148-$A$15,BP$13)))</f>
        <v>1000000000000</v>
      </c>
      <c r="BQ148" s="171">
        <f ca="1">IF(OR($D148&lt;&gt;"Serviço",AND(AUTOEVENTO="Manual",$M148=$A$15)),0,
         IF(OFFSET(CRONOPLE!$F$15,$M148-$A$15,BQ$13)=0,10^12,OFFSET(CRONOPLE!$F$15,$M148-$A$15,BQ$13)))</f>
        <v>1000000000000</v>
      </c>
      <c r="BR148" s="171">
        <f ca="1">IF(OR($D148&lt;&gt;"Serviço",AND(AUTOEVENTO="Manual",$M148=$A$15)),0,
         IF(OFFSET(CRONOPLE!$F$15,$M148-$A$15,BR$13)=0,10^12,OFFSET(CRONOPLE!$F$15,$M148-$A$15,BR$13)))</f>
        <v>1000000000000</v>
      </c>
      <c r="BS148" s="171">
        <f ca="1">IF(OR($D148&lt;&gt;"Serviço",AND(AUTOEVENTO="Manual",$M148=$A$15)),0,
         IF(OFFSET(CRONOPLE!$F$15,$M148-$A$15,BS$13)=0,10^12,OFFSET(CRONOPLE!$F$15,$M148-$A$15,BS$13)))</f>
        <v>1000000000000</v>
      </c>
      <c r="BT148" s="171">
        <f ca="1">IF(OR($D148&lt;&gt;"Serviço",AND(AUTOEVENTO="Manual",$M148=$A$15)),0,
         IF(OFFSET(CRONOPLE!$F$15,$M148-$A$15,BT$13)=0,10^12,OFFSET(CRONOPLE!$F$15,$M148-$A$15,BT$13)))</f>
        <v>1000000000000</v>
      </c>
      <c r="BV148" s="172">
        <f t="array" aca="1" ref="BV148" ca="1">IF(OR($D148&lt;&gt;"Serviço",AND(AUTOEVENTO="Manual",$M148=$A$15),$M148&gt;(ROW(PLE.lastrow)-ROW(PLE.firstrow))),0,
           IF(OFFSET(PLE!$G$15,$M148-$A$15,BV$13)="",10^12,OFFSET(PLE!$G$15,$M148-$A$15,BV$13)))</f>
        <v>1000000000000</v>
      </c>
      <c r="BW148" s="172">
        <f t="array" aca="1" ref="BW148" ca="1">IF(OR($D148&lt;&gt;"Serviço",AND(AUTOEVENTO="Manual",$M148=$A$15),$M148&gt;(ROW(PLE.lastrow)-ROW(PLE.firstrow))),0,
           IF(OFFSET(PLE!$G$15,$M148-$A$15,BW$13)="",10^12,OFFSET(PLE!$G$15,$M148-$A$15,BW$13)))</f>
        <v>1000000000000</v>
      </c>
      <c r="BX148" s="172">
        <f t="array" aca="1" ref="BX148" ca="1">IF(OR($D148&lt;&gt;"Serviço",AND(AUTOEVENTO="Manual",$M148=$A$15),$M148&gt;(ROW(PLE.lastrow)-ROW(PLE.firstrow))),0,
           IF(OFFSET(PLE!$G$15,$M148-$A$15,BX$13)="",10^12,OFFSET(PLE!$G$15,$M148-$A$15,BX$13)))</f>
        <v>1000000000000</v>
      </c>
      <c r="BY148" s="172">
        <f t="array" aca="1" ref="BY148" ca="1">IF(OR($D148&lt;&gt;"Serviço",AND(AUTOEVENTO="Manual",$M148=$A$15),$M148&gt;(ROW(PLE.lastrow)-ROW(PLE.firstrow))),0,
           IF(OFFSET(PLE!$G$15,$M148-$A$15,BY$13)="",10^12,OFFSET(PLE!$G$15,$M148-$A$15,BY$13)))</f>
        <v>1000000000000</v>
      </c>
      <c r="BZ148" s="172">
        <f t="array" aca="1" ref="BZ148" ca="1">IF(OR($D148&lt;&gt;"Serviço",AND(AUTOEVENTO="Manual",$M148=$A$15),$M148&gt;(ROW(PLE.lastrow)-ROW(PLE.firstrow))),0,
           IF(OFFSET(PLE!$G$15,$M148-$A$15,BZ$13)="",10^12,OFFSET(PLE!$G$15,$M148-$A$15,BZ$13)))</f>
        <v>1000000000000</v>
      </c>
      <c r="CA148" s="172">
        <f t="array" aca="1" ref="CA148" ca="1">IF(OR($D148&lt;&gt;"Serviço",AND(AUTOEVENTO="Manual",$M148=$A$15),$M148&gt;(ROW(PLE.lastrow)-ROW(PLE.firstrow))),0,
           IF(OFFSET(PLE!$G$15,$M148-$A$15,CA$13)="",10^12,OFFSET(PLE!$G$15,$M148-$A$15,CA$13)))</f>
        <v>1000000000000</v>
      </c>
      <c r="CB148" s="172">
        <f t="array" aca="1" ref="CB148" ca="1">IF(OR($D148&lt;&gt;"Serviço",AND(AUTOEVENTO="Manual",$M148=$A$15),$M148&gt;(ROW(PLE.lastrow)-ROW(PLE.firstrow))),0,
           IF(OFFSET(PLE!$G$15,$M148-$A$15,CB$13)="",10^12,OFFSET(PLE!$G$15,$M148-$A$15,CB$13)))</f>
        <v>1000000000000</v>
      </c>
      <c r="CC148" s="172">
        <f t="array" aca="1" ref="CC148" ca="1">IF(OR($D148&lt;&gt;"Serviço",AND(AUTOEVENTO="Manual",$M148=$A$15),$M148&gt;(ROW(PLE.lastrow)-ROW(PLE.firstrow))),0,
           IF(OFFSET(PLE!$G$15,$M148-$A$15,CC$13)="",10^12,OFFSET(PLE!$G$15,$M148-$A$15,CC$13)))</f>
        <v>1000000000000</v>
      </c>
      <c r="CD148" s="172">
        <f t="array" aca="1" ref="CD148" ca="1">IF(OR($D148&lt;&gt;"Serviço",AND(AUTOEVENTO="Manual",$M148=$A$15),$M148&gt;(ROW(PLE.lastrow)-ROW(PLE.firstrow))),0,
           IF(OFFSET(PLE!$G$15,$M148-$A$15,CD$13)="",10^12,OFFSET(PLE!$G$15,$M148-$A$15,CD$13)))</f>
        <v>1000000000000</v>
      </c>
      <c r="CE148" s="172">
        <f t="array" aca="1" ref="CE148" ca="1">IF(OR($D148&lt;&gt;"Serviço",AND(AUTOEVENTO="Manual",$M148=$A$15),$M148&gt;(ROW(PLE.lastrow)-ROW(PLE.firstrow))),0,
           IF(OFFSET(PLE!$G$15,$M148-$A$15,CE$13)="",10^12,OFFSET(PLE!$G$15,$M148-$A$15,CE$13)))</f>
        <v>1000000000000</v>
      </c>
      <c r="CF148" s="172">
        <f t="array" aca="1" ref="CF148" ca="1">IF(OR($D148&lt;&gt;"Serviço",AND(AUTOEVENTO="Manual",$M148=$A$15),$M148&gt;(ROW(PLE.lastrow)-ROW(PLE.firstrow))),0,
           IF(OFFSET(PLE!$G$15,$M148-$A$15,CF$13)="",10^12,OFFSET(PLE!$G$15,$M148-$A$15,CF$13)))</f>
        <v>1000000000000</v>
      </c>
      <c r="CG148" s="172">
        <f t="array" aca="1" ref="CG148" ca="1">IF(OR($D148&lt;&gt;"Serviço",AND(AUTOEVENTO="Manual",$M148=$A$15),$M148&gt;(ROW(PLE.lastrow)-ROW(PLE.firstrow))),0,
           IF(OFFSET(PLE!$G$15,$M148-$A$15,CG$13)="",10^12,OFFSET(PLE!$G$15,$M148-$A$15,CG$13)))</f>
        <v>1000000000000</v>
      </c>
      <c r="CH148" s="172">
        <f t="array" aca="1" ref="CH148" ca="1">IF(OR($D148&lt;&gt;"Serviço",AND(AUTOEVENTO="Manual",$M148=$A$15),$M148&gt;(ROW(PLE.lastrow)-ROW(PLE.firstrow))),0,
           IF(OFFSET(PLE!$G$15,$M148-$A$15,CH$13)="",10^12,OFFSET(PLE!$G$15,$M148-$A$15,CH$13)))</f>
        <v>1000000000000</v>
      </c>
      <c r="CI148" s="172">
        <f t="array" aca="1" ref="CI148" ca="1">IF(OR($D148&lt;&gt;"Serviço",AND(AUTOEVENTO="Manual",$M148=$A$15),$M148&gt;(ROW(PLE.lastrow)-ROW(PLE.firstrow))),0,
           IF(OFFSET(PLE!$G$15,$M148-$A$15,CI$13)="",10^12,OFFSET(PLE!$G$15,$M148-$A$15,CI$13)))</f>
        <v>1000000000000</v>
      </c>
      <c r="CJ148" s="172">
        <f t="array" aca="1" ref="CJ148" ca="1">IF(OR($D148&lt;&gt;"Serviço",AND(AUTOEVENTO="Manual",$M148=$A$15),$M148&gt;(ROW(PLE.lastrow)-ROW(PLE.firstrow))),0,
           IF(OFFSET(PLE!$G$15,$M148-$A$15,CJ$13)="",10^12,OFFSET(PLE!$G$15,$M148-$A$15,CJ$13)))</f>
        <v>1000000000000</v>
      </c>
      <c r="CK148" s="172">
        <f t="array" aca="1" ref="CK148" ca="1">IF(OR($D148&lt;&gt;"Serviço",AND(AUTOEVENTO="Manual",$M148=$A$15),$M148&gt;(ROW(PLE.lastrow)-ROW(PLE.firstrow))),0,
           IF(OFFSET(PLE!$G$15,$M148-$A$15,CK$13)="",10^12,OFFSET(PLE!$G$15,$M148-$A$15,CK$13)))</f>
        <v>1000000000000</v>
      </c>
      <c r="CL148" s="172">
        <f t="array" aca="1" ref="CL148" ca="1">IF(OR($D148&lt;&gt;"Serviço",AND(AUTOEVENTO="Manual",$M148=$A$15),$M148&gt;(ROW(PLE.lastrow)-ROW(PLE.firstrow))),0,
           IF(OFFSET(PLE!$G$15,$M148-$A$15,CL$13)="",10^12,OFFSET(PLE!$G$15,$M148-$A$15,CL$13)))</f>
        <v>1000000000000</v>
      </c>
      <c r="CM148" s="172">
        <f t="array" aca="1" ref="CM148" ca="1">IF(OR($D148&lt;&gt;"Serviço",AND(AUTOEVENTO="Manual",$M148=$A$15),$M148&gt;(ROW(PLE.lastrow)-ROW(PLE.firstrow))),0,
           IF(OFFSET(PLE!$G$15,$M148-$A$15,CM$13)="",10^12,OFFSET(PLE!$G$15,$M148-$A$15,CM$13)))</f>
        <v>1000000000000</v>
      </c>
    </row>
    <row r="149" spans="1:91" s="696" customFormat="1" ht="51" x14ac:dyDescent="0.2">
      <c r="A149" s="694">
        <f t="shared" ca="1" si="82"/>
        <v>37</v>
      </c>
      <c r="B149" s="694" t="str">
        <f ca="1">OFFSET(ORÇAMENTO!C$15,$L149,0)</f>
        <v>S</v>
      </c>
      <c r="C149" s="694" t="str">
        <f ca="1">OFFSET(ORÇAMENTO!L$15,$L149,0)</f>
        <v>F</v>
      </c>
      <c r="D149" s="116" t="str">
        <f ca="1">OFFSET(ORÇAMENTO!N$15,$L149,0)</f>
        <v>Serviço</v>
      </c>
      <c r="E149" s="117" t="str">
        <f ca="1">OFFSET(ORÇAMENTO!O$15,$L149,0)</f>
        <v>1.24.12.</v>
      </c>
      <c r="F149" s="163" t="str">
        <f ca="1">OFFSET(ORÇAMENTO!R$15,$L149,0)</f>
        <v>CAIXA RETANGULAR 4" X 2" MÉDIA (1,30 M DO PISO), PVC, INSTALADA EM PAREDE - FORNECIMENTO E INSTALAÇÃO. AF_03/2023</v>
      </c>
      <c r="G149" s="164" t="str">
        <f ca="1">IF($D149&lt;&gt;"Serviço","",OFFSET(ORÇAMENTO!S$15,$L149,0))</f>
        <v>UN</v>
      </c>
      <c r="H149" s="122">
        <f t="array" aca="1" ref="H149" ca="1">IF($D149&lt;&gt;"Serviço",0,IF(ACOMPANHAMENTO="BM",ROUND(OFFSET(ORÇAMENTO!AJ$15,$L149,0),15-13*ORÇAMENTO!$AF$7),IF(IFERROR(CÁLCULO.FrentesPreenchidas,0)=0,0,SUM(ROUND(OFFSET($P149,0,1,1,CÁLCULO.FrentesPreenchidas),15-13*ORÇAMENTO!$AF$7)))))</f>
        <v>260</v>
      </c>
      <c r="I149" s="467" t="s">
        <v>1299</v>
      </c>
      <c r="J149" s="653" t="str">
        <f t="array" aca="1" ref="J149" ca="1">IF(OR(B149&lt;&gt;"S",CÁLCULO.FrentesPreenchidas=0),"",IF(AND(ACOMPANHAMENTO="PLE",AUTOEVENTO="Manual",OR(H149&gt;0,ORÇAMENTO!AC149="QUANT."),OR(K149="",M149=0,N149="")),"►E",IF(AND(ACOMPANHAMENTO="PLE",ORÇAMENTO!AC149="QUANT."),"►Q",IF(AND(ACOMPANHAMENTO="PLE",H149&lt;&gt;SUMPRODUCT(($Q$1:$AI$1=1)*ROUND(Q149:AI149,15))),"►S",IF(AND(COUNTIF($P$11:$AI$11,"▼")=0,H149&gt;0,I149=""),"◄M","")))))</f>
        <v/>
      </c>
      <c r="K149" s="654" t="s">
        <v>1442</v>
      </c>
      <c r="L149" s="165">
        <f t="shared" ca="1" si="83"/>
        <v>134</v>
      </c>
      <c r="M149" s="166">
        <f ca="1">IF($D149&lt;&gt;"Serviço","",
          IF(AUTOEVENTO="manual",$A149,
                IF(ISERROR(MATCH($A149,$A$15:OFFSET($A149,-1,0),0)),MAX($M$15:OFFSET(M149,-1,0))+1,
                      INDEX($M$15:OFFSET(M149,-1,0),MATCH($A149,$A$15:OFFSET($A149,-1,0),0)))))</f>
        <v>37</v>
      </c>
      <c r="N149" s="167" t="str">
        <f ca="1">IF($D149&lt;&gt;"Serviço","",
         IF(AUTOEVENTO="Manual",
                IF($A149=0,"&lt;-- defina o número do agrupador",
                       OFFSET(EVENTOS!$D$15,$A149-$A$15,0)),
                OFFSET($F$15,$A149,0)))</f>
        <v>ELÉTRICA EMBUTIDA EM PAREDE</v>
      </c>
      <c r="O149" s="168"/>
      <c r="Q149" s="169">
        <v>65</v>
      </c>
      <c r="R149" s="169">
        <v>65</v>
      </c>
      <c r="S149" s="169">
        <v>65</v>
      </c>
      <c r="T149" s="169">
        <v>65</v>
      </c>
      <c r="U149" s="169"/>
      <c r="V149" s="169"/>
      <c r="W149" s="169"/>
      <c r="X149" s="169"/>
      <c r="Y149" s="169"/>
      <c r="Z149" s="170"/>
      <c r="AA149" s="169"/>
      <c r="AB149" s="169"/>
      <c r="AC149" s="169"/>
      <c r="AD149" s="169"/>
      <c r="AE149" s="169"/>
      <c r="AF149" s="169"/>
      <c r="AG149" s="169"/>
      <c r="AH149" s="170"/>
      <c r="AJ149" s="452">
        <f ca="1">IF(AND($D149="Serviço",AJ$12&lt;&gt;0,$H149&gt;0,OR(AUTOEVENTO&lt;&gt;"manual",$M149&lt;&gt;$A$15)),
        IF(Import.TipoArredondamento&lt;&gt;"TransfereGOV",
              ROUND(OFFSET($P149,0,AJ$13),15-13*ORÇAMENTO!$AF$7)/$H149*OFFSET(ORÇAMENTO!$X$15,ROW(AJ149)-ROW(AJ$15),0),
              ROUND(ROUND(OFFSET($P149,0,AJ$13),15-13*ORÇAMENTO!$AF$7)*OFFSET(ORÇAMENTO!$W$15,ROW(AJ149)-ROW(AJ$15),0),15-13*ORÇAMENTO!$AF$11)),
         0)</f>
        <v>1483.3</v>
      </c>
      <c r="AK149" s="452">
        <f ca="1">IF(AND($D149="Serviço",AK$12&lt;&gt;0,$H149&gt;0,OR(AUTOEVENTO&lt;&gt;"manual",$M149&lt;&gt;$A$15)),
        IF(Import.TipoArredondamento&lt;&gt;"TransfereGOV",
              ROUND(OFFSET($P149,0,AK$13),15-13*ORÇAMENTO!$AF$7)/$H149*OFFSET(ORÇAMENTO!$X$15,ROW(AK149)-ROW(AK$15),0),
              ROUND(ROUND(OFFSET($P149,0,AK$13),15-13*ORÇAMENTO!$AF$7)*OFFSET(ORÇAMENTO!$W$15,ROW(AK149)-ROW(AK$15),0),15-13*ORÇAMENTO!$AF$11)),
         0)</f>
        <v>1483.3</v>
      </c>
      <c r="AL149" s="452">
        <f ca="1">IF(AND($D149="Serviço",AL$12&lt;&gt;0,$H149&gt;0,OR(AUTOEVENTO&lt;&gt;"manual",$M149&lt;&gt;$A$15)),
        IF(Import.TipoArredondamento&lt;&gt;"TransfereGOV",
              ROUND(OFFSET($P149,0,AL$13),15-13*ORÇAMENTO!$AF$7)/$H149*OFFSET(ORÇAMENTO!$X$15,ROW(AL149)-ROW(AL$15),0),
              ROUND(ROUND(OFFSET($P149,0,AL$13),15-13*ORÇAMENTO!$AF$7)*OFFSET(ORÇAMENTO!$W$15,ROW(AL149)-ROW(AL$15),0),15-13*ORÇAMENTO!$AF$11)),
         0)</f>
        <v>1483.3</v>
      </c>
      <c r="AM149" s="452">
        <f ca="1">IF(AND($D149="Serviço",AM$12&lt;&gt;0,$H149&gt;0,OR(AUTOEVENTO&lt;&gt;"manual",$M149&lt;&gt;$A$15)),
        IF(Import.TipoArredondamento&lt;&gt;"TransfereGOV",
              ROUND(OFFSET($P149,0,AM$13),15-13*ORÇAMENTO!$AF$7)/$H149*OFFSET(ORÇAMENTO!$X$15,ROW(AM149)-ROW(AM$15),0),
              ROUND(ROUND(OFFSET($P149,0,AM$13),15-13*ORÇAMENTO!$AF$7)*OFFSET(ORÇAMENTO!$W$15,ROW(AM149)-ROW(AM$15),0),15-13*ORÇAMENTO!$AF$11)),
         0)</f>
        <v>1483.3</v>
      </c>
      <c r="AN149" s="452">
        <f ca="1">IF(AND($D149="Serviço",AN$12&lt;&gt;0,$H149&gt;0,OR(AUTOEVENTO&lt;&gt;"manual",$M149&lt;&gt;$A$15)),
        IF(Import.TipoArredondamento&lt;&gt;"TransfereGOV",
              ROUND(OFFSET($P149,0,AN$13),15-13*ORÇAMENTO!$AF$7)/$H149*OFFSET(ORÇAMENTO!$X$15,ROW(AN149)-ROW(AN$15),0),
              ROUND(ROUND(OFFSET($P149,0,AN$13),15-13*ORÇAMENTO!$AF$7)*OFFSET(ORÇAMENTO!$W$15,ROW(AN149)-ROW(AN$15),0),15-13*ORÇAMENTO!$AF$11)),
         0)</f>
        <v>0</v>
      </c>
      <c r="AO149" s="452">
        <f ca="1">IF(AND($D149="Serviço",AO$12&lt;&gt;0,$H149&gt;0,OR(AUTOEVENTO&lt;&gt;"manual",$M149&lt;&gt;$A$15)),
        IF(Import.TipoArredondamento&lt;&gt;"TransfereGOV",
              ROUND(OFFSET($P149,0,AO$13),15-13*ORÇAMENTO!$AF$7)/$H149*OFFSET(ORÇAMENTO!$X$15,ROW(AO149)-ROW(AO$15),0),
              ROUND(ROUND(OFFSET($P149,0,AO$13),15-13*ORÇAMENTO!$AF$7)*OFFSET(ORÇAMENTO!$W$15,ROW(AO149)-ROW(AO$15),0),15-13*ORÇAMENTO!$AF$11)),
         0)</f>
        <v>0</v>
      </c>
      <c r="AP149" s="452">
        <f ca="1">IF(AND($D149="Serviço",AP$12&lt;&gt;0,$H149&gt;0,OR(AUTOEVENTO&lt;&gt;"manual",$M149&lt;&gt;$A$15)),
        IF(Import.TipoArredondamento&lt;&gt;"TransfereGOV",
              ROUND(OFFSET($P149,0,AP$13),15-13*ORÇAMENTO!$AF$7)/$H149*OFFSET(ORÇAMENTO!$X$15,ROW(AP149)-ROW(AP$15),0),
              ROUND(ROUND(OFFSET($P149,0,AP$13),15-13*ORÇAMENTO!$AF$7)*OFFSET(ORÇAMENTO!$W$15,ROW(AP149)-ROW(AP$15),0),15-13*ORÇAMENTO!$AF$11)),
         0)</f>
        <v>0</v>
      </c>
      <c r="AQ149" s="452">
        <f ca="1">IF(AND($D149="Serviço",AQ$12&lt;&gt;0,$H149&gt;0,OR(AUTOEVENTO&lt;&gt;"manual",$M149&lt;&gt;$A$15)),
        IF(Import.TipoArredondamento&lt;&gt;"TransfereGOV",
              ROUND(OFFSET($P149,0,AQ$13),15-13*ORÇAMENTO!$AF$7)/$H149*OFFSET(ORÇAMENTO!$X$15,ROW(AQ149)-ROW(AQ$15),0),
              ROUND(ROUND(OFFSET($P149,0,AQ$13),15-13*ORÇAMENTO!$AF$7)*OFFSET(ORÇAMENTO!$W$15,ROW(AQ149)-ROW(AQ$15),0),15-13*ORÇAMENTO!$AF$11)),
         0)</f>
        <v>0</v>
      </c>
      <c r="AR149" s="452">
        <f ca="1">IF(AND($D149="Serviço",AR$12&lt;&gt;0,$H149&gt;0,OR(AUTOEVENTO&lt;&gt;"manual",$M149&lt;&gt;$A$15)),
        IF(Import.TipoArredondamento&lt;&gt;"TransfereGOV",
              ROUND(OFFSET($P149,0,AR$13),15-13*ORÇAMENTO!$AF$7)/$H149*OFFSET(ORÇAMENTO!$X$15,ROW(AR149)-ROW(AR$15),0),
              ROUND(ROUND(OFFSET($P149,0,AR$13),15-13*ORÇAMENTO!$AF$7)*OFFSET(ORÇAMENTO!$W$15,ROW(AR149)-ROW(AR$15),0),15-13*ORÇAMENTO!$AF$11)),
         0)</f>
        <v>0</v>
      </c>
      <c r="AS149" s="452">
        <f ca="1">IF(AND($D149="Serviço",AS$12&lt;&gt;0,$H149&gt;0,OR(AUTOEVENTO&lt;&gt;"manual",$M149&lt;&gt;$A$15)),
        IF(Import.TipoArredondamento&lt;&gt;"TransfereGOV",
              ROUND(OFFSET($P149,0,AS$13),15-13*ORÇAMENTO!$AF$7)/$H149*OFFSET(ORÇAMENTO!$X$15,ROW(AS149)-ROW(AS$15),0),
              ROUND(ROUND(OFFSET($P149,0,AS$13),15-13*ORÇAMENTO!$AF$7)*OFFSET(ORÇAMENTO!$W$15,ROW(AS149)-ROW(AS$15),0),15-13*ORÇAMENTO!$AF$11)),
         0)</f>
        <v>0</v>
      </c>
      <c r="AT149" s="452">
        <f ca="1">IF(AND($D149="Serviço",AT$12&lt;&gt;0,$H149&gt;0,OR(AUTOEVENTO&lt;&gt;"manual",$M149&lt;&gt;$A$15)),
        IF(Import.TipoArredondamento&lt;&gt;"TransfereGOV",
              ROUND(OFFSET($P149,0,AT$13),15-13*ORÇAMENTO!$AF$7)/$H149*OFFSET(ORÇAMENTO!$X$15,ROW(AT149)-ROW(AT$15),0),
              ROUND(ROUND(OFFSET($P149,0,AT$13),15-13*ORÇAMENTO!$AF$7)*OFFSET(ORÇAMENTO!$W$15,ROW(AT149)-ROW(AT$15),0),15-13*ORÇAMENTO!$AF$11)),
         0)</f>
        <v>0</v>
      </c>
      <c r="AU149" s="452">
        <f ca="1">IF(AND($D149="Serviço",AU$12&lt;&gt;0,$H149&gt;0,OR(AUTOEVENTO&lt;&gt;"manual",$M149&lt;&gt;$A$15)),
        IF(Import.TipoArredondamento&lt;&gt;"TransfereGOV",
              ROUND(OFFSET($P149,0,AU$13),15-13*ORÇAMENTO!$AF$7)/$H149*OFFSET(ORÇAMENTO!$X$15,ROW(AU149)-ROW(AU$15),0),
              ROUND(ROUND(OFFSET($P149,0,AU$13),15-13*ORÇAMENTO!$AF$7)*OFFSET(ORÇAMENTO!$W$15,ROW(AU149)-ROW(AU$15),0),15-13*ORÇAMENTO!$AF$11)),
         0)</f>
        <v>0</v>
      </c>
      <c r="AV149" s="452">
        <f ca="1">IF(AND($D149="Serviço",AV$12&lt;&gt;0,$H149&gt;0,OR(AUTOEVENTO&lt;&gt;"manual",$M149&lt;&gt;$A$15)),
        IF(Import.TipoArredondamento&lt;&gt;"TransfereGOV",
              ROUND(OFFSET($P149,0,AV$13),15-13*ORÇAMENTO!$AF$7)/$H149*OFFSET(ORÇAMENTO!$X$15,ROW(AV149)-ROW(AV$15),0),
              ROUND(ROUND(OFFSET($P149,0,AV$13),15-13*ORÇAMENTO!$AF$7)*OFFSET(ORÇAMENTO!$W$15,ROW(AV149)-ROW(AV$15),0),15-13*ORÇAMENTO!$AF$11)),
         0)</f>
        <v>0</v>
      </c>
      <c r="AW149" s="452">
        <f ca="1">IF(AND($D149="Serviço",AW$12&lt;&gt;0,$H149&gt;0,OR(AUTOEVENTO&lt;&gt;"manual",$M149&lt;&gt;$A$15)),
        IF(Import.TipoArredondamento&lt;&gt;"TransfereGOV",
              ROUND(OFFSET($P149,0,AW$13),15-13*ORÇAMENTO!$AF$7)/$H149*OFFSET(ORÇAMENTO!$X$15,ROW(AW149)-ROW(AW$15),0),
              ROUND(ROUND(OFFSET($P149,0,AW$13),15-13*ORÇAMENTO!$AF$7)*OFFSET(ORÇAMENTO!$W$15,ROW(AW149)-ROW(AW$15),0),15-13*ORÇAMENTO!$AF$11)),
         0)</f>
        <v>0</v>
      </c>
      <c r="AX149" s="452">
        <f ca="1">IF(AND($D149="Serviço",AX$12&lt;&gt;0,$H149&gt;0,OR(AUTOEVENTO&lt;&gt;"manual",$M149&lt;&gt;$A$15)),
        IF(Import.TipoArredondamento&lt;&gt;"TransfereGOV",
              ROUND(OFFSET($P149,0,AX$13),15-13*ORÇAMENTO!$AF$7)/$H149*OFFSET(ORÇAMENTO!$X$15,ROW(AX149)-ROW(AX$15),0),
              ROUND(ROUND(OFFSET($P149,0,AX$13),15-13*ORÇAMENTO!$AF$7)*OFFSET(ORÇAMENTO!$W$15,ROW(AX149)-ROW(AX$15),0),15-13*ORÇAMENTO!$AF$11)),
         0)</f>
        <v>0</v>
      </c>
      <c r="AY149" s="452">
        <f ca="1">IF(AND($D149="Serviço",AY$12&lt;&gt;0,$H149&gt;0,OR(AUTOEVENTO&lt;&gt;"manual",$M149&lt;&gt;$A$15)),
        IF(Import.TipoArredondamento&lt;&gt;"TransfereGOV",
              ROUND(OFFSET($P149,0,AY$13),15-13*ORÇAMENTO!$AF$7)/$H149*OFFSET(ORÇAMENTO!$X$15,ROW(AY149)-ROW(AY$15),0),
              ROUND(ROUND(OFFSET($P149,0,AY$13),15-13*ORÇAMENTO!$AF$7)*OFFSET(ORÇAMENTO!$W$15,ROW(AY149)-ROW(AY$15),0),15-13*ORÇAMENTO!$AF$11)),
         0)</f>
        <v>0</v>
      </c>
      <c r="AZ149" s="452">
        <f ca="1">IF(AND($D149="Serviço",AZ$12&lt;&gt;0,$H149&gt;0,OR(AUTOEVENTO&lt;&gt;"manual",$M149&lt;&gt;$A$15)),
        IF(Import.TipoArredondamento&lt;&gt;"TransfereGOV",
              ROUND(OFFSET($P149,0,AZ$13),15-13*ORÇAMENTO!$AF$7)/$H149*OFFSET(ORÇAMENTO!$X$15,ROW(AZ149)-ROW(AZ$15),0),
              ROUND(ROUND(OFFSET($P149,0,AZ$13),15-13*ORÇAMENTO!$AF$7)*OFFSET(ORÇAMENTO!$W$15,ROW(AZ149)-ROW(AZ$15),0),15-13*ORÇAMENTO!$AF$11)),
         0)</f>
        <v>0</v>
      </c>
      <c r="BA149" s="452">
        <f ca="1">IF(AND($D149="Serviço",BA$12&lt;&gt;0,$H149&gt;0,OR(AUTOEVENTO&lt;&gt;"manual",$M149&lt;&gt;$A$15)),
        IF(Import.TipoArredondamento&lt;&gt;"TransfereGOV",
              ROUND(OFFSET($P149,0,BA$13),15-13*ORÇAMENTO!$AF$7)/$H149*OFFSET(ORÇAMENTO!$X$15,ROW(BA149)-ROW(BA$15),0),
              ROUND(ROUND(OFFSET($P149,0,BA$13),15-13*ORÇAMENTO!$AF$7)*OFFSET(ORÇAMENTO!$W$15,ROW(BA149)-ROW(BA$15),0),15-13*ORÇAMENTO!$AF$11)),
         0)</f>
        <v>0</v>
      </c>
      <c r="BC149" s="171">
        <f ca="1">IF(OR($D149&lt;&gt;"Serviço",AND(AUTOEVENTO="Manual",$M149=$A$15)),0,
         IF(OFFSET(CRONOPLE!$F$15,$M149-$A$15,BC$13)=0,10^12,OFFSET(CRONOPLE!$F$15,$M149-$A$15,BC$13)))</f>
        <v>5</v>
      </c>
      <c r="BD149" s="171">
        <f ca="1">IF(OR($D149&lt;&gt;"Serviço",AND(AUTOEVENTO="Manual",$M149=$A$15)),0,
         IF(OFFSET(CRONOPLE!$F$15,$M149-$A$15,BD$13)=0,10^12,OFFSET(CRONOPLE!$F$15,$M149-$A$15,BD$13)))</f>
        <v>5</v>
      </c>
      <c r="BE149" s="171">
        <f ca="1">IF(OR($D149&lt;&gt;"Serviço",AND(AUTOEVENTO="Manual",$M149=$A$15)),0,
         IF(OFFSET(CRONOPLE!$F$15,$M149-$A$15,BE$13)=0,10^12,OFFSET(CRONOPLE!$F$15,$M149-$A$15,BE$13)))</f>
        <v>6</v>
      </c>
      <c r="BF149" s="171">
        <f ca="1">IF(OR($D149&lt;&gt;"Serviço",AND(AUTOEVENTO="Manual",$M149=$A$15)),0,
         IF(OFFSET(CRONOPLE!$F$15,$M149-$A$15,BF$13)=0,10^12,OFFSET(CRONOPLE!$F$15,$M149-$A$15,BF$13)))</f>
        <v>6</v>
      </c>
      <c r="BG149" s="171">
        <f ca="1">IF(OR($D149&lt;&gt;"Serviço",AND(AUTOEVENTO="Manual",$M149=$A$15)),0,
         IF(OFFSET(CRONOPLE!$F$15,$M149-$A$15,BG$13)=0,10^12,OFFSET(CRONOPLE!$F$15,$M149-$A$15,BG$13)))</f>
        <v>6</v>
      </c>
      <c r="BH149" s="171">
        <f ca="1">IF(OR($D149&lt;&gt;"Serviço",AND(AUTOEVENTO="Manual",$M149=$A$15)),0,
         IF(OFFSET(CRONOPLE!$F$15,$M149-$A$15,BH$13)=0,10^12,OFFSET(CRONOPLE!$F$15,$M149-$A$15,BH$13)))</f>
        <v>1000000000000</v>
      </c>
      <c r="BI149" s="171">
        <f ca="1">IF(OR($D149&lt;&gt;"Serviço",AND(AUTOEVENTO="Manual",$M149=$A$15)),0,
         IF(OFFSET(CRONOPLE!$F$15,$M149-$A$15,BI$13)=0,10^12,OFFSET(CRONOPLE!$F$15,$M149-$A$15,BI$13)))</f>
        <v>1000000000000</v>
      </c>
      <c r="BJ149" s="171">
        <f ca="1">IF(OR($D149&lt;&gt;"Serviço",AND(AUTOEVENTO="Manual",$M149=$A$15)),0,
         IF(OFFSET(CRONOPLE!$F$15,$M149-$A$15,BJ$13)=0,10^12,OFFSET(CRONOPLE!$F$15,$M149-$A$15,BJ$13)))</f>
        <v>1000000000000</v>
      </c>
      <c r="BK149" s="171">
        <f ca="1">IF(OR($D149&lt;&gt;"Serviço",AND(AUTOEVENTO="Manual",$M149=$A$15)),0,
         IF(OFFSET(CRONOPLE!$F$15,$M149-$A$15,BK$13)=0,10^12,OFFSET(CRONOPLE!$F$15,$M149-$A$15,BK$13)))</f>
        <v>1000000000000</v>
      </c>
      <c r="BL149" s="171">
        <f ca="1">IF(OR($D149&lt;&gt;"Serviço",AND(AUTOEVENTO="Manual",$M149=$A$15)),0,
         IF(OFFSET(CRONOPLE!$F$15,$M149-$A$15,BL$13)=0,10^12,OFFSET(CRONOPLE!$F$15,$M149-$A$15,BL$13)))</f>
        <v>1000000000000</v>
      </c>
      <c r="BM149" s="171">
        <f ca="1">IF(OR($D149&lt;&gt;"Serviço",AND(AUTOEVENTO="Manual",$M149=$A$15)),0,
         IF(OFFSET(CRONOPLE!$F$15,$M149-$A$15,BM$13)=0,10^12,OFFSET(CRONOPLE!$F$15,$M149-$A$15,BM$13)))</f>
        <v>1000000000000</v>
      </c>
      <c r="BN149" s="171">
        <f ca="1">IF(OR($D149&lt;&gt;"Serviço",AND(AUTOEVENTO="Manual",$M149=$A$15)),0,
         IF(OFFSET(CRONOPLE!$F$15,$M149-$A$15,BN$13)=0,10^12,OFFSET(CRONOPLE!$F$15,$M149-$A$15,BN$13)))</f>
        <v>1000000000000</v>
      </c>
      <c r="BO149" s="171">
        <f ca="1">IF(OR($D149&lt;&gt;"Serviço",AND(AUTOEVENTO="Manual",$M149=$A$15)),0,
         IF(OFFSET(CRONOPLE!$F$15,$M149-$A$15,BO$13)=0,10^12,OFFSET(CRONOPLE!$F$15,$M149-$A$15,BO$13)))</f>
        <v>1000000000000</v>
      </c>
      <c r="BP149" s="171">
        <f ca="1">IF(OR($D149&lt;&gt;"Serviço",AND(AUTOEVENTO="Manual",$M149=$A$15)),0,
         IF(OFFSET(CRONOPLE!$F$15,$M149-$A$15,BP$13)=0,10^12,OFFSET(CRONOPLE!$F$15,$M149-$A$15,BP$13)))</f>
        <v>1000000000000</v>
      </c>
      <c r="BQ149" s="171">
        <f ca="1">IF(OR($D149&lt;&gt;"Serviço",AND(AUTOEVENTO="Manual",$M149=$A$15)),0,
         IF(OFFSET(CRONOPLE!$F$15,$M149-$A$15,BQ$13)=0,10^12,OFFSET(CRONOPLE!$F$15,$M149-$A$15,BQ$13)))</f>
        <v>1000000000000</v>
      </c>
      <c r="BR149" s="171">
        <f ca="1">IF(OR($D149&lt;&gt;"Serviço",AND(AUTOEVENTO="Manual",$M149=$A$15)),0,
         IF(OFFSET(CRONOPLE!$F$15,$M149-$A$15,BR$13)=0,10^12,OFFSET(CRONOPLE!$F$15,$M149-$A$15,BR$13)))</f>
        <v>1000000000000</v>
      </c>
      <c r="BS149" s="171">
        <f ca="1">IF(OR($D149&lt;&gt;"Serviço",AND(AUTOEVENTO="Manual",$M149=$A$15)),0,
         IF(OFFSET(CRONOPLE!$F$15,$M149-$A$15,BS$13)=0,10^12,OFFSET(CRONOPLE!$F$15,$M149-$A$15,BS$13)))</f>
        <v>1000000000000</v>
      </c>
      <c r="BT149" s="171">
        <f ca="1">IF(OR($D149&lt;&gt;"Serviço",AND(AUTOEVENTO="Manual",$M149=$A$15)),0,
         IF(OFFSET(CRONOPLE!$F$15,$M149-$A$15,BT$13)=0,10^12,OFFSET(CRONOPLE!$F$15,$M149-$A$15,BT$13)))</f>
        <v>1000000000000</v>
      </c>
      <c r="BV149" s="172">
        <f t="array" aca="1" ref="BV149" ca="1">IF(OR($D149&lt;&gt;"Serviço",AND(AUTOEVENTO="Manual",$M149=$A$15),$M149&gt;(ROW(PLE.lastrow)-ROW(PLE.firstrow))),0,
           IF(OFFSET(PLE!$G$15,$M149-$A$15,BV$13)="",10^12,OFFSET(PLE!$G$15,$M149-$A$15,BV$13)))</f>
        <v>1000000000000</v>
      </c>
      <c r="BW149" s="172">
        <f t="array" aca="1" ref="BW149" ca="1">IF(OR($D149&lt;&gt;"Serviço",AND(AUTOEVENTO="Manual",$M149=$A$15),$M149&gt;(ROW(PLE.lastrow)-ROW(PLE.firstrow))),0,
           IF(OFFSET(PLE!$G$15,$M149-$A$15,BW$13)="",10^12,OFFSET(PLE!$G$15,$M149-$A$15,BW$13)))</f>
        <v>1000000000000</v>
      </c>
      <c r="BX149" s="172">
        <f t="array" aca="1" ref="BX149" ca="1">IF(OR($D149&lt;&gt;"Serviço",AND(AUTOEVENTO="Manual",$M149=$A$15),$M149&gt;(ROW(PLE.lastrow)-ROW(PLE.firstrow))),0,
           IF(OFFSET(PLE!$G$15,$M149-$A$15,BX$13)="",10^12,OFFSET(PLE!$G$15,$M149-$A$15,BX$13)))</f>
        <v>1000000000000</v>
      </c>
      <c r="BY149" s="172">
        <f t="array" aca="1" ref="BY149" ca="1">IF(OR($D149&lt;&gt;"Serviço",AND(AUTOEVENTO="Manual",$M149=$A$15),$M149&gt;(ROW(PLE.lastrow)-ROW(PLE.firstrow))),0,
           IF(OFFSET(PLE!$G$15,$M149-$A$15,BY$13)="",10^12,OFFSET(PLE!$G$15,$M149-$A$15,BY$13)))</f>
        <v>1000000000000</v>
      </c>
      <c r="BZ149" s="172">
        <f t="array" aca="1" ref="BZ149" ca="1">IF(OR($D149&lt;&gt;"Serviço",AND(AUTOEVENTO="Manual",$M149=$A$15),$M149&gt;(ROW(PLE.lastrow)-ROW(PLE.firstrow))),0,
           IF(OFFSET(PLE!$G$15,$M149-$A$15,BZ$13)="",10^12,OFFSET(PLE!$G$15,$M149-$A$15,BZ$13)))</f>
        <v>1000000000000</v>
      </c>
      <c r="CA149" s="172">
        <f t="array" aca="1" ref="CA149" ca="1">IF(OR($D149&lt;&gt;"Serviço",AND(AUTOEVENTO="Manual",$M149=$A$15),$M149&gt;(ROW(PLE.lastrow)-ROW(PLE.firstrow))),0,
           IF(OFFSET(PLE!$G$15,$M149-$A$15,CA$13)="",10^12,OFFSET(PLE!$G$15,$M149-$A$15,CA$13)))</f>
        <v>1000000000000</v>
      </c>
      <c r="CB149" s="172">
        <f t="array" aca="1" ref="CB149" ca="1">IF(OR($D149&lt;&gt;"Serviço",AND(AUTOEVENTO="Manual",$M149=$A$15),$M149&gt;(ROW(PLE.lastrow)-ROW(PLE.firstrow))),0,
           IF(OFFSET(PLE!$G$15,$M149-$A$15,CB$13)="",10^12,OFFSET(PLE!$G$15,$M149-$A$15,CB$13)))</f>
        <v>1000000000000</v>
      </c>
      <c r="CC149" s="172">
        <f t="array" aca="1" ref="CC149" ca="1">IF(OR($D149&lt;&gt;"Serviço",AND(AUTOEVENTO="Manual",$M149=$A$15),$M149&gt;(ROW(PLE.lastrow)-ROW(PLE.firstrow))),0,
           IF(OFFSET(PLE!$G$15,$M149-$A$15,CC$13)="",10^12,OFFSET(PLE!$G$15,$M149-$A$15,CC$13)))</f>
        <v>1000000000000</v>
      </c>
      <c r="CD149" s="172">
        <f t="array" aca="1" ref="CD149" ca="1">IF(OR($D149&lt;&gt;"Serviço",AND(AUTOEVENTO="Manual",$M149=$A$15),$M149&gt;(ROW(PLE.lastrow)-ROW(PLE.firstrow))),0,
           IF(OFFSET(PLE!$G$15,$M149-$A$15,CD$13)="",10^12,OFFSET(PLE!$G$15,$M149-$A$15,CD$13)))</f>
        <v>1000000000000</v>
      </c>
      <c r="CE149" s="172">
        <f t="array" aca="1" ref="CE149" ca="1">IF(OR($D149&lt;&gt;"Serviço",AND(AUTOEVENTO="Manual",$M149=$A$15),$M149&gt;(ROW(PLE.lastrow)-ROW(PLE.firstrow))),0,
           IF(OFFSET(PLE!$G$15,$M149-$A$15,CE$13)="",10^12,OFFSET(PLE!$G$15,$M149-$A$15,CE$13)))</f>
        <v>1000000000000</v>
      </c>
      <c r="CF149" s="172">
        <f t="array" aca="1" ref="CF149" ca="1">IF(OR($D149&lt;&gt;"Serviço",AND(AUTOEVENTO="Manual",$M149=$A$15),$M149&gt;(ROW(PLE.lastrow)-ROW(PLE.firstrow))),0,
           IF(OFFSET(PLE!$G$15,$M149-$A$15,CF$13)="",10^12,OFFSET(PLE!$G$15,$M149-$A$15,CF$13)))</f>
        <v>1000000000000</v>
      </c>
      <c r="CG149" s="172">
        <f t="array" aca="1" ref="CG149" ca="1">IF(OR($D149&lt;&gt;"Serviço",AND(AUTOEVENTO="Manual",$M149=$A$15),$M149&gt;(ROW(PLE.lastrow)-ROW(PLE.firstrow))),0,
           IF(OFFSET(PLE!$G$15,$M149-$A$15,CG$13)="",10^12,OFFSET(PLE!$G$15,$M149-$A$15,CG$13)))</f>
        <v>1000000000000</v>
      </c>
      <c r="CH149" s="172">
        <f t="array" aca="1" ref="CH149" ca="1">IF(OR($D149&lt;&gt;"Serviço",AND(AUTOEVENTO="Manual",$M149=$A$15),$M149&gt;(ROW(PLE.lastrow)-ROW(PLE.firstrow))),0,
           IF(OFFSET(PLE!$G$15,$M149-$A$15,CH$13)="",10^12,OFFSET(PLE!$G$15,$M149-$A$15,CH$13)))</f>
        <v>1000000000000</v>
      </c>
      <c r="CI149" s="172">
        <f t="array" aca="1" ref="CI149" ca="1">IF(OR($D149&lt;&gt;"Serviço",AND(AUTOEVENTO="Manual",$M149=$A$15),$M149&gt;(ROW(PLE.lastrow)-ROW(PLE.firstrow))),0,
           IF(OFFSET(PLE!$G$15,$M149-$A$15,CI$13)="",10^12,OFFSET(PLE!$G$15,$M149-$A$15,CI$13)))</f>
        <v>1000000000000</v>
      </c>
      <c r="CJ149" s="172">
        <f t="array" aca="1" ref="CJ149" ca="1">IF(OR($D149&lt;&gt;"Serviço",AND(AUTOEVENTO="Manual",$M149=$A$15),$M149&gt;(ROW(PLE.lastrow)-ROW(PLE.firstrow))),0,
           IF(OFFSET(PLE!$G$15,$M149-$A$15,CJ$13)="",10^12,OFFSET(PLE!$G$15,$M149-$A$15,CJ$13)))</f>
        <v>1000000000000</v>
      </c>
      <c r="CK149" s="172">
        <f t="array" aca="1" ref="CK149" ca="1">IF(OR($D149&lt;&gt;"Serviço",AND(AUTOEVENTO="Manual",$M149=$A$15),$M149&gt;(ROW(PLE.lastrow)-ROW(PLE.firstrow))),0,
           IF(OFFSET(PLE!$G$15,$M149-$A$15,CK$13)="",10^12,OFFSET(PLE!$G$15,$M149-$A$15,CK$13)))</f>
        <v>1000000000000</v>
      </c>
      <c r="CL149" s="172">
        <f t="array" aca="1" ref="CL149" ca="1">IF(OR($D149&lt;&gt;"Serviço",AND(AUTOEVENTO="Manual",$M149=$A$15),$M149&gt;(ROW(PLE.lastrow)-ROW(PLE.firstrow))),0,
           IF(OFFSET(PLE!$G$15,$M149-$A$15,CL$13)="",10^12,OFFSET(PLE!$G$15,$M149-$A$15,CL$13)))</f>
        <v>1000000000000</v>
      </c>
      <c r="CM149" s="172">
        <f t="array" aca="1" ref="CM149" ca="1">IF(OR($D149&lt;&gt;"Serviço",AND(AUTOEVENTO="Manual",$M149=$A$15),$M149&gt;(ROW(PLE.lastrow)-ROW(PLE.firstrow))),0,
           IF(OFFSET(PLE!$G$15,$M149-$A$15,CM$13)="",10^12,OFFSET(PLE!$G$15,$M149-$A$15,CM$13)))</f>
        <v>1000000000000</v>
      </c>
    </row>
    <row r="150" spans="1:91" s="696" customFormat="1" ht="51" x14ac:dyDescent="0.2">
      <c r="A150" s="694">
        <f t="shared" ca="1" si="82"/>
        <v>37</v>
      </c>
      <c r="B150" s="694" t="str">
        <f ca="1">OFFSET(ORÇAMENTO!C$15,$L150,0)</f>
        <v>S</v>
      </c>
      <c r="C150" s="694" t="str">
        <f ca="1">OFFSET(ORÇAMENTO!L$15,$L150,0)</f>
        <v>F</v>
      </c>
      <c r="D150" s="116" t="str">
        <f ca="1">OFFSET(ORÇAMENTO!N$15,$L150,0)</f>
        <v>Serviço</v>
      </c>
      <c r="E150" s="117" t="str">
        <f ca="1">OFFSET(ORÇAMENTO!O$15,$L150,0)</f>
        <v>1.24.13.</v>
      </c>
      <c r="F150" s="163" t="str">
        <f ca="1">OFFSET(ORÇAMENTO!R$15,$L150,0)</f>
        <v>CAIXA RETANGULAR 4" X 2" ALTA (2,00 M DO PISO), PVC, INSTALADA EM PAREDE - FORNECIMENTO E INSTALAÇÃO. AF_03/2023</v>
      </c>
      <c r="G150" s="164" t="str">
        <f ca="1">IF($D150&lt;&gt;"Serviço","",OFFSET(ORÇAMENTO!S$15,$L150,0))</f>
        <v>UN</v>
      </c>
      <c r="H150" s="122">
        <f t="array" aca="1" ref="H150" ca="1">IF($D150&lt;&gt;"Serviço",0,IF(ACOMPANHAMENTO="BM",ROUND(OFFSET(ORÇAMENTO!AJ$15,$L150,0),15-13*ORÇAMENTO!$AF$7),IF(IFERROR(CÁLCULO.FrentesPreenchidas,0)=0,0,SUM(ROUND(OFFSET($P150,0,1,1,CÁLCULO.FrentesPreenchidas),15-13*ORÇAMENTO!$AF$7)))))</f>
        <v>40</v>
      </c>
      <c r="I150" s="467" t="s">
        <v>1298</v>
      </c>
      <c r="J150" s="653" t="str">
        <f t="array" aca="1" ref="J150" ca="1">IF(OR(B150&lt;&gt;"S",CÁLCULO.FrentesPreenchidas=0),"",IF(AND(ACOMPANHAMENTO="PLE",AUTOEVENTO="Manual",OR(H150&gt;0,ORÇAMENTO!AC150="QUANT."),OR(K150="",M150=0,N150="")),"►E",IF(AND(ACOMPANHAMENTO="PLE",ORÇAMENTO!AC150="QUANT."),"►Q",IF(AND(ACOMPANHAMENTO="PLE",H150&lt;&gt;SUMPRODUCT(($Q$1:$AI$1=1)*ROUND(Q150:AI150,15))),"►S",IF(AND(COUNTIF($P$11:$AI$11,"▼")=0,H150&gt;0,I150=""),"◄M","")))))</f>
        <v/>
      </c>
      <c r="K150" s="654" t="s">
        <v>1442</v>
      </c>
      <c r="L150" s="165">
        <f t="shared" ca="1" si="83"/>
        <v>135</v>
      </c>
      <c r="M150" s="166">
        <f ca="1">IF($D150&lt;&gt;"Serviço","",
          IF(AUTOEVENTO="manual",$A150,
                IF(ISERROR(MATCH($A150,$A$15:OFFSET($A150,-1,0),0)),MAX($M$15:OFFSET(M150,-1,0))+1,
                      INDEX($M$15:OFFSET(M150,-1,0),MATCH($A150,$A$15:OFFSET($A150,-1,0),0)))))</f>
        <v>37</v>
      </c>
      <c r="N150" s="167" t="str">
        <f ca="1">IF($D150&lt;&gt;"Serviço","",
         IF(AUTOEVENTO="Manual",
                IF($A150=0,"&lt;-- defina o número do agrupador",
                       OFFSET(EVENTOS!$D$15,$A150-$A$15,0)),
                OFFSET($F$15,$A150,0)))</f>
        <v>ELÉTRICA EMBUTIDA EM PAREDE</v>
      </c>
      <c r="O150" s="168"/>
      <c r="Q150" s="169">
        <v>10</v>
      </c>
      <c r="R150" s="169">
        <v>10</v>
      </c>
      <c r="S150" s="169">
        <v>10</v>
      </c>
      <c r="T150" s="169">
        <v>10</v>
      </c>
      <c r="U150" s="169"/>
      <c r="V150" s="169"/>
      <c r="W150" s="169"/>
      <c r="X150" s="169"/>
      <c r="Y150" s="169"/>
      <c r="Z150" s="170"/>
      <c r="AA150" s="169"/>
      <c r="AB150" s="169"/>
      <c r="AC150" s="169"/>
      <c r="AD150" s="169"/>
      <c r="AE150" s="169"/>
      <c r="AF150" s="169"/>
      <c r="AG150" s="169"/>
      <c r="AH150" s="170"/>
      <c r="AJ150" s="452">
        <f ca="1">IF(AND($D150="Serviço",AJ$12&lt;&gt;0,$H150&gt;0,OR(AUTOEVENTO&lt;&gt;"manual",$M150&lt;&gt;$A$15)),
        IF(Import.TipoArredondamento&lt;&gt;"TransfereGOV",
              ROUND(OFFSET($P150,0,AJ$13),15-13*ORÇAMENTO!$AF$7)/$H150*OFFSET(ORÇAMENTO!$X$15,ROW(AJ150)-ROW(AJ$15),0),
              ROUND(ROUND(OFFSET($P150,0,AJ$13),15-13*ORÇAMENTO!$AF$7)*OFFSET(ORÇAMENTO!$W$15,ROW(AJ150)-ROW(AJ$15),0),15-13*ORÇAMENTO!$AF$11)),
         0)</f>
        <v>395.6</v>
      </c>
      <c r="AK150" s="452">
        <f ca="1">IF(AND($D150="Serviço",AK$12&lt;&gt;0,$H150&gt;0,OR(AUTOEVENTO&lt;&gt;"manual",$M150&lt;&gt;$A$15)),
        IF(Import.TipoArredondamento&lt;&gt;"TransfereGOV",
              ROUND(OFFSET($P150,0,AK$13),15-13*ORÇAMENTO!$AF$7)/$H150*OFFSET(ORÇAMENTO!$X$15,ROW(AK150)-ROW(AK$15),0),
              ROUND(ROUND(OFFSET($P150,0,AK$13),15-13*ORÇAMENTO!$AF$7)*OFFSET(ORÇAMENTO!$W$15,ROW(AK150)-ROW(AK$15),0),15-13*ORÇAMENTO!$AF$11)),
         0)</f>
        <v>395.6</v>
      </c>
      <c r="AL150" s="452">
        <f ca="1">IF(AND($D150="Serviço",AL$12&lt;&gt;0,$H150&gt;0,OR(AUTOEVENTO&lt;&gt;"manual",$M150&lt;&gt;$A$15)),
        IF(Import.TipoArredondamento&lt;&gt;"TransfereGOV",
              ROUND(OFFSET($P150,0,AL$13),15-13*ORÇAMENTO!$AF$7)/$H150*OFFSET(ORÇAMENTO!$X$15,ROW(AL150)-ROW(AL$15),0),
              ROUND(ROUND(OFFSET($P150,0,AL$13),15-13*ORÇAMENTO!$AF$7)*OFFSET(ORÇAMENTO!$W$15,ROW(AL150)-ROW(AL$15),0),15-13*ORÇAMENTO!$AF$11)),
         0)</f>
        <v>395.6</v>
      </c>
      <c r="AM150" s="452">
        <f ca="1">IF(AND($D150="Serviço",AM$12&lt;&gt;0,$H150&gt;0,OR(AUTOEVENTO&lt;&gt;"manual",$M150&lt;&gt;$A$15)),
        IF(Import.TipoArredondamento&lt;&gt;"TransfereGOV",
              ROUND(OFFSET($P150,0,AM$13),15-13*ORÇAMENTO!$AF$7)/$H150*OFFSET(ORÇAMENTO!$X$15,ROW(AM150)-ROW(AM$15),0),
              ROUND(ROUND(OFFSET($P150,0,AM$13),15-13*ORÇAMENTO!$AF$7)*OFFSET(ORÇAMENTO!$W$15,ROW(AM150)-ROW(AM$15),0),15-13*ORÇAMENTO!$AF$11)),
         0)</f>
        <v>395.6</v>
      </c>
      <c r="AN150" s="452">
        <f ca="1">IF(AND($D150="Serviço",AN$12&lt;&gt;0,$H150&gt;0,OR(AUTOEVENTO&lt;&gt;"manual",$M150&lt;&gt;$A$15)),
        IF(Import.TipoArredondamento&lt;&gt;"TransfereGOV",
              ROUND(OFFSET($P150,0,AN$13),15-13*ORÇAMENTO!$AF$7)/$H150*OFFSET(ORÇAMENTO!$X$15,ROW(AN150)-ROW(AN$15),0),
              ROUND(ROUND(OFFSET($P150,0,AN$13),15-13*ORÇAMENTO!$AF$7)*OFFSET(ORÇAMENTO!$W$15,ROW(AN150)-ROW(AN$15),0),15-13*ORÇAMENTO!$AF$11)),
         0)</f>
        <v>0</v>
      </c>
      <c r="AO150" s="452">
        <f ca="1">IF(AND($D150="Serviço",AO$12&lt;&gt;0,$H150&gt;0,OR(AUTOEVENTO&lt;&gt;"manual",$M150&lt;&gt;$A$15)),
        IF(Import.TipoArredondamento&lt;&gt;"TransfereGOV",
              ROUND(OFFSET($P150,0,AO$13),15-13*ORÇAMENTO!$AF$7)/$H150*OFFSET(ORÇAMENTO!$X$15,ROW(AO150)-ROW(AO$15),0),
              ROUND(ROUND(OFFSET($P150,0,AO$13),15-13*ORÇAMENTO!$AF$7)*OFFSET(ORÇAMENTO!$W$15,ROW(AO150)-ROW(AO$15),0),15-13*ORÇAMENTO!$AF$11)),
         0)</f>
        <v>0</v>
      </c>
      <c r="AP150" s="452">
        <f ca="1">IF(AND($D150="Serviço",AP$12&lt;&gt;0,$H150&gt;0,OR(AUTOEVENTO&lt;&gt;"manual",$M150&lt;&gt;$A$15)),
        IF(Import.TipoArredondamento&lt;&gt;"TransfereGOV",
              ROUND(OFFSET($P150,0,AP$13),15-13*ORÇAMENTO!$AF$7)/$H150*OFFSET(ORÇAMENTO!$X$15,ROW(AP150)-ROW(AP$15),0),
              ROUND(ROUND(OFFSET($P150,0,AP$13),15-13*ORÇAMENTO!$AF$7)*OFFSET(ORÇAMENTO!$W$15,ROW(AP150)-ROW(AP$15),0),15-13*ORÇAMENTO!$AF$11)),
         0)</f>
        <v>0</v>
      </c>
      <c r="AQ150" s="452">
        <f ca="1">IF(AND($D150="Serviço",AQ$12&lt;&gt;0,$H150&gt;0,OR(AUTOEVENTO&lt;&gt;"manual",$M150&lt;&gt;$A$15)),
        IF(Import.TipoArredondamento&lt;&gt;"TransfereGOV",
              ROUND(OFFSET($P150,0,AQ$13),15-13*ORÇAMENTO!$AF$7)/$H150*OFFSET(ORÇAMENTO!$X$15,ROW(AQ150)-ROW(AQ$15),0),
              ROUND(ROUND(OFFSET($P150,0,AQ$13),15-13*ORÇAMENTO!$AF$7)*OFFSET(ORÇAMENTO!$W$15,ROW(AQ150)-ROW(AQ$15),0),15-13*ORÇAMENTO!$AF$11)),
         0)</f>
        <v>0</v>
      </c>
      <c r="AR150" s="452">
        <f ca="1">IF(AND($D150="Serviço",AR$12&lt;&gt;0,$H150&gt;0,OR(AUTOEVENTO&lt;&gt;"manual",$M150&lt;&gt;$A$15)),
        IF(Import.TipoArredondamento&lt;&gt;"TransfereGOV",
              ROUND(OFFSET($P150,0,AR$13),15-13*ORÇAMENTO!$AF$7)/$H150*OFFSET(ORÇAMENTO!$X$15,ROW(AR150)-ROW(AR$15),0),
              ROUND(ROUND(OFFSET($P150,0,AR$13),15-13*ORÇAMENTO!$AF$7)*OFFSET(ORÇAMENTO!$W$15,ROW(AR150)-ROW(AR$15),0),15-13*ORÇAMENTO!$AF$11)),
         0)</f>
        <v>0</v>
      </c>
      <c r="AS150" s="452">
        <f ca="1">IF(AND($D150="Serviço",AS$12&lt;&gt;0,$H150&gt;0,OR(AUTOEVENTO&lt;&gt;"manual",$M150&lt;&gt;$A$15)),
        IF(Import.TipoArredondamento&lt;&gt;"TransfereGOV",
              ROUND(OFFSET($P150,0,AS$13),15-13*ORÇAMENTO!$AF$7)/$H150*OFFSET(ORÇAMENTO!$X$15,ROW(AS150)-ROW(AS$15),0),
              ROUND(ROUND(OFFSET($P150,0,AS$13),15-13*ORÇAMENTO!$AF$7)*OFFSET(ORÇAMENTO!$W$15,ROW(AS150)-ROW(AS$15),0),15-13*ORÇAMENTO!$AF$11)),
         0)</f>
        <v>0</v>
      </c>
      <c r="AT150" s="452">
        <f ca="1">IF(AND($D150="Serviço",AT$12&lt;&gt;0,$H150&gt;0,OR(AUTOEVENTO&lt;&gt;"manual",$M150&lt;&gt;$A$15)),
        IF(Import.TipoArredondamento&lt;&gt;"TransfereGOV",
              ROUND(OFFSET($P150,0,AT$13),15-13*ORÇAMENTO!$AF$7)/$H150*OFFSET(ORÇAMENTO!$X$15,ROW(AT150)-ROW(AT$15),0),
              ROUND(ROUND(OFFSET($P150,0,AT$13),15-13*ORÇAMENTO!$AF$7)*OFFSET(ORÇAMENTO!$W$15,ROW(AT150)-ROW(AT$15),0),15-13*ORÇAMENTO!$AF$11)),
         0)</f>
        <v>0</v>
      </c>
      <c r="AU150" s="452">
        <f ca="1">IF(AND($D150="Serviço",AU$12&lt;&gt;0,$H150&gt;0,OR(AUTOEVENTO&lt;&gt;"manual",$M150&lt;&gt;$A$15)),
        IF(Import.TipoArredondamento&lt;&gt;"TransfereGOV",
              ROUND(OFFSET($P150,0,AU$13),15-13*ORÇAMENTO!$AF$7)/$H150*OFFSET(ORÇAMENTO!$X$15,ROW(AU150)-ROW(AU$15),0),
              ROUND(ROUND(OFFSET($P150,0,AU$13),15-13*ORÇAMENTO!$AF$7)*OFFSET(ORÇAMENTO!$W$15,ROW(AU150)-ROW(AU$15),0),15-13*ORÇAMENTO!$AF$11)),
         0)</f>
        <v>0</v>
      </c>
      <c r="AV150" s="452">
        <f ca="1">IF(AND($D150="Serviço",AV$12&lt;&gt;0,$H150&gt;0,OR(AUTOEVENTO&lt;&gt;"manual",$M150&lt;&gt;$A$15)),
        IF(Import.TipoArredondamento&lt;&gt;"TransfereGOV",
              ROUND(OFFSET($P150,0,AV$13),15-13*ORÇAMENTO!$AF$7)/$H150*OFFSET(ORÇAMENTO!$X$15,ROW(AV150)-ROW(AV$15),0),
              ROUND(ROUND(OFFSET($P150,0,AV$13),15-13*ORÇAMENTO!$AF$7)*OFFSET(ORÇAMENTO!$W$15,ROW(AV150)-ROW(AV$15),0),15-13*ORÇAMENTO!$AF$11)),
         0)</f>
        <v>0</v>
      </c>
      <c r="AW150" s="452">
        <f ca="1">IF(AND($D150="Serviço",AW$12&lt;&gt;0,$H150&gt;0,OR(AUTOEVENTO&lt;&gt;"manual",$M150&lt;&gt;$A$15)),
        IF(Import.TipoArredondamento&lt;&gt;"TransfereGOV",
              ROUND(OFFSET($P150,0,AW$13),15-13*ORÇAMENTO!$AF$7)/$H150*OFFSET(ORÇAMENTO!$X$15,ROW(AW150)-ROW(AW$15),0),
              ROUND(ROUND(OFFSET($P150,0,AW$13),15-13*ORÇAMENTO!$AF$7)*OFFSET(ORÇAMENTO!$W$15,ROW(AW150)-ROW(AW$15),0),15-13*ORÇAMENTO!$AF$11)),
         0)</f>
        <v>0</v>
      </c>
      <c r="AX150" s="452">
        <f ca="1">IF(AND($D150="Serviço",AX$12&lt;&gt;0,$H150&gt;0,OR(AUTOEVENTO&lt;&gt;"manual",$M150&lt;&gt;$A$15)),
        IF(Import.TipoArredondamento&lt;&gt;"TransfereGOV",
              ROUND(OFFSET($P150,0,AX$13),15-13*ORÇAMENTO!$AF$7)/$H150*OFFSET(ORÇAMENTO!$X$15,ROW(AX150)-ROW(AX$15),0),
              ROUND(ROUND(OFFSET($P150,0,AX$13),15-13*ORÇAMENTO!$AF$7)*OFFSET(ORÇAMENTO!$W$15,ROW(AX150)-ROW(AX$15),0),15-13*ORÇAMENTO!$AF$11)),
         0)</f>
        <v>0</v>
      </c>
      <c r="AY150" s="452">
        <f ca="1">IF(AND($D150="Serviço",AY$12&lt;&gt;0,$H150&gt;0,OR(AUTOEVENTO&lt;&gt;"manual",$M150&lt;&gt;$A$15)),
        IF(Import.TipoArredondamento&lt;&gt;"TransfereGOV",
              ROUND(OFFSET($P150,0,AY$13),15-13*ORÇAMENTO!$AF$7)/$H150*OFFSET(ORÇAMENTO!$X$15,ROW(AY150)-ROW(AY$15),0),
              ROUND(ROUND(OFFSET($P150,0,AY$13),15-13*ORÇAMENTO!$AF$7)*OFFSET(ORÇAMENTO!$W$15,ROW(AY150)-ROW(AY$15),0),15-13*ORÇAMENTO!$AF$11)),
         0)</f>
        <v>0</v>
      </c>
      <c r="AZ150" s="452">
        <f ca="1">IF(AND($D150="Serviço",AZ$12&lt;&gt;0,$H150&gt;0,OR(AUTOEVENTO&lt;&gt;"manual",$M150&lt;&gt;$A$15)),
        IF(Import.TipoArredondamento&lt;&gt;"TransfereGOV",
              ROUND(OFFSET($P150,0,AZ$13),15-13*ORÇAMENTO!$AF$7)/$H150*OFFSET(ORÇAMENTO!$X$15,ROW(AZ150)-ROW(AZ$15),0),
              ROUND(ROUND(OFFSET($P150,0,AZ$13),15-13*ORÇAMENTO!$AF$7)*OFFSET(ORÇAMENTO!$W$15,ROW(AZ150)-ROW(AZ$15),0),15-13*ORÇAMENTO!$AF$11)),
         0)</f>
        <v>0</v>
      </c>
      <c r="BA150" s="452">
        <f ca="1">IF(AND($D150="Serviço",BA$12&lt;&gt;0,$H150&gt;0,OR(AUTOEVENTO&lt;&gt;"manual",$M150&lt;&gt;$A$15)),
        IF(Import.TipoArredondamento&lt;&gt;"TransfereGOV",
              ROUND(OFFSET($P150,0,BA$13),15-13*ORÇAMENTO!$AF$7)/$H150*OFFSET(ORÇAMENTO!$X$15,ROW(BA150)-ROW(BA$15),0),
              ROUND(ROUND(OFFSET($P150,0,BA$13),15-13*ORÇAMENTO!$AF$7)*OFFSET(ORÇAMENTO!$W$15,ROW(BA150)-ROW(BA$15),0),15-13*ORÇAMENTO!$AF$11)),
         0)</f>
        <v>0</v>
      </c>
      <c r="BC150" s="171">
        <f ca="1">IF(OR($D150&lt;&gt;"Serviço",AND(AUTOEVENTO="Manual",$M150=$A$15)),0,
         IF(OFFSET(CRONOPLE!$F$15,$M150-$A$15,BC$13)=0,10^12,OFFSET(CRONOPLE!$F$15,$M150-$A$15,BC$13)))</f>
        <v>5</v>
      </c>
      <c r="BD150" s="171">
        <f ca="1">IF(OR($D150&lt;&gt;"Serviço",AND(AUTOEVENTO="Manual",$M150=$A$15)),0,
         IF(OFFSET(CRONOPLE!$F$15,$M150-$A$15,BD$13)=0,10^12,OFFSET(CRONOPLE!$F$15,$M150-$A$15,BD$13)))</f>
        <v>5</v>
      </c>
      <c r="BE150" s="171">
        <f ca="1">IF(OR($D150&lt;&gt;"Serviço",AND(AUTOEVENTO="Manual",$M150=$A$15)),0,
         IF(OFFSET(CRONOPLE!$F$15,$M150-$A$15,BE$13)=0,10^12,OFFSET(CRONOPLE!$F$15,$M150-$A$15,BE$13)))</f>
        <v>6</v>
      </c>
      <c r="BF150" s="171">
        <f ca="1">IF(OR($D150&lt;&gt;"Serviço",AND(AUTOEVENTO="Manual",$M150=$A$15)),0,
         IF(OFFSET(CRONOPLE!$F$15,$M150-$A$15,BF$13)=0,10^12,OFFSET(CRONOPLE!$F$15,$M150-$A$15,BF$13)))</f>
        <v>6</v>
      </c>
      <c r="BG150" s="171">
        <f ca="1">IF(OR($D150&lt;&gt;"Serviço",AND(AUTOEVENTO="Manual",$M150=$A$15)),0,
         IF(OFFSET(CRONOPLE!$F$15,$M150-$A$15,BG$13)=0,10^12,OFFSET(CRONOPLE!$F$15,$M150-$A$15,BG$13)))</f>
        <v>6</v>
      </c>
      <c r="BH150" s="171">
        <f ca="1">IF(OR($D150&lt;&gt;"Serviço",AND(AUTOEVENTO="Manual",$M150=$A$15)),0,
         IF(OFFSET(CRONOPLE!$F$15,$M150-$A$15,BH$13)=0,10^12,OFFSET(CRONOPLE!$F$15,$M150-$A$15,BH$13)))</f>
        <v>1000000000000</v>
      </c>
      <c r="BI150" s="171">
        <f ca="1">IF(OR($D150&lt;&gt;"Serviço",AND(AUTOEVENTO="Manual",$M150=$A$15)),0,
         IF(OFFSET(CRONOPLE!$F$15,$M150-$A$15,BI$13)=0,10^12,OFFSET(CRONOPLE!$F$15,$M150-$A$15,BI$13)))</f>
        <v>1000000000000</v>
      </c>
      <c r="BJ150" s="171">
        <f ca="1">IF(OR($D150&lt;&gt;"Serviço",AND(AUTOEVENTO="Manual",$M150=$A$15)),0,
         IF(OFFSET(CRONOPLE!$F$15,$M150-$A$15,BJ$13)=0,10^12,OFFSET(CRONOPLE!$F$15,$M150-$A$15,BJ$13)))</f>
        <v>1000000000000</v>
      </c>
      <c r="BK150" s="171">
        <f ca="1">IF(OR($D150&lt;&gt;"Serviço",AND(AUTOEVENTO="Manual",$M150=$A$15)),0,
         IF(OFFSET(CRONOPLE!$F$15,$M150-$A$15,BK$13)=0,10^12,OFFSET(CRONOPLE!$F$15,$M150-$A$15,BK$13)))</f>
        <v>1000000000000</v>
      </c>
      <c r="BL150" s="171">
        <f ca="1">IF(OR($D150&lt;&gt;"Serviço",AND(AUTOEVENTO="Manual",$M150=$A$15)),0,
         IF(OFFSET(CRONOPLE!$F$15,$M150-$A$15,BL$13)=0,10^12,OFFSET(CRONOPLE!$F$15,$M150-$A$15,BL$13)))</f>
        <v>1000000000000</v>
      </c>
      <c r="BM150" s="171">
        <f ca="1">IF(OR($D150&lt;&gt;"Serviço",AND(AUTOEVENTO="Manual",$M150=$A$15)),0,
         IF(OFFSET(CRONOPLE!$F$15,$M150-$A$15,BM$13)=0,10^12,OFFSET(CRONOPLE!$F$15,$M150-$A$15,BM$13)))</f>
        <v>1000000000000</v>
      </c>
      <c r="BN150" s="171">
        <f ca="1">IF(OR($D150&lt;&gt;"Serviço",AND(AUTOEVENTO="Manual",$M150=$A$15)),0,
         IF(OFFSET(CRONOPLE!$F$15,$M150-$A$15,BN$13)=0,10^12,OFFSET(CRONOPLE!$F$15,$M150-$A$15,BN$13)))</f>
        <v>1000000000000</v>
      </c>
      <c r="BO150" s="171">
        <f ca="1">IF(OR($D150&lt;&gt;"Serviço",AND(AUTOEVENTO="Manual",$M150=$A$15)),0,
         IF(OFFSET(CRONOPLE!$F$15,$M150-$A$15,BO$13)=0,10^12,OFFSET(CRONOPLE!$F$15,$M150-$A$15,BO$13)))</f>
        <v>1000000000000</v>
      </c>
      <c r="BP150" s="171">
        <f ca="1">IF(OR($D150&lt;&gt;"Serviço",AND(AUTOEVENTO="Manual",$M150=$A$15)),0,
         IF(OFFSET(CRONOPLE!$F$15,$M150-$A$15,BP$13)=0,10^12,OFFSET(CRONOPLE!$F$15,$M150-$A$15,BP$13)))</f>
        <v>1000000000000</v>
      </c>
      <c r="BQ150" s="171">
        <f ca="1">IF(OR($D150&lt;&gt;"Serviço",AND(AUTOEVENTO="Manual",$M150=$A$15)),0,
         IF(OFFSET(CRONOPLE!$F$15,$M150-$A$15,BQ$13)=0,10^12,OFFSET(CRONOPLE!$F$15,$M150-$A$15,BQ$13)))</f>
        <v>1000000000000</v>
      </c>
      <c r="BR150" s="171">
        <f ca="1">IF(OR($D150&lt;&gt;"Serviço",AND(AUTOEVENTO="Manual",$M150=$A$15)),0,
         IF(OFFSET(CRONOPLE!$F$15,$M150-$A$15,BR$13)=0,10^12,OFFSET(CRONOPLE!$F$15,$M150-$A$15,BR$13)))</f>
        <v>1000000000000</v>
      </c>
      <c r="BS150" s="171">
        <f ca="1">IF(OR($D150&lt;&gt;"Serviço",AND(AUTOEVENTO="Manual",$M150=$A$15)),0,
         IF(OFFSET(CRONOPLE!$F$15,$M150-$A$15,BS$13)=0,10^12,OFFSET(CRONOPLE!$F$15,$M150-$A$15,BS$13)))</f>
        <v>1000000000000</v>
      </c>
      <c r="BT150" s="171">
        <f ca="1">IF(OR($D150&lt;&gt;"Serviço",AND(AUTOEVENTO="Manual",$M150=$A$15)),0,
         IF(OFFSET(CRONOPLE!$F$15,$M150-$A$15,BT$13)=0,10^12,OFFSET(CRONOPLE!$F$15,$M150-$A$15,BT$13)))</f>
        <v>1000000000000</v>
      </c>
      <c r="BV150" s="172">
        <f t="array" aca="1" ref="BV150" ca="1">IF(OR($D150&lt;&gt;"Serviço",AND(AUTOEVENTO="Manual",$M150=$A$15),$M150&gt;(ROW(PLE.lastrow)-ROW(PLE.firstrow))),0,
           IF(OFFSET(PLE!$G$15,$M150-$A$15,BV$13)="",10^12,OFFSET(PLE!$G$15,$M150-$A$15,BV$13)))</f>
        <v>1000000000000</v>
      </c>
      <c r="BW150" s="172">
        <f t="array" aca="1" ref="BW150" ca="1">IF(OR($D150&lt;&gt;"Serviço",AND(AUTOEVENTO="Manual",$M150=$A$15),$M150&gt;(ROW(PLE.lastrow)-ROW(PLE.firstrow))),0,
           IF(OFFSET(PLE!$G$15,$M150-$A$15,BW$13)="",10^12,OFFSET(PLE!$G$15,$M150-$A$15,BW$13)))</f>
        <v>1000000000000</v>
      </c>
      <c r="BX150" s="172">
        <f t="array" aca="1" ref="BX150" ca="1">IF(OR($D150&lt;&gt;"Serviço",AND(AUTOEVENTO="Manual",$M150=$A$15),$M150&gt;(ROW(PLE.lastrow)-ROW(PLE.firstrow))),0,
           IF(OFFSET(PLE!$G$15,$M150-$A$15,BX$13)="",10^12,OFFSET(PLE!$G$15,$M150-$A$15,BX$13)))</f>
        <v>1000000000000</v>
      </c>
      <c r="BY150" s="172">
        <f t="array" aca="1" ref="BY150" ca="1">IF(OR($D150&lt;&gt;"Serviço",AND(AUTOEVENTO="Manual",$M150=$A$15),$M150&gt;(ROW(PLE.lastrow)-ROW(PLE.firstrow))),0,
           IF(OFFSET(PLE!$G$15,$M150-$A$15,BY$13)="",10^12,OFFSET(PLE!$G$15,$M150-$A$15,BY$13)))</f>
        <v>1000000000000</v>
      </c>
      <c r="BZ150" s="172">
        <f t="array" aca="1" ref="BZ150" ca="1">IF(OR($D150&lt;&gt;"Serviço",AND(AUTOEVENTO="Manual",$M150=$A$15),$M150&gt;(ROW(PLE.lastrow)-ROW(PLE.firstrow))),0,
           IF(OFFSET(PLE!$G$15,$M150-$A$15,BZ$13)="",10^12,OFFSET(PLE!$G$15,$M150-$A$15,BZ$13)))</f>
        <v>1000000000000</v>
      </c>
      <c r="CA150" s="172">
        <f t="array" aca="1" ref="CA150" ca="1">IF(OR($D150&lt;&gt;"Serviço",AND(AUTOEVENTO="Manual",$M150=$A$15),$M150&gt;(ROW(PLE.lastrow)-ROW(PLE.firstrow))),0,
           IF(OFFSET(PLE!$G$15,$M150-$A$15,CA$13)="",10^12,OFFSET(PLE!$G$15,$M150-$A$15,CA$13)))</f>
        <v>1000000000000</v>
      </c>
      <c r="CB150" s="172">
        <f t="array" aca="1" ref="CB150" ca="1">IF(OR($D150&lt;&gt;"Serviço",AND(AUTOEVENTO="Manual",$M150=$A$15),$M150&gt;(ROW(PLE.lastrow)-ROW(PLE.firstrow))),0,
           IF(OFFSET(PLE!$G$15,$M150-$A$15,CB$13)="",10^12,OFFSET(PLE!$G$15,$M150-$A$15,CB$13)))</f>
        <v>1000000000000</v>
      </c>
      <c r="CC150" s="172">
        <f t="array" aca="1" ref="CC150" ca="1">IF(OR($D150&lt;&gt;"Serviço",AND(AUTOEVENTO="Manual",$M150=$A$15),$M150&gt;(ROW(PLE.lastrow)-ROW(PLE.firstrow))),0,
           IF(OFFSET(PLE!$G$15,$M150-$A$15,CC$13)="",10^12,OFFSET(PLE!$G$15,$M150-$A$15,CC$13)))</f>
        <v>1000000000000</v>
      </c>
      <c r="CD150" s="172">
        <f t="array" aca="1" ref="CD150" ca="1">IF(OR($D150&lt;&gt;"Serviço",AND(AUTOEVENTO="Manual",$M150=$A$15),$M150&gt;(ROW(PLE.lastrow)-ROW(PLE.firstrow))),0,
           IF(OFFSET(PLE!$G$15,$M150-$A$15,CD$13)="",10^12,OFFSET(PLE!$G$15,$M150-$A$15,CD$13)))</f>
        <v>1000000000000</v>
      </c>
      <c r="CE150" s="172">
        <f t="array" aca="1" ref="CE150" ca="1">IF(OR($D150&lt;&gt;"Serviço",AND(AUTOEVENTO="Manual",$M150=$A$15),$M150&gt;(ROW(PLE.lastrow)-ROW(PLE.firstrow))),0,
           IF(OFFSET(PLE!$G$15,$M150-$A$15,CE$13)="",10^12,OFFSET(PLE!$G$15,$M150-$A$15,CE$13)))</f>
        <v>1000000000000</v>
      </c>
      <c r="CF150" s="172">
        <f t="array" aca="1" ref="CF150" ca="1">IF(OR($D150&lt;&gt;"Serviço",AND(AUTOEVENTO="Manual",$M150=$A$15),$M150&gt;(ROW(PLE.lastrow)-ROW(PLE.firstrow))),0,
           IF(OFFSET(PLE!$G$15,$M150-$A$15,CF$13)="",10^12,OFFSET(PLE!$G$15,$M150-$A$15,CF$13)))</f>
        <v>1000000000000</v>
      </c>
      <c r="CG150" s="172">
        <f t="array" aca="1" ref="CG150" ca="1">IF(OR($D150&lt;&gt;"Serviço",AND(AUTOEVENTO="Manual",$M150=$A$15),$M150&gt;(ROW(PLE.lastrow)-ROW(PLE.firstrow))),0,
           IF(OFFSET(PLE!$G$15,$M150-$A$15,CG$13)="",10^12,OFFSET(PLE!$G$15,$M150-$A$15,CG$13)))</f>
        <v>1000000000000</v>
      </c>
      <c r="CH150" s="172">
        <f t="array" aca="1" ref="CH150" ca="1">IF(OR($D150&lt;&gt;"Serviço",AND(AUTOEVENTO="Manual",$M150=$A$15),$M150&gt;(ROW(PLE.lastrow)-ROW(PLE.firstrow))),0,
           IF(OFFSET(PLE!$G$15,$M150-$A$15,CH$13)="",10^12,OFFSET(PLE!$G$15,$M150-$A$15,CH$13)))</f>
        <v>1000000000000</v>
      </c>
      <c r="CI150" s="172">
        <f t="array" aca="1" ref="CI150" ca="1">IF(OR($D150&lt;&gt;"Serviço",AND(AUTOEVENTO="Manual",$M150=$A$15),$M150&gt;(ROW(PLE.lastrow)-ROW(PLE.firstrow))),0,
           IF(OFFSET(PLE!$G$15,$M150-$A$15,CI$13)="",10^12,OFFSET(PLE!$G$15,$M150-$A$15,CI$13)))</f>
        <v>1000000000000</v>
      </c>
      <c r="CJ150" s="172">
        <f t="array" aca="1" ref="CJ150" ca="1">IF(OR($D150&lt;&gt;"Serviço",AND(AUTOEVENTO="Manual",$M150=$A$15),$M150&gt;(ROW(PLE.lastrow)-ROW(PLE.firstrow))),0,
           IF(OFFSET(PLE!$G$15,$M150-$A$15,CJ$13)="",10^12,OFFSET(PLE!$G$15,$M150-$A$15,CJ$13)))</f>
        <v>1000000000000</v>
      </c>
      <c r="CK150" s="172">
        <f t="array" aca="1" ref="CK150" ca="1">IF(OR($D150&lt;&gt;"Serviço",AND(AUTOEVENTO="Manual",$M150=$A$15),$M150&gt;(ROW(PLE.lastrow)-ROW(PLE.firstrow))),0,
           IF(OFFSET(PLE!$G$15,$M150-$A$15,CK$13)="",10^12,OFFSET(PLE!$G$15,$M150-$A$15,CK$13)))</f>
        <v>1000000000000</v>
      </c>
      <c r="CL150" s="172">
        <f t="array" aca="1" ref="CL150" ca="1">IF(OR($D150&lt;&gt;"Serviço",AND(AUTOEVENTO="Manual",$M150=$A$15),$M150&gt;(ROW(PLE.lastrow)-ROW(PLE.firstrow))),0,
           IF(OFFSET(PLE!$G$15,$M150-$A$15,CL$13)="",10^12,OFFSET(PLE!$G$15,$M150-$A$15,CL$13)))</f>
        <v>1000000000000</v>
      </c>
      <c r="CM150" s="172">
        <f t="array" aca="1" ref="CM150" ca="1">IF(OR($D150&lt;&gt;"Serviço",AND(AUTOEVENTO="Manual",$M150=$A$15),$M150&gt;(ROW(PLE.lastrow)-ROW(PLE.firstrow))),0,
           IF(OFFSET(PLE!$G$15,$M150-$A$15,CM$13)="",10^12,OFFSET(PLE!$G$15,$M150-$A$15,CM$13)))</f>
        <v>1000000000000</v>
      </c>
    </row>
    <row r="151" spans="1:91" s="696" customFormat="1" ht="51" x14ac:dyDescent="0.2">
      <c r="A151" s="694">
        <f t="shared" ca="1" si="82"/>
        <v>36</v>
      </c>
      <c r="B151" s="694" t="str">
        <f ca="1">OFFSET(ORÇAMENTO!C$15,$L151,0)</f>
        <v>S</v>
      </c>
      <c r="C151" s="694" t="str">
        <f ca="1">OFFSET(ORÇAMENTO!L$15,$L151,0)</f>
        <v>F</v>
      </c>
      <c r="D151" s="116" t="str">
        <f ca="1">OFFSET(ORÇAMENTO!N$15,$L151,0)</f>
        <v>Serviço</v>
      </c>
      <c r="E151" s="117" t="str">
        <f ca="1">OFFSET(ORÇAMENTO!O$15,$L151,0)</f>
        <v>1.24.14.</v>
      </c>
      <c r="F151" s="163" t="str">
        <f ca="1">OFFSET(ORÇAMENTO!R$15,$L151,0)</f>
        <v>CAIXA OCTOGONAL 3" X 3", PVC, INSTALADA EM LAJE - FORNECIMENTO E INSTALAÇÃO. AF_03/2023</v>
      </c>
      <c r="G151" s="164" t="str">
        <f ca="1">IF($D151&lt;&gt;"Serviço","",OFFSET(ORÇAMENTO!S$15,$L151,0))</f>
        <v>UN</v>
      </c>
      <c r="H151" s="122">
        <f t="array" aca="1" ref="H151" ca="1">IF($D151&lt;&gt;"Serviço",0,IF(ACOMPANHAMENTO="BM",ROUND(OFFSET(ORÇAMENTO!AJ$15,$L151,0),15-13*ORÇAMENTO!$AF$7),IF(IFERROR(CÁLCULO.FrentesPreenchidas,0)=0,0,SUM(ROUND(OFFSET($P151,0,1,1,CÁLCULO.FrentesPreenchidas),15-13*ORÇAMENTO!$AF$7)))))</f>
        <v>140</v>
      </c>
      <c r="I151" s="467" t="s">
        <v>1300</v>
      </c>
      <c r="J151" s="653" t="str">
        <f t="array" aca="1" ref="J151" ca="1">IF(OR(B151&lt;&gt;"S",CÁLCULO.FrentesPreenchidas=0),"",IF(AND(ACOMPANHAMENTO="PLE",AUTOEVENTO="Manual",OR(H151&gt;0,ORÇAMENTO!AC151="QUANT."),OR(K151="",M151=0,N151="")),"►E",IF(AND(ACOMPANHAMENTO="PLE",ORÇAMENTO!AC151="QUANT."),"►Q",IF(AND(ACOMPANHAMENTO="PLE",H151&lt;&gt;SUMPRODUCT(($Q$1:$AI$1=1)*ROUND(Q151:AI151,15))),"►S",IF(AND(COUNTIF($P$11:$AI$11,"▼")=0,H151&gt;0,I151=""),"◄M","")))))</f>
        <v/>
      </c>
      <c r="K151" s="654" t="s">
        <v>1443</v>
      </c>
      <c r="L151" s="165">
        <f t="shared" ca="1" si="83"/>
        <v>136</v>
      </c>
      <c r="M151" s="166">
        <f ca="1">IF($D151&lt;&gt;"Serviço","",
          IF(AUTOEVENTO="manual",$A151,
                IF(ISERROR(MATCH($A151,$A$15:OFFSET($A151,-1,0),0)),MAX($M$15:OFFSET(M151,-1,0))+1,
                      INDEX($M$15:OFFSET(M151,-1,0),MATCH($A151,$A$15:OFFSET($A151,-1,0),0)))))</f>
        <v>36</v>
      </c>
      <c r="N151" s="167" t="str">
        <f ca="1">IF($D151&lt;&gt;"Serviço","",
         IF(AUTOEVENTO="Manual",
                IF($A151=0,"&lt;-- defina o número do agrupador",
                       OFFSET(EVENTOS!$D$15,$A151-$A$15,0)),
                OFFSET($F$15,$A151,0)))</f>
        <v>ELÉTRICA EMBITIDA EM LAJE E FORROS</v>
      </c>
      <c r="O151" s="168"/>
      <c r="Q151" s="169">
        <v>35</v>
      </c>
      <c r="R151" s="169">
        <v>35</v>
      </c>
      <c r="S151" s="169">
        <v>35</v>
      </c>
      <c r="T151" s="169">
        <v>35</v>
      </c>
      <c r="U151" s="169"/>
      <c r="V151" s="169"/>
      <c r="W151" s="169"/>
      <c r="X151" s="169"/>
      <c r="Y151" s="169"/>
      <c r="Z151" s="170"/>
      <c r="AA151" s="169"/>
      <c r="AB151" s="169"/>
      <c r="AC151" s="169"/>
      <c r="AD151" s="169"/>
      <c r="AE151" s="169"/>
      <c r="AF151" s="169"/>
      <c r="AG151" s="169"/>
      <c r="AH151" s="170"/>
      <c r="AJ151" s="452">
        <f ca="1">IF(AND($D151="Serviço",AJ$12&lt;&gt;0,$H151&gt;0,OR(AUTOEVENTO&lt;&gt;"manual",$M151&lt;&gt;$A$15)),
        IF(Import.TipoArredondamento&lt;&gt;"TransfereGOV",
              ROUND(OFFSET($P151,0,AJ$13),15-13*ORÇAMENTO!$AF$7)/$H151*OFFSET(ORÇAMENTO!$X$15,ROW(AJ151)-ROW(AJ$15),0),
              ROUND(ROUND(OFFSET($P151,0,AJ$13),15-13*ORÇAMENTO!$AF$7)*OFFSET(ORÇAMENTO!$W$15,ROW(AJ151)-ROW(AJ$15),0),15-13*ORÇAMENTO!$AF$11)),
         0)</f>
        <v>707.35</v>
      </c>
      <c r="AK151" s="452">
        <f ca="1">IF(AND($D151="Serviço",AK$12&lt;&gt;0,$H151&gt;0,OR(AUTOEVENTO&lt;&gt;"manual",$M151&lt;&gt;$A$15)),
        IF(Import.TipoArredondamento&lt;&gt;"TransfereGOV",
              ROUND(OFFSET($P151,0,AK$13),15-13*ORÇAMENTO!$AF$7)/$H151*OFFSET(ORÇAMENTO!$X$15,ROW(AK151)-ROW(AK$15),0),
              ROUND(ROUND(OFFSET($P151,0,AK$13),15-13*ORÇAMENTO!$AF$7)*OFFSET(ORÇAMENTO!$W$15,ROW(AK151)-ROW(AK$15),0),15-13*ORÇAMENTO!$AF$11)),
         0)</f>
        <v>707.35</v>
      </c>
      <c r="AL151" s="452">
        <f ca="1">IF(AND($D151="Serviço",AL$12&lt;&gt;0,$H151&gt;0,OR(AUTOEVENTO&lt;&gt;"manual",$M151&lt;&gt;$A$15)),
        IF(Import.TipoArredondamento&lt;&gt;"TransfereGOV",
              ROUND(OFFSET($P151,0,AL$13),15-13*ORÇAMENTO!$AF$7)/$H151*OFFSET(ORÇAMENTO!$X$15,ROW(AL151)-ROW(AL$15),0),
              ROUND(ROUND(OFFSET($P151,0,AL$13),15-13*ORÇAMENTO!$AF$7)*OFFSET(ORÇAMENTO!$W$15,ROW(AL151)-ROW(AL$15),0),15-13*ORÇAMENTO!$AF$11)),
         0)</f>
        <v>707.35</v>
      </c>
      <c r="AM151" s="452">
        <f ca="1">IF(AND($D151="Serviço",AM$12&lt;&gt;0,$H151&gt;0,OR(AUTOEVENTO&lt;&gt;"manual",$M151&lt;&gt;$A$15)),
        IF(Import.TipoArredondamento&lt;&gt;"TransfereGOV",
              ROUND(OFFSET($P151,0,AM$13),15-13*ORÇAMENTO!$AF$7)/$H151*OFFSET(ORÇAMENTO!$X$15,ROW(AM151)-ROW(AM$15),0),
              ROUND(ROUND(OFFSET($P151,0,AM$13),15-13*ORÇAMENTO!$AF$7)*OFFSET(ORÇAMENTO!$W$15,ROW(AM151)-ROW(AM$15),0),15-13*ORÇAMENTO!$AF$11)),
         0)</f>
        <v>707.35</v>
      </c>
      <c r="AN151" s="452">
        <f ca="1">IF(AND($D151="Serviço",AN$12&lt;&gt;0,$H151&gt;0,OR(AUTOEVENTO&lt;&gt;"manual",$M151&lt;&gt;$A$15)),
        IF(Import.TipoArredondamento&lt;&gt;"TransfereGOV",
              ROUND(OFFSET($P151,0,AN$13),15-13*ORÇAMENTO!$AF$7)/$H151*OFFSET(ORÇAMENTO!$X$15,ROW(AN151)-ROW(AN$15),0),
              ROUND(ROUND(OFFSET($P151,0,AN$13),15-13*ORÇAMENTO!$AF$7)*OFFSET(ORÇAMENTO!$W$15,ROW(AN151)-ROW(AN$15),0),15-13*ORÇAMENTO!$AF$11)),
         0)</f>
        <v>0</v>
      </c>
      <c r="AO151" s="452">
        <f ca="1">IF(AND($D151="Serviço",AO$12&lt;&gt;0,$H151&gt;0,OR(AUTOEVENTO&lt;&gt;"manual",$M151&lt;&gt;$A$15)),
        IF(Import.TipoArredondamento&lt;&gt;"TransfereGOV",
              ROUND(OFFSET($P151,0,AO$13),15-13*ORÇAMENTO!$AF$7)/$H151*OFFSET(ORÇAMENTO!$X$15,ROW(AO151)-ROW(AO$15),0),
              ROUND(ROUND(OFFSET($P151,0,AO$13),15-13*ORÇAMENTO!$AF$7)*OFFSET(ORÇAMENTO!$W$15,ROW(AO151)-ROW(AO$15),0),15-13*ORÇAMENTO!$AF$11)),
         0)</f>
        <v>0</v>
      </c>
      <c r="AP151" s="452">
        <f ca="1">IF(AND($D151="Serviço",AP$12&lt;&gt;0,$H151&gt;0,OR(AUTOEVENTO&lt;&gt;"manual",$M151&lt;&gt;$A$15)),
        IF(Import.TipoArredondamento&lt;&gt;"TransfereGOV",
              ROUND(OFFSET($P151,0,AP$13),15-13*ORÇAMENTO!$AF$7)/$H151*OFFSET(ORÇAMENTO!$X$15,ROW(AP151)-ROW(AP$15),0),
              ROUND(ROUND(OFFSET($P151,0,AP$13),15-13*ORÇAMENTO!$AF$7)*OFFSET(ORÇAMENTO!$W$15,ROW(AP151)-ROW(AP$15),0),15-13*ORÇAMENTO!$AF$11)),
         0)</f>
        <v>0</v>
      </c>
      <c r="AQ151" s="452">
        <f ca="1">IF(AND($D151="Serviço",AQ$12&lt;&gt;0,$H151&gt;0,OR(AUTOEVENTO&lt;&gt;"manual",$M151&lt;&gt;$A$15)),
        IF(Import.TipoArredondamento&lt;&gt;"TransfereGOV",
              ROUND(OFFSET($P151,0,AQ$13),15-13*ORÇAMENTO!$AF$7)/$H151*OFFSET(ORÇAMENTO!$X$15,ROW(AQ151)-ROW(AQ$15),0),
              ROUND(ROUND(OFFSET($P151,0,AQ$13),15-13*ORÇAMENTO!$AF$7)*OFFSET(ORÇAMENTO!$W$15,ROW(AQ151)-ROW(AQ$15),0),15-13*ORÇAMENTO!$AF$11)),
         0)</f>
        <v>0</v>
      </c>
      <c r="AR151" s="452">
        <f ca="1">IF(AND($D151="Serviço",AR$12&lt;&gt;0,$H151&gt;0,OR(AUTOEVENTO&lt;&gt;"manual",$M151&lt;&gt;$A$15)),
        IF(Import.TipoArredondamento&lt;&gt;"TransfereGOV",
              ROUND(OFFSET($P151,0,AR$13),15-13*ORÇAMENTO!$AF$7)/$H151*OFFSET(ORÇAMENTO!$X$15,ROW(AR151)-ROW(AR$15),0),
              ROUND(ROUND(OFFSET($P151,0,AR$13),15-13*ORÇAMENTO!$AF$7)*OFFSET(ORÇAMENTO!$W$15,ROW(AR151)-ROW(AR$15),0),15-13*ORÇAMENTO!$AF$11)),
         0)</f>
        <v>0</v>
      </c>
      <c r="AS151" s="452">
        <f ca="1">IF(AND($D151="Serviço",AS$12&lt;&gt;0,$H151&gt;0,OR(AUTOEVENTO&lt;&gt;"manual",$M151&lt;&gt;$A$15)),
        IF(Import.TipoArredondamento&lt;&gt;"TransfereGOV",
              ROUND(OFFSET($P151,0,AS$13),15-13*ORÇAMENTO!$AF$7)/$H151*OFFSET(ORÇAMENTO!$X$15,ROW(AS151)-ROW(AS$15),0),
              ROUND(ROUND(OFFSET($P151,0,AS$13),15-13*ORÇAMENTO!$AF$7)*OFFSET(ORÇAMENTO!$W$15,ROW(AS151)-ROW(AS$15),0),15-13*ORÇAMENTO!$AF$11)),
         0)</f>
        <v>0</v>
      </c>
      <c r="AT151" s="452">
        <f ca="1">IF(AND($D151="Serviço",AT$12&lt;&gt;0,$H151&gt;0,OR(AUTOEVENTO&lt;&gt;"manual",$M151&lt;&gt;$A$15)),
        IF(Import.TipoArredondamento&lt;&gt;"TransfereGOV",
              ROUND(OFFSET($P151,0,AT$13),15-13*ORÇAMENTO!$AF$7)/$H151*OFFSET(ORÇAMENTO!$X$15,ROW(AT151)-ROW(AT$15),0),
              ROUND(ROUND(OFFSET($P151,0,AT$13),15-13*ORÇAMENTO!$AF$7)*OFFSET(ORÇAMENTO!$W$15,ROW(AT151)-ROW(AT$15),0),15-13*ORÇAMENTO!$AF$11)),
         0)</f>
        <v>0</v>
      </c>
      <c r="AU151" s="452">
        <f ca="1">IF(AND($D151="Serviço",AU$12&lt;&gt;0,$H151&gt;0,OR(AUTOEVENTO&lt;&gt;"manual",$M151&lt;&gt;$A$15)),
        IF(Import.TipoArredondamento&lt;&gt;"TransfereGOV",
              ROUND(OFFSET($P151,0,AU$13),15-13*ORÇAMENTO!$AF$7)/$H151*OFFSET(ORÇAMENTO!$X$15,ROW(AU151)-ROW(AU$15),0),
              ROUND(ROUND(OFFSET($P151,0,AU$13),15-13*ORÇAMENTO!$AF$7)*OFFSET(ORÇAMENTO!$W$15,ROW(AU151)-ROW(AU$15),0),15-13*ORÇAMENTO!$AF$11)),
         0)</f>
        <v>0</v>
      </c>
      <c r="AV151" s="452">
        <f ca="1">IF(AND($D151="Serviço",AV$12&lt;&gt;0,$H151&gt;0,OR(AUTOEVENTO&lt;&gt;"manual",$M151&lt;&gt;$A$15)),
        IF(Import.TipoArredondamento&lt;&gt;"TransfereGOV",
              ROUND(OFFSET($P151,0,AV$13),15-13*ORÇAMENTO!$AF$7)/$H151*OFFSET(ORÇAMENTO!$X$15,ROW(AV151)-ROW(AV$15),0),
              ROUND(ROUND(OFFSET($P151,0,AV$13),15-13*ORÇAMENTO!$AF$7)*OFFSET(ORÇAMENTO!$W$15,ROW(AV151)-ROW(AV$15),0),15-13*ORÇAMENTO!$AF$11)),
         0)</f>
        <v>0</v>
      </c>
      <c r="AW151" s="452">
        <f ca="1">IF(AND($D151="Serviço",AW$12&lt;&gt;0,$H151&gt;0,OR(AUTOEVENTO&lt;&gt;"manual",$M151&lt;&gt;$A$15)),
        IF(Import.TipoArredondamento&lt;&gt;"TransfereGOV",
              ROUND(OFFSET($P151,0,AW$13),15-13*ORÇAMENTO!$AF$7)/$H151*OFFSET(ORÇAMENTO!$X$15,ROW(AW151)-ROW(AW$15),0),
              ROUND(ROUND(OFFSET($P151,0,AW$13),15-13*ORÇAMENTO!$AF$7)*OFFSET(ORÇAMENTO!$W$15,ROW(AW151)-ROW(AW$15),0),15-13*ORÇAMENTO!$AF$11)),
         0)</f>
        <v>0</v>
      </c>
      <c r="AX151" s="452">
        <f ca="1">IF(AND($D151="Serviço",AX$12&lt;&gt;0,$H151&gt;0,OR(AUTOEVENTO&lt;&gt;"manual",$M151&lt;&gt;$A$15)),
        IF(Import.TipoArredondamento&lt;&gt;"TransfereGOV",
              ROUND(OFFSET($P151,0,AX$13),15-13*ORÇAMENTO!$AF$7)/$H151*OFFSET(ORÇAMENTO!$X$15,ROW(AX151)-ROW(AX$15),0),
              ROUND(ROUND(OFFSET($P151,0,AX$13),15-13*ORÇAMENTO!$AF$7)*OFFSET(ORÇAMENTO!$W$15,ROW(AX151)-ROW(AX$15),0),15-13*ORÇAMENTO!$AF$11)),
         0)</f>
        <v>0</v>
      </c>
      <c r="AY151" s="452">
        <f ca="1">IF(AND($D151="Serviço",AY$12&lt;&gt;0,$H151&gt;0,OR(AUTOEVENTO&lt;&gt;"manual",$M151&lt;&gt;$A$15)),
        IF(Import.TipoArredondamento&lt;&gt;"TransfereGOV",
              ROUND(OFFSET($P151,0,AY$13),15-13*ORÇAMENTO!$AF$7)/$H151*OFFSET(ORÇAMENTO!$X$15,ROW(AY151)-ROW(AY$15),0),
              ROUND(ROUND(OFFSET($P151,0,AY$13),15-13*ORÇAMENTO!$AF$7)*OFFSET(ORÇAMENTO!$W$15,ROW(AY151)-ROW(AY$15),0),15-13*ORÇAMENTO!$AF$11)),
         0)</f>
        <v>0</v>
      </c>
      <c r="AZ151" s="452">
        <f ca="1">IF(AND($D151="Serviço",AZ$12&lt;&gt;0,$H151&gt;0,OR(AUTOEVENTO&lt;&gt;"manual",$M151&lt;&gt;$A$15)),
        IF(Import.TipoArredondamento&lt;&gt;"TransfereGOV",
              ROUND(OFFSET($P151,0,AZ$13),15-13*ORÇAMENTO!$AF$7)/$H151*OFFSET(ORÇAMENTO!$X$15,ROW(AZ151)-ROW(AZ$15),0),
              ROUND(ROUND(OFFSET($P151,0,AZ$13),15-13*ORÇAMENTO!$AF$7)*OFFSET(ORÇAMENTO!$W$15,ROW(AZ151)-ROW(AZ$15),0),15-13*ORÇAMENTO!$AF$11)),
         0)</f>
        <v>0</v>
      </c>
      <c r="BA151" s="452">
        <f ca="1">IF(AND($D151="Serviço",BA$12&lt;&gt;0,$H151&gt;0,OR(AUTOEVENTO&lt;&gt;"manual",$M151&lt;&gt;$A$15)),
        IF(Import.TipoArredondamento&lt;&gt;"TransfereGOV",
              ROUND(OFFSET($P151,0,BA$13),15-13*ORÇAMENTO!$AF$7)/$H151*OFFSET(ORÇAMENTO!$X$15,ROW(BA151)-ROW(BA$15),0),
              ROUND(ROUND(OFFSET($P151,0,BA$13),15-13*ORÇAMENTO!$AF$7)*OFFSET(ORÇAMENTO!$W$15,ROW(BA151)-ROW(BA$15),0),15-13*ORÇAMENTO!$AF$11)),
         0)</f>
        <v>0</v>
      </c>
      <c r="BC151" s="171">
        <f ca="1">IF(OR($D151&lt;&gt;"Serviço",AND(AUTOEVENTO="Manual",$M151=$A$15)),0,
         IF(OFFSET(CRONOPLE!$F$15,$M151-$A$15,BC$13)=0,10^12,OFFSET(CRONOPLE!$F$15,$M151-$A$15,BC$13)))</f>
        <v>6</v>
      </c>
      <c r="BD151" s="171">
        <f ca="1">IF(OR($D151&lt;&gt;"Serviço",AND(AUTOEVENTO="Manual",$M151=$A$15)),0,
         IF(OFFSET(CRONOPLE!$F$15,$M151-$A$15,BD$13)=0,10^12,OFFSET(CRONOPLE!$F$15,$M151-$A$15,BD$13)))</f>
        <v>5</v>
      </c>
      <c r="BE151" s="171">
        <f ca="1">IF(OR($D151&lt;&gt;"Serviço",AND(AUTOEVENTO="Manual",$M151=$A$15)),0,
         IF(OFFSET(CRONOPLE!$F$15,$M151-$A$15,BE$13)=0,10^12,OFFSET(CRONOPLE!$F$15,$M151-$A$15,BE$13)))</f>
        <v>7</v>
      </c>
      <c r="BF151" s="171">
        <f ca="1">IF(OR($D151&lt;&gt;"Serviço",AND(AUTOEVENTO="Manual",$M151=$A$15)),0,
         IF(OFFSET(CRONOPLE!$F$15,$M151-$A$15,BF$13)=0,10^12,OFFSET(CRONOPLE!$F$15,$M151-$A$15,BF$13)))</f>
        <v>7</v>
      </c>
      <c r="BG151" s="171">
        <f ca="1">IF(OR($D151&lt;&gt;"Serviço",AND(AUTOEVENTO="Manual",$M151=$A$15)),0,
         IF(OFFSET(CRONOPLE!$F$15,$M151-$A$15,BG$13)=0,10^12,OFFSET(CRONOPLE!$F$15,$M151-$A$15,BG$13)))</f>
        <v>7</v>
      </c>
      <c r="BH151" s="171">
        <f ca="1">IF(OR($D151&lt;&gt;"Serviço",AND(AUTOEVENTO="Manual",$M151=$A$15)),0,
         IF(OFFSET(CRONOPLE!$F$15,$M151-$A$15,BH$13)=0,10^12,OFFSET(CRONOPLE!$F$15,$M151-$A$15,BH$13)))</f>
        <v>1000000000000</v>
      </c>
      <c r="BI151" s="171">
        <f ca="1">IF(OR($D151&lt;&gt;"Serviço",AND(AUTOEVENTO="Manual",$M151=$A$15)),0,
         IF(OFFSET(CRONOPLE!$F$15,$M151-$A$15,BI$13)=0,10^12,OFFSET(CRONOPLE!$F$15,$M151-$A$15,BI$13)))</f>
        <v>1000000000000</v>
      </c>
      <c r="BJ151" s="171">
        <f ca="1">IF(OR($D151&lt;&gt;"Serviço",AND(AUTOEVENTO="Manual",$M151=$A$15)),0,
         IF(OFFSET(CRONOPLE!$F$15,$M151-$A$15,BJ$13)=0,10^12,OFFSET(CRONOPLE!$F$15,$M151-$A$15,BJ$13)))</f>
        <v>1000000000000</v>
      </c>
      <c r="BK151" s="171">
        <f ca="1">IF(OR($D151&lt;&gt;"Serviço",AND(AUTOEVENTO="Manual",$M151=$A$15)),0,
         IF(OFFSET(CRONOPLE!$F$15,$M151-$A$15,BK$13)=0,10^12,OFFSET(CRONOPLE!$F$15,$M151-$A$15,BK$13)))</f>
        <v>1000000000000</v>
      </c>
      <c r="BL151" s="171">
        <f ca="1">IF(OR($D151&lt;&gt;"Serviço",AND(AUTOEVENTO="Manual",$M151=$A$15)),0,
         IF(OFFSET(CRONOPLE!$F$15,$M151-$A$15,BL$13)=0,10^12,OFFSET(CRONOPLE!$F$15,$M151-$A$15,BL$13)))</f>
        <v>1000000000000</v>
      </c>
      <c r="BM151" s="171">
        <f ca="1">IF(OR($D151&lt;&gt;"Serviço",AND(AUTOEVENTO="Manual",$M151=$A$15)),0,
         IF(OFFSET(CRONOPLE!$F$15,$M151-$A$15,BM$13)=0,10^12,OFFSET(CRONOPLE!$F$15,$M151-$A$15,BM$13)))</f>
        <v>1000000000000</v>
      </c>
      <c r="BN151" s="171">
        <f ca="1">IF(OR($D151&lt;&gt;"Serviço",AND(AUTOEVENTO="Manual",$M151=$A$15)),0,
         IF(OFFSET(CRONOPLE!$F$15,$M151-$A$15,BN$13)=0,10^12,OFFSET(CRONOPLE!$F$15,$M151-$A$15,BN$13)))</f>
        <v>1000000000000</v>
      </c>
      <c r="BO151" s="171">
        <f ca="1">IF(OR($D151&lt;&gt;"Serviço",AND(AUTOEVENTO="Manual",$M151=$A$15)),0,
         IF(OFFSET(CRONOPLE!$F$15,$M151-$A$15,BO$13)=0,10^12,OFFSET(CRONOPLE!$F$15,$M151-$A$15,BO$13)))</f>
        <v>1000000000000</v>
      </c>
      <c r="BP151" s="171">
        <f ca="1">IF(OR($D151&lt;&gt;"Serviço",AND(AUTOEVENTO="Manual",$M151=$A$15)),0,
         IF(OFFSET(CRONOPLE!$F$15,$M151-$A$15,BP$13)=0,10^12,OFFSET(CRONOPLE!$F$15,$M151-$A$15,BP$13)))</f>
        <v>1000000000000</v>
      </c>
      <c r="BQ151" s="171">
        <f ca="1">IF(OR($D151&lt;&gt;"Serviço",AND(AUTOEVENTO="Manual",$M151=$A$15)),0,
         IF(OFFSET(CRONOPLE!$F$15,$M151-$A$15,BQ$13)=0,10^12,OFFSET(CRONOPLE!$F$15,$M151-$A$15,BQ$13)))</f>
        <v>1000000000000</v>
      </c>
      <c r="BR151" s="171">
        <f ca="1">IF(OR($D151&lt;&gt;"Serviço",AND(AUTOEVENTO="Manual",$M151=$A$15)),0,
         IF(OFFSET(CRONOPLE!$F$15,$M151-$A$15,BR$13)=0,10^12,OFFSET(CRONOPLE!$F$15,$M151-$A$15,BR$13)))</f>
        <v>1000000000000</v>
      </c>
      <c r="BS151" s="171">
        <f ca="1">IF(OR($D151&lt;&gt;"Serviço",AND(AUTOEVENTO="Manual",$M151=$A$15)),0,
         IF(OFFSET(CRONOPLE!$F$15,$M151-$A$15,BS$13)=0,10^12,OFFSET(CRONOPLE!$F$15,$M151-$A$15,BS$13)))</f>
        <v>1000000000000</v>
      </c>
      <c r="BT151" s="171">
        <f ca="1">IF(OR($D151&lt;&gt;"Serviço",AND(AUTOEVENTO="Manual",$M151=$A$15)),0,
         IF(OFFSET(CRONOPLE!$F$15,$M151-$A$15,BT$13)=0,10^12,OFFSET(CRONOPLE!$F$15,$M151-$A$15,BT$13)))</f>
        <v>1000000000000</v>
      </c>
      <c r="BV151" s="172">
        <f t="array" aca="1" ref="BV151" ca="1">IF(OR($D151&lt;&gt;"Serviço",AND(AUTOEVENTO="Manual",$M151=$A$15),$M151&gt;(ROW(PLE.lastrow)-ROW(PLE.firstrow))),0,
           IF(OFFSET(PLE!$G$15,$M151-$A$15,BV$13)="",10^12,OFFSET(PLE!$G$15,$M151-$A$15,BV$13)))</f>
        <v>1000000000000</v>
      </c>
      <c r="BW151" s="172">
        <f t="array" aca="1" ref="BW151" ca="1">IF(OR($D151&lt;&gt;"Serviço",AND(AUTOEVENTO="Manual",$M151=$A$15),$M151&gt;(ROW(PLE.lastrow)-ROW(PLE.firstrow))),0,
           IF(OFFSET(PLE!$G$15,$M151-$A$15,BW$13)="",10^12,OFFSET(PLE!$G$15,$M151-$A$15,BW$13)))</f>
        <v>1000000000000</v>
      </c>
      <c r="BX151" s="172">
        <f t="array" aca="1" ref="BX151" ca="1">IF(OR($D151&lt;&gt;"Serviço",AND(AUTOEVENTO="Manual",$M151=$A$15),$M151&gt;(ROW(PLE.lastrow)-ROW(PLE.firstrow))),0,
           IF(OFFSET(PLE!$G$15,$M151-$A$15,BX$13)="",10^12,OFFSET(PLE!$G$15,$M151-$A$15,BX$13)))</f>
        <v>1000000000000</v>
      </c>
      <c r="BY151" s="172">
        <f t="array" aca="1" ref="BY151" ca="1">IF(OR($D151&lt;&gt;"Serviço",AND(AUTOEVENTO="Manual",$M151=$A$15),$M151&gt;(ROW(PLE.lastrow)-ROW(PLE.firstrow))),0,
           IF(OFFSET(PLE!$G$15,$M151-$A$15,BY$13)="",10^12,OFFSET(PLE!$G$15,$M151-$A$15,BY$13)))</f>
        <v>1000000000000</v>
      </c>
      <c r="BZ151" s="172">
        <f t="array" aca="1" ref="BZ151" ca="1">IF(OR($D151&lt;&gt;"Serviço",AND(AUTOEVENTO="Manual",$M151=$A$15),$M151&gt;(ROW(PLE.lastrow)-ROW(PLE.firstrow))),0,
           IF(OFFSET(PLE!$G$15,$M151-$A$15,BZ$13)="",10^12,OFFSET(PLE!$G$15,$M151-$A$15,BZ$13)))</f>
        <v>1000000000000</v>
      </c>
      <c r="CA151" s="172">
        <f t="array" aca="1" ref="CA151" ca="1">IF(OR($D151&lt;&gt;"Serviço",AND(AUTOEVENTO="Manual",$M151=$A$15),$M151&gt;(ROW(PLE.lastrow)-ROW(PLE.firstrow))),0,
           IF(OFFSET(PLE!$G$15,$M151-$A$15,CA$13)="",10^12,OFFSET(PLE!$G$15,$M151-$A$15,CA$13)))</f>
        <v>1000000000000</v>
      </c>
      <c r="CB151" s="172">
        <f t="array" aca="1" ref="CB151" ca="1">IF(OR($D151&lt;&gt;"Serviço",AND(AUTOEVENTO="Manual",$M151=$A$15),$M151&gt;(ROW(PLE.lastrow)-ROW(PLE.firstrow))),0,
           IF(OFFSET(PLE!$G$15,$M151-$A$15,CB$13)="",10^12,OFFSET(PLE!$G$15,$M151-$A$15,CB$13)))</f>
        <v>1000000000000</v>
      </c>
      <c r="CC151" s="172">
        <f t="array" aca="1" ref="CC151" ca="1">IF(OR($D151&lt;&gt;"Serviço",AND(AUTOEVENTO="Manual",$M151=$A$15),$M151&gt;(ROW(PLE.lastrow)-ROW(PLE.firstrow))),0,
           IF(OFFSET(PLE!$G$15,$M151-$A$15,CC$13)="",10^12,OFFSET(PLE!$G$15,$M151-$A$15,CC$13)))</f>
        <v>1000000000000</v>
      </c>
      <c r="CD151" s="172">
        <f t="array" aca="1" ref="CD151" ca="1">IF(OR($D151&lt;&gt;"Serviço",AND(AUTOEVENTO="Manual",$M151=$A$15),$M151&gt;(ROW(PLE.lastrow)-ROW(PLE.firstrow))),0,
           IF(OFFSET(PLE!$G$15,$M151-$A$15,CD$13)="",10^12,OFFSET(PLE!$G$15,$M151-$A$15,CD$13)))</f>
        <v>1000000000000</v>
      </c>
      <c r="CE151" s="172">
        <f t="array" aca="1" ref="CE151" ca="1">IF(OR($D151&lt;&gt;"Serviço",AND(AUTOEVENTO="Manual",$M151=$A$15),$M151&gt;(ROW(PLE.lastrow)-ROW(PLE.firstrow))),0,
           IF(OFFSET(PLE!$G$15,$M151-$A$15,CE$13)="",10^12,OFFSET(PLE!$G$15,$M151-$A$15,CE$13)))</f>
        <v>1000000000000</v>
      </c>
      <c r="CF151" s="172">
        <f t="array" aca="1" ref="CF151" ca="1">IF(OR($D151&lt;&gt;"Serviço",AND(AUTOEVENTO="Manual",$M151=$A$15),$M151&gt;(ROW(PLE.lastrow)-ROW(PLE.firstrow))),0,
           IF(OFFSET(PLE!$G$15,$M151-$A$15,CF$13)="",10^12,OFFSET(PLE!$G$15,$M151-$A$15,CF$13)))</f>
        <v>1000000000000</v>
      </c>
      <c r="CG151" s="172">
        <f t="array" aca="1" ref="CG151" ca="1">IF(OR($D151&lt;&gt;"Serviço",AND(AUTOEVENTO="Manual",$M151=$A$15),$M151&gt;(ROW(PLE.lastrow)-ROW(PLE.firstrow))),0,
           IF(OFFSET(PLE!$G$15,$M151-$A$15,CG$13)="",10^12,OFFSET(PLE!$G$15,$M151-$A$15,CG$13)))</f>
        <v>1000000000000</v>
      </c>
      <c r="CH151" s="172">
        <f t="array" aca="1" ref="CH151" ca="1">IF(OR($D151&lt;&gt;"Serviço",AND(AUTOEVENTO="Manual",$M151=$A$15),$M151&gt;(ROW(PLE.lastrow)-ROW(PLE.firstrow))),0,
           IF(OFFSET(PLE!$G$15,$M151-$A$15,CH$13)="",10^12,OFFSET(PLE!$G$15,$M151-$A$15,CH$13)))</f>
        <v>1000000000000</v>
      </c>
      <c r="CI151" s="172">
        <f t="array" aca="1" ref="CI151" ca="1">IF(OR($D151&lt;&gt;"Serviço",AND(AUTOEVENTO="Manual",$M151=$A$15),$M151&gt;(ROW(PLE.lastrow)-ROW(PLE.firstrow))),0,
           IF(OFFSET(PLE!$G$15,$M151-$A$15,CI$13)="",10^12,OFFSET(PLE!$G$15,$M151-$A$15,CI$13)))</f>
        <v>1000000000000</v>
      </c>
      <c r="CJ151" s="172">
        <f t="array" aca="1" ref="CJ151" ca="1">IF(OR($D151&lt;&gt;"Serviço",AND(AUTOEVENTO="Manual",$M151=$A$15),$M151&gt;(ROW(PLE.lastrow)-ROW(PLE.firstrow))),0,
           IF(OFFSET(PLE!$G$15,$M151-$A$15,CJ$13)="",10^12,OFFSET(PLE!$G$15,$M151-$A$15,CJ$13)))</f>
        <v>1000000000000</v>
      </c>
      <c r="CK151" s="172">
        <f t="array" aca="1" ref="CK151" ca="1">IF(OR($D151&lt;&gt;"Serviço",AND(AUTOEVENTO="Manual",$M151=$A$15),$M151&gt;(ROW(PLE.lastrow)-ROW(PLE.firstrow))),0,
           IF(OFFSET(PLE!$G$15,$M151-$A$15,CK$13)="",10^12,OFFSET(PLE!$G$15,$M151-$A$15,CK$13)))</f>
        <v>1000000000000</v>
      </c>
      <c r="CL151" s="172">
        <f t="array" aca="1" ref="CL151" ca="1">IF(OR($D151&lt;&gt;"Serviço",AND(AUTOEVENTO="Manual",$M151=$A$15),$M151&gt;(ROW(PLE.lastrow)-ROW(PLE.firstrow))),0,
           IF(OFFSET(PLE!$G$15,$M151-$A$15,CL$13)="",10^12,OFFSET(PLE!$G$15,$M151-$A$15,CL$13)))</f>
        <v>1000000000000</v>
      </c>
      <c r="CM151" s="172">
        <f t="array" aca="1" ref="CM151" ca="1">IF(OR($D151&lt;&gt;"Serviço",AND(AUTOEVENTO="Manual",$M151=$A$15),$M151&gt;(ROW(PLE.lastrow)-ROW(PLE.firstrow))),0,
           IF(OFFSET(PLE!$G$15,$M151-$A$15,CM$13)="",10^12,OFFSET(PLE!$G$15,$M151-$A$15,CM$13)))</f>
        <v>1000000000000</v>
      </c>
    </row>
    <row r="152" spans="1:91" s="696" customFormat="1" ht="12.75" x14ac:dyDescent="0.2">
      <c r="A152" s="694">
        <f t="shared" ca="1" si="82"/>
        <v>0</v>
      </c>
      <c r="B152" s="694">
        <f ca="1">OFFSET(ORÇAMENTO!C$15,$L152,0)</f>
        <v>2</v>
      </c>
      <c r="C152" s="694" t="str">
        <f ca="1">OFFSET(ORÇAMENTO!L$15,$L152,0)</f>
        <v>F</v>
      </c>
      <c r="D152" s="116" t="str">
        <f ca="1">OFFSET(ORÇAMENTO!N$15,$L152,0)</f>
        <v>Nível 2</v>
      </c>
      <c r="E152" s="117" t="str">
        <f ca="1">OFFSET(ORÇAMENTO!O$15,$L152,0)</f>
        <v>1.25.</v>
      </c>
      <c r="F152" s="163" t="str">
        <f ca="1">OFFSET(ORÇAMENTO!R$15,$L152,0)</f>
        <v>FIOS E CABOS</v>
      </c>
      <c r="G152" s="164" t="str">
        <f ca="1">IF($D152&lt;&gt;"Serviço","",OFFSET(ORÇAMENTO!S$15,$L152,0))</f>
        <v/>
      </c>
      <c r="H152" s="122">
        <f t="array" aca="1" ref="H152" ca="1">IF($D152&lt;&gt;"Serviço",0,IF(ACOMPANHAMENTO="BM",ROUND(OFFSET(ORÇAMENTO!AJ$15,$L152,0),15-13*ORÇAMENTO!$AF$7),IF(IFERROR(CÁLCULO.FrentesPreenchidas,0)=0,0,SUM(ROUND(OFFSET($P152,0,1,1,CÁLCULO.FrentesPreenchidas),15-13*ORÇAMENTO!$AF$7)))))</f>
        <v>0</v>
      </c>
      <c r="I152" s="467"/>
      <c r="J152" s="653" t="str">
        <f t="array" aca="1" ref="J152" ca="1">IF(OR(B152&lt;&gt;"S",CÁLCULO.FrentesPreenchidas=0),"",IF(AND(ACOMPANHAMENTO="PLE",AUTOEVENTO="Manual",OR(H152&gt;0,ORÇAMENTO!AC152="QUANT."),OR(K152="",M152=0,N152="")),"►E",IF(AND(ACOMPANHAMENTO="PLE",ORÇAMENTO!AC152="QUANT."),"►Q",IF(AND(ACOMPANHAMENTO="PLE",H152&lt;&gt;SUMPRODUCT(($Q$1:$AI$1=1)*ROUND(Q152:AI152,15))),"►S",IF(AND(COUNTIF($P$11:$AI$11,"▼")=0,H152&gt;0,I152=""),"◄M","")))))</f>
        <v/>
      </c>
      <c r="K152" s="654"/>
      <c r="L152" s="165">
        <f t="shared" ca="1" si="83"/>
        <v>137</v>
      </c>
      <c r="M152" s="166" t="str">
        <f ca="1">IF($D152&lt;&gt;"Serviço","",
          IF(AUTOEVENTO="manual",$A152,
                IF(ISERROR(MATCH($A152,$A$15:OFFSET($A152,-1,0),0)),MAX($M$15:OFFSET(M152,-1,0))+1,
                      INDEX($M$15:OFFSET(M152,-1,0),MATCH($A152,$A$15:OFFSET($A152,-1,0),0)))))</f>
        <v/>
      </c>
      <c r="N152" s="167" t="str">
        <f ca="1">IF($D152&lt;&gt;"Serviço","",
         IF(AUTOEVENTO="Manual",
                IF($A152=0,"&lt;-- defina o número do agrupador",
                       OFFSET(EVENTOS!$D$15,$A152-$A$15,0)),
                OFFSET($F$15,$A152,0)))</f>
        <v/>
      </c>
      <c r="O152" s="168"/>
      <c r="Q152" s="169"/>
      <c r="R152" s="169"/>
      <c r="S152" s="169"/>
      <c r="T152" s="169"/>
      <c r="U152" s="169"/>
      <c r="V152" s="169"/>
      <c r="W152" s="169"/>
      <c r="X152" s="169"/>
      <c r="Y152" s="169"/>
      <c r="Z152" s="170"/>
      <c r="AA152" s="169"/>
      <c r="AB152" s="169"/>
      <c r="AC152" s="169"/>
      <c r="AD152" s="169"/>
      <c r="AE152" s="169"/>
      <c r="AF152" s="169"/>
      <c r="AG152" s="169"/>
      <c r="AH152" s="170"/>
      <c r="AJ152" s="452">
        <f ca="1">IF(AND($D152="Serviço",AJ$12&lt;&gt;0,$H152&gt;0,OR(AUTOEVENTO&lt;&gt;"manual",$M152&lt;&gt;$A$15)),
        IF(Import.TipoArredondamento&lt;&gt;"TransfereGOV",
              ROUND(OFFSET($P152,0,AJ$13),15-13*ORÇAMENTO!$AF$7)/$H152*OFFSET(ORÇAMENTO!$X$15,ROW(AJ152)-ROW(AJ$15),0),
              ROUND(ROUND(OFFSET($P152,0,AJ$13),15-13*ORÇAMENTO!$AF$7)*OFFSET(ORÇAMENTO!$W$15,ROW(AJ152)-ROW(AJ$15),0),15-13*ORÇAMENTO!$AF$11)),
         0)</f>
        <v>0</v>
      </c>
      <c r="AK152" s="452">
        <f ca="1">IF(AND($D152="Serviço",AK$12&lt;&gt;0,$H152&gt;0,OR(AUTOEVENTO&lt;&gt;"manual",$M152&lt;&gt;$A$15)),
        IF(Import.TipoArredondamento&lt;&gt;"TransfereGOV",
              ROUND(OFFSET($P152,0,AK$13),15-13*ORÇAMENTO!$AF$7)/$H152*OFFSET(ORÇAMENTO!$X$15,ROW(AK152)-ROW(AK$15),0),
              ROUND(ROUND(OFFSET($P152,0,AK$13),15-13*ORÇAMENTO!$AF$7)*OFFSET(ORÇAMENTO!$W$15,ROW(AK152)-ROW(AK$15),0),15-13*ORÇAMENTO!$AF$11)),
         0)</f>
        <v>0</v>
      </c>
      <c r="AL152" s="452">
        <f ca="1">IF(AND($D152="Serviço",AL$12&lt;&gt;0,$H152&gt;0,OR(AUTOEVENTO&lt;&gt;"manual",$M152&lt;&gt;$A$15)),
        IF(Import.TipoArredondamento&lt;&gt;"TransfereGOV",
              ROUND(OFFSET($P152,0,AL$13),15-13*ORÇAMENTO!$AF$7)/$H152*OFFSET(ORÇAMENTO!$X$15,ROW(AL152)-ROW(AL$15),0),
              ROUND(ROUND(OFFSET($P152,0,AL$13),15-13*ORÇAMENTO!$AF$7)*OFFSET(ORÇAMENTO!$W$15,ROW(AL152)-ROW(AL$15),0),15-13*ORÇAMENTO!$AF$11)),
         0)</f>
        <v>0</v>
      </c>
      <c r="AM152" s="452">
        <f ca="1">IF(AND($D152="Serviço",AM$12&lt;&gt;0,$H152&gt;0,OR(AUTOEVENTO&lt;&gt;"manual",$M152&lt;&gt;$A$15)),
        IF(Import.TipoArredondamento&lt;&gt;"TransfereGOV",
              ROUND(OFFSET($P152,0,AM$13),15-13*ORÇAMENTO!$AF$7)/$H152*OFFSET(ORÇAMENTO!$X$15,ROW(AM152)-ROW(AM$15),0),
              ROUND(ROUND(OFFSET($P152,0,AM$13),15-13*ORÇAMENTO!$AF$7)*OFFSET(ORÇAMENTO!$W$15,ROW(AM152)-ROW(AM$15),0),15-13*ORÇAMENTO!$AF$11)),
         0)</f>
        <v>0</v>
      </c>
      <c r="AN152" s="452">
        <f ca="1">IF(AND($D152="Serviço",AN$12&lt;&gt;0,$H152&gt;0,OR(AUTOEVENTO&lt;&gt;"manual",$M152&lt;&gt;$A$15)),
        IF(Import.TipoArredondamento&lt;&gt;"TransfereGOV",
              ROUND(OFFSET($P152,0,AN$13),15-13*ORÇAMENTO!$AF$7)/$H152*OFFSET(ORÇAMENTO!$X$15,ROW(AN152)-ROW(AN$15),0),
              ROUND(ROUND(OFFSET($P152,0,AN$13),15-13*ORÇAMENTO!$AF$7)*OFFSET(ORÇAMENTO!$W$15,ROW(AN152)-ROW(AN$15),0),15-13*ORÇAMENTO!$AF$11)),
         0)</f>
        <v>0</v>
      </c>
      <c r="AO152" s="452">
        <f ca="1">IF(AND($D152="Serviço",AO$12&lt;&gt;0,$H152&gt;0,OR(AUTOEVENTO&lt;&gt;"manual",$M152&lt;&gt;$A$15)),
        IF(Import.TipoArredondamento&lt;&gt;"TransfereGOV",
              ROUND(OFFSET($P152,0,AO$13),15-13*ORÇAMENTO!$AF$7)/$H152*OFFSET(ORÇAMENTO!$X$15,ROW(AO152)-ROW(AO$15),0),
              ROUND(ROUND(OFFSET($P152,0,AO$13),15-13*ORÇAMENTO!$AF$7)*OFFSET(ORÇAMENTO!$W$15,ROW(AO152)-ROW(AO$15),0),15-13*ORÇAMENTO!$AF$11)),
         0)</f>
        <v>0</v>
      </c>
      <c r="AP152" s="452">
        <f ca="1">IF(AND($D152="Serviço",AP$12&lt;&gt;0,$H152&gt;0,OR(AUTOEVENTO&lt;&gt;"manual",$M152&lt;&gt;$A$15)),
        IF(Import.TipoArredondamento&lt;&gt;"TransfereGOV",
              ROUND(OFFSET($P152,0,AP$13),15-13*ORÇAMENTO!$AF$7)/$H152*OFFSET(ORÇAMENTO!$X$15,ROW(AP152)-ROW(AP$15),0),
              ROUND(ROUND(OFFSET($P152,0,AP$13),15-13*ORÇAMENTO!$AF$7)*OFFSET(ORÇAMENTO!$W$15,ROW(AP152)-ROW(AP$15),0),15-13*ORÇAMENTO!$AF$11)),
         0)</f>
        <v>0</v>
      </c>
      <c r="AQ152" s="452">
        <f ca="1">IF(AND($D152="Serviço",AQ$12&lt;&gt;0,$H152&gt;0,OR(AUTOEVENTO&lt;&gt;"manual",$M152&lt;&gt;$A$15)),
        IF(Import.TipoArredondamento&lt;&gt;"TransfereGOV",
              ROUND(OFFSET($P152,0,AQ$13),15-13*ORÇAMENTO!$AF$7)/$H152*OFFSET(ORÇAMENTO!$X$15,ROW(AQ152)-ROW(AQ$15),0),
              ROUND(ROUND(OFFSET($P152,0,AQ$13),15-13*ORÇAMENTO!$AF$7)*OFFSET(ORÇAMENTO!$W$15,ROW(AQ152)-ROW(AQ$15),0),15-13*ORÇAMENTO!$AF$11)),
         0)</f>
        <v>0</v>
      </c>
      <c r="AR152" s="452">
        <f ca="1">IF(AND($D152="Serviço",AR$12&lt;&gt;0,$H152&gt;0,OR(AUTOEVENTO&lt;&gt;"manual",$M152&lt;&gt;$A$15)),
        IF(Import.TipoArredondamento&lt;&gt;"TransfereGOV",
              ROUND(OFFSET($P152,0,AR$13),15-13*ORÇAMENTO!$AF$7)/$H152*OFFSET(ORÇAMENTO!$X$15,ROW(AR152)-ROW(AR$15),0),
              ROUND(ROUND(OFFSET($P152,0,AR$13),15-13*ORÇAMENTO!$AF$7)*OFFSET(ORÇAMENTO!$W$15,ROW(AR152)-ROW(AR$15),0),15-13*ORÇAMENTO!$AF$11)),
         0)</f>
        <v>0</v>
      </c>
      <c r="AS152" s="452">
        <f ca="1">IF(AND($D152="Serviço",AS$12&lt;&gt;0,$H152&gt;0,OR(AUTOEVENTO&lt;&gt;"manual",$M152&lt;&gt;$A$15)),
        IF(Import.TipoArredondamento&lt;&gt;"TransfereGOV",
              ROUND(OFFSET($P152,0,AS$13),15-13*ORÇAMENTO!$AF$7)/$H152*OFFSET(ORÇAMENTO!$X$15,ROW(AS152)-ROW(AS$15),0),
              ROUND(ROUND(OFFSET($P152,0,AS$13),15-13*ORÇAMENTO!$AF$7)*OFFSET(ORÇAMENTO!$W$15,ROW(AS152)-ROW(AS$15),0),15-13*ORÇAMENTO!$AF$11)),
         0)</f>
        <v>0</v>
      </c>
      <c r="AT152" s="452">
        <f ca="1">IF(AND($D152="Serviço",AT$12&lt;&gt;0,$H152&gt;0,OR(AUTOEVENTO&lt;&gt;"manual",$M152&lt;&gt;$A$15)),
        IF(Import.TipoArredondamento&lt;&gt;"TransfereGOV",
              ROUND(OFFSET($P152,0,AT$13),15-13*ORÇAMENTO!$AF$7)/$H152*OFFSET(ORÇAMENTO!$X$15,ROW(AT152)-ROW(AT$15),0),
              ROUND(ROUND(OFFSET($P152,0,AT$13),15-13*ORÇAMENTO!$AF$7)*OFFSET(ORÇAMENTO!$W$15,ROW(AT152)-ROW(AT$15),0),15-13*ORÇAMENTO!$AF$11)),
         0)</f>
        <v>0</v>
      </c>
      <c r="AU152" s="452">
        <f ca="1">IF(AND($D152="Serviço",AU$12&lt;&gt;0,$H152&gt;0,OR(AUTOEVENTO&lt;&gt;"manual",$M152&lt;&gt;$A$15)),
        IF(Import.TipoArredondamento&lt;&gt;"TransfereGOV",
              ROUND(OFFSET($P152,0,AU$13),15-13*ORÇAMENTO!$AF$7)/$H152*OFFSET(ORÇAMENTO!$X$15,ROW(AU152)-ROW(AU$15),0),
              ROUND(ROUND(OFFSET($P152,0,AU$13),15-13*ORÇAMENTO!$AF$7)*OFFSET(ORÇAMENTO!$W$15,ROW(AU152)-ROW(AU$15),0),15-13*ORÇAMENTO!$AF$11)),
         0)</f>
        <v>0</v>
      </c>
      <c r="AV152" s="452">
        <f ca="1">IF(AND($D152="Serviço",AV$12&lt;&gt;0,$H152&gt;0,OR(AUTOEVENTO&lt;&gt;"manual",$M152&lt;&gt;$A$15)),
        IF(Import.TipoArredondamento&lt;&gt;"TransfereGOV",
              ROUND(OFFSET($P152,0,AV$13),15-13*ORÇAMENTO!$AF$7)/$H152*OFFSET(ORÇAMENTO!$X$15,ROW(AV152)-ROW(AV$15),0),
              ROUND(ROUND(OFFSET($P152,0,AV$13),15-13*ORÇAMENTO!$AF$7)*OFFSET(ORÇAMENTO!$W$15,ROW(AV152)-ROW(AV$15),0),15-13*ORÇAMENTO!$AF$11)),
         0)</f>
        <v>0</v>
      </c>
      <c r="AW152" s="452">
        <f ca="1">IF(AND($D152="Serviço",AW$12&lt;&gt;0,$H152&gt;0,OR(AUTOEVENTO&lt;&gt;"manual",$M152&lt;&gt;$A$15)),
        IF(Import.TipoArredondamento&lt;&gt;"TransfereGOV",
              ROUND(OFFSET($P152,0,AW$13),15-13*ORÇAMENTO!$AF$7)/$H152*OFFSET(ORÇAMENTO!$X$15,ROW(AW152)-ROW(AW$15),0),
              ROUND(ROUND(OFFSET($P152,0,AW$13),15-13*ORÇAMENTO!$AF$7)*OFFSET(ORÇAMENTO!$W$15,ROW(AW152)-ROW(AW$15),0),15-13*ORÇAMENTO!$AF$11)),
         0)</f>
        <v>0</v>
      </c>
      <c r="AX152" s="452">
        <f ca="1">IF(AND($D152="Serviço",AX$12&lt;&gt;0,$H152&gt;0,OR(AUTOEVENTO&lt;&gt;"manual",$M152&lt;&gt;$A$15)),
        IF(Import.TipoArredondamento&lt;&gt;"TransfereGOV",
              ROUND(OFFSET($P152,0,AX$13),15-13*ORÇAMENTO!$AF$7)/$H152*OFFSET(ORÇAMENTO!$X$15,ROW(AX152)-ROW(AX$15),0),
              ROUND(ROUND(OFFSET($P152,0,AX$13),15-13*ORÇAMENTO!$AF$7)*OFFSET(ORÇAMENTO!$W$15,ROW(AX152)-ROW(AX$15),0),15-13*ORÇAMENTO!$AF$11)),
         0)</f>
        <v>0</v>
      </c>
      <c r="AY152" s="452">
        <f ca="1">IF(AND($D152="Serviço",AY$12&lt;&gt;0,$H152&gt;0,OR(AUTOEVENTO&lt;&gt;"manual",$M152&lt;&gt;$A$15)),
        IF(Import.TipoArredondamento&lt;&gt;"TransfereGOV",
              ROUND(OFFSET($P152,0,AY$13),15-13*ORÇAMENTO!$AF$7)/$H152*OFFSET(ORÇAMENTO!$X$15,ROW(AY152)-ROW(AY$15),0),
              ROUND(ROUND(OFFSET($P152,0,AY$13),15-13*ORÇAMENTO!$AF$7)*OFFSET(ORÇAMENTO!$W$15,ROW(AY152)-ROW(AY$15),0),15-13*ORÇAMENTO!$AF$11)),
         0)</f>
        <v>0</v>
      </c>
      <c r="AZ152" s="452">
        <f ca="1">IF(AND($D152="Serviço",AZ$12&lt;&gt;0,$H152&gt;0,OR(AUTOEVENTO&lt;&gt;"manual",$M152&lt;&gt;$A$15)),
        IF(Import.TipoArredondamento&lt;&gt;"TransfereGOV",
              ROUND(OFFSET($P152,0,AZ$13),15-13*ORÇAMENTO!$AF$7)/$H152*OFFSET(ORÇAMENTO!$X$15,ROW(AZ152)-ROW(AZ$15),0),
              ROUND(ROUND(OFFSET($P152,0,AZ$13),15-13*ORÇAMENTO!$AF$7)*OFFSET(ORÇAMENTO!$W$15,ROW(AZ152)-ROW(AZ$15),0),15-13*ORÇAMENTO!$AF$11)),
         0)</f>
        <v>0</v>
      </c>
      <c r="BA152" s="452">
        <f ca="1">IF(AND($D152="Serviço",BA$12&lt;&gt;0,$H152&gt;0,OR(AUTOEVENTO&lt;&gt;"manual",$M152&lt;&gt;$A$15)),
        IF(Import.TipoArredondamento&lt;&gt;"TransfereGOV",
              ROUND(OFFSET($P152,0,BA$13),15-13*ORÇAMENTO!$AF$7)/$H152*OFFSET(ORÇAMENTO!$X$15,ROW(BA152)-ROW(BA$15),0),
              ROUND(ROUND(OFFSET($P152,0,BA$13),15-13*ORÇAMENTO!$AF$7)*OFFSET(ORÇAMENTO!$W$15,ROW(BA152)-ROW(BA$15),0),15-13*ORÇAMENTO!$AF$11)),
         0)</f>
        <v>0</v>
      </c>
      <c r="BC152" s="171">
        <f ca="1">IF(OR($D152&lt;&gt;"Serviço",AND(AUTOEVENTO="Manual",$M152=$A$15)),0,
         IF(OFFSET(CRONOPLE!$F$15,$M152-$A$15,BC$13)=0,10^12,OFFSET(CRONOPLE!$F$15,$M152-$A$15,BC$13)))</f>
        <v>0</v>
      </c>
      <c r="BD152" s="171">
        <f ca="1">IF(OR($D152&lt;&gt;"Serviço",AND(AUTOEVENTO="Manual",$M152=$A$15)),0,
         IF(OFFSET(CRONOPLE!$F$15,$M152-$A$15,BD$13)=0,10^12,OFFSET(CRONOPLE!$F$15,$M152-$A$15,BD$13)))</f>
        <v>0</v>
      </c>
      <c r="BE152" s="171">
        <f ca="1">IF(OR($D152&lt;&gt;"Serviço",AND(AUTOEVENTO="Manual",$M152=$A$15)),0,
         IF(OFFSET(CRONOPLE!$F$15,$M152-$A$15,BE$13)=0,10^12,OFFSET(CRONOPLE!$F$15,$M152-$A$15,BE$13)))</f>
        <v>0</v>
      </c>
      <c r="BF152" s="171">
        <f ca="1">IF(OR($D152&lt;&gt;"Serviço",AND(AUTOEVENTO="Manual",$M152=$A$15)),0,
         IF(OFFSET(CRONOPLE!$F$15,$M152-$A$15,BF$13)=0,10^12,OFFSET(CRONOPLE!$F$15,$M152-$A$15,BF$13)))</f>
        <v>0</v>
      </c>
      <c r="BG152" s="171">
        <f ca="1">IF(OR($D152&lt;&gt;"Serviço",AND(AUTOEVENTO="Manual",$M152=$A$15)),0,
         IF(OFFSET(CRONOPLE!$F$15,$M152-$A$15,BG$13)=0,10^12,OFFSET(CRONOPLE!$F$15,$M152-$A$15,BG$13)))</f>
        <v>0</v>
      </c>
      <c r="BH152" s="171">
        <f ca="1">IF(OR($D152&lt;&gt;"Serviço",AND(AUTOEVENTO="Manual",$M152=$A$15)),0,
         IF(OFFSET(CRONOPLE!$F$15,$M152-$A$15,BH$13)=0,10^12,OFFSET(CRONOPLE!$F$15,$M152-$A$15,BH$13)))</f>
        <v>0</v>
      </c>
      <c r="BI152" s="171">
        <f ca="1">IF(OR($D152&lt;&gt;"Serviço",AND(AUTOEVENTO="Manual",$M152=$A$15)),0,
         IF(OFFSET(CRONOPLE!$F$15,$M152-$A$15,BI$13)=0,10^12,OFFSET(CRONOPLE!$F$15,$M152-$A$15,BI$13)))</f>
        <v>0</v>
      </c>
      <c r="BJ152" s="171">
        <f ca="1">IF(OR($D152&lt;&gt;"Serviço",AND(AUTOEVENTO="Manual",$M152=$A$15)),0,
         IF(OFFSET(CRONOPLE!$F$15,$M152-$A$15,BJ$13)=0,10^12,OFFSET(CRONOPLE!$F$15,$M152-$A$15,BJ$13)))</f>
        <v>0</v>
      </c>
      <c r="BK152" s="171">
        <f ca="1">IF(OR($D152&lt;&gt;"Serviço",AND(AUTOEVENTO="Manual",$M152=$A$15)),0,
         IF(OFFSET(CRONOPLE!$F$15,$M152-$A$15,BK$13)=0,10^12,OFFSET(CRONOPLE!$F$15,$M152-$A$15,BK$13)))</f>
        <v>0</v>
      </c>
      <c r="BL152" s="171">
        <f ca="1">IF(OR($D152&lt;&gt;"Serviço",AND(AUTOEVENTO="Manual",$M152=$A$15)),0,
         IF(OFFSET(CRONOPLE!$F$15,$M152-$A$15,BL$13)=0,10^12,OFFSET(CRONOPLE!$F$15,$M152-$A$15,BL$13)))</f>
        <v>0</v>
      </c>
      <c r="BM152" s="171">
        <f ca="1">IF(OR($D152&lt;&gt;"Serviço",AND(AUTOEVENTO="Manual",$M152=$A$15)),0,
         IF(OFFSET(CRONOPLE!$F$15,$M152-$A$15,BM$13)=0,10^12,OFFSET(CRONOPLE!$F$15,$M152-$A$15,BM$13)))</f>
        <v>0</v>
      </c>
      <c r="BN152" s="171">
        <f ca="1">IF(OR($D152&lt;&gt;"Serviço",AND(AUTOEVENTO="Manual",$M152=$A$15)),0,
         IF(OFFSET(CRONOPLE!$F$15,$M152-$A$15,BN$13)=0,10^12,OFFSET(CRONOPLE!$F$15,$M152-$A$15,BN$13)))</f>
        <v>0</v>
      </c>
      <c r="BO152" s="171">
        <f ca="1">IF(OR($D152&lt;&gt;"Serviço",AND(AUTOEVENTO="Manual",$M152=$A$15)),0,
         IF(OFFSET(CRONOPLE!$F$15,$M152-$A$15,BO$13)=0,10^12,OFFSET(CRONOPLE!$F$15,$M152-$A$15,BO$13)))</f>
        <v>0</v>
      </c>
      <c r="BP152" s="171">
        <f ca="1">IF(OR($D152&lt;&gt;"Serviço",AND(AUTOEVENTO="Manual",$M152=$A$15)),0,
         IF(OFFSET(CRONOPLE!$F$15,$M152-$A$15,BP$13)=0,10^12,OFFSET(CRONOPLE!$F$15,$M152-$A$15,BP$13)))</f>
        <v>0</v>
      </c>
      <c r="BQ152" s="171">
        <f ca="1">IF(OR($D152&lt;&gt;"Serviço",AND(AUTOEVENTO="Manual",$M152=$A$15)),0,
         IF(OFFSET(CRONOPLE!$F$15,$M152-$A$15,BQ$13)=0,10^12,OFFSET(CRONOPLE!$F$15,$M152-$A$15,BQ$13)))</f>
        <v>0</v>
      </c>
      <c r="BR152" s="171">
        <f ca="1">IF(OR($D152&lt;&gt;"Serviço",AND(AUTOEVENTO="Manual",$M152=$A$15)),0,
         IF(OFFSET(CRONOPLE!$F$15,$M152-$A$15,BR$13)=0,10^12,OFFSET(CRONOPLE!$F$15,$M152-$A$15,BR$13)))</f>
        <v>0</v>
      </c>
      <c r="BS152" s="171">
        <f ca="1">IF(OR($D152&lt;&gt;"Serviço",AND(AUTOEVENTO="Manual",$M152=$A$15)),0,
         IF(OFFSET(CRONOPLE!$F$15,$M152-$A$15,BS$13)=0,10^12,OFFSET(CRONOPLE!$F$15,$M152-$A$15,BS$13)))</f>
        <v>0</v>
      </c>
      <c r="BT152" s="171">
        <f ca="1">IF(OR($D152&lt;&gt;"Serviço",AND(AUTOEVENTO="Manual",$M152=$A$15)),0,
         IF(OFFSET(CRONOPLE!$F$15,$M152-$A$15,BT$13)=0,10^12,OFFSET(CRONOPLE!$F$15,$M152-$A$15,BT$13)))</f>
        <v>0</v>
      </c>
      <c r="BV152" s="172">
        <f t="array" aca="1" ref="BV152" ca="1">IF(OR($D152&lt;&gt;"Serviço",AND(AUTOEVENTO="Manual",$M152=$A$15),$M152&gt;(ROW(PLE.lastrow)-ROW(PLE.firstrow))),0,
           IF(OFFSET(PLE!$G$15,$M152-$A$15,BV$13)="",10^12,OFFSET(PLE!$G$15,$M152-$A$15,BV$13)))</f>
        <v>0</v>
      </c>
      <c r="BW152" s="172">
        <f t="array" aca="1" ref="BW152" ca="1">IF(OR($D152&lt;&gt;"Serviço",AND(AUTOEVENTO="Manual",$M152=$A$15),$M152&gt;(ROW(PLE.lastrow)-ROW(PLE.firstrow))),0,
           IF(OFFSET(PLE!$G$15,$M152-$A$15,BW$13)="",10^12,OFFSET(PLE!$G$15,$M152-$A$15,BW$13)))</f>
        <v>0</v>
      </c>
      <c r="BX152" s="172">
        <f t="array" aca="1" ref="BX152" ca="1">IF(OR($D152&lt;&gt;"Serviço",AND(AUTOEVENTO="Manual",$M152=$A$15),$M152&gt;(ROW(PLE.lastrow)-ROW(PLE.firstrow))),0,
           IF(OFFSET(PLE!$G$15,$M152-$A$15,BX$13)="",10^12,OFFSET(PLE!$G$15,$M152-$A$15,BX$13)))</f>
        <v>0</v>
      </c>
      <c r="BY152" s="172">
        <f t="array" aca="1" ref="BY152" ca="1">IF(OR($D152&lt;&gt;"Serviço",AND(AUTOEVENTO="Manual",$M152=$A$15),$M152&gt;(ROW(PLE.lastrow)-ROW(PLE.firstrow))),0,
           IF(OFFSET(PLE!$G$15,$M152-$A$15,BY$13)="",10^12,OFFSET(PLE!$G$15,$M152-$A$15,BY$13)))</f>
        <v>0</v>
      </c>
      <c r="BZ152" s="172">
        <f t="array" aca="1" ref="BZ152" ca="1">IF(OR($D152&lt;&gt;"Serviço",AND(AUTOEVENTO="Manual",$M152=$A$15),$M152&gt;(ROW(PLE.lastrow)-ROW(PLE.firstrow))),0,
           IF(OFFSET(PLE!$G$15,$M152-$A$15,BZ$13)="",10^12,OFFSET(PLE!$G$15,$M152-$A$15,BZ$13)))</f>
        <v>0</v>
      </c>
      <c r="CA152" s="172">
        <f t="array" aca="1" ref="CA152" ca="1">IF(OR($D152&lt;&gt;"Serviço",AND(AUTOEVENTO="Manual",$M152=$A$15),$M152&gt;(ROW(PLE.lastrow)-ROW(PLE.firstrow))),0,
           IF(OFFSET(PLE!$G$15,$M152-$A$15,CA$13)="",10^12,OFFSET(PLE!$G$15,$M152-$A$15,CA$13)))</f>
        <v>0</v>
      </c>
      <c r="CB152" s="172">
        <f t="array" aca="1" ref="CB152" ca="1">IF(OR($D152&lt;&gt;"Serviço",AND(AUTOEVENTO="Manual",$M152=$A$15),$M152&gt;(ROW(PLE.lastrow)-ROW(PLE.firstrow))),0,
           IF(OFFSET(PLE!$G$15,$M152-$A$15,CB$13)="",10^12,OFFSET(PLE!$G$15,$M152-$A$15,CB$13)))</f>
        <v>0</v>
      </c>
      <c r="CC152" s="172">
        <f t="array" aca="1" ref="CC152" ca="1">IF(OR($D152&lt;&gt;"Serviço",AND(AUTOEVENTO="Manual",$M152=$A$15),$M152&gt;(ROW(PLE.lastrow)-ROW(PLE.firstrow))),0,
           IF(OFFSET(PLE!$G$15,$M152-$A$15,CC$13)="",10^12,OFFSET(PLE!$G$15,$M152-$A$15,CC$13)))</f>
        <v>0</v>
      </c>
      <c r="CD152" s="172">
        <f t="array" aca="1" ref="CD152" ca="1">IF(OR($D152&lt;&gt;"Serviço",AND(AUTOEVENTO="Manual",$M152=$A$15),$M152&gt;(ROW(PLE.lastrow)-ROW(PLE.firstrow))),0,
           IF(OFFSET(PLE!$G$15,$M152-$A$15,CD$13)="",10^12,OFFSET(PLE!$G$15,$M152-$A$15,CD$13)))</f>
        <v>0</v>
      </c>
      <c r="CE152" s="172">
        <f t="array" aca="1" ref="CE152" ca="1">IF(OR($D152&lt;&gt;"Serviço",AND(AUTOEVENTO="Manual",$M152=$A$15),$M152&gt;(ROW(PLE.lastrow)-ROW(PLE.firstrow))),0,
           IF(OFFSET(PLE!$G$15,$M152-$A$15,CE$13)="",10^12,OFFSET(PLE!$G$15,$M152-$A$15,CE$13)))</f>
        <v>0</v>
      </c>
      <c r="CF152" s="172">
        <f t="array" aca="1" ref="CF152" ca="1">IF(OR($D152&lt;&gt;"Serviço",AND(AUTOEVENTO="Manual",$M152=$A$15),$M152&gt;(ROW(PLE.lastrow)-ROW(PLE.firstrow))),0,
           IF(OFFSET(PLE!$G$15,$M152-$A$15,CF$13)="",10^12,OFFSET(PLE!$G$15,$M152-$A$15,CF$13)))</f>
        <v>0</v>
      </c>
      <c r="CG152" s="172">
        <f t="array" aca="1" ref="CG152" ca="1">IF(OR($D152&lt;&gt;"Serviço",AND(AUTOEVENTO="Manual",$M152=$A$15),$M152&gt;(ROW(PLE.lastrow)-ROW(PLE.firstrow))),0,
           IF(OFFSET(PLE!$G$15,$M152-$A$15,CG$13)="",10^12,OFFSET(PLE!$G$15,$M152-$A$15,CG$13)))</f>
        <v>0</v>
      </c>
      <c r="CH152" s="172">
        <f t="array" aca="1" ref="CH152" ca="1">IF(OR($D152&lt;&gt;"Serviço",AND(AUTOEVENTO="Manual",$M152=$A$15),$M152&gt;(ROW(PLE.lastrow)-ROW(PLE.firstrow))),0,
           IF(OFFSET(PLE!$G$15,$M152-$A$15,CH$13)="",10^12,OFFSET(PLE!$G$15,$M152-$A$15,CH$13)))</f>
        <v>0</v>
      </c>
      <c r="CI152" s="172">
        <f t="array" aca="1" ref="CI152" ca="1">IF(OR($D152&lt;&gt;"Serviço",AND(AUTOEVENTO="Manual",$M152=$A$15),$M152&gt;(ROW(PLE.lastrow)-ROW(PLE.firstrow))),0,
           IF(OFFSET(PLE!$G$15,$M152-$A$15,CI$13)="",10^12,OFFSET(PLE!$G$15,$M152-$A$15,CI$13)))</f>
        <v>0</v>
      </c>
      <c r="CJ152" s="172">
        <f t="array" aca="1" ref="CJ152" ca="1">IF(OR($D152&lt;&gt;"Serviço",AND(AUTOEVENTO="Manual",$M152=$A$15),$M152&gt;(ROW(PLE.lastrow)-ROW(PLE.firstrow))),0,
           IF(OFFSET(PLE!$G$15,$M152-$A$15,CJ$13)="",10^12,OFFSET(PLE!$G$15,$M152-$A$15,CJ$13)))</f>
        <v>0</v>
      </c>
      <c r="CK152" s="172">
        <f t="array" aca="1" ref="CK152" ca="1">IF(OR($D152&lt;&gt;"Serviço",AND(AUTOEVENTO="Manual",$M152=$A$15),$M152&gt;(ROW(PLE.lastrow)-ROW(PLE.firstrow))),0,
           IF(OFFSET(PLE!$G$15,$M152-$A$15,CK$13)="",10^12,OFFSET(PLE!$G$15,$M152-$A$15,CK$13)))</f>
        <v>0</v>
      </c>
      <c r="CL152" s="172">
        <f t="array" aca="1" ref="CL152" ca="1">IF(OR($D152&lt;&gt;"Serviço",AND(AUTOEVENTO="Manual",$M152=$A$15),$M152&gt;(ROW(PLE.lastrow)-ROW(PLE.firstrow))),0,
           IF(OFFSET(PLE!$G$15,$M152-$A$15,CL$13)="",10^12,OFFSET(PLE!$G$15,$M152-$A$15,CL$13)))</f>
        <v>0</v>
      </c>
      <c r="CM152" s="172">
        <f t="array" aca="1" ref="CM152" ca="1">IF(OR($D152&lt;&gt;"Serviço",AND(AUTOEVENTO="Manual",$M152=$A$15),$M152&gt;(ROW(PLE.lastrow)-ROW(PLE.firstrow))),0,
           IF(OFFSET(PLE!$G$15,$M152-$A$15,CM$13)="",10^12,OFFSET(PLE!$G$15,$M152-$A$15,CM$13)))</f>
        <v>0</v>
      </c>
    </row>
    <row r="153" spans="1:91" s="696" customFormat="1" ht="51" x14ac:dyDescent="0.2">
      <c r="A153" s="694">
        <f t="shared" ca="1" si="82"/>
        <v>28</v>
      </c>
      <c r="B153" s="694" t="str">
        <f ca="1">OFFSET(ORÇAMENTO!C$15,$L153,0)</f>
        <v>S</v>
      </c>
      <c r="C153" s="694" t="str">
        <f ca="1">OFFSET(ORÇAMENTO!L$15,$L153,0)</f>
        <v>F</v>
      </c>
      <c r="D153" s="116" t="str">
        <f ca="1">OFFSET(ORÇAMENTO!N$15,$L153,0)</f>
        <v>Serviço</v>
      </c>
      <c r="E153" s="117" t="str">
        <f ca="1">OFFSET(ORÇAMENTO!O$15,$L153,0)</f>
        <v>1.25.1.</v>
      </c>
      <c r="F153" s="163" t="str">
        <f ca="1">OFFSET(ORÇAMENTO!R$15,$L153,0)</f>
        <v>CABO DE COBRE FLEXÍVEL ISOLADO, 1,5 MM², ANTI-CHAMA 450/750 V, PARA CIRCUITOS TERMINAIS - FORNECIMENTO E INSTALAÇÃO. AF_03/2023</v>
      </c>
      <c r="G153" s="164" t="str">
        <f ca="1">IF($D153&lt;&gt;"Serviço","",OFFSET(ORÇAMENTO!S$15,$L153,0))</f>
        <v>M</v>
      </c>
      <c r="H153" s="122">
        <f t="array" aca="1" ref="H153" ca="1">IF($D153&lt;&gt;"Serviço",0,IF(ACOMPANHAMENTO="BM",ROUND(OFFSET(ORÇAMENTO!AJ$15,$L153,0),15-13*ORÇAMENTO!$AF$7),IF(IFERROR(CÁLCULO.FrentesPreenchidas,0)=0,0,SUM(ROUND(OFFSET($P153,0,1,1,CÁLCULO.FrentesPreenchidas),15-13*ORÇAMENTO!$AF$7)))))</f>
        <v>1944</v>
      </c>
      <c r="I153" s="467" t="s">
        <v>1301</v>
      </c>
      <c r="J153" s="653" t="str">
        <f t="array" aca="1" ref="J153" ca="1">IF(OR(B153&lt;&gt;"S",CÁLCULO.FrentesPreenchidas=0),"",IF(AND(ACOMPANHAMENTO="PLE",AUTOEVENTO="Manual",OR(H153&gt;0,ORÇAMENTO!AC153="QUANT."),OR(K153="",M153=0,N153="")),"►E",IF(AND(ACOMPANHAMENTO="PLE",ORÇAMENTO!AC153="QUANT."),"►Q",IF(AND(ACOMPANHAMENTO="PLE",H153&lt;&gt;SUMPRODUCT(($Q$1:$AI$1=1)*ROUND(Q153:AI153,15))),"►S",IF(AND(COUNTIF($P$11:$AI$11,"▼")=0,H153&gt;0,I153=""),"◄M","")))))</f>
        <v/>
      </c>
      <c r="K153" s="654" t="s">
        <v>1433</v>
      </c>
      <c r="L153" s="165">
        <f t="shared" ca="1" si="83"/>
        <v>138</v>
      </c>
      <c r="M153" s="166">
        <f ca="1">IF($D153&lt;&gt;"Serviço","",
          IF(AUTOEVENTO="manual",$A153,
                IF(ISERROR(MATCH($A153,$A$15:OFFSET($A153,-1,0),0)),MAX($M$15:OFFSET(M153,-1,0))+1,
                      INDEX($M$15:OFFSET(M153,-1,0),MATCH($A153,$A$15:OFFSET($A153,-1,0),0)))))</f>
        <v>28</v>
      </c>
      <c r="N153" s="167" t="str">
        <f ca="1">IF($D153&lt;&gt;"Serviço","",
         IF(AUTOEVENTO="Manual",
                IF($A153=0,"&lt;-- defina o número do agrupador",
                       OFFSET(EVENTOS!$D$15,$A153-$A$15,0)),
                OFFSET($F$15,$A153,0)))</f>
        <v xml:space="preserve">FIOS E CABOS </v>
      </c>
      <c r="O153" s="168"/>
      <c r="Q153" s="169">
        <f>97.2*5</f>
        <v>486</v>
      </c>
      <c r="R153" s="169">
        <f t="shared" ref="R153:T153" si="84">97.2*5</f>
        <v>486</v>
      </c>
      <c r="S153" s="169">
        <f t="shared" si="84"/>
        <v>486</v>
      </c>
      <c r="T153" s="169">
        <f t="shared" si="84"/>
        <v>486</v>
      </c>
      <c r="U153" s="169"/>
      <c r="V153" s="169"/>
      <c r="W153" s="169"/>
      <c r="X153" s="169"/>
      <c r="Y153" s="169"/>
      <c r="Z153" s="170"/>
      <c r="AA153" s="169"/>
      <c r="AB153" s="169"/>
      <c r="AC153" s="169"/>
      <c r="AD153" s="169"/>
      <c r="AE153" s="169"/>
      <c r="AF153" s="169"/>
      <c r="AG153" s="169"/>
      <c r="AH153" s="170"/>
      <c r="AJ153" s="452">
        <f ca="1">IF(AND($D153="Serviço",AJ$12&lt;&gt;0,$H153&gt;0,OR(AUTOEVENTO&lt;&gt;"manual",$M153&lt;&gt;$A$15)),
        IF(Import.TipoArredondamento&lt;&gt;"TransfereGOV",
              ROUND(OFFSET($P153,0,AJ$13),15-13*ORÇAMENTO!$AF$7)/$H153*OFFSET(ORÇAMENTO!$X$15,ROW(AJ153)-ROW(AJ$15),0),
              ROUND(ROUND(OFFSET($P153,0,AJ$13),15-13*ORÇAMENTO!$AF$7)*OFFSET(ORÇAMENTO!$W$15,ROW(AJ153)-ROW(AJ$15),0),15-13*ORÇAMENTO!$AF$11)),
         0)</f>
        <v>1759.32</v>
      </c>
      <c r="AK153" s="452">
        <f ca="1">IF(AND($D153="Serviço",AK$12&lt;&gt;0,$H153&gt;0,OR(AUTOEVENTO&lt;&gt;"manual",$M153&lt;&gt;$A$15)),
        IF(Import.TipoArredondamento&lt;&gt;"TransfereGOV",
              ROUND(OFFSET($P153,0,AK$13),15-13*ORÇAMENTO!$AF$7)/$H153*OFFSET(ORÇAMENTO!$X$15,ROW(AK153)-ROW(AK$15),0),
              ROUND(ROUND(OFFSET($P153,0,AK$13),15-13*ORÇAMENTO!$AF$7)*OFFSET(ORÇAMENTO!$W$15,ROW(AK153)-ROW(AK$15),0),15-13*ORÇAMENTO!$AF$11)),
         0)</f>
        <v>1759.32</v>
      </c>
      <c r="AL153" s="452">
        <f ca="1">IF(AND($D153="Serviço",AL$12&lt;&gt;0,$H153&gt;0,OR(AUTOEVENTO&lt;&gt;"manual",$M153&lt;&gt;$A$15)),
        IF(Import.TipoArredondamento&lt;&gt;"TransfereGOV",
              ROUND(OFFSET($P153,0,AL$13),15-13*ORÇAMENTO!$AF$7)/$H153*OFFSET(ORÇAMENTO!$X$15,ROW(AL153)-ROW(AL$15),0),
              ROUND(ROUND(OFFSET($P153,0,AL$13),15-13*ORÇAMENTO!$AF$7)*OFFSET(ORÇAMENTO!$W$15,ROW(AL153)-ROW(AL$15),0),15-13*ORÇAMENTO!$AF$11)),
         0)</f>
        <v>1759.32</v>
      </c>
      <c r="AM153" s="452">
        <f ca="1">IF(AND($D153="Serviço",AM$12&lt;&gt;0,$H153&gt;0,OR(AUTOEVENTO&lt;&gt;"manual",$M153&lt;&gt;$A$15)),
        IF(Import.TipoArredondamento&lt;&gt;"TransfereGOV",
              ROUND(OFFSET($P153,0,AM$13),15-13*ORÇAMENTO!$AF$7)/$H153*OFFSET(ORÇAMENTO!$X$15,ROW(AM153)-ROW(AM$15),0),
              ROUND(ROUND(OFFSET($P153,0,AM$13),15-13*ORÇAMENTO!$AF$7)*OFFSET(ORÇAMENTO!$W$15,ROW(AM153)-ROW(AM$15),0),15-13*ORÇAMENTO!$AF$11)),
         0)</f>
        <v>1759.32</v>
      </c>
      <c r="AN153" s="452">
        <f ca="1">IF(AND($D153="Serviço",AN$12&lt;&gt;0,$H153&gt;0,OR(AUTOEVENTO&lt;&gt;"manual",$M153&lt;&gt;$A$15)),
        IF(Import.TipoArredondamento&lt;&gt;"TransfereGOV",
              ROUND(OFFSET($P153,0,AN$13),15-13*ORÇAMENTO!$AF$7)/$H153*OFFSET(ORÇAMENTO!$X$15,ROW(AN153)-ROW(AN$15),0),
              ROUND(ROUND(OFFSET($P153,0,AN$13),15-13*ORÇAMENTO!$AF$7)*OFFSET(ORÇAMENTO!$W$15,ROW(AN153)-ROW(AN$15),0),15-13*ORÇAMENTO!$AF$11)),
         0)</f>
        <v>0</v>
      </c>
      <c r="AO153" s="452">
        <f ca="1">IF(AND($D153="Serviço",AO$12&lt;&gt;0,$H153&gt;0,OR(AUTOEVENTO&lt;&gt;"manual",$M153&lt;&gt;$A$15)),
        IF(Import.TipoArredondamento&lt;&gt;"TransfereGOV",
              ROUND(OFFSET($P153,0,AO$13),15-13*ORÇAMENTO!$AF$7)/$H153*OFFSET(ORÇAMENTO!$X$15,ROW(AO153)-ROW(AO$15),0),
              ROUND(ROUND(OFFSET($P153,0,AO$13),15-13*ORÇAMENTO!$AF$7)*OFFSET(ORÇAMENTO!$W$15,ROW(AO153)-ROW(AO$15),0),15-13*ORÇAMENTO!$AF$11)),
         0)</f>
        <v>0</v>
      </c>
      <c r="AP153" s="452">
        <f ca="1">IF(AND($D153="Serviço",AP$12&lt;&gt;0,$H153&gt;0,OR(AUTOEVENTO&lt;&gt;"manual",$M153&lt;&gt;$A$15)),
        IF(Import.TipoArredondamento&lt;&gt;"TransfereGOV",
              ROUND(OFFSET($P153,0,AP$13),15-13*ORÇAMENTO!$AF$7)/$H153*OFFSET(ORÇAMENTO!$X$15,ROW(AP153)-ROW(AP$15),0),
              ROUND(ROUND(OFFSET($P153,0,AP$13),15-13*ORÇAMENTO!$AF$7)*OFFSET(ORÇAMENTO!$W$15,ROW(AP153)-ROW(AP$15),0),15-13*ORÇAMENTO!$AF$11)),
         0)</f>
        <v>0</v>
      </c>
      <c r="AQ153" s="452">
        <f ca="1">IF(AND($D153="Serviço",AQ$12&lt;&gt;0,$H153&gt;0,OR(AUTOEVENTO&lt;&gt;"manual",$M153&lt;&gt;$A$15)),
        IF(Import.TipoArredondamento&lt;&gt;"TransfereGOV",
              ROUND(OFFSET($P153,0,AQ$13),15-13*ORÇAMENTO!$AF$7)/$H153*OFFSET(ORÇAMENTO!$X$15,ROW(AQ153)-ROW(AQ$15),0),
              ROUND(ROUND(OFFSET($P153,0,AQ$13),15-13*ORÇAMENTO!$AF$7)*OFFSET(ORÇAMENTO!$W$15,ROW(AQ153)-ROW(AQ$15),0),15-13*ORÇAMENTO!$AF$11)),
         0)</f>
        <v>0</v>
      </c>
      <c r="AR153" s="452">
        <f ca="1">IF(AND($D153="Serviço",AR$12&lt;&gt;0,$H153&gt;0,OR(AUTOEVENTO&lt;&gt;"manual",$M153&lt;&gt;$A$15)),
        IF(Import.TipoArredondamento&lt;&gt;"TransfereGOV",
              ROUND(OFFSET($P153,0,AR$13),15-13*ORÇAMENTO!$AF$7)/$H153*OFFSET(ORÇAMENTO!$X$15,ROW(AR153)-ROW(AR$15),0),
              ROUND(ROUND(OFFSET($P153,0,AR$13),15-13*ORÇAMENTO!$AF$7)*OFFSET(ORÇAMENTO!$W$15,ROW(AR153)-ROW(AR$15),0),15-13*ORÇAMENTO!$AF$11)),
         0)</f>
        <v>0</v>
      </c>
      <c r="AS153" s="452">
        <f ca="1">IF(AND($D153="Serviço",AS$12&lt;&gt;0,$H153&gt;0,OR(AUTOEVENTO&lt;&gt;"manual",$M153&lt;&gt;$A$15)),
        IF(Import.TipoArredondamento&lt;&gt;"TransfereGOV",
              ROUND(OFFSET($P153,0,AS$13),15-13*ORÇAMENTO!$AF$7)/$H153*OFFSET(ORÇAMENTO!$X$15,ROW(AS153)-ROW(AS$15),0),
              ROUND(ROUND(OFFSET($P153,0,AS$13),15-13*ORÇAMENTO!$AF$7)*OFFSET(ORÇAMENTO!$W$15,ROW(AS153)-ROW(AS$15),0),15-13*ORÇAMENTO!$AF$11)),
         0)</f>
        <v>0</v>
      </c>
      <c r="AT153" s="452">
        <f ca="1">IF(AND($D153="Serviço",AT$12&lt;&gt;0,$H153&gt;0,OR(AUTOEVENTO&lt;&gt;"manual",$M153&lt;&gt;$A$15)),
        IF(Import.TipoArredondamento&lt;&gt;"TransfereGOV",
              ROUND(OFFSET($P153,0,AT$13),15-13*ORÇAMENTO!$AF$7)/$H153*OFFSET(ORÇAMENTO!$X$15,ROW(AT153)-ROW(AT$15),0),
              ROUND(ROUND(OFFSET($P153,0,AT$13),15-13*ORÇAMENTO!$AF$7)*OFFSET(ORÇAMENTO!$W$15,ROW(AT153)-ROW(AT$15),0),15-13*ORÇAMENTO!$AF$11)),
         0)</f>
        <v>0</v>
      </c>
      <c r="AU153" s="452">
        <f ca="1">IF(AND($D153="Serviço",AU$12&lt;&gt;0,$H153&gt;0,OR(AUTOEVENTO&lt;&gt;"manual",$M153&lt;&gt;$A$15)),
        IF(Import.TipoArredondamento&lt;&gt;"TransfereGOV",
              ROUND(OFFSET($P153,0,AU$13),15-13*ORÇAMENTO!$AF$7)/$H153*OFFSET(ORÇAMENTO!$X$15,ROW(AU153)-ROW(AU$15),0),
              ROUND(ROUND(OFFSET($P153,0,AU$13),15-13*ORÇAMENTO!$AF$7)*OFFSET(ORÇAMENTO!$W$15,ROW(AU153)-ROW(AU$15),0),15-13*ORÇAMENTO!$AF$11)),
         0)</f>
        <v>0</v>
      </c>
      <c r="AV153" s="452">
        <f ca="1">IF(AND($D153="Serviço",AV$12&lt;&gt;0,$H153&gt;0,OR(AUTOEVENTO&lt;&gt;"manual",$M153&lt;&gt;$A$15)),
        IF(Import.TipoArredondamento&lt;&gt;"TransfereGOV",
              ROUND(OFFSET($P153,0,AV$13),15-13*ORÇAMENTO!$AF$7)/$H153*OFFSET(ORÇAMENTO!$X$15,ROW(AV153)-ROW(AV$15),0),
              ROUND(ROUND(OFFSET($P153,0,AV$13),15-13*ORÇAMENTO!$AF$7)*OFFSET(ORÇAMENTO!$W$15,ROW(AV153)-ROW(AV$15),0),15-13*ORÇAMENTO!$AF$11)),
         0)</f>
        <v>0</v>
      </c>
      <c r="AW153" s="452">
        <f ca="1">IF(AND($D153="Serviço",AW$12&lt;&gt;0,$H153&gt;0,OR(AUTOEVENTO&lt;&gt;"manual",$M153&lt;&gt;$A$15)),
        IF(Import.TipoArredondamento&lt;&gt;"TransfereGOV",
              ROUND(OFFSET($P153,0,AW$13),15-13*ORÇAMENTO!$AF$7)/$H153*OFFSET(ORÇAMENTO!$X$15,ROW(AW153)-ROW(AW$15),0),
              ROUND(ROUND(OFFSET($P153,0,AW$13),15-13*ORÇAMENTO!$AF$7)*OFFSET(ORÇAMENTO!$W$15,ROW(AW153)-ROW(AW$15),0),15-13*ORÇAMENTO!$AF$11)),
         0)</f>
        <v>0</v>
      </c>
      <c r="AX153" s="452">
        <f ca="1">IF(AND($D153="Serviço",AX$12&lt;&gt;0,$H153&gt;0,OR(AUTOEVENTO&lt;&gt;"manual",$M153&lt;&gt;$A$15)),
        IF(Import.TipoArredondamento&lt;&gt;"TransfereGOV",
              ROUND(OFFSET($P153,0,AX$13),15-13*ORÇAMENTO!$AF$7)/$H153*OFFSET(ORÇAMENTO!$X$15,ROW(AX153)-ROW(AX$15),0),
              ROUND(ROUND(OFFSET($P153,0,AX$13),15-13*ORÇAMENTO!$AF$7)*OFFSET(ORÇAMENTO!$W$15,ROW(AX153)-ROW(AX$15),0),15-13*ORÇAMENTO!$AF$11)),
         0)</f>
        <v>0</v>
      </c>
      <c r="AY153" s="452">
        <f ca="1">IF(AND($D153="Serviço",AY$12&lt;&gt;0,$H153&gt;0,OR(AUTOEVENTO&lt;&gt;"manual",$M153&lt;&gt;$A$15)),
        IF(Import.TipoArredondamento&lt;&gt;"TransfereGOV",
              ROUND(OFFSET($P153,0,AY$13),15-13*ORÇAMENTO!$AF$7)/$H153*OFFSET(ORÇAMENTO!$X$15,ROW(AY153)-ROW(AY$15),0),
              ROUND(ROUND(OFFSET($P153,0,AY$13),15-13*ORÇAMENTO!$AF$7)*OFFSET(ORÇAMENTO!$W$15,ROW(AY153)-ROW(AY$15),0),15-13*ORÇAMENTO!$AF$11)),
         0)</f>
        <v>0</v>
      </c>
      <c r="AZ153" s="452">
        <f ca="1">IF(AND($D153="Serviço",AZ$12&lt;&gt;0,$H153&gt;0,OR(AUTOEVENTO&lt;&gt;"manual",$M153&lt;&gt;$A$15)),
        IF(Import.TipoArredondamento&lt;&gt;"TransfereGOV",
              ROUND(OFFSET($P153,0,AZ$13),15-13*ORÇAMENTO!$AF$7)/$H153*OFFSET(ORÇAMENTO!$X$15,ROW(AZ153)-ROW(AZ$15),0),
              ROUND(ROUND(OFFSET($P153,0,AZ$13),15-13*ORÇAMENTO!$AF$7)*OFFSET(ORÇAMENTO!$W$15,ROW(AZ153)-ROW(AZ$15),0),15-13*ORÇAMENTO!$AF$11)),
         0)</f>
        <v>0</v>
      </c>
      <c r="BA153" s="452">
        <f ca="1">IF(AND($D153="Serviço",BA$12&lt;&gt;0,$H153&gt;0,OR(AUTOEVENTO&lt;&gt;"manual",$M153&lt;&gt;$A$15)),
        IF(Import.TipoArredondamento&lt;&gt;"TransfereGOV",
              ROUND(OFFSET($P153,0,BA$13),15-13*ORÇAMENTO!$AF$7)/$H153*OFFSET(ORÇAMENTO!$X$15,ROW(BA153)-ROW(BA$15),0),
              ROUND(ROUND(OFFSET($P153,0,BA$13),15-13*ORÇAMENTO!$AF$7)*OFFSET(ORÇAMENTO!$W$15,ROW(BA153)-ROW(BA$15),0),15-13*ORÇAMENTO!$AF$11)),
         0)</f>
        <v>0</v>
      </c>
      <c r="BC153" s="171">
        <f ca="1">IF(OR($D153&lt;&gt;"Serviço",AND(AUTOEVENTO="Manual",$M153=$A$15)),0,
         IF(OFFSET(CRONOPLE!$F$15,$M153-$A$15,BC$13)=0,10^12,OFFSET(CRONOPLE!$F$15,$M153-$A$15,BC$13)))</f>
        <v>8</v>
      </c>
      <c r="BD153" s="171">
        <f ca="1">IF(OR($D153&lt;&gt;"Serviço",AND(AUTOEVENTO="Manual",$M153=$A$15)),0,
         IF(OFFSET(CRONOPLE!$F$15,$M153-$A$15,BD$13)=0,10^12,OFFSET(CRONOPLE!$F$15,$M153-$A$15,BD$13)))</f>
        <v>8</v>
      </c>
      <c r="BE153" s="171">
        <f ca="1">IF(OR($D153&lt;&gt;"Serviço",AND(AUTOEVENTO="Manual",$M153=$A$15)),0,
         IF(OFFSET(CRONOPLE!$F$15,$M153-$A$15,BE$13)=0,10^12,OFFSET(CRONOPLE!$F$15,$M153-$A$15,BE$13)))</f>
        <v>9</v>
      </c>
      <c r="BF153" s="171">
        <f ca="1">IF(OR($D153&lt;&gt;"Serviço",AND(AUTOEVENTO="Manual",$M153=$A$15)),0,
         IF(OFFSET(CRONOPLE!$F$15,$M153-$A$15,BF$13)=0,10^12,OFFSET(CRONOPLE!$F$15,$M153-$A$15,BF$13)))</f>
        <v>9</v>
      </c>
      <c r="BG153" s="171">
        <f ca="1">IF(OR($D153&lt;&gt;"Serviço",AND(AUTOEVENTO="Manual",$M153=$A$15)),0,
         IF(OFFSET(CRONOPLE!$F$15,$M153-$A$15,BG$13)=0,10^12,OFFSET(CRONOPLE!$F$15,$M153-$A$15,BG$13)))</f>
        <v>9</v>
      </c>
      <c r="BH153" s="171">
        <f ca="1">IF(OR($D153&lt;&gt;"Serviço",AND(AUTOEVENTO="Manual",$M153=$A$15)),0,
         IF(OFFSET(CRONOPLE!$F$15,$M153-$A$15,BH$13)=0,10^12,OFFSET(CRONOPLE!$F$15,$M153-$A$15,BH$13)))</f>
        <v>1000000000000</v>
      </c>
      <c r="BI153" s="171">
        <f ca="1">IF(OR($D153&lt;&gt;"Serviço",AND(AUTOEVENTO="Manual",$M153=$A$15)),0,
         IF(OFFSET(CRONOPLE!$F$15,$M153-$A$15,BI$13)=0,10^12,OFFSET(CRONOPLE!$F$15,$M153-$A$15,BI$13)))</f>
        <v>7</v>
      </c>
      <c r="BJ153" s="171">
        <f ca="1">IF(OR($D153&lt;&gt;"Serviço",AND(AUTOEVENTO="Manual",$M153=$A$15)),0,
         IF(OFFSET(CRONOPLE!$F$15,$M153-$A$15,BJ$13)=0,10^12,OFFSET(CRONOPLE!$F$15,$M153-$A$15,BJ$13)))</f>
        <v>1000000000000</v>
      </c>
      <c r="BK153" s="171">
        <f ca="1">IF(OR($D153&lt;&gt;"Serviço",AND(AUTOEVENTO="Manual",$M153=$A$15)),0,
         IF(OFFSET(CRONOPLE!$F$15,$M153-$A$15,BK$13)=0,10^12,OFFSET(CRONOPLE!$F$15,$M153-$A$15,BK$13)))</f>
        <v>1000000000000</v>
      </c>
      <c r="BL153" s="171">
        <f ca="1">IF(OR($D153&lt;&gt;"Serviço",AND(AUTOEVENTO="Manual",$M153=$A$15)),0,
         IF(OFFSET(CRONOPLE!$F$15,$M153-$A$15,BL$13)=0,10^12,OFFSET(CRONOPLE!$F$15,$M153-$A$15,BL$13)))</f>
        <v>1000000000000</v>
      </c>
      <c r="BM153" s="171">
        <f ca="1">IF(OR($D153&lt;&gt;"Serviço",AND(AUTOEVENTO="Manual",$M153=$A$15)),0,
         IF(OFFSET(CRONOPLE!$F$15,$M153-$A$15,BM$13)=0,10^12,OFFSET(CRONOPLE!$F$15,$M153-$A$15,BM$13)))</f>
        <v>1000000000000</v>
      </c>
      <c r="BN153" s="171">
        <f ca="1">IF(OR($D153&lt;&gt;"Serviço",AND(AUTOEVENTO="Manual",$M153=$A$15)),0,
         IF(OFFSET(CRONOPLE!$F$15,$M153-$A$15,BN$13)=0,10^12,OFFSET(CRONOPLE!$F$15,$M153-$A$15,BN$13)))</f>
        <v>1000000000000</v>
      </c>
      <c r="BO153" s="171">
        <f ca="1">IF(OR($D153&lt;&gt;"Serviço",AND(AUTOEVENTO="Manual",$M153=$A$15)),0,
         IF(OFFSET(CRONOPLE!$F$15,$M153-$A$15,BO$13)=0,10^12,OFFSET(CRONOPLE!$F$15,$M153-$A$15,BO$13)))</f>
        <v>1000000000000</v>
      </c>
      <c r="BP153" s="171">
        <f ca="1">IF(OR($D153&lt;&gt;"Serviço",AND(AUTOEVENTO="Manual",$M153=$A$15)),0,
         IF(OFFSET(CRONOPLE!$F$15,$M153-$A$15,BP$13)=0,10^12,OFFSET(CRONOPLE!$F$15,$M153-$A$15,BP$13)))</f>
        <v>1000000000000</v>
      </c>
      <c r="BQ153" s="171">
        <f ca="1">IF(OR($D153&lt;&gt;"Serviço",AND(AUTOEVENTO="Manual",$M153=$A$15)),0,
         IF(OFFSET(CRONOPLE!$F$15,$M153-$A$15,BQ$13)=0,10^12,OFFSET(CRONOPLE!$F$15,$M153-$A$15,BQ$13)))</f>
        <v>1000000000000</v>
      </c>
      <c r="BR153" s="171">
        <f ca="1">IF(OR($D153&lt;&gt;"Serviço",AND(AUTOEVENTO="Manual",$M153=$A$15)),0,
         IF(OFFSET(CRONOPLE!$F$15,$M153-$A$15,BR$13)=0,10^12,OFFSET(CRONOPLE!$F$15,$M153-$A$15,BR$13)))</f>
        <v>1000000000000</v>
      </c>
      <c r="BS153" s="171">
        <f ca="1">IF(OR($D153&lt;&gt;"Serviço",AND(AUTOEVENTO="Manual",$M153=$A$15)),0,
         IF(OFFSET(CRONOPLE!$F$15,$M153-$A$15,BS$13)=0,10^12,OFFSET(CRONOPLE!$F$15,$M153-$A$15,BS$13)))</f>
        <v>1000000000000</v>
      </c>
      <c r="BT153" s="171">
        <f ca="1">IF(OR($D153&lt;&gt;"Serviço",AND(AUTOEVENTO="Manual",$M153=$A$15)),0,
         IF(OFFSET(CRONOPLE!$F$15,$M153-$A$15,BT$13)=0,10^12,OFFSET(CRONOPLE!$F$15,$M153-$A$15,BT$13)))</f>
        <v>1000000000000</v>
      </c>
      <c r="BV153" s="172">
        <f t="array" aca="1" ref="BV153" ca="1">IF(OR($D153&lt;&gt;"Serviço",AND(AUTOEVENTO="Manual",$M153=$A$15),$M153&gt;(ROW(PLE.lastrow)-ROW(PLE.firstrow))),0,
           IF(OFFSET(PLE!$G$15,$M153-$A$15,BV$13)="",10^12,OFFSET(PLE!$G$15,$M153-$A$15,BV$13)))</f>
        <v>1000000000000</v>
      </c>
      <c r="BW153" s="172">
        <f t="array" aca="1" ref="BW153" ca="1">IF(OR($D153&lt;&gt;"Serviço",AND(AUTOEVENTO="Manual",$M153=$A$15),$M153&gt;(ROW(PLE.lastrow)-ROW(PLE.firstrow))),0,
           IF(OFFSET(PLE!$G$15,$M153-$A$15,BW$13)="",10^12,OFFSET(PLE!$G$15,$M153-$A$15,BW$13)))</f>
        <v>1000000000000</v>
      </c>
      <c r="BX153" s="172">
        <f t="array" aca="1" ref="BX153" ca="1">IF(OR($D153&lt;&gt;"Serviço",AND(AUTOEVENTO="Manual",$M153=$A$15),$M153&gt;(ROW(PLE.lastrow)-ROW(PLE.firstrow))),0,
           IF(OFFSET(PLE!$G$15,$M153-$A$15,BX$13)="",10^12,OFFSET(PLE!$G$15,$M153-$A$15,BX$13)))</f>
        <v>1000000000000</v>
      </c>
      <c r="BY153" s="172">
        <f t="array" aca="1" ref="BY153" ca="1">IF(OR($D153&lt;&gt;"Serviço",AND(AUTOEVENTO="Manual",$M153=$A$15),$M153&gt;(ROW(PLE.lastrow)-ROW(PLE.firstrow))),0,
           IF(OFFSET(PLE!$G$15,$M153-$A$15,BY$13)="",10^12,OFFSET(PLE!$G$15,$M153-$A$15,BY$13)))</f>
        <v>1000000000000</v>
      </c>
      <c r="BZ153" s="172">
        <f t="array" aca="1" ref="BZ153" ca="1">IF(OR($D153&lt;&gt;"Serviço",AND(AUTOEVENTO="Manual",$M153=$A$15),$M153&gt;(ROW(PLE.lastrow)-ROW(PLE.firstrow))),0,
           IF(OFFSET(PLE!$G$15,$M153-$A$15,BZ$13)="",10^12,OFFSET(PLE!$G$15,$M153-$A$15,BZ$13)))</f>
        <v>1000000000000</v>
      </c>
      <c r="CA153" s="172">
        <f t="array" aca="1" ref="CA153" ca="1">IF(OR($D153&lt;&gt;"Serviço",AND(AUTOEVENTO="Manual",$M153=$A$15),$M153&gt;(ROW(PLE.lastrow)-ROW(PLE.firstrow))),0,
           IF(OFFSET(PLE!$G$15,$M153-$A$15,CA$13)="",10^12,OFFSET(PLE!$G$15,$M153-$A$15,CA$13)))</f>
        <v>1000000000000</v>
      </c>
      <c r="CB153" s="172">
        <f t="array" aca="1" ref="CB153" ca="1">IF(OR($D153&lt;&gt;"Serviço",AND(AUTOEVENTO="Manual",$M153=$A$15),$M153&gt;(ROW(PLE.lastrow)-ROW(PLE.firstrow))),0,
           IF(OFFSET(PLE!$G$15,$M153-$A$15,CB$13)="",10^12,OFFSET(PLE!$G$15,$M153-$A$15,CB$13)))</f>
        <v>1000000000000</v>
      </c>
      <c r="CC153" s="172">
        <f t="array" aca="1" ref="CC153" ca="1">IF(OR($D153&lt;&gt;"Serviço",AND(AUTOEVENTO="Manual",$M153=$A$15),$M153&gt;(ROW(PLE.lastrow)-ROW(PLE.firstrow))),0,
           IF(OFFSET(PLE!$G$15,$M153-$A$15,CC$13)="",10^12,OFFSET(PLE!$G$15,$M153-$A$15,CC$13)))</f>
        <v>1000000000000</v>
      </c>
      <c r="CD153" s="172">
        <f t="array" aca="1" ref="CD153" ca="1">IF(OR($D153&lt;&gt;"Serviço",AND(AUTOEVENTO="Manual",$M153=$A$15),$M153&gt;(ROW(PLE.lastrow)-ROW(PLE.firstrow))),0,
           IF(OFFSET(PLE!$G$15,$M153-$A$15,CD$13)="",10^12,OFFSET(PLE!$G$15,$M153-$A$15,CD$13)))</f>
        <v>1000000000000</v>
      </c>
      <c r="CE153" s="172">
        <f t="array" aca="1" ref="CE153" ca="1">IF(OR($D153&lt;&gt;"Serviço",AND(AUTOEVENTO="Manual",$M153=$A$15),$M153&gt;(ROW(PLE.lastrow)-ROW(PLE.firstrow))),0,
           IF(OFFSET(PLE!$G$15,$M153-$A$15,CE$13)="",10^12,OFFSET(PLE!$G$15,$M153-$A$15,CE$13)))</f>
        <v>1000000000000</v>
      </c>
      <c r="CF153" s="172">
        <f t="array" aca="1" ref="CF153" ca="1">IF(OR($D153&lt;&gt;"Serviço",AND(AUTOEVENTO="Manual",$M153=$A$15),$M153&gt;(ROW(PLE.lastrow)-ROW(PLE.firstrow))),0,
           IF(OFFSET(PLE!$G$15,$M153-$A$15,CF$13)="",10^12,OFFSET(PLE!$G$15,$M153-$A$15,CF$13)))</f>
        <v>1000000000000</v>
      </c>
      <c r="CG153" s="172">
        <f t="array" aca="1" ref="CG153" ca="1">IF(OR($D153&lt;&gt;"Serviço",AND(AUTOEVENTO="Manual",$M153=$A$15),$M153&gt;(ROW(PLE.lastrow)-ROW(PLE.firstrow))),0,
           IF(OFFSET(PLE!$G$15,$M153-$A$15,CG$13)="",10^12,OFFSET(PLE!$G$15,$M153-$A$15,CG$13)))</f>
        <v>1000000000000</v>
      </c>
      <c r="CH153" s="172">
        <f t="array" aca="1" ref="CH153" ca="1">IF(OR($D153&lt;&gt;"Serviço",AND(AUTOEVENTO="Manual",$M153=$A$15),$M153&gt;(ROW(PLE.lastrow)-ROW(PLE.firstrow))),0,
           IF(OFFSET(PLE!$G$15,$M153-$A$15,CH$13)="",10^12,OFFSET(PLE!$G$15,$M153-$A$15,CH$13)))</f>
        <v>1000000000000</v>
      </c>
      <c r="CI153" s="172">
        <f t="array" aca="1" ref="CI153" ca="1">IF(OR($D153&lt;&gt;"Serviço",AND(AUTOEVENTO="Manual",$M153=$A$15),$M153&gt;(ROW(PLE.lastrow)-ROW(PLE.firstrow))),0,
           IF(OFFSET(PLE!$G$15,$M153-$A$15,CI$13)="",10^12,OFFSET(PLE!$G$15,$M153-$A$15,CI$13)))</f>
        <v>1000000000000</v>
      </c>
      <c r="CJ153" s="172">
        <f t="array" aca="1" ref="CJ153" ca="1">IF(OR($D153&lt;&gt;"Serviço",AND(AUTOEVENTO="Manual",$M153=$A$15),$M153&gt;(ROW(PLE.lastrow)-ROW(PLE.firstrow))),0,
           IF(OFFSET(PLE!$G$15,$M153-$A$15,CJ$13)="",10^12,OFFSET(PLE!$G$15,$M153-$A$15,CJ$13)))</f>
        <v>1000000000000</v>
      </c>
      <c r="CK153" s="172">
        <f t="array" aca="1" ref="CK153" ca="1">IF(OR($D153&lt;&gt;"Serviço",AND(AUTOEVENTO="Manual",$M153=$A$15),$M153&gt;(ROW(PLE.lastrow)-ROW(PLE.firstrow))),0,
           IF(OFFSET(PLE!$G$15,$M153-$A$15,CK$13)="",10^12,OFFSET(PLE!$G$15,$M153-$A$15,CK$13)))</f>
        <v>1000000000000</v>
      </c>
      <c r="CL153" s="172">
        <f t="array" aca="1" ref="CL153" ca="1">IF(OR($D153&lt;&gt;"Serviço",AND(AUTOEVENTO="Manual",$M153=$A$15),$M153&gt;(ROW(PLE.lastrow)-ROW(PLE.firstrow))),0,
           IF(OFFSET(PLE!$G$15,$M153-$A$15,CL$13)="",10^12,OFFSET(PLE!$G$15,$M153-$A$15,CL$13)))</f>
        <v>1000000000000</v>
      </c>
      <c r="CM153" s="172">
        <f t="array" aca="1" ref="CM153" ca="1">IF(OR($D153&lt;&gt;"Serviço",AND(AUTOEVENTO="Manual",$M153=$A$15),$M153&gt;(ROW(PLE.lastrow)-ROW(PLE.firstrow))),0,
           IF(OFFSET(PLE!$G$15,$M153-$A$15,CM$13)="",10^12,OFFSET(PLE!$G$15,$M153-$A$15,CM$13)))</f>
        <v>1000000000000</v>
      </c>
    </row>
    <row r="154" spans="1:91" s="696" customFormat="1" ht="51" x14ac:dyDescent="0.2">
      <c r="A154" s="694">
        <f t="shared" ca="1" si="82"/>
        <v>28</v>
      </c>
      <c r="B154" s="694" t="str">
        <f ca="1">OFFSET(ORÇAMENTO!C$15,$L154,0)</f>
        <v>S</v>
      </c>
      <c r="C154" s="694" t="str">
        <f ca="1">OFFSET(ORÇAMENTO!L$15,$L154,0)</f>
        <v>F</v>
      </c>
      <c r="D154" s="116" t="str">
        <f ca="1">OFFSET(ORÇAMENTO!N$15,$L154,0)</f>
        <v>Serviço</v>
      </c>
      <c r="E154" s="117" t="str">
        <f ca="1">OFFSET(ORÇAMENTO!O$15,$L154,0)</f>
        <v>1.25.2.</v>
      </c>
      <c r="F154" s="163" t="str">
        <f ca="1">OFFSET(ORÇAMENTO!R$15,$L154,0)</f>
        <v>CABO DE COBRE FLEXÍVEL ISOLADO, 2,5 MM², ANTI-CHAMA 450/750 V, PARA CIRCUITOS TERMINAIS - FORNECIMENTO E INSTALAÇÃO. AF_03/2023</v>
      </c>
      <c r="G154" s="164" t="str">
        <f ca="1">IF($D154&lt;&gt;"Serviço","",OFFSET(ORÇAMENTO!S$15,$L154,0))</f>
        <v>M</v>
      </c>
      <c r="H154" s="122">
        <f t="array" aca="1" ref="H154" ca="1">IF($D154&lt;&gt;"Serviço",0,IF(ACOMPANHAMENTO="BM",ROUND(OFFSET(ORÇAMENTO!AJ$15,$L154,0),15-13*ORÇAMENTO!$AF$7),IF(IFERROR(CÁLCULO.FrentesPreenchidas,0)=0,0,SUM(ROUND(OFFSET($P154,0,1,1,CÁLCULO.FrentesPreenchidas),15-13*ORÇAMENTO!$AF$7)))))</f>
        <v>5176</v>
      </c>
      <c r="I154" s="467" t="s">
        <v>1302</v>
      </c>
      <c r="J154" s="653" t="str">
        <f t="array" aca="1" ref="J154" ca="1">IF(OR(B154&lt;&gt;"S",CÁLCULO.FrentesPreenchidas=0),"",IF(AND(ACOMPANHAMENTO="PLE",AUTOEVENTO="Manual",OR(H154&gt;0,ORÇAMENTO!AC154="QUANT."),OR(K154="",M154=0,N154="")),"►E",IF(AND(ACOMPANHAMENTO="PLE",ORÇAMENTO!AC154="QUANT."),"►Q",IF(AND(ACOMPANHAMENTO="PLE",H154&lt;&gt;SUMPRODUCT(($Q$1:$AI$1=1)*ROUND(Q154:AI154,15))),"►S",IF(AND(COUNTIF($P$11:$AI$11,"▼")=0,H154&gt;0,I154=""),"◄M","")))))</f>
        <v/>
      </c>
      <c r="K154" s="654" t="s">
        <v>1433</v>
      </c>
      <c r="L154" s="165">
        <f t="shared" ca="1" si="83"/>
        <v>139</v>
      </c>
      <c r="M154" s="166">
        <f ca="1">IF($D154&lt;&gt;"Serviço","",
          IF(AUTOEVENTO="manual",$A154,
                IF(ISERROR(MATCH($A154,$A$15:OFFSET($A154,-1,0),0)),MAX($M$15:OFFSET(M154,-1,0))+1,
                      INDEX($M$15:OFFSET(M154,-1,0),MATCH($A154,$A$15:OFFSET($A154,-1,0),0)))))</f>
        <v>28</v>
      </c>
      <c r="N154" s="167" t="str">
        <f ca="1">IF($D154&lt;&gt;"Serviço","",
         IF(AUTOEVENTO="Manual",
                IF($A154=0,"&lt;-- defina o número do agrupador",
                       OFFSET(EVENTOS!$D$15,$A154-$A$15,0)),
                OFFSET($F$15,$A154,0)))</f>
        <v xml:space="preserve">FIOS E CABOS </v>
      </c>
      <c r="O154" s="168"/>
      <c r="Q154" s="169">
        <f>258.8*5</f>
        <v>1294</v>
      </c>
      <c r="R154" s="169">
        <f t="shared" ref="R154:T154" si="85">258.8*5</f>
        <v>1294</v>
      </c>
      <c r="S154" s="169">
        <f t="shared" si="85"/>
        <v>1294</v>
      </c>
      <c r="T154" s="169">
        <f t="shared" si="85"/>
        <v>1294</v>
      </c>
      <c r="U154" s="169"/>
      <c r="V154" s="169"/>
      <c r="W154" s="169"/>
      <c r="X154" s="169"/>
      <c r="Y154" s="169"/>
      <c r="Z154" s="170"/>
      <c r="AA154" s="169"/>
      <c r="AB154" s="169"/>
      <c r="AC154" s="169"/>
      <c r="AD154" s="169"/>
      <c r="AE154" s="169"/>
      <c r="AF154" s="169"/>
      <c r="AG154" s="169"/>
      <c r="AH154" s="170"/>
      <c r="AJ154" s="452">
        <f ca="1">IF(AND($D154="Serviço",AJ$12&lt;&gt;0,$H154&gt;0,OR(AUTOEVENTO&lt;&gt;"manual",$M154&lt;&gt;$A$15)),
        IF(Import.TipoArredondamento&lt;&gt;"TransfereGOV",
              ROUND(OFFSET($P154,0,AJ$13),15-13*ORÇAMENTO!$AF$7)/$H154*OFFSET(ORÇAMENTO!$X$15,ROW(AJ154)-ROW(AJ$15),0),
              ROUND(ROUND(OFFSET($P154,0,AJ$13),15-13*ORÇAMENTO!$AF$7)*OFFSET(ORÇAMENTO!$W$15,ROW(AJ154)-ROW(AJ$15),0),15-13*ORÇAMENTO!$AF$11)),
         0)</f>
        <v>6806.44</v>
      </c>
      <c r="AK154" s="452">
        <f ca="1">IF(AND($D154="Serviço",AK$12&lt;&gt;0,$H154&gt;0,OR(AUTOEVENTO&lt;&gt;"manual",$M154&lt;&gt;$A$15)),
        IF(Import.TipoArredondamento&lt;&gt;"TransfereGOV",
              ROUND(OFFSET($P154,0,AK$13),15-13*ORÇAMENTO!$AF$7)/$H154*OFFSET(ORÇAMENTO!$X$15,ROW(AK154)-ROW(AK$15),0),
              ROUND(ROUND(OFFSET($P154,0,AK$13),15-13*ORÇAMENTO!$AF$7)*OFFSET(ORÇAMENTO!$W$15,ROW(AK154)-ROW(AK$15),0),15-13*ORÇAMENTO!$AF$11)),
         0)</f>
        <v>6806.44</v>
      </c>
      <c r="AL154" s="452">
        <f ca="1">IF(AND($D154="Serviço",AL$12&lt;&gt;0,$H154&gt;0,OR(AUTOEVENTO&lt;&gt;"manual",$M154&lt;&gt;$A$15)),
        IF(Import.TipoArredondamento&lt;&gt;"TransfereGOV",
              ROUND(OFFSET($P154,0,AL$13),15-13*ORÇAMENTO!$AF$7)/$H154*OFFSET(ORÇAMENTO!$X$15,ROW(AL154)-ROW(AL$15),0),
              ROUND(ROUND(OFFSET($P154,0,AL$13),15-13*ORÇAMENTO!$AF$7)*OFFSET(ORÇAMENTO!$W$15,ROW(AL154)-ROW(AL$15),0),15-13*ORÇAMENTO!$AF$11)),
         0)</f>
        <v>6806.44</v>
      </c>
      <c r="AM154" s="452">
        <f ca="1">IF(AND($D154="Serviço",AM$12&lt;&gt;0,$H154&gt;0,OR(AUTOEVENTO&lt;&gt;"manual",$M154&lt;&gt;$A$15)),
        IF(Import.TipoArredondamento&lt;&gt;"TransfereGOV",
              ROUND(OFFSET($P154,0,AM$13),15-13*ORÇAMENTO!$AF$7)/$H154*OFFSET(ORÇAMENTO!$X$15,ROW(AM154)-ROW(AM$15),0),
              ROUND(ROUND(OFFSET($P154,0,AM$13),15-13*ORÇAMENTO!$AF$7)*OFFSET(ORÇAMENTO!$W$15,ROW(AM154)-ROW(AM$15),0),15-13*ORÇAMENTO!$AF$11)),
         0)</f>
        <v>6806.44</v>
      </c>
      <c r="AN154" s="452">
        <f ca="1">IF(AND($D154="Serviço",AN$12&lt;&gt;0,$H154&gt;0,OR(AUTOEVENTO&lt;&gt;"manual",$M154&lt;&gt;$A$15)),
        IF(Import.TipoArredondamento&lt;&gt;"TransfereGOV",
              ROUND(OFFSET($P154,0,AN$13),15-13*ORÇAMENTO!$AF$7)/$H154*OFFSET(ORÇAMENTO!$X$15,ROW(AN154)-ROW(AN$15),0),
              ROUND(ROUND(OFFSET($P154,0,AN$13),15-13*ORÇAMENTO!$AF$7)*OFFSET(ORÇAMENTO!$W$15,ROW(AN154)-ROW(AN$15),0),15-13*ORÇAMENTO!$AF$11)),
         0)</f>
        <v>0</v>
      </c>
      <c r="AO154" s="452">
        <f ca="1">IF(AND($D154="Serviço",AO$12&lt;&gt;0,$H154&gt;0,OR(AUTOEVENTO&lt;&gt;"manual",$M154&lt;&gt;$A$15)),
        IF(Import.TipoArredondamento&lt;&gt;"TransfereGOV",
              ROUND(OFFSET($P154,0,AO$13),15-13*ORÇAMENTO!$AF$7)/$H154*OFFSET(ORÇAMENTO!$X$15,ROW(AO154)-ROW(AO$15),0),
              ROUND(ROUND(OFFSET($P154,0,AO$13),15-13*ORÇAMENTO!$AF$7)*OFFSET(ORÇAMENTO!$W$15,ROW(AO154)-ROW(AO$15),0),15-13*ORÇAMENTO!$AF$11)),
         0)</f>
        <v>0</v>
      </c>
      <c r="AP154" s="452">
        <f ca="1">IF(AND($D154="Serviço",AP$12&lt;&gt;0,$H154&gt;0,OR(AUTOEVENTO&lt;&gt;"manual",$M154&lt;&gt;$A$15)),
        IF(Import.TipoArredondamento&lt;&gt;"TransfereGOV",
              ROUND(OFFSET($P154,0,AP$13),15-13*ORÇAMENTO!$AF$7)/$H154*OFFSET(ORÇAMENTO!$X$15,ROW(AP154)-ROW(AP$15),0),
              ROUND(ROUND(OFFSET($P154,0,AP$13),15-13*ORÇAMENTO!$AF$7)*OFFSET(ORÇAMENTO!$W$15,ROW(AP154)-ROW(AP$15),0),15-13*ORÇAMENTO!$AF$11)),
         0)</f>
        <v>0</v>
      </c>
      <c r="AQ154" s="452">
        <f ca="1">IF(AND($D154="Serviço",AQ$12&lt;&gt;0,$H154&gt;0,OR(AUTOEVENTO&lt;&gt;"manual",$M154&lt;&gt;$A$15)),
        IF(Import.TipoArredondamento&lt;&gt;"TransfereGOV",
              ROUND(OFFSET($P154,0,AQ$13),15-13*ORÇAMENTO!$AF$7)/$H154*OFFSET(ORÇAMENTO!$X$15,ROW(AQ154)-ROW(AQ$15),0),
              ROUND(ROUND(OFFSET($P154,0,AQ$13),15-13*ORÇAMENTO!$AF$7)*OFFSET(ORÇAMENTO!$W$15,ROW(AQ154)-ROW(AQ$15),0),15-13*ORÇAMENTO!$AF$11)),
         0)</f>
        <v>0</v>
      </c>
      <c r="AR154" s="452">
        <f ca="1">IF(AND($D154="Serviço",AR$12&lt;&gt;0,$H154&gt;0,OR(AUTOEVENTO&lt;&gt;"manual",$M154&lt;&gt;$A$15)),
        IF(Import.TipoArredondamento&lt;&gt;"TransfereGOV",
              ROUND(OFFSET($P154,0,AR$13),15-13*ORÇAMENTO!$AF$7)/$H154*OFFSET(ORÇAMENTO!$X$15,ROW(AR154)-ROW(AR$15),0),
              ROUND(ROUND(OFFSET($P154,0,AR$13),15-13*ORÇAMENTO!$AF$7)*OFFSET(ORÇAMENTO!$W$15,ROW(AR154)-ROW(AR$15),0),15-13*ORÇAMENTO!$AF$11)),
         0)</f>
        <v>0</v>
      </c>
      <c r="AS154" s="452">
        <f ca="1">IF(AND($D154="Serviço",AS$12&lt;&gt;0,$H154&gt;0,OR(AUTOEVENTO&lt;&gt;"manual",$M154&lt;&gt;$A$15)),
        IF(Import.TipoArredondamento&lt;&gt;"TransfereGOV",
              ROUND(OFFSET($P154,0,AS$13),15-13*ORÇAMENTO!$AF$7)/$H154*OFFSET(ORÇAMENTO!$X$15,ROW(AS154)-ROW(AS$15),0),
              ROUND(ROUND(OFFSET($P154,0,AS$13),15-13*ORÇAMENTO!$AF$7)*OFFSET(ORÇAMENTO!$W$15,ROW(AS154)-ROW(AS$15),0),15-13*ORÇAMENTO!$AF$11)),
         0)</f>
        <v>0</v>
      </c>
      <c r="AT154" s="452">
        <f ca="1">IF(AND($D154="Serviço",AT$12&lt;&gt;0,$H154&gt;0,OR(AUTOEVENTO&lt;&gt;"manual",$M154&lt;&gt;$A$15)),
        IF(Import.TipoArredondamento&lt;&gt;"TransfereGOV",
              ROUND(OFFSET($P154,0,AT$13),15-13*ORÇAMENTO!$AF$7)/$H154*OFFSET(ORÇAMENTO!$X$15,ROW(AT154)-ROW(AT$15),0),
              ROUND(ROUND(OFFSET($P154,0,AT$13),15-13*ORÇAMENTO!$AF$7)*OFFSET(ORÇAMENTO!$W$15,ROW(AT154)-ROW(AT$15),0),15-13*ORÇAMENTO!$AF$11)),
         0)</f>
        <v>0</v>
      </c>
      <c r="AU154" s="452">
        <f ca="1">IF(AND($D154="Serviço",AU$12&lt;&gt;0,$H154&gt;0,OR(AUTOEVENTO&lt;&gt;"manual",$M154&lt;&gt;$A$15)),
        IF(Import.TipoArredondamento&lt;&gt;"TransfereGOV",
              ROUND(OFFSET($P154,0,AU$13),15-13*ORÇAMENTO!$AF$7)/$H154*OFFSET(ORÇAMENTO!$X$15,ROW(AU154)-ROW(AU$15),0),
              ROUND(ROUND(OFFSET($P154,0,AU$13),15-13*ORÇAMENTO!$AF$7)*OFFSET(ORÇAMENTO!$W$15,ROW(AU154)-ROW(AU$15),0),15-13*ORÇAMENTO!$AF$11)),
         0)</f>
        <v>0</v>
      </c>
      <c r="AV154" s="452">
        <f ca="1">IF(AND($D154="Serviço",AV$12&lt;&gt;0,$H154&gt;0,OR(AUTOEVENTO&lt;&gt;"manual",$M154&lt;&gt;$A$15)),
        IF(Import.TipoArredondamento&lt;&gt;"TransfereGOV",
              ROUND(OFFSET($P154,0,AV$13),15-13*ORÇAMENTO!$AF$7)/$H154*OFFSET(ORÇAMENTO!$X$15,ROW(AV154)-ROW(AV$15),0),
              ROUND(ROUND(OFFSET($P154,0,AV$13),15-13*ORÇAMENTO!$AF$7)*OFFSET(ORÇAMENTO!$W$15,ROW(AV154)-ROW(AV$15),0),15-13*ORÇAMENTO!$AF$11)),
         0)</f>
        <v>0</v>
      </c>
      <c r="AW154" s="452">
        <f ca="1">IF(AND($D154="Serviço",AW$12&lt;&gt;0,$H154&gt;0,OR(AUTOEVENTO&lt;&gt;"manual",$M154&lt;&gt;$A$15)),
        IF(Import.TipoArredondamento&lt;&gt;"TransfereGOV",
              ROUND(OFFSET($P154,0,AW$13),15-13*ORÇAMENTO!$AF$7)/$H154*OFFSET(ORÇAMENTO!$X$15,ROW(AW154)-ROW(AW$15),0),
              ROUND(ROUND(OFFSET($P154,0,AW$13),15-13*ORÇAMENTO!$AF$7)*OFFSET(ORÇAMENTO!$W$15,ROW(AW154)-ROW(AW$15),0),15-13*ORÇAMENTO!$AF$11)),
         0)</f>
        <v>0</v>
      </c>
      <c r="AX154" s="452">
        <f ca="1">IF(AND($D154="Serviço",AX$12&lt;&gt;0,$H154&gt;0,OR(AUTOEVENTO&lt;&gt;"manual",$M154&lt;&gt;$A$15)),
        IF(Import.TipoArredondamento&lt;&gt;"TransfereGOV",
              ROUND(OFFSET($P154,0,AX$13),15-13*ORÇAMENTO!$AF$7)/$H154*OFFSET(ORÇAMENTO!$X$15,ROW(AX154)-ROW(AX$15),0),
              ROUND(ROUND(OFFSET($P154,0,AX$13),15-13*ORÇAMENTO!$AF$7)*OFFSET(ORÇAMENTO!$W$15,ROW(AX154)-ROW(AX$15),0),15-13*ORÇAMENTO!$AF$11)),
         0)</f>
        <v>0</v>
      </c>
      <c r="AY154" s="452">
        <f ca="1">IF(AND($D154="Serviço",AY$12&lt;&gt;0,$H154&gt;0,OR(AUTOEVENTO&lt;&gt;"manual",$M154&lt;&gt;$A$15)),
        IF(Import.TipoArredondamento&lt;&gt;"TransfereGOV",
              ROUND(OFFSET($P154,0,AY$13),15-13*ORÇAMENTO!$AF$7)/$H154*OFFSET(ORÇAMENTO!$X$15,ROW(AY154)-ROW(AY$15),0),
              ROUND(ROUND(OFFSET($P154,0,AY$13),15-13*ORÇAMENTO!$AF$7)*OFFSET(ORÇAMENTO!$W$15,ROW(AY154)-ROW(AY$15),0),15-13*ORÇAMENTO!$AF$11)),
         0)</f>
        <v>0</v>
      </c>
      <c r="AZ154" s="452">
        <f ca="1">IF(AND($D154="Serviço",AZ$12&lt;&gt;0,$H154&gt;0,OR(AUTOEVENTO&lt;&gt;"manual",$M154&lt;&gt;$A$15)),
        IF(Import.TipoArredondamento&lt;&gt;"TransfereGOV",
              ROUND(OFFSET($P154,0,AZ$13),15-13*ORÇAMENTO!$AF$7)/$H154*OFFSET(ORÇAMENTO!$X$15,ROW(AZ154)-ROW(AZ$15),0),
              ROUND(ROUND(OFFSET($P154,0,AZ$13),15-13*ORÇAMENTO!$AF$7)*OFFSET(ORÇAMENTO!$W$15,ROW(AZ154)-ROW(AZ$15),0),15-13*ORÇAMENTO!$AF$11)),
         0)</f>
        <v>0</v>
      </c>
      <c r="BA154" s="452">
        <f ca="1">IF(AND($D154="Serviço",BA$12&lt;&gt;0,$H154&gt;0,OR(AUTOEVENTO&lt;&gt;"manual",$M154&lt;&gt;$A$15)),
        IF(Import.TipoArredondamento&lt;&gt;"TransfereGOV",
              ROUND(OFFSET($P154,0,BA$13),15-13*ORÇAMENTO!$AF$7)/$H154*OFFSET(ORÇAMENTO!$X$15,ROW(BA154)-ROW(BA$15),0),
              ROUND(ROUND(OFFSET($P154,0,BA$13),15-13*ORÇAMENTO!$AF$7)*OFFSET(ORÇAMENTO!$W$15,ROW(BA154)-ROW(BA$15),0),15-13*ORÇAMENTO!$AF$11)),
         0)</f>
        <v>0</v>
      </c>
      <c r="BC154" s="171">
        <f ca="1">IF(OR($D154&lt;&gt;"Serviço",AND(AUTOEVENTO="Manual",$M154=$A$15)),0,
         IF(OFFSET(CRONOPLE!$F$15,$M154-$A$15,BC$13)=0,10^12,OFFSET(CRONOPLE!$F$15,$M154-$A$15,BC$13)))</f>
        <v>8</v>
      </c>
      <c r="BD154" s="171">
        <f ca="1">IF(OR($D154&lt;&gt;"Serviço",AND(AUTOEVENTO="Manual",$M154=$A$15)),0,
         IF(OFFSET(CRONOPLE!$F$15,$M154-$A$15,BD$13)=0,10^12,OFFSET(CRONOPLE!$F$15,$M154-$A$15,BD$13)))</f>
        <v>8</v>
      </c>
      <c r="BE154" s="171">
        <f ca="1">IF(OR($D154&lt;&gt;"Serviço",AND(AUTOEVENTO="Manual",$M154=$A$15)),0,
         IF(OFFSET(CRONOPLE!$F$15,$M154-$A$15,BE$13)=0,10^12,OFFSET(CRONOPLE!$F$15,$M154-$A$15,BE$13)))</f>
        <v>9</v>
      </c>
      <c r="BF154" s="171">
        <f ca="1">IF(OR($D154&lt;&gt;"Serviço",AND(AUTOEVENTO="Manual",$M154=$A$15)),0,
         IF(OFFSET(CRONOPLE!$F$15,$M154-$A$15,BF$13)=0,10^12,OFFSET(CRONOPLE!$F$15,$M154-$A$15,BF$13)))</f>
        <v>9</v>
      </c>
      <c r="BG154" s="171">
        <f ca="1">IF(OR($D154&lt;&gt;"Serviço",AND(AUTOEVENTO="Manual",$M154=$A$15)),0,
         IF(OFFSET(CRONOPLE!$F$15,$M154-$A$15,BG$13)=0,10^12,OFFSET(CRONOPLE!$F$15,$M154-$A$15,BG$13)))</f>
        <v>9</v>
      </c>
      <c r="BH154" s="171">
        <f ca="1">IF(OR($D154&lt;&gt;"Serviço",AND(AUTOEVENTO="Manual",$M154=$A$15)),0,
         IF(OFFSET(CRONOPLE!$F$15,$M154-$A$15,BH$13)=0,10^12,OFFSET(CRONOPLE!$F$15,$M154-$A$15,BH$13)))</f>
        <v>1000000000000</v>
      </c>
      <c r="BI154" s="171">
        <f ca="1">IF(OR($D154&lt;&gt;"Serviço",AND(AUTOEVENTO="Manual",$M154=$A$15)),0,
         IF(OFFSET(CRONOPLE!$F$15,$M154-$A$15,BI$13)=0,10^12,OFFSET(CRONOPLE!$F$15,$M154-$A$15,BI$13)))</f>
        <v>7</v>
      </c>
      <c r="BJ154" s="171">
        <f ca="1">IF(OR($D154&lt;&gt;"Serviço",AND(AUTOEVENTO="Manual",$M154=$A$15)),0,
         IF(OFFSET(CRONOPLE!$F$15,$M154-$A$15,BJ$13)=0,10^12,OFFSET(CRONOPLE!$F$15,$M154-$A$15,BJ$13)))</f>
        <v>1000000000000</v>
      </c>
      <c r="BK154" s="171">
        <f ca="1">IF(OR($D154&lt;&gt;"Serviço",AND(AUTOEVENTO="Manual",$M154=$A$15)),0,
         IF(OFFSET(CRONOPLE!$F$15,$M154-$A$15,BK$13)=0,10^12,OFFSET(CRONOPLE!$F$15,$M154-$A$15,BK$13)))</f>
        <v>1000000000000</v>
      </c>
      <c r="BL154" s="171">
        <f ca="1">IF(OR($D154&lt;&gt;"Serviço",AND(AUTOEVENTO="Manual",$M154=$A$15)),0,
         IF(OFFSET(CRONOPLE!$F$15,$M154-$A$15,BL$13)=0,10^12,OFFSET(CRONOPLE!$F$15,$M154-$A$15,BL$13)))</f>
        <v>1000000000000</v>
      </c>
      <c r="BM154" s="171">
        <f ca="1">IF(OR($D154&lt;&gt;"Serviço",AND(AUTOEVENTO="Manual",$M154=$A$15)),0,
         IF(OFFSET(CRONOPLE!$F$15,$M154-$A$15,BM$13)=0,10^12,OFFSET(CRONOPLE!$F$15,$M154-$A$15,BM$13)))</f>
        <v>1000000000000</v>
      </c>
      <c r="BN154" s="171">
        <f ca="1">IF(OR($D154&lt;&gt;"Serviço",AND(AUTOEVENTO="Manual",$M154=$A$15)),0,
         IF(OFFSET(CRONOPLE!$F$15,$M154-$A$15,BN$13)=0,10^12,OFFSET(CRONOPLE!$F$15,$M154-$A$15,BN$13)))</f>
        <v>1000000000000</v>
      </c>
      <c r="BO154" s="171">
        <f ca="1">IF(OR($D154&lt;&gt;"Serviço",AND(AUTOEVENTO="Manual",$M154=$A$15)),0,
         IF(OFFSET(CRONOPLE!$F$15,$M154-$A$15,BO$13)=0,10^12,OFFSET(CRONOPLE!$F$15,$M154-$A$15,BO$13)))</f>
        <v>1000000000000</v>
      </c>
      <c r="BP154" s="171">
        <f ca="1">IF(OR($D154&lt;&gt;"Serviço",AND(AUTOEVENTO="Manual",$M154=$A$15)),0,
         IF(OFFSET(CRONOPLE!$F$15,$M154-$A$15,BP$13)=0,10^12,OFFSET(CRONOPLE!$F$15,$M154-$A$15,BP$13)))</f>
        <v>1000000000000</v>
      </c>
      <c r="BQ154" s="171">
        <f ca="1">IF(OR($D154&lt;&gt;"Serviço",AND(AUTOEVENTO="Manual",$M154=$A$15)),0,
         IF(OFFSET(CRONOPLE!$F$15,$M154-$A$15,BQ$13)=0,10^12,OFFSET(CRONOPLE!$F$15,$M154-$A$15,BQ$13)))</f>
        <v>1000000000000</v>
      </c>
      <c r="BR154" s="171">
        <f ca="1">IF(OR($D154&lt;&gt;"Serviço",AND(AUTOEVENTO="Manual",$M154=$A$15)),0,
         IF(OFFSET(CRONOPLE!$F$15,$M154-$A$15,BR$13)=0,10^12,OFFSET(CRONOPLE!$F$15,$M154-$A$15,BR$13)))</f>
        <v>1000000000000</v>
      </c>
      <c r="BS154" s="171">
        <f ca="1">IF(OR($D154&lt;&gt;"Serviço",AND(AUTOEVENTO="Manual",$M154=$A$15)),0,
         IF(OFFSET(CRONOPLE!$F$15,$M154-$A$15,BS$13)=0,10^12,OFFSET(CRONOPLE!$F$15,$M154-$A$15,BS$13)))</f>
        <v>1000000000000</v>
      </c>
      <c r="BT154" s="171">
        <f ca="1">IF(OR($D154&lt;&gt;"Serviço",AND(AUTOEVENTO="Manual",$M154=$A$15)),0,
         IF(OFFSET(CRONOPLE!$F$15,$M154-$A$15,BT$13)=0,10^12,OFFSET(CRONOPLE!$F$15,$M154-$A$15,BT$13)))</f>
        <v>1000000000000</v>
      </c>
      <c r="BV154" s="172">
        <f t="array" aca="1" ref="BV154" ca="1">IF(OR($D154&lt;&gt;"Serviço",AND(AUTOEVENTO="Manual",$M154=$A$15),$M154&gt;(ROW(PLE.lastrow)-ROW(PLE.firstrow))),0,
           IF(OFFSET(PLE!$G$15,$M154-$A$15,BV$13)="",10^12,OFFSET(PLE!$G$15,$M154-$A$15,BV$13)))</f>
        <v>1000000000000</v>
      </c>
      <c r="BW154" s="172">
        <f t="array" aca="1" ref="BW154" ca="1">IF(OR($D154&lt;&gt;"Serviço",AND(AUTOEVENTO="Manual",$M154=$A$15),$M154&gt;(ROW(PLE.lastrow)-ROW(PLE.firstrow))),0,
           IF(OFFSET(PLE!$G$15,$M154-$A$15,BW$13)="",10^12,OFFSET(PLE!$G$15,$M154-$A$15,BW$13)))</f>
        <v>1000000000000</v>
      </c>
      <c r="BX154" s="172">
        <f t="array" aca="1" ref="BX154" ca="1">IF(OR($D154&lt;&gt;"Serviço",AND(AUTOEVENTO="Manual",$M154=$A$15),$M154&gt;(ROW(PLE.lastrow)-ROW(PLE.firstrow))),0,
           IF(OFFSET(PLE!$G$15,$M154-$A$15,BX$13)="",10^12,OFFSET(PLE!$G$15,$M154-$A$15,BX$13)))</f>
        <v>1000000000000</v>
      </c>
      <c r="BY154" s="172">
        <f t="array" aca="1" ref="BY154" ca="1">IF(OR($D154&lt;&gt;"Serviço",AND(AUTOEVENTO="Manual",$M154=$A$15),$M154&gt;(ROW(PLE.lastrow)-ROW(PLE.firstrow))),0,
           IF(OFFSET(PLE!$G$15,$M154-$A$15,BY$13)="",10^12,OFFSET(PLE!$G$15,$M154-$A$15,BY$13)))</f>
        <v>1000000000000</v>
      </c>
      <c r="BZ154" s="172">
        <f t="array" aca="1" ref="BZ154" ca="1">IF(OR($D154&lt;&gt;"Serviço",AND(AUTOEVENTO="Manual",$M154=$A$15),$M154&gt;(ROW(PLE.lastrow)-ROW(PLE.firstrow))),0,
           IF(OFFSET(PLE!$G$15,$M154-$A$15,BZ$13)="",10^12,OFFSET(PLE!$G$15,$M154-$A$15,BZ$13)))</f>
        <v>1000000000000</v>
      </c>
      <c r="CA154" s="172">
        <f t="array" aca="1" ref="CA154" ca="1">IF(OR($D154&lt;&gt;"Serviço",AND(AUTOEVENTO="Manual",$M154=$A$15),$M154&gt;(ROW(PLE.lastrow)-ROW(PLE.firstrow))),0,
           IF(OFFSET(PLE!$G$15,$M154-$A$15,CA$13)="",10^12,OFFSET(PLE!$G$15,$M154-$A$15,CA$13)))</f>
        <v>1000000000000</v>
      </c>
      <c r="CB154" s="172">
        <f t="array" aca="1" ref="CB154" ca="1">IF(OR($D154&lt;&gt;"Serviço",AND(AUTOEVENTO="Manual",$M154=$A$15),$M154&gt;(ROW(PLE.lastrow)-ROW(PLE.firstrow))),0,
           IF(OFFSET(PLE!$G$15,$M154-$A$15,CB$13)="",10^12,OFFSET(PLE!$G$15,$M154-$A$15,CB$13)))</f>
        <v>1000000000000</v>
      </c>
      <c r="CC154" s="172">
        <f t="array" aca="1" ref="CC154" ca="1">IF(OR($D154&lt;&gt;"Serviço",AND(AUTOEVENTO="Manual",$M154=$A$15),$M154&gt;(ROW(PLE.lastrow)-ROW(PLE.firstrow))),0,
           IF(OFFSET(PLE!$G$15,$M154-$A$15,CC$13)="",10^12,OFFSET(PLE!$G$15,$M154-$A$15,CC$13)))</f>
        <v>1000000000000</v>
      </c>
      <c r="CD154" s="172">
        <f t="array" aca="1" ref="CD154" ca="1">IF(OR($D154&lt;&gt;"Serviço",AND(AUTOEVENTO="Manual",$M154=$A$15),$M154&gt;(ROW(PLE.lastrow)-ROW(PLE.firstrow))),0,
           IF(OFFSET(PLE!$G$15,$M154-$A$15,CD$13)="",10^12,OFFSET(PLE!$G$15,$M154-$A$15,CD$13)))</f>
        <v>1000000000000</v>
      </c>
      <c r="CE154" s="172">
        <f t="array" aca="1" ref="CE154" ca="1">IF(OR($D154&lt;&gt;"Serviço",AND(AUTOEVENTO="Manual",$M154=$A$15),$M154&gt;(ROW(PLE.lastrow)-ROW(PLE.firstrow))),0,
           IF(OFFSET(PLE!$G$15,$M154-$A$15,CE$13)="",10^12,OFFSET(PLE!$G$15,$M154-$A$15,CE$13)))</f>
        <v>1000000000000</v>
      </c>
      <c r="CF154" s="172">
        <f t="array" aca="1" ref="CF154" ca="1">IF(OR($D154&lt;&gt;"Serviço",AND(AUTOEVENTO="Manual",$M154=$A$15),$M154&gt;(ROW(PLE.lastrow)-ROW(PLE.firstrow))),0,
           IF(OFFSET(PLE!$G$15,$M154-$A$15,CF$13)="",10^12,OFFSET(PLE!$G$15,$M154-$A$15,CF$13)))</f>
        <v>1000000000000</v>
      </c>
      <c r="CG154" s="172">
        <f t="array" aca="1" ref="CG154" ca="1">IF(OR($D154&lt;&gt;"Serviço",AND(AUTOEVENTO="Manual",$M154=$A$15),$M154&gt;(ROW(PLE.lastrow)-ROW(PLE.firstrow))),0,
           IF(OFFSET(PLE!$G$15,$M154-$A$15,CG$13)="",10^12,OFFSET(PLE!$G$15,$M154-$A$15,CG$13)))</f>
        <v>1000000000000</v>
      </c>
      <c r="CH154" s="172">
        <f t="array" aca="1" ref="CH154" ca="1">IF(OR($D154&lt;&gt;"Serviço",AND(AUTOEVENTO="Manual",$M154=$A$15),$M154&gt;(ROW(PLE.lastrow)-ROW(PLE.firstrow))),0,
           IF(OFFSET(PLE!$G$15,$M154-$A$15,CH$13)="",10^12,OFFSET(PLE!$G$15,$M154-$A$15,CH$13)))</f>
        <v>1000000000000</v>
      </c>
      <c r="CI154" s="172">
        <f t="array" aca="1" ref="CI154" ca="1">IF(OR($D154&lt;&gt;"Serviço",AND(AUTOEVENTO="Manual",$M154=$A$15),$M154&gt;(ROW(PLE.lastrow)-ROW(PLE.firstrow))),0,
           IF(OFFSET(PLE!$G$15,$M154-$A$15,CI$13)="",10^12,OFFSET(PLE!$G$15,$M154-$A$15,CI$13)))</f>
        <v>1000000000000</v>
      </c>
      <c r="CJ154" s="172">
        <f t="array" aca="1" ref="CJ154" ca="1">IF(OR($D154&lt;&gt;"Serviço",AND(AUTOEVENTO="Manual",$M154=$A$15),$M154&gt;(ROW(PLE.lastrow)-ROW(PLE.firstrow))),0,
           IF(OFFSET(PLE!$G$15,$M154-$A$15,CJ$13)="",10^12,OFFSET(PLE!$G$15,$M154-$A$15,CJ$13)))</f>
        <v>1000000000000</v>
      </c>
      <c r="CK154" s="172">
        <f t="array" aca="1" ref="CK154" ca="1">IF(OR($D154&lt;&gt;"Serviço",AND(AUTOEVENTO="Manual",$M154=$A$15),$M154&gt;(ROW(PLE.lastrow)-ROW(PLE.firstrow))),0,
           IF(OFFSET(PLE!$G$15,$M154-$A$15,CK$13)="",10^12,OFFSET(PLE!$G$15,$M154-$A$15,CK$13)))</f>
        <v>1000000000000</v>
      </c>
      <c r="CL154" s="172">
        <f t="array" aca="1" ref="CL154" ca="1">IF(OR($D154&lt;&gt;"Serviço",AND(AUTOEVENTO="Manual",$M154=$A$15),$M154&gt;(ROW(PLE.lastrow)-ROW(PLE.firstrow))),0,
           IF(OFFSET(PLE!$G$15,$M154-$A$15,CL$13)="",10^12,OFFSET(PLE!$G$15,$M154-$A$15,CL$13)))</f>
        <v>1000000000000</v>
      </c>
      <c r="CM154" s="172">
        <f t="array" aca="1" ref="CM154" ca="1">IF(OR($D154&lt;&gt;"Serviço",AND(AUTOEVENTO="Manual",$M154=$A$15),$M154&gt;(ROW(PLE.lastrow)-ROW(PLE.firstrow))),0,
           IF(OFFSET(PLE!$G$15,$M154-$A$15,CM$13)="",10^12,OFFSET(PLE!$G$15,$M154-$A$15,CM$13)))</f>
        <v>1000000000000</v>
      </c>
    </row>
    <row r="155" spans="1:91" s="696" customFormat="1" ht="38.25" x14ac:dyDescent="0.2">
      <c r="A155" s="694">
        <f t="shared" ca="1" si="82"/>
        <v>28</v>
      </c>
      <c r="B155" s="694" t="str">
        <f ca="1">OFFSET(ORÇAMENTO!C$15,$L155,0)</f>
        <v>S</v>
      </c>
      <c r="C155" s="694" t="str">
        <f ca="1">OFFSET(ORÇAMENTO!L$15,$L155,0)</f>
        <v>F</v>
      </c>
      <c r="D155" s="116" t="str">
        <f ca="1">OFFSET(ORÇAMENTO!N$15,$L155,0)</f>
        <v>Serviço</v>
      </c>
      <c r="E155" s="117" t="str">
        <f ca="1">OFFSET(ORÇAMENTO!O$15,$L155,0)</f>
        <v>1.25.3.</v>
      </c>
      <c r="F155" s="163" t="str">
        <f ca="1">OFFSET(ORÇAMENTO!R$15,$L155,0)</f>
        <v>CABO DE COBRE FLEXÍVEL ISOLADO, 4 MM², ANTI-CHAMA 450/750 V, PARA CIRCUITOS TERMINAIS - FORNECIMENTO E INSTALAÇÃO. AF_03/2023</v>
      </c>
      <c r="G155" s="164" t="str">
        <f ca="1">IF($D155&lt;&gt;"Serviço","",OFFSET(ORÇAMENTO!S$15,$L155,0))</f>
        <v>M</v>
      </c>
      <c r="H155" s="122">
        <f t="array" aca="1" ref="H155" ca="1">IF($D155&lt;&gt;"Serviço",0,IF(ACOMPANHAMENTO="BM",ROUND(OFFSET(ORÇAMENTO!AJ$15,$L155,0),15-13*ORÇAMENTO!$AF$7),IF(IFERROR(CÁLCULO.FrentesPreenchidas,0)=0,0,SUM(ROUND(OFFSET($P155,0,1,1,CÁLCULO.FrentesPreenchidas),15-13*ORÇAMENTO!$AF$7)))))</f>
        <v>496</v>
      </c>
      <c r="I155" s="467" t="s">
        <v>1303</v>
      </c>
      <c r="J155" s="653" t="str">
        <f t="array" aca="1" ref="J155" ca="1">IF(OR(B155&lt;&gt;"S",CÁLCULO.FrentesPreenchidas=0),"",IF(AND(ACOMPANHAMENTO="PLE",AUTOEVENTO="Manual",OR(H155&gt;0,ORÇAMENTO!AC155="QUANT."),OR(K155="",M155=0,N155="")),"►E",IF(AND(ACOMPANHAMENTO="PLE",ORÇAMENTO!AC155="QUANT."),"►Q",IF(AND(ACOMPANHAMENTO="PLE",H155&lt;&gt;SUMPRODUCT(($Q$1:$AI$1=1)*ROUND(Q155:AI155,15))),"►S",IF(AND(COUNTIF($P$11:$AI$11,"▼")=0,H155&gt;0,I155=""),"◄M","")))))</f>
        <v/>
      </c>
      <c r="K155" s="654" t="s">
        <v>1433</v>
      </c>
      <c r="L155" s="165">
        <f t="shared" ca="1" si="83"/>
        <v>140</v>
      </c>
      <c r="M155" s="166">
        <f ca="1">IF($D155&lt;&gt;"Serviço","",
          IF(AUTOEVENTO="manual",$A155,
                IF(ISERROR(MATCH($A155,$A$15:OFFSET($A155,-1,0),0)),MAX($M$15:OFFSET(M155,-1,0))+1,
                      INDEX($M$15:OFFSET(M155,-1,0),MATCH($A155,$A$15:OFFSET($A155,-1,0),0)))))</f>
        <v>28</v>
      </c>
      <c r="N155" s="167" t="str">
        <f ca="1">IF($D155&lt;&gt;"Serviço","",
         IF(AUTOEVENTO="Manual",
                IF($A155=0,"&lt;-- defina o número do agrupador",
                       OFFSET(EVENTOS!$D$15,$A155-$A$15,0)),
                OFFSET($F$15,$A155,0)))</f>
        <v xml:space="preserve">FIOS E CABOS </v>
      </c>
      <c r="O155" s="168"/>
      <c r="Q155" s="169">
        <f>24.8*5</f>
        <v>124</v>
      </c>
      <c r="R155" s="169">
        <f t="shared" ref="R155:T155" si="86">24.8*5</f>
        <v>124</v>
      </c>
      <c r="S155" s="169">
        <f t="shared" si="86"/>
        <v>124</v>
      </c>
      <c r="T155" s="169">
        <f t="shared" si="86"/>
        <v>124</v>
      </c>
      <c r="U155" s="169"/>
      <c r="V155" s="169"/>
      <c r="W155" s="169"/>
      <c r="X155" s="169"/>
      <c r="Y155" s="169"/>
      <c r="Z155" s="170"/>
      <c r="AA155" s="169"/>
      <c r="AB155" s="169"/>
      <c r="AC155" s="169"/>
      <c r="AD155" s="169"/>
      <c r="AE155" s="169"/>
      <c r="AF155" s="169"/>
      <c r="AG155" s="169"/>
      <c r="AH155" s="170"/>
      <c r="AJ155" s="452">
        <f ca="1">IF(AND($D155="Serviço",AJ$12&lt;&gt;0,$H155&gt;0,OR(AUTOEVENTO&lt;&gt;"manual",$M155&lt;&gt;$A$15)),
        IF(Import.TipoArredondamento&lt;&gt;"TransfereGOV",
              ROUND(OFFSET($P155,0,AJ$13),15-13*ORÇAMENTO!$AF$7)/$H155*OFFSET(ORÇAMENTO!$X$15,ROW(AJ155)-ROW(AJ$15),0),
              ROUND(ROUND(OFFSET($P155,0,AJ$13),15-13*ORÇAMENTO!$AF$7)*OFFSET(ORÇAMENTO!$W$15,ROW(AJ155)-ROW(AJ$15),0),15-13*ORÇAMENTO!$AF$11)),
         0)</f>
        <v>1005.64</v>
      </c>
      <c r="AK155" s="452">
        <f ca="1">IF(AND($D155="Serviço",AK$12&lt;&gt;0,$H155&gt;0,OR(AUTOEVENTO&lt;&gt;"manual",$M155&lt;&gt;$A$15)),
        IF(Import.TipoArredondamento&lt;&gt;"TransfereGOV",
              ROUND(OFFSET($P155,0,AK$13),15-13*ORÇAMENTO!$AF$7)/$H155*OFFSET(ORÇAMENTO!$X$15,ROW(AK155)-ROW(AK$15),0),
              ROUND(ROUND(OFFSET($P155,0,AK$13),15-13*ORÇAMENTO!$AF$7)*OFFSET(ORÇAMENTO!$W$15,ROW(AK155)-ROW(AK$15),0),15-13*ORÇAMENTO!$AF$11)),
         0)</f>
        <v>1005.64</v>
      </c>
      <c r="AL155" s="452">
        <f ca="1">IF(AND($D155="Serviço",AL$12&lt;&gt;0,$H155&gt;0,OR(AUTOEVENTO&lt;&gt;"manual",$M155&lt;&gt;$A$15)),
        IF(Import.TipoArredondamento&lt;&gt;"TransfereGOV",
              ROUND(OFFSET($P155,0,AL$13),15-13*ORÇAMENTO!$AF$7)/$H155*OFFSET(ORÇAMENTO!$X$15,ROW(AL155)-ROW(AL$15),0),
              ROUND(ROUND(OFFSET($P155,0,AL$13),15-13*ORÇAMENTO!$AF$7)*OFFSET(ORÇAMENTO!$W$15,ROW(AL155)-ROW(AL$15),0),15-13*ORÇAMENTO!$AF$11)),
         0)</f>
        <v>1005.64</v>
      </c>
      <c r="AM155" s="452">
        <f ca="1">IF(AND($D155="Serviço",AM$12&lt;&gt;0,$H155&gt;0,OR(AUTOEVENTO&lt;&gt;"manual",$M155&lt;&gt;$A$15)),
        IF(Import.TipoArredondamento&lt;&gt;"TransfereGOV",
              ROUND(OFFSET($P155,0,AM$13),15-13*ORÇAMENTO!$AF$7)/$H155*OFFSET(ORÇAMENTO!$X$15,ROW(AM155)-ROW(AM$15),0),
              ROUND(ROUND(OFFSET($P155,0,AM$13),15-13*ORÇAMENTO!$AF$7)*OFFSET(ORÇAMENTO!$W$15,ROW(AM155)-ROW(AM$15),0),15-13*ORÇAMENTO!$AF$11)),
         0)</f>
        <v>1005.64</v>
      </c>
      <c r="AN155" s="452">
        <f ca="1">IF(AND($D155="Serviço",AN$12&lt;&gt;0,$H155&gt;0,OR(AUTOEVENTO&lt;&gt;"manual",$M155&lt;&gt;$A$15)),
        IF(Import.TipoArredondamento&lt;&gt;"TransfereGOV",
              ROUND(OFFSET($P155,0,AN$13),15-13*ORÇAMENTO!$AF$7)/$H155*OFFSET(ORÇAMENTO!$X$15,ROW(AN155)-ROW(AN$15),0),
              ROUND(ROUND(OFFSET($P155,0,AN$13),15-13*ORÇAMENTO!$AF$7)*OFFSET(ORÇAMENTO!$W$15,ROW(AN155)-ROW(AN$15),0),15-13*ORÇAMENTO!$AF$11)),
         0)</f>
        <v>0</v>
      </c>
      <c r="AO155" s="452">
        <f ca="1">IF(AND($D155="Serviço",AO$12&lt;&gt;0,$H155&gt;0,OR(AUTOEVENTO&lt;&gt;"manual",$M155&lt;&gt;$A$15)),
        IF(Import.TipoArredondamento&lt;&gt;"TransfereGOV",
              ROUND(OFFSET($P155,0,AO$13),15-13*ORÇAMENTO!$AF$7)/$H155*OFFSET(ORÇAMENTO!$X$15,ROW(AO155)-ROW(AO$15),0),
              ROUND(ROUND(OFFSET($P155,0,AO$13),15-13*ORÇAMENTO!$AF$7)*OFFSET(ORÇAMENTO!$W$15,ROW(AO155)-ROW(AO$15),0),15-13*ORÇAMENTO!$AF$11)),
         0)</f>
        <v>0</v>
      </c>
      <c r="AP155" s="452">
        <f ca="1">IF(AND($D155="Serviço",AP$12&lt;&gt;0,$H155&gt;0,OR(AUTOEVENTO&lt;&gt;"manual",$M155&lt;&gt;$A$15)),
        IF(Import.TipoArredondamento&lt;&gt;"TransfereGOV",
              ROUND(OFFSET($P155,0,AP$13),15-13*ORÇAMENTO!$AF$7)/$H155*OFFSET(ORÇAMENTO!$X$15,ROW(AP155)-ROW(AP$15),0),
              ROUND(ROUND(OFFSET($P155,0,AP$13),15-13*ORÇAMENTO!$AF$7)*OFFSET(ORÇAMENTO!$W$15,ROW(AP155)-ROW(AP$15),0),15-13*ORÇAMENTO!$AF$11)),
         0)</f>
        <v>0</v>
      </c>
      <c r="AQ155" s="452">
        <f ca="1">IF(AND($D155="Serviço",AQ$12&lt;&gt;0,$H155&gt;0,OR(AUTOEVENTO&lt;&gt;"manual",$M155&lt;&gt;$A$15)),
        IF(Import.TipoArredondamento&lt;&gt;"TransfereGOV",
              ROUND(OFFSET($P155,0,AQ$13),15-13*ORÇAMENTO!$AF$7)/$H155*OFFSET(ORÇAMENTO!$X$15,ROW(AQ155)-ROW(AQ$15),0),
              ROUND(ROUND(OFFSET($P155,0,AQ$13),15-13*ORÇAMENTO!$AF$7)*OFFSET(ORÇAMENTO!$W$15,ROW(AQ155)-ROW(AQ$15),0),15-13*ORÇAMENTO!$AF$11)),
         0)</f>
        <v>0</v>
      </c>
      <c r="AR155" s="452">
        <f ca="1">IF(AND($D155="Serviço",AR$12&lt;&gt;0,$H155&gt;0,OR(AUTOEVENTO&lt;&gt;"manual",$M155&lt;&gt;$A$15)),
        IF(Import.TipoArredondamento&lt;&gt;"TransfereGOV",
              ROUND(OFFSET($P155,0,AR$13),15-13*ORÇAMENTO!$AF$7)/$H155*OFFSET(ORÇAMENTO!$X$15,ROW(AR155)-ROW(AR$15),0),
              ROUND(ROUND(OFFSET($P155,0,AR$13),15-13*ORÇAMENTO!$AF$7)*OFFSET(ORÇAMENTO!$W$15,ROW(AR155)-ROW(AR$15),0),15-13*ORÇAMENTO!$AF$11)),
         0)</f>
        <v>0</v>
      </c>
      <c r="AS155" s="452">
        <f ca="1">IF(AND($D155="Serviço",AS$12&lt;&gt;0,$H155&gt;0,OR(AUTOEVENTO&lt;&gt;"manual",$M155&lt;&gt;$A$15)),
        IF(Import.TipoArredondamento&lt;&gt;"TransfereGOV",
              ROUND(OFFSET($P155,0,AS$13),15-13*ORÇAMENTO!$AF$7)/$H155*OFFSET(ORÇAMENTO!$X$15,ROW(AS155)-ROW(AS$15),0),
              ROUND(ROUND(OFFSET($P155,0,AS$13),15-13*ORÇAMENTO!$AF$7)*OFFSET(ORÇAMENTO!$W$15,ROW(AS155)-ROW(AS$15),0),15-13*ORÇAMENTO!$AF$11)),
         0)</f>
        <v>0</v>
      </c>
      <c r="AT155" s="452">
        <f ca="1">IF(AND($D155="Serviço",AT$12&lt;&gt;0,$H155&gt;0,OR(AUTOEVENTO&lt;&gt;"manual",$M155&lt;&gt;$A$15)),
        IF(Import.TipoArredondamento&lt;&gt;"TransfereGOV",
              ROUND(OFFSET($P155,0,AT$13),15-13*ORÇAMENTO!$AF$7)/$H155*OFFSET(ORÇAMENTO!$X$15,ROW(AT155)-ROW(AT$15),0),
              ROUND(ROUND(OFFSET($P155,0,AT$13),15-13*ORÇAMENTO!$AF$7)*OFFSET(ORÇAMENTO!$W$15,ROW(AT155)-ROW(AT$15),0),15-13*ORÇAMENTO!$AF$11)),
         0)</f>
        <v>0</v>
      </c>
      <c r="AU155" s="452">
        <f ca="1">IF(AND($D155="Serviço",AU$12&lt;&gt;0,$H155&gt;0,OR(AUTOEVENTO&lt;&gt;"manual",$M155&lt;&gt;$A$15)),
        IF(Import.TipoArredondamento&lt;&gt;"TransfereGOV",
              ROUND(OFFSET($P155,0,AU$13),15-13*ORÇAMENTO!$AF$7)/$H155*OFFSET(ORÇAMENTO!$X$15,ROW(AU155)-ROW(AU$15),0),
              ROUND(ROUND(OFFSET($P155,0,AU$13),15-13*ORÇAMENTO!$AF$7)*OFFSET(ORÇAMENTO!$W$15,ROW(AU155)-ROW(AU$15),0),15-13*ORÇAMENTO!$AF$11)),
         0)</f>
        <v>0</v>
      </c>
      <c r="AV155" s="452">
        <f ca="1">IF(AND($D155="Serviço",AV$12&lt;&gt;0,$H155&gt;0,OR(AUTOEVENTO&lt;&gt;"manual",$M155&lt;&gt;$A$15)),
        IF(Import.TipoArredondamento&lt;&gt;"TransfereGOV",
              ROUND(OFFSET($P155,0,AV$13),15-13*ORÇAMENTO!$AF$7)/$H155*OFFSET(ORÇAMENTO!$X$15,ROW(AV155)-ROW(AV$15),0),
              ROUND(ROUND(OFFSET($P155,0,AV$13),15-13*ORÇAMENTO!$AF$7)*OFFSET(ORÇAMENTO!$W$15,ROW(AV155)-ROW(AV$15),0),15-13*ORÇAMENTO!$AF$11)),
         0)</f>
        <v>0</v>
      </c>
      <c r="AW155" s="452">
        <f ca="1">IF(AND($D155="Serviço",AW$12&lt;&gt;0,$H155&gt;0,OR(AUTOEVENTO&lt;&gt;"manual",$M155&lt;&gt;$A$15)),
        IF(Import.TipoArredondamento&lt;&gt;"TransfereGOV",
              ROUND(OFFSET($P155,0,AW$13),15-13*ORÇAMENTO!$AF$7)/$H155*OFFSET(ORÇAMENTO!$X$15,ROW(AW155)-ROW(AW$15),0),
              ROUND(ROUND(OFFSET($P155,0,AW$13),15-13*ORÇAMENTO!$AF$7)*OFFSET(ORÇAMENTO!$W$15,ROW(AW155)-ROW(AW$15),0),15-13*ORÇAMENTO!$AF$11)),
         0)</f>
        <v>0</v>
      </c>
      <c r="AX155" s="452">
        <f ca="1">IF(AND($D155="Serviço",AX$12&lt;&gt;0,$H155&gt;0,OR(AUTOEVENTO&lt;&gt;"manual",$M155&lt;&gt;$A$15)),
        IF(Import.TipoArredondamento&lt;&gt;"TransfereGOV",
              ROUND(OFFSET($P155,0,AX$13),15-13*ORÇAMENTO!$AF$7)/$H155*OFFSET(ORÇAMENTO!$X$15,ROW(AX155)-ROW(AX$15),0),
              ROUND(ROUND(OFFSET($P155,0,AX$13),15-13*ORÇAMENTO!$AF$7)*OFFSET(ORÇAMENTO!$W$15,ROW(AX155)-ROW(AX$15),0),15-13*ORÇAMENTO!$AF$11)),
         0)</f>
        <v>0</v>
      </c>
      <c r="AY155" s="452">
        <f ca="1">IF(AND($D155="Serviço",AY$12&lt;&gt;0,$H155&gt;0,OR(AUTOEVENTO&lt;&gt;"manual",$M155&lt;&gt;$A$15)),
        IF(Import.TipoArredondamento&lt;&gt;"TransfereGOV",
              ROUND(OFFSET($P155,0,AY$13),15-13*ORÇAMENTO!$AF$7)/$H155*OFFSET(ORÇAMENTO!$X$15,ROW(AY155)-ROW(AY$15),0),
              ROUND(ROUND(OFFSET($P155,0,AY$13),15-13*ORÇAMENTO!$AF$7)*OFFSET(ORÇAMENTO!$W$15,ROW(AY155)-ROW(AY$15),0),15-13*ORÇAMENTO!$AF$11)),
         0)</f>
        <v>0</v>
      </c>
      <c r="AZ155" s="452">
        <f ca="1">IF(AND($D155="Serviço",AZ$12&lt;&gt;0,$H155&gt;0,OR(AUTOEVENTO&lt;&gt;"manual",$M155&lt;&gt;$A$15)),
        IF(Import.TipoArredondamento&lt;&gt;"TransfereGOV",
              ROUND(OFFSET($P155,0,AZ$13),15-13*ORÇAMENTO!$AF$7)/$H155*OFFSET(ORÇAMENTO!$X$15,ROW(AZ155)-ROW(AZ$15),0),
              ROUND(ROUND(OFFSET($P155,0,AZ$13),15-13*ORÇAMENTO!$AF$7)*OFFSET(ORÇAMENTO!$W$15,ROW(AZ155)-ROW(AZ$15),0),15-13*ORÇAMENTO!$AF$11)),
         0)</f>
        <v>0</v>
      </c>
      <c r="BA155" s="452">
        <f ca="1">IF(AND($D155="Serviço",BA$12&lt;&gt;0,$H155&gt;0,OR(AUTOEVENTO&lt;&gt;"manual",$M155&lt;&gt;$A$15)),
        IF(Import.TipoArredondamento&lt;&gt;"TransfereGOV",
              ROUND(OFFSET($P155,0,BA$13),15-13*ORÇAMENTO!$AF$7)/$H155*OFFSET(ORÇAMENTO!$X$15,ROW(BA155)-ROW(BA$15),0),
              ROUND(ROUND(OFFSET($P155,0,BA$13),15-13*ORÇAMENTO!$AF$7)*OFFSET(ORÇAMENTO!$W$15,ROW(BA155)-ROW(BA$15),0),15-13*ORÇAMENTO!$AF$11)),
         0)</f>
        <v>0</v>
      </c>
      <c r="BC155" s="171">
        <f ca="1">IF(OR($D155&lt;&gt;"Serviço",AND(AUTOEVENTO="Manual",$M155=$A$15)),0,
         IF(OFFSET(CRONOPLE!$F$15,$M155-$A$15,BC$13)=0,10^12,OFFSET(CRONOPLE!$F$15,$M155-$A$15,BC$13)))</f>
        <v>8</v>
      </c>
      <c r="BD155" s="171">
        <f ca="1">IF(OR($D155&lt;&gt;"Serviço",AND(AUTOEVENTO="Manual",$M155=$A$15)),0,
         IF(OFFSET(CRONOPLE!$F$15,$M155-$A$15,BD$13)=0,10^12,OFFSET(CRONOPLE!$F$15,$M155-$A$15,BD$13)))</f>
        <v>8</v>
      </c>
      <c r="BE155" s="171">
        <f ca="1">IF(OR($D155&lt;&gt;"Serviço",AND(AUTOEVENTO="Manual",$M155=$A$15)),0,
         IF(OFFSET(CRONOPLE!$F$15,$M155-$A$15,BE$13)=0,10^12,OFFSET(CRONOPLE!$F$15,$M155-$A$15,BE$13)))</f>
        <v>9</v>
      </c>
      <c r="BF155" s="171">
        <f ca="1">IF(OR($D155&lt;&gt;"Serviço",AND(AUTOEVENTO="Manual",$M155=$A$15)),0,
         IF(OFFSET(CRONOPLE!$F$15,$M155-$A$15,BF$13)=0,10^12,OFFSET(CRONOPLE!$F$15,$M155-$A$15,BF$13)))</f>
        <v>9</v>
      </c>
      <c r="BG155" s="171">
        <f ca="1">IF(OR($D155&lt;&gt;"Serviço",AND(AUTOEVENTO="Manual",$M155=$A$15)),0,
         IF(OFFSET(CRONOPLE!$F$15,$M155-$A$15,BG$13)=0,10^12,OFFSET(CRONOPLE!$F$15,$M155-$A$15,BG$13)))</f>
        <v>9</v>
      </c>
      <c r="BH155" s="171">
        <f ca="1">IF(OR($D155&lt;&gt;"Serviço",AND(AUTOEVENTO="Manual",$M155=$A$15)),0,
         IF(OFFSET(CRONOPLE!$F$15,$M155-$A$15,BH$13)=0,10^12,OFFSET(CRONOPLE!$F$15,$M155-$A$15,BH$13)))</f>
        <v>1000000000000</v>
      </c>
      <c r="BI155" s="171">
        <f ca="1">IF(OR($D155&lt;&gt;"Serviço",AND(AUTOEVENTO="Manual",$M155=$A$15)),0,
         IF(OFFSET(CRONOPLE!$F$15,$M155-$A$15,BI$13)=0,10^12,OFFSET(CRONOPLE!$F$15,$M155-$A$15,BI$13)))</f>
        <v>7</v>
      </c>
      <c r="BJ155" s="171">
        <f ca="1">IF(OR($D155&lt;&gt;"Serviço",AND(AUTOEVENTO="Manual",$M155=$A$15)),0,
         IF(OFFSET(CRONOPLE!$F$15,$M155-$A$15,BJ$13)=0,10^12,OFFSET(CRONOPLE!$F$15,$M155-$A$15,BJ$13)))</f>
        <v>1000000000000</v>
      </c>
      <c r="BK155" s="171">
        <f ca="1">IF(OR($D155&lt;&gt;"Serviço",AND(AUTOEVENTO="Manual",$M155=$A$15)),0,
         IF(OFFSET(CRONOPLE!$F$15,$M155-$A$15,BK$13)=0,10^12,OFFSET(CRONOPLE!$F$15,$M155-$A$15,BK$13)))</f>
        <v>1000000000000</v>
      </c>
      <c r="BL155" s="171">
        <f ca="1">IF(OR($D155&lt;&gt;"Serviço",AND(AUTOEVENTO="Manual",$M155=$A$15)),0,
         IF(OFFSET(CRONOPLE!$F$15,$M155-$A$15,BL$13)=0,10^12,OFFSET(CRONOPLE!$F$15,$M155-$A$15,BL$13)))</f>
        <v>1000000000000</v>
      </c>
      <c r="BM155" s="171">
        <f ca="1">IF(OR($D155&lt;&gt;"Serviço",AND(AUTOEVENTO="Manual",$M155=$A$15)),0,
         IF(OFFSET(CRONOPLE!$F$15,$M155-$A$15,BM$13)=0,10^12,OFFSET(CRONOPLE!$F$15,$M155-$A$15,BM$13)))</f>
        <v>1000000000000</v>
      </c>
      <c r="BN155" s="171">
        <f ca="1">IF(OR($D155&lt;&gt;"Serviço",AND(AUTOEVENTO="Manual",$M155=$A$15)),0,
         IF(OFFSET(CRONOPLE!$F$15,$M155-$A$15,BN$13)=0,10^12,OFFSET(CRONOPLE!$F$15,$M155-$A$15,BN$13)))</f>
        <v>1000000000000</v>
      </c>
      <c r="BO155" s="171">
        <f ca="1">IF(OR($D155&lt;&gt;"Serviço",AND(AUTOEVENTO="Manual",$M155=$A$15)),0,
         IF(OFFSET(CRONOPLE!$F$15,$M155-$A$15,BO$13)=0,10^12,OFFSET(CRONOPLE!$F$15,$M155-$A$15,BO$13)))</f>
        <v>1000000000000</v>
      </c>
      <c r="BP155" s="171">
        <f ca="1">IF(OR($D155&lt;&gt;"Serviço",AND(AUTOEVENTO="Manual",$M155=$A$15)),0,
         IF(OFFSET(CRONOPLE!$F$15,$M155-$A$15,BP$13)=0,10^12,OFFSET(CRONOPLE!$F$15,$M155-$A$15,BP$13)))</f>
        <v>1000000000000</v>
      </c>
      <c r="BQ155" s="171">
        <f ca="1">IF(OR($D155&lt;&gt;"Serviço",AND(AUTOEVENTO="Manual",$M155=$A$15)),0,
         IF(OFFSET(CRONOPLE!$F$15,$M155-$A$15,BQ$13)=0,10^12,OFFSET(CRONOPLE!$F$15,$M155-$A$15,BQ$13)))</f>
        <v>1000000000000</v>
      </c>
      <c r="BR155" s="171">
        <f ca="1">IF(OR($D155&lt;&gt;"Serviço",AND(AUTOEVENTO="Manual",$M155=$A$15)),0,
         IF(OFFSET(CRONOPLE!$F$15,$M155-$A$15,BR$13)=0,10^12,OFFSET(CRONOPLE!$F$15,$M155-$A$15,BR$13)))</f>
        <v>1000000000000</v>
      </c>
      <c r="BS155" s="171">
        <f ca="1">IF(OR($D155&lt;&gt;"Serviço",AND(AUTOEVENTO="Manual",$M155=$A$15)),0,
         IF(OFFSET(CRONOPLE!$F$15,$M155-$A$15,BS$13)=0,10^12,OFFSET(CRONOPLE!$F$15,$M155-$A$15,BS$13)))</f>
        <v>1000000000000</v>
      </c>
      <c r="BT155" s="171">
        <f ca="1">IF(OR($D155&lt;&gt;"Serviço",AND(AUTOEVENTO="Manual",$M155=$A$15)),0,
         IF(OFFSET(CRONOPLE!$F$15,$M155-$A$15,BT$13)=0,10^12,OFFSET(CRONOPLE!$F$15,$M155-$A$15,BT$13)))</f>
        <v>1000000000000</v>
      </c>
      <c r="BV155" s="172">
        <f t="array" aca="1" ref="BV155" ca="1">IF(OR($D155&lt;&gt;"Serviço",AND(AUTOEVENTO="Manual",$M155=$A$15),$M155&gt;(ROW(PLE.lastrow)-ROW(PLE.firstrow))),0,
           IF(OFFSET(PLE!$G$15,$M155-$A$15,BV$13)="",10^12,OFFSET(PLE!$G$15,$M155-$A$15,BV$13)))</f>
        <v>1000000000000</v>
      </c>
      <c r="BW155" s="172">
        <f t="array" aca="1" ref="BW155" ca="1">IF(OR($D155&lt;&gt;"Serviço",AND(AUTOEVENTO="Manual",$M155=$A$15),$M155&gt;(ROW(PLE.lastrow)-ROW(PLE.firstrow))),0,
           IF(OFFSET(PLE!$G$15,$M155-$A$15,BW$13)="",10^12,OFFSET(PLE!$G$15,$M155-$A$15,BW$13)))</f>
        <v>1000000000000</v>
      </c>
      <c r="BX155" s="172">
        <f t="array" aca="1" ref="BX155" ca="1">IF(OR($D155&lt;&gt;"Serviço",AND(AUTOEVENTO="Manual",$M155=$A$15),$M155&gt;(ROW(PLE.lastrow)-ROW(PLE.firstrow))),0,
           IF(OFFSET(PLE!$G$15,$M155-$A$15,BX$13)="",10^12,OFFSET(PLE!$G$15,$M155-$A$15,BX$13)))</f>
        <v>1000000000000</v>
      </c>
      <c r="BY155" s="172">
        <f t="array" aca="1" ref="BY155" ca="1">IF(OR($D155&lt;&gt;"Serviço",AND(AUTOEVENTO="Manual",$M155=$A$15),$M155&gt;(ROW(PLE.lastrow)-ROW(PLE.firstrow))),0,
           IF(OFFSET(PLE!$G$15,$M155-$A$15,BY$13)="",10^12,OFFSET(PLE!$G$15,$M155-$A$15,BY$13)))</f>
        <v>1000000000000</v>
      </c>
      <c r="BZ155" s="172">
        <f t="array" aca="1" ref="BZ155" ca="1">IF(OR($D155&lt;&gt;"Serviço",AND(AUTOEVENTO="Manual",$M155=$A$15),$M155&gt;(ROW(PLE.lastrow)-ROW(PLE.firstrow))),0,
           IF(OFFSET(PLE!$G$15,$M155-$A$15,BZ$13)="",10^12,OFFSET(PLE!$G$15,$M155-$A$15,BZ$13)))</f>
        <v>1000000000000</v>
      </c>
      <c r="CA155" s="172">
        <f t="array" aca="1" ref="CA155" ca="1">IF(OR($D155&lt;&gt;"Serviço",AND(AUTOEVENTO="Manual",$M155=$A$15),$M155&gt;(ROW(PLE.lastrow)-ROW(PLE.firstrow))),0,
           IF(OFFSET(PLE!$G$15,$M155-$A$15,CA$13)="",10^12,OFFSET(PLE!$G$15,$M155-$A$15,CA$13)))</f>
        <v>1000000000000</v>
      </c>
      <c r="CB155" s="172">
        <f t="array" aca="1" ref="CB155" ca="1">IF(OR($D155&lt;&gt;"Serviço",AND(AUTOEVENTO="Manual",$M155=$A$15),$M155&gt;(ROW(PLE.lastrow)-ROW(PLE.firstrow))),0,
           IF(OFFSET(PLE!$G$15,$M155-$A$15,CB$13)="",10^12,OFFSET(PLE!$G$15,$M155-$A$15,CB$13)))</f>
        <v>1000000000000</v>
      </c>
      <c r="CC155" s="172">
        <f t="array" aca="1" ref="CC155" ca="1">IF(OR($D155&lt;&gt;"Serviço",AND(AUTOEVENTO="Manual",$M155=$A$15),$M155&gt;(ROW(PLE.lastrow)-ROW(PLE.firstrow))),0,
           IF(OFFSET(PLE!$G$15,$M155-$A$15,CC$13)="",10^12,OFFSET(PLE!$G$15,$M155-$A$15,CC$13)))</f>
        <v>1000000000000</v>
      </c>
      <c r="CD155" s="172">
        <f t="array" aca="1" ref="CD155" ca="1">IF(OR($D155&lt;&gt;"Serviço",AND(AUTOEVENTO="Manual",$M155=$A$15),$M155&gt;(ROW(PLE.lastrow)-ROW(PLE.firstrow))),0,
           IF(OFFSET(PLE!$G$15,$M155-$A$15,CD$13)="",10^12,OFFSET(PLE!$G$15,$M155-$A$15,CD$13)))</f>
        <v>1000000000000</v>
      </c>
      <c r="CE155" s="172">
        <f t="array" aca="1" ref="CE155" ca="1">IF(OR($D155&lt;&gt;"Serviço",AND(AUTOEVENTO="Manual",$M155=$A$15),$M155&gt;(ROW(PLE.lastrow)-ROW(PLE.firstrow))),0,
           IF(OFFSET(PLE!$G$15,$M155-$A$15,CE$13)="",10^12,OFFSET(PLE!$G$15,$M155-$A$15,CE$13)))</f>
        <v>1000000000000</v>
      </c>
      <c r="CF155" s="172">
        <f t="array" aca="1" ref="CF155" ca="1">IF(OR($D155&lt;&gt;"Serviço",AND(AUTOEVENTO="Manual",$M155=$A$15),$M155&gt;(ROW(PLE.lastrow)-ROW(PLE.firstrow))),0,
           IF(OFFSET(PLE!$G$15,$M155-$A$15,CF$13)="",10^12,OFFSET(PLE!$G$15,$M155-$A$15,CF$13)))</f>
        <v>1000000000000</v>
      </c>
      <c r="CG155" s="172">
        <f t="array" aca="1" ref="CG155" ca="1">IF(OR($D155&lt;&gt;"Serviço",AND(AUTOEVENTO="Manual",$M155=$A$15),$M155&gt;(ROW(PLE.lastrow)-ROW(PLE.firstrow))),0,
           IF(OFFSET(PLE!$G$15,$M155-$A$15,CG$13)="",10^12,OFFSET(PLE!$G$15,$M155-$A$15,CG$13)))</f>
        <v>1000000000000</v>
      </c>
      <c r="CH155" s="172">
        <f t="array" aca="1" ref="CH155" ca="1">IF(OR($D155&lt;&gt;"Serviço",AND(AUTOEVENTO="Manual",$M155=$A$15),$M155&gt;(ROW(PLE.lastrow)-ROW(PLE.firstrow))),0,
           IF(OFFSET(PLE!$G$15,$M155-$A$15,CH$13)="",10^12,OFFSET(PLE!$G$15,$M155-$A$15,CH$13)))</f>
        <v>1000000000000</v>
      </c>
      <c r="CI155" s="172">
        <f t="array" aca="1" ref="CI155" ca="1">IF(OR($D155&lt;&gt;"Serviço",AND(AUTOEVENTO="Manual",$M155=$A$15),$M155&gt;(ROW(PLE.lastrow)-ROW(PLE.firstrow))),0,
           IF(OFFSET(PLE!$G$15,$M155-$A$15,CI$13)="",10^12,OFFSET(PLE!$G$15,$M155-$A$15,CI$13)))</f>
        <v>1000000000000</v>
      </c>
      <c r="CJ155" s="172">
        <f t="array" aca="1" ref="CJ155" ca="1">IF(OR($D155&lt;&gt;"Serviço",AND(AUTOEVENTO="Manual",$M155=$A$15),$M155&gt;(ROW(PLE.lastrow)-ROW(PLE.firstrow))),0,
           IF(OFFSET(PLE!$G$15,$M155-$A$15,CJ$13)="",10^12,OFFSET(PLE!$G$15,$M155-$A$15,CJ$13)))</f>
        <v>1000000000000</v>
      </c>
      <c r="CK155" s="172">
        <f t="array" aca="1" ref="CK155" ca="1">IF(OR($D155&lt;&gt;"Serviço",AND(AUTOEVENTO="Manual",$M155=$A$15),$M155&gt;(ROW(PLE.lastrow)-ROW(PLE.firstrow))),0,
           IF(OFFSET(PLE!$G$15,$M155-$A$15,CK$13)="",10^12,OFFSET(PLE!$G$15,$M155-$A$15,CK$13)))</f>
        <v>1000000000000</v>
      </c>
      <c r="CL155" s="172">
        <f t="array" aca="1" ref="CL155" ca="1">IF(OR($D155&lt;&gt;"Serviço",AND(AUTOEVENTO="Manual",$M155=$A$15),$M155&gt;(ROW(PLE.lastrow)-ROW(PLE.firstrow))),0,
           IF(OFFSET(PLE!$G$15,$M155-$A$15,CL$13)="",10^12,OFFSET(PLE!$G$15,$M155-$A$15,CL$13)))</f>
        <v>1000000000000</v>
      </c>
      <c r="CM155" s="172">
        <f t="array" aca="1" ref="CM155" ca="1">IF(OR($D155&lt;&gt;"Serviço",AND(AUTOEVENTO="Manual",$M155=$A$15),$M155&gt;(ROW(PLE.lastrow)-ROW(PLE.firstrow))),0,
           IF(OFFSET(PLE!$G$15,$M155-$A$15,CM$13)="",10^12,OFFSET(PLE!$G$15,$M155-$A$15,CM$13)))</f>
        <v>1000000000000</v>
      </c>
    </row>
    <row r="156" spans="1:91" s="696" customFormat="1" ht="51" x14ac:dyDescent="0.2">
      <c r="A156" s="694">
        <f t="shared" ca="1" si="82"/>
        <v>28</v>
      </c>
      <c r="B156" s="694" t="str">
        <f ca="1">OFFSET(ORÇAMENTO!C$15,$L156,0)</f>
        <v>S</v>
      </c>
      <c r="C156" s="694" t="str">
        <f ca="1">OFFSET(ORÇAMENTO!L$15,$L156,0)</f>
        <v>F</v>
      </c>
      <c r="D156" s="116" t="str">
        <f ca="1">OFFSET(ORÇAMENTO!N$15,$L156,0)</f>
        <v>Serviço</v>
      </c>
      <c r="E156" s="117" t="str">
        <f ca="1">OFFSET(ORÇAMENTO!O$15,$L156,0)</f>
        <v>1.25.4.</v>
      </c>
      <c r="F156" s="163" t="str">
        <f ca="1">OFFSET(ORÇAMENTO!R$15,$L156,0)</f>
        <v>CABO DE COBRE ISOLADO, 10 MM², ANTI-CHAMA 450/750 V, INSTALADO EM ELETROCALHA OU PERFILADO - FORNECIMENTO E INSTALAÇÃO. AF_07/2025</v>
      </c>
      <c r="G156" s="164" t="str">
        <f ca="1">IF($D156&lt;&gt;"Serviço","",OFFSET(ORÇAMENTO!S$15,$L156,0))</f>
        <v>M</v>
      </c>
      <c r="H156" s="122">
        <f t="array" aca="1" ref="H156" ca="1">IF($D156&lt;&gt;"Serviço",0,IF(ACOMPANHAMENTO="BM",ROUND(OFFSET(ORÇAMENTO!AJ$15,$L156,0),15-13*ORÇAMENTO!$AF$7),IF(IFERROR(CÁLCULO.FrentesPreenchidas,0)=0,0,SUM(ROUND(OFFSET($P156,0,1,1,CÁLCULO.FrentesPreenchidas),15-13*ORÇAMENTO!$AF$7)))))</f>
        <v>518</v>
      </c>
      <c r="I156" s="467" t="s">
        <v>1304</v>
      </c>
      <c r="J156" s="653" t="str">
        <f t="array" aca="1" ref="J156" ca="1">IF(OR(B156&lt;&gt;"S",CÁLCULO.FrentesPreenchidas=0),"",IF(AND(ACOMPANHAMENTO="PLE",AUTOEVENTO="Manual",OR(H156&gt;0,ORÇAMENTO!AC156="QUANT."),OR(K156="",M156=0,N156="")),"►E",IF(AND(ACOMPANHAMENTO="PLE",ORÇAMENTO!AC156="QUANT."),"►Q",IF(AND(ACOMPANHAMENTO="PLE",H156&lt;&gt;SUMPRODUCT(($Q$1:$AI$1=1)*ROUND(Q156:AI156,15))),"►S",IF(AND(COUNTIF($P$11:$AI$11,"▼")=0,H156&gt;0,I156=""),"◄M","")))))</f>
        <v/>
      </c>
      <c r="K156" s="654" t="s">
        <v>1433</v>
      </c>
      <c r="L156" s="165">
        <f t="shared" ca="1" si="83"/>
        <v>141</v>
      </c>
      <c r="M156" s="166">
        <f ca="1">IF($D156&lt;&gt;"Serviço","",
          IF(AUTOEVENTO="manual",$A156,
                IF(ISERROR(MATCH($A156,$A$15:OFFSET($A156,-1,0),0)),MAX($M$15:OFFSET(M156,-1,0))+1,
                      INDEX($M$15:OFFSET(M156,-1,0),MATCH($A156,$A$15:OFFSET($A156,-1,0),0)))))</f>
        <v>28</v>
      </c>
      <c r="N156" s="167" t="str">
        <f ca="1">IF($D156&lt;&gt;"Serviço","",
         IF(AUTOEVENTO="Manual",
                IF($A156=0,"&lt;-- defina o número do agrupador",
                       OFFSET(EVENTOS!$D$15,$A156-$A$15,0)),
                OFFSET($F$15,$A156,0)))</f>
        <v xml:space="preserve">FIOS E CABOS </v>
      </c>
      <c r="O156" s="168"/>
      <c r="Q156" s="169">
        <f>25.9*5</f>
        <v>129.5</v>
      </c>
      <c r="R156" s="169">
        <f t="shared" ref="R156:T156" si="87">25.9*5</f>
        <v>129.5</v>
      </c>
      <c r="S156" s="169">
        <f t="shared" si="87"/>
        <v>129.5</v>
      </c>
      <c r="T156" s="169">
        <f t="shared" si="87"/>
        <v>129.5</v>
      </c>
      <c r="U156" s="169"/>
      <c r="V156" s="169"/>
      <c r="W156" s="169"/>
      <c r="X156" s="169"/>
      <c r="Y156" s="169"/>
      <c r="Z156" s="170"/>
      <c r="AA156" s="169"/>
      <c r="AB156" s="169"/>
      <c r="AC156" s="169"/>
      <c r="AD156" s="169"/>
      <c r="AE156" s="169"/>
      <c r="AF156" s="169"/>
      <c r="AG156" s="169"/>
      <c r="AH156" s="170"/>
      <c r="AJ156" s="452">
        <f ca="1">IF(AND($D156="Serviço",AJ$12&lt;&gt;0,$H156&gt;0,OR(AUTOEVENTO&lt;&gt;"manual",$M156&lt;&gt;$A$15)),
        IF(Import.TipoArredondamento&lt;&gt;"TransfereGOV",
              ROUND(OFFSET($P156,0,AJ$13),15-13*ORÇAMENTO!$AF$7)/$H156*OFFSET(ORÇAMENTO!$X$15,ROW(AJ156)-ROW(AJ$15),0),
              ROUND(ROUND(OFFSET($P156,0,AJ$13),15-13*ORÇAMENTO!$AF$7)*OFFSET(ORÇAMENTO!$W$15,ROW(AJ156)-ROW(AJ$15),0),15-13*ORÇAMENTO!$AF$11)),
         0)</f>
        <v>1631.7</v>
      </c>
      <c r="AK156" s="452">
        <f ca="1">IF(AND($D156="Serviço",AK$12&lt;&gt;0,$H156&gt;0,OR(AUTOEVENTO&lt;&gt;"manual",$M156&lt;&gt;$A$15)),
        IF(Import.TipoArredondamento&lt;&gt;"TransfereGOV",
              ROUND(OFFSET($P156,0,AK$13),15-13*ORÇAMENTO!$AF$7)/$H156*OFFSET(ORÇAMENTO!$X$15,ROW(AK156)-ROW(AK$15),0),
              ROUND(ROUND(OFFSET($P156,0,AK$13),15-13*ORÇAMENTO!$AF$7)*OFFSET(ORÇAMENTO!$W$15,ROW(AK156)-ROW(AK$15),0),15-13*ORÇAMENTO!$AF$11)),
         0)</f>
        <v>1631.7</v>
      </c>
      <c r="AL156" s="452">
        <f ca="1">IF(AND($D156="Serviço",AL$12&lt;&gt;0,$H156&gt;0,OR(AUTOEVENTO&lt;&gt;"manual",$M156&lt;&gt;$A$15)),
        IF(Import.TipoArredondamento&lt;&gt;"TransfereGOV",
              ROUND(OFFSET($P156,0,AL$13),15-13*ORÇAMENTO!$AF$7)/$H156*OFFSET(ORÇAMENTO!$X$15,ROW(AL156)-ROW(AL$15),0),
              ROUND(ROUND(OFFSET($P156,0,AL$13),15-13*ORÇAMENTO!$AF$7)*OFFSET(ORÇAMENTO!$W$15,ROW(AL156)-ROW(AL$15),0),15-13*ORÇAMENTO!$AF$11)),
         0)</f>
        <v>1631.7</v>
      </c>
      <c r="AM156" s="452">
        <f ca="1">IF(AND($D156="Serviço",AM$12&lt;&gt;0,$H156&gt;0,OR(AUTOEVENTO&lt;&gt;"manual",$M156&lt;&gt;$A$15)),
        IF(Import.TipoArredondamento&lt;&gt;"TransfereGOV",
              ROUND(OFFSET($P156,0,AM$13),15-13*ORÇAMENTO!$AF$7)/$H156*OFFSET(ORÇAMENTO!$X$15,ROW(AM156)-ROW(AM$15),0),
              ROUND(ROUND(OFFSET($P156,0,AM$13),15-13*ORÇAMENTO!$AF$7)*OFFSET(ORÇAMENTO!$W$15,ROW(AM156)-ROW(AM$15),0),15-13*ORÇAMENTO!$AF$11)),
         0)</f>
        <v>1631.7</v>
      </c>
      <c r="AN156" s="452">
        <f ca="1">IF(AND($D156="Serviço",AN$12&lt;&gt;0,$H156&gt;0,OR(AUTOEVENTO&lt;&gt;"manual",$M156&lt;&gt;$A$15)),
        IF(Import.TipoArredondamento&lt;&gt;"TransfereGOV",
              ROUND(OFFSET($P156,0,AN$13),15-13*ORÇAMENTO!$AF$7)/$H156*OFFSET(ORÇAMENTO!$X$15,ROW(AN156)-ROW(AN$15),0),
              ROUND(ROUND(OFFSET($P156,0,AN$13),15-13*ORÇAMENTO!$AF$7)*OFFSET(ORÇAMENTO!$W$15,ROW(AN156)-ROW(AN$15),0),15-13*ORÇAMENTO!$AF$11)),
         0)</f>
        <v>0</v>
      </c>
      <c r="AO156" s="452">
        <f ca="1">IF(AND($D156="Serviço",AO$12&lt;&gt;0,$H156&gt;0,OR(AUTOEVENTO&lt;&gt;"manual",$M156&lt;&gt;$A$15)),
        IF(Import.TipoArredondamento&lt;&gt;"TransfereGOV",
              ROUND(OFFSET($P156,0,AO$13),15-13*ORÇAMENTO!$AF$7)/$H156*OFFSET(ORÇAMENTO!$X$15,ROW(AO156)-ROW(AO$15),0),
              ROUND(ROUND(OFFSET($P156,0,AO$13),15-13*ORÇAMENTO!$AF$7)*OFFSET(ORÇAMENTO!$W$15,ROW(AO156)-ROW(AO$15),0),15-13*ORÇAMENTO!$AF$11)),
         0)</f>
        <v>0</v>
      </c>
      <c r="AP156" s="452">
        <f ca="1">IF(AND($D156="Serviço",AP$12&lt;&gt;0,$H156&gt;0,OR(AUTOEVENTO&lt;&gt;"manual",$M156&lt;&gt;$A$15)),
        IF(Import.TipoArredondamento&lt;&gt;"TransfereGOV",
              ROUND(OFFSET($P156,0,AP$13),15-13*ORÇAMENTO!$AF$7)/$H156*OFFSET(ORÇAMENTO!$X$15,ROW(AP156)-ROW(AP$15),0),
              ROUND(ROUND(OFFSET($P156,0,AP$13),15-13*ORÇAMENTO!$AF$7)*OFFSET(ORÇAMENTO!$W$15,ROW(AP156)-ROW(AP$15),0),15-13*ORÇAMENTO!$AF$11)),
         0)</f>
        <v>0</v>
      </c>
      <c r="AQ156" s="452">
        <f ca="1">IF(AND($D156="Serviço",AQ$12&lt;&gt;0,$H156&gt;0,OR(AUTOEVENTO&lt;&gt;"manual",$M156&lt;&gt;$A$15)),
        IF(Import.TipoArredondamento&lt;&gt;"TransfereGOV",
              ROUND(OFFSET($P156,0,AQ$13),15-13*ORÇAMENTO!$AF$7)/$H156*OFFSET(ORÇAMENTO!$X$15,ROW(AQ156)-ROW(AQ$15),0),
              ROUND(ROUND(OFFSET($P156,0,AQ$13),15-13*ORÇAMENTO!$AF$7)*OFFSET(ORÇAMENTO!$W$15,ROW(AQ156)-ROW(AQ$15),0),15-13*ORÇAMENTO!$AF$11)),
         0)</f>
        <v>0</v>
      </c>
      <c r="AR156" s="452">
        <f ca="1">IF(AND($D156="Serviço",AR$12&lt;&gt;0,$H156&gt;0,OR(AUTOEVENTO&lt;&gt;"manual",$M156&lt;&gt;$A$15)),
        IF(Import.TipoArredondamento&lt;&gt;"TransfereGOV",
              ROUND(OFFSET($P156,0,AR$13),15-13*ORÇAMENTO!$AF$7)/$H156*OFFSET(ORÇAMENTO!$X$15,ROW(AR156)-ROW(AR$15),0),
              ROUND(ROUND(OFFSET($P156,0,AR$13),15-13*ORÇAMENTO!$AF$7)*OFFSET(ORÇAMENTO!$W$15,ROW(AR156)-ROW(AR$15),0),15-13*ORÇAMENTO!$AF$11)),
         0)</f>
        <v>0</v>
      </c>
      <c r="AS156" s="452">
        <f ca="1">IF(AND($D156="Serviço",AS$12&lt;&gt;0,$H156&gt;0,OR(AUTOEVENTO&lt;&gt;"manual",$M156&lt;&gt;$A$15)),
        IF(Import.TipoArredondamento&lt;&gt;"TransfereGOV",
              ROUND(OFFSET($P156,0,AS$13),15-13*ORÇAMENTO!$AF$7)/$H156*OFFSET(ORÇAMENTO!$X$15,ROW(AS156)-ROW(AS$15),0),
              ROUND(ROUND(OFFSET($P156,0,AS$13),15-13*ORÇAMENTO!$AF$7)*OFFSET(ORÇAMENTO!$W$15,ROW(AS156)-ROW(AS$15),0),15-13*ORÇAMENTO!$AF$11)),
         0)</f>
        <v>0</v>
      </c>
      <c r="AT156" s="452">
        <f ca="1">IF(AND($D156="Serviço",AT$12&lt;&gt;0,$H156&gt;0,OR(AUTOEVENTO&lt;&gt;"manual",$M156&lt;&gt;$A$15)),
        IF(Import.TipoArredondamento&lt;&gt;"TransfereGOV",
              ROUND(OFFSET($P156,0,AT$13),15-13*ORÇAMENTO!$AF$7)/$H156*OFFSET(ORÇAMENTO!$X$15,ROW(AT156)-ROW(AT$15),0),
              ROUND(ROUND(OFFSET($P156,0,AT$13),15-13*ORÇAMENTO!$AF$7)*OFFSET(ORÇAMENTO!$W$15,ROW(AT156)-ROW(AT$15),0),15-13*ORÇAMENTO!$AF$11)),
         0)</f>
        <v>0</v>
      </c>
      <c r="AU156" s="452">
        <f ca="1">IF(AND($D156="Serviço",AU$12&lt;&gt;0,$H156&gt;0,OR(AUTOEVENTO&lt;&gt;"manual",$M156&lt;&gt;$A$15)),
        IF(Import.TipoArredondamento&lt;&gt;"TransfereGOV",
              ROUND(OFFSET($P156,0,AU$13),15-13*ORÇAMENTO!$AF$7)/$H156*OFFSET(ORÇAMENTO!$X$15,ROW(AU156)-ROW(AU$15),0),
              ROUND(ROUND(OFFSET($P156,0,AU$13),15-13*ORÇAMENTO!$AF$7)*OFFSET(ORÇAMENTO!$W$15,ROW(AU156)-ROW(AU$15),0),15-13*ORÇAMENTO!$AF$11)),
         0)</f>
        <v>0</v>
      </c>
      <c r="AV156" s="452">
        <f ca="1">IF(AND($D156="Serviço",AV$12&lt;&gt;0,$H156&gt;0,OR(AUTOEVENTO&lt;&gt;"manual",$M156&lt;&gt;$A$15)),
        IF(Import.TipoArredondamento&lt;&gt;"TransfereGOV",
              ROUND(OFFSET($P156,0,AV$13),15-13*ORÇAMENTO!$AF$7)/$H156*OFFSET(ORÇAMENTO!$X$15,ROW(AV156)-ROW(AV$15),0),
              ROUND(ROUND(OFFSET($P156,0,AV$13),15-13*ORÇAMENTO!$AF$7)*OFFSET(ORÇAMENTO!$W$15,ROW(AV156)-ROW(AV$15),0),15-13*ORÇAMENTO!$AF$11)),
         0)</f>
        <v>0</v>
      </c>
      <c r="AW156" s="452">
        <f ca="1">IF(AND($D156="Serviço",AW$12&lt;&gt;0,$H156&gt;0,OR(AUTOEVENTO&lt;&gt;"manual",$M156&lt;&gt;$A$15)),
        IF(Import.TipoArredondamento&lt;&gt;"TransfereGOV",
              ROUND(OFFSET($P156,0,AW$13),15-13*ORÇAMENTO!$AF$7)/$H156*OFFSET(ORÇAMENTO!$X$15,ROW(AW156)-ROW(AW$15),0),
              ROUND(ROUND(OFFSET($P156,0,AW$13),15-13*ORÇAMENTO!$AF$7)*OFFSET(ORÇAMENTO!$W$15,ROW(AW156)-ROW(AW$15),0),15-13*ORÇAMENTO!$AF$11)),
         0)</f>
        <v>0</v>
      </c>
      <c r="AX156" s="452">
        <f ca="1">IF(AND($D156="Serviço",AX$12&lt;&gt;0,$H156&gt;0,OR(AUTOEVENTO&lt;&gt;"manual",$M156&lt;&gt;$A$15)),
        IF(Import.TipoArredondamento&lt;&gt;"TransfereGOV",
              ROUND(OFFSET($P156,0,AX$13),15-13*ORÇAMENTO!$AF$7)/$H156*OFFSET(ORÇAMENTO!$X$15,ROW(AX156)-ROW(AX$15),0),
              ROUND(ROUND(OFFSET($P156,0,AX$13),15-13*ORÇAMENTO!$AF$7)*OFFSET(ORÇAMENTO!$W$15,ROW(AX156)-ROW(AX$15),0),15-13*ORÇAMENTO!$AF$11)),
         0)</f>
        <v>0</v>
      </c>
      <c r="AY156" s="452">
        <f ca="1">IF(AND($D156="Serviço",AY$12&lt;&gt;0,$H156&gt;0,OR(AUTOEVENTO&lt;&gt;"manual",$M156&lt;&gt;$A$15)),
        IF(Import.TipoArredondamento&lt;&gt;"TransfereGOV",
              ROUND(OFFSET($P156,0,AY$13),15-13*ORÇAMENTO!$AF$7)/$H156*OFFSET(ORÇAMENTO!$X$15,ROW(AY156)-ROW(AY$15),0),
              ROUND(ROUND(OFFSET($P156,0,AY$13),15-13*ORÇAMENTO!$AF$7)*OFFSET(ORÇAMENTO!$W$15,ROW(AY156)-ROW(AY$15),0),15-13*ORÇAMENTO!$AF$11)),
         0)</f>
        <v>0</v>
      </c>
      <c r="AZ156" s="452">
        <f ca="1">IF(AND($D156="Serviço",AZ$12&lt;&gt;0,$H156&gt;0,OR(AUTOEVENTO&lt;&gt;"manual",$M156&lt;&gt;$A$15)),
        IF(Import.TipoArredondamento&lt;&gt;"TransfereGOV",
              ROUND(OFFSET($P156,0,AZ$13),15-13*ORÇAMENTO!$AF$7)/$H156*OFFSET(ORÇAMENTO!$X$15,ROW(AZ156)-ROW(AZ$15),0),
              ROUND(ROUND(OFFSET($P156,0,AZ$13),15-13*ORÇAMENTO!$AF$7)*OFFSET(ORÇAMENTO!$W$15,ROW(AZ156)-ROW(AZ$15),0),15-13*ORÇAMENTO!$AF$11)),
         0)</f>
        <v>0</v>
      </c>
      <c r="BA156" s="452">
        <f ca="1">IF(AND($D156="Serviço",BA$12&lt;&gt;0,$H156&gt;0,OR(AUTOEVENTO&lt;&gt;"manual",$M156&lt;&gt;$A$15)),
        IF(Import.TipoArredondamento&lt;&gt;"TransfereGOV",
              ROUND(OFFSET($P156,0,BA$13),15-13*ORÇAMENTO!$AF$7)/$H156*OFFSET(ORÇAMENTO!$X$15,ROW(BA156)-ROW(BA$15),0),
              ROUND(ROUND(OFFSET($P156,0,BA$13),15-13*ORÇAMENTO!$AF$7)*OFFSET(ORÇAMENTO!$W$15,ROW(BA156)-ROW(BA$15),0),15-13*ORÇAMENTO!$AF$11)),
         0)</f>
        <v>0</v>
      </c>
      <c r="BC156" s="171">
        <f ca="1">IF(OR($D156&lt;&gt;"Serviço",AND(AUTOEVENTO="Manual",$M156=$A$15)),0,
         IF(OFFSET(CRONOPLE!$F$15,$M156-$A$15,BC$13)=0,10^12,OFFSET(CRONOPLE!$F$15,$M156-$A$15,BC$13)))</f>
        <v>8</v>
      </c>
      <c r="BD156" s="171">
        <f ca="1">IF(OR($D156&lt;&gt;"Serviço",AND(AUTOEVENTO="Manual",$M156=$A$15)),0,
         IF(OFFSET(CRONOPLE!$F$15,$M156-$A$15,BD$13)=0,10^12,OFFSET(CRONOPLE!$F$15,$M156-$A$15,BD$13)))</f>
        <v>8</v>
      </c>
      <c r="BE156" s="171">
        <f ca="1">IF(OR($D156&lt;&gt;"Serviço",AND(AUTOEVENTO="Manual",$M156=$A$15)),0,
         IF(OFFSET(CRONOPLE!$F$15,$M156-$A$15,BE$13)=0,10^12,OFFSET(CRONOPLE!$F$15,$M156-$A$15,BE$13)))</f>
        <v>9</v>
      </c>
      <c r="BF156" s="171">
        <f ca="1">IF(OR($D156&lt;&gt;"Serviço",AND(AUTOEVENTO="Manual",$M156=$A$15)),0,
         IF(OFFSET(CRONOPLE!$F$15,$M156-$A$15,BF$13)=0,10^12,OFFSET(CRONOPLE!$F$15,$M156-$A$15,BF$13)))</f>
        <v>9</v>
      </c>
      <c r="BG156" s="171">
        <f ca="1">IF(OR($D156&lt;&gt;"Serviço",AND(AUTOEVENTO="Manual",$M156=$A$15)),0,
         IF(OFFSET(CRONOPLE!$F$15,$M156-$A$15,BG$13)=0,10^12,OFFSET(CRONOPLE!$F$15,$M156-$A$15,BG$13)))</f>
        <v>9</v>
      </c>
      <c r="BH156" s="171">
        <f ca="1">IF(OR($D156&lt;&gt;"Serviço",AND(AUTOEVENTO="Manual",$M156=$A$15)),0,
         IF(OFFSET(CRONOPLE!$F$15,$M156-$A$15,BH$13)=0,10^12,OFFSET(CRONOPLE!$F$15,$M156-$A$15,BH$13)))</f>
        <v>1000000000000</v>
      </c>
      <c r="BI156" s="171">
        <f ca="1">IF(OR($D156&lt;&gt;"Serviço",AND(AUTOEVENTO="Manual",$M156=$A$15)),0,
         IF(OFFSET(CRONOPLE!$F$15,$M156-$A$15,BI$13)=0,10^12,OFFSET(CRONOPLE!$F$15,$M156-$A$15,BI$13)))</f>
        <v>7</v>
      </c>
      <c r="BJ156" s="171">
        <f ca="1">IF(OR($D156&lt;&gt;"Serviço",AND(AUTOEVENTO="Manual",$M156=$A$15)),0,
         IF(OFFSET(CRONOPLE!$F$15,$M156-$A$15,BJ$13)=0,10^12,OFFSET(CRONOPLE!$F$15,$M156-$A$15,BJ$13)))</f>
        <v>1000000000000</v>
      </c>
      <c r="BK156" s="171">
        <f ca="1">IF(OR($D156&lt;&gt;"Serviço",AND(AUTOEVENTO="Manual",$M156=$A$15)),0,
         IF(OFFSET(CRONOPLE!$F$15,$M156-$A$15,BK$13)=0,10^12,OFFSET(CRONOPLE!$F$15,$M156-$A$15,BK$13)))</f>
        <v>1000000000000</v>
      </c>
      <c r="BL156" s="171">
        <f ca="1">IF(OR($D156&lt;&gt;"Serviço",AND(AUTOEVENTO="Manual",$M156=$A$15)),0,
         IF(OFFSET(CRONOPLE!$F$15,$M156-$A$15,BL$13)=0,10^12,OFFSET(CRONOPLE!$F$15,$M156-$A$15,BL$13)))</f>
        <v>1000000000000</v>
      </c>
      <c r="BM156" s="171">
        <f ca="1">IF(OR($D156&lt;&gt;"Serviço",AND(AUTOEVENTO="Manual",$M156=$A$15)),0,
         IF(OFFSET(CRONOPLE!$F$15,$M156-$A$15,BM$13)=0,10^12,OFFSET(CRONOPLE!$F$15,$M156-$A$15,BM$13)))</f>
        <v>1000000000000</v>
      </c>
      <c r="BN156" s="171">
        <f ca="1">IF(OR($D156&lt;&gt;"Serviço",AND(AUTOEVENTO="Manual",$M156=$A$15)),0,
         IF(OFFSET(CRONOPLE!$F$15,$M156-$A$15,BN$13)=0,10^12,OFFSET(CRONOPLE!$F$15,$M156-$A$15,BN$13)))</f>
        <v>1000000000000</v>
      </c>
      <c r="BO156" s="171">
        <f ca="1">IF(OR($D156&lt;&gt;"Serviço",AND(AUTOEVENTO="Manual",$M156=$A$15)),0,
         IF(OFFSET(CRONOPLE!$F$15,$M156-$A$15,BO$13)=0,10^12,OFFSET(CRONOPLE!$F$15,$M156-$A$15,BO$13)))</f>
        <v>1000000000000</v>
      </c>
      <c r="BP156" s="171">
        <f ca="1">IF(OR($D156&lt;&gt;"Serviço",AND(AUTOEVENTO="Manual",$M156=$A$15)),0,
         IF(OFFSET(CRONOPLE!$F$15,$M156-$A$15,BP$13)=0,10^12,OFFSET(CRONOPLE!$F$15,$M156-$A$15,BP$13)))</f>
        <v>1000000000000</v>
      </c>
      <c r="BQ156" s="171">
        <f ca="1">IF(OR($D156&lt;&gt;"Serviço",AND(AUTOEVENTO="Manual",$M156=$A$15)),0,
         IF(OFFSET(CRONOPLE!$F$15,$M156-$A$15,BQ$13)=0,10^12,OFFSET(CRONOPLE!$F$15,$M156-$A$15,BQ$13)))</f>
        <v>1000000000000</v>
      </c>
      <c r="BR156" s="171">
        <f ca="1">IF(OR($D156&lt;&gt;"Serviço",AND(AUTOEVENTO="Manual",$M156=$A$15)),0,
         IF(OFFSET(CRONOPLE!$F$15,$M156-$A$15,BR$13)=0,10^12,OFFSET(CRONOPLE!$F$15,$M156-$A$15,BR$13)))</f>
        <v>1000000000000</v>
      </c>
      <c r="BS156" s="171">
        <f ca="1">IF(OR($D156&lt;&gt;"Serviço",AND(AUTOEVENTO="Manual",$M156=$A$15)),0,
         IF(OFFSET(CRONOPLE!$F$15,$M156-$A$15,BS$13)=0,10^12,OFFSET(CRONOPLE!$F$15,$M156-$A$15,BS$13)))</f>
        <v>1000000000000</v>
      </c>
      <c r="BT156" s="171">
        <f ca="1">IF(OR($D156&lt;&gt;"Serviço",AND(AUTOEVENTO="Manual",$M156=$A$15)),0,
         IF(OFFSET(CRONOPLE!$F$15,$M156-$A$15,BT$13)=0,10^12,OFFSET(CRONOPLE!$F$15,$M156-$A$15,BT$13)))</f>
        <v>1000000000000</v>
      </c>
      <c r="BV156" s="172">
        <f t="array" aca="1" ref="BV156" ca="1">IF(OR($D156&lt;&gt;"Serviço",AND(AUTOEVENTO="Manual",$M156=$A$15),$M156&gt;(ROW(PLE.lastrow)-ROW(PLE.firstrow))),0,
           IF(OFFSET(PLE!$G$15,$M156-$A$15,BV$13)="",10^12,OFFSET(PLE!$G$15,$M156-$A$15,BV$13)))</f>
        <v>1000000000000</v>
      </c>
      <c r="BW156" s="172">
        <f t="array" aca="1" ref="BW156" ca="1">IF(OR($D156&lt;&gt;"Serviço",AND(AUTOEVENTO="Manual",$M156=$A$15),$M156&gt;(ROW(PLE.lastrow)-ROW(PLE.firstrow))),0,
           IF(OFFSET(PLE!$G$15,$M156-$A$15,BW$13)="",10^12,OFFSET(PLE!$G$15,$M156-$A$15,BW$13)))</f>
        <v>1000000000000</v>
      </c>
      <c r="BX156" s="172">
        <f t="array" aca="1" ref="BX156" ca="1">IF(OR($D156&lt;&gt;"Serviço",AND(AUTOEVENTO="Manual",$M156=$A$15),$M156&gt;(ROW(PLE.lastrow)-ROW(PLE.firstrow))),0,
           IF(OFFSET(PLE!$G$15,$M156-$A$15,BX$13)="",10^12,OFFSET(PLE!$G$15,$M156-$A$15,BX$13)))</f>
        <v>1000000000000</v>
      </c>
      <c r="BY156" s="172">
        <f t="array" aca="1" ref="BY156" ca="1">IF(OR($D156&lt;&gt;"Serviço",AND(AUTOEVENTO="Manual",$M156=$A$15),$M156&gt;(ROW(PLE.lastrow)-ROW(PLE.firstrow))),0,
           IF(OFFSET(PLE!$G$15,$M156-$A$15,BY$13)="",10^12,OFFSET(PLE!$G$15,$M156-$A$15,BY$13)))</f>
        <v>1000000000000</v>
      </c>
      <c r="BZ156" s="172">
        <f t="array" aca="1" ref="BZ156" ca="1">IF(OR($D156&lt;&gt;"Serviço",AND(AUTOEVENTO="Manual",$M156=$A$15),$M156&gt;(ROW(PLE.lastrow)-ROW(PLE.firstrow))),0,
           IF(OFFSET(PLE!$G$15,$M156-$A$15,BZ$13)="",10^12,OFFSET(PLE!$G$15,$M156-$A$15,BZ$13)))</f>
        <v>1000000000000</v>
      </c>
      <c r="CA156" s="172">
        <f t="array" aca="1" ref="CA156" ca="1">IF(OR($D156&lt;&gt;"Serviço",AND(AUTOEVENTO="Manual",$M156=$A$15),$M156&gt;(ROW(PLE.lastrow)-ROW(PLE.firstrow))),0,
           IF(OFFSET(PLE!$G$15,$M156-$A$15,CA$13)="",10^12,OFFSET(PLE!$G$15,$M156-$A$15,CA$13)))</f>
        <v>1000000000000</v>
      </c>
      <c r="CB156" s="172">
        <f t="array" aca="1" ref="CB156" ca="1">IF(OR($D156&lt;&gt;"Serviço",AND(AUTOEVENTO="Manual",$M156=$A$15),$M156&gt;(ROW(PLE.lastrow)-ROW(PLE.firstrow))),0,
           IF(OFFSET(PLE!$G$15,$M156-$A$15,CB$13)="",10^12,OFFSET(PLE!$G$15,$M156-$A$15,CB$13)))</f>
        <v>1000000000000</v>
      </c>
      <c r="CC156" s="172">
        <f t="array" aca="1" ref="CC156" ca="1">IF(OR($D156&lt;&gt;"Serviço",AND(AUTOEVENTO="Manual",$M156=$A$15),$M156&gt;(ROW(PLE.lastrow)-ROW(PLE.firstrow))),0,
           IF(OFFSET(PLE!$G$15,$M156-$A$15,CC$13)="",10^12,OFFSET(PLE!$G$15,$M156-$A$15,CC$13)))</f>
        <v>1000000000000</v>
      </c>
      <c r="CD156" s="172">
        <f t="array" aca="1" ref="CD156" ca="1">IF(OR($D156&lt;&gt;"Serviço",AND(AUTOEVENTO="Manual",$M156=$A$15),$M156&gt;(ROW(PLE.lastrow)-ROW(PLE.firstrow))),0,
           IF(OFFSET(PLE!$G$15,$M156-$A$15,CD$13)="",10^12,OFFSET(PLE!$G$15,$M156-$A$15,CD$13)))</f>
        <v>1000000000000</v>
      </c>
      <c r="CE156" s="172">
        <f t="array" aca="1" ref="CE156" ca="1">IF(OR($D156&lt;&gt;"Serviço",AND(AUTOEVENTO="Manual",$M156=$A$15),$M156&gt;(ROW(PLE.lastrow)-ROW(PLE.firstrow))),0,
           IF(OFFSET(PLE!$G$15,$M156-$A$15,CE$13)="",10^12,OFFSET(PLE!$G$15,$M156-$A$15,CE$13)))</f>
        <v>1000000000000</v>
      </c>
      <c r="CF156" s="172">
        <f t="array" aca="1" ref="CF156" ca="1">IF(OR($D156&lt;&gt;"Serviço",AND(AUTOEVENTO="Manual",$M156=$A$15),$M156&gt;(ROW(PLE.lastrow)-ROW(PLE.firstrow))),0,
           IF(OFFSET(PLE!$G$15,$M156-$A$15,CF$13)="",10^12,OFFSET(PLE!$G$15,$M156-$A$15,CF$13)))</f>
        <v>1000000000000</v>
      </c>
      <c r="CG156" s="172">
        <f t="array" aca="1" ref="CG156" ca="1">IF(OR($D156&lt;&gt;"Serviço",AND(AUTOEVENTO="Manual",$M156=$A$15),$M156&gt;(ROW(PLE.lastrow)-ROW(PLE.firstrow))),0,
           IF(OFFSET(PLE!$G$15,$M156-$A$15,CG$13)="",10^12,OFFSET(PLE!$G$15,$M156-$A$15,CG$13)))</f>
        <v>1000000000000</v>
      </c>
      <c r="CH156" s="172">
        <f t="array" aca="1" ref="CH156" ca="1">IF(OR($D156&lt;&gt;"Serviço",AND(AUTOEVENTO="Manual",$M156=$A$15),$M156&gt;(ROW(PLE.lastrow)-ROW(PLE.firstrow))),0,
           IF(OFFSET(PLE!$G$15,$M156-$A$15,CH$13)="",10^12,OFFSET(PLE!$G$15,$M156-$A$15,CH$13)))</f>
        <v>1000000000000</v>
      </c>
      <c r="CI156" s="172">
        <f t="array" aca="1" ref="CI156" ca="1">IF(OR($D156&lt;&gt;"Serviço",AND(AUTOEVENTO="Manual",$M156=$A$15),$M156&gt;(ROW(PLE.lastrow)-ROW(PLE.firstrow))),0,
           IF(OFFSET(PLE!$G$15,$M156-$A$15,CI$13)="",10^12,OFFSET(PLE!$G$15,$M156-$A$15,CI$13)))</f>
        <v>1000000000000</v>
      </c>
      <c r="CJ156" s="172">
        <f t="array" aca="1" ref="CJ156" ca="1">IF(OR($D156&lt;&gt;"Serviço",AND(AUTOEVENTO="Manual",$M156=$A$15),$M156&gt;(ROW(PLE.lastrow)-ROW(PLE.firstrow))),0,
           IF(OFFSET(PLE!$G$15,$M156-$A$15,CJ$13)="",10^12,OFFSET(PLE!$G$15,$M156-$A$15,CJ$13)))</f>
        <v>1000000000000</v>
      </c>
      <c r="CK156" s="172">
        <f t="array" aca="1" ref="CK156" ca="1">IF(OR($D156&lt;&gt;"Serviço",AND(AUTOEVENTO="Manual",$M156=$A$15),$M156&gt;(ROW(PLE.lastrow)-ROW(PLE.firstrow))),0,
           IF(OFFSET(PLE!$G$15,$M156-$A$15,CK$13)="",10^12,OFFSET(PLE!$G$15,$M156-$A$15,CK$13)))</f>
        <v>1000000000000</v>
      </c>
      <c r="CL156" s="172">
        <f t="array" aca="1" ref="CL156" ca="1">IF(OR($D156&lt;&gt;"Serviço",AND(AUTOEVENTO="Manual",$M156=$A$15),$M156&gt;(ROW(PLE.lastrow)-ROW(PLE.firstrow))),0,
           IF(OFFSET(PLE!$G$15,$M156-$A$15,CL$13)="",10^12,OFFSET(PLE!$G$15,$M156-$A$15,CL$13)))</f>
        <v>1000000000000</v>
      </c>
      <c r="CM156" s="172">
        <f t="array" aca="1" ref="CM156" ca="1">IF(OR($D156&lt;&gt;"Serviço",AND(AUTOEVENTO="Manual",$M156=$A$15),$M156&gt;(ROW(PLE.lastrow)-ROW(PLE.firstrow))),0,
           IF(OFFSET(PLE!$G$15,$M156-$A$15,CM$13)="",10^12,OFFSET(PLE!$G$15,$M156-$A$15,CM$13)))</f>
        <v>1000000000000</v>
      </c>
    </row>
    <row r="157" spans="1:91" s="702" customFormat="1" ht="63.75" x14ac:dyDescent="0.2">
      <c r="A157" s="700">
        <f ca="1">IFERROR(IF(AUTOEVENTO="Manual",IF(K157&lt;&gt;"",MIN(VALUE(LEFT(K157,FIND(".",K157)-1)),COUNTA(EVENTOS.Lista)),0),IF(OR($B157&gt;AUTOEVENTO,$B157="S",$B157=0),SUBSTITUTE(OFFSET($A157,-1,0),IF($D157="Serviço",".",""),""),$L157&amp;".")),0)</f>
        <v>29</v>
      </c>
      <c r="B157" s="700" t="str">
        <f ca="1">OFFSET(ORÇAMENTO!C$15,$L157,0)</f>
        <v>S</v>
      </c>
      <c r="C157" s="700" t="str">
        <f ca="1">OFFSET(ORÇAMENTO!L$15,$L157,0)</f>
        <v>F</v>
      </c>
      <c r="D157" s="116" t="str">
        <f ca="1">OFFSET(ORÇAMENTO!N$15,$L157,0)</f>
        <v>Serviço</v>
      </c>
      <c r="E157" s="117" t="str">
        <f ca="1">OFFSET(ORÇAMENTO!O$15,$L157,0)</f>
        <v>1.25.5.</v>
      </c>
      <c r="F157" s="163" t="str">
        <f ca="1">OFFSET(ORÇAMENTO!R$15,$L157,0)</f>
        <v>CABO DE COBRE FLEXÍVEL ISOLADO, 10 MM², 0,6/1,0 KV, PARA REDE AÉREA DE DISTRIBUIÇÃO DE ENERGIA ELÉTRICA DE BAIXA TENSÃO - FORNECIMENTO E INSTALAÇÃO. AF_07/2020</v>
      </c>
      <c r="G157" s="164" t="str">
        <f ca="1">IF($D157&lt;&gt;"Serviço","",OFFSET(ORÇAMENTO!S$15,$L157,0))</f>
        <v>M</v>
      </c>
      <c r="H157" s="122">
        <f t="array" aca="1" ref="H157" ca="1">IF($D157&lt;&gt;"Serviço",0,IF(ACOMPANHAMENTO="BM",ROUND(OFFSET(ORÇAMENTO!AJ$15,$L157,0),15-13*ORÇAMENTO!$AF$7),IF(IFERROR(CÁLCULO.FrentesPreenchidas,0)=0,0,SUM(ROUND(OFFSET($P157,0,1,1,CÁLCULO.FrentesPreenchidas),15-13*ORÇAMENTO!$AF$7)))))</f>
        <v>166</v>
      </c>
      <c r="I157" s="467" t="s">
        <v>1305</v>
      </c>
      <c r="J157" s="653" t="str">
        <f t="array" aca="1" ref="J157" ca="1">IF(OR(B157&lt;&gt;"S",CÁLCULO.FrentesPreenchidas=0),"",IF(AND(ACOMPANHAMENTO="PLE",AUTOEVENTO="Manual",OR(H157&gt;0,ORÇAMENTO!AC157="QUANT."),OR(K157="",M157=0,N157="")),"►E",IF(AND(ACOMPANHAMENTO="PLE",ORÇAMENTO!AC157="QUANT."),"►Q",IF(AND(ACOMPANHAMENTO="PLE",H157&lt;&gt;SUMPRODUCT(($Q$1:$AI$1=1)*ROUND(Q157:AI157,15))),"►S",IF(AND(COUNTIF($P$11:$AI$11,"▼")=0,H157&gt;0,I157=""),"◄M","")))))</f>
        <v/>
      </c>
      <c r="K157" s="654" t="s">
        <v>1434</v>
      </c>
      <c r="L157" s="165">
        <f ca="1">OFFSET(L157,-1,0)+1</f>
        <v>142</v>
      </c>
      <c r="M157" s="166">
        <f ca="1">IF($D157&lt;&gt;"Serviço","",
          IF(AUTOEVENTO="manual",$A157,
                IF(ISERROR(MATCH($A157,$A$15:OFFSET($A157,-1,0),0)),MAX($M$15:OFFSET(M157,-1,0))+1,
                      INDEX($M$15:OFFSET(M157,-1,0),MATCH($A157,$A$15:OFFSET($A157,-1,0),0)))))</f>
        <v>29</v>
      </c>
      <c r="N157" s="167" t="str">
        <f ca="1">IF($D157&lt;&gt;"Serviço","",
         IF(AUTOEVENTO="Manual",
                IF($A157=0,"&lt;-- defina o número do agrupador",
                       OFFSET(EVENTOS!$D$15,$A157-$A$15,0)),
                OFFSET($F$15,$A157,0)))</f>
        <v>ENTRADA DE ENERGIA</v>
      </c>
      <c r="O157" s="168"/>
      <c r="Q157" s="169">
        <f>8.3*5</f>
        <v>41.5</v>
      </c>
      <c r="R157" s="169">
        <f t="shared" ref="R157:T157" si="88">8.3*5</f>
        <v>41.5</v>
      </c>
      <c r="S157" s="169">
        <f t="shared" si="88"/>
        <v>41.5</v>
      </c>
      <c r="T157" s="169">
        <f t="shared" si="88"/>
        <v>41.5</v>
      </c>
      <c r="U157" s="169"/>
      <c r="V157" s="169"/>
      <c r="W157" s="169"/>
      <c r="X157" s="169"/>
      <c r="Y157" s="169"/>
      <c r="Z157" s="170"/>
      <c r="AA157" s="169"/>
      <c r="AB157" s="169"/>
      <c r="AC157" s="169"/>
      <c r="AD157" s="169"/>
      <c r="AE157" s="169"/>
      <c r="AF157" s="169"/>
      <c r="AG157" s="169"/>
      <c r="AH157" s="170"/>
      <c r="AJ157" s="452">
        <f ca="1">IF(AND($D157="Serviço",AJ$12&lt;&gt;0,$H157&gt;0,OR(AUTOEVENTO&lt;&gt;"manual",$M157&lt;&gt;$A$15)),
        IF(Import.TipoArredondamento&lt;&gt;"TransfereGOV",
              ROUND(OFFSET($P157,0,AJ$13),15-13*ORÇAMENTO!$AF$7)/$H157*OFFSET(ORÇAMENTO!$X$15,ROW(AJ157)-ROW(AJ$15),0),
              ROUND(ROUND(OFFSET($P157,0,AJ$13),15-13*ORÇAMENTO!$AF$7)*OFFSET(ORÇAMENTO!$W$15,ROW(AJ157)-ROW(AJ$15),0),15-13*ORÇAMENTO!$AF$11)),
         0)</f>
        <v>510.04</v>
      </c>
      <c r="AK157" s="452">
        <f ca="1">IF(AND($D157="Serviço",AK$12&lt;&gt;0,$H157&gt;0,OR(AUTOEVENTO&lt;&gt;"manual",$M157&lt;&gt;$A$15)),
        IF(Import.TipoArredondamento&lt;&gt;"TransfereGOV",
              ROUND(OFFSET($P157,0,AK$13),15-13*ORÇAMENTO!$AF$7)/$H157*OFFSET(ORÇAMENTO!$X$15,ROW(AK157)-ROW(AK$15),0),
              ROUND(ROUND(OFFSET($P157,0,AK$13),15-13*ORÇAMENTO!$AF$7)*OFFSET(ORÇAMENTO!$W$15,ROW(AK157)-ROW(AK$15),0),15-13*ORÇAMENTO!$AF$11)),
         0)</f>
        <v>510.04</v>
      </c>
      <c r="AL157" s="452">
        <f ca="1">IF(AND($D157="Serviço",AL$12&lt;&gt;0,$H157&gt;0,OR(AUTOEVENTO&lt;&gt;"manual",$M157&lt;&gt;$A$15)),
        IF(Import.TipoArredondamento&lt;&gt;"TransfereGOV",
              ROUND(OFFSET($P157,0,AL$13),15-13*ORÇAMENTO!$AF$7)/$H157*OFFSET(ORÇAMENTO!$X$15,ROW(AL157)-ROW(AL$15),0),
              ROUND(ROUND(OFFSET($P157,0,AL$13),15-13*ORÇAMENTO!$AF$7)*OFFSET(ORÇAMENTO!$W$15,ROW(AL157)-ROW(AL$15),0),15-13*ORÇAMENTO!$AF$11)),
         0)</f>
        <v>510.04</v>
      </c>
      <c r="AM157" s="452">
        <f ca="1">IF(AND($D157="Serviço",AM$12&lt;&gt;0,$H157&gt;0,OR(AUTOEVENTO&lt;&gt;"manual",$M157&lt;&gt;$A$15)),
        IF(Import.TipoArredondamento&lt;&gt;"TransfereGOV",
              ROUND(OFFSET($P157,0,AM$13),15-13*ORÇAMENTO!$AF$7)/$H157*OFFSET(ORÇAMENTO!$X$15,ROW(AM157)-ROW(AM$15),0),
              ROUND(ROUND(OFFSET($P157,0,AM$13),15-13*ORÇAMENTO!$AF$7)*OFFSET(ORÇAMENTO!$W$15,ROW(AM157)-ROW(AM$15),0),15-13*ORÇAMENTO!$AF$11)),
         0)</f>
        <v>510.04</v>
      </c>
      <c r="AN157" s="452">
        <f ca="1">IF(AND($D157="Serviço",AN$12&lt;&gt;0,$H157&gt;0,OR(AUTOEVENTO&lt;&gt;"manual",$M157&lt;&gt;$A$15)),
        IF(Import.TipoArredondamento&lt;&gt;"TransfereGOV",
              ROUND(OFFSET($P157,0,AN$13),15-13*ORÇAMENTO!$AF$7)/$H157*OFFSET(ORÇAMENTO!$X$15,ROW(AN157)-ROW(AN$15),0),
              ROUND(ROUND(OFFSET($P157,0,AN$13),15-13*ORÇAMENTO!$AF$7)*OFFSET(ORÇAMENTO!$W$15,ROW(AN157)-ROW(AN$15),0),15-13*ORÇAMENTO!$AF$11)),
         0)</f>
        <v>0</v>
      </c>
      <c r="AO157" s="452">
        <f ca="1">IF(AND($D157="Serviço",AO$12&lt;&gt;0,$H157&gt;0,OR(AUTOEVENTO&lt;&gt;"manual",$M157&lt;&gt;$A$15)),
        IF(Import.TipoArredondamento&lt;&gt;"TransfereGOV",
              ROUND(OFFSET($P157,0,AO$13),15-13*ORÇAMENTO!$AF$7)/$H157*OFFSET(ORÇAMENTO!$X$15,ROW(AO157)-ROW(AO$15),0),
              ROUND(ROUND(OFFSET($P157,0,AO$13),15-13*ORÇAMENTO!$AF$7)*OFFSET(ORÇAMENTO!$W$15,ROW(AO157)-ROW(AO$15),0),15-13*ORÇAMENTO!$AF$11)),
         0)</f>
        <v>0</v>
      </c>
      <c r="AP157" s="452">
        <f ca="1">IF(AND($D157="Serviço",AP$12&lt;&gt;0,$H157&gt;0,OR(AUTOEVENTO&lt;&gt;"manual",$M157&lt;&gt;$A$15)),
        IF(Import.TipoArredondamento&lt;&gt;"TransfereGOV",
              ROUND(OFFSET($P157,0,AP$13),15-13*ORÇAMENTO!$AF$7)/$H157*OFFSET(ORÇAMENTO!$X$15,ROW(AP157)-ROW(AP$15),0),
              ROUND(ROUND(OFFSET($P157,0,AP$13),15-13*ORÇAMENTO!$AF$7)*OFFSET(ORÇAMENTO!$W$15,ROW(AP157)-ROW(AP$15),0),15-13*ORÇAMENTO!$AF$11)),
         0)</f>
        <v>0</v>
      </c>
      <c r="AQ157" s="452">
        <f ca="1">IF(AND($D157="Serviço",AQ$12&lt;&gt;0,$H157&gt;0,OR(AUTOEVENTO&lt;&gt;"manual",$M157&lt;&gt;$A$15)),
        IF(Import.TipoArredondamento&lt;&gt;"TransfereGOV",
              ROUND(OFFSET($P157,0,AQ$13),15-13*ORÇAMENTO!$AF$7)/$H157*OFFSET(ORÇAMENTO!$X$15,ROW(AQ157)-ROW(AQ$15),0),
              ROUND(ROUND(OFFSET($P157,0,AQ$13),15-13*ORÇAMENTO!$AF$7)*OFFSET(ORÇAMENTO!$W$15,ROW(AQ157)-ROW(AQ$15),0),15-13*ORÇAMENTO!$AF$11)),
         0)</f>
        <v>0</v>
      </c>
      <c r="AR157" s="452">
        <f ca="1">IF(AND($D157="Serviço",AR$12&lt;&gt;0,$H157&gt;0,OR(AUTOEVENTO&lt;&gt;"manual",$M157&lt;&gt;$A$15)),
        IF(Import.TipoArredondamento&lt;&gt;"TransfereGOV",
              ROUND(OFFSET($P157,0,AR$13),15-13*ORÇAMENTO!$AF$7)/$H157*OFFSET(ORÇAMENTO!$X$15,ROW(AR157)-ROW(AR$15),0),
              ROUND(ROUND(OFFSET($P157,0,AR$13),15-13*ORÇAMENTO!$AF$7)*OFFSET(ORÇAMENTO!$W$15,ROW(AR157)-ROW(AR$15),0),15-13*ORÇAMENTO!$AF$11)),
         0)</f>
        <v>0</v>
      </c>
      <c r="AS157" s="452">
        <f ca="1">IF(AND($D157="Serviço",AS$12&lt;&gt;0,$H157&gt;0,OR(AUTOEVENTO&lt;&gt;"manual",$M157&lt;&gt;$A$15)),
        IF(Import.TipoArredondamento&lt;&gt;"TransfereGOV",
              ROUND(OFFSET($P157,0,AS$13),15-13*ORÇAMENTO!$AF$7)/$H157*OFFSET(ORÇAMENTO!$X$15,ROW(AS157)-ROW(AS$15),0),
              ROUND(ROUND(OFFSET($P157,0,AS$13),15-13*ORÇAMENTO!$AF$7)*OFFSET(ORÇAMENTO!$W$15,ROW(AS157)-ROW(AS$15),0),15-13*ORÇAMENTO!$AF$11)),
         0)</f>
        <v>0</v>
      </c>
      <c r="AT157" s="452">
        <f ca="1">IF(AND($D157="Serviço",AT$12&lt;&gt;0,$H157&gt;0,OR(AUTOEVENTO&lt;&gt;"manual",$M157&lt;&gt;$A$15)),
        IF(Import.TipoArredondamento&lt;&gt;"TransfereGOV",
              ROUND(OFFSET($P157,0,AT$13),15-13*ORÇAMENTO!$AF$7)/$H157*OFFSET(ORÇAMENTO!$X$15,ROW(AT157)-ROW(AT$15),0),
              ROUND(ROUND(OFFSET($P157,0,AT$13),15-13*ORÇAMENTO!$AF$7)*OFFSET(ORÇAMENTO!$W$15,ROW(AT157)-ROW(AT$15),0),15-13*ORÇAMENTO!$AF$11)),
         0)</f>
        <v>0</v>
      </c>
      <c r="AU157" s="452">
        <f ca="1">IF(AND($D157="Serviço",AU$12&lt;&gt;0,$H157&gt;0,OR(AUTOEVENTO&lt;&gt;"manual",$M157&lt;&gt;$A$15)),
        IF(Import.TipoArredondamento&lt;&gt;"TransfereGOV",
              ROUND(OFFSET($P157,0,AU$13),15-13*ORÇAMENTO!$AF$7)/$H157*OFFSET(ORÇAMENTO!$X$15,ROW(AU157)-ROW(AU$15),0),
              ROUND(ROUND(OFFSET($P157,0,AU$13),15-13*ORÇAMENTO!$AF$7)*OFFSET(ORÇAMENTO!$W$15,ROW(AU157)-ROW(AU$15),0),15-13*ORÇAMENTO!$AF$11)),
         0)</f>
        <v>0</v>
      </c>
      <c r="AV157" s="452">
        <f ca="1">IF(AND($D157="Serviço",AV$12&lt;&gt;0,$H157&gt;0,OR(AUTOEVENTO&lt;&gt;"manual",$M157&lt;&gt;$A$15)),
        IF(Import.TipoArredondamento&lt;&gt;"TransfereGOV",
              ROUND(OFFSET($P157,0,AV$13),15-13*ORÇAMENTO!$AF$7)/$H157*OFFSET(ORÇAMENTO!$X$15,ROW(AV157)-ROW(AV$15),0),
              ROUND(ROUND(OFFSET($P157,0,AV$13),15-13*ORÇAMENTO!$AF$7)*OFFSET(ORÇAMENTO!$W$15,ROW(AV157)-ROW(AV$15),0),15-13*ORÇAMENTO!$AF$11)),
         0)</f>
        <v>0</v>
      </c>
      <c r="AW157" s="452">
        <f ca="1">IF(AND($D157="Serviço",AW$12&lt;&gt;0,$H157&gt;0,OR(AUTOEVENTO&lt;&gt;"manual",$M157&lt;&gt;$A$15)),
        IF(Import.TipoArredondamento&lt;&gt;"TransfereGOV",
              ROUND(OFFSET($P157,0,AW$13),15-13*ORÇAMENTO!$AF$7)/$H157*OFFSET(ORÇAMENTO!$X$15,ROW(AW157)-ROW(AW$15),0),
              ROUND(ROUND(OFFSET($P157,0,AW$13),15-13*ORÇAMENTO!$AF$7)*OFFSET(ORÇAMENTO!$W$15,ROW(AW157)-ROW(AW$15),0),15-13*ORÇAMENTO!$AF$11)),
         0)</f>
        <v>0</v>
      </c>
      <c r="AX157" s="452">
        <f ca="1">IF(AND($D157="Serviço",AX$12&lt;&gt;0,$H157&gt;0,OR(AUTOEVENTO&lt;&gt;"manual",$M157&lt;&gt;$A$15)),
        IF(Import.TipoArredondamento&lt;&gt;"TransfereGOV",
              ROUND(OFFSET($P157,0,AX$13),15-13*ORÇAMENTO!$AF$7)/$H157*OFFSET(ORÇAMENTO!$X$15,ROW(AX157)-ROW(AX$15),0),
              ROUND(ROUND(OFFSET($P157,0,AX$13),15-13*ORÇAMENTO!$AF$7)*OFFSET(ORÇAMENTO!$W$15,ROW(AX157)-ROW(AX$15),0),15-13*ORÇAMENTO!$AF$11)),
         0)</f>
        <v>0</v>
      </c>
      <c r="AY157" s="452">
        <f ca="1">IF(AND($D157="Serviço",AY$12&lt;&gt;0,$H157&gt;0,OR(AUTOEVENTO&lt;&gt;"manual",$M157&lt;&gt;$A$15)),
        IF(Import.TipoArredondamento&lt;&gt;"TransfereGOV",
              ROUND(OFFSET($P157,0,AY$13),15-13*ORÇAMENTO!$AF$7)/$H157*OFFSET(ORÇAMENTO!$X$15,ROW(AY157)-ROW(AY$15),0),
              ROUND(ROUND(OFFSET($P157,0,AY$13),15-13*ORÇAMENTO!$AF$7)*OFFSET(ORÇAMENTO!$W$15,ROW(AY157)-ROW(AY$15),0),15-13*ORÇAMENTO!$AF$11)),
         0)</f>
        <v>0</v>
      </c>
      <c r="AZ157" s="452">
        <f ca="1">IF(AND($D157="Serviço",AZ$12&lt;&gt;0,$H157&gt;0,OR(AUTOEVENTO&lt;&gt;"manual",$M157&lt;&gt;$A$15)),
        IF(Import.TipoArredondamento&lt;&gt;"TransfereGOV",
              ROUND(OFFSET($P157,0,AZ$13),15-13*ORÇAMENTO!$AF$7)/$H157*OFFSET(ORÇAMENTO!$X$15,ROW(AZ157)-ROW(AZ$15),0),
              ROUND(ROUND(OFFSET($P157,0,AZ$13),15-13*ORÇAMENTO!$AF$7)*OFFSET(ORÇAMENTO!$W$15,ROW(AZ157)-ROW(AZ$15),0),15-13*ORÇAMENTO!$AF$11)),
         0)</f>
        <v>0</v>
      </c>
      <c r="BA157" s="452">
        <f ca="1">IF(AND($D157="Serviço",BA$12&lt;&gt;0,$H157&gt;0,OR(AUTOEVENTO&lt;&gt;"manual",$M157&lt;&gt;$A$15)),
        IF(Import.TipoArredondamento&lt;&gt;"TransfereGOV",
              ROUND(OFFSET($P157,0,BA$13),15-13*ORÇAMENTO!$AF$7)/$H157*OFFSET(ORÇAMENTO!$X$15,ROW(BA157)-ROW(BA$15),0),
              ROUND(ROUND(OFFSET($P157,0,BA$13),15-13*ORÇAMENTO!$AF$7)*OFFSET(ORÇAMENTO!$W$15,ROW(BA157)-ROW(BA$15),0),15-13*ORÇAMENTO!$AF$11)),
         0)</f>
        <v>0</v>
      </c>
      <c r="BC157" s="171">
        <f ca="1">IF(OR($D157&lt;&gt;"Serviço",AND(AUTOEVENTO="Manual",$M157=$A$15)),0,
         IF(OFFSET(CRONOPLE!$F$15,$M157-$A$15,BC$13)=0,10^12,OFFSET(CRONOPLE!$F$15,$M157-$A$15,BC$13)))</f>
        <v>7</v>
      </c>
      <c r="BD157" s="171">
        <f ca="1">IF(OR($D157&lt;&gt;"Serviço",AND(AUTOEVENTO="Manual",$M157=$A$15)),0,
         IF(OFFSET(CRONOPLE!$F$15,$M157-$A$15,BD$13)=0,10^12,OFFSET(CRONOPLE!$F$15,$M157-$A$15,BD$13)))</f>
        <v>7</v>
      </c>
      <c r="BE157" s="171">
        <f ca="1">IF(OR($D157&lt;&gt;"Serviço",AND(AUTOEVENTO="Manual",$M157=$A$15)),0,
         IF(OFFSET(CRONOPLE!$F$15,$M157-$A$15,BE$13)=0,10^12,OFFSET(CRONOPLE!$F$15,$M157-$A$15,BE$13)))</f>
        <v>8</v>
      </c>
      <c r="BF157" s="171">
        <f ca="1">IF(OR($D157&lt;&gt;"Serviço",AND(AUTOEVENTO="Manual",$M157=$A$15)),0,
         IF(OFFSET(CRONOPLE!$F$15,$M157-$A$15,BF$13)=0,10^12,OFFSET(CRONOPLE!$F$15,$M157-$A$15,BF$13)))</f>
        <v>8</v>
      </c>
      <c r="BG157" s="171">
        <f ca="1">IF(OR($D157&lt;&gt;"Serviço",AND(AUTOEVENTO="Manual",$M157=$A$15)),0,
         IF(OFFSET(CRONOPLE!$F$15,$M157-$A$15,BG$13)=0,10^12,OFFSET(CRONOPLE!$F$15,$M157-$A$15,BG$13)))</f>
        <v>8</v>
      </c>
      <c r="BH157" s="171">
        <f ca="1">IF(OR($D157&lt;&gt;"Serviço",AND(AUTOEVENTO="Manual",$M157=$A$15)),0,
         IF(OFFSET(CRONOPLE!$F$15,$M157-$A$15,BH$13)=0,10^12,OFFSET(CRONOPLE!$F$15,$M157-$A$15,BH$13)))</f>
        <v>6</v>
      </c>
      <c r="BI157" s="171">
        <f ca="1">IF(OR($D157&lt;&gt;"Serviço",AND(AUTOEVENTO="Manual",$M157=$A$15)),0,
         IF(OFFSET(CRONOPLE!$F$15,$M157-$A$15,BI$13)=0,10^12,OFFSET(CRONOPLE!$F$15,$M157-$A$15,BI$13)))</f>
        <v>1000000000000</v>
      </c>
      <c r="BJ157" s="171">
        <f ca="1">IF(OR($D157&lt;&gt;"Serviço",AND(AUTOEVENTO="Manual",$M157=$A$15)),0,
         IF(OFFSET(CRONOPLE!$F$15,$M157-$A$15,BJ$13)=0,10^12,OFFSET(CRONOPLE!$F$15,$M157-$A$15,BJ$13)))</f>
        <v>1000000000000</v>
      </c>
      <c r="BK157" s="171">
        <f ca="1">IF(OR($D157&lt;&gt;"Serviço",AND(AUTOEVENTO="Manual",$M157=$A$15)),0,
         IF(OFFSET(CRONOPLE!$F$15,$M157-$A$15,BK$13)=0,10^12,OFFSET(CRONOPLE!$F$15,$M157-$A$15,BK$13)))</f>
        <v>1000000000000</v>
      </c>
      <c r="BL157" s="171">
        <f ca="1">IF(OR($D157&lt;&gt;"Serviço",AND(AUTOEVENTO="Manual",$M157=$A$15)),0,
         IF(OFFSET(CRONOPLE!$F$15,$M157-$A$15,BL$13)=0,10^12,OFFSET(CRONOPLE!$F$15,$M157-$A$15,BL$13)))</f>
        <v>1000000000000</v>
      </c>
      <c r="BM157" s="171">
        <f ca="1">IF(OR($D157&lt;&gt;"Serviço",AND(AUTOEVENTO="Manual",$M157=$A$15)),0,
         IF(OFFSET(CRONOPLE!$F$15,$M157-$A$15,BM$13)=0,10^12,OFFSET(CRONOPLE!$F$15,$M157-$A$15,BM$13)))</f>
        <v>1000000000000</v>
      </c>
      <c r="BN157" s="171">
        <f ca="1">IF(OR($D157&lt;&gt;"Serviço",AND(AUTOEVENTO="Manual",$M157=$A$15)),0,
         IF(OFFSET(CRONOPLE!$F$15,$M157-$A$15,BN$13)=0,10^12,OFFSET(CRONOPLE!$F$15,$M157-$A$15,BN$13)))</f>
        <v>1000000000000</v>
      </c>
      <c r="BO157" s="171">
        <f ca="1">IF(OR($D157&lt;&gt;"Serviço",AND(AUTOEVENTO="Manual",$M157=$A$15)),0,
         IF(OFFSET(CRONOPLE!$F$15,$M157-$A$15,BO$13)=0,10^12,OFFSET(CRONOPLE!$F$15,$M157-$A$15,BO$13)))</f>
        <v>1000000000000</v>
      </c>
      <c r="BP157" s="171">
        <f ca="1">IF(OR($D157&lt;&gt;"Serviço",AND(AUTOEVENTO="Manual",$M157=$A$15)),0,
         IF(OFFSET(CRONOPLE!$F$15,$M157-$A$15,BP$13)=0,10^12,OFFSET(CRONOPLE!$F$15,$M157-$A$15,BP$13)))</f>
        <v>1000000000000</v>
      </c>
      <c r="BQ157" s="171">
        <f ca="1">IF(OR($D157&lt;&gt;"Serviço",AND(AUTOEVENTO="Manual",$M157=$A$15)),0,
         IF(OFFSET(CRONOPLE!$F$15,$M157-$A$15,BQ$13)=0,10^12,OFFSET(CRONOPLE!$F$15,$M157-$A$15,BQ$13)))</f>
        <v>1000000000000</v>
      </c>
      <c r="BR157" s="171">
        <f ca="1">IF(OR($D157&lt;&gt;"Serviço",AND(AUTOEVENTO="Manual",$M157=$A$15)),0,
         IF(OFFSET(CRONOPLE!$F$15,$M157-$A$15,BR$13)=0,10^12,OFFSET(CRONOPLE!$F$15,$M157-$A$15,BR$13)))</f>
        <v>1000000000000</v>
      </c>
      <c r="BS157" s="171">
        <f ca="1">IF(OR($D157&lt;&gt;"Serviço",AND(AUTOEVENTO="Manual",$M157=$A$15)),0,
         IF(OFFSET(CRONOPLE!$F$15,$M157-$A$15,BS$13)=0,10^12,OFFSET(CRONOPLE!$F$15,$M157-$A$15,BS$13)))</f>
        <v>1000000000000</v>
      </c>
      <c r="BT157" s="171">
        <f ca="1">IF(OR($D157&lt;&gt;"Serviço",AND(AUTOEVENTO="Manual",$M157=$A$15)),0,
         IF(OFFSET(CRONOPLE!$F$15,$M157-$A$15,BT$13)=0,10^12,OFFSET(CRONOPLE!$F$15,$M157-$A$15,BT$13)))</f>
        <v>1000000000000</v>
      </c>
      <c r="BV157" s="172">
        <f t="array" aca="1" ref="BV157" ca="1">IF(OR($D157&lt;&gt;"Serviço",AND(AUTOEVENTO="Manual",$M157=$A$15),$M157&gt;(ROW(PLE.lastrow)-ROW(PLE.firstrow))),0,
           IF(OFFSET(PLE!$G$15,$M157-$A$15,BV$13)="",10^12,OFFSET(PLE!$G$15,$M157-$A$15,BV$13)))</f>
        <v>1000000000000</v>
      </c>
      <c r="BW157" s="172">
        <f t="array" aca="1" ref="BW157" ca="1">IF(OR($D157&lt;&gt;"Serviço",AND(AUTOEVENTO="Manual",$M157=$A$15),$M157&gt;(ROW(PLE.lastrow)-ROW(PLE.firstrow))),0,
           IF(OFFSET(PLE!$G$15,$M157-$A$15,BW$13)="",10^12,OFFSET(PLE!$G$15,$M157-$A$15,BW$13)))</f>
        <v>1000000000000</v>
      </c>
      <c r="BX157" s="172">
        <f t="array" aca="1" ref="BX157" ca="1">IF(OR($D157&lt;&gt;"Serviço",AND(AUTOEVENTO="Manual",$M157=$A$15),$M157&gt;(ROW(PLE.lastrow)-ROW(PLE.firstrow))),0,
           IF(OFFSET(PLE!$G$15,$M157-$A$15,BX$13)="",10^12,OFFSET(PLE!$G$15,$M157-$A$15,BX$13)))</f>
        <v>1000000000000</v>
      </c>
      <c r="BY157" s="172">
        <f t="array" aca="1" ref="BY157" ca="1">IF(OR($D157&lt;&gt;"Serviço",AND(AUTOEVENTO="Manual",$M157=$A$15),$M157&gt;(ROW(PLE.lastrow)-ROW(PLE.firstrow))),0,
           IF(OFFSET(PLE!$G$15,$M157-$A$15,BY$13)="",10^12,OFFSET(PLE!$G$15,$M157-$A$15,BY$13)))</f>
        <v>1000000000000</v>
      </c>
      <c r="BZ157" s="172">
        <f t="array" aca="1" ref="BZ157" ca="1">IF(OR($D157&lt;&gt;"Serviço",AND(AUTOEVENTO="Manual",$M157=$A$15),$M157&gt;(ROW(PLE.lastrow)-ROW(PLE.firstrow))),0,
           IF(OFFSET(PLE!$G$15,$M157-$A$15,BZ$13)="",10^12,OFFSET(PLE!$G$15,$M157-$A$15,BZ$13)))</f>
        <v>1000000000000</v>
      </c>
      <c r="CA157" s="172">
        <f t="array" aca="1" ref="CA157" ca="1">IF(OR($D157&lt;&gt;"Serviço",AND(AUTOEVENTO="Manual",$M157=$A$15),$M157&gt;(ROW(PLE.lastrow)-ROW(PLE.firstrow))),0,
           IF(OFFSET(PLE!$G$15,$M157-$A$15,CA$13)="",10^12,OFFSET(PLE!$G$15,$M157-$A$15,CA$13)))</f>
        <v>1000000000000</v>
      </c>
      <c r="CB157" s="172">
        <f t="array" aca="1" ref="CB157" ca="1">IF(OR($D157&lt;&gt;"Serviço",AND(AUTOEVENTO="Manual",$M157=$A$15),$M157&gt;(ROW(PLE.lastrow)-ROW(PLE.firstrow))),0,
           IF(OFFSET(PLE!$G$15,$M157-$A$15,CB$13)="",10^12,OFFSET(PLE!$G$15,$M157-$A$15,CB$13)))</f>
        <v>1000000000000</v>
      </c>
      <c r="CC157" s="172">
        <f t="array" aca="1" ref="CC157" ca="1">IF(OR($D157&lt;&gt;"Serviço",AND(AUTOEVENTO="Manual",$M157=$A$15),$M157&gt;(ROW(PLE.lastrow)-ROW(PLE.firstrow))),0,
           IF(OFFSET(PLE!$G$15,$M157-$A$15,CC$13)="",10^12,OFFSET(PLE!$G$15,$M157-$A$15,CC$13)))</f>
        <v>1000000000000</v>
      </c>
      <c r="CD157" s="172">
        <f t="array" aca="1" ref="CD157" ca="1">IF(OR($D157&lt;&gt;"Serviço",AND(AUTOEVENTO="Manual",$M157=$A$15),$M157&gt;(ROW(PLE.lastrow)-ROW(PLE.firstrow))),0,
           IF(OFFSET(PLE!$G$15,$M157-$A$15,CD$13)="",10^12,OFFSET(PLE!$G$15,$M157-$A$15,CD$13)))</f>
        <v>1000000000000</v>
      </c>
      <c r="CE157" s="172">
        <f t="array" aca="1" ref="CE157" ca="1">IF(OR($D157&lt;&gt;"Serviço",AND(AUTOEVENTO="Manual",$M157=$A$15),$M157&gt;(ROW(PLE.lastrow)-ROW(PLE.firstrow))),0,
           IF(OFFSET(PLE!$G$15,$M157-$A$15,CE$13)="",10^12,OFFSET(PLE!$G$15,$M157-$A$15,CE$13)))</f>
        <v>1000000000000</v>
      </c>
      <c r="CF157" s="172">
        <f t="array" aca="1" ref="CF157" ca="1">IF(OR($D157&lt;&gt;"Serviço",AND(AUTOEVENTO="Manual",$M157=$A$15),$M157&gt;(ROW(PLE.lastrow)-ROW(PLE.firstrow))),0,
           IF(OFFSET(PLE!$G$15,$M157-$A$15,CF$13)="",10^12,OFFSET(PLE!$G$15,$M157-$A$15,CF$13)))</f>
        <v>1000000000000</v>
      </c>
      <c r="CG157" s="172">
        <f t="array" aca="1" ref="CG157" ca="1">IF(OR($D157&lt;&gt;"Serviço",AND(AUTOEVENTO="Manual",$M157=$A$15),$M157&gt;(ROW(PLE.lastrow)-ROW(PLE.firstrow))),0,
           IF(OFFSET(PLE!$G$15,$M157-$A$15,CG$13)="",10^12,OFFSET(PLE!$G$15,$M157-$A$15,CG$13)))</f>
        <v>1000000000000</v>
      </c>
      <c r="CH157" s="172">
        <f t="array" aca="1" ref="CH157" ca="1">IF(OR($D157&lt;&gt;"Serviço",AND(AUTOEVENTO="Manual",$M157=$A$15),$M157&gt;(ROW(PLE.lastrow)-ROW(PLE.firstrow))),0,
           IF(OFFSET(PLE!$G$15,$M157-$A$15,CH$13)="",10^12,OFFSET(PLE!$G$15,$M157-$A$15,CH$13)))</f>
        <v>1000000000000</v>
      </c>
      <c r="CI157" s="172">
        <f t="array" aca="1" ref="CI157" ca="1">IF(OR($D157&lt;&gt;"Serviço",AND(AUTOEVENTO="Manual",$M157=$A$15),$M157&gt;(ROW(PLE.lastrow)-ROW(PLE.firstrow))),0,
           IF(OFFSET(PLE!$G$15,$M157-$A$15,CI$13)="",10^12,OFFSET(PLE!$G$15,$M157-$A$15,CI$13)))</f>
        <v>1000000000000</v>
      </c>
      <c r="CJ157" s="172">
        <f t="array" aca="1" ref="CJ157" ca="1">IF(OR($D157&lt;&gt;"Serviço",AND(AUTOEVENTO="Manual",$M157=$A$15),$M157&gt;(ROW(PLE.lastrow)-ROW(PLE.firstrow))),0,
           IF(OFFSET(PLE!$G$15,$M157-$A$15,CJ$13)="",10^12,OFFSET(PLE!$G$15,$M157-$A$15,CJ$13)))</f>
        <v>1000000000000</v>
      </c>
      <c r="CK157" s="172">
        <f t="array" aca="1" ref="CK157" ca="1">IF(OR($D157&lt;&gt;"Serviço",AND(AUTOEVENTO="Manual",$M157=$A$15),$M157&gt;(ROW(PLE.lastrow)-ROW(PLE.firstrow))),0,
           IF(OFFSET(PLE!$G$15,$M157-$A$15,CK$13)="",10^12,OFFSET(PLE!$G$15,$M157-$A$15,CK$13)))</f>
        <v>1000000000000</v>
      </c>
      <c r="CL157" s="172">
        <f t="array" aca="1" ref="CL157" ca="1">IF(OR($D157&lt;&gt;"Serviço",AND(AUTOEVENTO="Manual",$M157=$A$15),$M157&gt;(ROW(PLE.lastrow)-ROW(PLE.firstrow))),0,
           IF(OFFSET(PLE!$G$15,$M157-$A$15,CL$13)="",10^12,OFFSET(PLE!$G$15,$M157-$A$15,CL$13)))</f>
        <v>1000000000000</v>
      </c>
      <c r="CM157" s="172">
        <f t="array" aca="1" ref="CM157" ca="1">IF(OR($D157&lt;&gt;"Serviço",AND(AUTOEVENTO="Manual",$M157=$A$15),$M157&gt;(ROW(PLE.lastrow)-ROW(PLE.firstrow))),0,
           IF(OFFSET(PLE!$G$15,$M157-$A$15,CM$13)="",10^12,OFFSET(PLE!$G$15,$M157-$A$15,CM$13)))</f>
        <v>1000000000000</v>
      </c>
    </row>
    <row r="158" spans="1:91" s="696" customFormat="1" ht="51" x14ac:dyDescent="0.2">
      <c r="A158" s="694">
        <f t="shared" ca="1" si="82"/>
        <v>36</v>
      </c>
      <c r="B158" s="694" t="str">
        <f ca="1">OFFSET(ORÇAMENTO!C$15,$L158,0)</f>
        <v>S</v>
      </c>
      <c r="C158" s="694" t="str">
        <f ca="1">OFFSET(ORÇAMENTO!L$15,$L158,0)</f>
        <v>F</v>
      </c>
      <c r="D158" s="116" t="str">
        <f ca="1">OFFSET(ORÇAMENTO!N$15,$L158,0)</f>
        <v>Serviço</v>
      </c>
      <c r="E158" s="117" t="str">
        <f ca="1">OFFSET(ORÇAMENTO!O$15,$L158,0)</f>
        <v>1.25.6.</v>
      </c>
      <c r="F158" s="163" t="str">
        <f ca="1">OFFSET(ORÇAMENTO!R$15,$L158,0)</f>
        <v>ELETRODUTO FLEXÍVEL CORRUGADO, PVC, DN 25 MM (3/4"), PARA CIRCUITOS TERMINAIS, INSTALADO EM FORRO - FORNECIMENTO E INSTALAÇÃO. AF_03/2023</v>
      </c>
      <c r="G158" s="164" t="str">
        <f ca="1">IF($D158&lt;&gt;"Serviço","",OFFSET(ORÇAMENTO!S$15,$L158,0))</f>
        <v>M</v>
      </c>
      <c r="H158" s="122">
        <f t="array" aca="1" ref="H158" ca="1">IF($D158&lt;&gt;"Serviço",0,IF(ACOMPANHAMENTO="BM",ROUND(OFFSET(ORÇAMENTO!AJ$15,$L158,0),15-13*ORÇAMENTO!$AF$7),IF(IFERROR(CÁLCULO.FrentesPreenchidas,0)=0,0,SUM(ROUND(OFFSET($P158,0,1,1,CÁLCULO.FrentesPreenchidas),15-13*ORÇAMENTO!$AF$7)))))</f>
        <v>894</v>
      </c>
      <c r="I158" s="467" t="s">
        <v>1306</v>
      </c>
      <c r="J158" s="653" t="str">
        <f t="array" aca="1" ref="J158" ca="1">IF(OR(B158&lt;&gt;"S",CÁLCULO.FrentesPreenchidas=0),"",IF(AND(ACOMPANHAMENTO="PLE",AUTOEVENTO="Manual",OR(H158&gt;0,ORÇAMENTO!AC158="QUANT."),OR(K158="",M158=0,N158="")),"►E",IF(AND(ACOMPANHAMENTO="PLE",ORÇAMENTO!AC158="QUANT."),"►Q",IF(AND(ACOMPANHAMENTO="PLE",H158&lt;&gt;SUMPRODUCT(($Q$1:$AI$1=1)*ROUND(Q158:AI158,15))),"►S",IF(AND(COUNTIF($P$11:$AI$11,"▼")=0,H158&gt;0,I158=""),"◄M","")))))</f>
        <v/>
      </c>
      <c r="K158" s="654" t="s">
        <v>1443</v>
      </c>
      <c r="L158" s="165">
        <f t="shared" ca="1" si="83"/>
        <v>143</v>
      </c>
      <c r="M158" s="166">
        <f ca="1">IF($D158&lt;&gt;"Serviço","",
          IF(AUTOEVENTO="manual",$A158,
                IF(ISERROR(MATCH($A158,$A$15:OFFSET($A158,-1,0),0)),MAX($M$15:OFFSET(M158,-1,0))+1,
                      INDEX($M$15:OFFSET(M158,-1,0),MATCH($A158,$A$15:OFFSET($A158,-1,0),0)))))</f>
        <v>36</v>
      </c>
      <c r="N158" s="167" t="str">
        <f ca="1">IF($D158&lt;&gt;"Serviço","",
         IF(AUTOEVENTO="Manual",
                IF($A158=0,"&lt;-- defina o número do agrupador",
                       OFFSET(EVENTOS!$D$15,$A158-$A$15,0)),
                OFFSET($F$15,$A158,0)))</f>
        <v>ELÉTRICA EMBITIDA EM LAJE E FORROS</v>
      </c>
      <c r="O158" s="168"/>
      <c r="Q158" s="169">
        <f>44.7*5</f>
        <v>223.5</v>
      </c>
      <c r="R158" s="169">
        <f t="shared" ref="R158:T158" si="89">44.7*5</f>
        <v>223.5</v>
      </c>
      <c r="S158" s="169">
        <f t="shared" si="89"/>
        <v>223.5</v>
      </c>
      <c r="T158" s="169">
        <f t="shared" si="89"/>
        <v>223.5</v>
      </c>
      <c r="U158" s="169"/>
      <c r="V158" s="169"/>
      <c r="W158" s="169"/>
      <c r="X158" s="169"/>
      <c r="Y158" s="169"/>
      <c r="Z158" s="170"/>
      <c r="AA158" s="169"/>
      <c r="AB158" s="169"/>
      <c r="AC158" s="169"/>
      <c r="AD158" s="169"/>
      <c r="AE158" s="169"/>
      <c r="AF158" s="169"/>
      <c r="AG158" s="169"/>
      <c r="AH158" s="170"/>
      <c r="AJ158" s="452">
        <f ca="1">IF(AND($D158="Serviço",AJ$12&lt;&gt;0,$H158&gt;0,OR(AUTOEVENTO&lt;&gt;"manual",$M158&lt;&gt;$A$15)),
        IF(Import.TipoArredondamento&lt;&gt;"TransfereGOV",
              ROUND(OFFSET($P158,0,AJ$13),15-13*ORÇAMENTO!$AF$7)/$H158*OFFSET(ORÇAMENTO!$X$15,ROW(AJ158)-ROW(AJ$15),0),
              ROUND(ROUND(OFFSET($P158,0,AJ$13),15-13*ORÇAMENTO!$AF$7)*OFFSET(ORÇAMENTO!$W$15,ROW(AJ158)-ROW(AJ$15),0),15-13*ORÇAMENTO!$AF$11)),
         0)</f>
        <v>4738.2</v>
      </c>
      <c r="AK158" s="452">
        <f ca="1">IF(AND($D158="Serviço",AK$12&lt;&gt;0,$H158&gt;0,OR(AUTOEVENTO&lt;&gt;"manual",$M158&lt;&gt;$A$15)),
        IF(Import.TipoArredondamento&lt;&gt;"TransfereGOV",
              ROUND(OFFSET($P158,0,AK$13),15-13*ORÇAMENTO!$AF$7)/$H158*OFFSET(ORÇAMENTO!$X$15,ROW(AK158)-ROW(AK$15),0),
              ROUND(ROUND(OFFSET($P158,0,AK$13),15-13*ORÇAMENTO!$AF$7)*OFFSET(ORÇAMENTO!$W$15,ROW(AK158)-ROW(AK$15),0),15-13*ORÇAMENTO!$AF$11)),
         0)</f>
        <v>4738.2</v>
      </c>
      <c r="AL158" s="452">
        <f ca="1">IF(AND($D158="Serviço",AL$12&lt;&gt;0,$H158&gt;0,OR(AUTOEVENTO&lt;&gt;"manual",$M158&lt;&gt;$A$15)),
        IF(Import.TipoArredondamento&lt;&gt;"TransfereGOV",
              ROUND(OFFSET($P158,0,AL$13),15-13*ORÇAMENTO!$AF$7)/$H158*OFFSET(ORÇAMENTO!$X$15,ROW(AL158)-ROW(AL$15),0),
              ROUND(ROUND(OFFSET($P158,0,AL$13),15-13*ORÇAMENTO!$AF$7)*OFFSET(ORÇAMENTO!$W$15,ROW(AL158)-ROW(AL$15),0),15-13*ORÇAMENTO!$AF$11)),
         0)</f>
        <v>4738.2</v>
      </c>
      <c r="AM158" s="452">
        <f ca="1">IF(AND($D158="Serviço",AM$12&lt;&gt;0,$H158&gt;0,OR(AUTOEVENTO&lt;&gt;"manual",$M158&lt;&gt;$A$15)),
        IF(Import.TipoArredondamento&lt;&gt;"TransfereGOV",
              ROUND(OFFSET($P158,0,AM$13),15-13*ORÇAMENTO!$AF$7)/$H158*OFFSET(ORÇAMENTO!$X$15,ROW(AM158)-ROW(AM$15),0),
              ROUND(ROUND(OFFSET($P158,0,AM$13),15-13*ORÇAMENTO!$AF$7)*OFFSET(ORÇAMENTO!$W$15,ROW(AM158)-ROW(AM$15),0),15-13*ORÇAMENTO!$AF$11)),
         0)</f>
        <v>4738.2</v>
      </c>
      <c r="AN158" s="452">
        <f ca="1">IF(AND($D158="Serviço",AN$12&lt;&gt;0,$H158&gt;0,OR(AUTOEVENTO&lt;&gt;"manual",$M158&lt;&gt;$A$15)),
        IF(Import.TipoArredondamento&lt;&gt;"TransfereGOV",
              ROUND(OFFSET($P158,0,AN$13),15-13*ORÇAMENTO!$AF$7)/$H158*OFFSET(ORÇAMENTO!$X$15,ROW(AN158)-ROW(AN$15),0),
              ROUND(ROUND(OFFSET($P158,0,AN$13),15-13*ORÇAMENTO!$AF$7)*OFFSET(ORÇAMENTO!$W$15,ROW(AN158)-ROW(AN$15),0),15-13*ORÇAMENTO!$AF$11)),
         0)</f>
        <v>0</v>
      </c>
      <c r="AO158" s="452">
        <f ca="1">IF(AND($D158="Serviço",AO$12&lt;&gt;0,$H158&gt;0,OR(AUTOEVENTO&lt;&gt;"manual",$M158&lt;&gt;$A$15)),
        IF(Import.TipoArredondamento&lt;&gt;"TransfereGOV",
              ROUND(OFFSET($P158,0,AO$13),15-13*ORÇAMENTO!$AF$7)/$H158*OFFSET(ORÇAMENTO!$X$15,ROW(AO158)-ROW(AO$15),0),
              ROUND(ROUND(OFFSET($P158,0,AO$13),15-13*ORÇAMENTO!$AF$7)*OFFSET(ORÇAMENTO!$W$15,ROW(AO158)-ROW(AO$15),0),15-13*ORÇAMENTO!$AF$11)),
         0)</f>
        <v>0</v>
      </c>
      <c r="AP158" s="452">
        <f ca="1">IF(AND($D158="Serviço",AP$12&lt;&gt;0,$H158&gt;0,OR(AUTOEVENTO&lt;&gt;"manual",$M158&lt;&gt;$A$15)),
        IF(Import.TipoArredondamento&lt;&gt;"TransfereGOV",
              ROUND(OFFSET($P158,0,AP$13),15-13*ORÇAMENTO!$AF$7)/$H158*OFFSET(ORÇAMENTO!$X$15,ROW(AP158)-ROW(AP$15),0),
              ROUND(ROUND(OFFSET($P158,0,AP$13),15-13*ORÇAMENTO!$AF$7)*OFFSET(ORÇAMENTO!$W$15,ROW(AP158)-ROW(AP$15),0),15-13*ORÇAMENTO!$AF$11)),
         0)</f>
        <v>0</v>
      </c>
      <c r="AQ158" s="452">
        <f ca="1">IF(AND($D158="Serviço",AQ$12&lt;&gt;0,$H158&gt;0,OR(AUTOEVENTO&lt;&gt;"manual",$M158&lt;&gt;$A$15)),
        IF(Import.TipoArredondamento&lt;&gt;"TransfereGOV",
              ROUND(OFFSET($P158,0,AQ$13),15-13*ORÇAMENTO!$AF$7)/$H158*OFFSET(ORÇAMENTO!$X$15,ROW(AQ158)-ROW(AQ$15),0),
              ROUND(ROUND(OFFSET($P158,0,AQ$13),15-13*ORÇAMENTO!$AF$7)*OFFSET(ORÇAMENTO!$W$15,ROW(AQ158)-ROW(AQ$15),0),15-13*ORÇAMENTO!$AF$11)),
         0)</f>
        <v>0</v>
      </c>
      <c r="AR158" s="452">
        <f ca="1">IF(AND($D158="Serviço",AR$12&lt;&gt;0,$H158&gt;0,OR(AUTOEVENTO&lt;&gt;"manual",$M158&lt;&gt;$A$15)),
        IF(Import.TipoArredondamento&lt;&gt;"TransfereGOV",
              ROUND(OFFSET($P158,0,AR$13),15-13*ORÇAMENTO!$AF$7)/$H158*OFFSET(ORÇAMENTO!$X$15,ROW(AR158)-ROW(AR$15),0),
              ROUND(ROUND(OFFSET($P158,0,AR$13),15-13*ORÇAMENTO!$AF$7)*OFFSET(ORÇAMENTO!$W$15,ROW(AR158)-ROW(AR$15),0),15-13*ORÇAMENTO!$AF$11)),
         0)</f>
        <v>0</v>
      </c>
      <c r="AS158" s="452">
        <f ca="1">IF(AND($D158="Serviço",AS$12&lt;&gt;0,$H158&gt;0,OR(AUTOEVENTO&lt;&gt;"manual",$M158&lt;&gt;$A$15)),
        IF(Import.TipoArredondamento&lt;&gt;"TransfereGOV",
              ROUND(OFFSET($P158,0,AS$13),15-13*ORÇAMENTO!$AF$7)/$H158*OFFSET(ORÇAMENTO!$X$15,ROW(AS158)-ROW(AS$15),0),
              ROUND(ROUND(OFFSET($P158,0,AS$13),15-13*ORÇAMENTO!$AF$7)*OFFSET(ORÇAMENTO!$W$15,ROW(AS158)-ROW(AS$15),0),15-13*ORÇAMENTO!$AF$11)),
         0)</f>
        <v>0</v>
      </c>
      <c r="AT158" s="452">
        <f ca="1">IF(AND($D158="Serviço",AT$12&lt;&gt;0,$H158&gt;0,OR(AUTOEVENTO&lt;&gt;"manual",$M158&lt;&gt;$A$15)),
        IF(Import.TipoArredondamento&lt;&gt;"TransfereGOV",
              ROUND(OFFSET($P158,0,AT$13),15-13*ORÇAMENTO!$AF$7)/$H158*OFFSET(ORÇAMENTO!$X$15,ROW(AT158)-ROW(AT$15),0),
              ROUND(ROUND(OFFSET($P158,0,AT$13),15-13*ORÇAMENTO!$AF$7)*OFFSET(ORÇAMENTO!$W$15,ROW(AT158)-ROW(AT$15),0),15-13*ORÇAMENTO!$AF$11)),
         0)</f>
        <v>0</v>
      </c>
      <c r="AU158" s="452">
        <f ca="1">IF(AND($D158="Serviço",AU$12&lt;&gt;0,$H158&gt;0,OR(AUTOEVENTO&lt;&gt;"manual",$M158&lt;&gt;$A$15)),
        IF(Import.TipoArredondamento&lt;&gt;"TransfereGOV",
              ROUND(OFFSET($P158,0,AU$13),15-13*ORÇAMENTO!$AF$7)/$H158*OFFSET(ORÇAMENTO!$X$15,ROW(AU158)-ROW(AU$15),0),
              ROUND(ROUND(OFFSET($P158,0,AU$13),15-13*ORÇAMENTO!$AF$7)*OFFSET(ORÇAMENTO!$W$15,ROW(AU158)-ROW(AU$15),0),15-13*ORÇAMENTO!$AF$11)),
         0)</f>
        <v>0</v>
      </c>
      <c r="AV158" s="452">
        <f ca="1">IF(AND($D158="Serviço",AV$12&lt;&gt;0,$H158&gt;0,OR(AUTOEVENTO&lt;&gt;"manual",$M158&lt;&gt;$A$15)),
        IF(Import.TipoArredondamento&lt;&gt;"TransfereGOV",
              ROUND(OFFSET($P158,0,AV$13),15-13*ORÇAMENTO!$AF$7)/$H158*OFFSET(ORÇAMENTO!$X$15,ROW(AV158)-ROW(AV$15),0),
              ROUND(ROUND(OFFSET($P158,0,AV$13),15-13*ORÇAMENTO!$AF$7)*OFFSET(ORÇAMENTO!$W$15,ROW(AV158)-ROW(AV$15),0),15-13*ORÇAMENTO!$AF$11)),
         0)</f>
        <v>0</v>
      </c>
      <c r="AW158" s="452">
        <f ca="1">IF(AND($D158="Serviço",AW$12&lt;&gt;0,$H158&gt;0,OR(AUTOEVENTO&lt;&gt;"manual",$M158&lt;&gt;$A$15)),
        IF(Import.TipoArredondamento&lt;&gt;"TransfereGOV",
              ROUND(OFFSET($P158,0,AW$13),15-13*ORÇAMENTO!$AF$7)/$H158*OFFSET(ORÇAMENTO!$X$15,ROW(AW158)-ROW(AW$15),0),
              ROUND(ROUND(OFFSET($P158,0,AW$13),15-13*ORÇAMENTO!$AF$7)*OFFSET(ORÇAMENTO!$W$15,ROW(AW158)-ROW(AW$15),0),15-13*ORÇAMENTO!$AF$11)),
         0)</f>
        <v>0</v>
      </c>
      <c r="AX158" s="452">
        <f ca="1">IF(AND($D158="Serviço",AX$12&lt;&gt;0,$H158&gt;0,OR(AUTOEVENTO&lt;&gt;"manual",$M158&lt;&gt;$A$15)),
        IF(Import.TipoArredondamento&lt;&gt;"TransfereGOV",
              ROUND(OFFSET($P158,0,AX$13),15-13*ORÇAMENTO!$AF$7)/$H158*OFFSET(ORÇAMENTO!$X$15,ROW(AX158)-ROW(AX$15),0),
              ROUND(ROUND(OFFSET($P158,0,AX$13),15-13*ORÇAMENTO!$AF$7)*OFFSET(ORÇAMENTO!$W$15,ROW(AX158)-ROW(AX$15),0),15-13*ORÇAMENTO!$AF$11)),
         0)</f>
        <v>0</v>
      </c>
      <c r="AY158" s="452">
        <f ca="1">IF(AND($D158="Serviço",AY$12&lt;&gt;0,$H158&gt;0,OR(AUTOEVENTO&lt;&gt;"manual",$M158&lt;&gt;$A$15)),
        IF(Import.TipoArredondamento&lt;&gt;"TransfereGOV",
              ROUND(OFFSET($P158,0,AY$13),15-13*ORÇAMENTO!$AF$7)/$H158*OFFSET(ORÇAMENTO!$X$15,ROW(AY158)-ROW(AY$15),0),
              ROUND(ROUND(OFFSET($P158,0,AY$13),15-13*ORÇAMENTO!$AF$7)*OFFSET(ORÇAMENTO!$W$15,ROW(AY158)-ROW(AY$15),0),15-13*ORÇAMENTO!$AF$11)),
         0)</f>
        <v>0</v>
      </c>
      <c r="AZ158" s="452">
        <f ca="1">IF(AND($D158="Serviço",AZ$12&lt;&gt;0,$H158&gt;0,OR(AUTOEVENTO&lt;&gt;"manual",$M158&lt;&gt;$A$15)),
        IF(Import.TipoArredondamento&lt;&gt;"TransfereGOV",
              ROUND(OFFSET($P158,0,AZ$13),15-13*ORÇAMENTO!$AF$7)/$H158*OFFSET(ORÇAMENTO!$X$15,ROW(AZ158)-ROW(AZ$15),0),
              ROUND(ROUND(OFFSET($P158,0,AZ$13),15-13*ORÇAMENTO!$AF$7)*OFFSET(ORÇAMENTO!$W$15,ROW(AZ158)-ROW(AZ$15),0),15-13*ORÇAMENTO!$AF$11)),
         0)</f>
        <v>0</v>
      </c>
      <c r="BA158" s="452">
        <f ca="1">IF(AND($D158="Serviço",BA$12&lt;&gt;0,$H158&gt;0,OR(AUTOEVENTO&lt;&gt;"manual",$M158&lt;&gt;$A$15)),
        IF(Import.TipoArredondamento&lt;&gt;"TransfereGOV",
              ROUND(OFFSET($P158,0,BA$13),15-13*ORÇAMENTO!$AF$7)/$H158*OFFSET(ORÇAMENTO!$X$15,ROW(BA158)-ROW(BA$15),0),
              ROUND(ROUND(OFFSET($P158,0,BA$13),15-13*ORÇAMENTO!$AF$7)*OFFSET(ORÇAMENTO!$W$15,ROW(BA158)-ROW(BA$15),0),15-13*ORÇAMENTO!$AF$11)),
         0)</f>
        <v>0</v>
      </c>
      <c r="BC158" s="171">
        <f ca="1">IF(OR($D158&lt;&gt;"Serviço",AND(AUTOEVENTO="Manual",$M158=$A$15)),0,
         IF(OFFSET(CRONOPLE!$F$15,$M158-$A$15,BC$13)=0,10^12,OFFSET(CRONOPLE!$F$15,$M158-$A$15,BC$13)))</f>
        <v>6</v>
      </c>
      <c r="BD158" s="171">
        <f ca="1">IF(OR($D158&lt;&gt;"Serviço",AND(AUTOEVENTO="Manual",$M158=$A$15)),0,
         IF(OFFSET(CRONOPLE!$F$15,$M158-$A$15,BD$13)=0,10^12,OFFSET(CRONOPLE!$F$15,$M158-$A$15,BD$13)))</f>
        <v>5</v>
      </c>
      <c r="BE158" s="171">
        <f ca="1">IF(OR($D158&lt;&gt;"Serviço",AND(AUTOEVENTO="Manual",$M158=$A$15)),0,
         IF(OFFSET(CRONOPLE!$F$15,$M158-$A$15,BE$13)=0,10^12,OFFSET(CRONOPLE!$F$15,$M158-$A$15,BE$13)))</f>
        <v>7</v>
      </c>
      <c r="BF158" s="171">
        <f ca="1">IF(OR($D158&lt;&gt;"Serviço",AND(AUTOEVENTO="Manual",$M158=$A$15)),0,
         IF(OFFSET(CRONOPLE!$F$15,$M158-$A$15,BF$13)=0,10^12,OFFSET(CRONOPLE!$F$15,$M158-$A$15,BF$13)))</f>
        <v>7</v>
      </c>
      <c r="BG158" s="171">
        <f ca="1">IF(OR($D158&lt;&gt;"Serviço",AND(AUTOEVENTO="Manual",$M158=$A$15)),0,
         IF(OFFSET(CRONOPLE!$F$15,$M158-$A$15,BG$13)=0,10^12,OFFSET(CRONOPLE!$F$15,$M158-$A$15,BG$13)))</f>
        <v>7</v>
      </c>
      <c r="BH158" s="171">
        <f ca="1">IF(OR($D158&lt;&gt;"Serviço",AND(AUTOEVENTO="Manual",$M158=$A$15)),0,
         IF(OFFSET(CRONOPLE!$F$15,$M158-$A$15,BH$13)=0,10^12,OFFSET(CRONOPLE!$F$15,$M158-$A$15,BH$13)))</f>
        <v>1000000000000</v>
      </c>
      <c r="BI158" s="171">
        <f ca="1">IF(OR($D158&lt;&gt;"Serviço",AND(AUTOEVENTO="Manual",$M158=$A$15)),0,
         IF(OFFSET(CRONOPLE!$F$15,$M158-$A$15,BI$13)=0,10^12,OFFSET(CRONOPLE!$F$15,$M158-$A$15,BI$13)))</f>
        <v>1000000000000</v>
      </c>
      <c r="BJ158" s="171">
        <f ca="1">IF(OR($D158&lt;&gt;"Serviço",AND(AUTOEVENTO="Manual",$M158=$A$15)),0,
         IF(OFFSET(CRONOPLE!$F$15,$M158-$A$15,BJ$13)=0,10^12,OFFSET(CRONOPLE!$F$15,$M158-$A$15,BJ$13)))</f>
        <v>1000000000000</v>
      </c>
      <c r="BK158" s="171">
        <f ca="1">IF(OR($D158&lt;&gt;"Serviço",AND(AUTOEVENTO="Manual",$M158=$A$15)),0,
         IF(OFFSET(CRONOPLE!$F$15,$M158-$A$15,BK$13)=0,10^12,OFFSET(CRONOPLE!$F$15,$M158-$A$15,BK$13)))</f>
        <v>1000000000000</v>
      </c>
      <c r="BL158" s="171">
        <f ca="1">IF(OR($D158&lt;&gt;"Serviço",AND(AUTOEVENTO="Manual",$M158=$A$15)),0,
         IF(OFFSET(CRONOPLE!$F$15,$M158-$A$15,BL$13)=0,10^12,OFFSET(CRONOPLE!$F$15,$M158-$A$15,BL$13)))</f>
        <v>1000000000000</v>
      </c>
      <c r="BM158" s="171">
        <f ca="1">IF(OR($D158&lt;&gt;"Serviço",AND(AUTOEVENTO="Manual",$M158=$A$15)),0,
         IF(OFFSET(CRONOPLE!$F$15,$M158-$A$15,BM$13)=0,10^12,OFFSET(CRONOPLE!$F$15,$M158-$A$15,BM$13)))</f>
        <v>1000000000000</v>
      </c>
      <c r="BN158" s="171">
        <f ca="1">IF(OR($D158&lt;&gt;"Serviço",AND(AUTOEVENTO="Manual",$M158=$A$15)),0,
         IF(OFFSET(CRONOPLE!$F$15,$M158-$A$15,BN$13)=0,10^12,OFFSET(CRONOPLE!$F$15,$M158-$A$15,BN$13)))</f>
        <v>1000000000000</v>
      </c>
      <c r="BO158" s="171">
        <f ca="1">IF(OR($D158&lt;&gt;"Serviço",AND(AUTOEVENTO="Manual",$M158=$A$15)),0,
         IF(OFFSET(CRONOPLE!$F$15,$M158-$A$15,BO$13)=0,10^12,OFFSET(CRONOPLE!$F$15,$M158-$A$15,BO$13)))</f>
        <v>1000000000000</v>
      </c>
      <c r="BP158" s="171">
        <f ca="1">IF(OR($D158&lt;&gt;"Serviço",AND(AUTOEVENTO="Manual",$M158=$A$15)),0,
         IF(OFFSET(CRONOPLE!$F$15,$M158-$A$15,BP$13)=0,10^12,OFFSET(CRONOPLE!$F$15,$M158-$A$15,BP$13)))</f>
        <v>1000000000000</v>
      </c>
      <c r="BQ158" s="171">
        <f ca="1">IF(OR($D158&lt;&gt;"Serviço",AND(AUTOEVENTO="Manual",$M158=$A$15)),0,
         IF(OFFSET(CRONOPLE!$F$15,$M158-$A$15,BQ$13)=0,10^12,OFFSET(CRONOPLE!$F$15,$M158-$A$15,BQ$13)))</f>
        <v>1000000000000</v>
      </c>
      <c r="BR158" s="171">
        <f ca="1">IF(OR($D158&lt;&gt;"Serviço",AND(AUTOEVENTO="Manual",$M158=$A$15)),0,
         IF(OFFSET(CRONOPLE!$F$15,$M158-$A$15,BR$13)=0,10^12,OFFSET(CRONOPLE!$F$15,$M158-$A$15,BR$13)))</f>
        <v>1000000000000</v>
      </c>
      <c r="BS158" s="171">
        <f ca="1">IF(OR($D158&lt;&gt;"Serviço",AND(AUTOEVENTO="Manual",$M158=$A$15)),0,
         IF(OFFSET(CRONOPLE!$F$15,$M158-$A$15,BS$13)=0,10^12,OFFSET(CRONOPLE!$F$15,$M158-$A$15,BS$13)))</f>
        <v>1000000000000</v>
      </c>
      <c r="BT158" s="171">
        <f ca="1">IF(OR($D158&lt;&gt;"Serviço",AND(AUTOEVENTO="Manual",$M158=$A$15)),0,
         IF(OFFSET(CRONOPLE!$F$15,$M158-$A$15,BT$13)=0,10^12,OFFSET(CRONOPLE!$F$15,$M158-$A$15,BT$13)))</f>
        <v>1000000000000</v>
      </c>
      <c r="BV158" s="172">
        <f t="array" aca="1" ref="BV158" ca="1">IF(OR($D158&lt;&gt;"Serviço",AND(AUTOEVENTO="Manual",$M158=$A$15),$M158&gt;(ROW(PLE.lastrow)-ROW(PLE.firstrow))),0,
           IF(OFFSET(PLE!$G$15,$M158-$A$15,BV$13)="",10^12,OFFSET(PLE!$G$15,$M158-$A$15,BV$13)))</f>
        <v>1000000000000</v>
      </c>
      <c r="BW158" s="172">
        <f t="array" aca="1" ref="BW158" ca="1">IF(OR($D158&lt;&gt;"Serviço",AND(AUTOEVENTO="Manual",$M158=$A$15),$M158&gt;(ROW(PLE.lastrow)-ROW(PLE.firstrow))),0,
           IF(OFFSET(PLE!$G$15,$M158-$A$15,BW$13)="",10^12,OFFSET(PLE!$G$15,$M158-$A$15,BW$13)))</f>
        <v>1000000000000</v>
      </c>
      <c r="BX158" s="172">
        <f t="array" aca="1" ref="BX158" ca="1">IF(OR($D158&lt;&gt;"Serviço",AND(AUTOEVENTO="Manual",$M158=$A$15),$M158&gt;(ROW(PLE.lastrow)-ROW(PLE.firstrow))),0,
           IF(OFFSET(PLE!$G$15,$M158-$A$15,BX$13)="",10^12,OFFSET(PLE!$G$15,$M158-$A$15,BX$13)))</f>
        <v>1000000000000</v>
      </c>
      <c r="BY158" s="172">
        <f t="array" aca="1" ref="BY158" ca="1">IF(OR($D158&lt;&gt;"Serviço",AND(AUTOEVENTO="Manual",$M158=$A$15),$M158&gt;(ROW(PLE.lastrow)-ROW(PLE.firstrow))),0,
           IF(OFFSET(PLE!$G$15,$M158-$A$15,BY$13)="",10^12,OFFSET(PLE!$G$15,$M158-$A$15,BY$13)))</f>
        <v>1000000000000</v>
      </c>
      <c r="BZ158" s="172">
        <f t="array" aca="1" ref="BZ158" ca="1">IF(OR($D158&lt;&gt;"Serviço",AND(AUTOEVENTO="Manual",$M158=$A$15),$M158&gt;(ROW(PLE.lastrow)-ROW(PLE.firstrow))),0,
           IF(OFFSET(PLE!$G$15,$M158-$A$15,BZ$13)="",10^12,OFFSET(PLE!$G$15,$M158-$A$15,BZ$13)))</f>
        <v>1000000000000</v>
      </c>
      <c r="CA158" s="172">
        <f t="array" aca="1" ref="CA158" ca="1">IF(OR($D158&lt;&gt;"Serviço",AND(AUTOEVENTO="Manual",$M158=$A$15),$M158&gt;(ROW(PLE.lastrow)-ROW(PLE.firstrow))),0,
           IF(OFFSET(PLE!$G$15,$M158-$A$15,CA$13)="",10^12,OFFSET(PLE!$G$15,$M158-$A$15,CA$13)))</f>
        <v>1000000000000</v>
      </c>
      <c r="CB158" s="172">
        <f t="array" aca="1" ref="CB158" ca="1">IF(OR($D158&lt;&gt;"Serviço",AND(AUTOEVENTO="Manual",$M158=$A$15),$M158&gt;(ROW(PLE.lastrow)-ROW(PLE.firstrow))),0,
           IF(OFFSET(PLE!$G$15,$M158-$A$15,CB$13)="",10^12,OFFSET(PLE!$G$15,$M158-$A$15,CB$13)))</f>
        <v>1000000000000</v>
      </c>
      <c r="CC158" s="172">
        <f t="array" aca="1" ref="CC158" ca="1">IF(OR($D158&lt;&gt;"Serviço",AND(AUTOEVENTO="Manual",$M158=$A$15),$M158&gt;(ROW(PLE.lastrow)-ROW(PLE.firstrow))),0,
           IF(OFFSET(PLE!$G$15,$M158-$A$15,CC$13)="",10^12,OFFSET(PLE!$G$15,$M158-$A$15,CC$13)))</f>
        <v>1000000000000</v>
      </c>
      <c r="CD158" s="172">
        <f t="array" aca="1" ref="CD158" ca="1">IF(OR($D158&lt;&gt;"Serviço",AND(AUTOEVENTO="Manual",$M158=$A$15),$M158&gt;(ROW(PLE.lastrow)-ROW(PLE.firstrow))),0,
           IF(OFFSET(PLE!$G$15,$M158-$A$15,CD$13)="",10^12,OFFSET(PLE!$G$15,$M158-$A$15,CD$13)))</f>
        <v>1000000000000</v>
      </c>
      <c r="CE158" s="172">
        <f t="array" aca="1" ref="CE158" ca="1">IF(OR($D158&lt;&gt;"Serviço",AND(AUTOEVENTO="Manual",$M158=$A$15),$M158&gt;(ROW(PLE.lastrow)-ROW(PLE.firstrow))),0,
           IF(OFFSET(PLE!$G$15,$M158-$A$15,CE$13)="",10^12,OFFSET(PLE!$G$15,$M158-$A$15,CE$13)))</f>
        <v>1000000000000</v>
      </c>
      <c r="CF158" s="172">
        <f t="array" aca="1" ref="CF158" ca="1">IF(OR($D158&lt;&gt;"Serviço",AND(AUTOEVENTO="Manual",$M158=$A$15),$M158&gt;(ROW(PLE.lastrow)-ROW(PLE.firstrow))),0,
           IF(OFFSET(PLE!$G$15,$M158-$A$15,CF$13)="",10^12,OFFSET(PLE!$G$15,$M158-$A$15,CF$13)))</f>
        <v>1000000000000</v>
      </c>
      <c r="CG158" s="172">
        <f t="array" aca="1" ref="CG158" ca="1">IF(OR($D158&lt;&gt;"Serviço",AND(AUTOEVENTO="Manual",$M158=$A$15),$M158&gt;(ROW(PLE.lastrow)-ROW(PLE.firstrow))),0,
           IF(OFFSET(PLE!$G$15,$M158-$A$15,CG$13)="",10^12,OFFSET(PLE!$G$15,$M158-$A$15,CG$13)))</f>
        <v>1000000000000</v>
      </c>
      <c r="CH158" s="172">
        <f t="array" aca="1" ref="CH158" ca="1">IF(OR($D158&lt;&gt;"Serviço",AND(AUTOEVENTO="Manual",$M158=$A$15),$M158&gt;(ROW(PLE.lastrow)-ROW(PLE.firstrow))),0,
           IF(OFFSET(PLE!$G$15,$M158-$A$15,CH$13)="",10^12,OFFSET(PLE!$G$15,$M158-$A$15,CH$13)))</f>
        <v>1000000000000</v>
      </c>
      <c r="CI158" s="172">
        <f t="array" aca="1" ref="CI158" ca="1">IF(OR($D158&lt;&gt;"Serviço",AND(AUTOEVENTO="Manual",$M158=$A$15),$M158&gt;(ROW(PLE.lastrow)-ROW(PLE.firstrow))),0,
           IF(OFFSET(PLE!$G$15,$M158-$A$15,CI$13)="",10^12,OFFSET(PLE!$G$15,$M158-$A$15,CI$13)))</f>
        <v>1000000000000</v>
      </c>
      <c r="CJ158" s="172">
        <f t="array" aca="1" ref="CJ158" ca="1">IF(OR($D158&lt;&gt;"Serviço",AND(AUTOEVENTO="Manual",$M158=$A$15),$M158&gt;(ROW(PLE.lastrow)-ROW(PLE.firstrow))),0,
           IF(OFFSET(PLE!$G$15,$M158-$A$15,CJ$13)="",10^12,OFFSET(PLE!$G$15,$M158-$A$15,CJ$13)))</f>
        <v>1000000000000</v>
      </c>
      <c r="CK158" s="172">
        <f t="array" aca="1" ref="CK158" ca="1">IF(OR($D158&lt;&gt;"Serviço",AND(AUTOEVENTO="Manual",$M158=$A$15),$M158&gt;(ROW(PLE.lastrow)-ROW(PLE.firstrow))),0,
           IF(OFFSET(PLE!$G$15,$M158-$A$15,CK$13)="",10^12,OFFSET(PLE!$G$15,$M158-$A$15,CK$13)))</f>
        <v>1000000000000</v>
      </c>
      <c r="CL158" s="172">
        <f t="array" aca="1" ref="CL158" ca="1">IF(OR($D158&lt;&gt;"Serviço",AND(AUTOEVENTO="Manual",$M158=$A$15),$M158&gt;(ROW(PLE.lastrow)-ROW(PLE.firstrow))),0,
           IF(OFFSET(PLE!$G$15,$M158-$A$15,CL$13)="",10^12,OFFSET(PLE!$G$15,$M158-$A$15,CL$13)))</f>
        <v>1000000000000</v>
      </c>
      <c r="CM158" s="172">
        <f t="array" aca="1" ref="CM158" ca="1">IF(OR($D158&lt;&gt;"Serviço",AND(AUTOEVENTO="Manual",$M158=$A$15),$M158&gt;(ROW(PLE.lastrow)-ROW(PLE.firstrow))),0,
           IF(OFFSET(PLE!$G$15,$M158-$A$15,CM$13)="",10^12,OFFSET(PLE!$G$15,$M158-$A$15,CM$13)))</f>
        <v>1000000000000</v>
      </c>
    </row>
    <row r="159" spans="1:91" s="696" customFormat="1" ht="51" x14ac:dyDescent="0.2">
      <c r="A159" s="694">
        <f t="shared" ca="1" si="82"/>
        <v>37</v>
      </c>
      <c r="B159" s="694" t="str">
        <f ca="1">OFFSET(ORÇAMENTO!C$15,$L159,0)</f>
        <v>S</v>
      </c>
      <c r="C159" s="694" t="str">
        <f ca="1">OFFSET(ORÇAMENTO!L$15,$L159,0)</f>
        <v>F</v>
      </c>
      <c r="D159" s="116" t="str">
        <f ca="1">OFFSET(ORÇAMENTO!N$15,$L159,0)</f>
        <v>Serviço</v>
      </c>
      <c r="E159" s="117" t="str">
        <f ca="1">OFFSET(ORÇAMENTO!O$15,$L159,0)</f>
        <v>1.25.7.</v>
      </c>
      <c r="F159" s="163" t="str">
        <f ca="1">OFFSET(ORÇAMENTO!R$15,$L159,0)</f>
        <v>ELETRODUTO FLEXÍVEL CORRUGADO, PVC, DN 25 MM (3/4"), PARA CIRCUITOS TERMINAIS, INSTALADO EM PAREDE - FORNECIMENTO E INSTALAÇÃO. AF_03/2023</v>
      </c>
      <c r="G159" s="164" t="str">
        <f ca="1">IF($D159&lt;&gt;"Serviço","",OFFSET(ORÇAMENTO!S$15,$L159,0))</f>
        <v>M</v>
      </c>
      <c r="H159" s="122">
        <f t="array" aca="1" ref="H159" ca="1">IF($D159&lt;&gt;"Serviço",0,IF(ACOMPANHAMENTO="BM",ROUND(OFFSET(ORÇAMENTO!AJ$15,$L159,0),15-13*ORÇAMENTO!$AF$7),IF(IFERROR(CÁLCULO.FrentesPreenchidas,0)=0,0,SUM(ROUND(OFFSET($P159,0,1,1,CÁLCULO.FrentesPreenchidas),15-13*ORÇAMENTO!$AF$7)))))</f>
        <v>1166</v>
      </c>
      <c r="I159" s="467" t="s">
        <v>1307</v>
      </c>
      <c r="J159" s="653" t="str">
        <f t="array" aca="1" ref="J159" ca="1">IF(OR(B159&lt;&gt;"S",CÁLCULO.FrentesPreenchidas=0),"",IF(AND(ACOMPANHAMENTO="PLE",AUTOEVENTO="Manual",OR(H159&gt;0,ORÇAMENTO!AC159="QUANT."),OR(K159="",M159=0,N159="")),"►E",IF(AND(ACOMPANHAMENTO="PLE",ORÇAMENTO!AC159="QUANT."),"►Q",IF(AND(ACOMPANHAMENTO="PLE",H159&lt;&gt;SUMPRODUCT(($Q$1:$AI$1=1)*ROUND(Q159:AI159,15))),"►S",IF(AND(COUNTIF($P$11:$AI$11,"▼")=0,H159&gt;0,I159=""),"◄M","")))))</f>
        <v/>
      </c>
      <c r="K159" s="654" t="s">
        <v>1442</v>
      </c>
      <c r="L159" s="165">
        <f t="shared" ca="1" si="83"/>
        <v>144</v>
      </c>
      <c r="M159" s="166">
        <f ca="1">IF($D159&lt;&gt;"Serviço","",
          IF(AUTOEVENTO="manual",$A159,
                IF(ISERROR(MATCH($A159,$A$15:OFFSET($A159,-1,0),0)),MAX($M$15:OFFSET(M159,-1,0))+1,
                      INDEX($M$15:OFFSET(M159,-1,0),MATCH($A159,$A$15:OFFSET($A159,-1,0),0)))))</f>
        <v>37</v>
      </c>
      <c r="N159" s="167" t="str">
        <f ca="1">IF($D159&lt;&gt;"Serviço","",
         IF(AUTOEVENTO="Manual",
                IF($A159=0,"&lt;-- defina o número do agrupador",
                       OFFSET(EVENTOS!$D$15,$A159-$A$15,0)),
                OFFSET($F$15,$A159,0)))</f>
        <v>ELÉTRICA EMBUTIDA EM PAREDE</v>
      </c>
      <c r="O159" s="168"/>
      <c r="Q159" s="169">
        <f>58.3*5</f>
        <v>291.5</v>
      </c>
      <c r="R159" s="169">
        <f t="shared" ref="R159:T159" si="90">58.3*5</f>
        <v>291.5</v>
      </c>
      <c r="S159" s="169">
        <f t="shared" si="90"/>
        <v>291.5</v>
      </c>
      <c r="T159" s="169">
        <f t="shared" si="90"/>
        <v>291.5</v>
      </c>
      <c r="U159" s="169"/>
      <c r="V159" s="169"/>
      <c r="W159" s="169"/>
      <c r="X159" s="169"/>
      <c r="Y159" s="169"/>
      <c r="Z159" s="170"/>
      <c r="AA159" s="169"/>
      <c r="AB159" s="169"/>
      <c r="AC159" s="169"/>
      <c r="AD159" s="169"/>
      <c r="AE159" s="169"/>
      <c r="AF159" s="169"/>
      <c r="AG159" s="169"/>
      <c r="AH159" s="170"/>
      <c r="AJ159" s="452">
        <f ca="1">IF(AND($D159="Serviço",AJ$12&lt;&gt;0,$H159&gt;0,OR(AUTOEVENTO&lt;&gt;"manual",$M159&lt;&gt;$A$15)),
        IF(Import.TipoArredondamento&lt;&gt;"TransfereGOV",
              ROUND(OFFSET($P159,0,AJ$13),15-13*ORÇAMENTO!$AF$7)/$H159*OFFSET(ORÇAMENTO!$X$15,ROW(AJ159)-ROW(AJ$15),0),
              ROUND(ROUND(OFFSET($P159,0,AJ$13),15-13*ORÇAMENTO!$AF$7)*OFFSET(ORÇAMENTO!$W$15,ROW(AJ159)-ROW(AJ$15),0),15-13*ORÇAMENTO!$AF$11)),
         0)</f>
        <v>3477.6</v>
      </c>
      <c r="AK159" s="452">
        <f ca="1">IF(AND($D159="Serviço",AK$12&lt;&gt;0,$H159&gt;0,OR(AUTOEVENTO&lt;&gt;"manual",$M159&lt;&gt;$A$15)),
        IF(Import.TipoArredondamento&lt;&gt;"TransfereGOV",
              ROUND(OFFSET($P159,0,AK$13),15-13*ORÇAMENTO!$AF$7)/$H159*OFFSET(ORÇAMENTO!$X$15,ROW(AK159)-ROW(AK$15),0),
              ROUND(ROUND(OFFSET($P159,0,AK$13),15-13*ORÇAMENTO!$AF$7)*OFFSET(ORÇAMENTO!$W$15,ROW(AK159)-ROW(AK$15),0),15-13*ORÇAMENTO!$AF$11)),
         0)</f>
        <v>3477.6</v>
      </c>
      <c r="AL159" s="452">
        <f ca="1">IF(AND($D159="Serviço",AL$12&lt;&gt;0,$H159&gt;0,OR(AUTOEVENTO&lt;&gt;"manual",$M159&lt;&gt;$A$15)),
        IF(Import.TipoArredondamento&lt;&gt;"TransfereGOV",
              ROUND(OFFSET($P159,0,AL$13),15-13*ORÇAMENTO!$AF$7)/$H159*OFFSET(ORÇAMENTO!$X$15,ROW(AL159)-ROW(AL$15),0),
              ROUND(ROUND(OFFSET($P159,0,AL$13),15-13*ORÇAMENTO!$AF$7)*OFFSET(ORÇAMENTO!$W$15,ROW(AL159)-ROW(AL$15),0),15-13*ORÇAMENTO!$AF$11)),
         0)</f>
        <v>3477.6</v>
      </c>
      <c r="AM159" s="452">
        <f ca="1">IF(AND($D159="Serviço",AM$12&lt;&gt;0,$H159&gt;0,OR(AUTOEVENTO&lt;&gt;"manual",$M159&lt;&gt;$A$15)),
        IF(Import.TipoArredondamento&lt;&gt;"TransfereGOV",
              ROUND(OFFSET($P159,0,AM$13),15-13*ORÇAMENTO!$AF$7)/$H159*OFFSET(ORÇAMENTO!$X$15,ROW(AM159)-ROW(AM$15),0),
              ROUND(ROUND(OFFSET($P159,0,AM$13),15-13*ORÇAMENTO!$AF$7)*OFFSET(ORÇAMENTO!$W$15,ROW(AM159)-ROW(AM$15),0),15-13*ORÇAMENTO!$AF$11)),
         0)</f>
        <v>3477.6</v>
      </c>
      <c r="AN159" s="452">
        <f ca="1">IF(AND($D159="Serviço",AN$12&lt;&gt;0,$H159&gt;0,OR(AUTOEVENTO&lt;&gt;"manual",$M159&lt;&gt;$A$15)),
        IF(Import.TipoArredondamento&lt;&gt;"TransfereGOV",
              ROUND(OFFSET($P159,0,AN$13),15-13*ORÇAMENTO!$AF$7)/$H159*OFFSET(ORÇAMENTO!$X$15,ROW(AN159)-ROW(AN$15),0),
              ROUND(ROUND(OFFSET($P159,0,AN$13),15-13*ORÇAMENTO!$AF$7)*OFFSET(ORÇAMENTO!$W$15,ROW(AN159)-ROW(AN$15),0),15-13*ORÇAMENTO!$AF$11)),
         0)</f>
        <v>0</v>
      </c>
      <c r="AO159" s="452">
        <f ca="1">IF(AND($D159="Serviço",AO$12&lt;&gt;0,$H159&gt;0,OR(AUTOEVENTO&lt;&gt;"manual",$M159&lt;&gt;$A$15)),
        IF(Import.TipoArredondamento&lt;&gt;"TransfereGOV",
              ROUND(OFFSET($P159,0,AO$13),15-13*ORÇAMENTO!$AF$7)/$H159*OFFSET(ORÇAMENTO!$X$15,ROW(AO159)-ROW(AO$15),0),
              ROUND(ROUND(OFFSET($P159,0,AO$13),15-13*ORÇAMENTO!$AF$7)*OFFSET(ORÇAMENTO!$W$15,ROW(AO159)-ROW(AO$15),0),15-13*ORÇAMENTO!$AF$11)),
         0)</f>
        <v>0</v>
      </c>
      <c r="AP159" s="452">
        <f ca="1">IF(AND($D159="Serviço",AP$12&lt;&gt;0,$H159&gt;0,OR(AUTOEVENTO&lt;&gt;"manual",$M159&lt;&gt;$A$15)),
        IF(Import.TipoArredondamento&lt;&gt;"TransfereGOV",
              ROUND(OFFSET($P159,0,AP$13),15-13*ORÇAMENTO!$AF$7)/$H159*OFFSET(ORÇAMENTO!$X$15,ROW(AP159)-ROW(AP$15),0),
              ROUND(ROUND(OFFSET($P159,0,AP$13),15-13*ORÇAMENTO!$AF$7)*OFFSET(ORÇAMENTO!$W$15,ROW(AP159)-ROW(AP$15),0),15-13*ORÇAMENTO!$AF$11)),
         0)</f>
        <v>0</v>
      </c>
      <c r="AQ159" s="452">
        <f ca="1">IF(AND($D159="Serviço",AQ$12&lt;&gt;0,$H159&gt;0,OR(AUTOEVENTO&lt;&gt;"manual",$M159&lt;&gt;$A$15)),
        IF(Import.TipoArredondamento&lt;&gt;"TransfereGOV",
              ROUND(OFFSET($P159,0,AQ$13),15-13*ORÇAMENTO!$AF$7)/$H159*OFFSET(ORÇAMENTO!$X$15,ROW(AQ159)-ROW(AQ$15),0),
              ROUND(ROUND(OFFSET($P159,0,AQ$13),15-13*ORÇAMENTO!$AF$7)*OFFSET(ORÇAMENTO!$W$15,ROW(AQ159)-ROW(AQ$15),0),15-13*ORÇAMENTO!$AF$11)),
         0)</f>
        <v>0</v>
      </c>
      <c r="AR159" s="452">
        <f ca="1">IF(AND($D159="Serviço",AR$12&lt;&gt;0,$H159&gt;0,OR(AUTOEVENTO&lt;&gt;"manual",$M159&lt;&gt;$A$15)),
        IF(Import.TipoArredondamento&lt;&gt;"TransfereGOV",
              ROUND(OFFSET($P159,0,AR$13),15-13*ORÇAMENTO!$AF$7)/$H159*OFFSET(ORÇAMENTO!$X$15,ROW(AR159)-ROW(AR$15),0),
              ROUND(ROUND(OFFSET($P159,0,AR$13),15-13*ORÇAMENTO!$AF$7)*OFFSET(ORÇAMENTO!$W$15,ROW(AR159)-ROW(AR$15),0),15-13*ORÇAMENTO!$AF$11)),
         0)</f>
        <v>0</v>
      </c>
      <c r="AS159" s="452">
        <f ca="1">IF(AND($D159="Serviço",AS$12&lt;&gt;0,$H159&gt;0,OR(AUTOEVENTO&lt;&gt;"manual",$M159&lt;&gt;$A$15)),
        IF(Import.TipoArredondamento&lt;&gt;"TransfereGOV",
              ROUND(OFFSET($P159,0,AS$13),15-13*ORÇAMENTO!$AF$7)/$H159*OFFSET(ORÇAMENTO!$X$15,ROW(AS159)-ROW(AS$15),0),
              ROUND(ROUND(OFFSET($P159,0,AS$13),15-13*ORÇAMENTO!$AF$7)*OFFSET(ORÇAMENTO!$W$15,ROW(AS159)-ROW(AS$15),0),15-13*ORÇAMENTO!$AF$11)),
         0)</f>
        <v>0</v>
      </c>
      <c r="AT159" s="452">
        <f ca="1">IF(AND($D159="Serviço",AT$12&lt;&gt;0,$H159&gt;0,OR(AUTOEVENTO&lt;&gt;"manual",$M159&lt;&gt;$A$15)),
        IF(Import.TipoArredondamento&lt;&gt;"TransfereGOV",
              ROUND(OFFSET($P159,0,AT$13),15-13*ORÇAMENTO!$AF$7)/$H159*OFFSET(ORÇAMENTO!$X$15,ROW(AT159)-ROW(AT$15),0),
              ROUND(ROUND(OFFSET($P159,0,AT$13),15-13*ORÇAMENTO!$AF$7)*OFFSET(ORÇAMENTO!$W$15,ROW(AT159)-ROW(AT$15),0),15-13*ORÇAMENTO!$AF$11)),
         0)</f>
        <v>0</v>
      </c>
      <c r="AU159" s="452">
        <f ca="1">IF(AND($D159="Serviço",AU$12&lt;&gt;0,$H159&gt;0,OR(AUTOEVENTO&lt;&gt;"manual",$M159&lt;&gt;$A$15)),
        IF(Import.TipoArredondamento&lt;&gt;"TransfereGOV",
              ROUND(OFFSET($P159,0,AU$13),15-13*ORÇAMENTO!$AF$7)/$H159*OFFSET(ORÇAMENTO!$X$15,ROW(AU159)-ROW(AU$15),0),
              ROUND(ROUND(OFFSET($P159,0,AU$13),15-13*ORÇAMENTO!$AF$7)*OFFSET(ORÇAMENTO!$W$15,ROW(AU159)-ROW(AU$15),0),15-13*ORÇAMENTO!$AF$11)),
         0)</f>
        <v>0</v>
      </c>
      <c r="AV159" s="452">
        <f ca="1">IF(AND($D159="Serviço",AV$12&lt;&gt;0,$H159&gt;0,OR(AUTOEVENTO&lt;&gt;"manual",$M159&lt;&gt;$A$15)),
        IF(Import.TipoArredondamento&lt;&gt;"TransfereGOV",
              ROUND(OFFSET($P159,0,AV$13),15-13*ORÇAMENTO!$AF$7)/$H159*OFFSET(ORÇAMENTO!$X$15,ROW(AV159)-ROW(AV$15),0),
              ROUND(ROUND(OFFSET($P159,0,AV$13),15-13*ORÇAMENTO!$AF$7)*OFFSET(ORÇAMENTO!$W$15,ROW(AV159)-ROW(AV$15),0),15-13*ORÇAMENTO!$AF$11)),
         0)</f>
        <v>0</v>
      </c>
      <c r="AW159" s="452">
        <f ca="1">IF(AND($D159="Serviço",AW$12&lt;&gt;0,$H159&gt;0,OR(AUTOEVENTO&lt;&gt;"manual",$M159&lt;&gt;$A$15)),
        IF(Import.TipoArredondamento&lt;&gt;"TransfereGOV",
              ROUND(OFFSET($P159,0,AW$13),15-13*ORÇAMENTO!$AF$7)/$H159*OFFSET(ORÇAMENTO!$X$15,ROW(AW159)-ROW(AW$15),0),
              ROUND(ROUND(OFFSET($P159,0,AW$13),15-13*ORÇAMENTO!$AF$7)*OFFSET(ORÇAMENTO!$W$15,ROW(AW159)-ROW(AW$15),0),15-13*ORÇAMENTO!$AF$11)),
         0)</f>
        <v>0</v>
      </c>
      <c r="AX159" s="452">
        <f ca="1">IF(AND($D159="Serviço",AX$12&lt;&gt;0,$H159&gt;0,OR(AUTOEVENTO&lt;&gt;"manual",$M159&lt;&gt;$A$15)),
        IF(Import.TipoArredondamento&lt;&gt;"TransfereGOV",
              ROUND(OFFSET($P159,0,AX$13),15-13*ORÇAMENTO!$AF$7)/$H159*OFFSET(ORÇAMENTO!$X$15,ROW(AX159)-ROW(AX$15),0),
              ROUND(ROUND(OFFSET($P159,0,AX$13),15-13*ORÇAMENTO!$AF$7)*OFFSET(ORÇAMENTO!$W$15,ROW(AX159)-ROW(AX$15),0),15-13*ORÇAMENTO!$AF$11)),
         0)</f>
        <v>0</v>
      </c>
      <c r="AY159" s="452">
        <f ca="1">IF(AND($D159="Serviço",AY$12&lt;&gt;0,$H159&gt;0,OR(AUTOEVENTO&lt;&gt;"manual",$M159&lt;&gt;$A$15)),
        IF(Import.TipoArredondamento&lt;&gt;"TransfereGOV",
              ROUND(OFFSET($P159,0,AY$13),15-13*ORÇAMENTO!$AF$7)/$H159*OFFSET(ORÇAMENTO!$X$15,ROW(AY159)-ROW(AY$15),0),
              ROUND(ROUND(OFFSET($P159,0,AY$13),15-13*ORÇAMENTO!$AF$7)*OFFSET(ORÇAMENTO!$W$15,ROW(AY159)-ROW(AY$15),0),15-13*ORÇAMENTO!$AF$11)),
         0)</f>
        <v>0</v>
      </c>
      <c r="AZ159" s="452">
        <f ca="1">IF(AND($D159="Serviço",AZ$12&lt;&gt;0,$H159&gt;0,OR(AUTOEVENTO&lt;&gt;"manual",$M159&lt;&gt;$A$15)),
        IF(Import.TipoArredondamento&lt;&gt;"TransfereGOV",
              ROUND(OFFSET($P159,0,AZ$13),15-13*ORÇAMENTO!$AF$7)/$H159*OFFSET(ORÇAMENTO!$X$15,ROW(AZ159)-ROW(AZ$15),0),
              ROUND(ROUND(OFFSET($P159,0,AZ$13),15-13*ORÇAMENTO!$AF$7)*OFFSET(ORÇAMENTO!$W$15,ROW(AZ159)-ROW(AZ$15),0),15-13*ORÇAMENTO!$AF$11)),
         0)</f>
        <v>0</v>
      </c>
      <c r="BA159" s="452">
        <f ca="1">IF(AND($D159="Serviço",BA$12&lt;&gt;0,$H159&gt;0,OR(AUTOEVENTO&lt;&gt;"manual",$M159&lt;&gt;$A$15)),
        IF(Import.TipoArredondamento&lt;&gt;"TransfereGOV",
              ROUND(OFFSET($P159,0,BA$13),15-13*ORÇAMENTO!$AF$7)/$H159*OFFSET(ORÇAMENTO!$X$15,ROW(BA159)-ROW(BA$15),0),
              ROUND(ROUND(OFFSET($P159,0,BA$13),15-13*ORÇAMENTO!$AF$7)*OFFSET(ORÇAMENTO!$W$15,ROW(BA159)-ROW(BA$15),0),15-13*ORÇAMENTO!$AF$11)),
         0)</f>
        <v>0</v>
      </c>
      <c r="BC159" s="171">
        <f ca="1">IF(OR($D159&lt;&gt;"Serviço",AND(AUTOEVENTO="Manual",$M159=$A$15)),0,
         IF(OFFSET(CRONOPLE!$F$15,$M159-$A$15,BC$13)=0,10^12,OFFSET(CRONOPLE!$F$15,$M159-$A$15,BC$13)))</f>
        <v>5</v>
      </c>
      <c r="BD159" s="171">
        <f ca="1">IF(OR($D159&lt;&gt;"Serviço",AND(AUTOEVENTO="Manual",$M159=$A$15)),0,
         IF(OFFSET(CRONOPLE!$F$15,$M159-$A$15,BD$13)=0,10^12,OFFSET(CRONOPLE!$F$15,$M159-$A$15,BD$13)))</f>
        <v>5</v>
      </c>
      <c r="BE159" s="171">
        <f ca="1">IF(OR($D159&lt;&gt;"Serviço",AND(AUTOEVENTO="Manual",$M159=$A$15)),0,
         IF(OFFSET(CRONOPLE!$F$15,$M159-$A$15,BE$13)=0,10^12,OFFSET(CRONOPLE!$F$15,$M159-$A$15,BE$13)))</f>
        <v>6</v>
      </c>
      <c r="BF159" s="171">
        <f ca="1">IF(OR($D159&lt;&gt;"Serviço",AND(AUTOEVENTO="Manual",$M159=$A$15)),0,
         IF(OFFSET(CRONOPLE!$F$15,$M159-$A$15,BF$13)=0,10^12,OFFSET(CRONOPLE!$F$15,$M159-$A$15,BF$13)))</f>
        <v>6</v>
      </c>
      <c r="BG159" s="171">
        <f ca="1">IF(OR($D159&lt;&gt;"Serviço",AND(AUTOEVENTO="Manual",$M159=$A$15)),0,
         IF(OFFSET(CRONOPLE!$F$15,$M159-$A$15,BG$13)=0,10^12,OFFSET(CRONOPLE!$F$15,$M159-$A$15,BG$13)))</f>
        <v>6</v>
      </c>
      <c r="BH159" s="171">
        <f ca="1">IF(OR($D159&lt;&gt;"Serviço",AND(AUTOEVENTO="Manual",$M159=$A$15)),0,
         IF(OFFSET(CRONOPLE!$F$15,$M159-$A$15,BH$13)=0,10^12,OFFSET(CRONOPLE!$F$15,$M159-$A$15,BH$13)))</f>
        <v>1000000000000</v>
      </c>
      <c r="BI159" s="171">
        <f ca="1">IF(OR($D159&lt;&gt;"Serviço",AND(AUTOEVENTO="Manual",$M159=$A$15)),0,
         IF(OFFSET(CRONOPLE!$F$15,$M159-$A$15,BI$13)=0,10^12,OFFSET(CRONOPLE!$F$15,$M159-$A$15,BI$13)))</f>
        <v>1000000000000</v>
      </c>
      <c r="BJ159" s="171">
        <f ca="1">IF(OR($D159&lt;&gt;"Serviço",AND(AUTOEVENTO="Manual",$M159=$A$15)),0,
         IF(OFFSET(CRONOPLE!$F$15,$M159-$A$15,BJ$13)=0,10^12,OFFSET(CRONOPLE!$F$15,$M159-$A$15,BJ$13)))</f>
        <v>1000000000000</v>
      </c>
      <c r="BK159" s="171">
        <f ca="1">IF(OR($D159&lt;&gt;"Serviço",AND(AUTOEVENTO="Manual",$M159=$A$15)),0,
         IF(OFFSET(CRONOPLE!$F$15,$M159-$A$15,BK$13)=0,10^12,OFFSET(CRONOPLE!$F$15,$M159-$A$15,BK$13)))</f>
        <v>1000000000000</v>
      </c>
      <c r="BL159" s="171">
        <f ca="1">IF(OR($D159&lt;&gt;"Serviço",AND(AUTOEVENTO="Manual",$M159=$A$15)),0,
         IF(OFFSET(CRONOPLE!$F$15,$M159-$A$15,BL$13)=0,10^12,OFFSET(CRONOPLE!$F$15,$M159-$A$15,BL$13)))</f>
        <v>1000000000000</v>
      </c>
      <c r="BM159" s="171">
        <f ca="1">IF(OR($D159&lt;&gt;"Serviço",AND(AUTOEVENTO="Manual",$M159=$A$15)),0,
         IF(OFFSET(CRONOPLE!$F$15,$M159-$A$15,BM$13)=0,10^12,OFFSET(CRONOPLE!$F$15,$M159-$A$15,BM$13)))</f>
        <v>1000000000000</v>
      </c>
      <c r="BN159" s="171">
        <f ca="1">IF(OR($D159&lt;&gt;"Serviço",AND(AUTOEVENTO="Manual",$M159=$A$15)),0,
         IF(OFFSET(CRONOPLE!$F$15,$M159-$A$15,BN$13)=0,10^12,OFFSET(CRONOPLE!$F$15,$M159-$A$15,BN$13)))</f>
        <v>1000000000000</v>
      </c>
      <c r="BO159" s="171">
        <f ca="1">IF(OR($D159&lt;&gt;"Serviço",AND(AUTOEVENTO="Manual",$M159=$A$15)),0,
         IF(OFFSET(CRONOPLE!$F$15,$M159-$A$15,BO$13)=0,10^12,OFFSET(CRONOPLE!$F$15,$M159-$A$15,BO$13)))</f>
        <v>1000000000000</v>
      </c>
      <c r="BP159" s="171">
        <f ca="1">IF(OR($D159&lt;&gt;"Serviço",AND(AUTOEVENTO="Manual",$M159=$A$15)),0,
         IF(OFFSET(CRONOPLE!$F$15,$M159-$A$15,BP$13)=0,10^12,OFFSET(CRONOPLE!$F$15,$M159-$A$15,BP$13)))</f>
        <v>1000000000000</v>
      </c>
      <c r="BQ159" s="171">
        <f ca="1">IF(OR($D159&lt;&gt;"Serviço",AND(AUTOEVENTO="Manual",$M159=$A$15)),0,
         IF(OFFSET(CRONOPLE!$F$15,$M159-$A$15,BQ$13)=0,10^12,OFFSET(CRONOPLE!$F$15,$M159-$A$15,BQ$13)))</f>
        <v>1000000000000</v>
      </c>
      <c r="BR159" s="171">
        <f ca="1">IF(OR($D159&lt;&gt;"Serviço",AND(AUTOEVENTO="Manual",$M159=$A$15)),0,
         IF(OFFSET(CRONOPLE!$F$15,$M159-$A$15,BR$13)=0,10^12,OFFSET(CRONOPLE!$F$15,$M159-$A$15,BR$13)))</f>
        <v>1000000000000</v>
      </c>
      <c r="BS159" s="171">
        <f ca="1">IF(OR($D159&lt;&gt;"Serviço",AND(AUTOEVENTO="Manual",$M159=$A$15)),0,
         IF(OFFSET(CRONOPLE!$F$15,$M159-$A$15,BS$13)=0,10^12,OFFSET(CRONOPLE!$F$15,$M159-$A$15,BS$13)))</f>
        <v>1000000000000</v>
      </c>
      <c r="BT159" s="171">
        <f ca="1">IF(OR($D159&lt;&gt;"Serviço",AND(AUTOEVENTO="Manual",$M159=$A$15)),0,
         IF(OFFSET(CRONOPLE!$F$15,$M159-$A$15,BT$13)=0,10^12,OFFSET(CRONOPLE!$F$15,$M159-$A$15,BT$13)))</f>
        <v>1000000000000</v>
      </c>
      <c r="BV159" s="172">
        <f t="array" aca="1" ref="BV159" ca="1">IF(OR($D159&lt;&gt;"Serviço",AND(AUTOEVENTO="Manual",$M159=$A$15),$M159&gt;(ROW(PLE.lastrow)-ROW(PLE.firstrow))),0,
           IF(OFFSET(PLE!$G$15,$M159-$A$15,BV$13)="",10^12,OFFSET(PLE!$G$15,$M159-$A$15,BV$13)))</f>
        <v>1000000000000</v>
      </c>
      <c r="BW159" s="172">
        <f t="array" aca="1" ref="BW159" ca="1">IF(OR($D159&lt;&gt;"Serviço",AND(AUTOEVENTO="Manual",$M159=$A$15),$M159&gt;(ROW(PLE.lastrow)-ROW(PLE.firstrow))),0,
           IF(OFFSET(PLE!$G$15,$M159-$A$15,BW$13)="",10^12,OFFSET(PLE!$G$15,$M159-$A$15,BW$13)))</f>
        <v>1000000000000</v>
      </c>
      <c r="BX159" s="172">
        <f t="array" aca="1" ref="BX159" ca="1">IF(OR($D159&lt;&gt;"Serviço",AND(AUTOEVENTO="Manual",$M159=$A$15),$M159&gt;(ROW(PLE.lastrow)-ROW(PLE.firstrow))),0,
           IF(OFFSET(PLE!$G$15,$M159-$A$15,BX$13)="",10^12,OFFSET(PLE!$G$15,$M159-$A$15,BX$13)))</f>
        <v>1000000000000</v>
      </c>
      <c r="BY159" s="172">
        <f t="array" aca="1" ref="BY159" ca="1">IF(OR($D159&lt;&gt;"Serviço",AND(AUTOEVENTO="Manual",$M159=$A$15),$M159&gt;(ROW(PLE.lastrow)-ROW(PLE.firstrow))),0,
           IF(OFFSET(PLE!$G$15,$M159-$A$15,BY$13)="",10^12,OFFSET(PLE!$G$15,$M159-$A$15,BY$13)))</f>
        <v>1000000000000</v>
      </c>
      <c r="BZ159" s="172">
        <f t="array" aca="1" ref="BZ159" ca="1">IF(OR($D159&lt;&gt;"Serviço",AND(AUTOEVENTO="Manual",$M159=$A$15),$M159&gt;(ROW(PLE.lastrow)-ROW(PLE.firstrow))),0,
           IF(OFFSET(PLE!$G$15,$M159-$A$15,BZ$13)="",10^12,OFFSET(PLE!$G$15,$M159-$A$15,BZ$13)))</f>
        <v>1000000000000</v>
      </c>
      <c r="CA159" s="172">
        <f t="array" aca="1" ref="CA159" ca="1">IF(OR($D159&lt;&gt;"Serviço",AND(AUTOEVENTO="Manual",$M159=$A$15),$M159&gt;(ROW(PLE.lastrow)-ROW(PLE.firstrow))),0,
           IF(OFFSET(PLE!$G$15,$M159-$A$15,CA$13)="",10^12,OFFSET(PLE!$G$15,$M159-$A$15,CA$13)))</f>
        <v>1000000000000</v>
      </c>
      <c r="CB159" s="172">
        <f t="array" aca="1" ref="CB159" ca="1">IF(OR($D159&lt;&gt;"Serviço",AND(AUTOEVENTO="Manual",$M159=$A$15),$M159&gt;(ROW(PLE.lastrow)-ROW(PLE.firstrow))),0,
           IF(OFFSET(PLE!$G$15,$M159-$A$15,CB$13)="",10^12,OFFSET(PLE!$G$15,$M159-$A$15,CB$13)))</f>
        <v>1000000000000</v>
      </c>
      <c r="CC159" s="172">
        <f t="array" aca="1" ref="CC159" ca="1">IF(OR($D159&lt;&gt;"Serviço",AND(AUTOEVENTO="Manual",$M159=$A$15),$M159&gt;(ROW(PLE.lastrow)-ROW(PLE.firstrow))),0,
           IF(OFFSET(PLE!$G$15,$M159-$A$15,CC$13)="",10^12,OFFSET(PLE!$G$15,$M159-$A$15,CC$13)))</f>
        <v>1000000000000</v>
      </c>
      <c r="CD159" s="172">
        <f t="array" aca="1" ref="CD159" ca="1">IF(OR($D159&lt;&gt;"Serviço",AND(AUTOEVENTO="Manual",$M159=$A$15),$M159&gt;(ROW(PLE.lastrow)-ROW(PLE.firstrow))),0,
           IF(OFFSET(PLE!$G$15,$M159-$A$15,CD$13)="",10^12,OFFSET(PLE!$G$15,$M159-$A$15,CD$13)))</f>
        <v>1000000000000</v>
      </c>
      <c r="CE159" s="172">
        <f t="array" aca="1" ref="CE159" ca="1">IF(OR($D159&lt;&gt;"Serviço",AND(AUTOEVENTO="Manual",$M159=$A$15),$M159&gt;(ROW(PLE.lastrow)-ROW(PLE.firstrow))),0,
           IF(OFFSET(PLE!$G$15,$M159-$A$15,CE$13)="",10^12,OFFSET(PLE!$G$15,$M159-$A$15,CE$13)))</f>
        <v>1000000000000</v>
      </c>
      <c r="CF159" s="172">
        <f t="array" aca="1" ref="CF159" ca="1">IF(OR($D159&lt;&gt;"Serviço",AND(AUTOEVENTO="Manual",$M159=$A$15),$M159&gt;(ROW(PLE.lastrow)-ROW(PLE.firstrow))),0,
           IF(OFFSET(PLE!$G$15,$M159-$A$15,CF$13)="",10^12,OFFSET(PLE!$G$15,$M159-$A$15,CF$13)))</f>
        <v>1000000000000</v>
      </c>
      <c r="CG159" s="172">
        <f t="array" aca="1" ref="CG159" ca="1">IF(OR($D159&lt;&gt;"Serviço",AND(AUTOEVENTO="Manual",$M159=$A$15),$M159&gt;(ROW(PLE.lastrow)-ROW(PLE.firstrow))),0,
           IF(OFFSET(PLE!$G$15,$M159-$A$15,CG$13)="",10^12,OFFSET(PLE!$G$15,$M159-$A$15,CG$13)))</f>
        <v>1000000000000</v>
      </c>
      <c r="CH159" s="172">
        <f t="array" aca="1" ref="CH159" ca="1">IF(OR($D159&lt;&gt;"Serviço",AND(AUTOEVENTO="Manual",$M159=$A$15),$M159&gt;(ROW(PLE.lastrow)-ROW(PLE.firstrow))),0,
           IF(OFFSET(PLE!$G$15,$M159-$A$15,CH$13)="",10^12,OFFSET(PLE!$G$15,$M159-$A$15,CH$13)))</f>
        <v>1000000000000</v>
      </c>
      <c r="CI159" s="172">
        <f t="array" aca="1" ref="CI159" ca="1">IF(OR($D159&lt;&gt;"Serviço",AND(AUTOEVENTO="Manual",$M159=$A$15),$M159&gt;(ROW(PLE.lastrow)-ROW(PLE.firstrow))),0,
           IF(OFFSET(PLE!$G$15,$M159-$A$15,CI$13)="",10^12,OFFSET(PLE!$G$15,$M159-$A$15,CI$13)))</f>
        <v>1000000000000</v>
      </c>
      <c r="CJ159" s="172">
        <f t="array" aca="1" ref="CJ159" ca="1">IF(OR($D159&lt;&gt;"Serviço",AND(AUTOEVENTO="Manual",$M159=$A$15),$M159&gt;(ROW(PLE.lastrow)-ROW(PLE.firstrow))),0,
           IF(OFFSET(PLE!$G$15,$M159-$A$15,CJ$13)="",10^12,OFFSET(PLE!$G$15,$M159-$A$15,CJ$13)))</f>
        <v>1000000000000</v>
      </c>
      <c r="CK159" s="172">
        <f t="array" aca="1" ref="CK159" ca="1">IF(OR($D159&lt;&gt;"Serviço",AND(AUTOEVENTO="Manual",$M159=$A$15),$M159&gt;(ROW(PLE.lastrow)-ROW(PLE.firstrow))),0,
           IF(OFFSET(PLE!$G$15,$M159-$A$15,CK$13)="",10^12,OFFSET(PLE!$G$15,$M159-$A$15,CK$13)))</f>
        <v>1000000000000</v>
      </c>
      <c r="CL159" s="172">
        <f t="array" aca="1" ref="CL159" ca="1">IF(OR($D159&lt;&gt;"Serviço",AND(AUTOEVENTO="Manual",$M159=$A$15),$M159&gt;(ROW(PLE.lastrow)-ROW(PLE.firstrow))),0,
           IF(OFFSET(PLE!$G$15,$M159-$A$15,CL$13)="",10^12,OFFSET(PLE!$G$15,$M159-$A$15,CL$13)))</f>
        <v>1000000000000</v>
      </c>
      <c r="CM159" s="172">
        <f t="array" aca="1" ref="CM159" ca="1">IF(OR($D159&lt;&gt;"Serviço",AND(AUTOEVENTO="Manual",$M159=$A$15),$M159&gt;(ROW(PLE.lastrow)-ROW(PLE.firstrow))),0,
           IF(OFFSET(PLE!$G$15,$M159-$A$15,CM$13)="",10^12,OFFSET(PLE!$G$15,$M159-$A$15,CM$13)))</f>
        <v>1000000000000</v>
      </c>
    </row>
    <row r="160" spans="1:91" s="696" customFormat="1" ht="51" x14ac:dyDescent="0.2">
      <c r="A160" s="694">
        <f t="shared" ca="1" si="82"/>
        <v>36</v>
      </c>
      <c r="B160" s="694" t="str">
        <f ca="1">OFFSET(ORÇAMENTO!C$15,$L160,0)</f>
        <v>S</v>
      </c>
      <c r="C160" s="694" t="str">
        <f ca="1">OFFSET(ORÇAMENTO!L$15,$L160,0)</f>
        <v>F</v>
      </c>
      <c r="D160" s="116" t="str">
        <f ca="1">OFFSET(ORÇAMENTO!N$15,$L160,0)</f>
        <v>Serviço</v>
      </c>
      <c r="E160" s="117" t="str">
        <f ca="1">OFFSET(ORÇAMENTO!O$15,$L160,0)</f>
        <v>1.25.8.</v>
      </c>
      <c r="F160" s="163" t="str">
        <f ca="1">OFFSET(ORÇAMENTO!R$15,$L160,0)</f>
        <v>ELETRODUTO FLEXÍVEL CORRUGADO REFORÇADO, PVC, DN 25 MM (3/4"), PARA CIRCUITOS TERMINAIS, INSTALADO EM LAJE - FORNECIMENTO E INSTALAÇÃO. AF_03/2023</v>
      </c>
      <c r="G160" s="164" t="str">
        <f ca="1">IF($D160&lt;&gt;"Serviço","",OFFSET(ORÇAMENTO!S$15,$L160,0))</f>
        <v>M</v>
      </c>
      <c r="H160" s="122">
        <f t="array" aca="1" ref="H160" ca="1">IF($D160&lt;&gt;"Serviço",0,IF(ACOMPANHAMENTO="BM",ROUND(OFFSET(ORÇAMENTO!AJ$15,$L160,0),15-13*ORÇAMENTO!$AF$7),IF(IFERROR(CÁLCULO.FrentesPreenchidas,0)=0,0,SUM(ROUND(OFFSET($P160,0,1,1,CÁLCULO.FrentesPreenchidas),15-13*ORÇAMENTO!$AF$7)))))</f>
        <v>441.2</v>
      </c>
      <c r="I160" s="467" t="s">
        <v>1308</v>
      </c>
      <c r="J160" s="653" t="str">
        <f t="array" aca="1" ref="J160" ca="1">IF(OR(B160&lt;&gt;"S",CÁLCULO.FrentesPreenchidas=0),"",IF(AND(ACOMPANHAMENTO="PLE",AUTOEVENTO="Manual",OR(H160&gt;0,ORÇAMENTO!AC160="QUANT."),OR(K160="",M160=0,N160="")),"►E",IF(AND(ACOMPANHAMENTO="PLE",ORÇAMENTO!AC160="QUANT."),"►Q",IF(AND(ACOMPANHAMENTO="PLE",H160&lt;&gt;SUMPRODUCT(($Q$1:$AI$1=1)*ROUND(Q160:AI160,15))),"►S",IF(AND(COUNTIF($P$11:$AI$11,"▼")=0,H160&gt;0,I160=""),"◄M","")))))</f>
        <v/>
      </c>
      <c r="K160" s="654" t="s">
        <v>1444</v>
      </c>
      <c r="L160" s="165">
        <f t="shared" ca="1" si="83"/>
        <v>145</v>
      </c>
      <c r="M160" s="166">
        <f ca="1">IF($D160&lt;&gt;"Serviço","",
          IF(AUTOEVENTO="manual",$A160,
                IF(ISERROR(MATCH($A160,$A$15:OFFSET($A160,-1,0),0)),MAX($M$15:OFFSET(M160,-1,0))+1,
                      INDEX($M$15:OFFSET(M160,-1,0),MATCH($A160,$A$15:OFFSET($A160,-1,0),0)))))</f>
        <v>36</v>
      </c>
      <c r="N160" s="167" t="str">
        <f ca="1">IF($D160&lt;&gt;"Serviço","",
         IF(AUTOEVENTO="Manual",
                IF($A160=0,"&lt;-- defina o número do agrupador",
                       OFFSET(EVENTOS!$D$15,$A160-$A$15,0)),
                OFFSET($F$15,$A160,0)))</f>
        <v>ELÉTRICA EMBITIDA EM LAJE E FORROS</v>
      </c>
      <c r="O160" s="168"/>
      <c r="Q160" s="169">
        <f>22.06*5</f>
        <v>110.3</v>
      </c>
      <c r="R160" s="169">
        <f t="shared" ref="R160:T160" si="91">22.06*5</f>
        <v>110.3</v>
      </c>
      <c r="S160" s="169">
        <f t="shared" si="91"/>
        <v>110.3</v>
      </c>
      <c r="T160" s="169">
        <f t="shared" si="91"/>
        <v>110.3</v>
      </c>
      <c r="U160" s="169"/>
      <c r="V160" s="169"/>
      <c r="W160" s="169"/>
      <c r="X160" s="169"/>
      <c r="Y160" s="169"/>
      <c r="Z160" s="170"/>
      <c r="AA160" s="169"/>
      <c r="AB160" s="169"/>
      <c r="AC160" s="169"/>
      <c r="AD160" s="169"/>
      <c r="AE160" s="169"/>
      <c r="AF160" s="169"/>
      <c r="AG160" s="169"/>
      <c r="AH160" s="170"/>
      <c r="AJ160" s="452">
        <f ca="1">IF(AND($D160="Serviço",AJ$12&lt;&gt;0,$H160&gt;0,OR(AUTOEVENTO&lt;&gt;"manual",$M160&lt;&gt;$A$15)),
        IF(Import.TipoArredondamento&lt;&gt;"TransfereGOV",
              ROUND(OFFSET($P160,0,AJ$13),15-13*ORÇAMENTO!$AF$7)/$H160*OFFSET(ORÇAMENTO!$X$15,ROW(AJ160)-ROW(AJ$15),0),
              ROUND(ROUND(OFFSET($P160,0,AJ$13),15-13*ORÇAMENTO!$AF$7)*OFFSET(ORÇAMENTO!$W$15,ROW(AJ160)-ROW(AJ$15),0),15-13*ORÇAMENTO!$AF$11)),
         0)</f>
        <v>1107.4100000000001</v>
      </c>
      <c r="AK160" s="452">
        <f ca="1">IF(AND($D160="Serviço",AK$12&lt;&gt;0,$H160&gt;0,OR(AUTOEVENTO&lt;&gt;"manual",$M160&lt;&gt;$A$15)),
        IF(Import.TipoArredondamento&lt;&gt;"TransfereGOV",
              ROUND(OFFSET($P160,0,AK$13),15-13*ORÇAMENTO!$AF$7)/$H160*OFFSET(ORÇAMENTO!$X$15,ROW(AK160)-ROW(AK$15),0),
              ROUND(ROUND(OFFSET($P160,0,AK$13),15-13*ORÇAMENTO!$AF$7)*OFFSET(ORÇAMENTO!$W$15,ROW(AK160)-ROW(AK$15),0),15-13*ORÇAMENTO!$AF$11)),
         0)</f>
        <v>1107.4100000000001</v>
      </c>
      <c r="AL160" s="452">
        <f ca="1">IF(AND($D160="Serviço",AL$12&lt;&gt;0,$H160&gt;0,OR(AUTOEVENTO&lt;&gt;"manual",$M160&lt;&gt;$A$15)),
        IF(Import.TipoArredondamento&lt;&gt;"TransfereGOV",
              ROUND(OFFSET($P160,0,AL$13),15-13*ORÇAMENTO!$AF$7)/$H160*OFFSET(ORÇAMENTO!$X$15,ROW(AL160)-ROW(AL$15),0),
              ROUND(ROUND(OFFSET($P160,0,AL$13),15-13*ORÇAMENTO!$AF$7)*OFFSET(ORÇAMENTO!$W$15,ROW(AL160)-ROW(AL$15),0),15-13*ORÇAMENTO!$AF$11)),
         0)</f>
        <v>1107.4100000000001</v>
      </c>
      <c r="AM160" s="452">
        <f ca="1">IF(AND($D160="Serviço",AM$12&lt;&gt;0,$H160&gt;0,OR(AUTOEVENTO&lt;&gt;"manual",$M160&lt;&gt;$A$15)),
        IF(Import.TipoArredondamento&lt;&gt;"TransfereGOV",
              ROUND(OFFSET($P160,0,AM$13),15-13*ORÇAMENTO!$AF$7)/$H160*OFFSET(ORÇAMENTO!$X$15,ROW(AM160)-ROW(AM$15),0),
              ROUND(ROUND(OFFSET($P160,0,AM$13),15-13*ORÇAMENTO!$AF$7)*OFFSET(ORÇAMENTO!$W$15,ROW(AM160)-ROW(AM$15),0),15-13*ORÇAMENTO!$AF$11)),
         0)</f>
        <v>1107.4100000000001</v>
      </c>
      <c r="AN160" s="452">
        <f ca="1">IF(AND($D160="Serviço",AN$12&lt;&gt;0,$H160&gt;0,OR(AUTOEVENTO&lt;&gt;"manual",$M160&lt;&gt;$A$15)),
        IF(Import.TipoArredondamento&lt;&gt;"TransfereGOV",
              ROUND(OFFSET($P160,0,AN$13),15-13*ORÇAMENTO!$AF$7)/$H160*OFFSET(ORÇAMENTO!$X$15,ROW(AN160)-ROW(AN$15),0),
              ROUND(ROUND(OFFSET($P160,0,AN$13),15-13*ORÇAMENTO!$AF$7)*OFFSET(ORÇAMENTO!$W$15,ROW(AN160)-ROW(AN$15),0),15-13*ORÇAMENTO!$AF$11)),
         0)</f>
        <v>0</v>
      </c>
      <c r="AO160" s="452">
        <f ca="1">IF(AND($D160="Serviço",AO$12&lt;&gt;0,$H160&gt;0,OR(AUTOEVENTO&lt;&gt;"manual",$M160&lt;&gt;$A$15)),
        IF(Import.TipoArredondamento&lt;&gt;"TransfereGOV",
              ROUND(OFFSET($P160,0,AO$13),15-13*ORÇAMENTO!$AF$7)/$H160*OFFSET(ORÇAMENTO!$X$15,ROW(AO160)-ROW(AO$15),0),
              ROUND(ROUND(OFFSET($P160,0,AO$13),15-13*ORÇAMENTO!$AF$7)*OFFSET(ORÇAMENTO!$W$15,ROW(AO160)-ROW(AO$15),0),15-13*ORÇAMENTO!$AF$11)),
         0)</f>
        <v>0</v>
      </c>
      <c r="AP160" s="452">
        <f ca="1">IF(AND($D160="Serviço",AP$12&lt;&gt;0,$H160&gt;0,OR(AUTOEVENTO&lt;&gt;"manual",$M160&lt;&gt;$A$15)),
        IF(Import.TipoArredondamento&lt;&gt;"TransfereGOV",
              ROUND(OFFSET($P160,0,AP$13),15-13*ORÇAMENTO!$AF$7)/$H160*OFFSET(ORÇAMENTO!$X$15,ROW(AP160)-ROW(AP$15),0),
              ROUND(ROUND(OFFSET($P160,0,AP$13),15-13*ORÇAMENTO!$AF$7)*OFFSET(ORÇAMENTO!$W$15,ROW(AP160)-ROW(AP$15),0),15-13*ORÇAMENTO!$AF$11)),
         0)</f>
        <v>0</v>
      </c>
      <c r="AQ160" s="452">
        <f ca="1">IF(AND($D160="Serviço",AQ$12&lt;&gt;0,$H160&gt;0,OR(AUTOEVENTO&lt;&gt;"manual",$M160&lt;&gt;$A$15)),
        IF(Import.TipoArredondamento&lt;&gt;"TransfereGOV",
              ROUND(OFFSET($P160,0,AQ$13),15-13*ORÇAMENTO!$AF$7)/$H160*OFFSET(ORÇAMENTO!$X$15,ROW(AQ160)-ROW(AQ$15),0),
              ROUND(ROUND(OFFSET($P160,0,AQ$13),15-13*ORÇAMENTO!$AF$7)*OFFSET(ORÇAMENTO!$W$15,ROW(AQ160)-ROW(AQ$15),0),15-13*ORÇAMENTO!$AF$11)),
         0)</f>
        <v>0</v>
      </c>
      <c r="AR160" s="452">
        <f ca="1">IF(AND($D160="Serviço",AR$12&lt;&gt;0,$H160&gt;0,OR(AUTOEVENTO&lt;&gt;"manual",$M160&lt;&gt;$A$15)),
        IF(Import.TipoArredondamento&lt;&gt;"TransfereGOV",
              ROUND(OFFSET($P160,0,AR$13),15-13*ORÇAMENTO!$AF$7)/$H160*OFFSET(ORÇAMENTO!$X$15,ROW(AR160)-ROW(AR$15),0),
              ROUND(ROUND(OFFSET($P160,0,AR$13),15-13*ORÇAMENTO!$AF$7)*OFFSET(ORÇAMENTO!$W$15,ROW(AR160)-ROW(AR$15),0),15-13*ORÇAMENTO!$AF$11)),
         0)</f>
        <v>0</v>
      </c>
      <c r="AS160" s="452">
        <f ca="1">IF(AND($D160="Serviço",AS$12&lt;&gt;0,$H160&gt;0,OR(AUTOEVENTO&lt;&gt;"manual",$M160&lt;&gt;$A$15)),
        IF(Import.TipoArredondamento&lt;&gt;"TransfereGOV",
              ROUND(OFFSET($P160,0,AS$13),15-13*ORÇAMENTO!$AF$7)/$H160*OFFSET(ORÇAMENTO!$X$15,ROW(AS160)-ROW(AS$15),0),
              ROUND(ROUND(OFFSET($P160,0,AS$13),15-13*ORÇAMENTO!$AF$7)*OFFSET(ORÇAMENTO!$W$15,ROW(AS160)-ROW(AS$15),0),15-13*ORÇAMENTO!$AF$11)),
         0)</f>
        <v>0</v>
      </c>
      <c r="AT160" s="452">
        <f ca="1">IF(AND($D160="Serviço",AT$12&lt;&gt;0,$H160&gt;0,OR(AUTOEVENTO&lt;&gt;"manual",$M160&lt;&gt;$A$15)),
        IF(Import.TipoArredondamento&lt;&gt;"TransfereGOV",
              ROUND(OFFSET($P160,0,AT$13),15-13*ORÇAMENTO!$AF$7)/$H160*OFFSET(ORÇAMENTO!$X$15,ROW(AT160)-ROW(AT$15),0),
              ROUND(ROUND(OFFSET($P160,0,AT$13),15-13*ORÇAMENTO!$AF$7)*OFFSET(ORÇAMENTO!$W$15,ROW(AT160)-ROW(AT$15),0),15-13*ORÇAMENTO!$AF$11)),
         0)</f>
        <v>0</v>
      </c>
      <c r="AU160" s="452">
        <f ca="1">IF(AND($D160="Serviço",AU$12&lt;&gt;0,$H160&gt;0,OR(AUTOEVENTO&lt;&gt;"manual",$M160&lt;&gt;$A$15)),
        IF(Import.TipoArredondamento&lt;&gt;"TransfereGOV",
              ROUND(OFFSET($P160,0,AU$13),15-13*ORÇAMENTO!$AF$7)/$H160*OFFSET(ORÇAMENTO!$X$15,ROW(AU160)-ROW(AU$15),0),
              ROUND(ROUND(OFFSET($P160,0,AU$13),15-13*ORÇAMENTO!$AF$7)*OFFSET(ORÇAMENTO!$W$15,ROW(AU160)-ROW(AU$15),0),15-13*ORÇAMENTO!$AF$11)),
         0)</f>
        <v>0</v>
      </c>
      <c r="AV160" s="452">
        <f ca="1">IF(AND($D160="Serviço",AV$12&lt;&gt;0,$H160&gt;0,OR(AUTOEVENTO&lt;&gt;"manual",$M160&lt;&gt;$A$15)),
        IF(Import.TipoArredondamento&lt;&gt;"TransfereGOV",
              ROUND(OFFSET($P160,0,AV$13),15-13*ORÇAMENTO!$AF$7)/$H160*OFFSET(ORÇAMENTO!$X$15,ROW(AV160)-ROW(AV$15),0),
              ROUND(ROUND(OFFSET($P160,0,AV$13),15-13*ORÇAMENTO!$AF$7)*OFFSET(ORÇAMENTO!$W$15,ROW(AV160)-ROW(AV$15),0),15-13*ORÇAMENTO!$AF$11)),
         0)</f>
        <v>0</v>
      </c>
      <c r="AW160" s="452">
        <f ca="1">IF(AND($D160="Serviço",AW$12&lt;&gt;0,$H160&gt;0,OR(AUTOEVENTO&lt;&gt;"manual",$M160&lt;&gt;$A$15)),
        IF(Import.TipoArredondamento&lt;&gt;"TransfereGOV",
              ROUND(OFFSET($P160,0,AW$13),15-13*ORÇAMENTO!$AF$7)/$H160*OFFSET(ORÇAMENTO!$X$15,ROW(AW160)-ROW(AW$15),0),
              ROUND(ROUND(OFFSET($P160,0,AW$13),15-13*ORÇAMENTO!$AF$7)*OFFSET(ORÇAMENTO!$W$15,ROW(AW160)-ROW(AW$15),0),15-13*ORÇAMENTO!$AF$11)),
         0)</f>
        <v>0</v>
      </c>
      <c r="AX160" s="452">
        <f ca="1">IF(AND($D160="Serviço",AX$12&lt;&gt;0,$H160&gt;0,OR(AUTOEVENTO&lt;&gt;"manual",$M160&lt;&gt;$A$15)),
        IF(Import.TipoArredondamento&lt;&gt;"TransfereGOV",
              ROUND(OFFSET($P160,0,AX$13),15-13*ORÇAMENTO!$AF$7)/$H160*OFFSET(ORÇAMENTO!$X$15,ROW(AX160)-ROW(AX$15),0),
              ROUND(ROUND(OFFSET($P160,0,AX$13),15-13*ORÇAMENTO!$AF$7)*OFFSET(ORÇAMENTO!$W$15,ROW(AX160)-ROW(AX$15),0),15-13*ORÇAMENTO!$AF$11)),
         0)</f>
        <v>0</v>
      </c>
      <c r="AY160" s="452">
        <f ca="1">IF(AND($D160="Serviço",AY$12&lt;&gt;0,$H160&gt;0,OR(AUTOEVENTO&lt;&gt;"manual",$M160&lt;&gt;$A$15)),
        IF(Import.TipoArredondamento&lt;&gt;"TransfereGOV",
              ROUND(OFFSET($P160,0,AY$13),15-13*ORÇAMENTO!$AF$7)/$H160*OFFSET(ORÇAMENTO!$X$15,ROW(AY160)-ROW(AY$15),0),
              ROUND(ROUND(OFFSET($P160,0,AY$13),15-13*ORÇAMENTO!$AF$7)*OFFSET(ORÇAMENTO!$W$15,ROW(AY160)-ROW(AY$15),0),15-13*ORÇAMENTO!$AF$11)),
         0)</f>
        <v>0</v>
      </c>
      <c r="AZ160" s="452">
        <f ca="1">IF(AND($D160="Serviço",AZ$12&lt;&gt;0,$H160&gt;0,OR(AUTOEVENTO&lt;&gt;"manual",$M160&lt;&gt;$A$15)),
        IF(Import.TipoArredondamento&lt;&gt;"TransfereGOV",
              ROUND(OFFSET($P160,0,AZ$13),15-13*ORÇAMENTO!$AF$7)/$H160*OFFSET(ORÇAMENTO!$X$15,ROW(AZ160)-ROW(AZ$15),0),
              ROUND(ROUND(OFFSET($P160,0,AZ$13),15-13*ORÇAMENTO!$AF$7)*OFFSET(ORÇAMENTO!$W$15,ROW(AZ160)-ROW(AZ$15),0),15-13*ORÇAMENTO!$AF$11)),
         0)</f>
        <v>0</v>
      </c>
      <c r="BA160" s="452">
        <f ca="1">IF(AND($D160="Serviço",BA$12&lt;&gt;0,$H160&gt;0,OR(AUTOEVENTO&lt;&gt;"manual",$M160&lt;&gt;$A$15)),
        IF(Import.TipoArredondamento&lt;&gt;"TransfereGOV",
              ROUND(OFFSET($P160,0,BA$13),15-13*ORÇAMENTO!$AF$7)/$H160*OFFSET(ORÇAMENTO!$X$15,ROW(BA160)-ROW(BA$15),0),
              ROUND(ROUND(OFFSET($P160,0,BA$13),15-13*ORÇAMENTO!$AF$7)*OFFSET(ORÇAMENTO!$W$15,ROW(BA160)-ROW(BA$15),0),15-13*ORÇAMENTO!$AF$11)),
         0)</f>
        <v>0</v>
      </c>
      <c r="BC160" s="171">
        <f ca="1">IF(OR($D160&lt;&gt;"Serviço",AND(AUTOEVENTO="Manual",$M160=$A$15)),0,
         IF(OFFSET(CRONOPLE!$F$15,$M160-$A$15,BC$13)=0,10^12,OFFSET(CRONOPLE!$F$15,$M160-$A$15,BC$13)))</f>
        <v>6</v>
      </c>
      <c r="BD160" s="171">
        <f ca="1">IF(OR($D160&lt;&gt;"Serviço",AND(AUTOEVENTO="Manual",$M160=$A$15)),0,
         IF(OFFSET(CRONOPLE!$F$15,$M160-$A$15,BD$13)=0,10^12,OFFSET(CRONOPLE!$F$15,$M160-$A$15,BD$13)))</f>
        <v>5</v>
      </c>
      <c r="BE160" s="171">
        <f ca="1">IF(OR($D160&lt;&gt;"Serviço",AND(AUTOEVENTO="Manual",$M160=$A$15)),0,
         IF(OFFSET(CRONOPLE!$F$15,$M160-$A$15,BE$13)=0,10^12,OFFSET(CRONOPLE!$F$15,$M160-$A$15,BE$13)))</f>
        <v>7</v>
      </c>
      <c r="BF160" s="171">
        <f ca="1">IF(OR($D160&lt;&gt;"Serviço",AND(AUTOEVENTO="Manual",$M160=$A$15)),0,
         IF(OFFSET(CRONOPLE!$F$15,$M160-$A$15,BF$13)=0,10^12,OFFSET(CRONOPLE!$F$15,$M160-$A$15,BF$13)))</f>
        <v>7</v>
      </c>
      <c r="BG160" s="171">
        <f ca="1">IF(OR($D160&lt;&gt;"Serviço",AND(AUTOEVENTO="Manual",$M160=$A$15)),0,
         IF(OFFSET(CRONOPLE!$F$15,$M160-$A$15,BG$13)=0,10^12,OFFSET(CRONOPLE!$F$15,$M160-$A$15,BG$13)))</f>
        <v>7</v>
      </c>
      <c r="BH160" s="171">
        <f ca="1">IF(OR($D160&lt;&gt;"Serviço",AND(AUTOEVENTO="Manual",$M160=$A$15)),0,
         IF(OFFSET(CRONOPLE!$F$15,$M160-$A$15,BH$13)=0,10^12,OFFSET(CRONOPLE!$F$15,$M160-$A$15,BH$13)))</f>
        <v>1000000000000</v>
      </c>
      <c r="BI160" s="171">
        <f ca="1">IF(OR($D160&lt;&gt;"Serviço",AND(AUTOEVENTO="Manual",$M160=$A$15)),0,
         IF(OFFSET(CRONOPLE!$F$15,$M160-$A$15,BI$13)=0,10^12,OFFSET(CRONOPLE!$F$15,$M160-$A$15,BI$13)))</f>
        <v>1000000000000</v>
      </c>
      <c r="BJ160" s="171">
        <f ca="1">IF(OR($D160&lt;&gt;"Serviço",AND(AUTOEVENTO="Manual",$M160=$A$15)),0,
         IF(OFFSET(CRONOPLE!$F$15,$M160-$A$15,BJ$13)=0,10^12,OFFSET(CRONOPLE!$F$15,$M160-$A$15,BJ$13)))</f>
        <v>1000000000000</v>
      </c>
      <c r="BK160" s="171">
        <f ca="1">IF(OR($D160&lt;&gt;"Serviço",AND(AUTOEVENTO="Manual",$M160=$A$15)),0,
         IF(OFFSET(CRONOPLE!$F$15,$M160-$A$15,BK$13)=0,10^12,OFFSET(CRONOPLE!$F$15,$M160-$A$15,BK$13)))</f>
        <v>1000000000000</v>
      </c>
      <c r="BL160" s="171">
        <f ca="1">IF(OR($D160&lt;&gt;"Serviço",AND(AUTOEVENTO="Manual",$M160=$A$15)),0,
         IF(OFFSET(CRONOPLE!$F$15,$M160-$A$15,BL$13)=0,10^12,OFFSET(CRONOPLE!$F$15,$M160-$A$15,BL$13)))</f>
        <v>1000000000000</v>
      </c>
      <c r="BM160" s="171">
        <f ca="1">IF(OR($D160&lt;&gt;"Serviço",AND(AUTOEVENTO="Manual",$M160=$A$15)),0,
         IF(OFFSET(CRONOPLE!$F$15,$M160-$A$15,BM$13)=0,10^12,OFFSET(CRONOPLE!$F$15,$M160-$A$15,BM$13)))</f>
        <v>1000000000000</v>
      </c>
      <c r="BN160" s="171">
        <f ca="1">IF(OR($D160&lt;&gt;"Serviço",AND(AUTOEVENTO="Manual",$M160=$A$15)),0,
         IF(OFFSET(CRONOPLE!$F$15,$M160-$A$15,BN$13)=0,10^12,OFFSET(CRONOPLE!$F$15,$M160-$A$15,BN$13)))</f>
        <v>1000000000000</v>
      </c>
      <c r="BO160" s="171">
        <f ca="1">IF(OR($D160&lt;&gt;"Serviço",AND(AUTOEVENTO="Manual",$M160=$A$15)),0,
         IF(OFFSET(CRONOPLE!$F$15,$M160-$A$15,BO$13)=0,10^12,OFFSET(CRONOPLE!$F$15,$M160-$A$15,BO$13)))</f>
        <v>1000000000000</v>
      </c>
      <c r="BP160" s="171">
        <f ca="1">IF(OR($D160&lt;&gt;"Serviço",AND(AUTOEVENTO="Manual",$M160=$A$15)),0,
         IF(OFFSET(CRONOPLE!$F$15,$M160-$A$15,BP$13)=0,10^12,OFFSET(CRONOPLE!$F$15,$M160-$A$15,BP$13)))</f>
        <v>1000000000000</v>
      </c>
      <c r="BQ160" s="171">
        <f ca="1">IF(OR($D160&lt;&gt;"Serviço",AND(AUTOEVENTO="Manual",$M160=$A$15)),0,
         IF(OFFSET(CRONOPLE!$F$15,$M160-$A$15,BQ$13)=0,10^12,OFFSET(CRONOPLE!$F$15,$M160-$A$15,BQ$13)))</f>
        <v>1000000000000</v>
      </c>
      <c r="BR160" s="171">
        <f ca="1">IF(OR($D160&lt;&gt;"Serviço",AND(AUTOEVENTO="Manual",$M160=$A$15)),0,
         IF(OFFSET(CRONOPLE!$F$15,$M160-$A$15,BR$13)=0,10^12,OFFSET(CRONOPLE!$F$15,$M160-$A$15,BR$13)))</f>
        <v>1000000000000</v>
      </c>
      <c r="BS160" s="171">
        <f ca="1">IF(OR($D160&lt;&gt;"Serviço",AND(AUTOEVENTO="Manual",$M160=$A$15)),0,
         IF(OFFSET(CRONOPLE!$F$15,$M160-$A$15,BS$13)=0,10^12,OFFSET(CRONOPLE!$F$15,$M160-$A$15,BS$13)))</f>
        <v>1000000000000</v>
      </c>
      <c r="BT160" s="171">
        <f ca="1">IF(OR($D160&lt;&gt;"Serviço",AND(AUTOEVENTO="Manual",$M160=$A$15)),0,
         IF(OFFSET(CRONOPLE!$F$15,$M160-$A$15,BT$13)=0,10^12,OFFSET(CRONOPLE!$F$15,$M160-$A$15,BT$13)))</f>
        <v>1000000000000</v>
      </c>
      <c r="BV160" s="172">
        <f t="array" aca="1" ref="BV160" ca="1">IF(OR($D160&lt;&gt;"Serviço",AND(AUTOEVENTO="Manual",$M160=$A$15),$M160&gt;(ROW(PLE.lastrow)-ROW(PLE.firstrow))),0,
           IF(OFFSET(PLE!$G$15,$M160-$A$15,BV$13)="",10^12,OFFSET(PLE!$G$15,$M160-$A$15,BV$13)))</f>
        <v>1000000000000</v>
      </c>
      <c r="BW160" s="172">
        <f t="array" aca="1" ref="BW160" ca="1">IF(OR($D160&lt;&gt;"Serviço",AND(AUTOEVENTO="Manual",$M160=$A$15),$M160&gt;(ROW(PLE.lastrow)-ROW(PLE.firstrow))),0,
           IF(OFFSET(PLE!$G$15,$M160-$A$15,BW$13)="",10^12,OFFSET(PLE!$G$15,$M160-$A$15,BW$13)))</f>
        <v>1000000000000</v>
      </c>
      <c r="BX160" s="172">
        <f t="array" aca="1" ref="BX160" ca="1">IF(OR($D160&lt;&gt;"Serviço",AND(AUTOEVENTO="Manual",$M160=$A$15),$M160&gt;(ROW(PLE.lastrow)-ROW(PLE.firstrow))),0,
           IF(OFFSET(PLE!$G$15,$M160-$A$15,BX$13)="",10^12,OFFSET(PLE!$G$15,$M160-$A$15,BX$13)))</f>
        <v>1000000000000</v>
      </c>
      <c r="BY160" s="172">
        <f t="array" aca="1" ref="BY160" ca="1">IF(OR($D160&lt;&gt;"Serviço",AND(AUTOEVENTO="Manual",$M160=$A$15),$M160&gt;(ROW(PLE.lastrow)-ROW(PLE.firstrow))),0,
           IF(OFFSET(PLE!$G$15,$M160-$A$15,BY$13)="",10^12,OFFSET(PLE!$G$15,$M160-$A$15,BY$13)))</f>
        <v>1000000000000</v>
      </c>
      <c r="BZ160" s="172">
        <f t="array" aca="1" ref="BZ160" ca="1">IF(OR($D160&lt;&gt;"Serviço",AND(AUTOEVENTO="Manual",$M160=$A$15),$M160&gt;(ROW(PLE.lastrow)-ROW(PLE.firstrow))),0,
           IF(OFFSET(PLE!$G$15,$M160-$A$15,BZ$13)="",10^12,OFFSET(PLE!$G$15,$M160-$A$15,BZ$13)))</f>
        <v>1000000000000</v>
      </c>
      <c r="CA160" s="172">
        <f t="array" aca="1" ref="CA160" ca="1">IF(OR($D160&lt;&gt;"Serviço",AND(AUTOEVENTO="Manual",$M160=$A$15),$M160&gt;(ROW(PLE.lastrow)-ROW(PLE.firstrow))),0,
           IF(OFFSET(PLE!$G$15,$M160-$A$15,CA$13)="",10^12,OFFSET(PLE!$G$15,$M160-$A$15,CA$13)))</f>
        <v>1000000000000</v>
      </c>
      <c r="CB160" s="172">
        <f t="array" aca="1" ref="CB160" ca="1">IF(OR($D160&lt;&gt;"Serviço",AND(AUTOEVENTO="Manual",$M160=$A$15),$M160&gt;(ROW(PLE.lastrow)-ROW(PLE.firstrow))),0,
           IF(OFFSET(PLE!$G$15,$M160-$A$15,CB$13)="",10^12,OFFSET(PLE!$G$15,$M160-$A$15,CB$13)))</f>
        <v>1000000000000</v>
      </c>
      <c r="CC160" s="172">
        <f t="array" aca="1" ref="CC160" ca="1">IF(OR($D160&lt;&gt;"Serviço",AND(AUTOEVENTO="Manual",$M160=$A$15),$M160&gt;(ROW(PLE.lastrow)-ROW(PLE.firstrow))),0,
           IF(OFFSET(PLE!$G$15,$M160-$A$15,CC$13)="",10^12,OFFSET(PLE!$G$15,$M160-$A$15,CC$13)))</f>
        <v>1000000000000</v>
      </c>
      <c r="CD160" s="172">
        <f t="array" aca="1" ref="CD160" ca="1">IF(OR($D160&lt;&gt;"Serviço",AND(AUTOEVENTO="Manual",$M160=$A$15),$M160&gt;(ROW(PLE.lastrow)-ROW(PLE.firstrow))),0,
           IF(OFFSET(PLE!$G$15,$M160-$A$15,CD$13)="",10^12,OFFSET(PLE!$G$15,$M160-$A$15,CD$13)))</f>
        <v>1000000000000</v>
      </c>
      <c r="CE160" s="172">
        <f t="array" aca="1" ref="CE160" ca="1">IF(OR($D160&lt;&gt;"Serviço",AND(AUTOEVENTO="Manual",$M160=$A$15),$M160&gt;(ROW(PLE.lastrow)-ROW(PLE.firstrow))),0,
           IF(OFFSET(PLE!$G$15,$M160-$A$15,CE$13)="",10^12,OFFSET(PLE!$G$15,$M160-$A$15,CE$13)))</f>
        <v>1000000000000</v>
      </c>
      <c r="CF160" s="172">
        <f t="array" aca="1" ref="CF160" ca="1">IF(OR($D160&lt;&gt;"Serviço",AND(AUTOEVENTO="Manual",$M160=$A$15),$M160&gt;(ROW(PLE.lastrow)-ROW(PLE.firstrow))),0,
           IF(OFFSET(PLE!$G$15,$M160-$A$15,CF$13)="",10^12,OFFSET(PLE!$G$15,$M160-$A$15,CF$13)))</f>
        <v>1000000000000</v>
      </c>
      <c r="CG160" s="172">
        <f t="array" aca="1" ref="CG160" ca="1">IF(OR($D160&lt;&gt;"Serviço",AND(AUTOEVENTO="Manual",$M160=$A$15),$M160&gt;(ROW(PLE.lastrow)-ROW(PLE.firstrow))),0,
           IF(OFFSET(PLE!$G$15,$M160-$A$15,CG$13)="",10^12,OFFSET(PLE!$G$15,$M160-$A$15,CG$13)))</f>
        <v>1000000000000</v>
      </c>
      <c r="CH160" s="172">
        <f t="array" aca="1" ref="CH160" ca="1">IF(OR($D160&lt;&gt;"Serviço",AND(AUTOEVENTO="Manual",$M160=$A$15),$M160&gt;(ROW(PLE.lastrow)-ROW(PLE.firstrow))),0,
           IF(OFFSET(PLE!$G$15,$M160-$A$15,CH$13)="",10^12,OFFSET(PLE!$G$15,$M160-$A$15,CH$13)))</f>
        <v>1000000000000</v>
      </c>
      <c r="CI160" s="172">
        <f t="array" aca="1" ref="CI160" ca="1">IF(OR($D160&lt;&gt;"Serviço",AND(AUTOEVENTO="Manual",$M160=$A$15),$M160&gt;(ROW(PLE.lastrow)-ROW(PLE.firstrow))),0,
           IF(OFFSET(PLE!$G$15,$M160-$A$15,CI$13)="",10^12,OFFSET(PLE!$G$15,$M160-$A$15,CI$13)))</f>
        <v>1000000000000</v>
      </c>
      <c r="CJ160" s="172">
        <f t="array" aca="1" ref="CJ160" ca="1">IF(OR($D160&lt;&gt;"Serviço",AND(AUTOEVENTO="Manual",$M160=$A$15),$M160&gt;(ROW(PLE.lastrow)-ROW(PLE.firstrow))),0,
           IF(OFFSET(PLE!$G$15,$M160-$A$15,CJ$13)="",10^12,OFFSET(PLE!$G$15,$M160-$A$15,CJ$13)))</f>
        <v>1000000000000</v>
      </c>
      <c r="CK160" s="172">
        <f t="array" aca="1" ref="CK160" ca="1">IF(OR($D160&lt;&gt;"Serviço",AND(AUTOEVENTO="Manual",$M160=$A$15),$M160&gt;(ROW(PLE.lastrow)-ROW(PLE.firstrow))),0,
           IF(OFFSET(PLE!$G$15,$M160-$A$15,CK$13)="",10^12,OFFSET(PLE!$G$15,$M160-$A$15,CK$13)))</f>
        <v>1000000000000</v>
      </c>
      <c r="CL160" s="172">
        <f t="array" aca="1" ref="CL160" ca="1">IF(OR($D160&lt;&gt;"Serviço",AND(AUTOEVENTO="Manual",$M160=$A$15),$M160&gt;(ROW(PLE.lastrow)-ROW(PLE.firstrow))),0,
           IF(OFFSET(PLE!$G$15,$M160-$A$15,CL$13)="",10^12,OFFSET(PLE!$G$15,$M160-$A$15,CL$13)))</f>
        <v>1000000000000</v>
      </c>
      <c r="CM160" s="172">
        <f t="array" aca="1" ref="CM160" ca="1">IF(OR($D160&lt;&gt;"Serviço",AND(AUTOEVENTO="Manual",$M160=$A$15),$M160&gt;(ROW(PLE.lastrow)-ROW(PLE.firstrow))),0,
           IF(OFFSET(PLE!$G$15,$M160-$A$15,CM$13)="",10^12,OFFSET(PLE!$G$15,$M160-$A$15,CM$13)))</f>
        <v>1000000000000</v>
      </c>
    </row>
    <row r="161" spans="1:91" s="696" customFormat="1" ht="51" x14ac:dyDescent="0.2">
      <c r="A161" s="694">
        <f t="shared" ca="1" si="82"/>
        <v>37</v>
      </c>
      <c r="B161" s="694" t="str">
        <f ca="1">OFFSET(ORÇAMENTO!C$15,$L161,0)</f>
        <v>S</v>
      </c>
      <c r="C161" s="694" t="str">
        <f ca="1">OFFSET(ORÇAMENTO!L$15,$L161,0)</f>
        <v>F</v>
      </c>
      <c r="D161" s="116" t="str">
        <f ca="1">OFFSET(ORÇAMENTO!N$15,$L161,0)</f>
        <v>Serviço</v>
      </c>
      <c r="E161" s="117" t="str">
        <f ca="1">OFFSET(ORÇAMENTO!O$15,$L161,0)</f>
        <v>1.25.9.</v>
      </c>
      <c r="F161" s="163" t="str">
        <f ca="1">OFFSET(ORÇAMENTO!R$15,$L161,0)</f>
        <v>RASGO LINEAR MANUAL EM ALVENARIA, PARA ELETRODUTOS, DIÂMETROS MENORES OU IGUAIS A 40 MM. AF_09/2023</v>
      </c>
      <c r="G161" s="164" t="str">
        <f ca="1">IF($D161&lt;&gt;"Serviço","",OFFSET(ORÇAMENTO!S$15,$L161,0))</f>
        <v>M</v>
      </c>
      <c r="H161" s="122">
        <f t="array" aca="1" ref="H161" ca="1">IF($D161&lt;&gt;"Serviço",0,IF(ACOMPANHAMENTO="BM",ROUND(OFFSET(ORÇAMENTO!AJ$15,$L161,0),15-13*ORÇAMENTO!$AF$7),IF(IFERROR(CÁLCULO.FrentesPreenchidas,0)=0,0,SUM(ROUND(OFFSET($P161,0,1,1,CÁLCULO.FrentesPreenchidas),15-13*ORÇAMENTO!$AF$7)))))</f>
        <v>1166</v>
      </c>
      <c r="I161" s="467" t="s">
        <v>1307</v>
      </c>
      <c r="J161" s="653" t="str">
        <f t="array" aca="1" ref="J161" ca="1">IF(OR(B161&lt;&gt;"S",CÁLCULO.FrentesPreenchidas=0),"",IF(AND(ACOMPANHAMENTO="PLE",AUTOEVENTO="Manual",OR(H161&gt;0,ORÇAMENTO!AC161="QUANT."),OR(K161="",M161=0,N161="")),"►E",IF(AND(ACOMPANHAMENTO="PLE",ORÇAMENTO!AC161="QUANT."),"►Q",IF(AND(ACOMPANHAMENTO="PLE",H161&lt;&gt;SUMPRODUCT(($Q$1:$AI$1=1)*ROUND(Q161:AI161,15))),"►S",IF(AND(COUNTIF($P$11:$AI$11,"▼")=0,H161&gt;0,I161=""),"◄M","")))))</f>
        <v/>
      </c>
      <c r="K161" s="654" t="s">
        <v>1442</v>
      </c>
      <c r="L161" s="165">
        <f t="shared" ca="1" si="83"/>
        <v>146</v>
      </c>
      <c r="M161" s="166">
        <f ca="1">IF($D161&lt;&gt;"Serviço","",
          IF(AUTOEVENTO="manual",$A161,
                IF(ISERROR(MATCH($A161,$A$15:OFFSET($A161,-1,0),0)),MAX($M$15:OFFSET(M161,-1,0))+1,
                      INDEX($M$15:OFFSET(M161,-1,0),MATCH($A161,$A$15:OFFSET($A161,-1,0),0)))))</f>
        <v>37</v>
      </c>
      <c r="N161" s="167" t="str">
        <f ca="1">IF($D161&lt;&gt;"Serviço","",
         IF(AUTOEVENTO="Manual",
                IF($A161=0,"&lt;-- defina o número do agrupador",
                       OFFSET(EVENTOS!$D$15,$A161-$A$15,0)),
                OFFSET($F$15,$A161,0)))</f>
        <v>ELÉTRICA EMBUTIDA EM PAREDE</v>
      </c>
      <c r="O161" s="168"/>
      <c r="Q161" s="169">
        <f>58.3*5</f>
        <v>291.5</v>
      </c>
      <c r="R161" s="169">
        <f t="shared" ref="R161:T161" si="92">58.3*5</f>
        <v>291.5</v>
      </c>
      <c r="S161" s="169">
        <f t="shared" si="92"/>
        <v>291.5</v>
      </c>
      <c r="T161" s="169">
        <f t="shared" si="92"/>
        <v>291.5</v>
      </c>
      <c r="U161" s="169"/>
      <c r="V161" s="169"/>
      <c r="W161" s="169"/>
      <c r="X161" s="169"/>
      <c r="Y161" s="169"/>
      <c r="Z161" s="170"/>
      <c r="AA161" s="169"/>
      <c r="AB161" s="169"/>
      <c r="AC161" s="169"/>
      <c r="AD161" s="169"/>
      <c r="AE161" s="169"/>
      <c r="AF161" s="169"/>
      <c r="AG161" s="169"/>
      <c r="AH161" s="170"/>
      <c r="AJ161" s="452">
        <f ca="1">IF(AND($D161="Serviço",AJ$12&lt;&gt;0,$H161&gt;0,OR(AUTOEVENTO&lt;&gt;"manual",$M161&lt;&gt;$A$15)),
        IF(Import.TipoArredondamento&lt;&gt;"TransfereGOV",
              ROUND(OFFSET($P161,0,AJ$13),15-13*ORÇAMENTO!$AF$7)/$H161*OFFSET(ORÇAMENTO!$X$15,ROW(AJ161)-ROW(AJ$15),0),
              ROUND(ROUND(OFFSET($P161,0,AJ$13),15-13*ORÇAMENTO!$AF$7)*OFFSET(ORÇAMENTO!$W$15,ROW(AJ161)-ROW(AJ$15),0),15-13*ORÇAMENTO!$AF$11)),
         0)</f>
        <v>2999.54</v>
      </c>
      <c r="AK161" s="452">
        <f ca="1">IF(AND($D161="Serviço",AK$12&lt;&gt;0,$H161&gt;0,OR(AUTOEVENTO&lt;&gt;"manual",$M161&lt;&gt;$A$15)),
        IF(Import.TipoArredondamento&lt;&gt;"TransfereGOV",
              ROUND(OFFSET($P161,0,AK$13),15-13*ORÇAMENTO!$AF$7)/$H161*OFFSET(ORÇAMENTO!$X$15,ROW(AK161)-ROW(AK$15),0),
              ROUND(ROUND(OFFSET($P161,0,AK$13),15-13*ORÇAMENTO!$AF$7)*OFFSET(ORÇAMENTO!$W$15,ROW(AK161)-ROW(AK$15),0),15-13*ORÇAMENTO!$AF$11)),
         0)</f>
        <v>2999.54</v>
      </c>
      <c r="AL161" s="452">
        <f ca="1">IF(AND($D161="Serviço",AL$12&lt;&gt;0,$H161&gt;0,OR(AUTOEVENTO&lt;&gt;"manual",$M161&lt;&gt;$A$15)),
        IF(Import.TipoArredondamento&lt;&gt;"TransfereGOV",
              ROUND(OFFSET($P161,0,AL$13),15-13*ORÇAMENTO!$AF$7)/$H161*OFFSET(ORÇAMENTO!$X$15,ROW(AL161)-ROW(AL$15),0),
              ROUND(ROUND(OFFSET($P161,0,AL$13),15-13*ORÇAMENTO!$AF$7)*OFFSET(ORÇAMENTO!$W$15,ROW(AL161)-ROW(AL$15),0),15-13*ORÇAMENTO!$AF$11)),
         0)</f>
        <v>2999.54</v>
      </c>
      <c r="AM161" s="452">
        <f ca="1">IF(AND($D161="Serviço",AM$12&lt;&gt;0,$H161&gt;0,OR(AUTOEVENTO&lt;&gt;"manual",$M161&lt;&gt;$A$15)),
        IF(Import.TipoArredondamento&lt;&gt;"TransfereGOV",
              ROUND(OFFSET($P161,0,AM$13),15-13*ORÇAMENTO!$AF$7)/$H161*OFFSET(ORÇAMENTO!$X$15,ROW(AM161)-ROW(AM$15),0),
              ROUND(ROUND(OFFSET($P161,0,AM$13),15-13*ORÇAMENTO!$AF$7)*OFFSET(ORÇAMENTO!$W$15,ROW(AM161)-ROW(AM$15),0),15-13*ORÇAMENTO!$AF$11)),
         0)</f>
        <v>2999.54</v>
      </c>
      <c r="AN161" s="452">
        <f ca="1">IF(AND($D161="Serviço",AN$12&lt;&gt;0,$H161&gt;0,OR(AUTOEVENTO&lt;&gt;"manual",$M161&lt;&gt;$A$15)),
        IF(Import.TipoArredondamento&lt;&gt;"TransfereGOV",
              ROUND(OFFSET($P161,0,AN$13),15-13*ORÇAMENTO!$AF$7)/$H161*OFFSET(ORÇAMENTO!$X$15,ROW(AN161)-ROW(AN$15),0),
              ROUND(ROUND(OFFSET($P161,0,AN$13),15-13*ORÇAMENTO!$AF$7)*OFFSET(ORÇAMENTO!$W$15,ROW(AN161)-ROW(AN$15),0),15-13*ORÇAMENTO!$AF$11)),
         0)</f>
        <v>0</v>
      </c>
      <c r="AO161" s="452">
        <f ca="1">IF(AND($D161="Serviço",AO$12&lt;&gt;0,$H161&gt;0,OR(AUTOEVENTO&lt;&gt;"manual",$M161&lt;&gt;$A$15)),
        IF(Import.TipoArredondamento&lt;&gt;"TransfereGOV",
              ROUND(OFFSET($P161,0,AO$13),15-13*ORÇAMENTO!$AF$7)/$H161*OFFSET(ORÇAMENTO!$X$15,ROW(AO161)-ROW(AO$15),0),
              ROUND(ROUND(OFFSET($P161,0,AO$13),15-13*ORÇAMENTO!$AF$7)*OFFSET(ORÇAMENTO!$W$15,ROW(AO161)-ROW(AO$15),0),15-13*ORÇAMENTO!$AF$11)),
         0)</f>
        <v>0</v>
      </c>
      <c r="AP161" s="452">
        <f ca="1">IF(AND($D161="Serviço",AP$12&lt;&gt;0,$H161&gt;0,OR(AUTOEVENTO&lt;&gt;"manual",$M161&lt;&gt;$A$15)),
        IF(Import.TipoArredondamento&lt;&gt;"TransfereGOV",
              ROUND(OFFSET($P161,0,AP$13),15-13*ORÇAMENTO!$AF$7)/$H161*OFFSET(ORÇAMENTO!$X$15,ROW(AP161)-ROW(AP$15),0),
              ROUND(ROUND(OFFSET($P161,0,AP$13),15-13*ORÇAMENTO!$AF$7)*OFFSET(ORÇAMENTO!$W$15,ROW(AP161)-ROW(AP$15),0),15-13*ORÇAMENTO!$AF$11)),
         0)</f>
        <v>0</v>
      </c>
      <c r="AQ161" s="452">
        <f ca="1">IF(AND($D161="Serviço",AQ$12&lt;&gt;0,$H161&gt;0,OR(AUTOEVENTO&lt;&gt;"manual",$M161&lt;&gt;$A$15)),
        IF(Import.TipoArredondamento&lt;&gt;"TransfereGOV",
              ROUND(OFFSET($P161,0,AQ$13),15-13*ORÇAMENTO!$AF$7)/$H161*OFFSET(ORÇAMENTO!$X$15,ROW(AQ161)-ROW(AQ$15),0),
              ROUND(ROUND(OFFSET($P161,0,AQ$13),15-13*ORÇAMENTO!$AF$7)*OFFSET(ORÇAMENTO!$W$15,ROW(AQ161)-ROW(AQ$15),0),15-13*ORÇAMENTO!$AF$11)),
         0)</f>
        <v>0</v>
      </c>
      <c r="AR161" s="452">
        <f ca="1">IF(AND($D161="Serviço",AR$12&lt;&gt;0,$H161&gt;0,OR(AUTOEVENTO&lt;&gt;"manual",$M161&lt;&gt;$A$15)),
        IF(Import.TipoArredondamento&lt;&gt;"TransfereGOV",
              ROUND(OFFSET($P161,0,AR$13),15-13*ORÇAMENTO!$AF$7)/$H161*OFFSET(ORÇAMENTO!$X$15,ROW(AR161)-ROW(AR$15),0),
              ROUND(ROUND(OFFSET($P161,0,AR$13),15-13*ORÇAMENTO!$AF$7)*OFFSET(ORÇAMENTO!$W$15,ROW(AR161)-ROW(AR$15),0),15-13*ORÇAMENTO!$AF$11)),
         0)</f>
        <v>0</v>
      </c>
      <c r="AS161" s="452">
        <f ca="1">IF(AND($D161="Serviço",AS$12&lt;&gt;0,$H161&gt;0,OR(AUTOEVENTO&lt;&gt;"manual",$M161&lt;&gt;$A$15)),
        IF(Import.TipoArredondamento&lt;&gt;"TransfereGOV",
              ROUND(OFFSET($P161,0,AS$13),15-13*ORÇAMENTO!$AF$7)/$H161*OFFSET(ORÇAMENTO!$X$15,ROW(AS161)-ROW(AS$15),0),
              ROUND(ROUND(OFFSET($P161,0,AS$13),15-13*ORÇAMENTO!$AF$7)*OFFSET(ORÇAMENTO!$W$15,ROW(AS161)-ROW(AS$15),0),15-13*ORÇAMENTO!$AF$11)),
         0)</f>
        <v>0</v>
      </c>
      <c r="AT161" s="452">
        <f ca="1">IF(AND($D161="Serviço",AT$12&lt;&gt;0,$H161&gt;0,OR(AUTOEVENTO&lt;&gt;"manual",$M161&lt;&gt;$A$15)),
        IF(Import.TipoArredondamento&lt;&gt;"TransfereGOV",
              ROUND(OFFSET($P161,0,AT$13),15-13*ORÇAMENTO!$AF$7)/$H161*OFFSET(ORÇAMENTO!$X$15,ROW(AT161)-ROW(AT$15),0),
              ROUND(ROUND(OFFSET($P161,0,AT$13),15-13*ORÇAMENTO!$AF$7)*OFFSET(ORÇAMENTO!$W$15,ROW(AT161)-ROW(AT$15),0),15-13*ORÇAMENTO!$AF$11)),
         0)</f>
        <v>0</v>
      </c>
      <c r="AU161" s="452">
        <f ca="1">IF(AND($D161="Serviço",AU$12&lt;&gt;0,$H161&gt;0,OR(AUTOEVENTO&lt;&gt;"manual",$M161&lt;&gt;$A$15)),
        IF(Import.TipoArredondamento&lt;&gt;"TransfereGOV",
              ROUND(OFFSET($P161,0,AU$13),15-13*ORÇAMENTO!$AF$7)/$H161*OFFSET(ORÇAMENTO!$X$15,ROW(AU161)-ROW(AU$15),0),
              ROUND(ROUND(OFFSET($P161,0,AU$13),15-13*ORÇAMENTO!$AF$7)*OFFSET(ORÇAMENTO!$W$15,ROW(AU161)-ROW(AU$15),0),15-13*ORÇAMENTO!$AF$11)),
         0)</f>
        <v>0</v>
      </c>
      <c r="AV161" s="452">
        <f ca="1">IF(AND($D161="Serviço",AV$12&lt;&gt;0,$H161&gt;0,OR(AUTOEVENTO&lt;&gt;"manual",$M161&lt;&gt;$A$15)),
        IF(Import.TipoArredondamento&lt;&gt;"TransfereGOV",
              ROUND(OFFSET($P161,0,AV$13),15-13*ORÇAMENTO!$AF$7)/$H161*OFFSET(ORÇAMENTO!$X$15,ROW(AV161)-ROW(AV$15),0),
              ROUND(ROUND(OFFSET($P161,0,AV$13),15-13*ORÇAMENTO!$AF$7)*OFFSET(ORÇAMENTO!$W$15,ROW(AV161)-ROW(AV$15),0),15-13*ORÇAMENTO!$AF$11)),
         0)</f>
        <v>0</v>
      </c>
      <c r="AW161" s="452">
        <f ca="1">IF(AND($D161="Serviço",AW$12&lt;&gt;0,$H161&gt;0,OR(AUTOEVENTO&lt;&gt;"manual",$M161&lt;&gt;$A$15)),
        IF(Import.TipoArredondamento&lt;&gt;"TransfereGOV",
              ROUND(OFFSET($P161,0,AW$13),15-13*ORÇAMENTO!$AF$7)/$H161*OFFSET(ORÇAMENTO!$X$15,ROW(AW161)-ROW(AW$15),0),
              ROUND(ROUND(OFFSET($P161,0,AW$13),15-13*ORÇAMENTO!$AF$7)*OFFSET(ORÇAMENTO!$W$15,ROW(AW161)-ROW(AW$15),0),15-13*ORÇAMENTO!$AF$11)),
         0)</f>
        <v>0</v>
      </c>
      <c r="AX161" s="452">
        <f ca="1">IF(AND($D161="Serviço",AX$12&lt;&gt;0,$H161&gt;0,OR(AUTOEVENTO&lt;&gt;"manual",$M161&lt;&gt;$A$15)),
        IF(Import.TipoArredondamento&lt;&gt;"TransfereGOV",
              ROUND(OFFSET($P161,0,AX$13),15-13*ORÇAMENTO!$AF$7)/$H161*OFFSET(ORÇAMENTO!$X$15,ROW(AX161)-ROW(AX$15),0),
              ROUND(ROUND(OFFSET($P161,0,AX$13),15-13*ORÇAMENTO!$AF$7)*OFFSET(ORÇAMENTO!$W$15,ROW(AX161)-ROW(AX$15),0),15-13*ORÇAMENTO!$AF$11)),
         0)</f>
        <v>0</v>
      </c>
      <c r="AY161" s="452">
        <f ca="1">IF(AND($D161="Serviço",AY$12&lt;&gt;0,$H161&gt;0,OR(AUTOEVENTO&lt;&gt;"manual",$M161&lt;&gt;$A$15)),
        IF(Import.TipoArredondamento&lt;&gt;"TransfereGOV",
              ROUND(OFFSET($P161,0,AY$13),15-13*ORÇAMENTO!$AF$7)/$H161*OFFSET(ORÇAMENTO!$X$15,ROW(AY161)-ROW(AY$15),0),
              ROUND(ROUND(OFFSET($P161,0,AY$13),15-13*ORÇAMENTO!$AF$7)*OFFSET(ORÇAMENTO!$W$15,ROW(AY161)-ROW(AY$15),0),15-13*ORÇAMENTO!$AF$11)),
         0)</f>
        <v>0</v>
      </c>
      <c r="AZ161" s="452">
        <f ca="1">IF(AND($D161="Serviço",AZ$12&lt;&gt;0,$H161&gt;0,OR(AUTOEVENTO&lt;&gt;"manual",$M161&lt;&gt;$A$15)),
        IF(Import.TipoArredondamento&lt;&gt;"TransfereGOV",
              ROUND(OFFSET($P161,0,AZ$13),15-13*ORÇAMENTO!$AF$7)/$H161*OFFSET(ORÇAMENTO!$X$15,ROW(AZ161)-ROW(AZ$15),0),
              ROUND(ROUND(OFFSET($P161,0,AZ$13),15-13*ORÇAMENTO!$AF$7)*OFFSET(ORÇAMENTO!$W$15,ROW(AZ161)-ROW(AZ$15),0),15-13*ORÇAMENTO!$AF$11)),
         0)</f>
        <v>0</v>
      </c>
      <c r="BA161" s="452">
        <f ca="1">IF(AND($D161="Serviço",BA$12&lt;&gt;0,$H161&gt;0,OR(AUTOEVENTO&lt;&gt;"manual",$M161&lt;&gt;$A$15)),
        IF(Import.TipoArredondamento&lt;&gt;"TransfereGOV",
              ROUND(OFFSET($P161,0,BA$13),15-13*ORÇAMENTO!$AF$7)/$H161*OFFSET(ORÇAMENTO!$X$15,ROW(BA161)-ROW(BA$15),0),
              ROUND(ROUND(OFFSET($P161,0,BA$13),15-13*ORÇAMENTO!$AF$7)*OFFSET(ORÇAMENTO!$W$15,ROW(BA161)-ROW(BA$15),0),15-13*ORÇAMENTO!$AF$11)),
         0)</f>
        <v>0</v>
      </c>
      <c r="BC161" s="171">
        <f ca="1">IF(OR($D161&lt;&gt;"Serviço",AND(AUTOEVENTO="Manual",$M161=$A$15)),0,
         IF(OFFSET(CRONOPLE!$F$15,$M161-$A$15,BC$13)=0,10^12,OFFSET(CRONOPLE!$F$15,$M161-$A$15,BC$13)))</f>
        <v>5</v>
      </c>
      <c r="BD161" s="171">
        <f ca="1">IF(OR($D161&lt;&gt;"Serviço",AND(AUTOEVENTO="Manual",$M161=$A$15)),0,
         IF(OFFSET(CRONOPLE!$F$15,$M161-$A$15,BD$13)=0,10^12,OFFSET(CRONOPLE!$F$15,$M161-$A$15,BD$13)))</f>
        <v>5</v>
      </c>
      <c r="BE161" s="171">
        <f ca="1">IF(OR($D161&lt;&gt;"Serviço",AND(AUTOEVENTO="Manual",$M161=$A$15)),0,
         IF(OFFSET(CRONOPLE!$F$15,$M161-$A$15,BE$13)=0,10^12,OFFSET(CRONOPLE!$F$15,$M161-$A$15,BE$13)))</f>
        <v>6</v>
      </c>
      <c r="BF161" s="171">
        <f ca="1">IF(OR($D161&lt;&gt;"Serviço",AND(AUTOEVENTO="Manual",$M161=$A$15)),0,
         IF(OFFSET(CRONOPLE!$F$15,$M161-$A$15,BF$13)=0,10^12,OFFSET(CRONOPLE!$F$15,$M161-$A$15,BF$13)))</f>
        <v>6</v>
      </c>
      <c r="BG161" s="171">
        <f ca="1">IF(OR($D161&lt;&gt;"Serviço",AND(AUTOEVENTO="Manual",$M161=$A$15)),0,
         IF(OFFSET(CRONOPLE!$F$15,$M161-$A$15,BG$13)=0,10^12,OFFSET(CRONOPLE!$F$15,$M161-$A$15,BG$13)))</f>
        <v>6</v>
      </c>
      <c r="BH161" s="171">
        <f ca="1">IF(OR($D161&lt;&gt;"Serviço",AND(AUTOEVENTO="Manual",$M161=$A$15)),0,
         IF(OFFSET(CRONOPLE!$F$15,$M161-$A$15,BH$13)=0,10^12,OFFSET(CRONOPLE!$F$15,$M161-$A$15,BH$13)))</f>
        <v>1000000000000</v>
      </c>
      <c r="BI161" s="171">
        <f ca="1">IF(OR($D161&lt;&gt;"Serviço",AND(AUTOEVENTO="Manual",$M161=$A$15)),0,
         IF(OFFSET(CRONOPLE!$F$15,$M161-$A$15,BI$13)=0,10^12,OFFSET(CRONOPLE!$F$15,$M161-$A$15,BI$13)))</f>
        <v>1000000000000</v>
      </c>
      <c r="BJ161" s="171">
        <f ca="1">IF(OR($D161&lt;&gt;"Serviço",AND(AUTOEVENTO="Manual",$M161=$A$15)),0,
         IF(OFFSET(CRONOPLE!$F$15,$M161-$A$15,BJ$13)=0,10^12,OFFSET(CRONOPLE!$F$15,$M161-$A$15,BJ$13)))</f>
        <v>1000000000000</v>
      </c>
      <c r="BK161" s="171">
        <f ca="1">IF(OR($D161&lt;&gt;"Serviço",AND(AUTOEVENTO="Manual",$M161=$A$15)),0,
         IF(OFFSET(CRONOPLE!$F$15,$M161-$A$15,BK$13)=0,10^12,OFFSET(CRONOPLE!$F$15,$M161-$A$15,BK$13)))</f>
        <v>1000000000000</v>
      </c>
      <c r="BL161" s="171">
        <f ca="1">IF(OR($D161&lt;&gt;"Serviço",AND(AUTOEVENTO="Manual",$M161=$A$15)),0,
         IF(OFFSET(CRONOPLE!$F$15,$M161-$A$15,BL$13)=0,10^12,OFFSET(CRONOPLE!$F$15,$M161-$A$15,BL$13)))</f>
        <v>1000000000000</v>
      </c>
      <c r="BM161" s="171">
        <f ca="1">IF(OR($D161&lt;&gt;"Serviço",AND(AUTOEVENTO="Manual",$M161=$A$15)),0,
         IF(OFFSET(CRONOPLE!$F$15,$M161-$A$15,BM$13)=0,10^12,OFFSET(CRONOPLE!$F$15,$M161-$A$15,BM$13)))</f>
        <v>1000000000000</v>
      </c>
      <c r="BN161" s="171">
        <f ca="1">IF(OR($D161&lt;&gt;"Serviço",AND(AUTOEVENTO="Manual",$M161=$A$15)),0,
         IF(OFFSET(CRONOPLE!$F$15,$M161-$A$15,BN$13)=0,10^12,OFFSET(CRONOPLE!$F$15,$M161-$A$15,BN$13)))</f>
        <v>1000000000000</v>
      </c>
      <c r="BO161" s="171">
        <f ca="1">IF(OR($D161&lt;&gt;"Serviço",AND(AUTOEVENTO="Manual",$M161=$A$15)),0,
         IF(OFFSET(CRONOPLE!$F$15,$M161-$A$15,BO$13)=0,10^12,OFFSET(CRONOPLE!$F$15,$M161-$A$15,BO$13)))</f>
        <v>1000000000000</v>
      </c>
      <c r="BP161" s="171">
        <f ca="1">IF(OR($D161&lt;&gt;"Serviço",AND(AUTOEVENTO="Manual",$M161=$A$15)),0,
         IF(OFFSET(CRONOPLE!$F$15,$M161-$A$15,BP$13)=0,10^12,OFFSET(CRONOPLE!$F$15,$M161-$A$15,BP$13)))</f>
        <v>1000000000000</v>
      </c>
      <c r="BQ161" s="171">
        <f ca="1">IF(OR($D161&lt;&gt;"Serviço",AND(AUTOEVENTO="Manual",$M161=$A$15)),0,
         IF(OFFSET(CRONOPLE!$F$15,$M161-$A$15,BQ$13)=0,10^12,OFFSET(CRONOPLE!$F$15,$M161-$A$15,BQ$13)))</f>
        <v>1000000000000</v>
      </c>
      <c r="BR161" s="171">
        <f ca="1">IF(OR($D161&lt;&gt;"Serviço",AND(AUTOEVENTO="Manual",$M161=$A$15)),0,
         IF(OFFSET(CRONOPLE!$F$15,$M161-$A$15,BR$13)=0,10^12,OFFSET(CRONOPLE!$F$15,$M161-$A$15,BR$13)))</f>
        <v>1000000000000</v>
      </c>
      <c r="BS161" s="171">
        <f ca="1">IF(OR($D161&lt;&gt;"Serviço",AND(AUTOEVENTO="Manual",$M161=$A$15)),0,
         IF(OFFSET(CRONOPLE!$F$15,$M161-$A$15,BS$13)=0,10^12,OFFSET(CRONOPLE!$F$15,$M161-$A$15,BS$13)))</f>
        <v>1000000000000</v>
      </c>
      <c r="BT161" s="171">
        <f ca="1">IF(OR($D161&lt;&gt;"Serviço",AND(AUTOEVENTO="Manual",$M161=$A$15)),0,
         IF(OFFSET(CRONOPLE!$F$15,$M161-$A$15,BT$13)=0,10^12,OFFSET(CRONOPLE!$F$15,$M161-$A$15,BT$13)))</f>
        <v>1000000000000</v>
      </c>
      <c r="BV161" s="172">
        <f t="array" aca="1" ref="BV161" ca="1">IF(OR($D161&lt;&gt;"Serviço",AND(AUTOEVENTO="Manual",$M161=$A$15),$M161&gt;(ROW(PLE.lastrow)-ROW(PLE.firstrow))),0,
           IF(OFFSET(PLE!$G$15,$M161-$A$15,BV$13)="",10^12,OFFSET(PLE!$G$15,$M161-$A$15,BV$13)))</f>
        <v>1000000000000</v>
      </c>
      <c r="BW161" s="172">
        <f t="array" aca="1" ref="BW161" ca="1">IF(OR($D161&lt;&gt;"Serviço",AND(AUTOEVENTO="Manual",$M161=$A$15),$M161&gt;(ROW(PLE.lastrow)-ROW(PLE.firstrow))),0,
           IF(OFFSET(PLE!$G$15,$M161-$A$15,BW$13)="",10^12,OFFSET(PLE!$G$15,$M161-$A$15,BW$13)))</f>
        <v>1000000000000</v>
      </c>
      <c r="BX161" s="172">
        <f t="array" aca="1" ref="BX161" ca="1">IF(OR($D161&lt;&gt;"Serviço",AND(AUTOEVENTO="Manual",$M161=$A$15),$M161&gt;(ROW(PLE.lastrow)-ROW(PLE.firstrow))),0,
           IF(OFFSET(PLE!$G$15,$M161-$A$15,BX$13)="",10^12,OFFSET(PLE!$G$15,$M161-$A$15,BX$13)))</f>
        <v>1000000000000</v>
      </c>
      <c r="BY161" s="172">
        <f t="array" aca="1" ref="BY161" ca="1">IF(OR($D161&lt;&gt;"Serviço",AND(AUTOEVENTO="Manual",$M161=$A$15),$M161&gt;(ROW(PLE.lastrow)-ROW(PLE.firstrow))),0,
           IF(OFFSET(PLE!$G$15,$M161-$A$15,BY$13)="",10^12,OFFSET(PLE!$G$15,$M161-$A$15,BY$13)))</f>
        <v>1000000000000</v>
      </c>
      <c r="BZ161" s="172">
        <f t="array" aca="1" ref="BZ161" ca="1">IF(OR($D161&lt;&gt;"Serviço",AND(AUTOEVENTO="Manual",$M161=$A$15),$M161&gt;(ROW(PLE.lastrow)-ROW(PLE.firstrow))),0,
           IF(OFFSET(PLE!$G$15,$M161-$A$15,BZ$13)="",10^12,OFFSET(PLE!$G$15,$M161-$A$15,BZ$13)))</f>
        <v>1000000000000</v>
      </c>
      <c r="CA161" s="172">
        <f t="array" aca="1" ref="CA161" ca="1">IF(OR($D161&lt;&gt;"Serviço",AND(AUTOEVENTO="Manual",$M161=$A$15),$M161&gt;(ROW(PLE.lastrow)-ROW(PLE.firstrow))),0,
           IF(OFFSET(PLE!$G$15,$M161-$A$15,CA$13)="",10^12,OFFSET(PLE!$G$15,$M161-$A$15,CA$13)))</f>
        <v>1000000000000</v>
      </c>
      <c r="CB161" s="172">
        <f t="array" aca="1" ref="CB161" ca="1">IF(OR($D161&lt;&gt;"Serviço",AND(AUTOEVENTO="Manual",$M161=$A$15),$M161&gt;(ROW(PLE.lastrow)-ROW(PLE.firstrow))),0,
           IF(OFFSET(PLE!$G$15,$M161-$A$15,CB$13)="",10^12,OFFSET(PLE!$G$15,$M161-$A$15,CB$13)))</f>
        <v>1000000000000</v>
      </c>
      <c r="CC161" s="172">
        <f t="array" aca="1" ref="CC161" ca="1">IF(OR($D161&lt;&gt;"Serviço",AND(AUTOEVENTO="Manual",$M161=$A$15),$M161&gt;(ROW(PLE.lastrow)-ROW(PLE.firstrow))),0,
           IF(OFFSET(PLE!$G$15,$M161-$A$15,CC$13)="",10^12,OFFSET(PLE!$G$15,$M161-$A$15,CC$13)))</f>
        <v>1000000000000</v>
      </c>
      <c r="CD161" s="172">
        <f t="array" aca="1" ref="CD161" ca="1">IF(OR($D161&lt;&gt;"Serviço",AND(AUTOEVENTO="Manual",$M161=$A$15),$M161&gt;(ROW(PLE.lastrow)-ROW(PLE.firstrow))),0,
           IF(OFFSET(PLE!$G$15,$M161-$A$15,CD$13)="",10^12,OFFSET(PLE!$G$15,$M161-$A$15,CD$13)))</f>
        <v>1000000000000</v>
      </c>
      <c r="CE161" s="172">
        <f t="array" aca="1" ref="CE161" ca="1">IF(OR($D161&lt;&gt;"Serviço",AND(AUTOEVENTO="Manual",$M161=$A$15),$M161&gt;(ROW(PLE.lastrow)-ROW(PLE.firstrow))),0,
           IF(OFFSET(PLE!$G$15,$M161-$A$15,CE$13)="",10^12,OFFSET(PLE!$G$15,$M161-$A$15,CE$13)))</f>
        <v>1000000000000</v>
      </c>
      <c r="CF161" s="172">
        <f t="array" aca="1" ref="CF161" ca="1">IF(OR($D161&lt;&gt;"Serviço",AND(AUTOEVENTO="Manual",$M161=$A$15),$M161&gt;(ROW(PLE.lastrow)-ROW(PLE.firstrow))),0,
           IF(OFFSET(PLE!$G$15,$M161-$A$15,CF$13)="",10^12,OFFSET(PLE!$G$15,$M161-$A$15,CF$13)))</f>
        <v>1000000000000</v>
      </c>
      <c r="CG161" s="172">
        <f t="array" aca="1" ref="CG161" ca="1">IF(OR($D161&lt;&gt;"Serviço",AND(AUTOEVENTO="Manual",$M161=$A$15),$M161&gt;(ROW(PLE.lastrow)-ROW(PLE.firstrow))),0,
           IF(OFFSET(PLE!$G$15,$M161-$A$15,CG$13)="",10^12,OFFSET(PLE!$G$15,$M161-$A$15,CG$13)))</f>
        <v>1000000000000</v>
      </c>
      <c r="CH161" s="172">
        <f t="array" aca="1" ref="CH161" ca="1">IF(OR($D161&lt;&gt;"Serviço",AND(AUTOEVENTO="Manual",$M161=$A$15),$M161&gt;(ROW(PLE.lastrow)-ROW(PLE.firstrow))),0,
           IF(OFFSET(PLE!$G$15,$M161-$A$15,CH$13)="",10^12,OFFSET(PLE!$G$15,$M161-$A$15,CH$13)))</f>
        <v>1000000000000</v>
      </c>
      <c r="CI161" s="172">
        <f t="array" aca="1" ref="CI161" ca="1">IF(OR($D161&lt;&gt;"Serviço",AND(AUTOEVENTO="Manual",$M161=$A$15),$M161&gt;(ROW(PLE.lastrow)-ROW(PLE.firstrow))),0,
           IF(OFFSET(PLE!$G$15,$M161-$A$15,CI$13)="",10^12,OFFSET(PLE!$G$15,$M161-$A$15,CI$13)))</f>
        <v>1000000000000</v>
      </c>
      <c r="CJ161" s="172">
        <f t="array" aca="1" ref="CJ161" ca="1">IF(OR($D161&lt;&gt;"Serviço",AND(AUTOEVENTO="Manual",$M161=$A$15),$M161&gt;(ROW(PLE.lastrow)-ROW(PLE.firstrow))),0,
           IF(OFFSET(PLE!$G$15,$M161-$A$15,CJ$13)="",10^12,OFFSET(PLE!$G$15,$M161-$A$15,CJ$13)))</f>
        <v>1000000000000</v>
      </c>
      <c r="CK161" s="172">
        <f t="array" aca="1" ref="CK161" ca="1">IF(OR($D161&lt;&gt;"Serviço",AND(AUTOEVENTO="Manual",$M161=$A$15),$M161&gt;(ROW(PLE.lastrow)-ROW(PLE.firstrow))),0,
           IF(OFFSET(PLE!$G$15,$M161-$A$15,CK$13)="",10^12,OFFSET(PLE!$G$15,$M161-$A$15,CK$13)))</f>
        <v>1000000000000</v>
      </c>
      <c r="CL161" s="172">
        <f t="array" aca="1" ref="CL161" ca="1">IF(OR($D161&lt;&gt;"Serviço",AND(AUTOEVENTO="Manual",$M161=$A$15),$M161&gt;(ROW(PLE.lastrow)-ROW(PLE.firstrow))),0,
           IF(OFFSET(PLE!$G$15,$M161-$A$15,CL$13)="",10^12,OFFSET(PLE!$G$15,$M161-$A$15,CL$13)))</f>
        <v>1000000000000</v>
      </c>
      <c r="CM161" s="172">
        <f t="array" aca="1" ref="CM161" ca="1">IF(OR($D161&lt;&gt;"Serviço",AND(AUTOEVENTO="Manual",$M161=$A$15),$M161&gt;(ROW(PLE.lastrow)-ROW(PLE.firstrow))),0,
           IF(OFFSET(PLE!$G$15,$M161-$A$15,CM$13)="",10^12,OFFSET(PLE!$G$15,$M161-$A$15,CM$13)))</f>
        <v>1000000000000</v>
      </c>
    </row>
    <row r="162" spans="1:91" s="696" customFormat="1" ht="12.75" x14ac:dyDescent="0.2">
      <c r="A162" s="694">
        <f t="shared" ca="1" si="82"/>
        <v>0</v>
      </c>
      <c r="B162" s="694">
        <f ca="1">OFFSET(ORÇAMENTO!C$15,$L162,0)</f>
        <v>2</v>
      </c>
      <c r="C162" s="694" t="str">
        <f ca="1">OFFSET(ORÇAMENTO!L$15,$L162,0)</f>
        <v>F</v>
      </c>
      <c r="D162" s="116" t="str">
        <f ca="1">OFFSET(ORÇAMENTO!N$15,$L162,0)</f>
        <v>Nível 2</v>
      </c>
      <c r="E162" s="117" t="str">
        <f ca="1">OFFSET(ORÇAMENTO!O$15,$L162,0)</f>
        <v>1.26.</v>
      </c>
      <c r="F162" s="163" t="str">
        <f ca="1">OFFSET(ORÇAMENTO!R$15,$L162,0)</f>
        <v>HIDRÁULICAS, GÁS E INCÊNDIO</v>
      </c>
      <c r="G162" s="164" t="str">
        <f ca="1">IF($D162&lt;&gt;"Serviço","",OFFSET(ORÇAMENTO!S$15,$L162,0))</f>
        <v/>
      </c>
      <c r="H162" s="122">
        <f t="array" aca="1" ref="H162" ca="1">IF($D162&lt;&gt;"Serviço",0,IF(ACOMPANHAMENTO="BM",ROUND(OFFSET(ORÇAMENTO!AJ$15,$L162,0),15-13*ORÇAMENTO!$AF$7),IF(IFERROR(CÁLCULO.FrentesPreenchidas,0)=0,0,SUM(ROUND(OFFSET($P162,0,1,1,CÁLCULO.FrentesPreenchidas),15-13*ORÇAMENTO!$AF$7)))))</f>
        <v>0</v>
      </c>
      <c r="I162" s="467"/>
      <c r="J162" s="653" t="str">
        <f t="array" aca="1" ref="J162" ca="1">IF(OR(B162&lt;&gt;"S",CÁLCULO.FrentesPreenchidas=0),"",IF(AND(ACOMPANHAMENTO="PLE",AUTOEVENTO="Manual",OR(H162&gt;0,ORÇAMENTO!AC162="QUANT."),OR(K162="",M162=0,N162="")),"►E",IF(AND(ACOMPANHAMENTO="PLE",ORÇAMENTO!AC162="QUANT."),"►Q",IF(AND(ACOMPANHAMENTO="PLE",H162&lt;&gt;SUMPRODUCT(($Q$1:$AI$1=1)*ROUND(Q162:AI162,15))),"►S",IF(AND(COUNTIF($P$11:$AI$11,"▼")=0,H162&gt;0,I162=""),"◄M","")))))</f>
        <v/>
      </c>
      <c r="K162" s="654"/>
      <c r="L162" s="165">
        <f t="shared" ca="1" si="83"/>
        <v>147</v>
      </c>
      <c r="M162" s="166" t="str">
        <f ca="1">IF($D162&lt;&gt;"Serviço","",
          IF(AUTOEVENTO="manual",$A162,
                IF(ISERROR(MATCH($A162,$A$15:OFFSET($A162,-1,0),0)),MAX($M$15:OFFSET(M162,-1,0))+1,
                      INDEX($M$15:OFFSET(M162,-1,0),MATCH($A162,$A$15:OFFSET($A162,-1,0),0)))))</f>
        <v/>
      </c>
      <c r="N162" s="167" t="str">
        <f ca="1">IF($D162&lt;&gt;"Serviço","",
         IF(AUTOEVENTO="Manual",
                IF($A162=0,"&lt;-- defina o número do agrupador",
                       OFFSET(EVENTOS!$D$15,$A162-$A$15,0)),
                OFFSET($F$15,$A162,0)))</f>
        <v/>
      </c>
      <c r="O162" s="168"/>
      <c r="Q162" s="169"/>
      <c r="R162" s="169"/>
      <c r="S162" s="169"/>
      <c r="T162" s="169"/>
      <c r="U162" s="169"/>
      <c r="V162" s="169"/>
      <c r="W162" s="169"/>
      <c r="X162" s="169"/>
      <c r="Y162" s="169"/>
      <c r="Z162" s="170"/>
      <c r="AA162" s="169"/>
      <c r="AB162" s="169"/>
      <c r="AC162" s="169"/>
      <c r="AD162" s="169"/>
      <c r="AE162" s="169"/>
      <c r="AF162" s="169"/>
      <c r="AG162" s="169"/>
      <c r="AH162" s="170"/>
      <c r="AJ162" s="452">
        <f ca="1">IF(AND($D162="Serviço",AJ$12&lt;&gt;0,$H162&gt;0,OR(AUTOEVENTO&lt;&gt;"manual",$M162&lt;&gt;$A$15)),
        IF(Import.TipoArredondamento&lt;&gt;"TransfereGOV",
              ROUND(OFFSET($P162,0,AJ$13),15-13*ORÇAMENTO!$AF$7)/$H162*OFFSET(ORÇAMENTO!$X$15,ROW(AJ162)-ROW(AJ$15),0),
              ROUND(ROUND(OFFSET($P162,0,AJ$13),15-13*ORÇAMENTO!$AF$7)*OFFSET(ORÇAMENTO!$W$15,ROW(AJ162)-ROW(AJ$15),0),15-13*ORÇAMENTO!$AF$11)),
         0)</f>
        <v>0</v>
      </c>
      <c r="AK162" s="452">
        <f ca="1">IF(AND($D162="Serviço",AK$12&lt;&gt;0,$H162&gt;0,OR(AUTOEVENTO&lt;&gt;"manual",$M162&lt;&gt;$A$15)),
        IF(Import.TipoArredondamento&lt;&gt;"TransfereGOV",
              ROUND(OFFSET($P162,0,AK$13),15-13*ORÇAMENTO!$AF$7)/$H162*OFFSET(ORÇAMENTO!$X$15,ROW(AK162)-ROW(AK$15),0),
              ROUND(ROUND(OFFSET($P162,0,AK$13),15-13*ORÇAMENTO!$AF$7)*OFFSET(ORÇAMENTO!$W$15,ROW(AK162)-ROW(AK$15),0),15-13*ORÇAMENTO!$AF$11)),
         0)</f>
        <v>0</v>
      </c>
      <c r="AL162" s="452">
        <f ca="1">IF(AND($D162="Serviço",AL$12&lt;&gt;0,$H162&gt;0,OR(AUTOEVENTO&lt;&gt;"manual",$M162&lt;&gt;$A$15)),
        IF(Import.TipoArredondamento&lt;&gt;"TransfereGOV",
              ROUND(OFFSET($P162,0,AL$13),15-13*ORÇAMENTO!$AF$7)/$H162*OFFSET(ORÇAMENTO!$X$15,ROW(AL162)-ROW(AL$15),0),
              ROUND(ROUND(OFFSET($P162,0,AL$13),15-13*ORÇAMENTO!$AF$7)*OFFSET(ORÇAMENTO!$W$15,ROW(AL162)-ROW(AL$15),0),15-13*ORÇAMENTO!$AF$11)),
         0)</f>
        <v>0</v>
      </c>
      <c r="AM162" s="452">
        <f ca="1">IF(AND($D162="Serviço",AM$12&lt;&gt;0,$H162&gt;0,OR(AUTOEVENTO&lt;&gt;"manual",$M162&lt;&gt;$A$15)),
        IF(Import.TipoArredondamento&lt;&gt;"TransfereGOV",
              ROUND(OFFSET($P162,0,AM$13),15-13*ORÇAMENTO!$AF$7)/$H162*OFFSET(ORÇAMENTO!$X$15,ROW(AM162)-ROW(AM$15),0),
              ROUND(ROUND(OFFSET($P162,0,AM$13),15-13*ORÇAMENTO!$AF$7)*OFFSET(ORÇAMENTO!$W$15,ROW(AM162)-ROW(AM$15),0),15-13*ORÇAMENTO!$AF$11)),
         0)</f>
        <v>0</v>
      </c>
      <c r="AN162" s="452">
        <f ca="1">IF(AND($D162="Serviço",AN$12&lt;&gt;0,$H162&gt;0,OR(AUTOEVENTO&lt;&gt;"manual",$M162&lt;&gt;$A$15)),
        IF(Import.TipoArredondamento&lt;&gt;"TransfereGOV",
              ROUND(OFFSET($P162,0,AN$13),15-13*ORÇAMENTO!$AF$7)/$H162*OFFSET(ORÇAMENTO!$X$15,ROW(AN162)-ROW(AN$15),0),
              ROUND(ROUND(OFFSET($P162,0,AN$13),15-13*ORÇAMENTO!$AF$7)*OFFSET(ORÇAMENTO!$W$15,ROW(AN162)-ROW(AN$15),0),15-13*ORÇAMENTO!$AF$11)),
         0)</f>
        <v>0</v>
      </c>
      <c r="AO162" s="452">
        <f ca="1">IF(AND($D162="Serviço",AO$12&lt;&gt;0,$H162&gt;0,OR(AUTOEVENTO&lt;&gt;"manual",$M162&lt;&gt;$A$15)),
        IF(Import.TipoArredondamento&lt;&gt;"TransfereGOV",
              ROUND(OFFSET($P162,0,AO$13),15-13*ORÇAMENTO!$AF$7)/$H162*OFFSET(ORÇAMENTO!$X$15,ROW(AO162)-ROW(AO$15),0),
              ROUND(ROUND(OFFSET($P162,0,AO$13),15-13*ORÇAMENTO!$AF$7)*OFFSET(ORÇAMENTO!$W$15,ROW(AO162)-ROW(AO$15),0),15-13*ORÇAMENTO!$AF$11)),
         0)</f>
        <v>0</v>
      </c>
      <c r="AP162" s="452">
        <f ca="1">IF(AND($D162="Serviço",AP$12&lt;&gt;0,$H162&gt;0,OR(AUTOEVENTO&lt;&gt;"manual",$M162&lt;&gt;$A$15)),
        IF(Import.TipoArredondamento&lt;&gt;"TransfereGOV",
              ROUND(OFFSET($P162,0,AP$13),15-13*ORÇAMENTO!$AF$7)/$H162*OFFSET(ORÇAMENTO!$X$15,ROW(AP162)-ROW(AP$15),0),
              ROUND(ROUND(OFFSET($P162,0,AP$13),15-13*ORÇAMENTO!$AF$7)*OFFSET(ORÇAMENTO!$W$15,ROW(AP162)-ROW(AP$15),0),15-13*ORÇAMENTO!$AF$11)),
         0)</f>
        <v>0</v>
      </c>
      <c r="AQ162" s="452">
        <f ca="1">IF(AND($D162="Serviço",AQ$12&lt;&gt;0,$H162&gt;0,OR(AUTOEVENTO&lt;&gt;"manual",$M162&lt;&gt;$A$15)),
        IF(Import.TipoArredondamento&lt;&gt;"TransfereGOV",
              ROUND(OFFSET($P162,0,AQ$13),15-13*ORÇAMENTO!$AF$7)/$H162*OFFSET(ORÇAMENTO!$X$15,ROW(AQ162)-ROW(AQ$15),0),
              ROUND(ROUND(OFFSET($P162,0,AQ$13),15-13*ORÇAMENTO!$AF$7)*OFFSET(ORÇAMENTO!$W$15,ROW(AQ162)-ROW(AQ$15),0),15-13*ORÇAMENTO!$AF$11)),
         0)</f>
        <v>0</v>
      </c>
      <c r="AR162" s="452">
        <f ca="1">IF(AND($D162="Serviço",AR$12&lt;&gt;0,$H162&gt;0,OR(AUTOEVENTO&lt;&gt;"manual",$M162&lt;&gt;$A$15)),
        IF(Import.TipoArredondamento&lt;&gt;"TransfereGOV",
              ROUND(OFFSET($P162,0,AR$13),15-13*ORÇAMENTO!$AF$7)/$H162*OFFSET(ORÇAMENTO!$X$15,ROW(AR162)-ROW(AR$15),0),
              ROUND(ROUND(OFFSET($P162,0,AR$13),15-13*ORÇAMENTO!$AF$7)*OFFSET(ORÇAMENTO!$W$15,ROW(AR162)-ROW(AR$15),0),15-13*ORÇAMENTO!$AF$11)),
         0)</f>
        <v>0</v>
      </c>
      <c r="AS162" s="452">
        <f ca="1">IF(AND($D162="Serviço",AS$12&lt;&gt;0,$H162&gt;0,OR(AUTOEVENTO&lt;&gt;"manual",$M162&lt;&gt;$A$15)),
        IF(Import.TipoArredondamento&lt;&gt;"TransfereGOV",
              ROUND(OFFSET($P162,0,AS$13),15-13*ORÇAMENTO!$AF$7)/$H162*OFFSET(ORÇAMENTO!$X$15,ROW(AS162)-ROW(AS$15),0),
              ROUND(ROUND(OFFSET($P162,0,AS$13),15-13*ORÇAMENTO!$AF$7)*OFFSET(ORÇAMENTO!$W$15,ROW(AS162)-ROW(AS$15),0),15-13*ORÇAMENTO!$AF$11)),
         0)</f>
        <v>0</v>
      </c>
      <c r="AT162" s="452">
        <f ca="1">IF(AND($D162="Serviço",AT$12&lt;&gt;0,$H162&gt;0,OR(AUTOEVENTO&lt;&gt;"manual",$M162&lt;&gt;$A$15)),
        IF(Import.TipoArredondamento&lt;&gt;"TransfereGOV",
              ROUND(OFFSET($P162,0,AT$13),15-13*ORÇAMENTO!$AF$7)/$H162*OFFSET(ORÇAMENTO!$X$15,ROW(AT162)-ROW(AT$15),0),
              ROUND(ROUND(OFFSET($P162,0,AT$13),15-13*ORÇAMENTO!$AF$7)*OFFSET(ORÇAMENTO!$W$15,ROW(AT162)-ROW(AT$15),0),15-13*ORÇAMENTO!$AF$11)),
         0)</f>
        <v>0</v>
      </c>
      <c r="AU162" s="452">
        <f ca="1">IF(AND($D162="Serviço",AU$12&lt;&gt;0,$H162&gt;0,OR(AUTOEVENTO&lt;&gt;"manual",$M162&lt;&gt;$A$15)),
        IF(Import.TipoArredondamento&lt;&gt;"TransfereGOV",
              ROUND(OFFSET($P162,0,AU$13),15-13*ORÇAMENTO!$AF$7)/$H162*OFFSET(ORÇAMENTO!$X$15,ROW(AU162)-ROW(AU$15),0),
              ROUND(ROUND(OFFSET($P162,0,AU$13),15-13*ORÇAMENTO!$AF$7)*OFFSET(ORÇAMENTO!$W$15,ROW(AU162)-ROW(AU$15),0),15-13*ORÇAMENTO!$AF$11)),
         0)</f>
        <v>0</v>
      </c>
      <c r="AV162" s="452">
        <f ca="1">IF(AND($D162="Serviço",AV$12&lt;&gt;0,$H162&gt;0,OR(AUTOEVENTO&lt;&gt;"manual",$M162&lt;&gt;$A$15)),
        IF(Import.TipoArredondamento&lt;&gt;"TransfereGOV",
              ROUND(OFFSET($P162,0,AV$13),15-13*ORÇAMENTO!$AF$7)/$H162*OFFSET(ORÇAMENTO!$X$15,ROW(AV162)-ROW(AV$15),0),
              ROUND(ROUND(OFFSET($P162,0,AV$13),15-13*ORÇAMENTO!$AF$7)*OFFSET(ORÇAMENTO!$W$15,ROW(AV162)-ROW(AV$15),0),15-13*ORÇAMENTO!$AF$11)),
         0)</f>
        <v>0</v>
      </c>
      <c r="AW162" s="452">
        <f ca="1">IF(AND($D162="Serviço",AW$12&lt;&gt;0,$H162&gt;0,OR(AUTOEVENTO&lt;&gt;"manual",$M162&lt;&gt;$A$15)),
        IF(Import.TipoArredondamento&lt;&gt;"TransfereGOV",
              ROUND(OFFSET($P162,0,AW$13),15-13*ORÇAMENTO!$AF$7)/$H162*OFFSET(ORÇAMENTO!$X$15,ROW(AW162)-ROW(AW$15),0),
              ROUND(ROUND(OFFSET($P162,0,AW$13),15-13*ORÇAMENTO!$AF$7)*OFFSET(ORÇAMENTO!$W$15,ROW(AW162)-ROW(AW$15),0),15-13*ORÇAMENTO!$AF$11)),
         0)</f>
        <v>0</v>
      </c>
      <c r="AX162" s="452">
        <f ca="1">IF(AND($D162="Serviço",AX$12&lt;&gt;0,$H162&gt;0,OR(AUTOEVENTO&lt;&gt;"manual",$M162&lt;&gt;$A$15)),
        IF(Import.TipoArredondamento&lt;&gt;"TransfereGOV",
              ROUND(OFFSET($P162,0,AX$13),15-13*ORÇAMENTO!$AF$7)/$H162*OFFSET(ORÇAMENTO!$X$15,ROW(AX162)-ROW(AX$15),0),
              ROUND(ROUND(OFFSET($P162,0,AX$13),15-13*ORÇAMENTO!$AF$7)*OFFSET(ORÇAMENTO!$W$15,ROW(AX162)-ROW(AX$15),0),15-13*ORÇAMENTO!$AF$11)),
         0)</f>
        <v>0</v>
      </c>
      <c r="AY162" s="452">
        <f ca="1">IF(AND($D162="Serviço",AY$12&lt;&gt;0,$H162&gt;0,OR(AUTOEVENTO&lt;&gt;"manual",$M162&lt;&gt;$A$15)),
        IF(Import.TipoArredondamento&lt;&gt;"TransfereGOV",
              ROUND(OFFSET($P162,0,AY$13),15-13*ORÇAMENTO!$AF$7)/$H162*OFFSET(ORÇAMENTO!$X$15,ROW(AY162)-ROW(AY$15),0),
              ROUND(ROUND(OFFSET($P162,0,AY$13),15-13*ORÇAMENTO!$AF$7)*OFFSET(ORÇAMENTO!$W$15,ROW(AY162)-ROW(AY$15),0),15-13*ORÇAMENTO!$AF$11)),
         0)</f>
        <v>0</v>
      </c>
      <c r="AZ162" s="452">
        <f ca="1">IF(AND($D162="Serviço",AZ$12&lt;&gt;0,$H162&gt;0,OR(AUTOEVENTO&lt;&gt;"manual",$M162&lt;&gt;$A$15)),
        IF(Import.TipoArredondamento&lt;&gt;"TransfereGOV",
              ROUND(OFFSET($P162,0,AZ$13),15-13*ORÇAMENTO!$AF$7)/$H162*OFFSET(ORÇAMENTO!$X$15,ROW(AZ162)-ROW(AZ$15),0),
              ROUND(ROUND(OFFSET($P162,0,AZ$13),15-13*ORÇAMENTO!$AF$7)*OFFSET(ORÇAMENTO!$W$15,ROW(AZ162)-ROW(AZ$15),0),15-13*ORÇAMENTO!$AF$11)),
         0)</f>
        <v>0</v>
      </c>
      <c r="BA162" s="452">
        <f ca="1">IF(AND($D162="Serviço",BA$12&lt;&gt;0,$H162&gt;0,OR(AUTOEVENTO&lt;&gt;"manual",$M162&lt;&gt;$A$15)),
        IF(Import.TipoArredondamento&lt;&gt;"TransfereGOV",
              ROUND(OFFSET($P162,0,BA$13),15-13*ORÇAMENTO!$AF$7)/$H162*OFFSET(ORÇAMENTO!$X$15,ROW(BA162)-ROW(BA$15),0),
              ROUND(ROUND(OFFSET($P162,0,BA$13),15-13*ORÇAMENTO!$AF$7)*OFFSET(ORÇAMENTO!$W$15,ROW(BA162)-ROW(BA$15),0),15-13*ORÇAMENTO!$AF$11)),
         0)</f>
        <v>0</v>
      </c>
      <c r="BC162" s="171">
        <f ca="1">IF(OR($D162&lt;&gt;"Serviço",AND(AUTOEVENTO="Manual",$M162=$A$15)),0,
         IF(OFFSET(CRONOPLE!$F$15,$M162-$A$15,BC$13)=0,10^12,OFFSET(CRONOPLE!$F$15,$M162-$A$15,BC$13)))</f>
        <v>0</v>
      </c>
      <c r="BD162" s="171">
        <f ca="1">IF(OR($D162&lt;&gt;"Serviço",AND(AUTOEVENTO="Manual",$M162=$A$15)),0,
         IF(OFFSET(CRONOPLE!$F$15,$M162-$A$15,BD$13)=0,10^12,OFFSET(CRONOPLE!$F$15,$M162-$A$15,BD$13)))</f>
        <v>0</v>
      </c>
      <c r="BE162" s="171">
        <f ca="1">IF(OR($D162&lt;&gt;"Serviço",AND(AUTOEVENTO="Manual",$M162=$A$15)),0,
         IF(OFFSET(CRONOPLE!$F$15,$M162-$A$15,BE$13)=0,10^12,OFFSET(CRONOPLE!$F$15,$M162-$A$15,BE$13)))</f>
        <v>0</v>
      </c>
      <c r="BF162" s="171">
        <f ca="1">IF(OR($D162&lt;&gt;"Serviço",AND(AUTOEVENTO="Manual",$M162=$A$15)),0,
         IF(OFFSET(CRONOPLE!$F$15,$M162-$A$15,BF$13)=0,10^12,OFFSET(CRONOPLE!$F$15,$M162-$A$15,BF$13)))</f>
        <v>0</v>
      </c>
      <c r="BG162" s="171">
        <f ca="1">IF(OR($D162&lt;&gt;"Serviço",AND(AUTOEVENTO="Manual",$M162=$A$15)),0,
         IF(OFFSET(CRONOPLE!$F$15,$M162-$A$15,BG$13)=0,10^12,OFFSET(CRONOPLE!$F$15,$M162-$A$15,BG$13)))</f>
        <v>0</v>
      </c>
      <c r="BH162" s="171">
        <f ca="1">IF(OR($D162&lt;&gt;"Serviço",AND(AUTOEVENTO="Manual",$M162=$A$15)),0,
         IF(OFFSET(CRONOPLE!$F$15,$M162-$A$15,BH$13)=0,10^12,OFFSET(CRONOPLE!$F$15,$M162-$A$15,BH$13)))</f>
        <v>0</v>
      </c>
      <c r="BI162" s="171">
        <f ca="1">IF(OR($D162&lt;&gt;"Serviço",AND(AUTOEVENTO="Manual",$M162=$A$15)),0,
         IF(OFFSET(CRONOPLE!$F$15,$M162-$A$15,BI$13)=0,10^12,OFFSET(CRONOPLE!$F$15,$M162-$A$15,BI$13)))</f>
        <v>0</v>
      </c>
      <c r="BJ162" s="171">
        <f ca="1">IF(OR($D162&lt;&gt;"Serviço",AND(AUTOEVENTO="Manual",$M162=$A$15)),0,
         IF(OFFSET(CRONOPLE!$F$15,$M162-$A$15,BJ$13)=0,10^12,OFFSET(CRONOPLE!$F$15,$M162-$A$15,BJ$13)))</f>
        <v>0</v>
      </c>
      <c r="BK162" s="171">
        <f ca="1">IF(OR($D162&lt;&gt;"Serviço",AND(AUTOEVENTO="Manual",$M162=$A$15)),0,
         IF(OFFSET(CRONOPLE!$F$15,$M162-$A$15,BK$13)=0,10^12,OFFSET(CRONOPLE!$F$15,$M162-$A$15,BK$13)))</f>
        <v>0</v>
      </c>
      <c r="BL162" s="171">
        <f ca="1">IF(OR($D162&lt;&gt;"Serviço",AND(AUTOEVENTO="Manual",$M162=$A$15)),0,
         IF(OFFSET(CRONOPLE!$F$15,$M162-$A$15,BL$13)=0,10^12,OFFSET(CRONOPLE!$F$15,$M162-$A$15,BL$13)))</f>
        <v>0</v>
      </c>
      <c r="BM162" s="171">
        <f ca="1">IF(OR($D162&lt;&gt;"Serviço",AND(AUTOEVENTO="Manual",$M162=$A$15)),0,
         IF(OFFSET(CRONOPLE!$F$15,$M162-$A$15,BM$13)=0,10^12,OFFSET(CRONOPLE!$F$15,$M162-$A$15,BM$13)))</f>
        <v>0</v>
      </c>
      <c r="BN162" s="171">
        <f ca="1">IF(OR($D162&lt;&gt;"Serviço",AND(AUTOEVENTO="Manual",$M162=$A$15)),0,
         IF(OFFSET(CRONOPLE!$F$15,$M162-$A$15,BN$13)=0,10^12,OFFSET(CRONOPLE!$F$15,$M162-$A$15,BN$13)))</f>
        <v>0</v>
      </c>
      <c r="BO162" s="171">
        <f ca="1">IF(OR($D162&lt;&gt;"Serviço",AND(AUTOEVENTO="Manual",$M162=$A$15)),0,
         IF(OFFSET(CRONOPLE!$F$15,$M162-$A$15,BO$13)=0,10^12,OFFSET(CRONOPLE!$F$15,$M162-$A$15,BO$13)))</f>
        <v>0</v>
      </c>
      <c r="BP162" s="171">
        <f ca="1">IF(OR($D162&lt;&gt;"Serviço",AND(AUTOEVENTO="Manual",$M162=$A$15)),0,
         IF(OFFSET(CRONOPLE!$F$15,$M162-$A$15,BP$13)=0,10^12,OFFSET(CRONOPLE!$F$15,$M162-$A$15,BP$13)))</f>
        <v>0</v>
      </c>
      <c r="BQ162" s="171">
        <f ca="1">IF(OR($D162&lt;&gt;"Serviço",AND(AUTOEVENTO="Manual",$M162=$A$15)),0,
         IF(OFFSET(CRONOPLE!$F$15,$M162-$A$15,BQ$13)=0,10^12,OFFSET(CRONOPLE!$F$15,$M162-$A$15,BQ$13)))</f>
        <v>0</v>
      </c>
      <c r="BR162" s="171">
        <f ca="1">IF(OR($D162&lt;&gt;"Serviço",AND(AUTOEVENTO="Manual",$M162=$A$15)),0,
         IF(OFFSET(CRONOPLE!$F$15,$M162-$A$15,BR$13)=0,10^12,OFFSET(CRONOPLE!$F$15,$M162-$A$15,BR$13)))</f>
        <v>0</v>
      </c>
      <c r="BS162" s="171">
        <f ca="1">IF(OR($D162&lt;&gt;"Serviço",AND(AUTOEVENTO="Manual",$M162=$A$15)),0,
         IF(OFFSET(CRONOPLE!$F$15,$M162-$A$15,BS$13)=0,10^12,OFFSET(CRONOPLE!$F$15,$M162-$A$15,BS$13)))</f>
        <v>0</v>
      </c>
      <c r="BT162" s="171">
        <f ca="1">IF(OR($D162&lt;&gt;"Serviço",AND(AUTOEVENTO="Manual",$M162=$A$15)),0,
         IF(OFFSET(CRONOPLE!$F$15,$M162-$A$15,BT$13)=0,10^12,OFFSET(CRONOPLE!$F$15,$M162-$A$15,BT$13)))</f>
        <v>0</v>
      </c>
      <c r="BV162" s="172">
        <f t="array" aca="1" ref="BV162" ca="1">IF(OR($D162&lt;&gt;"Serviço",AND(AUTOEVENTO="Manual",$M162=$A$15),$M162&gt;(ROW(PLE.lastrow)-ROW(PLE.firstrow))),0,
           IF(OFFSET(PLE!$G$15,$M162-$A$15,BV$13)="",10^12,OFFSET(PLE!$G$15,$M162-$A$15,BV$13)))</f>
        <v>0</v>
      </c>
      <c r="BW162" s="172">
        <f t="array" aca="1" ref="BW162" ca="1">IF(OR($D162&lt;&gt;"Serviço",AND(AUTOEVENTO="Manual",$M162=$A$15),$M162&gt;(ROW(PLE.lastrow)-ROW(PLE.firstrow))),0,
           IF(OFFSET(PLE!$G$15,$M162-$A$15,BW$13)="",10^12,OFFSET(PLE!$G$15,$M162-$A$15,BW$13)))</f>
        <v>0</v>
      </c>
      <c r="BX162" s="172">
        <f t="array" aca="1" ref="BX162" ca="1">IF(OR($D162&lt;&gt;"Serviço",AND(AUTOEVENTO="Manual",$M162=$A$15),$M162&gt;(ROW(PLE.lastrow)-ROW(PLE.firstrow))),0,
           IF(OFFSET(PLE!$G$15,$M162-$A$15,BX$13)="",10^12,OFFSET(PLE!$G$15,$M162-$A$15,BX$13)))</f>
        <v>0</v>
      </c>
      <c r="BY162" s="172">
        <f t="array" aca="1" ref="BY162" ca="1">IF(OR($D162&lt;&gt;"Serviço",AND(AUTOEVENTO="Manual",$M162=$A$15),$M162&gt;(ROW(PLE.lastrow)-ROW(PLE.firstrow))),0,
           IF(OFFSET(PLE!$G$15,$M162-$A$15,BY$13)="",10^12,OFFSET(PLE!$G$15,$M162-$A$15,BY$13)))</f>
        <v>0</v>
      </c>
      <c r="BZ162" s="172">
        <f t="array" aca="1" ref="BZ162" ca="1">IF(OR($D162&lt;&gt;"Serviço",AND(AUTOEVENTO="Manual",$M162=$A$15),$M162&gt;(ROW(PLE.lastrow)-ROW(PLE.firstrow))),0,
           IF(OFFSET(PLE!$G$15,$M162-$A$15,BZ$13)="",10^12,OFFSET(PLE!$G$15,$M162-$A$15,BZ$13)))</f>
        <v>0</v>
      </c>
      <c r="CA162" s="172">
        <f t="array" aca="1" ref="CA162" ca="1">IF(OR($D162&lt;&gt;"Serviço",AND(AUTOEVENTO="Manual",$M162=$A$15),$M162&gt;(ROW(PLE.lastrow)-ROW(PLE.firstrow))),0,
           IF(OFFSET(PLE!$G$15,$M162-$A$15,CA$13)="",10^12,OFFSET(PLE!$G$15,$M162-$A$15,CA$13)))</f>
        <v>0</v>
      </c>
      <c r="CB162" s="172">
        <f t="array" aca="1" ref="CB162" ca="1">IF(OR($D162&lt;&gt;"Serviço",AND(AUTOEVENTO="Manual",$M162=$A$15),$M162&gt;(ROW(PLE.lastrow)-ROW(PLE.firstrow))),0,
           IF(OFFSET(PLE!$G$15,$M162-$A$15,CB$13)="",10^12,OFFSET(PLE!$G$15,$M162-$A$15,CB$13)))</f>
        <v>0</v>
      </c>
      <c r="CC162" s="172">
        <f t="array" aca="1" ref="CC162" ca="1">IF(OR($D162&lt;&gt;"Serviço",AND(AUTOEVENTO="Manual",$M162=$A$15),$M162&gt;(ROW(PLE.lastrow)-ROW(PLE.firstrow))),0,
           IF(OFFSET(PLE!$G$15,$M162-$A$15,CC$13)="",10^12,OFFSET(PLE!$G$15,$M162-$A$15,CC$13)))</f>
        <v>0</v>
      </c>
      <c r="CD162" s="172">
        <f t="array" aca="1" ref="CD162" ca="1">IF(OR($D162&lt;&gt;"Serviço",AND(AUTOEVENTO="Manual",$M162=$A$15),$M162&gt;(ROW(PLE.lastrow)-ROW(PLE.firstrow))),0,
           IF(OFFSET(PLE!$G$15,$M162-$A$15,CD$13)="",10^12,OFFSET(PLE!$G$15,$M162-$A$15,CD$13)))</f>
        <v>0</v>
      </c>
      <c r="CE162" s="172">
        <f t="array" aca="1" ref="CE162" ca="1">IF(OR($D162&lt;&gt;"Serviço",AND(AUTOEVENTO="Manual",$M162=$A$15),$M162&gt;(ROW(PLE.lastrow)-ROW(PLE.firstrow))),0,
           IF(OFFSET(PLE!$G$15,$M162-$A$15,CE$13)="",10^12,OFFSET(PLE!$G$15,$M162-$A$15,CE$13)))</f>
        <v>0</v>
      </c>
      <c r="CF162" s="172">
        <f t="array" aca="1" ref="CF162" ca="1">IF(OR($D162&lt;&gt;"Serviço",AND(AUTOEVENTO="Manual",$M162=$A$15),$M162&gt;(ROW(PLE.lastrow)-ROW(PLE.firstrow))),0,
           IF(OFFSET(PLE!$G$15,$M162-$A$15,CF$13)="",10^12,OFFSET(PLE!$G$15,$M162-$A$15,CF$13)))</f>
        <v>0</v>
      </c>
      <c r="CG162" s="172">
        <f t="array" aca="1" ref="CG162" ca="1">IF(OR($D162&lt;&gt;"Serviço",AND(AUTOEVENTO="Manual",$M162=$A$15),$M162&gt;(ROW(PLE.lastrow)-ROW(PLE.firstrow))),0,
           IF(OFFSET(PLE!$G$15,$M162-$A$15,CG$13)="",10^12,OFFSET(PLE!$G$15,$M162-$A$15,CG$13)))</f>
        <v>0</v>
      </c>
      <c r="CH162" s="172">
        <f t="array" aca="1" ref="CH162" ca="1">IF(OR($D162&lt;&gt;"Serviço",AND(AUTOEVENTO="Manual",$M162=$A$15),$M162&gt;(ROW(PLE.lastrow)-ROW(PLE.firstrow))),0,
           IF(OFFSET(PLE!$G$15,$M162-$A$15,CH$13)="",10^12,OFFSET(PLE!$G$15,$M162-$A$15,CH$13)))</f>
        <v>0</v>
      </c>
      <c r="CI162" s="172">
        <f t="array" aca="1" ref="CI162" ca="1">IF(OR($D162&lt;&gt;"Serviço",AND(AUTOEVENTO="Manual",$M162=$A$15),$M162&gt;(ROW(PLE.lastrow)-ROW(PLE.firstrow))),0,
           IF(OFFSET(PLE!$G$15,$M162-$A$15,CI$13)="",10^12,OFFSET(PLE!$G$15,$M162-$A$15,CI$13)))</f>
        <v>0</v>
      </c>
      <c r="CJ162" s="172">
        <f t="array" aca="1" ref="CJ162" ca="1">IF(OR($D162&lt;&gt;"Serviço",AND(AUTOEVENTO="Manual",$M162=$A$15),$M162&gt;(ROW(PLE.lastrow)-ROW(PLE.firstrow))),0,
           IF(OFFSET(PLE!$G$15,$M162-$A$15,CJ$13)="",10^12,OFFSET(PLE!$G$15,$M162-$A$15,CJ$13)))</f>
        <v>0</v>
      </c>
      <c r="CK162" s="172">
        <f t="array" aca="1" ref="CK162" ca="1">IF(OR($D162&lt;&gt;"Serviço",AND(AUTOEVENTO="Manual",$M162=$A$15),$M162&gt;(ROW(PLE.lastrow)-ROW(PLE.firstrow))),0,
           IF(OFFSET(PLE!$G$15,$M162-$A$15,CK$13)="",10^12,OFFSET(PLE!$G$15,$M162-$A$15,CK$13)))</f>
        <v>0</v>
      </c>
      <c r="CL162" s="172">
        <f t="array" aca="1" ref="CL162" ca="1">IF(OR($D162&lt;&gt;"Serviço",AND(AUTOEVENTO="Manual",$M162=$A$15),$M162&gt;(ROW(PLE.lastrow)-ROW(PLE.firstrow))),0,
           IF(OFFSET(PLE!$G$15,$M162-$A$15,CL$13)="",10^12,OFFSET(PLE!$G$15,$M162-$A$15,CL$13)))</f>
        <v>0</v>
      </c>
      <c r="CM162" s="172">
        <f t="array" aca="1" ref="CM162" ca="1">IF(OR($D162&lt;&gt;"Serviço",AND(AUTOEVENTO="Manual",$M162=$A$15),$M162&gt;(ROW(PLE.lastrow)-ROW(PLE.firstrow))),0,
           IF(OFFSET(PLE!$G$15,$M162-$A$15,CM$13)="",10^12,OFFSET(PLE!$G$15,$M162-$A$15,CM$13)))</f>
        <v>0</v>
      </c>
    </row>
    <row r="163" spans="1:91" s="696" customFormat="1" ht="63.75" x14ac:dyDescent="0.2">
      <c r="A163" s="694">
        <f t="shared" ca="1" si="82"/>
        <v>38</v>
      </c>
      <c r="B163" s="694" t="str">
        <f ca="1">OFFSET(ORÇAMENTO!C$15,$L163,0)</f>
        <v>S</v>
      </c>
      <c r="C163" s="694" t="str">
        <f ca="1">OFFSET(ORÇAMENTO!L$15,$L163,0)</f>
        <v>F</v>
      </c>
      <c r="D163" s="116" t="str">
        <f ca="1">OFFSET(ORÇAMENTO!N$15,$L163,0)</f>
        <v>Serviço</v>
      </c>
      <c r="E163" s="117" t="str">
        <f ca="1">OFFSET(ORÇAMENTO!O$15,$L163,0)</f>
        <v>1.26.1.</v>
      </c>
      <c r="F163" s="163" t="str">
        <f ca="1">OFFSET(ORÇAMENTO!R$15,$L163,0)</f>
        <v>JOELHO 90 GRAUS COM BUCHA DE LATÃO, PVC, SOLDÁVEL, DN 25MM, X 1/2 INSTALADO EM RAMAL OU SUB-RAMAL DE ÁGUA - FORNECIMENTO E INSTALAÇÃO. AF_06/2022</v>
      </c>
      <c r="G163" s="164" t="str">
        <f ca="1">IF($D163&lt;&gt;"Serviço","",OFFSET(ORÇAMENTO!S$15,$L163,0))</f>
        <v>UN</v>
      </c>
      <c r="H163" s="122">
        <f t="array" aca="1" ref="H163" ca="1">IF($D163&lt;&gt;"Serviço",0,IF(ACOMPANHAMENTO="BM",ROUND(OFFSET(ORÇAMENTO!AJ$15,$L163,0),15-13*ORÇAMENTO!$AF$7),IF(IFERROR(CÁLCULO.FrentesPreenchidas,0)=0,0,SUM(ROUND(OFFSET($P163,0,1,1,CÁLCULO.FrentesPreenchidas),15-13*ORÇAMENTO!$AF$7)))))</f>
        <v>140</v>
      </c>
      <c r="I163" s="467" t="s">
        <v>1311</v>
      </c>
      <c r="J163" s="653" t="str">
        <f t="array" aca="1" ref="J163" ca="1">IF(OR(B163&lt;&gt;"S",CÁLCULO.FrentesPreenchidas=0),"",IF(AND(ACOMPANHAMENTO="PLE",AUTOEVENTO="Manual",OR(H163&gt;0,ORÇAMENTO!AC163="QUANT."),OR(K163="",M163=0,N163="")),"►E",IF(AND(ACOMPANHAMENTO="PLE",ORÇAMENTO!AC163="QUANT."),"►Q",IF(AND(ACOMPANHAMENTO="PLE",H163&lt;&gt;SUMPRODUCT(($Q$1:$AI$1=1)*ROUND(Q163:AI163,15))),"►S",IF(AND(COUNTIF($P$11:$AI$11,"▼")=0,H163&gt;0,I163=""),"◄M","")))))</f>
        <v/>
      </c>
      <c r="K163" s="654" t="s">
        <v>1445</v>
      </c>
      <c r="L163" s="165">
        <f t="shared" ca="1" si="83"/>
        <v>148</v>
      </c>
      <c r="M163" s="166">
        <f ca="1">IF($D163&lt;&gt;"Serviço","",
          IF(AUTOEVENTO="manual",$A163,
                IF(ISERROR(MATCH($A163,$A$15:OFFSET($A163,-1,0),0)),MAX($M$15:OFFSET(M163,-1,0))+1,
                      INDEX($M$15:OFFSET(M163,-1,0),MATCH($A163,$A$15:OFFSET($A163,-1,0),0)))))</f>
        <v>38</v>
      </c>
      <c r="N163" s="167" t="str">
        <f ca="1">IF($D163&lt;&gt;"Serviço","",
         IF(AUTOEVENTO="Manual",
                IF($A163=0,"&lt;-- defina o número do agrupador",
                       OFFSET(EVENTOS!$D$15,$A163-$A$15,0)),
                OFFSET($F$15,$A163,0)))</f>
        <v>HIDRÁULICA EMBUTIDA EM PAREDE</v>
      </c>
      <c r="O163" s="168"/>
      <c r="Q163" s="169">
        <v>35</v>
      </c>
      <c r="R163" s="169">
        <v>35</v>
      </c>
      <c r="S163" s="169">
        <v>35</v>
      </c>
      <c r="T163" s="169">
        <v>35</v>
      </c>
      <c r="U163" s="169"/>
      <c r="V163" s="169"/>
      <c r="W163" s="169"/>
      <c r="X163" s="169"/>
      <c r="Y163" s="169"/>
      <c r="Z163" s="170"/>
      <c r="AA163" s="169"/>
      <c r="AB163" s="169"/>
      <c r="AC163" s="169"/>
      <c r="AD163" s="169"/>
      <c r="AE163" s="169"/>
      <c r="AF163" s="169"/>
      <c r="AG163" s="169"/>
      <c r="AH163" s="170"/>
      <c r="AJ163" s="452">
        <f ca="1">IF(AND($D163="Serviço",AJ$12&lt;&gt;0,$H163&gt;0,OR(AUTOEVENTO&lt;&gt;"manual",$M163&lt;&gt;$A$15)),
        IF(Import.TipoArredondamento&lt;&gt;"TransfereGOV",
              ROUND(OFFSET($P163,0,AJ$13),15-13*ORÇAMENTO!$AF$7)/$H163*OFFSET(ORÇAMENTO!$X$15,ROW(AJ163)-ROW(AJ$15),0),
              ROUND(ROUND(OFFSET($P163,0,AJ$13),15-13*ORÇAMENTO!$AF$7)*OFFSET(ORÇAMENTO!$W$15,ROW(AJ163)-ROW(AJ$15),0),15-13*ORÇAMENTO!$AF$11)),
         0)</f>
        <v>544.95000000000005</v>
      </c>
      <c r="AK163" s="452">
        <f ca="1">IF(AND($D163="Serviço",AK$12&lt;&gt;0,$H163&gt;0,OR(AUTOEVENTO&lt;&gt;"manual",$M163&lt;&gt;$A$15)),
        IF(Import.TipoArredondamento&lt;&gt;"TransfereGOV",
              ROUND(OFFSET($P163,0,AK$13),15-13*ORÇAMENTO!$AF$7)/$H163*OFFSET(ORÇAMENTO!$X$15,ROW(AK163)-ROW(AK$15),0),
              ROUND(ROUND(OFFSET($P163,0,AK$13),15-13*ORÇAMENTO!$AF$7)*OFFSET(ORÇAMENTO!$W$15,ROW(AK163)-ROW(AK$15),0),15-13*ORÇAMENTO!$AF$11)),
         0)</f>
        <v>544.95000000000005</v>
      </c>
      <c r="AL163" s="452">
        <f ca="1">IF(AND($D163="Serviço",AL$12&lt;&gt;0,$H163&gt;0,OR(AUTOEVENTO&lt;&gt;"manual",$M163&lt;&gt;$A$15)),
        IF(Import.TipoArredondamento&lt;&gt;"TransfereGOV",
              ROUND(OFFSET($P163,0,AL$13),15-13*ORÇAMENTO!$AF$7)/$H163*OFFSET(ORÇAMENTO!$X$15,ROW(AL163)-ROW(AL$15),0),
              ROUND(ROUND(OFFSET($P163,0,AL$13),15-13*ORÇAMENTO!$AF$7)*OFFSET(ORÇAMENTO!$W$15,ROW(AL163)-ROW(AL$15),0),15-13*ORÇAMENTO!$AF$11)),
         0)</f>
        <v>544.95000000000005</v>
      </c>
      <c r="AM163" s="452">
        <f ca="1">IF(AND($D163="Serviço",AM$12&lt;&gt;0,$H163&gt;0,OR(AUTOEVENTO&lt;&gt;"manual",$M163&lt;&gt;$A$15)),
        IF(Import.TipoArredondamento&lt;&gt;"TransfereGOV",
              ROUND(OFFSET($P163,0,AM$13),15-13*ORÇAMENTO!$AF$7)/$H163*OFFSET(ORÇAMENTO!$X$15,ROW(AM163)-ROW(AM$15),0),
              ROUND(ROUND(OFFSET($P163,0,AM$13),15-13*ORÇAMENTO!$AF$7)*OFFSET(ORÇAMENTO!$W$15,ROW(AM163)-ROW(AM$15),0),15-13*ORÇAMENTO!$AF$11)),
         0)</f>
        <v>544.95000000000005</v>
      </c>
      <c r="AN163" s="452">
        <f ca="1">IF(AND($D163="Serviço",AN$12&lt;&gt;0,$H163&gt;0,OR(AUTOEVENTO&lt;&gt;"manual",$M163&lt;&gt;$A$15)),
        IF(Import.TipoArredondamento&lt;&gt;"TransfereGOV",
              ROUND(OFFSET($P163,0,AN$13),15-13*ORÇAMENTO!$AF$7)/$H163*OFFSET(ORÇAMENTO!$X$15,ROW(AN163)-ROW(AN$15),0),
              ROUND(ROUND(OFFSET($P163,0,AN$13),15-13*ORÇAMENTO!$AF$7)*OFFSET(ORÇAMENTO!$W$15,ROW(AN163)-ROW(AN$15),0),15-13*ORÇAMENTO!$AF$11)),
         0)</f>
        <v>0</v>
      </c>
      <c r="AO163" s="452">
        <f ca="1">IF(AND($D163="Serviço",AO$12&lt;&gt;0,$H163&gt;0,OR(AUTOEVENTO&lt;&gt;"manual",$M163&lt;&gt;$A$15)),
        IF(Import.TipoArredondamento&lt;&gt;"TransfereGOV",
              ROUND(OFFSET($P163,0,AO$13),15-13*ORÇAMENTO!$AF$7)/$H163*OFFSET(ORÇAMENTO!$X$15,ROW(AO163)-ROW(AO$15),0),
              ROUND(ROUND(OFFSET($P163,0,AO$13),15-13*ORÇAMENTO!$AF$7)*OFFSET(ORÇAMENTO!$W$15,ROW(AO163)-ROW(AO$15),0),15-13*ORÇAMENTO!$AF$11)),
         0)</f>
        <v>0</v>
      </c>
      <c r="AP163" s="452">
        <f ca="1">IF(AND($D163="Serviço",AP$12&lt;&gt;0,$H163&gt;0,OR(AUTOEVENTO&lt;&gt;"manual",$M163&lt;&gt;$A$15)),
        IF(Import.TipoArredondamento&lt;&gt;"TransfereGOV",
              ROUND(OFFSET($P163,0,AP$13),15-13*ORÇAMENTO!$AF$7)/$H163*OFFSET(ORÇAMENTO!$X$15,ROW(AP163)-ROW(AP$15),0),
              ROUND(ROUND(OFFSET($P163,0,AP$13),15-13*ORÇAMENTO!$AF$7)*OFFSET(ORÇAMENTO!$W$15,ROW(AP163)-ROW(AP$15),0),15-13*ORÇAMENTO!$AF$11)),
         0)</f>
        <v>0</v>
      </c>
      <c r="AQ163" s="452">
        <f ca="1">IF(AND($D163="Serviço",AQ$12&lt;&gt;0,$H163&gt;0,OR(AUTOEVENTO&lt;&gt;"manual",$M163&lt;&gt;$A$15)),
        IF(Import.TipoArredondamento&lt;&gt;"TransfereGOV",
              ROUND(OFFSET($P163,0,AQ$13),15-13*ORÇAMENTO!$AF$7)/$H163*OFFSET(ORÇAMENTO!$X$15,ROW(AQ163)-ROW(AQ$15),0),
              ROUND(ROUND(OFFSET($P163,0,AQ$13),15-13*ORÇAMENTO!$AF$7)*OFFSET(ORÇAMENTO!$W$15,ROW(AQ163)-ROW(AQ$15),0),15-13*ORÇAMENTO!$AF$11)),
         0)</f>
        <v>0</v>
      </c>
      <c r="AR163" s="452">
        <f ca="1">IF(AND($D163="Serviço",AR$12&lt;&gt;0,$H163&gt;0,OR(AUTOEVENTO&lt;&gt;"manual",$M163&lt;&gt;$A$15)),
        IF(Import.TipoArredondamento&lt;&gt;"TransfereGOV",
              ROUND(OFFSET($P163,0,AR$13),15-13*ORÇAMENTO!$AF$7)/$H163*OFFSET(ORÇAMENTO!$X$15,ROW(AR163)-ROW(AR$15),0),
              ROUND(ROUND(OFFSET($P163,0,AR$13),15-13*ORÇAMENTO!$AF$7)*OFFSET(ORÇAMENTO!$W$15,ROW(AR163)-ROW(AR$15),0),15-13*ORÇAMENTO!$AF$11)),
         0)</f>
        <v>0</v>
      </c>
      <c r="AS163" s="452">
        <f ca="1">IF(AND($D163="Serviço",AS$12&lt;&gt;0,$H163&gt;0,OR(AUTOEVENTO&lt;&gt;"manual",$M163&lt;&gt;$A$15)),
        IF(Import.TipoArredondamento&lt;&gt;"TransfereGOV",
              ROUND(OFFSET($P163,0,AS$13),15-13*ORÇAMENTO!$AF$7)/$H163*OFFSET(ORÇAMENTO!$X$15,ROW(AS163)-ROW(AS$15),0),
              ROUND(ROUND(OFFSET($P163,0,AS$13),15-13*ORÇAMENTO!$AF$7)*OFFSET(ORÇAMENTO!$W$15,ROW(AS163)-ROW(AS$15),0),15-13*ORÇAMENTO!$AF$11)),
         0)</f>
        <v>0</v>
      </c>
      <c r="AT163" s="452">
        <f ca="1">IF(AND($D163="Serviço",AT$12&lt;&gt;0,$H163&gt;0,OR(AUTOEVENTO&lt;&gt;"manual",$M163&lt;&gt;$A$15)),
        IF(Import.TipoArredondamento&lt;&gt;"TransfereGOV",
              ROUND(OFFSET($P163,0,AT$13),15-13*ORÇAMENTO!$AF$7)/$H163*OFFSET(ORÇAMENTO!$X$15,ROW(AT163)-ROW(AT$15),0),
              ROUND(ROUND(OFFSET($P163,0,AT$13),15-13*ORÇAMENTO!$AF$7)*OFFSET(ORÇAMENTO!$W$15,ROW(AT163)-ROW(AT$15),0),15-13*ORÇAMENTO!$AF$11)),
         0)</f>
        <v>0</v>
      </c>
      <c r="AU163" s="452">
        <f ca="1">IF(AND($D163="Serviço",AU$12&lt;&gt;0,$H163&gt;0,OR(AUTOEVENTO&lt;&gt;"manual",$M163&lt;&gt;$A$15)),
        IF(Import.TipoArredondamento&lt;&gt;"TransfereGOV",
              ROUND(OFFSET($P163,0,AU$13),15-13*ORÇAMENTO!$AF$7)/$H163*OFFSET(ORÇAMENTO!$X$15,ROW(AU163)-ROW(AU$15),0),
              ROUND(ROUND(OFFSET($P163,0,AU$13),15-13*ORÇAMENTO!$AF$7)*OFFSET(ORÇAMENTO!$W$15,ROW(AU163)-ROW(AU$15),0),15-13*ORÇAMENTO!$AF$11)),
         0)</f>
        <v>0</v>
      </c>
      <c r="AV163" s="452">
        <f ca="1">IF(AND($D163="Serviço",AV$12&lt;&gt;0,$H163&gt;0,OR(AUTOEVENTO&lt;&gt;"manual",$M163&lt;&gt;$A$15)),
        IF(Import.TipoArredondamento&lt;&gt;"TransfereGOV",
              ROUND(OFFSET($P163,0,AV$13),15-13*ORÇAMENTO!$AF$7)/$H163*OFFSET(ORÇAMENTO!$X$15,ROW(AV163)-ROW(AV$15),0),
              ROUND(ROUND(OFFSET($P163,0,AV$13),15-13*ORÇAMENTO!$AF$7)*OFFSET(ORÇAMENTO!$W$15,ROW(AV163)-ROW(AV$15),0),15-13*ORÇAMENTO!$AF$11)),
         0)</f>
        <v>0</v>
      </c>
      <c r="AW163" s="452">
        <f ca="1">IF(AND($D163="Serviço",AW$12&lt;&gt;0,$H163&gt;0,OR(AUTOEVENTO&lt;&gt;"manual",$M163&lt;&gt;$A$15)),
        IF(Import.TipoArredondamento&lt;&gt;"TransfereGOV",
              ROUND(OFFSET($P163,0,AW$13),15-13*ORÇAMENTO!$AF$7)/$H163*OFFSET(ORÇAMENTO!$X$15,ROW(AW163)-ROW(AW$15),0),
              ROUND(ROUND(OFFSET($P163,0,AW$13),15-13*ORÇAMENTO!$AF$7)*OFFSET(ORÇAMENTO!$W$15,ROW(AW163)-ROW(AW$15),0),15-13*ORÇAMENTO!$AF$11)),
         0)</f>
        <v>0</v>
      </c>
      <c r="AX163" s="452">
        <f ca="1">IF(AND($D163="Serviço",AX$12&lt;&gt;0,$H163&gt;0,OR(AUTOEVENTO&lt;&gt;"manual",$M163&lt;&gt;$A$15)),
        IF(Import.TipoArredondamento&lt;&gt;"TransfereGOV",
              ROUND(OFFSET($P163,0,AX$13),15-13*ORÇAMENTO!$AF$7)/$H163*OFFSET(ORÇAMENTO!$X$15,ROW(AX163)-ROW(AX$15),0),
              ROUND(ROUND(OFFSET($P163,0,AX$13),15-13*ORÇAMENTO!$AF$7)*OFFSET(ORÇAMENTO!$W$15,ROW(AX163)-ROW(AX$15),0),15-13*ORÇAMENTO!$AF$11)),
         0)</f>
        <v>0</v>
      </c>
      <c r="AY163" s="452">
        <f ca="1">IF(AND($D163="Serviço",AY$12&lt;&gt;0,$H163&gt;0,OR(AUTOEVENTO&lt;&gt;"manual",$M163&lt;&gt;$A$15)),
        IF(Import.TipoArredondamento&lt;&gt;"TransfereGOV",
              ROUND(OFFSET($P163,0,AY$13),15-13*ORÇAMENTO!$AF$7)/$H163*OFFSET(ORÇAMENTO!$X$15,ROW(AY163)-ROW(AY$15),0),
              ROUND(ROUND(OFFSET($P163,0,AY$13),15-13*ORÇAMENTO!$AF$7)*OFFSET(ORÇAMENTO!$W$15,ROW(AY163)-ROW(AY$15),0),15-13*ORÇAMENTO!$AF$11)),
         0)</f>
        <v>0</v>
      </c>
      <c r="AZ163" s="452">
        <f ca="1">IF(AND($D163="Serviço",AZ$12&lt;&gt;0,$H163&gt;0,OR(AUTOEVENTO&lt;&gt;"manual",$M163&lt;&gt;$A$15)),
        IF(Import.TipoArredondamento&lt;&gt;"TransfereGOV",
              ROUND(OFFSET($P163,0,AZ$13),15-13*ORÇAMENTO!$AF$7)/$H163*OFFSET(ORÇAMENTO!$X$15,ROW(AZ163)-ROW(AZ$15),0),
              ROUND(ROUND(OFFSET($P163,0,AZ$13),15-13*ORÇAMENTO!$AF$7)*OFFSET(ORÇAMENTO!$W$15,ROW(AZ163)-ROW(AZ$15),0),15-13*ORÇAMENTO!$AF$11)),
         0)</f>
        <v>0</v>
      </c>
      <c r="BA163" s="452">
        <f ca="1">IF(AND($D163="Serviço",BA$12&lt;&gt;0,$H163&gt;0,OR(AUTOEVENTO&lt;&gt;"manual",$M163&lt;&gt;$A$15)),
        IF(Import.TipoArredondamento&lt;&gt;"TransfereGOV",
              ROUND(OFFSET($P163,0,BA$13),15-13*ORÇAMENTO!$AF$7)/$H163*OFFSET(ORÇAMENTO!$X$15,ROW(BA163)-ROW(BA$15),0),
              ROUND(ROUND(OFFSET($P163,0,BA$13),15-13*ORÇAMENTO!$AF$7)*OFFSET(ORÇAMENTO!$W$15,ROW(BA163)-ROW(BA$15),0),15-13*ORÇAMENTO!$AF$11)),
         0)</f>
        <v>0</v>
      </c>
      <c r="BC163" s="171">
        <f ca="1">IF(OR($D163&lt;&gt;"Serviço",AND(AUTOEVENTO="Manual",$M163=$A$15)),0,
         IF(OFFSET(CRONOPLE!$F$15,$M163-$A$15,BC$13)=0,10^12,OFFSET(CRONOPLE!$F$15,$M163-$A$15,BC$13)))</f>
        <v>5</v>
      </c>
      <c r="BD163" s="171">
        <f ca="1">IF(OR($D163&lt;&gt;"Serviço",AND(AUTOEVENTO="Manual",$M163=$A$15)),0,
         IF(OFFSET(CRONOPLE!$F$15,$M163-$A$15,BD$13)=0,10^12,OFFSET(CRONOPLE!$F$15,$M163-$A$15,BD$13)))</f>
        <v>5</v>
      </c>
      <c r="BE163" s="171">
        <f ca="1">IF(OR($D163&lt;&gt;"Serviço",AND(AUTOEVENTO="Manual",$M163=$A$15)),0,
         IF(OFFSET(CRONOPLE!$F$15,$M163-$A$15,BE$13)=0,10^12,OFFSET(CRONOPLE!$F$15,$M163-$A$15,BE$13)))</f>
        <v>6</v>
      </c>
      <c r="BF163" s="171">
        <f ca="1">IF(OR($D163&lt;&gt;"Serviço",AND(AUTOEVENTO="Manual",$M163=$A$15)),0,
         IF(OFFSET(CRONOPLE!$F$15,$M163-$A$15,BF$13)=0,10^12,OFFSET(CRONOPLE!$F$15,$M163-$A$15,BF$13)))</f>
        <v>6</v>
      </c>
      <c r="BG163" s="171">
        <f ca="1">IF(OR($D163&lt;&gt;"Serviço",AND(AUTOEVENTO="Manual",$M163=$A$15)),0,
         IF(OFFSET(CRONOPLE!$F$15,$M163-$A$15,BG$13)=0,10^12,OFFSET(CRONOPLE!$F$15,$M163-$A$15,BG$13)))</f>
        <v>6</v>
      </c>
      <c r="BH163" s="171">
        <f ca="1">IF(OR($D163&lt;&gt;"Serviço",AND(AUTOEVENTO="Manual",$M163=$A$15)),0,
         IF(OFFSET(CRONOPLE!$F$15,$M163-$A$15,BH$13)=0,10^12,OFFSET(CRONOPLE!$F$15,$M163-$A$15,BH$13)))</f>
        <v>1000000000000</v>
      </c>
      <c r="BI163" s="171">
        <f ca="1">IF(OR($D163&lt;&gt;"Serviço",AND(AUTOEVENTO="Manual",$M163=$A$15)),0,
         IF(OFFSET(CRONOPLE!$F$15,$M163-$A$15,BI$13)=0,10^12,OFFSET(CRONOPLE!$F$15,$M163-$A$15,BI$13)))</f>
        <v>1000000000000</v>
      </c>
      <c r="BJ163" s="171">
        <f ca="1">IF(OR($D163&lt;&gt;"Serviço",AND(AUTOEVENTO="Manual",$M163=$A$15)),0,
         IF(OFFSET(CRONOPLE!$F$15,$M163-$A$15,BJ$13)=0,10^12,OFFSET(CRONOPLE!$F$15,$M163-$A$15,BJ$13)))</f>
        <v>1000000000000</v>
      </c>
      <c r="BK163" s="171">
        <f ca="1">IF(OR($D163&lt;&gt;"Serviço",AND(AUTOEVENTO="Manual",$M163=$A$15)),0,
         IF(OFFSET(CRONOPLE!$F$15,$M163-$A$15,BK$13)=0,10^12,OFFSET(CRONOPLE!$F$15,$M163-$A$15,BK$13)))</f>
        <v>1000000000000</v>
      </c>
      <c r="BL163" s="171">
        <f ca="1">IF(OR($D163&lt;&gt;"Serviço",AND(AUTOEVENTO="Manual",$M163=$A$15)),0,
         IF(OFFSET(CRONOPLE!$F$15,$M163-$A$15,BL$13)=0,10^12,OFFSET(CRONOPLE!$F$15,$M163-$A$15,BL$13)))</f>
        <v>1000000000000</v>
      </c>
      <c r="BM163" s="171">
        <f ca="1">IF(OR($D163&lt;&gt;"Serviço",AND(AUTOEVENTO="Manual",$M163=$A$15)),0,
         IF(OFFSET(CRONOPLE!$F$15,$M163-$A$15,BM$13)=0,10^12,OFFSET(CRONOPLE!$F$15,$M163-$A$15,BM$13)))</f>
        <v>1000000000000</v>
      </c>
      <c r="BN163" s="171">
        <f ca="1">IF(OR($D163&lt;&gt;"Serviço",AND(AUTOEVENTO="Manual",$M163=$A$15)),0,
         IF(OFFSET(CRONOPLE!$F$15,$M163-$A$15,BN$13)=0,10^12,OFFSET(CRONOPLE!$F$15,$M163-$A$15,BN$13)))</f>
        <v>1000000000000</v>
      </c>
      <c r="BO163" s="171">
        <f ca="1">IF(OR($D163&lt;&gt;"Serviço",AND(AUTOEVENTO="Manual",$M163=$A$15)),0,
         IF(OFFSET(CRONOPLE!$F$15,$M163-$A$15,BO$13)=0,10^12,OFFSET(CRONOPLE!$F$15,$M163-$A$15,BO$13)))</f>
        <v>1000000000000</v>
      </c>
      <c r="BP163" s="171">
        <f ca="1">IF(OR($D163&lt;&gt;"Serviço",AND(AUTOEVENTO="Manual",$M163=$A$15)),0,
         IF(OFFSET(CRONOPLE!$F$15,$M163-$A$15,BP$13)=0,10^12,OFFSET(CRONOPLE!$F$15,$M163-$A$15,BP$13)))</f>
        <v>1000000000000</v>
      </c>
      <c r="BQ163" s="171">
        <f ca="1">IF(OR($D163&lt;&gt;"Serviço",AND(AUTOEVENTO="Manual",$M163=$A$15)),0,
         IF(OFFSET(CRONOPLE!$F$15,$M163-$A$15,BQ$13)=0,10^12,OFFSET(CRONOPLE!$F$15,$M163-$A$15,BQ$13)))</f>
        <v>1000000000000</v>
      </c>
      <c r="BR163" s="171">
        <f ca="1">IF(OR($D163&lt;&gt;"Serviço",AND(AUTOEVENTO="Manual",$M163=$A$15)),0,
         IF(OFFSET(CRONOPLE!$F$15,$M163-$A$15,BR$13)=0,10^12,OFFSET(CRONOPLE!$F$15,$M163-$A$15,BR$13)))</f>
        <v>1000000000000</v>
      </c>
      <c r="BS163" s="171">
        <f ca="1">IF(OR($D163&lt;&gt;"Serviço",AND(AUTOEVENTO="Manual",$M163=$A$15)),0,
         IF(OFFSET(CRONOPLE!$F$15,$M163-$A$15,BS$13)=0,10^12,OFFSET(CRONOPLE!$F$15,$M163-$A$15,BS$13)))</f>
        <v>1000000000000</v>
      </c>
      <c r="BT163" s="171">
        <f ca="1">IF(OR($D163&lt;&gt;"Serviço",AND(AUTOEVENTO="Manual",$M163=$A$15)),0,
         IF(OFFSET(CRONOPLE!$F$15,$M163-$A$15,BT$13)=0,10^12,OFFSET(CRONOPLE!$F$15,$M163-$A$15,BT$13)))</f>
        <v>1000000000000</v>
      </c>
      <c r="BV163" s="172">
        <f t="array" aca="1" ref="BV163" ca="1">IF(OR($D163&lt;&gt;"Serviço",AND(AUTOEVENTO="Manual",$M163=$A$15),$M163&gt;(ROW(PLE.lastrow)-ROW(PLE.firstrow))),0,
           IF(OFFSET(PLE!$G$15,$M163-$A$15,BV$13)="",10^12,OFFSET(PLE!$G$15,$M163-$A$15,BV$13)))</f>
        <v>1000000000000</v>
      </c>
      <c r="BW163" s="172">
        <f t="array" aca="1" ref="BW163" ca="1">IF(OR($D163&lt;&gt;"Serviço",AND(AUTOEVENTO="Manual",$M163=$A$15),$M163&gt;(ROW(PLE.lastrow)-ROW(PLE.firstrow))),0,
           IF(OFFSET(PLE!$G$15,$M163-$A$15,BW$13)="",10^12,OFFSET(PLE!$G$15,$M163-$A$15,BW$13)))</f>
        <v>1000000000000</v>
      </c>
      <c r="BX163" s="172">
        <f t="array" aca="1" ref="BX163" ca="1">IF(OR($D163&lt;&gt;"Serviço",AND(AUTOEVENTO="Manual",$M163=$A$15),$M163&gt;(ROW(PLE.lastrow)-ROW(PLE.firstrow))),0,
           IF(OFFSET(PLE!$G$15,$M163-$A$15,BX$13)="",10^12,OFFSET(PLE!$G$15,$M163-$A$15,BX$13)))</f>
        <v>1000000000000</v>
      </c>
      <c r="BY163" s="172">
        <f t="array" aca="1" ref="BY163" ca="1">IF(OR($D163&lt;&gt;"Serviço",AND(AUTOEVENTO="Manual",$M163=$A$15),$M163&gt;(ROW(PLE.lastrow)-ROW(PLE.firstrow))),0,
           IF(OFFSET(PLE!$G$15,$M163-$A$15,BY$13)="",10^12,OFFSET(PLE!$G$15,$M163-$A$15,BY$13)))</f>
        <v>1000000000000</v>
      </c>
      <c r="BZ163" s="172">
        <f t="array" aca="1" ref="BZ163" ca="1">IF(OR($D163&lt;&gt;"Serviço",AND(AUTOEVENTO="Manual",$M163=$A$15),$M163&gt;(ROW(PLE.lastrow)-ROW(PLE.firstrow))),0,
           IF(OFFSET(PLE!$G$15,$M163-$A$15,BZ$13)="",10^12,OFFSET(PLE!$G$15,$M163-$A$15,BZ$13)))</f>
        <v>1000000000000</v>
      </c>
      <c r="CA163" s="172">
        <f t="array" aca="1" ref="CA163" ca="1">IF(OR($D163&lt;&gt;"Serviço",AND(AUTOEVENTO="Manual",$M163=$A$15),$M163&gt;(ROW(PLE.lastrow)-ROW(PLE.firstrow))),0,
           IF(OFFSET(PLE!$G$15,$M163-$A$15,CA$13)="",10^12,OFFSET(PLE!$G$15,$M163-$A$15,CA$13)))</f>
        <v>1000000000000</v>
      </c>
      <c r="CB163" s="172">
        <f t="array" aca="1" ref="CB163" ca="1">IF(OR($D163&lt;&gt;"Serviço",AND(AUTOEVENTO="Manual",$M163=$A$15),$M163&gt;(ROW(PLE.lastrow)-ROW(PLE.firstrow))),0,
           IF(OFFSET(PLE!$G$15,$M163-$A$15,CB$13)="",10^12,OFFSET(PLE!$G$15,$M163-$A$15,CB$13)))</f>
        <v>1000000000000</v>
      </c>
      <c r="CC163" s="172">
        <f t="array" aca="1" ref="CC163" ca="1">IF(OR($D163&lt;&gt;"Serviço",AND(AUTOEVENTO="Manual",$M163=$A$15),$M163&gt;(ROW(PLE.lastrow)-ROW(PLE.firstrow))),0,
           IF(OFFSET(PLE!$G$15,$M163-$A$15,CC$13)="",10^12,OFFSET(PLE!$G$15,$M163-$A$15,CC$13)))</f>
        <v>1000000000000</v>
      </c>
      <c r="CD163" s="172">
        <f t="array" aca="1" ref="CD163" ca="1">IF(OR($D163&lt;&gt;"Serviço",AND(AUTOEVENTO="Manual",$M163=$A$15),$M163&gt;(ROW(PLE.lastrow)-ROW(PLE.firstrow))),0,
           IF(OFFSET(PLE!$G$15,$M163-$A$15,CD$13)="",10^12,OFFSET(PLE!$G$15,$M163-$A$15,CD$13)))</f>
        <v>1000000000000</v>
      </c>
      <c r="CE163" s="172">
        <f t="array" aca="1" ref="CE163" ca="1">IF(OR($D163&lt;&gt;"Serviço",AND(AUTOEVENTO="Manual",$M163=$A$15),$M163&gt;(ROW(PLE.lastrow)-ROW(PLE.firstrow))),0,
           IF(OFFSET(PLE!$G$15,$M163-$A$15,CE$13)="",10^12,OFFSET(PLE!$G$15,$M163-$A$15,CE$13)))</f>
        <v>1000000000000</v>
      </c>
      <c r="CF163" s="172">
        <f t="array" aca="1" ref="CF163" ca="1">IF(OR($D163&lt;&gt;"Serviço",AND(AUTOEVENTO="Manual",$M163=$A$15),$M163&gt;(ROW(PLE.lastrow)-ROW(PLE.firstrow))),0,
           IF(OFFSET(PLE!$G$15,$M163-$A$15,CF$13)="",10^12,OFFSET(PLE!$G$15,$M163-$A$15,CF$13)))</f>
        <v>1000000000000</v>
      </c>
      <c r="CG163" s="172">
        <f t="array" aca="1" ref="CG163" ca="1">IF(OR($D163&lt;&gt;"Serviço",AND(AUTOEVENTO="Manual",$M163=$A$15),$M163&gt;(ROW(PLE.lastrow)-ROW(PLE.firstrow))),0,
           IF(OFFSET(PLE!$G$15,$M163-$A$15,CG$13)="",10^12,OFFSET(PLE!$G$15,$M163-$A$15,CG$13)))</f>
        <v>1000000000000</v>
      </c>
      <c r="CH163" s="172">
        <f t="array" aca="1" ref="CH163" ca="1">IF(OR($D163&lt;&gt;"Serviço",AND(AUTOEVENTO="Manual",$M163=$A$15),$M163&gt;(ROW(PLE.lastrow)-ROW(PLE.firstrow))),0,
           IF(OFFSET(PLE!$G$15,$M163-$A$15,CH$13)="",10^12,OFFSET(PLE!$G$15,$M163-$A$15,CH$13)))</f>
        <v>1000000000000</v>
      </c>
      <c r="CI163" s="172">
        <f t="array" aca="1" ref="CI163" ca="1">IF(OR($D163&lt;&gt;"Serviço",AND(AUTOEVENTO="Manual",$M163=$A$15),$M163&gt;(ROW(PLE.lastrow)-ROW(PLE.firstrow))),0,
           IF(OFFSET(PLE!$G$15,$M163-$A$15,CI$13)="",10^12,OFFSET(PLE!$G$15,$M163-$A$15,CI$13)))</f>
        <v>1000000000000</v>
      </c>
      <c r="CJ163" s="172">
        <f t="array" aca="1" ref="CJ163" ca="1">IF(OR($D163&lt;&gt;"Serviço",AND(AUTOEVENTO="Manual",$M163=$A$15),$M163&gt;(ROW(PLE.lastrow)-ROW(PLE.firstrow))),0,
           IF(OFFSET(PLE!$G$15,$M163-$A$15,CJ$13)="",10^12,OFFSET(PLE!$G$15,$M163-$A$15,CJ$13)))</f>
        <v>1000000000000</v>
      </c>
      <c r="CK163" s="172">
        <f t="array" aca="1" ref="CK163" ca="1">IF(OR($D163&lt;&gt;"Serviço",AND(AUTOEVENTO="Manual",$M163=$A$15),$M163&gt;(ROW(PLE.lastrow)-ROW(PLE.firstrow))),0,
           IF(OFFSET(PLE!$G$15,$M163-$A$15,CK$13)="",10^12,OFFSET(PLE!$G$15,$M163-$A$15,CK$13)))</f>
        <v>1000000000000</v>
      </c>
      <c r="CL163" s="172">
        <f t="array" aca="1" ref="CL163" ca="1">IF(OR($D163&lt;&gt;"Serviço",AND(AUTOEVENTO="Manual",$M163=$A$15),$M163&gt;(ROW(PLE.lastrow)-ROW(PLE.firstrow))),0,
           IF(OFFSET(PLE!$G$15,$M163-$A$15,CL$13)="",10^12,OFFSET(PLE!$G$15,$M163-$A$15,CL$13)))</f>
        <v>1000000000000</v>
      </c>
      <c r="CM163" s="172">
        <f t="array" aca="1" ref="CM163" ca="1">IF(OR($D163&lt;&gt;"Serviço",AND(AUTOEVENTO="Manual",$M163=$A$15),$M163&gt;(ROW(PLE.lastrow)-ROW(PLE.firstrow))),0,
           IF(OFFSET(PLE!$G$15,$M163-$A$15,CM$13)="",10^12,OFFSET(PLE!$G$15,$M163-$A$15,CM$13)))</f>
        <v>1000000000000</v>
      </c>
    </row>
    <row r="164" spans="1:91" s="696" customFormat="1" ht="63.75" x14ac:dyDescent="0.2">
      <c r="A164" s="694">
        <f t="shared" ca="1" si="82"/>
        <v>38</v>
      </c>
      <c r="B164" s="694" t="str">
        <f ca="1">OFFSET(ORÇAMENTO!C$15,$L164,0)</f>
        <v>S</v>
      </c>
      <c r="C164" s="694" t="str">
        <f ca="1">OFFSET(ORÇAMENTO!L$15,$L164,0)</f>
        <v>F</v>
      </c>
      <c r="D164" s="116" t="str">
        <f ca="1">OFFSET(ORÇAMENTO!N$15,$L164,0)</f>
        <v>Serviço</v>
      </c>
      <c r="E164" s="117" t="str">
        <f ca="1">OFFSET(ORÇAMENTO!O$15,$L164,0)</f>
        <v>1.26.2.</v>
      </c>
      <c r="F164" s="163" t="str">
        <f ca="1">OFFSET(ORÇAMENTO!R$15,$L164,0)</f>
        <v>JOELHO 90 GRAUS, PVC, SOLDÁVEL, DN 25MM, INSTALADO EM RAMAL DE DISTRIBUIÇÃO DE ÁGUA - FORNECIMENTO E INSTALAÇÃO. AF_06/2022</v>
      </c>
      <c r="G164" s="164" t="str">
        <f ca="1">IF($D164&lt;&gt;"Serviço","",OFFSET(ORÇAMENTO!S$15,$L164,0))</f>
        <v>UN</v>
      </c>
      <c r="H164" s="122">
        <f t="array" aca="1" ref="H164" ca="1">IF($D164&lt;&gt;"Serviço",0,IF(ACOMPANHAMENTO="BM",ROUND(OFFSET(ORÇAMENTO!AJ$15,$L164,0),15-13*ORÇAMENTO!$AF$7),IF(IFERROR(CÁLCULO.FrentesPreenchidas,0)=0,0,SUM(ROUND(OFFSET($P164,0,1,1,CÁLCULO.FrentesPreenchidas),15-13*ORÇAMENTO!$AF$7)))))</f>
        <v>260</v>
      </c>
      <c r="I164" s="467" t="s">
        <v>1312</v>
      </c>
      <c r="J164" s="653" t="str">
        <f t="array" aca="1" ref="J164" ca="1">IF(OR(B164&lt;&gt;"S",CÁLCULO.FrentesPreenchidas=0),"",IF(AND(ACOMPANHAMENTO="PLE",AUTOEVENTO="Manual",OR(H164&gt;0,ORÇAMENTO!AC164="QUANT."),OR(K164="",M164=0,N164="")),"►E",IF(AND(ACOMPANHAMENTO="PLE",ORÇAMENTO!AC164="QUANT."),"►Q",IF(AND(ACOMPANHAMENTO="PLE",H164&lt;&gt;SUMPRODUCT(($Q$1:$AI$1=1)*ROUND(Q164:AI164,15))),"►S",IF(AND(COUNTIF($P$11:$AI$11,"▼")=0,H164&gt;0,I164=""),"◄M","")))))</f>
        <v/>
      </c>
      <c r="K164" s="654" t="s">
        <v>1445</v>
      </c>
      <c r="L164" s="165">
        <f t="shared" ca="1" si="83"/>
        <v>149</v>
      </c>
      <c r="M164" s="166">
        <f ca="1">IF($D164&lt;&gt;"Serviço","",
          IF(AUTOEVENTO="manual",$A164,
                IF(ISERROR(MATCH($A164,$A$15:OFFSET($A164,-1,0),0)),MAX($M$15:OFFSET(M164,-1,0))+1,
                      INDEX($M$15:OFFSET(M164,-1,0),MATCH($A164,$A$15:OFFSET($A164,-1,0),0)))))</f>
        <v>38</v>
      </c>
      <c r="N164" s="167" t="str">
        <f ca="1">IF($D164&lt;&gt;"Serviço","",
         IF(AUTOEVENTO="Manual",
                IF($A164=0,"&lt;-- defina o número do agrupador",
                       OFFSET(EVENTOS!$D$15,$A164-$A$15,0)),
                OFFSET($F$15,$A164,0)))</f>
        <v>HIDRÁULICA EMBUTIDA EM PAREDE</v>
      </c>
      <c r="O164" s="168"/>
      <c r="Q164" s="169">
        <v>65</v>
      </c>
      <c r="R164" s="169">
        <v>65</v>
      </c>
      <c r="S164" s="169">
        <v>65</v>
      </c>
      <c r="T164" s="169">
        <v>65</v>
      </c>
      <c r="U164" s="169"/>
      <c r="V164" s="169"/>
      <c r="W164" s="169"/>
      <c r="X164" s="169"/>
      <c r="Y164" s="169"/>
      <c r="Z164" s="170"/>
      <c r="AA164" s="169"/>
      <c r="AB164" s="169"/>
      <c r="AC164" s="169"/>
      <c r="AD164" s="169"/>
      <c r="AE164" s="169"/>
      <c r="AF164" s="169"/>
      <c r="AG164" s="169"/>
      <c r="AH164" s="170"/>
      <c r="AJ164" s="452">
        <f ca="1">IF(AND($D164="Serviço",AJ$12&lt;&gt;0,$H164&gt;0,OR(AUTOEVENTO&lt;&gt;"manual",$M164&lt;&gt;$A$15)),
        IF(Import.TipoArredondamento&lt;&gt;"TransfereGOV",
              ROUND(OFFSET($P164,0,AJ$13),15-13*ORÇAMENTO!$AF$7)/$H164*OFFSET(ORÇAMENTO!$X$15,ROW(AJ164)-ROW(AJ$15),0),
              ROUND(ROUND(OFFSET($P164,0,AJ$13),15-13*ORÇAMENTO!$AF$7)*OFFSET(ORÇAMENTO!$W$15,ROW(AJ164)-ROW(AJ$15),0),15-13*ORÇAMENTO!$AF$11)),
         0)</f>
        <v>694.85</v>
      </c>
      <c r="AK164" s="452">
        <f ca="1">IF(AND($D164="Serviço",AK$12&lt;&gt;0,$H164&gt;0,OR(AUTOEVENTO&lt;&gt;"manual",$M164&lt;&gt;$A$15)),
        IF(Import.TipoArredondamento&lt;&gt;"TransfereGOV",
              ROUND(OFFSET($P164,0,AK$13),15-13*ORÇAMENTO!$AF$7)/$H164*OFFSET(ORÇAMENTO!$X$15,ROW(AK164)-ROW(AK$15),0),
              ROUND(ROUND(OFFSET($P164,0,AK$13),15-13*ORÇAMENTO!$AF$7)*OFFSET(ORÇAMENTO!$W$15,ROW(AK164)-ROW(AK$15),0),15-13*ORÇAMENTO!$AF$11)),
         0)</f>
        <v>694.85</v>
      </c>
      <c r="AL164" s="452">
        <f ca="1">IF(AND($D164="Serviço",AL$12&lt;&gt;0,$H164&gt;0,OR(AUTOEVENTO&lt;&gt;"manual",$M164&lt;&gt;$A$15)),
        IF(Import.TipoArredondamento&lt;&gt;"TransfereGOV",
              ROUND(OFFSET($P164,0,AL$13),15-13*ORÇAMENTO!$AF$7)/$H164*OFFSET(ORÇAMENTO!$X$15,ROW(AL164)-ROW(AL$15),0),
              ROUND(ROUND(OFFSET($P164,0,AL$13),15-13*ORÇAMENTO!$AF$7)*OFFSET(ORÇAMENTO!$W$15,ROW(AL164)-ROW(AL$15),0),15-13*ORÇAMENTO!$AF$11)),
         0)</f>
        <v>694.85</v>
      </c>
      <c r="AM164" s="452">
        <f ca="1">IF(AND($D164="Serviço",AM$12&lt;&gt;0,$H164&gt;0,OR(AUTOEVENTO&lt;&gt;"manual",$M164&lt;&gt;$A$15)),
        IF(Import.TipoArredondamento&lt;&gt;"TransfereGOV",
              ROUND(OFFSET($P164,0,AM$13),15-13*ORÇAMENTO!$AF$7)/$H164*OFFSET(ORÇAMENTO!$X$15,ROW(AM164)-ROW(AM$15),0),
              ROUND(ROUND(OFFSET($P164,0,AM$13),15-13*ORÇAMENTO!$AF$7)*OFFSET(ORÇAMENTO!$W$15,ROW(AM164)-ROW(AM$15),0),15-13*ORÇAMENTO!$AF$11)),
         0)</f>
        <v>694.85</v>
      </c>
      <c r="AN164" s="452">
        <f ca="1">IF(AND($D164="Serviço",AN$12&lt;&gt;0,$H164&gt;0,OR(AUTOEVENTO&lt;&gt;"manual",$M164&lt;&gt;$A$15)),
        IF(Import.TipoArredondamento&lt;&gt;"TransfereGOV",
              ROUND(OFFSET($P164,0,AN$13),15-13*ORÇAMENTO!$AF$7)/$H164*OFFSET(ORÇAMENTO!$X$15,ROW(AN164)-ROW(AN$15),0),
              ROUND(ROUND(OFFSET($P164,0,AN$13),15-13*ORÇAMENTO!$AF$7)*OFFSET(ORÇAMENTO!$W$15,ROW(AN164)-ROW(AN$15),0),15-13*ORÇAMENTO!$AF$11)),
         0)</f>
        <v>0</v>
      </c>
      <c r="AO164" s="452">
        <f ca="1">IF(AND($D164="Serviço",AO$12&lt;&gt;0,$H164&gt;0,OR(AUTOEVENTO&lt;&gt;"manual",$M164&lt;&gt;$A$15)),
        IF(Import.TipoArredondamento&lt;&gt;"TransfereGOV",
              ROUND(OFFSET($P164,0,AO$13),15-13*ORÇAMENTO!$AF$7)/$H164*OFFSET(ORÇAMENTO!$X$15,ROW(AO164)-ROW(AO$15),0),
              ROUND(ROUND(OFFSET($P164,0,AO$13),15-13*ORÇAMENTO!$AF$7)*OFFSET(ORÇAMENTO!$W$15,ROW(AO164)-ROW(AO$15),0),15-13*ORÇAMENTO!$AF$11)),
         0)</f>
        <v>0</v>
      </c>
      <c r="AP164" s="452">
        <f ca="1">IF(AND($D164="Serviço",AP$12&lt;&gt;0,$H164&gt;0,OR(AUTOEVENTO&lt;&gt;"manual",$M164&lt;&gt;$A$15)),
        IF(Import.TipoArredondamento&lt;&gt;"TransfereGOV",
              ROUND(OFFSET($P164,0,AP$13),15-13*ORÇAMENTO!$AF$7)/$H164*OFFSET(ORÇAMENTO!$X$15,ROW(AP164)-ROW(AP$15),0),
              ROUND(ROUND(OFFSET($P164,0,AP$13),15-13*ORÇAMENTO!$AF$7)*OFFSET(ORÇAMENTO!$W$15,ROW(AP164)-ROW(AP$15),0),15-13*ORÇAMENTO!$AF$11)),
         0)</f>
        <v>0</v>
      </c>
      <c r="AQ164" s="452">
        <f ca="1">IF(AND($D164="Serviço",AQ$12&lt;&gt;0,$H164&gt;0,OR(AUTOEVENTO&lt;&gt;"manual",$M164&lt;&gt;$A$15)),
        IF(Import.TipoArredondamento&lt;&gt;"TransfereGOV",
              ROUND(OFFSET($P164,0,AQ$13),15-13*ORÇAMENTO!$AF$7)/$H164*OFFSET(ORÇAMENTO!$X$15,ROW(AQ164)-ROW(AQ$15),0),
              ROUND(ROUND(OFFSET($P164,0,AQ$13),15-13*ORÇAMENTO!$AF$7)*OFFSET(ORÇAMENTO!$W$15,ROW(AQ164)-ROW(AQ$15),0),15-13*ORÇAMENTO!$AF$11)),
         0)</f>
        <v>0</v>
      </c>
      <c r="AR164" s="452">
        <f ca="1">IF(AND($D164="Serviço",AR$12&lt;&gt;0,$H164&gt;0,OR(AUTOEVENTO&lt;&gt;"manual",$M164&lt;&gt;$A$15)),
        IF(Import.TipoArredondamento&lt;&gt;"TransfereGOV",
              ROUND(OFFSET($P164,0,AR$13),15-13*ORÇAMENTO!$AF$7)/$H164*OFFSET(ORÇAMENTO!$X$15,ROW(AR164)-ROW(AR$15),0),
              ROUND(ROUND(OFFSET($P164,0,AR$13),15-13*ORÇAMENTO!$AF$7)*OFFSET(ORÇAMENTO!$W$15,ROW(AR164)-ROW(AR$15),0),15-13*ORÇAMENTO!$AF$11)),
         0)</f>
        <v>0</v>
      </c>
      <c r="AS164" s="452">
        <f ca="1">IF(AND($D164="Serviço",AS$12&lt;&gt;0,$H164&gt;0,OR(AUTOEVENTO&lt;&gt;"manual",$M164&lt;&gt;$A$15)),
        IF(Import.TipoArredondamento&lt;&gt;"TransfereGOV",
              ROUND(OFFSET($P164,0,AS$13),15-13*ORÇAMENTO!$AF$7)/$H164*OFFSET(ORÇAMENTO!$X$15,ROW(AS164)-ROW(AS$15),0),
              ROUND(ROUND(OFFSET($P164,0,AS$13),15-13*ORÇAMENTO!$AF$7)*OFFSET(ORÇAMENTO!$W$15,ROW(AS164)-ROW(AS$15),0),15-13*ORÇAMENTO!$AF$11)),
         0)</f>
        <v>0</v>
      </c>
      <c r="AT164" s="452">
        <f ca="1">IF(AND($D164="Serviço",AT$12&lt;&gt;0,$H164&gt;0,OR(AUTOEVENTO&lt;&gt;"manual",$M164&lt;&gt;$A$15)),
        IF(Import.TipoArredondamento&lt;&gt;"TransfereGOV",
              ROUND(OFFSET($P164,0,AT$13),15-13*ORÇAMENTO!$AF$7)/$H164*OFFSET(ORÇAMENTO!$X$15,ROW(AT164)-ROW(AT$15),0),
              ROUND(ROUND(OFFSET($P164,0,AT$13),15-13*ORÇAMENTO!$AF$7)*OFFSET(ORÇAMENTO!$W$15,ROW(AT164)-ROW(AT$15),0),15-13*ORÇAMENTO!$AF$11)),
         0)</f>
        <v>0</v>
      </c>
      <c r="AU164" s="452">
        <f ca="1">IF(AND($D164="Serviço",AU$12&lt;&gt;0,$H164&gt;0,OR(AUTOEVENTO&lt;&gt;"manual",$M164&lt;&gt;$A$15)),
        IF(Import.TipoArredondamento&lt;&gt;"TransfereGOV",
              ROUND(OFFSET($P164,0,AU$13),15-13*ORÇAMENTO!$AF$7)/$H164*OFFSET(ORÇAMENTO!$X$15,ROW(AU164)-ROW(AU$15),0),
              ROUND(ROUND(OFFSET($P164,0,AU$13),15-13*ORÇAMENTO!$AF$7)*OFFSET(ORÇAMENTO!$W$15,ROW(AU164)-ROW(AU$15),0),15-13*ORÇAMENTO!$AF$11)),
         0)</f>
        <v>0</v>
      </c>
      <c r="AV164" s="452">
        <f ca="1">IF(AND($D164="Serviço",AV$12&lt;&gt;0,$H164&gt;0,OR(AUTOEVENTO&lt;&gt;"manual",$M164&lt;&gt;$A$15)),
        IF(Import.TipoArredondamento&lt;&gt;"TransfereGOV",
              ROUND(OFFSET($P164,0,AV$13),15-13*ORÇAMENTO!$AF$7)/$H164*OFFSET(ORÇAMENTO!$X$15,ROW(AV164)-ROW(AV$15),0),
              ROUND(ROUND(OFFSET($P164,0,AV$13),15-13*ORÇAMENTO!$AF$7)*OFFSET(ORÇAMENTO!$W$15,ROW(AV164)-ROW(AV$15),0),15-13*ORÇAMENTO!$AF$11)),
         0)</f>
        <v>0</v>
      </c>
      <c r="AW164" s="452">
        <f ca="1">IF(AND($D164="Serviço",AW$12&lt;&gt;0,$H164&gt;0,OR(AUTOEVENTO&lt;&gt;"manual",$M164&lt;&gt;$A$15)),
        IF(Import.TipoArredondamento&lt;&gt;"TransfereGOV",
              ROUND(OFFSET($P164,0,AW$13),15-13*ORÇAMENTO!$AF$7)/$H164*OFFSET(ORÇAMENTO!$X$15,ROW(AW164)-ROW(AW$15),0),
              ROUND(ROUND(OFFSET($P164,0,AW$13),15-13*ORÇAMENTO!$AF$7)*OFFSET(ORÇAMENTO!$W$15,ROW(AW164)-ROW(AW$15),0),15-13*ORÇAMENTO!$AF$11)),
         0)</f>
        <v>0</v>
      </c>
      <c r="AX164" s="452">
        <f ca="1">IF(AND($D164="Serviço",AX$12&lt;&gt;0,$H164&gt;0,OR(AUTOEVENTO&lt;&gt;"manual",$M164&lt;&gt;$A$15)),
        IF(Import.TipoArredondamento&lt;&gt;"TransfereGOV",
              ROUND(OFFSET($P164,0,AX$13),15-13*ORÇAMENTO!$AF$7)/$H164*OFFSET(ORÇAMENTO!$X$15,ROW(AX164)-ROW(AX$15),0),
              ROUND(ROUND(OFFSET($P164,0,AX$13),15-13*ORÇAMENTO!$AF$7)*OFFSET(ORÇAMENTO!$W$15,ROW(AX164)-ROW(AX$15),0),15-13*ORÇAMENTO!$AF$11)),
         0)</f>
        <v>0</v>
      </c>
      <c r="AY164" s="452">
        <f ca="1">IF(AND($D164="Serviço",AY$12&lt;&gt;0,$H164&gt;0,OR(AUTOEVENTO&lt;&gt;"manual",$M164&lt;&gt;$A$15)),
        IF(Import.TipoArredondamento&lt;&gt;"TransfereGOV",
              ROUND(OFFSET($P164,0,AY$13),15-13*ORÇAMENTO!$AF$7)/$H164*OFFSET(ORÇAMENTO!$X$15,ROW(AY164)-ROW(AY$15),0),
              ROUND(ROUND(OFFSET($P164,0,AY$13),15-13*ORÇAMENTO!$AF$7)*OFFSET(ORÇAMENTO!$W$15,ROW(AY164)-ROW(AY$15),0),15-13*ORÇAMENTO!$AF$11)),
         0)</f>
        <v>0</v>
      </c>
      <c r="AZ164" s="452">
        <f ca="1">IF(AND($D164="Serviço",AZ$12&lt;&gt;0,$H164&gt;0,OR(AUTOEVENTO&lt;&gt;"manual",$M164&lt;&gt;$A$15)),
        IF(Import.TipoArredondamento&lt;&gt;"TransfereGOV",
              ROUND(OFFSET($P164,0,AZ$13),15-13*ORÇAMENTO!$AF$7)/$H164*OFFSET(ORÇAMENTO!$X$15,ROW(AZ164)-ROW(AZ$15),0),
              ROUND(ROUND(OFFSET($P164,0,AZ$13),15-13*ORÇAMENTO!$AF$7)*OFFSET(ORÇAMENTO!$W$15,ROW(AZ164)-ROW(AZ$15),0),15-13*ORÇAMENTO!$AF$11)),
         0)</f>
        <v>0</v>
      </c>
      <c r="BA164" s="452">
        <f ca="1">IF(AND($D164="Serviço",BA$12&lt;&gt;0,$H164&gt;0,OR(AUTOEVENTO&lt;&gt;"manual",$M164&lt;&gt;$A$15)),
        IF(Import.TipoArredondamento&lt;&gt;"TransfereGOV",
              ROUND(OFFSET($P164,0,BA$13),15-13*ORÇAMENTO!$AF$7)/$H164*OFFSET(ORÇAMENTO!$X$15,ROW(BA164)-ROW(BA$15),0),
              ROUND(ROUND(OFFSET($P164,0,BA$13),15-13*ORÇAMENTO!$AF$7)*OFFSET(ORÇAMENTO!$W$15,ROW(BA164)-ROW(BA$15),0),15-13*ORÇAMENTO!$AF$11)),
         0)</f>
        <v>0</v>
      </c>
      <c r="BC164" s="171">
        <f ca="1">IF(OR($D164&lt;&gt;"Serviço",AND(AUTOEVENTO="Manual",$M164=$A$15)),0,
         IF(OFFSET(CRONOPLE!$F$15,$M164-$A$15,BC$13)=0,10^12,OFFSET(CRONOPLE!$F$15,$M164-$A$15,BC$13)))</f>
        <v>5</v>
      </c>
      <c r="BD164" s="171">
        <f ca="1">IF(OR($D164&lt;&gt;"Serviço",AND(AUTOEVENTO="Manual",$M164=$A$15)),0,
         IF(OFFSET(CRONOPLE!$F$15,$M164-$A$15,BD$13)=0,10^12,OFFSET(CRONOPLE!$F$15,$M164-$A$15,BD$13)))</f>
        <v>5</v>
      </c>
      <c r="BE164" s="171">
        <f ca="1">IF(OR($D164&lt;&gt;"Serviço",AND(AUTOEVENTO="Manual",$M164=$A$15)),0,
         IF(OFFSET(CRONOPLE!$F$15,$M164-$A$15,BE$13)=0,10^12,OFFSET(CRONOPLE!$F$15,$M164-$A$15,BE$13)))</f>
        <v>6</v>
      </c>
      <c r="BF164" s="171">
        <f ca="1">IF(OR($D164&lt;&gt;"Serviço",AND(AUTOEVENTO="Manual",$M164=$A$15)),0,
         IF(OFFSET(CRONOPLE!$F$15,$M164-$A$15,BF$13)=0,10^12,OFFSET(CRONOPLE!$F$15,$M164-$A$15,BF$13)))</f>
        <v>6</v>
      </c>
      <c r="BG164" s="171">
        <f ca="1">IF(OR($D164&lt;&gt;"Serviço",AND(AUTOEVENTO="Manual",$M164=$A$15)),0,
         IF(OFFSET(CRONOPLE!$F$15,$M164-$A$15,BG$13)=0,10^12,OFFSET(CRONOPLE!$F$15,$M164-$A$15,BG$13)))</f>
        <v>6</v>
      </c>
      <c r="BH164" s="171">
        <f ca="1">IF(OR($D164&lt;&gt;"Serviço",AND(AUTOEVENTO="Manual",$M164=$A$15)),0,
         IF(OFFSET(CRONOPLE!$F$15,$M164-$A$15,BH$13)=0,10^12,OFFSET(CRONOPLE!$F$15,$M164-$A$15,BH$13)))</f>
        <v>1000000000000</v>
      </c>
      <c r="BI164" s="171">
        <f ca="1">IF(OR($D164&lt;&gt;"Serviço",AND(AUTOEVENTO="Manual",$M164=$A$15)),0,
         IF(OFFSET(CRONOPLE!$F$15,$M164-$A$15,BI$13)=0,10^12,OFFSET(CRONOPLE!$F$15,$M164-$A$15,BI$13)))</f>
        <v>1000000000000</v>
      </c>
      <c r="BJ164" s="171">
        <f ca="1">IF(OR($D164&lt;&gt;"Serviço",AND(AUTOEVENTO="Manual",$M164=$A$15)),0,
         IF(OFFSET(CRONOPLE!$F$15,$M164-$A$15,BJ$13)=0,10^12,OFFSET(CRONOPLE!$F$15,$M164-$A$15,BJ$13)))</f>
        <v>1000000000000</v>
      </c>
      <c r="BK164" s="171">
        <f ca="1">IF(OR($D164&lt;&gt;"Serviço",AND(AUTOEVENTO="Manual",$M164=$A$15)),0,
         IF(OFFSET(CRONOPLE!$F$15,$M164-$A$15,BK$13)=0,10^12,OFFSET(CRONOPLE!$F$15,$M164-$A$15,BK$13)))</f>
        <v>1000000000000</v>
      </c>
      <c r="BL164" s="171">
        <f ca="1">IF(OR($D164&lt;&gt;"Serviço",AND(AUTOEVENTO="Manual",$M164=$A$15)),0,
         IF(OFFSET(CRONOPLE!$F$15,$M164-$A$15,BL$13)=0,10^12,OFFSET(CRONOPLE!$F$15,$M164-$A$15,BL$13)))</f>
        <v>1000000000000</v>
      </c>
      <c r="BM164" s="171">
        <f ca="1">IF(OR($D164&lt;&gt;"Serviço",AND(AUTOEVENTO="Manual",$M164=$A$15)),0,
         IF(OFFSET(CRONOPLE!$F$15,$M164-$A$15,BM$13)=0,10^12,OFFSET(CRONOPLE!$F$15,$M164-$A$15,BM$13)))</f>
        <v>1000000000000</v>
      </c>
      <c r="BN164" s="171">
        <f ca="1">IF(OR($D164&lt;&gt;"Serviço",AND(AUTOEVENTO="Manual",$M164=$A$15)),0,
         IF(OFFSET(CRONOPLE!$F$15,$M164-$A$15,BN$13)=0,10^12,OFFSET(CRONOPLE!$F$15,$M164-$A$15,BN$13)))</f>
        <v>1000000000000</v>
      </c>
      <c r="BO164" s="171">
        <f ca="1">IF(OR($D164&lt;&gt;"Serviço",AND(AUTOEVENTO="Manual",$M164=$A$15)),0,
         IF(OFFSET(CRONOPLE!$F$15,$M164-$A$15,BO$13)=0,10^12,OFFSET(CRONOPLE!$F$15,$M164-$A$15,BO$13)))</f>
        <v>1000000000000</v>
      </c>
      <c r="BP164" s="171">
        <f ca="1">IF(OR($D164&lt;&gt;"Serviço",AND(AUTOEVENTO="Manual",$M164=$A$15)),0,
         IF(OFFSET(CRONOPLE!$F$15,$M164-$A$15,BP$13)=0,10^12,OFFSET(CRONOPLE!$F$15,$M164-$A$15,BP$13)))</f>
        <v>1000000000000</v>
      </c>
      <c r="BQ164" s="171">
        <f ca="1">IF(OR($D164&lt;&gt;"Serviço",AND(AUTOEVENTO="Manual",$M164=$A$15)),0,
         IF(OFFSET(CRONOPLE!$F$15,$M164-$A$15,BQ$13)=0,10^12,OFFSET(CRONOPLE!$F$15,$M164-$A$15,BQ$13)))</f>
        <v>1000000000000</v>
      </c>
      <c r="BR164" s="171">
        <f ca="1">IF(OR($D164&lt;&gt;"Serviço",AND(AUTOEVENTO="Manual",$M164=$A$15)),0,
         IF(OFFSET(CRONOPLE!$F$15,$M164-$A$15,BR$13)=0,10^12,OFFSET(CRONOPLE!$F$15,$M164-$A$15,BR$13)))</f>
        <v>1000000000000</v>
      </c>
      <c r="BS164" s="171">
        <f ca="1">IF(OR($D164&lt;&gt;"Serviço",AND(AUTOEVENTO="Manual",$M164=$A$15)),0,
         IF(OFFSET(CRONOPLE!$F$15,$M164-$A$15,BS$13)=0,10^12,OFFSET(CRONOPLE!$F$15,$M164-$A$15,BS$13)))</f>
        <v>1000000000000</v>
      </c>
      <c r="BT164" s="171">
        <f ca="1">IF(OR($D164&lt;&gt;"Serviço",AND(AUTOEVENTO="Manual",$M164=$A$15)),0,
         IF(OFFSET(CRONOPLE!$F$15,$M164-$A$15,BT$13)=0,10^12,OFFSET(CRONOPLE!$F$15,$M164-$A$15,BT$13)))</f>
        <v>1000000000000</v>
      </c>
      <c r="BV164" s="172">
        <f t="array" aca="1" ref="BV164" ca="1">IF(OR($D164&lt;&gt;"Serviço",AND(AUTOEVENTO="Manual",$M164=$A$15),$M164&gt;(ROW(PLE.lastrow)-ROW(PLE.firstrow))),0,
           IF(OFFSET(PLE!$G$15,$M164-$A$15,BV$13)="",10^12,OFFSET(PLE!$G$15,$M164-$A$15,BV$13)))</f>
        <v>1000000000000</v>
      </c>
      <c r="BW164" s="172">
        <f t="array" aca="1" ref="BW164" ca="1">IF(OR($D164&lt;&gt;"Serviço",AND(AUTOEVENTO="Manual",$M164=$A$15),$M164&gt;(ROW(PLE.lastrow)-ROW(PLE.firstrow))),0,
           IF(OFFSET(PLE!$G$15,$M164-$A$15,BW$13)="",10^12,OFFSET(PLE!$G$15,$M164-$A$15,BW$13)))</f>
        <v>1000000000000</v>
      </c>
      <c r="BX164" s="172">
        <f t="array" aca="1" ref="BX164" ca="1">IF(OR($D164&lt;&gt;"Serviço",AND(AUTOEVENTO="Manual",$M164=$A$15),$M164&gt;(ROW(PLE.lastrow)-ROW(PLE.firstrow))),0,
           IF(OFFSET(PLE!$G$15,$M164-$A$15,BX$13)="",10^12,OFFSET(PLE!$G$15,$M164-$A$15,BX$13)))</f>
        <v>1000000000000</v>
      </c>
      <c r="BY164" s="172">
        <f t="array" aca="1" ref="BY164" ca="1">IF(OR($D164&lt;&gt;"Serviço",AND(AUTOEVENTO="Manual",$M164=$A$15),$M164&gt;(ROW(PLE.lastrow)-ROW(PLE.firstrow))),0,
           IF(OFFSET(PLE!$G$15,$M164-$A$15,BY$13)="",10^12,OFFSET(PLE!$G$15,$M164-$A$15,BY$13)))</f>
        <v>1000000000000</v>
      </c>
      <c r="BZ164" s="172">
        <f t="array" aca="1" ref="BZ164" ca="1">IF(OR($D164&lt;&gt;"Serviço",AND(AUTOEVENTO="Manual",$M164=$A$15),$M164&gt;(ROW(PLE.lastrow)-ROW(PLE.firstrow))),0,
           IF(OFFSET(PLE!$G$15,$M164-$A$15,BZ$13)="",10^12,OFFSET(PLE!$G$15,$M164-$A$15,BZ$13)))</f>
        <v>1000000000000</v>
      </c>
      <c r="CA164" s="172">
        <f t="array" aca="1" ref="CA164" ca="1">IF(OR($D164&lt;&gt;"Serviço",AND(AUTOEVENTO="Manual",$M164=$A$15),$M164&gt;(ROW(PLE.lastrow)-ROW(PLE.firstrow))),0,
           IF(OFFSET(PLE!$G$15,$M164-$A$15,CA$13)="",10^12,OFFSET(PLE!$G$15,$M164-$A$15,CA$13)))</f>
        <v>1000000000000</v>
      </c>
      <c r="CB164" s="172">
        <f t="array" aca="1" ref="CB164" ca="1">IF(OR($D164&lt;&gt;"Serviço",AND(AUTOEVENTO="Manual",$M164=$A$15),$M164&gt;(ROW(PLE.lastrow)-ROW(PLE.firstrow))),0,
           IF(OFFSET(PLE!$G$15,$M164-$A$15,CB$13)="",10^12,OFFSET(PLE!$G$15,$M164-$A$15,CB$13)))</f>
        <v>1000000000000</v>
      </c>
      <c r="CC164" s="172">
        <f t="array" aca="1" ref="CC164" ca="1">IF(OR($D164&lt;&gt;"Serviço",AND(AUTOEVENTO="Manual",$M164=$A$15),$M164&gt;(ROW(PLE.lastrow)-ROW(PLE.firstrow))),0,
           IF(OFFSET(PLE!$G$15,$M164-$A$15,CC$13)="",10^12,OFFSET(PLE!$G$15,$M164-$A$15,CC$13)))</f>
        <v>1000000000000</v>
      </c>
      <c r="CD164" s="172">
        <f t="array" aca="1" ref="CD164" ca="1">IF(OR($D164&lt;&gt;"Serviço",AND(AUTOEVENTO="Manual",$M164=$A$15),$M164&gt;(ROW(PLE.lastrow)-ROW(PLE.firstrow))),0,
           IF(OFFSET(PLE!$G$15,$M164-$A$15,CD$13)="",10^12,OFFSET(PLE!$G$15,$M164-$A$15,CD$13)))</f>
        <v>1000000000000</v>
      </c>
      <c r="CE164" s="172">
        <f t="array" aca="1" ref="CE164" ca="1">IF(OR($D164&lt;&gt;"Serviço",AND(AUTOEVENTO="Manual",$M164=$A$15),$M164&gt;(ROW(PLE.lastrow)-ROW(PLE.firstrow))),0,
           IF(OFFSET(PLE!$G$15,$M164-$A$15,CE$13)="",10^12,OFFSET(PLE!$G$15,$M164-$A$15,CE$13)))</f>
        <v>1000000000000</v>
      </c>
      <c r="CF164" s="172">
        <f t="array" aca="1" ref="CF164" ca="1">IF(OR($D164&lt;&gt;"Serviço",AND(AUTOEVENTO="Manual",$M164=$A$15),$M164&gt;(ROW(PLE.lastrow)-ROW(PLE.firstrow))),0,
           IF(OFFSET(PLE!$G$15,$M164-$A$15,CF$13)="",10^12,OFFSET(PLE!$G$15,$M164-$A$15,CF$13)))</f>
        <v>1000000000000</v>
      </c>
      <c r="CG164" s="172">
        <f t="array" aca="1" ref="CG164" ca="1">IF(OR($D164&lt;&gt;"Serviço",AND(AUTOEVENTO="Manual",$M164=$A$15),$M164&gt;(ROW(PLE.lastrow)-ROW(PLE.firstrow))),0,
           IF(OFFSET(PLE!$G$15,$M164-$A$15,CG$13)="",10^12,OFFSET(PLE!$G$15,$M164-$A$15,CG$13)))</f>
        <v>1000000000000</v>
      </c>
      <c r="CH164" s="172">
        <f t="array" aca="1" ref="CH164" ca="1">IF(OR($D164&lt;&gt;"Serviço",AND(AUTOEVENTO="Manual",$M164=$A$15),$M164&gt;(ROW(PLE.lastrow)-ROW(PLE.firstrow))),0,
           IF(OFFSET(PLE!$G$15,$M164-$A$15,CH$13)="",10^12,OFFSET(PLE!$G$15,$M164-$A$15,CH$13)))</f>
        <v>1000000000000</v>
      </c>
      <c r="CI164" s="172">
        <f t="array" aca="1" ref="CI164" ca="1">IF(OR($D164&lt;&gt;"Serviço",AND(AUTOEVENTO="Manual",$M164=$A$15),$M164&gt;(ROW(PLE.lastrow)-ROW(PLE.firstrow))),0,
           IF(OFFSET(PLE!$G$15,$M164-$A$15,CI$13)="",10^12,OFFSET(PLE!$G$15,$M164-$A$15,CI$13)))</f>
        <v>1000000000000</v>
      </c>
      <c r="CJ164" s="172">
        <f t="array" aca="1" ref="CJ164" ca="1">IF(OR($D164&lt;&gt;"Serviço",AND(AUTOEVENTO="Manual",$M164=$A$15),$M164&gt;(ROW(PLE.lastrow)-ROW(PLE.firstrow))),0,
           IF(OFFSET(PLE!$G$15,$M164-$A$15,CJ$13)="",10^12,OFFSET(PLE!$G$15,$M164-$A$15,CJ$13)))</f>
        <v>1000000000000</v>
      </c>
      <c r="CK164" s="172">
        <f t="array" aca="1" ref="CK164" ca="1">IF(OR($D164&lt;&gt;"Serviço",AND(AUTOEVENTO="Manual",$M164=$A$15),$M164&gt;(ROW(PLE.lastrow)-ROW(PLE.firstrow))),0,
           IF(OFFSET(PLE!$G$15,$M164-$A$15,CK$13)="",10^12,OFFSET(PLE!$G$15,$M164-$A$15,CK$13)))</f>
        <v>1000000000000</v>
      </c>
      <c r="CL164" s="172">
        <f t="array" aca="1" ref="CL164" ca="1">IF(OR($D164&lt;&gt;"Serviço",AND(AUTOEVENTO="Manual",$M164=$A$15),$M164&gt;(ROW(PLE.lastrow)-ROW(PLE.firstrow))),0,
           IF(OFFSET(PLE!$G$15,$M164-$A$15,CL$13)="",10^12,OFFSET(PLE!$G$15,$M164-$A$15,CL$13)))</f>
        <v>1000000000000</v>
      </c>
      <c r="CM164" s="172">
        <f t="array" aca="1" ref="CM164" ca="1">IF(OR($D164&lt;&gt;"Serviço",AND(AUTOEVENTO="Manual",$M164=$A$15),$M164&gt;(ROW(PLE.lastrow)-ROW(PLE.firstrow))),0,
           IF(OFFSET(PLE!$G$15,$M164-$A$15,CM$13)="",10^12,OFFSET(PLE!$G$15,$M164-$A$15,CM$13)))</f>
        <v>1000000000000</v>
      </c>
    </row>
    <row r="165" spans="1:91" s="696" customFormat="1" ht="63.75" x14ac:dyDescent="0.2">
      <c r="A165" s="694">
        <f t="shared" ca="1" si="82"/>
        <v>38</v>
      </c>
      <c r="B165" s="694" t="str">
        <f ca="1">OFFSET(ORÇAMENTO!C$15,$L165,0)</f>
        <v>S</v>
      </c>
      <c r="C165" s="694" t="str">
        <f ca="1">OFFSET(ORÇAMENTO!L$15,$L165,0)</f>
        <v>F</v>
      </c>
      <c r="D165" s="116" t="str">
        <f ca="1">OFFSET(ORÇAMENTO!N$15,$L165,0)</f>
        <v>Serviço</v>
      </c>
      <c r="E165" s="117" t="str">
        <f ca="1">OFFSET(ORÇAMENTO!O$15,$L165,0)</f>
        <v>1.26.3.</v>
      </c>
      <c r="F165" s="163" t="str">
        <f ca="1">OFFSET(ORÇAMENTO!R$15,$L165,0)</f>
        <v>TE, PVC, SOLDÁVEL, DN 25MM, INSTALADO EM RAMAL OU SUB-RAMAL DE ÁGUA - FORNECIMENTO E INSTALAÇÃO. AF_06/2022</v>
      </c>
      <c r="G165" s="164" t="str">
        <f ca="1">IF($D165&lt;&gt;"Serviço","",OFFSET(ORÇAMENTO!S$15,$L165,0))</f>
        <v>UN</v>
      </c>
      <c r="H165" s="122">
        <f t="array" aca="1" ref="H165" ca="1">IF($D165&lt;&gt;"Serviço",0,IF(ACOMPANHAMENTO="BM",ROUND(OFFSET(ORÇAMENTO!AJ$15,$L165,0),15-13*ORÇAMENTO!$AF$7),IF(IFERROR(CÁLCULO.FrentesPreenchidas,0)=0,0,SUM(ROUND(OFFSET($P165,0,1,1,CÁLCULO.FrentesPreenchidas),15-13*ORÇAMENTO!$AF$7)))))</f>
        <v>80</v>
      </c>
      <c r="I165" s="467" t="s">
        <v>1313</v>
      </c>
      <c r="J165" s="653" t="str">
        <f t="array" aca="1" ref="J165" ca="1">IF(OR(B165&lt;&gt;"S",CÁLCULO.FrentesPreenchidas=0),"",IF(AND(ACOMPANHAMENTO="PLE",AUTOEVENTO="Manual",OR(H165&gt;0,ORÇAMENTO!AC165="QUANT."),OR(K165="",M165=0,N165="")),"►E",IF(AND(ACOMPANHAMENTO="PLE",ORÇAMENTO!AC165="QUANT."),"►Q",IF(AND(ACOMPANHAMENTO="PLE",H165&lt;&gt;SUMPRODUCT(($Q$1:$AI$1=1)*ROUND(Q165:AI165,15))),"►S",IF(AND(COUNTIF($P$11:$AI$11,"▼")=0,H165&gt;0,I165=""),"◄M","")))))</f>
        <v/>
      </c>
      <c r="K165" s="654" t="s">
        <v>1445</v>
      </c>
      <c r="L165" s="165">
        <f t="shared" ca="1" si="83"/>
        <v>150</v>
      </c>
      <c r="M165" s="166">
        <f ca="1">IF($D165&lt;&gt;"Serviço","",
          IF(AUTOEVENTO="manual",$A165,
                IF(ISERROR(MATCH($A165,$A$15:OFFSET($A165,-1,0),0)),MAX($M$15:OFFSET(M165,-1,0))+1,
                      INDEX($M$15:OFFSET(M165,-1,0),MATCH($A165,$A$15:OFFSET($A165,-1,0),0)))))</f>
        <v>38</v>
      </c>
      <c r="N165" s="167" t="str">
        <f ca="1">IF($D165&lt;&gt;"Serviço","",
         IF(AUTOEVENTO="Manual",
                IF($A165=0,"&lt;-- defina o número do agrupador",
                       OFFSET(EVENTOS!$D$15,$A165-$A$15,0)),
                OFFSET($F$15,$A165,0)))</f>
        <v>HIDRÁULICA EMBUTIDA EM PAREDE</v>
      </c>
      <c r="O165" s="168"/>
      <c r="Q165" s="169">
        <v>20</v>
      </c>
      <c r="R165" s="169">
        <v>20</v>
      </c>
      <c r="S165" s="169">
        <v>20</v>
      </c>
      <c r="T165" s="169">
        <v>20</v>
      </c>
      <c r="U165" s="169"/>
      <c r="V165" s="169"/>
      <c r="W165" s="169"/>
      <c r="X165" s="169"/>
      <c r="Y165" s="169"/>
      <c r="Z165" s="170"/>
      <c r="AA165" s="169"/>
      <c r="AB165" s="169"/>
      <c r="AC165" s="169"/>
      <c r="AD165" s="169"/>
      <c r="AE165" s="169"/>
      <c r="AF165" s="169"/>
      <c r="AG165" s="169"/>
      <c r="AH165" s="170"/>
      <c r="AJ165" s="452">
        <f ca="1">IF(AND($D165="Serviço",AJ$12&lt;&gt;0,$H165&gt;0,OR(AUTOEVENTO&lt;&gt;"manual",$M165&lt;&gt;$A$15)),
        IF(Import.TipoArredondamento&lt;&gt;"TransfereGOV",
              ROUND(OFFSET($P165,0,AJ$13),15-13*ORÇAMENTO!$AF$7)/$H165*OFFSET(ORÇAMENTO!$X$15,ROW(AJ165)-ROW(AJ$15),0),
              ROUND(ROUND(OFFSET($P165,0,AJ$13),15-13*ORÇAMENTO!$AF$7)*OFFSET(ORÇAMENTO!$W$15,ROW(AJ165)-ROW(AJ$15),0),15-13*ORÇAMENTO!$AF$11)),
         0)</f>
        <v>322.60000000000002</v>
      </c>
      <c r="AK165" s="452">
        <f ca="1">IF(AND($D165="Serviço",AK$12&lt;&gt;0,$H165&gt;0,OR(AUTOEVENTO&lt;&gt;"manual",$M165&lt;&gt;$A$15)),
        IF(Import.TipoArredondamento&lt;&gt;"TransfereGOV",
              ROUND(OFFSET($P165,0,AK$13),15-13*ORÇAMENTO!$AF$7)/$H165*OFFSET(ORÇAMENTO!$X$15,ROW(AK165)-ROW(AK$15),0),
              ROUND(ROUND(OFFSET($P165,0,AK$13),15-13*ORÇAMENTO!$AF$7)*OFFSET(ORÇAMENTO!$W$15,ROW(AK165)-ROW(AK$15),0),15-13*ORÇAMENTO!$AF$11)),
         0)</f>
        <v>322.60000000000002</v>
      </c>
      <c r="AL165" s="452">
        <f ca="1">IF(AND($D165="Serviço",AL$12&lt;&gt;0,$H165&gt;0,OR(AUTOEVENTO&lt;&gt;"manual",$M165&lt;&gt;$A$15)),
        IF(Import.TipoArredondamento&lt;&gt;"TransfereGOV",
              ROUND(OFFSET($P165,0,AL$13),15-13*ORÇAMENTO!$AF$7)/$H165*OFFSET(ORÇAMENTO!$X$15,ROW(AL165)-ROW(AL$15),0),
              ROUND(ROUND(OFFSET($P165,0,AL$13),15-13*ORÇAMENTO!$AF$7)*OFFSET(ORÇAMENTO!$W$15,ROW(AL165)-ROW(AL$15),0),15-13*ORÇAMENTO!$AF$11)),
         0)</f>
        <v>322.60000000000002</v>
      </c>
      <c r="AM165" s="452">
        <f ca="1">IF(AND($D165="Serviço",AM$12&lt;&gt;0,$H165&gt;0,OR(AUTOEVENTO&lt;&gt;"manual",$M165&lt;&gt;$A$15)),
        IF(Import.TipoArredondamento&lt;&gt;"TransfereGOV",
              ROUND(OFFSET($P165,0,AM$13),15-13*ORÇAMENTO!$AF$7)/$H165*OFFSET(ORÇAMENTO!$X$15,ROW(AM165)-ROW(AM$15),0),
              ROUND(ROUND(OFFSET($P165,0,AM$13),15-13*ORÇAMENTO!$AF$7)*OFFSET(ORÇAMENTO!$W$15,ROW(AM165)-ROW(AM$15),0),15-13*ORÇAMENTO!$AF$11)),
         0)</f>
        <v>322.60000000000002</v>
      </c>
      <c r="AN165" s="452">
        <f ca="1">IF(AND($D165="Serviço",AN$12&lt;&gt;0,$H165&gt;0,OR(AUTOEVENTO&lt;&gt;"manual",$M165&lt;&gt;$A$15)),
        IF(Import.TipoArredondamento&lt;&gt;"TransfereGOV",
              ROUND(OFFSET($P165,0,AN$13),15-13*ORÇAMENTO!$AF$7)/$H165*OFFSET(ORÇAMENTO!$X$15,ROW(AN165)-ROW(AN$15),0),
              ROUND(ROUND(OFFSET($P165,0,AN$13),15-13*ORÇAMENTO!$AF$7)*OFFSET(ORÇAMENTO!$W$15,ROW(AN165)-ROW(AN$15),0),15-13*ORÇAMENTO!$AF$11)),
         0)</f>
        <v>0</v>
      </c>
      <c r="AO165" s="452">
        <f ca="1">IF(AND($D165="Serviço",AO$12&lt;&gt;0,$H165&gt;0,OR(AUTOEVENTO&lt;&gt;"manual",$M165&lt;&gt;$A$15)),
        IF(Import.TipoArredondamento&lt;&gt;"TransfereGOV",
              ROUND(OFFSET($P165,0,AO$13),15-13*ORÇAMENTO!$AF$7)/$H165*OFFSET(ORÇAMENTO!$X$15,ROW(AO165)-ROW(AO$15),0),
              ROUND(ROUND(OFFSET($P165,0,AO$13),15-13*ORÇAMENTO!$AF$7)*OFFSET(ORÇAMENTO!$W$15,ROW(AO165)-ROW(AO$15),0),15-13*ORÇAMENTO!$AF$11)),
         0)</f>
        <v>0</v>
      </c>
      <c r="AP165" s="452">
        <f ca="1">IF(AND($D165="Serviço",AP$12&lt;&gt;0,$H165&gt;0,OR(AUTOEVENTO&lt;&gt;"manual",$M165&lt;&gt;$A$15)),
        IF(Import.TipoArredondamento&lt;&gt;"TransfereGOV",
              ROUND(OFFSET($P165,0,AP$13),15-13*ORÇAMENTO!$AF$7)/$H165*OFFSET(ORÇAMENTO!$X$15,ROW(AP165)-ROW(AP$15),0),
              ROUND(ROUND(OFFSET($P165,0,AP$13),15-13*ORÇAMENTO!$AF$7)*OFFSET(ORÇAMENTO!$W$15,ROW(AP165)-ROW(AP$15),0),15-13*ORÇAMENTO!$AF$11)),
         0)</f>
        <v>0</v>
      </c>
      <c r="AQ165" s="452">
        <f ca="1">IF(AND($D165="Serviço",AQ$12&lt;&gt;0,$H165&gt;0,OR(AUTOEVENTO&lt;&gt;"manual",$M165&lt;&gt;$A$15)),
        IF(Import.TipoArredondamento&lt;&gt;"TransfereGOV",
              ROUND(OFFSET($P165,0,AQ$13),15-13*ORÇAMENTO!$AF$7)/$H165*OFFSET(ORÇAMENTO!$X$15,ROW(AQ165)-ROW(AQ$15),0),
              ROUND(ROUND(OFFSET($P165,0,AQ$13),15-13*ORÇAMENTO!$AF$7)*OFFSET(ORÇAMENTO!$W$15,ROW(AQ165)-ROW(AQ$15),0),15-13*ORÇAMENTO!$AF$11)),
         0)</f>
        <v>0</v>
      </c>
      <c r="AR165" s="452">
        <f ca="1">IF(AND($D165="Serviço",AR$12&lt;&gt;0,$H165&gt;0,OR(AUTOEVENTO&lt;&gt;"manual",$M165&lt;&gt;$A$15)),
        IF(Import.TipoArredondamento&lt;&gt;"TransfereGOV",
              ROUND(OFFSET($P165,0,AR$13),15-13*ORÇAMENTO!$AF$7)/$H165*OFFSET(ORÇAMENTO!$X$15,ROW(AR165)-ROW(AR$15),0),
              ROUND(ROUND(OFFSET($P165,0,AR$13),15-13*ORÇAMENTO!$AF$7)*OFFSET(ORÇAMENTO!$W$15,ROW(AR165)-ROW(AR$15),0),15-13*ORÇAMENTO!$AF$11)),
         0)</f>
        <v>0</v>
      </c>
      <c r="AS165" s="452">
        <f ca="1">IF(AND($D165="Serviço",AS$12&lt;&gt;0,$H165&gt;0,OR(AUTOEVENTO&lt;&gt;"manual",$M165&lt;&gt;$A$15)),
        IF(Import.TipoArredondamento&lt;&gt;"TransfereGOV",
              ROUND(OFFSET($P165,0,AS$13),15-13*ORÇAMENTO!$AF$7)/$H165*OFFSET(ORÇAMENTO!$X$15,ROW(AS165)-ROW(AS$15),0),
              ROUND(ROUND(OFFSET($P165,0,AS$13),15-13*ORÇAMENTO!$AF$7)*OFFSET(ORÇAMENTO!$W$15,ROW(AS165)-ROW(AS$15),0),15-13*ORÇAMENTO!$AF$11)),
         0)</f>
        <v>0</v>
      </c>
      <c r="AT165" s="452">
        <f ca="1">IF(AND($D165="Serviço",AT$12&lt;&gt;0,$H165&gt;0,OR(AUTOEVENTO&lt;&gt;"manual",$M165&lt;&gt;$A$15)),
        IF(Import.TipoArredondamento&lt;&gt;"TransfereGOV",
              ROUND(OFFSET($P165,0,AT$13),15-13*ORÇAMENTO!$AF$7)/$H165*OFFSET(ORÇAMENTO!$X$15,ROW(AT165)-ROW(AT$15),0),
              ROUND(ROUND(OFFSET($P165,0,AT$13),15-13*ORÇAMENTO!$AF$7)*OFFSET(ORÇAMENTO!$W$15,ROW(AT165)-ROW(AT$15),0),15-13*ORÇAMENTO!$AF$11)),
         0)</f>
        <v>0</v>
      </c>
      <c r="AU165" s="452">
        <f ca="1">IF(AND($D165="Serviço",AU$12&lt;&gt;0,$H165&gt;0,OR(AUTOEVENTO&lt;&gt;"manual",$M165&lt;&gt;$A$15)),
        IF(Import.TipoArredondamento&lt;&gt;"TransfereGOV",
              ROUND(OFFSET($P165,0,AU$13),15-13*ORÇAMENTO!$AF$7)/$H165*OFFSET(ORÇAMENTO!$X$15,ROW(AU165)-ROW(AU$15),0),
              ROUND(ROUND(OFFSET($P165,0,AU$13),15-13*ORÇAMENTO!$AF$7)*OFFSET(ORÇAMENTO!$W$15,ROW(AU165)-ROW(AU$15),0),15-13*ORÇAMENTO!$AF$11)),
         0)</f>
        <v>0</v>
      </c>
      <c r="AV165" s="452">
        <f ca="1">IF(AND($D165="Serviço",AV$12&lt;&gt;0,$H165&gt;0,OR(AUTOEVENTO&lt;&gt;"manual",$M165&lt;&gt;$A$15)),
        IF(Import.TipoArredondamento&lt;&gt;"TransfereGOV",
              ROUND(OFFSET($P165,0,AV$13),15-13*ORÇAMENTO!$AF$7)/$H165*OFFSET(ORÇAMENTO!$X$15,ROW(AV165)-ROW(AV$15),0),
              ROUND(ROUND(OFFSET($P165,0,AV$13),15-13*ORÇAMENTO!$AF$7)*OFFSET(ORÇAMENTO!$W$15,ROW(AV165)-ROW(AV$15),0),15-13*ORÇAMENTO!$AF$11)),
         0)</f>
        <v>0</v>
      </c>
      <c r="AW165" s="452">
        <f ca="1">IF(AND($D165="Serviço",AW$12&lt;&gt;0,$H165&gt;0,OR(AUTOEVENTO&lt;&gt;"manual",$M165&lt;&gt;$A$15)),
        IF(Import.TipoArredondamento&lt;&gt;"TransfereGOV",
              ROUND(OFFSET($P165,0,AW$13),15-13*ORÇAMENTO!$AF$7)/$H165*OFFSET(ORÇAMENTO!$X$15,ROW(AW165)-ROW(AW$15),0),
              ROUND(ROUND(OFFSET($P165,0,AW$13),15-13*ORÇAMENTO!$AF$7)*OFFSET(ORÇAMENTO!$W$15,ROW(AW165)-ROW(AW$15),0),15-13*ORÇAMENTO!$AF$11)),
         0)</f>
        <v>0</v>
      </c>
      <c r="AX165" s="452">
        <f ca="1">IF(AND($D165="Serviço",AX$12&lt;&gt;0,$H165&gt;0,OR(AUTOEVENTO&lt;&gt;"manual",$M165&lt;&gt;$A$15)),
        IF(Import.TipoArredondamento&lt;&gt;"TransfereGOV",
              ROUND(OFFSET($P165,0,AX$13),15-13*ORÇAMENTO!$AF$7)/$H165*OFFSET(ORÇAMENTO!$X$15,ROW(AX165)-ROW(AX$15),0),
              ROUND(ROUND(OFFSET($P165,0,AX$13),15-13*ORÇAMENTO!$AF$7)*OFFSET(ORÇAMENTO!$W$15,ROW(AX165)-ROW(AX$15),0),15-13*ORÇAMENTO!$AF$11)),
         0)</f>
        <v>0</v>
      </c>
      <c r="AY165" s="452">
        <f ca="1">IF(AND($D165="Serviço",AY$12&lt;&gt;0,$H165&gt;0,OR(AUTOEVENTO&lt;&gt;"manual",$M165&lt;&gt;$A$15)),
        IF(Import.TipoArredondamento&lt;&gt;"TransfereGOV",
              ROUND(OFFSET($P165,0,AY$13),15-13*ORÇAMENTO!$AF$7)/$H165*OFFSET(ORÇAMENTO!$X$15,ROW(AY165)-ROW(AY$15),0),
              ROUND(ROUND(OFFSET($P165,0,AY$13),15-13*ORÇAMENTO!$AF$7)*OFFSET(ORÇAMENTO!$W$15,ROW(AY165)-ROW(AY$15),0),15-13*ORÇAMENTO!$AF$11)),
         0)</f>
        <v>0</v>
      </c>
      <c r="AZ165" s="452">
        <f ca="1">IF(AND($D165="Serviço",AZ$12&lt;&gt;0,$H165&gt;0,OR(AUTOEVENTO&lt;&gt;"manual",$M165&lt;&gt;$A$15)),
        IF(Import.TipoArredondamento&lt;&gt;"TransfereGOV",
              ROUND(OFFSET($P165,0,AZ$13),15-13*ORÇAMENTO!$AF$7)/$H165*OFFSET(ORÇAMENTO!$X$15,ROW(AZ165)-ROW(AZ$15),0),
              ROUND(ROUND(OFFSET($P165,0,AZ$13),15-13*ORÇAMENTO!$AF$7)*OFFSET(ORÇAMENTO!$W$15,ROW(AZ165)-ROW(AZ$15),0),15-13*ORÇAMENTO!$AF$11)),
         0)</f>
        <v>0</v>
      </c>
      <c r="BA165" s="452">
        <f ca="1">IF(AND($D165="Serviço",BA$12&lt;&gt;0,$H165&gt;0,OR(AUTOEVENTO&lt;&gt;"manual",$M165&lt;&gt;$A$15)),
        IF(Import.TipoArredondamento&lt;&gt;"TransfereGOV",
              ROUND(OFFSET($P165,0,BA$13),15-13*ORÇAMENTO!$AF$7)/$H165*OFFSET(ORÇAMENTO!$X$15,ROW(BA165)-ROW(BA$15),0),
              ROUND(ROUND(OFFSET($P165,0,BA$13),15-13*ORÇAMENTO!$AF$7)*OFFSET(ORÇAMENTO!$W$15,ROW(BA165)-ROW(BA$15),0),15-13*ORÇAMENTO!$AF$11)),
         0)</f>
        <v>0</v>
      </c>
      <c r="BC165" s="171">
        <f ca="1">IF(OR($D165&lt;&gt;"Serviço",AND(AUTOEVENTO="Manual",$M165=$A$15)),0,
         IF(OFFSET(CRONOPLE!$F$15,$M165-$A$15,BC$13)=0,10^12,OFFSET(CRONOPLE!$F$15,$M165-$A$15,BC$13)))</f>
        <v>5</v>
      </c>
      <c r="BD165" s="171">
        <f ca="1">IF(OR($D165&lt;&gt;"Serviço",AND(AUTOEVENTO="Manual",$M165=$A$15)),0,
         IF(OFFSET(CRONOPLE!$F$15,$M165-$A$15,BD$13)=0,10^12,OFFSET(CRONOPLE!$F$15,$M165-$A$15,BD$13)))</f>
        <v>5</v>
      </c>
      <c r="BE165" s="171">
        <f ca="1">IF(OR($D165&lt;&gt;"Serviço",AND(AUTOEVENTO="Manual",$M165=$A$15)),0,
         IF(OFFSET(CRONOPLE!$F$15,$M165-$A$15,BE$13)=0,10^12,OFFSET(CRONOPLE!$F$15,$M165-$A$15,BE$13)))</f>
        <v>6</v>
      </c>
      <c r="BF165" s="171">
        <f ca="1">IF(OR($D165&lt;&gt;"Serviço",AND(AUTOEVENTO="Manual",$M165=$A$15)),0,
         IF(OFFSET(CRONOPLE!$F$15,$M165-$A$15,BF$13)=0,10^12,OFFSET(CRONOPLE!$F$15,$M165-$A$15,BF$13)))</f>
        <v>6</v>
      </c>
      <c r="BG165" s="171">
        <f ca="1">IF(OR($D165&lt;&gt;"Serviço",AND(AUTOEVENTO="Manual",$M165=$A$15)),0,
         IF(OFFSET(CRONOPLE!$F$15,$M165-$A$15,BG$13)=0,10^12,OFFSET(CRONOPLE!$F$15,$M165-$A$15,BG$13)))</f>
        <v>6</v>
      </c>
      <c r="BH165" s="171">
        <f ca="1">IF(OR($D165&lt;&gt;"Serviço",AND(AUTOEVENTO="Manual",$M165=$A$15)),0,
         IF(OFFSET(CRONOPLE!$F$15,$M165-$A$15,BH$13)=0,10^12,OFFSET(CRONOPLE!$F$15,$M165-$A$15,BH$13)))</f>
        <v>1000000000000</v>
      </c>
      <c r="BI165" s="171">
        <f ca="1">IF(OR($D165&lt;&gt;"Serviço",AND(AUTOEVENTO="Manual",$M165=$A$15)),0,
         IF(OFFSET(CRONOPLE!$F$15,$M165-$A$15,BI$13)=0,10^12,OFFSET(CRONOPLE!$F$15,$M165-$A$15,BI$13)))</f>
        <v>1000000000000</v>
      </c>
      <c r="BJ165" s="171">
        <f ca="1">IF(OR($D165&lt;&gt;"Serviço",AND(AUTOEVENTO="Manual",$M165=$A$15)),0,
         IF(OFFSET(CRONOPLE!$F$15,$M165-$A$15,BJ$13)=0,10^12,OFFSET(CRONOPLE!$F$15,$M165-$A$15,BJ$13)))</f>
        <v>1000000000000</v>
      </c>
      <c r="BK165" s="171">
        <f ca="1">IF(OR($D165&lt;&gt;"Serviço",AND(AUTOEVENTO="Manual",$M165=$A$15)),0,
         IF(OFFSET(CRONOPLE!$F$15,$M165-$A$15,BK$13)=0,10^12,OFFSET(CRONOPLE!$F$15,$M165-$A$15,BK$13)))</f>
        <v>1000000000000</v>
      </c>
      <c r="BL165" s="171">
        <f ca="1">IF(OR($D165&lt;&gt;"Serviço",AND(AUTOEVENTO="Manual",$M165=$A$15)),0,
         IF(OFFSET(CRONOPLE!$F$15,$M165-$A$15,BL$13)=0,10^12,OFFSET(CRONOPLE!$F$15,$M165-$A$15,BL$13)))</f>
        <v>1000000000000</v>
      </c>
      <c r="BM165" s="171">
        <f ca="1">IF(OR($D165&lt;&gt;"Serviço",AND(AUTOEVENTO="Manual",$M165=$A$15)),0,
         IF(OFFSET(CRONOPLE!$F$15,$M165-$A$15,BM$13)=0,10^12,OFFSET(CRONOPLE!$F$15,$M165-$A$15,BM$13)))</f>
        <v>1000000000000</v>
      </c>
      <c r="BN165" s="171">
        <f ca="1">IF(OR($D165&lt;&gt;"Serviço",AND(AUTOEVENTO="Manual",$M165=$A$15)),0,
         IF(OFFSET(CRONOPLE!$F$15,$M165-$A$15,BN$13)=0,10^12,OFFSET(CRONOPLE!$F$15,$M165-$A$15,BN$13)))</f>
        <v>1000000000000</v>
      </c>
      <c r="BO165" s="171">
        <f ca="1">IF(OR($D165&lt;&gt;"Serviço",AND(AUTOEVENTO="Manual",$M165=$A$15)),0,
         IF(OFFSET(CRONOPLE!$F$15,$M165-$A$15,BO$13)=0,10^12,OFFSET(CRONOPLE!$F$15,$M165-$A$15,BO$13)))</f>
        <v>1000000000000</v>
      </c>
      <c r="BP165" s="171">
        <f ca="1">IF(OR($D165&lt;&gt;"Serviço",AND(AUTOEVENTO="Manual",$M165=$A$15)),0,
         IF(OFFSET(CRONOPLE!$F$15,$M165-$A$15,BP$13)=0,10^12,OFFSET(CRONOPLE!$F$15,$M165-$A$15,BP$13)))</f>
        <v>1000000000000</v>
      </c>
      <c r="BQ165" s="171">
        <f ca="1">IF(OR($D165&lt;&gt;"Serviço",AND(AUTOEVENTO="Manual",$M165=$A$15)),0,
         IF(OFFSET(CRONOPLE!$F$15,$M165-$A$15,BQ$13)=0,10^12,OFFSET(CRONOPLE!$F$15,$M165-$A$15,BQ$13)))</f>
        <v>1000000000000</v>
      </c>
      <c r="BR165" s="171">
        <f ca="1">IF(OR($D165&lt;&gt;"Serviço",AND(AUTOEVENTO="Manual",$M165=$A$15)),0,
         IF(OFFSET(CRONOPLE!$F$15,$M165-$A$15,BR$13)=0,10^12,OFFSET(CRONOPLE!$F$15,$M165-$A$15,BR$13)))</f>
        <v>1000000000000</v>
      </c>
      <c r="BS165" s="171">
        <f ca="1">IF(OR($D165&lt;&gt;"Serviço",AND(AUTOEVENTO="Manual",$M165=$A$15)),0,
         IF(OFFSET(CRONOPLE!$F$15,$M165-$A$15,BS$13)=0,10^12,OFFSET(CRONOPLE!$F$15,$M165-$A$15,BS$13)))</f>
        <v>1000000000000</v>
      </c>
      <c r="BT165" s="171">
        <f ca="1">IF(OR($D165&lt;&gt;"Serviço",AND(AUTOEVENTO="Manual",$M165=$A$15)),0,
         IF(OFFSET(CRONOPLE!$F$15,$M165-$A$15,BT$13)=0,10^12,OFFSET(CRONOPLE!$F$15,$M165-$A$15,BT$13)))</f>
        <v>1000000000000</v>
      </c>
      <c r="BV165" s="172">
        <f t="array" aca="1" ref="BV165" ca="1">IF(OR($D165&lt;&gt;"Serviço",AND(AUTOEVENTO="Manual",$M165=$A$15),$M165&gt;(ROW(PLE.lastrow)-ROW(PLE.firstrow))),0,
           IF(OFFSET(PLE!$G$15,$M165-$A$15,BV$13)="",10^12,OFFSET(PLE!$G$15,$M165-$A$15,BV$13)))</f>
        <v>1000000000000</v>
      </c>
      <c r="BW165" s="172">
        <f t="array" aca="1" ref="BW165" ca="1">IF(OR($D165&lt;&gt;"Serviço",AND(AUTOEVENTO="Manual",$M165=$A$15),$M165&gt;(ROW(PLE.lastrow)-ROW(PLE.firstrow))),0,
           IF(OFFSET(PLE!$G$15,$M165-$A$15,BW$13)="",10^12,OFFSET(PLE!$G$15,$M165-$A$15,BW$13)))</f>
        <v>1000000000000</v>
      </c>
      <c r="BX165" s="172">
        <f t="array" aca="1" ref="BX165" ca="1">IF(OR($D165&lt;&gt;"Serviço",AND(AUTOEVENTO="Manual",$M165=$A$15),$M165&gt;(ROW(PLE.lastrow)-ROW(PLE.firstrow))),0,
           IF(OFFSET(PLE!$G$15,$M165-$A$15,BX$13)="",10^12,OFFSET(PLE!$G$15,$M165-$A$15,BX$13)))</f>
        <v>1000000000000</v>
      </c>
      <c r="BY165" s="172">
        <f t="array" aca="1" ref="BY165" ca="1">IF(OR($D165&lt;&gt;"Serviço",AND(AUTOEVENTO="Manual",$M165=$A$15),$M165&gt;(ROW(PLE.lastrow)-ROW(PLE.firstrow))),0,
           IF(OFFSET(PLE!$G$15,$M165-$A$15,BY$13)="",10^12,OFFSET(PLE!$G$15,$M165-$A$15,BY$13)))</f>
        <v>1000000000000</v>
      </c>
      <c r="BZ165" s="172">
        <f t="array" aca="1" ref="BZ165" ca="1">IF(OR($D165&lt;&gt;"Serviço",AND(AUTOEVENTO="Manual",$M165=$A$15),$M165&gt;(ROW(PLE.lastrow)-ROW(PLE.firstrow))),0,
           IF(OFFSET(PLE!$G$15,$M165-$A$15,BZ$13)="",10^12,OFFSET(PLE!$G$15,$M165-$A$15,BZ$13)))</f>
        <v>1000000000000</v>
      </c>
      <c r="CA165" s="172">
        <f t="array" aca="1" ref="CA165" ca="1">IF(OR($D165&lt;&gt;"Serviço",AND(AUTOEVENTO="Manual",$M165=$A$15),$M165&gt;(ROW(PLE.lastrow)-ROW(PLE.firstrow))),0,
           IF(OFFSET(PLE!$G$15,$M165-$A$15,CA$13)="",10^12,OFFSET(PLE!$G$15,$M165-$A$15,CA$13)))</f>
        <v>1000000000000</v>
      </c>
      <c r="CB165" s="172">
        <f t="array" aca="1" ref="CB165" ca="1">IF(OR($D165&lt;&gt;"Serviço",AND(AUTOEVENTO="Manual",$M165=$A$15),$M165&gt;(ROW(PLE.lastrow)-ROW(PLE.firstrow))),0,
           IF(OFFSET(PLE!$G$15,$M165-$A$15,CB$13)="",10^12,OFFSET(PLE!$G$15,$M165-$A$15,CB$13)))</f>
        <v>1000000000000</v>
      </c>
      <c r="CC165" s="172">
        <f t="array" aca="1" ref="CC165" ca="1">IF(OR($D165&lt;&gt;"Serviço",AND(AUTOEVENTO="Manual",$M165=$A$15),$M165&gt;(ROW(PLE.lastrow)-ROW(PLE.firstrow))),0,
           IF(OFFSET(PLE!$G$15,$M165-$A$15,CC$13)="",10^12,OFFSET(PLE!$G$15,$M165-$A$15,CC$13)))</f>
        <v>1000000000000</v>
      </c>
      <c r="CD165" s="172">
        <f t="array" aca="1" ref="CD165" ca="1">IF(OR($D165&lt;&gt;"Serviço",AND(AUTOEVENTO="Manual",$M165=$A$15),$M165&gt;(ROW(PLE.lastrow)-ROW(PLE.firstrow))),0,
           IF(OFFSET(PLE!$G$15,$M165-$A$15,CD$13)="",10^12,OFFSET(PLE!$G$15,$M165-$A$15,CD$13)))</f>
        <v>1000000000000</v>
      </c>
      <c r="CE165" s="172">
        <f t="array" aca="1" ref="CE165" ca="1">IF(OR($D165&lt;&gt;"Serviço",AND(AUTOEVENTO="Manual",$M165=$A$15),$M165&gt;(ROW(PLE.lastrow)-ROW(PLE.firstrow))),0,
           IF(OFFSET(PLE!$G$15,$M165-$A$15,CE$13)="",10^12,OFFSET(PLE!$G$15,$M165-$A$15,CE$13)))</f>
        <v>1000000000000</v>
      </c>
      <c r="CF165" s="172">
        <f t="array" aca="1" ref="CF165" ca="1">IF(OR($D165&lt;&gt;"Serviço",AND(AUTOEVENTO="Manual",$M165=$A$15),$M165&gt;(ROW(PLE.lastrow)-ROW(PLE.firstrow))),0,
           IF(OFFSET(PLE!$G$15,$M165-$A$15,CF$13)="",10^12,OFFSET(PLE!$G$15,$M165-$A$15,CF$13)))</f>
        <v>1000000000000</v>
      </c>
      <c r="CG165" s="172">
        <f t="array" aca="1" ref="CG165" ca="1">IF(OR($D165&lt;&gt;"Serviço",AND(AUTOEVENTO="Manual",$M165=$A$15),$M165&gt;(ROW(PLE.lastrow)-ROW(PLE.firstrow))),0,
           IF(OFFSET(PLE!$G$15,$M165-$A$15,CG$13)="",10^12,OFFSET(PLE!$G$15,$M165-$A$15,CG$13)))</f>
        <v>1000000000000</v>
      </c>
      <c r="CH165" s="172">
        <f t="array" aca="1" ref="CH165" ca="1">IF(OR($D165&lt;&gt;"Serviço",AND(AUTOEVENTO="Manual",$M165=$A$15),$M165&gt;(ROW(PLE.lastrow)-ROW(PLE.firstrow))),0,
           IF(OFFSET(PLE!$G$15,$M165-$A$15,CH$13)="",10^12,OFFSET(PLE!$G$15,$M165-$A$15,CH$13)))</f>
        <v>1000000000000</v>
      </c>
      <c r="CI165" s="172">
        <f t="array" aca="1" ref="CI165" ca="1">IF(OR($D165&lt;&gt;"Serviço",AND(AUTOEVENTO="Manual",$M165=$A$15),$M165&gt;(ROW(PLE.lastrow)-ROW(PLE.firstrow))),0,
           IF(OFFSET(PLE!$G$15,$M165-$A$15,CI$13)="",10^12,OFFSET(PLE!$G$15,$M165-$A$15,CI$13)))</f>
        <v>1000000000000</v>
      </c>
      <c r="CJ165" s="172">
        <f t="array" aca="1" ref="CJ165" ca="1">IF(OR($D165&lt;&gt;"Serviço",AND(AUTOEVENTO="Manual",$M165=$A$15),$M165&gt;(ROW(PLE.lastrow)-ROW(PLE.firstrow))),0,
           IF(OFFSET(PLE!$G$15,$M165-$A$15,CJ$13)="",10^12,OFFSET(PLE!$G$15,$M165-$A$15,CJ$13)))</f>
        <v>1000000000000</v>
      </c>
      <c r="CK165" s="172">
        <f t="array" aca="1" ref="CK165" ca="1">IF(OR($D165&lt;&gt;"Serviço",AND(AUTOEVENTO="Manual",$M165=$A$15),$M165&gt;(ROW(PLE.lastrow)-ROW(PLE.firstrow))),0,
           IF(OFFSET(PLE!$G$15,$M165-$A$15,CK$13)="",10^12,OFFSET(PLE!$G$15,$M165-$A$15,CK$13)))</f>
        <v>1000000000000</v>
      </c>
      <c r="CL165" s="172">
        <f t="array" aca="1" ref="CL165" ca="1">IF(OR($D165&lt;&gt;"Serviço",AND(AUTOEVENTO="Manual",$M165=$A$15),$M165&gt;(ROW(PLE.lastrow)-ROW(PLE.firstrow))),0,
           IF(OFFSET(PLE!$G$15,$M165-$A$15,CL$13)="",10^12,OFFSET(PLE!$G$15,$M165-$A$15,CL$13)))</f>
        <v>1000000000000</v>
      </c>
      <c r="CM165" s="172">
        <f t="array" aca="1" ref="CM165" ca="1">IF(OR($D165&lt;&gt;"Serviço",AND(AUTOEVENTO="Manual",$M165=$A$15),$M165&gt;(ROW(PLE.lastrow)-ROW(PLE.firstrow))),0,
           IF(OFFSET(PLE!$G$15,$M165-$A$15,CM$13)="",10^12,OFFSET(PLE!$G$15,$M165-$A$15,CM$13)))</f>
        <v>1000000000000</v>
      </c>
    </row>
    <row r="166" spans="1:91" s="696" customFormat="1" ht="63.75" x14ac:dyDescent="0.2">
      <c r="A166" s="694">
        <f t="shared" ca="1" si="82"/>
        <v>38</v>
      </c>
      <c r="B166" s="694" t="str">
        <f ca="1">OFFSET(ORÇAMENTO!C$15,$L166,0)</f>
        <v>S</v>
      </c>
      <c r="C166" s="694" t="str">
        <f ca="1">OFFSET(ORÇAMENTO!L$15,$L166,0)</f>
        <v>F</v>
      </c>
      <c r="D166" s="116" t="str">
        <f ca="1">OFFSET(ORÇAMENTO!N$15,$L166,0)</f>
        <v>Serviço</v>
      </c>
      <c r="E166" s="117" t="str">
        <f ca="1">OFFSET(ORÇAMENTO!O$15,$L166,0)</f>
        <v>1.26.4.</v>
      </c>
      <c r="F166" s="163" t="str">
        <f ca="1">OFFSET(ORÇAMENTO!R$15,$L166,0)</f>
        <v>ADAPTADOR CURTO COM BOLSA E ROSCA PARA REGISTRO, PVC, SOLDÁVEL, DN 25MM X 3/4, INSTALADO EM RAMAL OU SUB-RAMAL DE ÁGUA - FORNECIMENTO E INSTALAÇÃO. AF_06/2022</v>
      </c>
      <c r="G166" s="164" t="str">
        <f ca="1">IF($D166&lt;&gt;"Serviço","",OFFSET(ORÇAMENTO!S$15,$L166,0))</f>
        <v>UN</v>
      </c>
      <c r="H166" s="122">
        <f t="array" aca="1" ref="H166" ca="1">IF($D166&lt;&gt;"Serviço",0,IF(ACOMPANHAMENTO="BM",ROUND(OFFSET(ORÇAMENTO!AJ$15,$L166,0),15-13*ORÇAMENTO!$AF$7),IF(IFERROR(CÁLCULO.FrentesPreenchidas,0)=0,0,SUM(ROUND(OFFSET($P166,0,1,1,CÁLCULO.FrentesPreenchidas),15-13*ORÇAMENTO!$AF$7)))))</f>
        <v>160</v>
      </c>
      <c r="I166" s="467" t="s">
        <v>1312</v>
      </c>
      <c r="J166" s="653" t="str">
        <f t="array" aca="1" ref="J166" ca="1">IF(OR(B166&lt;&gt;"S",CÁLCULO.FrentesPreenchidas=0),"",IF(AND(ACOMPANHAMENTO="PLE",AUTOEVENTO="Manual",OR(H166&gt;0,ORÇAMENTO!AC166="QUANT."),OR(K166="",M166=0,N166="")),"►E",IF(AND(ACOMPANHAMENTO="PLE",ORÇAMENTO!AC166="QUANT."),"►Q",IF(AND(ACOMPANHAMENTO="PLE",H166&lt;&gt;SUMPRODUCT(($Q$1:$AI$1=1)*ROUND(Q166:AI166,15))),"►S",IF(AND(COUNTIF($P$11:$AI$11,"▼")=0,H166&gt;0,I166=""),"◄M","")))))</f>
        <v/>
      </c>
      <c r="K166" s="654" t="s">
        <v>1445</v>
      </c>
      <c r="L166" s="165">
        <f t="shared" ca="1" si="83"/>
        <v>151</v>
      </c>
      <c r="M166" s="166">
        <f ca="1">IF($D166&lt;&gt;"Serviço","",
          IF(AUTOEVENTO="manual",$A166,
                IF(ISERROR(MATCH($A166,$A$15:OFFSET($A166,-1,0),0)),MAX($M$15:OFFSET(M166,-1,0))+1,
                      INDEX($M$15:OFFSET(M166,-1,0),MATCH($A166,$A$15:OFFSET($A166,-1,0),0)))))</f>
        <v>38</v>
      </c>
      <c r="N166" s="167" t="str">
        <f ca="1">IF($D166&lt;&gt;"Serviço","",
         IF(AUTOEVENTO="Manual",
                IF($A166=0,"&lt;-- defina o número do agrupador",
                       OFFSET(EVENTOS!$D$15,$A166-$A$15,0)),
                OFFSET($F$15,$A166,0)))</f>
        <v>HIDRÁULICA EMBUTIDA EM PAREDE</v>
      </c>
      <c r="O166" s="168"/>
      <c r="Q166" s="169">
        <v>40</v>
      </c>
      <c r="R166" s="169">
        <v>40</v>
      </c>
      <c r="S166" s="169">
        <v>40</v>
      </c>
      <c r="T166" s="169">
        <v>40</v>
      </c>
      <c r="U166" s="169"/>
      <c r="V166" s="169"/>
      <c r="W166" s="169"/>
      <c r="X166" s="169"/>
      <c r="Y166" s="169"/>
      <c r="Z166" s="170"/>
      <c r="AA166" s="169"/>
      <c r="AB166" s="169"/>
      <c r="AC166" s="169"/>
      <c r="AD166" s="169"/>
      <c r="AE166" s="169"/>
      <c r="AF166" s="169"/>
      <c r="AG166" s="169"/>
      <c r="AH166" s="170"/>
      <c r="AJ166" s="452">
        <f ca="1">IF(AND($D166="Serviço",AJ$12&lt;&gt;0,$H166&gt;0,OR(AUTOEVENTO&lt;&gt;"manual",$M166&lt;&gt;$A$15)),
        IF(Import.TipoArredondamento&lt;&gt;"TransfereGOV",
              ROUND(OFFSET($P166,0,AJ$13),15-13*ORÇAMENTO!$AF$7)/$H166*OFFSET(ORÇAMENTO!$X$15,ROW(AJ166)-ROW(AJ$15),0),
              ROUND(ROUND(OFFSET($P166,0,AJ$13),15-13*ORÇAMENTO!$AF$7)*OFFSET(ORÇAMENTO!$W$15,ROW(AJ166)-ROW(AJ$15),0),15-13*ORÇAMENTO!$AF$11)),
         0)</f>
        <v>324.8</v>
      </c>
      <c r="AK166" s="452">
        <f ca="1">IF(AND($D166="Serviço",AK$12&lt;&gt;0,$H166&gt;0,OR(AUTOEVENTO&lt;&gt;"manual",$M166&lt;&gt;$A$15)),
        IF(Import.TipoArredondamento&lt;&gt;"TransfereGOV",
              ROUND(OFFSET($P166,0,AK$13),15-13*ORÇAMENTO!$AF$7)/$H166*OFFSET(ORÇAMENTO!$X$15,ROW(AK166)-ROW(AK$15),0),
              ROUND(ROUND(OFFSET($P166,0,AK$13),15-13*ORÇAMENTO!$AF$7)*OFFSET(ORÇAMENTO!$W$15,ROW(AK166)-ROW(AK$15),0),15-13*ORÇAMENTO!$AF$11)),
         0)</f>
        <v>324.8</v>
      </c>
      <c r="AL166" s="452">
        <f ca="1">IF(AND($D166="Serviço",AL$12&lt;&gt;0,$H166&gt;0,OR(AUTOEVENTO&lt;&gt;"manual",$M166&lt;&gt;$A$15)),
        IF(Import.TipoArredondamento&lt;&gt;"TransfereGOV",
              ROUND(OFFSET($P166,0,AL$13),15-13*ORÇAMENTO!$AF$7)/$H166*OFFSET(ORÇAMENTO!$X$15,ROW(AL166)-ROW(AL$15),0),
              ROUND(ROUND(OFFSET($P166,0,AL$13),15-13*ORÇAMENTO!$AF$7)*OFFSET(ORÇAMENTO!$W$15,ROW(AL166)-ROW(AL$15),0),15-13*ORÇAMENTO!$AF$11)),
         0)</f>
        <v>324.8</v>
      </c>
      <c r="AM166" s="452">
        <f ca="1">IF(AND($D166="Serviço",AM$12&lt;&gt;0,$H166&gt;0,OR(AUTOEVENTO&lt;&gt;"manual",$M166&lt;&gt;$A$15)),
        IF(Import.TipoArredondamento&lt;&gt;"TransfereGOV",
              ROUND(OFFSET($P166,0,AM$13),15-13*ORÇAMENTO!$AF$7)/$H166*OFFSET(ORÇAMENTO!$X$15,ROW(AM166)-ROW(AM$15),0),
              ROUND(ROUND(OFFSET($P166,0,AM$13),15-13*ORÇAMENTO!$AF$7)*OFFSET(ORÇAMENTO!$W$15,ROW(AM166)-ROW(AM$15),0),15-13*ORÇAMENTO!$AF$11)),
         0)</f>
        <v>324.8</v>
      </c>
      <c r="AN166" s="452">
        <f ca="1">IF(AND($D166="Serviço",AN$12&lt;&gt;0,$H166&gt;0,OR(AUTOEVENTO&lt;&gt;"manual",$M166&lt;&gt;$A$15)),
        IF(Import.TipoArredondamento&lt;&gt;"TransfereGOV",
              ROUND(OFFSET($P166,0,AN$13),15-13*ORÇAMENTO!$AF$7)/$H166*OFFSET(ORÇAMENTO!$X$15,ROW(AN166)-ROW(AN$15),0),
              ROUND(ROUND(OFFSET($P166,0,AN$13),15-13*ORÇAMENTO!$AF$7)*OFFSET(ORÇAMENTO!$W$15,ROW(AN166)-ROW(AN$15),0),15-13*ORÇAMENTO!$AF$11)),
         0)</f>
        <v>0</v>
      </c>
      <c r="AO166" s="452">
        <f ca="1">IF(AND($D166="Serviço",AO$12&lt;&gt;0,$H166&gt;0,OR(AUTOEVENTO&lt;&gt;"manual",$M166&lt;&gt;$A$15)),
        IF(Import.TipoArredondamento&lt;&gt;"TransfereGOV",
              ROUND(OFFSET($P166,0,AO$13),15-13*ORÇAMENTO!$AF$7)/$H166*OFFSET(ORÇAMENTO!$X$15,ROW(AO166)-ROW(AO$15),0),
              ROUND(ROUND(OFFSET($P166,0,AO$13),15-13*ORÇAMENTO!$AF$7)*OFFSET(ORÇAMENTO!$W$15,ROW(AO166)-ROW(AO$15),0),15-13*ORÇAMENTO!$AF$11)),
         0)</f>
        <v>0</v>
      </c>
      <c r="AP166" s="452">
        <f ca="1">IF(AND($D166="Serviço",AP$12&lt;&gt;0,$H166&gt;0,OR(AUTOEVENTO&lt;&gt;"manual",$M166&lt;&gt;$A$15)),
        IF(Import.TipoArredondamento&lt;&gt;"TransfereGOV",
              ROUND(OFFSET($P166,0,AP$13),15-13*ORÇAMENTO!$AF$7)/$H166*OFFSET(ORÇAMENTO!$X$15,ROW(AP166)-ROW(AP$15),0),
              ROUND(ROUND(OFFSET($P166,0,AP$13),15-13*ORÇAMENTO!$AF$7)*OFFSET(ORÇAMENTO!$W$15,ROW(AP166)-ROW(AP$15),0),15-13*ORÇAMENTO!$AF$11)),
         0)</f>
        <v>0</v>
      </c>
      <c r="AQ166" s="452">
        <f ca="1">IF(AND($D166="Serviço",AQ$12&lt;&gt;0,$H166&gt;0,OR(AUTOEVENTO&lt;&gt;"manual",$M166&lt;&gt;$A$15)),
        IF(Import.TipoArredondamento&lt;&gt;"TransfereGOV",
              ROUND(OFFSET($P166,0,AQ$13),15-13*ORÇAMENTO!$AF$7)/$H166*OFFSET(ORÇAMENTO!$X$15,ROW(AQ166)-ROW(AQ$15),0),
              ROUND(ROUND(OFFSET($P166,0,AQ$13),15-13*ORÇAMENTO!$AF$7)*OFFSET(ORÇAMENTO!$W$15,ROW(AQ166)-ROW(AQ$15),0),15-13*ORÇAMENTO!$AF$11)),
         0)</f>
        <v>0</v>
      </c>
      <c r="AR166" s="452">
        <f ca="1">IF(AND($D166="Serviço",AR$12&lt;&gt;0,$H166&gt;0,OR(AUTOEVENTO&lt;&gt;"manual",$M166&lt;&gt;$A$15)),
        IF(Import.TipoArredondamento&lt;&gt;"TransfereGOV",
              ROUND(OFFSET($P166,0,AR$13),15-13*ORÇAMENTO!$AF$7)/$H166*OFFSET(ORÇAMENTO!$X$15,ROW(AR166)-ROW(AR$15),0),
              ROUND(ROUND(OFFSET($P166,0,AR$13),15-13*ORÇAMENTO!$AF$7)*OFFSET(ORÇAMENTO!$W$15,ROW(AR166)-ROW(AR$15),0),15-13*ORÇAMENTO!$AF$11)),
         0)</f>
        <v>0</v>
      </c>
      <c r="AS166" s="452">
        <f ca="1">IF(AND($D166="Serviço",AS$12&lt;&gt;0,$H166&gt;0,OR(AUTOEVENTO&lt;&gt;"manual",$M166&lt;&gt;$A$15)),
        IF(Import.TipoArredondamento&lt;&gt;"TransfereGOV",
              ROUND(OFFSET($P166,0,AS$13),15-13*ORÇAMENTO!$AF$7)/$H166*OFFSET(ORÇAMENTO!$X$15,ROW(AS166)-ROW(AS$15),0),
              ROUND(ROUND(OFFSET($P166,0,AS$13),15-13*ORÇAMENTO!$AF$7)*OFFSET(ORÇAMENTO!$W$15,ROW(AS166)-ROW(AS$15),0),15-13*ORÇAMENTO!$AF$11)),
         0)</f>
        <v>0</v>
      </c>
      <c r="AT166" s="452">
        <f ca="1">IF(AND($D166="Serviço",AT$12&lt;&gt;0,$H166&gt;0,OR(AUTOEVENTO&lt;&gt;"manual",$M166&lt;&gt;$A$15)),
        IF(Import.TipoArredondamento&lt;&gt;"TransfereGOV",
              ROUND(OFFSET($P166,0,AT$13),15-13*ORÇAMENTO!$AF$7)/$H166*OFFSET(ORÇAMENTO!$X$15,ROW(AT166)-ROW(AT$15),0),
              ROUND(ROUND(OFFSET($P166,0,AT$13),15-13*ORÇAMENTO!$AF$7)*OFFSET(ORÇAMENTO!$W$15,ROW(AT166)-ROW(AT$15),0),15-13*ORÇAMENTO!$AF$11)),
         0)</f>
        <v>0</v>
      </c>
      <c r="AU166" s="452">
        <f ca="1">IF(AND($D166="Serviço",AU$12&lt;&gt;0,$H166&gt;0,OR(AUTOEVENTO&lt;&gt;"manual",$M166&lt;&gt;$A$15)),
        IF(Import.TipoArredondamento&lt;&gt;"TransfereGOV",
              ROUND(OFFSET($P166,0,AU$13),15-13*ORÇAMENTO!$AF$7)/$H166*OFFSET(ORÇAMENTO!$X$15,ROW(AU166)-ROW(AU$15),0),
              ROUND(ROUND(OFFSET($P166,0,AU$13),15-13*ORÇAMENTO!$AF$7)*OFFSET(ORÇAMENTO!$W$15,ROW(AU166)-ROW(AU$15),0),15-13*ORÇAMENTO!$AF$11)),
         0)</f>
        <v>0</v>
      </c>
      <c r="AV166" s="452">
        <f ca="1">IF(AND($D166="Serviço",AV$12&lt;&gt;0,$H166&gt;0,OR(AUTOEVENTO&lt;&gt;"manual",$M166&lt;&gt;$A$15)),
        IF(Import.TipoArredondamento&lt;&gt;"TransfereGOV",
              ROUND(OFFSET($P166,0,AV$13),15-13*ORÇAMENTO!$AF$7)/$H166*OFFSET(ORÇAMENTO!$X$15,ROW(AV166)-ROW(AV$15),0),
              ROUND(ROUND(OFFSET($P166,0,AV$13),15-13*ORÇAMENTO!$AF$7)*OFFSET(ORÇAMENTO!$W$15,ROW(AV166)-ROW(AV$15),0),15-13*ORÇAMENTO!$AF$11)),
         0)</f>
        <v>0</v>
      </c>
      <c r="AW166" s="452">
        <f ca="1">IF(AND($D166="Serviço",AW$12&lt;&gt;0,$H166&gt;0,OR(AUTOEVENTO&lt;&gt;"manual",$M166&lt;&gt;$A$15)),
        IF(Import.TipoArredondamento&lt;&gt;"TransfereGOV",
              ROUND(OFFSET($P166,0,AW$13),15-13*ORÇAMENTO!$AF$7)/$H166*OFFSET(ORÇAMENTO!$X$15,ROW(AW166)-ROW(AW$15),0),
              ROUND(ROUND(OFFSET($P166,0,AW$13),15-13*ORÇAMENTO!$AF$7)*OFFSET(ORÇAMENTO!$W$15,ROW(AW166)-ROW(AW$15),0),15-13*ORÇAMENTO!$AF$11)),
         0)</f>
        <v>0</v>
      </c>
      <c r="AX166" s="452">
        <f ca="1">IF(AND($D166="Serviço",AX$12&lt;&gt;0,$H166&gt;0,OR(AUTOEVENTO&lt;&gt;"manual",$M166&lt;&gt;$A$15)),
        IF(Import.TipoArredondamento&lt;&gt;"TransfereGOV",
              ROUND(OFFSET($P166,0,AX$13),15-13*ORÇAMENTO!$AF$7)/$H166*OFFSET(ORÇAMENTO!$X$15,ROW(AX166)-ROW(AX$15),0),
              ROUND(ROUND(OFFSET($P166,0,AX$13),15-13*ORÇAMENTO!$AF$7)*OFFSET(ORÇAMENTO!$W$15,ROW(AX166)-ROW(AX$15),0),15-13*ORÇAMENTO!$AF$11)),
         0)</f>
        <v>0</v>
      </c>
      <c r="AY166" s="452">
        <f ca="1">IF(AND($D166="Serviço",AY$12&lt;&gt;0,$H166&gt;0,OR(AUTOEVENTO&lt;&gt;"manual",$M166&lt;&gt;$A$15)),
        IF(Import.TipoArredondamento&lt;&gt;"TransfereGOV",
              ROUND(OFFSET($P166,0,AY$13),15-13*ORÇAMENTO!$AF$7)/$H166*OFFSET(ORÇAMENTO!$X$15,ROW(AY166)-ROW(AY$15),0),
              ROUND(ROUND(OFFSET($P166,0,AY$13),15-13*ORÇAMENTO!$AF$7)*OFFSET(ORÇAMENTO!$W$15,ROW(AY166)-ROW(AY$15),0),15-13*ORÇAMENTO!$AF$11)),
         0)</f>
        <v>0</v>
      </c>
      <c r="AZ166" s="452">
        <f ca="1">IF(AND($D166="Serviço",AZ$12&lt;&gt;0,$H166&gt;0,OR(AUTOEVENTO&lt;&gt;"manual",$M166&lt;&gt;$A$15)),
        IF(Import.TipoArredondamento&lt;&gt;"TransfereGOV",
              ROUND(OFFSET($P166,0,AZ$13),15-13*ORÇAMENTO!$AF$7)/$H166*OFFSET(ORÇAMENTO!$X$15,ROW(AZ166)-ROW(AZ$15),0),
              ROUND(ROUND(OFFSET($P166,0,AZ$13),15-13*ORÇAMENTO!$AF$7)*OFFSET(ORÇAMENTO!$W$15,ROW(AZ166)-ROW(AZ$15),0),15-13*ORÇAMENTO!$AF$11)),
         0)</f>
        <v>0</v>
      </c>
      <c r="BA166" s="452">
        <f ca="1">IF(AND($D166="Serviço",BA$12&lt;&gt;0,$H166&gt;0,OR(AUTOEVENTO&lt;&gt;"manual",$M166&lt;&gt;$A$15)),
        IF(Import.TipoArredondamento&lt;&gt;"TransfereGOV",
              ROUND(OFFSET($P166,0,BA$13),15-13*ORÇAMENTO!$AF$7)/$H166*OFFSET(ORÇAMENTO!$X$15,ROW(BA166)-ROW(BA$15),0),
              ROUND(ROUND(OFFSET($P166,0,BA$13),15-13*ORÇAMENTO!$AF$7)*OFFSET(ORÇAMENTO!$W$15,ROW(BA166)-ROW(BA$15),0),15-13*ORÇAMENTO!$AF$11)),
         0)</f>
        <v>0</v>
      </c>
      <c r="BC166" s="171">
        <f ca="1">IF(OR($D166&lt;&gt;"Serviço",AND(AUTOEVENTO="Manual",$M166=$A$15)),0,
         IF(OFFSET(CRONOPLE!$F$15,$M166-$A$15,BC$13)=0,10^12,OFFSET(CRONOPLE!$F$15,$M166-$A$15,BC$13)))</f>
        <v>5</v>
      </c>
      <c r="BD166" s="171">
        <f ca="1">IF(OR($D166&lt;&gt;"Serviço",AND(AUTOEVENTO="Manual",$M166=$A$15)),0,
         IF(OFFSET(CRONOPLE!$F$15,$M166-$A$15,BD$13)=0,10^12,OFFSET(CRONOPLE!$F$15,$M166-$A$15,BD$13)))</f>
        <v>5</v>
      </c>
      <c r="BE166" s="171">
        <f ca="1">IF(OR($D166&lt;&gt;"Serviço",AND(AUTOEVENTO="Manual",$M166=$A$15)),0,
         IF(OFFSET(CRONOPLE!$F$15,$M166-$A$15,BE$13)=0,10^12,OFFSET(CRONOPLE!$F$15,$M166-$A$15,BE$13)))</f>
        <v>6</v>
      </c>
      <c r="BF166" s="171">
        <f ca="1">IF(OR($D166&lt;&gt;"Serviço",AND(AUTOEVENTO="Manual",$M166=$A$15)),0,
         IF(OFFSET(CRONOPLE!$F$15,$M166-$A$15,BF$13)=0,10^12,OFFSET(CRONOPLE!$F$15,$M166-$A$15,BF$13)))</f>
        <v>6</v>
      </c>
      <c r="BG166" s="171">
        <f ca="1">IF(OR($D166&lt;&gt;"Serviço",AND(AUTOEVENTO="Manual",$M166=$A$15)),0,
         IF(OFFSET(CRONOPLE!$F$15,$M166-$A$15,BG$13)=0,10^12,OFFSET(CRONOPLE!$F$15,$M166-$A$15,BG$13)))</f>
        <v>6</v>
      </c>
      <c r="BH166" s="171">
        <f ca="1">IF(OR($D166&lt;&gt;"Serviço",AND(AUTOEVENTO="Manual",$M166=$A$15)),0,
         IF(OFFSET(CRONOPLE!$F$15,$M166-$A$15,BH$13)=0,10^12,OFFSET(CRONOPLE!$F$15,$M166-$A$15,BH$13)))</f>
        <v>1000000000000</v>
      </c>
      <c r="BI166" s="171">
        <f ca="1">IF(OR($D166&lt;&gt;"Serviço",AND(AUTOEVENTO="Manual",$M166=$A$15)),0,
         IF(OFFSET(CRONOPLE!$F$15,$M166-$A$15,BI$13)=0,10^12,OFFSET(CRONOPLE!$F$15,$M166-$A$15,BI$13)))</f>
        <v>1000000000000</v>
      </c>
      <c r="BJ166" s="171">
        <f ca="1">IF(OR($D166&lt;&gt;"Serviço",AND(AUTOEVENTO="Manual",$M166=$A$15)),0,
         IF(OFFSET(CRONOPLE!$F$15,$M166-$A$15,BJ$13)=0,10^12,OFFSET(CRONOPLE!$F$15,$M166-$A$15,BJ$13)))</f>
        <v>1000000000000</v>
      </c>
      <c r="BK166" s="171">
        <f ca="1">IF(OR($D166&lt;&gt;"Serviço",AND(AUTOEVENTO="Manual",$M166=$A$15)),0,
         IF(OFFSET(CRONOPLE!$F$15,$M166-$A$15,BK$13)=0,10^12,OFFSET(CRONOPLE!$F$15,$M166-$A$15,BK$13)))</f>
        <v>1000000000000</v>
      </c>
      <c r="BL166" s="171">
        <f ca="1">IF(OR($D166&lt;&gt;"Serviço",AND(AUTOEVENTO="Manual",$M166=$A$15)),0,
         IF(OFFSET(CRONOPLE!$F$15,$M166-$A$15,BL$13)=0,10^12,OFFSET(CRONOPLE!$F$15,$M166-$A$15,BL$13)))</f>
        <v>1000000000000</v>
      </c>
      <c r="BM166" s="171">
        <f ca="1">IF(OR($D166&lt;&gt;"Serviço",AND(AUTOEVENTO="Manual",$M166=$A$15)),0,
         IF(OFFSET(CRONOPLE!$F$15,$M166-$A$15,BM$13)=0,10^12,OFFSET(CRONOPLE!$F$15,$M166-$A$15,BM$13)))</f>
        <v>1000000000000</v>
      </c>
      <c r="BN166" s="171">
        <f ca="1">IF(OR($D166&lt;&gt;"Serviço",AND(AUTOEVENTO="Manual",$M166=$A$15)),0,
         IF(OFFSET(CRONOPLE!$F$15,$M166-$A$15,BN$13)=0,10^12,OFFSET(CRONOPLE!$F$15,$M166-$A$15,BN$13)))</f>
        <v>1000000000000</v>
      </c>
      <c r="BO166" s="171">
        <f ca="1">IF(OR($D166&lt;&gt;"Serviço",AND(AUTOEVENTO="Manual",$M166=$A$15)),0,
         IF(OFFSET(CRONOPLE!$F$15,$M166-$A$15,BO$13)=0,10^12,OFFSET(CRONOPLE!$F$15,$M166-$A$15,BO$13)))</f>
        <v>1000000000000</v>
      </c>
      <c r="BP166" s="171">
        <f ca="1">IF(OR($D166&lt;&gt;"Serviço",AND(AUTOEVENTO="Manual",$M166=$A$15)),0,
         IF(OFFSET(CRONOPLE!$F$15,$M166-$A$15,BP$13)=0,10^12,OFFSET(CRONOPLE!$F$15,$M166-$A$15,BP$13)))</f>
        <v>1000000000000</v>
      </c>
      <c r="BQ166" s="171">
        <f ca="1">IF(OR($D166&lt;&gt;"Serviço",AND(AUTOEVENTO="Manual",$M166=$A$15)),0,
         IF(OFFSET(CRONOPLE!$F$15,$M166-$A$15,BQ$13)=0,10^12,OFFSET(CRONOPLE!$F$15,$M166-$A$15,BQ$13)))</f>
        <v>1000000000000</v>
      </c>
      <c r="BR166" s="171">
        <f ca="1">IF(OR($D166&lt;&gt;"Serviço",AND(AUTOEVENTO="Manual",$M166=$A$15)),0,
         IF(OFFSET(CRONOPLE!$F$15,$M166-$A$15,BR$13)=0,10^12,OFFSET(CRONOPLE!$F$15,$M166-$A$15,BR$13)))</f>
        <v>1000000000000</v>
      </c>
      <c r="BS166" s="171">
        <f ca="1">IF(OR($D166&lt;&gt;"Serviço",AND(AUTOEVENTO="Manual",$M166=$A$15)),0,
         IF(OFFSET(CRONOPLE!$F$15,$M166-$A$15,BS$13)=0,10^12,OFFSET(CRONOPLE!$F$15,$M166-$A$15,BS$13)))</f>
        <v>1000000000000</v>
      </c>
      <c r="BT166" s="171">
        <f ca="1">IF(OR($D166&lt;&gt;"Serviço",AND(AUTOEVENTO="Manual",$M166=$A$15)),0,
         IF(OFFSET(CRONOPLE!$F$15,$M166-$A$15,BT$13)=0,10^12,OFFSET(CRONOPLE!$F$15,$M166-$A$15,BT$13)))</f>
        <v>1000000000000</v>
      </c>
      <c r="BV166" s="172">
        <f t="array" aca="1" ref="BV166" ca="1">IF(OR($D166&lt;&gt;"Serviço",AND(AUTOEVENTO="Manual",$M166=$A$15),$M166&gt;(ROW(PLE.lastrow)-ROW(PLE.firstrow))),0,
           IF(OFFSET(PLE!$G$15,$M166-$A$15,BV$13)="",10^12,OFFSET(PLE!$G$15,$M166-$A$15,BV$13)))</f>
        <v>1000000000000</v>
      </c>
      <c r="BW166" s="172">
        <f t="array" aca="1" ref="BW166" ca="1">IF(OR($D166&lt;&gt;"Serviço",AND(AUTOEVENTO="Manual",$M166=$A$15),$M166&gt;(ROW(PLE.lastrow)-ROW(PLE.firstrow))),0,
           IF(OFFSET(PLE!$G$15,$M166-$A$15,BW$13)="",10^12,OFFSET(PLE!$G$15,$M166-$A$15,BW$13)))</f>
        <v>1000000000000</v>
      </c>
      <c r="BX166" s="172">
        <f t="array" aca="1" ref="BX166" ca="1">IF(OR($D166&lt;&gt;"Serviço",AND(AUTOEVENTO="Manual",$M166=$A$15),$M166&gt;(ROW(PLE.lastrow)-ROW(PLE.firstrow))),0,
           IF(OFFSET(PLE!$G$15,$M166-$A$15,BX$13)="",10^12,OFFSET(PLE!$G$15,$M166-$A$15,BX$13)))</f>
        <v>1000000000000</v>
      </c>
      <c r="BY166" s="172">
        <f t="array" aca="1" ref="BY166" ca="1">IF(OR($D166&lt;&gt;"Serviço",AND(AUTOEVENTO="Manual",$M166=$A$15),$M166&gt;(ROW(PLE.lastrow)-ROW(PLE.firstrow))),0,
           IF(OFFSET(PLE!$G$15,$M166-$A$15,BY$13)="",10^12,OFFSET(PLE!$G$15,$M166-$A$15,BY$13)))</f>
        <v>1000000000000</v>
      </c>
      <c r="BZ166" s="172">
        <f t="array" aca="1" ref="BZ166" ca="1">IF(OR($D166&lt;&gt;"Serviço",AND(AUTOEVENTO="Manual",$M166=$A$15),$M166&gt;(ROW(PLE.lastrow)-ROW(PLE.firstrow))),0,
           IF(OFFSET(PLE!$G$15,$M166-$A$15,BZ$13)="",10^12,OFFSET(PLE!$G$15,$M166-$A$15,BZ$13)))</f>
        <v>1000000000000</v>
      </c>
      <c r="CA166" s="172">
        <f t="array" aca="1" ref="CA166" ca="1">IF(OR($D166&lt;&gt;"Serviço",AND(AUTOEVENTO="Manual",$M166=$A$15),$M166&gt;(ROW(PLE.lastrow)-ROW(PLE.firstrow))),0,
           IF(OFFSET(PLE!$G$15,$M166-$A$15,CA$13)="",10^12,OFFSET(PLE!$G$15,$M166-$A$15,CA$13)))</f>
        <v>1000000000000</v>
      </c>
      <c r="CB166" s="172">
        <f t="array" aca="1" ref="CB166" ca="1">IF(OR($D166&lt;&gt;"Serviço",AND(AUTOEVENTO="Manual",$M166=$A$15),$M166&gt;(ROW(PLE.lastrow)-ROW(PLE.firstrow))),0,
           IF(OFFSET(PLE!$G$15,$M166-$A$15,CB$13)="",10^12,OFFSET(PLE!$G$15,$M166-$A$15,CB$13)))</f>
        <v>1000000000000</v>
      </c>
      <c r="CC166" s="172">
        <f t="array" aca="1" ref="CC166" ca="1">IF(OR($D166&lt;&gt;"Serviço",AND(AUTOEVENTO="Manual",$M166=$A$15),$M166&gt;(ROW(PLE.lastrow)-ROW(PLE.firstrow))),0,
           IF(OFFSET(PLE!$G$15,$M166-$A$15,CC$13)="",10^12,OFFSET(PLE!$G$15,$M166-$A$15,CC$13)))</f>
        <v>1000000000000</v>
      </c>
      <c r="CD166" s="172">
        <f t="array" aca="1" ref="CD166" ca="1">IF(OR($D166&lt;&gt;"Serviço",AND(AUTOEVENTO="Manual",$M166=$A$15),$M166&gt;(ROW(PLE.lastrow)-ROW(PLE.firstrow))),0,
           IF(OFFSET(PLE!$G$15,$M166-$A$15,CD$13)="",10^12,OFFSET(PLE!$G$15,$M166-$A$15,CD$13)))</f>
        <v>1000000000000</v>
      </c>
      <c r="CE166" s="172">
        <f t="array" aca="1" ref="CE166" ca="1">IF(OR($D166&lt;&gt;"Serviço",AND(AUTOEVENTO="Manual",$M166=$A$15),$M166&gt;(ROW(PLE.lastrow)-ROW(PLE.firstrow))),0,
           IF(OFFSET(PLE!$G$15,$M166-$A$15,CE$13)="",10^12,OFFSET(PLE!$G$15,$M166-$A$15,CE$13)))</f>
        <v>1000000000000</v>
      </c>
      <c r="CF166" s="172">
        <f t="array" aca="1" ref="CF166" ca="1">IF(OR($D166&lt;&gt;"Serviço",AND(AUTOEVENTO="Manual",$M166=$A$15),$M166&gt;(ROW(PLE.lastrow)-ROW(PLE.firstrow))),0,
           IF(OFFSET(PLE!$G$15,$M166-$A$15,CF$13)="",10^12,OFFSET(PLE!$G$15,$M166-$A$15,CF$13)))</f>
        <v>1000000000000</v>
      </c>
      <c r="CG166" s="172">
        <f t="array" aca="1" ref="CG166" ca="1">IF(OR($D166&lt;&gt;"Serviço",AND(AUTOEVENTO="Manual",$M166=$A$15),$M166&gt;(ROW(PLE.lastrow)-ROW(PLE.firstrow))),0,
           IF(OFFSET(PLE!$G$15,$M166-$A$15,CG$13)="",10^12,OFFSET(PLE!$G$15,$M166-$A$15,CG$13)))</f>
        <v>1000000000000</v>
      </c>
      <c r="CH166" s="172">
        <f t="array" aca="1" ref="CH166" ca="1">IF(OR($D166&lt;&gt;"Serviço",AND(AUTOEVENTO="Manual",$M166=$A$15),$M166&gt;(ROW(PLE.lastrow)-ROW(PLE.firstrow))),0,
           IF(OFFSET(PLE!$G$15,$M166-$A$15,CH$13)="",10^12,OFFSET(PLE!$G$15,$M166-$A$15,CH$13)))</f>
        <v>1000000000000</v>
      </c>
      <c r="CI166" s="172">
        <f t="array" aca="1" ref="CI166" ca="1">IF(OR($D166&lt;&gt;"Serviço",AND(AUTOEVENTO="Manual",$M166=$A$15),$M166&gt;(ROW(PLE.lastrow)-ROW(PLE.firstrow))),0,
           IF(OFFSET(PLE!$G$15,$M166-$A$15,CI$13)="",10^12,OFFSET(PLE!$G$15,$M166-$A$15,CI$13)))</f>
        <v>1000000000000</v>
      </c>
      <c r="CJ166" s="172">
        <f t="array" aca="1" ref="CJ166" ca="1">IF(OR($D166&lt;&gt;"Serviço",AND(AUTOEVENTO="Manual",$M166=$A$15),$M166&gt;(ROW(PLE.lastrow)-ROW(PLE.firstrow))),0,
           IF(OFFSET(PLE!$G$15,$M166-$A$15,CJ$13)="",10^12,OFFSET(PLE!$G$15,$M166-$A$15,CJ$13)))</f>
        <v>1000000000000</v>
      </c>
      <c r="CK166" s="172">
        <f t="array" aca="1" ref="CK166" ca="1">IF(OR($D166&lt;&gt;"Serviço",AND(AUTOEVENTO="Manual",$M166=$A$15),$M166&gt;(ROW(PLE.lastrow)-ROW(PLE.firstrow))),0,
           IF(OFFSET(PLE!$G$15,$M166-$A$15,CK$13)="",10^12,OFFSET(PLE!$G$15,$M166-$A$15,CK$13)))</f>
        <v>1000000000000</v>
      </c>
      <c r="CL166" s="172">
        <f t="array" aca="1" ref="CL166" ca="1">IF(OR($D166&lt;&gt;"Serviço",AND(AUTOEVENTO="Manual",$M166=$A$15),$M166&gt;(ROW(PLE.lastrow)-ROW(PLE.firstrow))),0,
           IF(OFFSET(PLE!$G$15,$M166-$A$15,CL$13)="",10^12,OFFSET(PLE!$G$15,$M166-$A$15,CL$13)))</f>
        <v>1000000000000</v>
      </c>
      <c r="CM166" s="172">
        <f t="array" aca="1" ref="CM166" ca="1">IF(OR($D166&lt;&gt;"Serviço",AND(AUTOEVENTO="Manual",$M166=$A$15),$M166&gt;(ROW(PLE.lastrow)-ROW(PLE.firstrow))),0,
           IF(OFFSET(PLE!$G$15,$M166-$A$15,CM$13)="",10^12,OFFSET(PLE!$G$15,$M166-$A$15,CM$13)))</f>
        <v>1000000000000</v>
      </c>
    </row>
    <row r="167" spans="1:91" s="696" customFormat="1" ht="38.25" x14ac:dyDescent="0.2">
      <c r="A167" s="694">
        <f t="shared" ca="1" si="82"/>
        <v>38</v>
      </c>
      <c r="B167" s="694" t="str">
        <f ca="1">OFFSET(ORÇAMENTO!C$15,$L167,0)</f>
        <v>S</v>
      </c>
      <c r="C167" s="694" t="str">
        <f ca="1">OFFSET(ORÇAMENTO!L$15,$L167,0)</f>
        <v>F</v>
      </c>
      <c r="D167" s="116" t="str">
        <f ca="1">OFFSET(ORÇAMENTO!N$15,$L167,0)</f>
        <v>Serviço</v>
      </c>
      <c r="E167" s="117" t="str">
        <f ca="1">OFFSET(ORÇAMENTO!O$15,$L167,0)</f>
        <v>1.26.5.</v>
      </c>
      <c r="F167" s="163" t="str">
        <f ca="1">OFFSET(ORÇAMENTO!R$15,$L167,0)</f>
        <v>TUBO, PVC, SOLDÁVEL, DE 25MM, INSTALADO EM PRUMADA DE ÁGUA - FORNECIMENTO E INSTALAÇÃO. AF_06/2022</v>
      </c>
      <c r="G167" s="164" t="str">
        <f ca="1">IF($D167&lt;&gt;"Serviço","",OFFSET(ORÇAMENTO!S$15,$L167,0))</f>
        <v>M</v>
      </c>
      <c r="H167" s="122">
        <f t="array" aca="1" ref="H167" ca="1">IF($D167&lt;&gt;"Serviço",0,IF(ACOMPANHAMENTO="BM",ROUND(OFFSET(ORÇAMENTO!AJ$15,$L167,0),15-13*ORÇAMENTO!$AF$7),IF(IFERROR(CÁLCULO.FrentesPreenchidas,0)=0,0,SUM(ROUND(OFFSET($P167,0,1,1,CÁLCULO.FrentesPreenchidas),15-13*ORÇAMENTO!$AF$7)))))</f>
        <v>102</v>
      </c>
      <c r="I167" s="467" t="s">
        <v>1314</v>
      </c>
      <c r="J167" s="653" t="str">
        <f t="array" aca="1" ref="J167" ca="1">IF(OR(B167&lt;&gt;"S",CÁLCULO.FrentesPreenchidas=0),"",IF(AND(ACOMPANHAMENTO="PLE",AUTOEVENTO="Manual",OR(H167&gt;0,ORÇAMENTO!AC167="QUANT."),OR(K167="",M167=0,N167="")),"►E",IF(AND(ACOMPANHAMENTO="PLE",ORÇAMENTO!AC167="QUANT."),"►Q",IF(AND(ACOMPANHAMENTO="PLE",H167&lt;&gt;SUMPRODUCT(($Q$1:$AI$1=1)*ROUND(Q167:AI167,15))),"►S",IF(AND(COUNTIF($P$11:$AI$11,"▼")=0,H167&gt;0,I167=""),"◄M","")))))</f>
        <v/>
      </c>
      <c r="K167" s="654" t="s">
        <v>1445</v>
      </c>
      <c r="L167" s="165">
        <f t="shared" ca="1" si="83"/>
        <v>152</v>
      </c>
      <c r="M167" s="166">
        <f ca="1">IF($D167&lt;&gt;"Serviço","",
          IF(AUTOEVENTO="manual",$A167,
                IF(ISERROR(MATCH($A167,$A$15:OFFSET($A167,-1,0),0)),MAX($M$15:OFFSET(M167,-1,0))+1,
                      INDEX($M$15:OFFSET(M167,-1,0),MATCH($A167,$A$15:OFFSET($A167,-1,0),0)))))</f>
        <v>38</v>
      </c>
      <c r="N167" s="167" t="str">
        <f ca="1">IF($D167&lt;&gt;"Serviço","",
         IF(AUTOEVENTO="Manual",
                IF($A167=0,"&lt;-- defina o número do agrupador",
                       OFFSET(EVENTOS!$D$15,$A167-$A$15,0)),
                OFFSET($F$15,$A167,0)))</f>
        <v>HIDRÁULICA EMBUTIDA EM PAREDE</v>
      </c>
      <c r="O167" s="168"/>
      <c r="Q167" s="169">
        <f>5.1*5</f>
        <v>25.5</v>
      </c>
      <c r="R167" s="169">
        <f t="shared" ref="R167:T167" si="93">5.1*5</f>
        <v>25.5</v>
      </c>
      <c r="S167" s="169">
        <f t="shared" si="93"/>
        <v>25.5</v>
      </c>
      <c r="T167" s="169">
        <f t="shared" si="93"/>
        <v>25.5</v>
      </c>
      <c r="U167" s="169"/>
      <c r="V167" s="169"/>
      <c r="W167" s="169"/>
      <c r="X167" s="169"/>
      <c r="Y167" s="169"/>
      <c r="Z167" s="170"/>
      <c r="AA167" s="169"/>
      <c r="AB167" s="169"/>
      <c r="AC167" s="169"/>
      <c r="AD167" s="169"/>
      <c r="AE167" s="169"/>
      <c r="AF167" s="169"/>
      <c r="AG167" s="169"/>
      <c r="AH167" s="170"/>
      <c r="AJ167" s="452">
        <f ca="1">IF(AND($D167="Serviço",AJ$12&lt;&gt;0,$H167&gt;0,OR(AUTOEVENTO&lt;&gt;"manual",$M167&lt;&gt;$A$15)),
        IF(Import.TipoArredondamento&lt;&gt;"TransfereGOV",
              ROUND(OFFSET($P167,0,AJ$13),15-13*ORÇAMENTO!$AF$7)/$H167*OFFSET(ORÇAMENTO!$X$15,ROW(AJ167)-ROW(AJ$15),0),
              ROUND(ROUND(OFFSET($P167,0,AJ$13),15-13*ORÇAMENTO!$AF$7)*OFFSET(ORÇAMENTO!$W$15,ROW(AJ167)-ROW(AJ$15),0),15-13*ORÇAMENTO!$AF$11)),
         0)</f>
        <v>159.38</v>
      </c>
      <c r="AK167" s="452">
        <f ca="1">IF(AND($D167="Serviço",AK$12&lt;&gt;0,$H167&gt;0,OR(AUTOEVENTO&lt;&gt;"manual",$M167&lt;&gt;$A$15)),
        IF(Import.TipoArredondamento&lt;&gt;"TransfereGOV",
              ROUND(OFFSET($P167,0,AK$13),15-13*ORÇAMENTO!$AF$7)/$H167*OFFSET(ORÇAMENTO!$X$15,ROW(AK167)-ROW(AK$15),0),
              ROUND(ROUND(OFFSET($P167,0,AK$13),15-13*ORÇAMENTO!$AF$7)*OFFSET(ORÇAMENTO!$W$15,ROW(AK167)-ROW(AK$15),0),15-13*ORÇAMENTO!$AF$11)),
         0)</f>
        <v>159.38</v>
      </c>
      <c r="AL167" s="452">
        <f ca="1">IF(AND($D167="Serviço",AL$12&lt;&gt;0,$H167&gt;0,OR(AUTOEVENTO&lt;&gt;"manual",$M167&lt;&gt;$A$15)),
        IF(Import.TipoArredondamento&lt;&gt;"TransfereGOV",
              ROUND(OFFSET($P167,0,AL$13),15-13*ORÇAMENTO!$AF$7)/$H167*OFFSET(ORÇAMENTO!$X$15,ROW(AL167)-ROW(AL$15),0),
              ROUND(ROUND(OFFSET($P167,0,AL$13),15-13*ORÇAMENTO!$AF$7)*OFFSET(ORÇAMENTO!$W$15,ROW(AL167)-ROW(AL$15),0),15-13*ORÇAMENTO!$AF$11)),
         0)</f>
        <v>159.38</v>
      </c>
      <c r="AM167" s="452">
        <f ca="1">IF(AND($D167="Serviço",AM$12&lt;&gt;0,$H167&gt;0,OR(AUTOEVENTO&lt;&gt;"manual",$M167&lt;&gt;$A$15)),
        IF(Import.TipoArredondamento&lt;&gt;"TransfereGOV",
              ROUND(OFFSET($P167,0,AM$13),15-13*ORÇAMENTO!$AF$7)/$H167*OFFSET(ORÇAMENTO!$X$15,ROW(AM167)-ROW(AM$15),0),
              ROUND(ROUND(OFFSET($P167,0,AM$13),15-13*ORÇAMENTO!$AF$7)*OFFSET(ORÇAMENTO!$W$15,ROW(AM167)-ROW(AM$15),0),15-13*ORÇAMENTO!$AF$11)),
         0)</f>
        <v>159.38</v>
      </c>
      <c r="AN167" s="452">
        <f ca="1">IF(AND($D167="Serviço",AN$12&lt;&gt;0,$H167&gt;0,OR(AUTOEVENTO&lt;&gt;"manual",$M167&lt;&gt;$A$15)),
        IF(Import.TipoArredondamento&lt;&gt;"TransfereGOV",
              ROUND(OFFSET($P167,0,AN$13),15-13*ORÇAMENTO!$AF$7)/$H167*OFFSET(ORÇAMENTO!$X$15,ROW(AN167)-ROW(AN$15),0),
              ROUND(ROUND(OFFSET($P167,0,AN$13),15-13*ORÇAMENTO!$AF$7)*OFFSET(ORÇAMENTO!$W$15,ROW(AN167)-ROW(AN$15),0),15-13*ORÇAMENTO!$AF$11)),
         0)</f>
        <v>0</v>
      </c>
      <c r="AO167" s="452">
        <f ca="1">IF(AND($D167="Serviço",AO$12&lt;&gt;0,$H167&gt;0,OR(AUTOEVENTO&lt;&gt;"manual",$M167&lt;&gt;$A$15)),
        IF(Import.TipoArredondamento&lt;&gt;"TransfereGOV",
              ROUND(OFFSET($P167,0,AO$13),15-13*ORÇAMENTO!$AF$7)/$H167*OFFSET(ORÇAMENTO!$X$15,ROW(AO167)-ROW(AO$15),0),
              ROUND(ROUND(OFFSET($P167,0,AO$13),15-13*ORÇAMENTO!$AF$7)*OFFSET(ORÇAMENTO!$W$15,ROW(AO167)-ROW(AO$15),0),15-13*ORÇAMENTO!$AF$11)),
         0)</f>
        <v>0</v>
      </c>
      <c r="AP167" s="452">
        <f ca="1">IF(AND($D167="Serviço",AP$12&lt;&gt;0,$H167&gt;0,OR(AUTOEVENTO&lt;&gt;"manual",$M167&lt;&gt;$A$15)),
        IF(Import.TipoArredondamento&lt;&gt;"TransfereGOV",
              ROUND(OFFSET($P167,0,AP$13),15-13*ORÇAMENTO!$AF$7)/$H167*OFFSET(ORÇAMENTO!$X$15,ROW(AP167)-ROW(AP$15),0),
              ROUND(ROUND(OFFSET($P167,0,AP$13),15-13*ORÇAMENTO!$AF$7)*OFFSET(ORÇAMENTO!$W$15,ROW(AP167)-ROW(AP$15),0),15-13*ORÇAMENTO!$AF$11)),
         0)</f>
        <v>0</v>
      </c>
      <c r="AQ167" s="452">
        <f ca="1">IF(AND($D167="Serviço",AQ$12&lt;&gt;0,$H167&gt;0,OR(AUTOEVENTO&lt;&gt;"manual",$M167&lt;&gt;$A$15)),
        IF(Import.TipoArredondamento&lt;&gt;"TransfereGOV",
              ROUND(OFFSET($P167,0,AQ$13),15-13*ORÇAMENTO!$AF$7)/$H167*OFFSET(ORÇAMENTO!$X$15,ROW(AQ167)-ROW(AQ$15),0),
              ROUND(ROUND(OFFSET($P167,0,AQ$13),15-13*ORÇAMENTO!$AF$7)*OFFSET(ORÇAMENTO!$W$15,ROW(AQ167)-ROW(AQ$15),0),15-13*ORÇAMENTO!$AF$11)),
         0)</f>
        <v>0</v>
      </c>
      <c r="AR167" s="452">
        <f ca="1">IF(AND($D167="Serviço",AR$12&lt;&gt;0,$H167&gt;0,OR(AUTOEVENTO&lt;&gt;"manual",$M167&lt;&gt;$A$15)),
        IF(Import.TipoArredondamento&lt;&gt;"TransfereGOV",
              ROUND(OFFSET($P167,0,AR$13),15-13*ORÇAMENTO!$AF$7)/$H167*OFFSET(ORÇAMENTO!$X$15,ROW(AR167)-ROW(AR$15),0),
              ROUND(ROUND(OFFSET($P167,0,AR$13),15-13*ORÇAMENTO!$AF$7)*OFFSET(ORÇAMENTO!$W$15,ROW(AR167)-ROW(AR$15),0),15-13*ORÇAMENTO!$AF$11)),
         0)</f>
        <v>0</v>
      </c>
      <c r="AS167" s="452">
        <f ca="1">IF(AND($D167="Serviço",AS$12&lt;&gt;0,$H167&gt;0,OR(AUTOEVENTO&lt;&gt;"manual",$M167&lt;&gt;$A$15)),
        IF(Import.TipoArredondamento&lt;&gt;"TransfereGOV",
              ROUND(OFFSET($P167,0,AS$13),15-13*ORÇAMENTO!$AF$7)/$H167*OFFSET(ORÇAMENTO!$X$15,ROW(AS167)-ROW(AS$15),0),
              ROUND(ROUND(OFFSET($P167,0,AS$13),15-13*ORÇAMENTO!$AF$7)*OFFSET(ORÇAMENTO!$W$15,ROW(AS167)-ROW(AS$15),0),15-13*ORÇAMENTO!$AF$11)),
         0)</f>
        <v>0</v>
      </c>
      <c r="AT167" s="452">
        <f ca="1">IF(AND($D167="Serviço",AT$12&lt;&gt;0,$H167&gt;0,OR(AUTOEVENTO&lt;&gt;"manual",$M167&lt;&gt;$A$15)),
        IF(Import.TipoArredondamento&lt;&gt;"TransfereGOV",
              ROUND(OFFSET($P167,0,AT$13),15-13*ORÇAMENTO!$AF$7)/$H167*OFFSET(ORÇAMENTO!$X$15,ROW(AT167)-ROW(AT$15),0),
              ROUND(ROUND(OFFSET($P167,0,AT$13),15-13*ORÇAMENTO!$AF$7)*OFFSET(ORÇAMENTO!$W$15,ROW(AT167)-ROW(AT$15),0),15-13*ORÇAMENTO!$AF$11)),
         0)</f>
        <v>0</v>
      </c>
      <c r="AU167" s="452">
        <f ca="1">IF(AND($D167="Serviço",AU$12&lt;&gt;0,$H167&gt;0,OR(AUTOEVENTO&lt;&gt;"manual",$M167&lt;&gt;$A$15)),
        IF(Import.TipoArredondamento&lt;&gt;"TransfereGOV",
              ROUND(OFFSET($P167,0,AU$13),15-13*ORÇAMENTO!$AF$7)/$H167*OFFSET(ORÇAMENTO!$X$15,ROW(AU167)-ROW(AU$15),0),
              ROUND(ROUND(OFFSET($P167,0,AU$13),15-13*ORÇAMENTO!$AF$7)*OFFSET(ORÇAMENTO!$W$15,ROW(AU167)-ROW(AU$15),0),15-13*ORÇAMENTO!$AF$11)),
         0)</f>
        <v>0</v>
      </c>
      <c r="AV167" s="452">
        <f ca="1">IF(AND($D167="Serviço",AV$12&lt;&gt;0,$H167&gt;0,OR(AUTOEVENTO&lt;&gt;"manual",$M167&lt;&gt;$A$15)),
        IF(Import.TipoArredondamento&lt;&gt;"TransfereGOV",
              ROUND(OFFSET($P167,0,AV$13),15-13*ORÇAMENTO!$AF$7)/$H167*OFFSET(ORÇAMENTO!$X$15,ROW(AV167)-ROW(AV$15),0),
              ROUND(ROUND(OFFSET($P167,0,AV$13),15-13*ORÇAMENTO!$AF$7)*OFFSET(ORÇAMENTO!$W$15,ROW(AV167)-ROW(AV$15),0),15-13*ORÇAMENTO!$AF$11)),
         0)</f>
        <v>0</v>
      </c>
      <c r="AW167" s="452">
        <f ca="1">IF(AND($D167="Serviço",AW$12&lt;&gt;0,$H167&gt;0,OR(AUTOEVENTO&lt;&gt;"manual",$M167&lt;&gt;$A$15)),
        IF(Import.TipoArredondamento&lt;&gt;"TransfereGOV",
              ROUND(OFFSET($P167,0,AW$13),15-13*ORÇAMENTO!$AF$7)/$H167*OFFSET(ORÇAMENTO!$X$15,ROW(AW167)-ROW(AW$15),0),
              ROUND(ROUND(OFFSET($P167,0,AW$13),15-13*ORÇAMENTO!$AF$7)*OFFSET(ORÇAMENTO!$W$15,ROW(AW167)-ROW(AW$15),0),15-13*ORÇAMENTO!$AF$11)),
         0)</f>
        <v>0</v>
      </c>
      <c r="AX167" s="452">
        <f ca="1">IF(AND($D167="Serviço",AX$12&lt;&gt;0,$H167&gt;0,OR(AUTOEVENTO&lt;&gt;"manual",$M167&lt;&gt;$A$15)),
        IF(Import.TipoArredondamento&lt;&gt;"TransfereGOV",
              ROUND(OFFSET($P167,0,AX$13),15-13*ORÇAMENTO!$AF$7)/$H167*OFFSET(ORÇAMENTO!$X$15,ROW(AX167)-ROW(AX$15),0),
              ROUND(ROUND(OFFSET($P167,0,AX$13),15-13*ORÇAMENTO!$AF$7)*OFFSET(ORÇAMENTO!$W$15,ROW(AX167)-ROW(AX$15),0),15-13*ORÇAMENTO!$AF$11)),
         0)</f>
        <v>0</v>
      </c>
      <c r="AY167" s="452">
        <f ca="1">IF(AND($D167="Serviço",AY$12&lt;&gt;0,$H167&gt;0,OR(AUTOEVENTO&lt;&gt;"manual",$M167&lt;&gt;$A$15)),
        IF(Import.TipoArredondamento&lt;&gt;"TransfereGOV",
              ROUND(OFFSET($P167,0,AY$13),15-13*ORÇAMENTO!$AF$7)/$H167*OFFSET(ORÇAMENTO!$X$15,ROW(AY167)-ROW(AY$15),0),
              ROUND(ROUND(OFFSET($P167,0,AY$13),15-13*ORÇAMENTO!$AF$7)*OFFSET(ORÇAMENTO!$W$15,ROW(AY167)-ROW(AY$15),0),15-13*ORÇAMENTO!$AF$11)),
         0)</f>
        <v>0</v>
      </c>
      <c r="AZ167" s="452">
        <f ca="1">IF(AND($D167="Serviço",AZ$12&lt;&gt;0,$H167&gt;0,OR(AUTOEVENTO&lt;&gt;"manual",$M167&lt;&gt;$A$15)),
        IF(Import.TipoArredondamento&lt;&gt;"TransfereGOV",
              ROUND(OFFSET($P167,0,AZ$13),15-13*ORÇAMENTO!$AF$7)/$H167*OFFSET(ORÇAMENTO!$X$15,ROW(AZ167)-ROW(AZ$15),0),
              ROUND(ROUND(OFFSET($P167,0,AZ$13),15-13*ORÇAMENTO!$AF$7)*OFFSET(ORÇAMENTO!$W$15,ROW(AZ167)-ROW(AZ$15),0),15-13*ORÇAMENTO!$AF$11)),
         0)</f>
        <v>0</v>
      </c>
      <c r="BA167" s="452">
        <f ca="1">IF(AND($D167="Serviço",BA$12&lt;&gt;0,$H167&gt;0,OR(AUTOEVENTO&lt;&gt;"manual",$M167&lt;&gt;$A$15)),
        IF(Import.TipoArredondamento&lt;&gt;"TransfereGOV",
              ROUND(OFFSET($P167,0,BA$13),15-13*ORÇAMENTO!$AF$7)/$H167*OFFSET(ORÇAMENTO!$X$15,ROW(BA167)-ROW(BA$15),0),
              ROUND(ROUND(OFFSET($P167,0,BA$13),15-13*ORÇAMENTO!$AF$7)*OFFSET(ORÇAMENTO!$W$15,ROW(BA167)-ROW(BA$15),0),15-13*ORÇAMENTO!$AF$11)),
         0)</f>
        <v>0</v>
      </c>
      <c r="BC167" s="171">
        <f ca="1">IF(OR($D167&lt;&gt;"Serviço",AND(AUTOEVENTO="Manual",$M167=$A$15)),0,
         IF(OFFSET(CRONOPLE!$F$15,$M167-$A$15,BC$13)=0,10^12,OFFSET(CRONOPLE!$F$15,$M167-$A$15,BC$13)))</f>
        <v>5</v>
      </c>
      <c r="BD167" s="171">
        <f ca="1">IF(OR($D167&lt;&gt;"Serviço",AND(AUTOEVENTO="Manual",$M167=$A$15)),0,
         IF(OFFSET(CRONOPLE!$F$15,$M167-$A$15,BD$13)=0,10^12,OFFSET(CRONOPLE!$F$15,$M167-$A$15,BD$13)))</f>
        <v>5</v>
      </c>
      <c r="BE167" s="171">
        <f ca="1">IF(OR($D167&lt;&gt;"Serviço",AND(AUTOEVENTO="Manual",$M167=$A$15)),0,
         IF(OFFSET(CRONOPLE!$F$15,$M167-$A$15,BE$13)=0,10^12,OFFSET(CRONOPLE!$F$15,$M167-$A$15,BE$13)))</f>
        <v>6</v>
      </c>
      <c r="BF167" s="171">
        <f ca="1">IF(OR($D167&lt;&gt;"Serviço",AND(AUTOEVENTO="Manual",$M167=$A$15)),0,
         IF(OFFSET(CRONOPLE!$F$15,$M167-$A$15,BF$13)=0,10^12,OFFSET(CRONOPLE!$F$15,$M167-$A$15,BF$13)))</f>
        <v>6</v>
      </c>
      <c r="BG167" s="171">
        <f ca="1">IF(OR($D167&lt;&gt;"Serviço",AND(AUTOEVENTO="Manual",$M167=$A$15)),0,
         IF(OFFSET(CRONOPLE!$F$15,$M167-$A$15,BG$13)=0,10^12,OFFSET(CRONOPLE!$F$15,$M167-$A$15,BG$13)))</f>
        <v>6</v>
      </c>
      <c r="BH167" s="171">
        <f ca="1">IF(OR($D167&lt;&gt;"Serviço",AND(AUTOEVENTO="Manual",$M167=$A$15)),0,
         IF(OFFSET(CRONOPLE!$F$15,$M167-$A$15,BH$13)=0,10^12,OFFSET(CRONOPLE!$F$15,$M167-$A$15,BH$13)))</f>
        <v>1000000000000</v>
      </c>
      <c r="BI167" s="171">
        <f ca="1">IF(OR($D167&lt;&gt;"Serviço",AND(AUTOEVENTO="Manual",$M167=$A$15)),0,
         IF(OFFSET(CRONOPLE!$F$15,$M167-$A$15,BI$13)=0,10^12,OFFSET(CRONOPLE!$F$15,$M167-$A$15,BI$13)))</f>
        <v>1000000000000</v>
      </c>
      <c r="BJ167" s="171">
        <f ca="1">IF(OR($D167&lt;&gt;"Serviço",AND(AUTOEVENTO="Manual",$M167=$A$15)),0,
         IF(OFFSET(CRONOPLE!$F$15,$M167-$A$15,BJ$13)=0,10^12,OFFSET(CRONOPLE!$F$15,$M167-$A$15,BJ$13)))</f>
        <v>1000000000000</v>
      </c>
      <c r="BK167" s="171">
        <f ca="1">IF(OR($D167&lt;&gt;"Serviço",AND(AUTOEVENTO="Manual",$M167=$A$15)),0,
         IF(OFFSET(CRONOPLE!$F$15,$M167-$A$15,BK$13)=0,10^12,OFFSET(CRONOPLE!$F$15,$M167-$A$15,BK$13)))</f>
        <v>1000000000000</v>
      </c>
      <c r="BL167" s="171">
        <f ca="1">IF(OR($D167&lt;&gt;"Serviço",AND(AUTOEVENTO="Manual",$M167=$A$15)),0,
         IF(OFFSET(CRONOPLE!$F$15,$M167-$A$15,BL$13)=0,10^12,OFFSET(CRONOPLE!$F$15,$M167-$A$15,BL$13)))</f>
        <v>1000000000000</v>
      </c>
      <c r="BM167" s="171">
        <f ca="1">IF(OR($D167&lt;&gt;"Serviço",AND(AUTOEVENTO="Manual",$M167=$A$15)),0,
         IF(OFFSET(CRONOPLE!$F$15,$M167-$A$15,BM$13)=0,10^12,OFFSET(CRONOPLE!$F$15,$M167-$A$15,BM$13)))</f>
        <v>1000000000000</v>
      </c>
      <c r="BN167" s="171">
        <f ca="1">IF(OR($D167&lt;&gt;"Serviço",AND(AUTOEVENTO="Manual",$M167=$A$15)),0,
         IF(OFFSET(CRONOPLE!$F$15,$M167-$A$15,BN$13)=0,10^12,OFFSET(CRONOPLE!$F$15,$M167-$A$15,BN$13)))</f>
        <v>1000000000000</v>
      </c>
      <c r="BO167" s="171">
        <f ca="1">IF(OR($D167&lt;&gt;"Serviço",AND(AUTOEVENTO="Manual",$M167=$A$15)),0,
         IF(OFFSET(CRONOPLE!$F$15,$M167-$A$15,BO$13)=0,10^12,OFFSET(CRONOPLE!$F$15,$M167-$A$15,BO$13)))</f>
        <v>1000000000000</v>
      </c>
      <c r="BP167" s="171">
        <f ca="1">IF(OR($D167&lt;&gt;"Serviço",AND(AUTOEVENTO="Manual",$M167=$A$15)),0,
         IF(OFFSET(CRONOPLE!$F$15,$M167-$A$15,BP$13)=0,10^12,OFFSET(CRONOPLE!$F$15,$M167-$A$15,BP$13)))</f>
        <v>1000000000000</v>
      </c>
      <c r="BQ167" s="171">
        <f ca="1">IF(OR($D167&lt;&gt;"Serviço",AND(AUTOEVENTO="Manual",$M167=$A$15)),0,
         IF(OFFSET(CRONOPLE!$F$15,$M167-$A$15,BQ$13)=0,10^12,OFFSET(CRONOPLE!$F$15,$M167-$A$15,BQ$13)))</f>
        <v>1000000000000</v>
      </c>
      <c r="BR167" s="171">
        <f ca="1">IF(OR($D167&lt;&gt;"Serviço",AND(AUTOEVENTO="Manual",$M167=$A$15)),0,
         IF(OFFSET(CRONOPLE!$F$15,$M167-$A$15,BR$13)=0,10^12,OFFSET(CRONOPLE!$F$15,$M167-$A$15,BR$13)))</f>
        <v>1000000000000</v>
      </c>
      <c r="BS167" s="171">
        <f ca="1">IF(OR($D167&lt;&gt;"Serviço",AND(AUTOEVENTO="Manual",$M167=$A$15)),0,
         IF(OFFSET(CRONOPLE!$F$15,$M167-$A$15,BS$13)=0,10^12,OFFSET(CRONOPLE!$F$15,$M167-$A$15,BS$13)))</f>
        <v>1000000000000</v>
      </c>
      <c r="BT167" s="171">
        <f ca="1">IF(OR($D167&lt;&gt;"Serviço",AND(AUTOEVENTO="Manual",$M167=$A$15)),0,
         IF(OFFSET(CRONOPLE!$F$15,$M167-$A$15,BT$13)=0,10^12,OFFSET(CRONOPLE!$F$15,$M167-$A$15,BT$13)))</f>
        <v>1000000000000</v>
      </c>
      <c r="BV167" s="172">
        <f t="array" aca="1" ref="BV167" ca="1">IF(OR($D167&lt;&gt;"Serviço",AND(AUTOEVENTO="Manual",$M167=$A$15),$M167&gt;(ROW(PLE.lastrow)-ROW(PLE.firstrow))),0,
           IF(OFFSET(PLE!$G$15,$M167-$A$15,BV$13)="",10^12,OFFSET(PLE!$G$15,$M167-$A$15,BV$13)))</f>
        <v>1000000000000</v>
      </c>
      <c r="BW167" s="172">
        <f t="array" aca="1" ref="BW167" ca="1">IF(OR($D167&lt;&gt;"Serviço",AND(AUTOEVENTO="Manual",$M167=$A$15),$M167&gt;(ROW(PLE.lastrow)-ROW(PLE.firstrow))),0,
           IF(OFFSET(PLE!$G$15,$M167-$A$15,BW$13)="",10^12,OFFSET(PLE!$G$15,$M167-$A$15,BW$13)))</f>
        <v>1000000000000</v>
      </c>
      <c r="BX167" s="172">
        <f t="array" aca="1" ref="BX167" ca="1">IF(OR($D167&lt;&gt;"Serviço",AND(AUTOEVENTO="Manual",$M167=$A$15),$M167&gt;(ROW(PLE.lastrow)-ROW(PLE.firstrow))),0,
           IF(OFFSET(PLE!$G$15,$M167-$A$15,BX$13)="",10^12,OFFSET(PLE!$G$15,$M167-$A$15,BX$13)))</f>
        <v>1000000000000</v>
      </c>
      <c r="BY167" s="172">
        <f t="array" aca="1" ref="BY167" ca="1">IF(OR($D167&lt;&gt;"Serviço",AND(AUTOEVENTO="Manual",$M167=$A$15),$M167&gt;(ROW(PLE.lastrow)-ROW(PLE.firstrow))),0,
           IF(OFFSET(PLE!$G$15,$M167-$A$15,BY$13)="",10^12,OFFSET(PLE!$G$15,$M167-$A$15,BY$13)))</f>
        <v>1000000000000</v>
      </c>
      <c r="BZ167" s="172">
        <f t="array" aca="1" ref="BZ167" ca="1">IF(OR($D167&lt;&gt;"Serviço",AND(AUTOEVENTO="Manual",$M167=$A$15),$M167&gt;(ROW(PLE.lastrow)-ROW(PLE.firstrow))),0,
           IF(OFFSET(PLE!$G$15,$M167-$A$15,BZ$13)="",10^12,OFFSET(PLE!$G$15,$M167-$A$15,BZ$13)))</f>
        <v>1000000000000</v>
      </c>
      <c r="CA167" s="172">
        <f t="array" aca="1" ref="CA167" ca="1">IF(OR($D167&lt;&gt;"Serviço",AND(AUTOEVENTO="Manual",$M167=$A$15),$M167&gt;(ROW(PLE.lastrow)-ROW(PLE.firstrow))),0,
           IF(OFFSET(PLE!$G$15,$M167-$A$15,CA$13)="",10^12,OFFSET(PLE!$G$15,$M167-$A$15,CA$13)))</f>
        <v>1000000000000</v>
      </c>
      <c r="CB167" s="172">
        <f t="array" aca="1" ref="CB167" ca="1">IF(OR($D167&lt;&gt;"Serviço",AND(AUTOEVENTO="Manual",$M167=$A$15),$M167&gt;(ROW(PLE.lastrow)-ROW(PLE.firstrow))),0,
           IF(OFFSET(PLE!$G$15,$M167-$A$15,CB$13)="",10^12,OFFSET(PLE!$G$15,$M167-$A$15,CB$13)))</f>
        <v>1000000000000</v>
      </c>
      <c r="CC167" s="172">
        <f t="array" aca="1" ref="CC167" ca="1">IF(OR($D167&lt;&gt;"Serviço",AND(AUTOEVENTO="Manual",$M167=$A$15),$M167&gt;(ROW(PLE.lastrow)-ROW(PLE.firstrow))),0,
           IF(OFFSET(PLE!$G$15,$M167-$A$15,CC$13)="",10^12,OFFSET(PLE!$G$15,$M167-$A$15,CC$13)))</f>
        <v>1000000000000</v>
      </c>
      <c r="CD167" s="172">
        <f t="array" aca="1" ref="CD167" ca="1">IF(OR($D167&lt;&gt;"Serviço",AND(AUTOEVENTO="Manual",$M167=$A$15),$M167&gt;(ROW(PLE.lastrow)-ROW(PLE.firstrow))),0,
           IF(OFFSET(PLE!$G$15,$M167-$A$15,CD$13)="",10^12,OFFSET(PLE!$G$15,$M167-$A$15,CD$13)))</f>
        <v>1000000000000</v>
      </c>
      <c r="CE167" s="172">
        <f t="array" aca="1" ref="CE167" ca="1">IF(OR($D167&lt;&gt;"Serviço",AND(AUTOEVENTO="Manual",$M167=$A$15),$M167&gt;(ROW(PLE.lastrow)-ROW(PLE.firstrow))),0,
           IF(OFFSET(PLE!$G$15,$M167-$A$15,CE$13)="",10^12,OFFSET(PLE!$G$15,$M167-$A$15,CE$13)))</f>
        <v>1000000000000</v>
      </c>
      <c r="CF167" s="172">
        <f t="array" aca="1" ref="CF167" ca="1">IF(OR($D167&lt;&gt;"Serviço",AND(AUTOEVENTO="Manual",$M167=$A$15),$M167&gt;(ROW(PLE.lastrow)-ROW(PLE.firstrow))),0,
           IF(OFFSET(PLE!$G$15,$M167-$A$15,CF$13)="",10^12,OFFSET(PLE!$G$15,$M167-$A$15,CF$13)))</f>
        <v>1000000000000</v>
      </c>
      <c r="CG167" s="172">
        <f t="array" aca="1" ref="CG167" ca="1">IF(OR($D167&lt;&gt;"Serviço",AND(AUTOEVENTO="Manual",$M167=$A$15),$M167&gt;(ROW(PLE.lastrow)-ROW(PLE.firstrow))),0,
           IF(OFFSET(PLE!$G$15,$M167-$A$15,CG$13)="",10^12,OFFSET(PLE!$G$15,$M167-$A$15,CG$13)))</f>
        <v>1000000000000</v>
      </c>
      <c r="CH167" s="172">
        <f t="array" aca="1" ref="CH167" ca="1">IF(OR($D167&lt;&gt;"Serviço",AND(AUTOEVENTO="Manual",$M167=$A$15),$M167&gt;(ROW(PLE.lastrow)-ROW(PLE.firstrow))),0,
           IF(OFFSET(PLE!$G$15,$M167-$A$15,CH$13)="",10^12,OFFSET(PLE!$G$15,$M167-$A$15,CH$13)))</f>
        <v>1000000000000</v>
      </c>
      <c r="CI167" s="172">
        <f t="array" aca="1" ref="CI167" ca="1">IF(OR($D167&lt;&gt;"Serviço",AND(AUTOEVENTO="Manual",$M167=$A$15),$M167&gt;(ROW(PLE.lastrow)-ROW(PLE.firstrow))),0,
           IF(OFFSET(PLE!$G$15,$M167-$A$15,CI$13)="",10^12,OFFSET(PLE!$G$15,$M167-$A$15,CI$13)))</f>
        <v>1000000000000</v>
      </c>
      <c r="CJ167" s="172">
        <f t="array" aca="1" ref="CJ167" ca="1">IF(OR($D167&lt;&gt;"Serviço",AND(AUTOEVENTO="Manual",$M167=$A$15),$M167&gt;(ROW(PLE.lastrow)-ROW(PLE.firstrow))),0,
           IF(OFFSET(PLE!$G$15,$M167-$A$15,CJ$13)="",10^12,OFFSET(PLE!$G$15,$M167-$A$15,CJ$13)))</f>
        <v>1000000000000</v>
      </c>
      <c r="CK167" s="172">
        <f t="array" aca="1" ref="CK167" ca="1">IF(OR($D167&lt;&gt;"Serviço",AND(AUTOEVENTO="Manual",$M167=$A$15),$M167&gt;(ROW(PLE.lastrow)-ROW(PLE.firstrow))),0,
           IF(OFFSET(PLE!$G$15,$M167-$A$15,CK$13)="",10^12,OFFSET(PLE!$G$15,$M167-$A$15,CK$13)))</f>
        <v>1000000000000</v>
      </c>
      <c r="CL167" s="172">
        <f t="array" aca="1" ref="CL167" ca="1">IF(OR($D167&lt;&gt;"Serviço",AND(AUTOEVENTO="Manual",$M167=$A$15),$M167&gt;(ROW(PLE.lastrow)-ROW(PLE.firstrow))),0,
           IF(OFFSET(PLE!$G$15,$M167-$A$15,CL$13)="",10^12,OFFSET(PLE!$G$15,$M167-$A$15,CL$13)))</f>
        <v>1000000000000</v>
      </c>
      <c r="CM167" s="172">
        <f t="array" aca="1" ref="CM167" ca="1">IF(OR($D167&lt;&gt;"Serviço",AND(AUTOEVENTO="Manual",$M167=$A$15),$M167&gt;(ROW(PLE.lastrow)-ROW(PLE.firstrow))),0,
           IF(OFFSET(PLE!$G$15,$M167-$A$15,CM$13)="",10^12,OFFSET(PLE!$G$15,$M167-$A$15,CM$13)))</f>
        <v>1000000000000</v>
      </c>
    </row>
    <row r="168" spans="1:91" s="696" customFormat="1" ht="38.25" x14ac:dyDescent="0.2">
      <c r="A168" s="694">
        <f t="shared" ca="1" si="82"/>
        <v>38</v>
      </c>
      <c r="B168" s="694" t="str">
        <f ca="1">OFFSET(ORÇAMENTO!C$15,$L168,0)</f>
        <v>S</v>
      </c>
      <c r="C168" s="694" t="str">
        <f ca="1">OFFSET(ORÇAMENTO!L$15,$L168,0)</f>
        <v>F</v>
      </c>
      <c r="D168" s="116" t="str">
        <f ca="1">OFFSET(ORÇAMENTO!N$15,$L168,0)</f>
        <v>Serviço</v>
      </c>
      <c r="E168" s="117" t="str">
        <f ca="1">OFFSET(ORÇAMENTO!O$15,$L168,0)</f>
        <v>1.26.6.</v>
      </c>
      <c r="F168" s="163" t="str">
        <f ca="1">OFFSET(ORÇAMENTO!R$15,$L168,0)</f>
        <v>TUBO, PVC, SOLDÁVEL, DE 25MM, INSTALADO EM RAMAL OU SUB-RAMAL DE ÁGUA - FORNECIMENTO E INSTALAÇÃO. AF_06/2022</v>
      </c>
      <c r="G168" s="164" t="str">
        <f ca="1">IF($D168&lt;&gt;"Serviço","",OFFSET(ORÇAMENTO!S$15,$L168,0))</f>
        <v>M</v>
      </c>
      <c r="H168" s="122">
        <f t="array" aca="1" ref="H168" ca="1">IF($D168&lt;&gt;"Serviço",0,IF(ACOMPANHAMENTO="BM",ROUND(OFFSET(ORÇAMENTO!AJ$15,$L168,0),15-13*ORÇAMENTO!$AF$7),IF(IFERROR(CÁLCULO.FrentesPreenchidas,0)=0,0,SUM(ROUND(OFFSET($P168,0,1,1,CÁLCULO.FrentesPreenchidas),15-13*ORÇAMENTO!$AF$7)))))</f>
        <v>174</v>
      </c>
      <c r="I168" s="467" t="s">
        <v>1315</v>
      </c>
      <c r="J168" s="653" t="str">
        <f t="array" aca="1" ref="J168" ca="1">IF(OR(B168&lt;&gt;"S",CÁLCULO.FrentesPreenchidas=0),"",IF(AND(ACOMPANHAMENTO="PLE",AUTOEVENTO="Manual",OR(H168&gt;0,ORÇAMENTO!AC168="QUANT."),OR(K168="",M168=0,N168="")),"►E",IF(AND(ACOMPANHAMENTO="PLE",ORÇAMENTO!AC168="QUANT."),"►Q",IF(AND(ACOMPANHAMENTO="PLE",H168&lt;&gt;SUMPRODUCT(($Q$1:$AI$1=1)*ROUND(Q168:AI168,15))),"►S",IF(AND(COUNTIF($P$11:$AI$11,"▼")=0,H168&gt;0,I168=""),"◄M","")))))</f>
        <v/>
      </c>
      <c r="K168" s="654" t="s">
        <v>1445</v>
      </c>
      <c r="L168" s="165">
        <f t="shared" ca="1" si="83"/>
        <v>153</v>
      </c>
      <c r="M168" s="166">
        <f ca="1">IF($D168&lt;&gt;"Serviço","",
          IF(AUTOEVENTO="manual",$A168,
                IF(ISERROR(MATCH($A168,$A$15:OFFSET($A168,-1,0),0)),MAX($M$15:OFFSET(M168,-1,0))+1,
                      INDEX($M$15:OFFSET(M168,-1,0),MATCH($A168,$A$15:OFFSET($A168,-1,0),0)))))</f>
        <v>38</v>
      </c>
      <c r="N168" s="167" t="str">
        <f ca="1">IF($D168&lt;&gt;"Serviço","",
         IF(AUTOEVENTO="Manual",
                IF($A168=0,"&lt;-- defina o número do agrupador",
                       OFFSET(EVENTOS!$D$15,$A168-$A$15,0)),
                OFFSET($F$15,$A168,0)))</f>
        <v>HIDRÁULICA EMBUTIDA EM PAREDE</v>
      </c>
      <c r="O168" s="168"/>
      <c r="Q168" s="169">
        <f>8.7*5</f>
        <v>43.5</v>
      </c>
      <c r="R168" s="169">
        <f t="shared" ref="R168:T168" si="94">8.7*5</f>
        <v>43.5</v>
      </c>
      <c r="S168" s="169">
        <f t="shared" si="94"/>
        <v>43.5</v>
      </c>
      <c r="T168" s="169">
        <f t="shared" si="94"/>
        <v>43.5</v>
      </c>
      <c r="U168" s="169"/>
      <c r="V168" s="169"/>
      <c r="W168" s="169"/>
      <c r="X168" s="169"/>
      <c r="Y168" s="169"/>
      <c r="Z168" s="170"/>
      <c r="AA168" s="169"/>
      <c r="AB168" s="169"/>
      <c r="AC168" s="169"/>
      <c r="AD168" s="169"/>
      <c r="AE168" s="169"/>
      <c r="AF168" s="169"/>
      <c r="AG168" s="169"/>
      <c r="AH168" s="170"/>
      <c r="AJ168" s="452">
        <f ca="1">IF(AND($D168="Serviço",AJ$12&lt;&gt;0,$H168&gt;0,OR(AUTOEVENTO&lt;&gt;"manual",$M168&lt;&gt;$A$15)),
        IF(Import.TipoArredondamento&lt;&gt;"TransfereGOV",
              ROUND(OFFSET($P168,0,AJ$13),15-13*ORÇAMENTO!$AF$7)/$H168*OFFSET(ORÇAMENTO!$X$15,ROW(AJ168)-ROW(AJ$15),0),
              ROUND(ROUND(OFFSET($P168,0,AJ$13),15-13*ORÇAMENTO!$AF$7)*OFFSET(ORÇAMENTO!$W$15,ROW(AJ168)-ROW(AJ$15),0),15-13*ORÇAMENTO!$AF$11)),
         0)</f>
        <v>1257.5899999999999</v>
      </c>
      <c r="AK168" s="452">
        <f ca="1">IF(AND($D168="Serviço",AK$12&lt;&gt;0,$H168&gt;0,OR(AUTOEVENTO&lt;&gt;"manual",$M168&lt;&gt;$A$15)),
        IF(Import.TipoArredondamento&lt;&gt;"TransfereGOV",
              ROUND(OFFSET($P168,0,AK$13),15-13*ORÇAMENTO!$AF$7)/$H168*OFFSET(ORÇAMENTO!$X$15,ROW(AK168)-ROW(AK$15),0),
              ROUND(ROUND(OFFSET($P168,0,AK$13),15-13*ORÇAMENTO!$AF$7)*OFFSET(ORÇAMENTO!$W$15,ROW(AK168)-ROW(AK$15),0),15-13*ORÇAMENTO!$AF$11)),
         0)</f>
        <v>1257.5899999999999</v>
      </c>
      <c r="AL168" s="452">
        <f ca="1">IF(AND($D168="Serviço",AL$12&lt;&gt;0,$H168&gt;0,OR(AUTOEVENTO&lt;&gt;"manual",$M168&lt;&gt;$A$15)),
        IF(Import.TipoArredondamento&lt;&gt;"TransfereGOV",
              ROUND(OFFSET($P168,0,AL$13),15-13*ORÇAMENTO!$AF$7)/$H168*OFFSET(ORÇAMENTO!$X$15,ROW(AL168)-ROW(AL$15),0),
              ROUND(ROUND(OFFSET($P168,0,AL$13),15-13*ORÇAMENTO!$AF$7)*OFFSET(ORÇAMENTO!$W$15,ROW(AL168)-ROW(AL$15),0),15-13*ORÇAMENTO!$AF$11)),
         0)</f>
        <v>1257.5899999999999</v>
      </c>
      <c r="AM168" s="452">
        <f ca="1">IF(AND($D168="Serviço",AM$12&lt;&gt;0,$H168&gt;0,OR(AUTOEVENTO&lt;&gt;"manual",$M168&lt;&gt;$A$15)),
        IF(Import.TipoArredondamento&lt;&gt;"TransfereGOV",
              ROUND(OFFSET($P168,0,AM$13),15-13*ORÇAMENTO!$AF$7)/$H168*OFFSET(ORÇAMENTO!$X$15,ROW(AM168)-ROW(AM$15),0),
              ROUND(ROUND(OFFSET($P168,0,AM$13),15-13*ORÇAMENTO!$AF$7)*OFFSET(ORÇAMENTO!$W$15,ROW(AM168)-ROW(AM$15),0),15-13*ORÇAMENTO!$AF$11)),
         0)</f>
        <v>1257.5899999999999</v>
      </c>
      <c r="AN168" s="452">
        <f ca="1">IF(AND($D168="Serviço",AN$12&lt;&gt;0,$H168&gt;0,OR(AUTOEVENTO&lt;&gt;"manual",$M168&lt;&gt;$A$15)),
        IF(Import.TipoArredondamento&lt;&gt;"TransfereGOV",
              ROUND(OFFSET($P168,0,AN$13),15-13*ORÇAMENTO!$AF$7)/$H168*OFFSET(ORÇAMENTO!$X$15,ROW(AN168)-ROW(AN$15),0),
              ROUND(ROUND(OFFSET($P168,0,AN$13),15-13*ORÇAMENTO!$AF$7)*OFFSET(ORÇAMENTO!$W$15,ROW(AN168)-ROW(AN$15),0),15-13*ORÇAMENTO!$AF$11)),
         0)</f>
        <v>0</v>
      </c>
      <c r="AO168" s="452">
        <f ca="1">IF(AND($D168="Serviço",AO$12&lt;&gt;0,$H168&gt;0,OR(AUTOEVENTO&lt;&gt;"manual",$M168&lt;&gt;$A$15)),
        IF(Import.TipoArredondamento&lt;&gt;"TransfereGOV",
              ROUND(OFFSET($P168,0,AO$13),15-13*ORÇAMENTO!$AF$7)/$H168*OFFSET(ORÇAMENTO!$X$15,ROW(AO168)-ROW(AO$15),0),
              ROUND(ROUND(OFFSET($P168,0,AO$13),15-13*ORÇAMENTO!$AF$7)*OFFSET(ORÇAMENTO!$W$15,ROW(AO168)-ROW(AO$15),0),15-13*ORÇAMENTO!$AF$11)),
         0)</f>
        <v>0</v>
      </c>
      <c r="AP168" s="452">
        <f ca="1">IF(AND($D168="Serviço",AP$12&lt;&gt;0,$H168&gt;0,OR(AUTOEVENTO&lt;&gt;"manual",$M168&lt;&gt;$A$15)),
        IF(Import.TipoArredondamento&lt;&gt;"TransfereGOV",
              ROUND(OFFSET($P168,0,AP$13),15-13*ORÇAMENTO!$AF$7)/$H168*OFFSET(ORÇAMENTO!$X$15,ROW(AP168)-ROW(AP$15),0),
              ROUND(ROUND(OFFSET($P168,0,AP$13),15-13*ORÇAMENTO!$AF$7)*OFFSET(ORÇAMENTO!$W$15,ROW(AP168)-ROW(AP$15),0),15-13*ORÇAMENTO!$AF$11)),
         0)</f>
        <v>0</v>
      </c>
      <c r="AQ168" s="452">
        <f ca="1">IF(AND($D168="Serviço",AQ$12&lt;&gt;0,$H168&gt;0,OR(AUTOEVENTO&lt;&gt;"manual",$M168&lt;&gt;$A$15)),
        IF(Import.TipoArredondamento&lt;&gt;"TransfereGOV",
              ROUND(OFFSET($P168,0,AQ$13),15-13*ORÇAMENTO!$AF$7)/$H168*OFFSET(ORÇAMENTO!$X$15,ROW(AQ168)-ROW(AQ$15),0),
              ROUND(ROUND(OFFSET($P168,0,AQ$13),15-13*ORÇAMENTO!$AF$7)*OFFSET(ORÇAMENTO!$W$15,ROW(AQ168)-ROW(AQ$15),0),15-13*ORÇAMENTO!$AF$11)),
         0)</f>
        <v>0</v>
      </c>
      <c r="AR168" s="452">
        <f ca="1">IF(AND($D168="Serviço",AR$12&lt;&gt;0,$H168&gt;0,OR(AUTOEVENTO&lt;&gt;"manual",$M168&lt;&gt;$A$15)),
        IF(Import.TipoArredondamento&lt;&gt;"TransfereGOV",
              ROUND(OFFSET($P168,0,AR$13),15-13*ORÇAMENTO!$AF$7)/$H168*OFFSET(ORÇAMENTO!$X$15,ROW(AR168)-ROW(AR$15),0),
              ROUND(ROUND(OFFSET($P168,0,AR$13),15-13*ORÇAMENTO!$AF$7)*OFFSET(ORÇAMENTO!$W$15,ROW(AR168)-ROW(AR$15),0),15-13*ORÇAMENTO!$AF$11)),
         0)</f>
        <v>0</v>
      </c>
      <c r="AS168" s="452">
        <f ca="1">IF(AND($D168="Serviço",AS$12&lt;&gt;0,$H168&gt;0,OR(AUTOEVENTO&lt;&gt;"manual",$M168&lt;&gt;$A$15)),
        IF(Import.TipoArredondamento&lt;&gt;"TransfereGOV",
              ROUND(OFFSET($P168,0,AS$13),15-13*ORÇAMENTO!$AF$7)/$H168*OFFSET(ORÇAMENTO!$X$15,ROW(AS168)-ROW(AS$15),0),
              ROUND(ROUND(OFFSET($P168,0,AS$13),15-13*ORÇAMENTO!$AF$7)*OFFSET(ORÇAMENTO!$W$15,ROW(AS168)-ROW(AS$15),0),15-13*ORÇAMENTO!$AF$11)),
         0)</f>
        <v>0</v>
      </c>
      <c r="AT168" s="452">
        <f ca="1">IF(AND($D168="Serviço",AT$12&lt;&gt;0,$H168&gt;0,OR(AUTOEVENTO&lt;&gt;"manual",$M168&lt;&gt;$A$15)),
        IF(Import.TipoArredondamento&lt;&gt;"TransfereGOV",
              ROUND(OFFSET($P168,0,AT$13),15-13*ORÇAMENTO!$AF$7)/$H168*OFFSET(ORÇAMENTO!$X$15,ROW(AT168)-ROW(AT$15),0),
              ROUND(ROUND(OFFSET($P168,0,AT$13),15-13*ORÇAMENTO!$AF$7)*OFFSET(ORÇAMENTO!$W$15,ROW(AT168)-ROW(AT$15),0),15-13*ORÇAMENTO!$AF$11)),
         0)</f>
        <v>0</v>
      </c>
      <c r="AU168" s="452">
        <f ca="1">IF(AND($D168="Serviço",AU$12&lt;&gt;0,$H168&gt;0,OR(AUTOEVENTO&lt;&gt;"manual",$M168&lt;&gt;$A$15)),
        IF(Import.TipoArredondamento&lt;&gt;"TransfereGOV",
              ROUND(OFFSET($P168,0,AU$13),15-13*ORÇAMENTO!$AF$7)/$H168*OFFSET(ORÇAMENTO!$X$15,ROW(AU168)-ROW(AU$15),0),
              ROUND(ROUND(OFFSET($P168,0,AU$13),15-13*ORÇAMENTO!$AF$7)*OFFSET(ORÇAMENTO!$W$15,ROW(AU168)-ROW(AU$15),0),15-13*ORÇAMENTO!$AF$11)),
         0)</f>
        <v>0</v>
      </c>
      <c r="AV168" s="452">
        <f ca="1">IF(AND($D168="Serviço",AV$12&lt;&gt;0,$H168&gt;0,OR(AUTOEVENTO&lt;&gt;"manual",$M168&lt;&gt;$A$15)),
        IF(Import.TipoArredondamento&lt;&gt;"TransfereGOV",
              ROUND(OFFSET($P168,0,AV$13),15-13*ORÇAMENTO!$AF$7)/$H168*OFFSET(ORÇAMENTO!$X$15,ROW(AV168)-ROW(AV$15),0),
              ROUND(ROUND(OFFSET($P168,0,AV$13),15-13*ORÇAMENTO!$AF$7)*OFFSET(ORÇAMENTO!$W$15,ROW(AV168)-ROW(AV$15),0),15-13*ORÇAMENTO!$AF$11)),
         0)</f>
        <v>0</v>
      </c>
      <c r="AW168" s="452">
        <f ca="1">IF(AND($D168="Serviço",AW$12&lt;&gt;0,$H168&gt;0,OR(AUTOEVENTO&lt;&gt;"manual",$M168&lt;&gt;$A$15)),
        IF(Import.TipoArredondamento&lt;&gt;"TransfereGOV",
              ROUND(OFFSET($P168,0,AW$13),15-13*ORÇAMENTO!$AF$7)/$H168*OFFSET(ORÇAMENTO!$X$15,ROW(AW168)-ROW(AW$15),0),
              ROUND(ROUND(OFFSET($P168,0,AW$13),15-13*ORÇAMENTO!$AF$7)*OFFSET(ORÇAMENTO!$W$15,ROW(AW168)-ROW(AW$15),0),15-13*ORÇAMENTO!$AF$11)),
         0)</f>
        <v>0</v>
      </c>
      <c r="AX168" s="452">
        <f ca="1">IF(AND($D168="Serviço",AX$12&lt;&gt;0,$H168&gt;0,OR(AUTOEVENTO&lt;&gt;"manual",$M168&lt;&gt;$A$15)),
        IF(Import.TipoArredondamento&lt;&gt;"TransfereGOV",
              ROUND(OFFSET($P168,0,AX$13),15-13*ORÇAMENTO!$AF$7)/$H168*OFFSET(ORÇAMENTO!$X$15,ROW(AX168)-ROW(AX$15),0),
              ROUND(ROUND(OFFSET($P168,0,AX$13),15-13*ORÇAMENTO!$AF$7)*OFFSET(ORÇAMENTO!$W$15,ROW(AX168)-ROW(AX$15),0),15-13*ORÇAMENTO!$AF$11)),
         0)</f>
        <v>0</v>
      </c>
      <c r="AY168" s="452">
        <f ca="1">IF(AND($D168="Serviço",AY$12&lt;&gt;0,$H168&gt;0,OR(AUTOEVENTO&lt;&gt;"manual",$M168&lt;&gt;$A$15)),
        IF(Import.TipoArredondamento&lt;&gt;"TransfereGOV",
              ROUND(OFFSET($P168,0,AY$13),15-13*ORÇAMENTO!$AF$7)/$H168*OFFSET(ORÇAMENTO!$X$15,ROW(AY168)-ROW(AY$15),0),
              ROUND(ROUND(OFFSET($P168,0,AY$13),15-13*ORÇAMENTO!$AF$7)*OFFSET(ORÇAMENTO!$W$15,ROW(AY168)-ROW(AY$15),0),15-13*ORÇAMENTO!$AF$11)),
         0)</f>
        <v>0</v>
      </c>
      <c r="AZ168" s="452">
        <f ca="1">IF(AND($D168="Serviço",AZ$12&lt;&gt;0,$H168&gt;0,OR(AUTOEVENTO&lt;&gt;"manual",$M168&lt;&gt;$A$15)),
        IF(Import.TipoArredondamento&lt;&gt;"TransfereGOV",
              ROUND(OFFSET($P168,0,AZ$13),15-13*ORÇAMENTO!$AF$7)/$H168*OFFSET(ORÇAMENTO!$X$15,ROW(AZ168)-ROW(AZ$15),0),
              ROUND(ROUND(OFFSET($P168,0,AZ$13),15-13*ORÇAMENTO!$AF$7)*OFFSET(ORÇAMENTO!$W$15,ROW(AZ168)-ROW(AZ$15),0),15-13*ORÇAMENTO!$AF$11)),
         0)</f>
        <v>0</v>
      </c>
      <c r="BA168" s="452">
        <f ca="1">IF(AND($D168="Serviço",BA$12&lt;&gt;0,$H168&gt;0,OR(AUTOEVENTO&lt;&gt;"manual",$M168&lt;&gt;$A$15)),
        IF(Import.TipoArredondamento&lt;&gt;"TransfereGOV",
              ROUND(OFFSET($P168,0,BA$13),15-13*ORÇAMENTO!$AF$7)/$H168*OFFSET(ORÇAMENTO!$X$15,ROW(BA168)-ROW(BA$15),0),
              ROUND(ROUND(OFFSET($P168,0,BA$13),15-13*ORÇAMENTO!$AF$7)*OFFSET(ORÇAMENTO!$W$15,ROW(BA168)-ROW(BA$15),0),15-13*ORÇAMENTO!$AF$11)),
         0)</f>
        <v>0</v>
      </c>
      <c r="BC168" s="171">
        <f ca="1">IF(OR($D168&lt;&gt;"Serviço",AND(AUTOEVENTO="Manual",$M168=$A$15)),0,
         IF(OFFSET(CRONOPLE!$F$15,$M168-$A$15,BC$13)=0,10^12,OFFSET(CRONOPLE!$F$15,$M168-$A$15,BC$13)))</f>
        <v>5</v>
      </c>
      <c r="BD168" s="171">
        <f ca="1">IF(OR($D168&lt;&gt;"Serviço",AND(AUTOEVENTO="Manual",$M168=$A$15)),0,
         IF(OFFSET(CRONOPLE!$F$15,$M168-$A$15,BD$13)=0,10^12,OFFSET(CRONOPLE!$F$15,$M168-$A$15,BD$13)))</f>
        <v>5</v>
      </c>
      <c r="BE168" s="171">
        <f ca="1">IF(OR($D168&lt;&gt;"Serviço",AND(AUTOEVENTO="Manual",$M168=$A$15)),0,
         IF(OFFSET(CRONOPLE!$F$15,$M168-$A$15,BE$13)=0,10^12,OFFSET(CRONOPLE!$F$15,$M168-$A$15,BE$13)))</f>
        <v>6</v>
      </c>
      <c r="BF168" s="171">
        <f ca="1">IF(OR($D168&lt;&gt;"Serviço",AND(AUTOEVENTO="Manual",$M168=$A$15)),0,
         IF(OFFSET(CRONOPLE!$F$15,$M168-$A$15,BF$13)=0,10^12,OFFSET(CRONOPLE!$F$15,$M168-$A$15,BF$13)))</f>
        <v>6</v>
      </c>
      <c r="BG168" s="171">
        <f ca="1">IF(OR($D168&lt;&gt;"Serviço",AND(AUTOEVENTO="Manual",$M168=$A$15)),0,
         IF(OFFSET(CRONOPLE!$F$15,$M168-$A$15,BG$13)=0,10^12,OFFSET(CRONOPLE!$F$15,$M168-$A$15,BG$13)))</f>
        <v>6</v>
      </c>
      <c r="BH168" s="171">
        <f ca="1">IF(OR($D168&lt;&gt;"Serviço",AND(AUTOEVENTO="Manual",$M168=$A$15)),0,
         IF(OFFSET(CRONOPLE!$F$15,$M168-$A$15,BH$13)=0,10^12,OFFSET(CRONOPLE!$F$15,$M168-$A$15,BH$13)))</f>
        <v>1000000000000</v>
      </c>
      <c r="BI168" s="171">
        <f ca="1">IF(OR($D168&lt;&gt;"Serviço",AND(AUTOEVENTO="Manual",$M168=$A$15)),0,
         IF(OFFSET(CRONOPLE!$F$15,$M168-$A$15,BI$13)=0,10^12,OFFSET(CRONOPLE!$F$15,$M168-$A$15,BI$13)))</f>
        <v>1000000000000</v>
      </c>
      <c r="BJ168" s="171">
        <f ca="1">IF(OR($D168&lt;&gt;"Serviço",AND(AUTOEVENTO="Manual",$M168=$A$15)),0,
         IF(OFFSET(CRONOPLE!$F$15,$M168-$A$15,BJ$13)=0,10^12,OFFSET(CRONOPLE!$F$15,$M168-$A$15,BJ$13)))</f>
        <v>1000000000000</v>
      </c>
      <c r="BK168" s="171">
        <f ca="1">IF(OR($D168&lt;&gt;"Serviço",AND(AUTOEVENTO="Manual",$M168=$A$15)),0,
         IF(OFFSET(CRONOPLE!$F$15,$M168-$A$15,BK$13)=0,10^12,OFFSET(CRONOPLE!$F$15,$M168-$A$15,BK$13)))</f>
        <v>1000000000000</v>
      </c>
      <c r="BL168" s="171">
        <f ca="1">IF(OR($D168&lt;&gt;"Serviço",AND(AUTOEVENTO="Manual",$M168=$A$15)),0,
         IF(OFFSET(CRONOPLE!$F$15,$M168-$A$15,BL$13)=0,10^12,OFFSET(CRONOPLE!$F$15,$M168-$A$15,BL$13)))</f>
        <v>1000000000000</v>
      </c>
      <c r="BM168" s="171">
        <f ca="1">IF(OR($D168&lt;&gt;"Serviço",AND(AUTOEVENTO="Manual",$M168=$A$15)),0,
         IF(OFFSET(CRONOPLE!$F$15,$M168-$A$15,BM$13)=0,10^12,OFFSET(CRONOPLE!$F$15,$M168-$A$15,BM$13)))</f>
        <v>1000000000000</v>
      </c>
      <c r="BN168" s="171">
        <f ca="1">IF(OR($D168&lt;&gt;"Serviço",AND(AUTOEVENTO="Manual",$M168=$A$15)),0,
         IF(OFFSET(CRONOPLE!$F$15,$M168-$A$15,BN$13)=0,10^12,OFFSET(CRONOPLE!$F$15,$M168-$A$15,BN$13)))</f>
        <v>1000000000000</v>
      </c>
      <c r="BO168" s="171">
        <f ca="1">IF(OR($D168&lt;&gt;"Serviço",AND(AUTOEVENTO="Manual",$M168=$A$15)),0,
         IF(OFFSET(CRONOPLE!$F$15,$M168-$A$15,BO$13)=0,10^12,OFFSET(CRONOPLE!$F$15,$M168-$A$15,BO$13)))</f>
        <v>1000000000000</v>
      </c>
      <c r="BP168" s="171">
        <f ca="1">IF(OR($D168&lt;&gt;"Serviço",AND(AUTOEVENTO="Manual",$M168=$A$15)),0,
         IF(OFFSET(CRONOPLE!$F$15,$M168-$A$15,BP$13)=0,10^12,OFFSET(CRONOPLE!$F$15,$M168-$A$15,BP$13)))</f>
        <v>1000000000000</v>
      </c>
      <c r="BQ168" s="171">
        <f ca="1">IF(OR($D168&lt;&gt;"Serviço",AND(AUTOEVENTO="Manual",$M168=$A$15)),0,
         IF(OFFSET(CRONOPLE!$F$15,$M168-$A$15,BQ$13)=0,10^12,OFFSET(CRONOPLE!$F$15,$M168-$A$15,BQ$13)))</f>
        <v>1000000000000</v>
      </c>
      <c r="BR168" s="171">
        <f ca="1">IF(OR($D168&lt;&gt;"Serviço",AND(AUTOEVENTO="Manual",$M168=$A$15)),0,
         IF(OFFSET(CRONOPLE!$F$15,$M168-$A$15,BR$13)=0,10^12,OFFSET(CRONOPLE!$F$15,$M168-$A$15,BR$13)))</f>
        <v>1000000000000</v>
      </c>
      <c r="BS168" s="171">
        <f ca="1">IF(OR($D168&lt;&gt;"Serviço",AND(AUTOEVENTO="Manual",$M168=$A$15)),0,
         IF(OFFSET(CRONOPLE!$F$15,$M168-$A$15,BS$13)=0,10^12,OFFSET(CRONOPLE!$F$15,$M168-$A$15,BS$13)))</f>
        <v>1000000000000</v>
      </c>
      <c r="BT168" s="171">
        <f ca="1">IF(OR($D168&lt;&gt;"Serviço",AND(AUTOEVENTO="Manual",$M168=$A$15)),0,
         IF(OFFSET(CRONOPLE!$F$15,$M168-$A$15,BT$13)=0,10^12,OFFSET(CRONOPLE!$F$15,$M168-$A$15,BT$13)))</f>
        <v>1000000000000</v>
      </c>
      <c r="BV168" s="172">
        <f t="array" aca="1" ref="BV168" ca="1">IF(OR($D168&lt;&gt;"Serviço",AND(AUTOEVENTO="Manual",$M168=$A$15),$M168&gt;(ROW(PLE.lastrow)-ROW(PLE.firstrow))),0,
           IF(OFFSET(PLE!$G$15,$M168-$A$15,BV$13)="",10^12,OFFSET(PLE!$G$15,$M168-$A$15,BV$13)))</f>
        <v>1000000000000</v>
      </c>
      <c r="BW168" s="172">
        <f t="array" aca="1" ref="BW168" ca="1">IF(OR($D168&lt;&gt;"Serviço",AND(AUTOEVENTO="Manual",$M168=$A$15),$M168&gt;(ROW(PLE.lastrow)-ROW(PLE.firstrow))),0,
           IF(OFFSET(PLE!$G$15,$M168-$A$15,BW$13)="",10^12,OFFSET(PLE!$G$15,$M168-$A$15,BW$13)))</f>
        <v>1000000000000</v>
      </c>
      <c r="BX168" s="172">
        <f t="array" aca="1" ref="BX168" ca="1">IF(OR($D168&lt;&gt;"Serviço",AND(AUTOEVENTO="Manual",$M168=$A$15),$M168&gt;(ROW(PLE.lastrow)-ROW(PLE.firstrow))),0,
           IF(OFFSET(PLE!$G$15,$M168-$A$15,BX$13)="",10^12,OFFSET(PLE!$G$15,$M168-$A$15,BX$13)))</f>
        <v>1000000000000</v>
      </c>
      <c r="BY168" s="172">
        <f t="array" aca="1" ref="BY168" ca="1">IF(OR($D168&lt;&gt;"Serviço",AND(AUTOEVENTO="Manual",$M168=$A$15),$M168&gt;(ROW(PLE.lastrow)-ROW(PLE.firstrow))),0,
           IF(OFFSET(PLE!$G$15,$M168-$A$15,BY$13)="",10^12,OFFSET(PLE!$G$15,$M168-$A$15,BY$13)))</f>
        <v>1000000000000</v>
      </c>
      <c r="BZ168" s="172">
        <f t="array" aca="1" ref="BZ168" ca="1">IF(OR($D168&lt;&gt;"Serviço",AND(AUTOEVENTO="Manual",$M168=$A$15),$M168&gt;(ROW(PLE.lastrow)-ROW(PLE.firstrow))),0,
           IF(OFFSET(PLE!$G$15,$M168-$A$15,BZ$13)="",10^12,OFFSET(PLE!$G$15,$M168-$A$15,BZ$13)))</f>
        <v>1000000000000</v>
      </c>
      <c r="CA168" s="172">
        <f t="array" aca="1" ref="CA168" ca="1">IF(OR($D168&lt;&gt;"Serviço",AND(AUTOEVENTO="Manual",$M168=$A$15),$M168&gt;(ROW(PLE.lastrow)-ROW(PLE.firstrow))),0,
           IF(OFFSET(PLE!$G$15,$M168-$A$15,CA$13)="",10^12,OFFSET(PLE!$G$15,$M168-$A$15,CA$13)))</f>
        <v>1000000000000</v>
      </c>
      <c r="CB168" s="172">
        <f t="array" aca="1" ref="CB168" ca="1">IF(OR($D168&lt;&gt;"Serviço",AND(AUTOEVENTO="Manual",$M168=$A$15),$M168&gt;(ROW(PLE.lastrow)-ROW(PLE.firstrow))),0,
           IF(OFFSET(PLE!$G$15,$M168-$A$15,CB$13)="",10^12,OFFSET(PLE!$G$15,$M168-$A$15,CB$13)))</f>
        <v>1000000000000</v>
      </c>
      <c r="CC168" s="172">
        <f t="array" aca="1" ref="CC168" ca="1">IF(OR($D168&lt;&gt;"Serviço",AND(AUTOEVENTO="Manual",$M168=$A$15),$M168&gt;(ROW(PLE.lastrow)-ROW(PLE.firstrow))),0,
           IF(OFFSET(PLE!$G$15,$M168-$A$15,CC$13)="",10^12,OFFSET(PLE!$G$15,$M168-$A$15,CC$13)))</f>
        <v>1000000000000</v>
      </c>
      <c r="CD168" s="172">
        <f t="array" aca="1" ref="CD168" ca="1">IF(OR($D168&lt;&gt;"Serviço",AND(AUTOEVENTO="Manual",$M168=$A$15),$M168&gt;(ROW(PLE.lastrow)-ROW(PLE.firstrow))),0,
           IF(OFFSET(PLE!$G$15,$M168-$A$15,CD$13)="",10^12,OFFSET(PLE!$G$15,$M168-$A$15,CD$13)))</f>
        <v>1000000000000</v>
      </c>
      <c r="CE168" s="172">
        <f t="array" aca="1" ref="CE168" ca="1">IF(OR($D168&lt;&gt;"Serviço",AND(AUTOEVENTO="Manual",$M168=$A$15),$M168&gt;(ROW(PLE.lastrow)-ROW(PLE.firstrow))),0,
           IF(OFFSET(PLE!$G$15,$M168-$A$15,CE$13)="",10^12,OFFSET(PLE!$G$15,$M168-$A$15,CE$13)))</f>
        <v>1000000000000</v>
      </c>
      <c r="CF168" s="172">
        <f t="array" aca="1" ref="CF168" ca="1">IF(OR($D168&lt;&gt;"Serviço",AND(AUTOEVENTO="Manual",$M168=$A$15),$M168&gt;(ROW(PLE.lastrow)-ROW(PLE.firstrow))),0,
           IF(OFFSET(PLE!$G$15,$M168-$A$15,CF$13)="",10^12,OFFSET(PLE!$G$15,$M168-$A$15,CF$13)))</f>
        <v>1000000000000</v>
      </c>
      <c r="CG168" s="172">
        <f t="array" aca="1" ref="CG168" ca="1">IF(OR($D168&lt;&gt;"Serviço",AND(AUTOEVENTO="Manual",$M168=$A$15),$M168&gt;(ROW(PLE.lastrow)-ROW(PLE.firstrow))),0,
           IF(OFFSET(PLE!$G$15,$M168-$A$15,CG$13)="",10^12,OFFSET(PLE!$G$15,$M168-$A$15,CG$13)))</f>
        <v>1000000000000</v>
      </c>
      <c r="CH168" s="172">
        <f t="array" aca="1" ref="CH168" ca="1">IF(OR($D168&lt;&gt;"Serviço",AND(AUTOEVENTO="Manual",$M168=$A$15),$M168&gt;(ROW(PLE.lastrow)-ROW(PLE.firstrow))),0,
           IF(OFFSET(PLE!$G$15,$M168-$A$15,CH$13)="",10^12,OFFSET(PLE!$G$15,$M168-$A$15,CH$13)))</f>
        <v>1000000000000</v>
      </c>
      <c r="CI168" s="172">
        <f t="array" aca="1" ref="CI168" ca="1">IF(OR($D168&lt;&gt;"Serviço",AND(AUTOEVENTO="Manual",$M168=$A$15),$M168&gt;(ROW(PLE.lastrow)-ROW(PLE.firstrow))),0,
           IF(OFFSET(PLE!$G$15,$M168-$A$15,CI$13)="",10^12,OFFSET(PLE!$G$15,$M168-$A$15,CI$13)))</f>
        <v>1000000000000</v>
      </c>
      <c r="CJ168" s="172">
        <f t="array" aca="1" ref="CJ168" ca="1">IF(OR($D168&lt;&gt;"Serviço",AND(AUTOEVENTO="Manual",$M168=$A$15),$M168&gt;(ROW(PLE.lastrow)-ROW(PLE.firstrow))),0,
           IF(OFFSET(PLE!$G$15,$M168-$A$15,CJ$13)="",10^12,OFFSET(PLE!$G$15,$M168-$A$15,CJ$13)))</f>
        <v>1000000000000</v>
      </c>
      <c r="CK168" s="172">
        <f t="array" aca="1" ref="CK168" ca="1">IF(OR($D168&lt;&gt;"Serviço",AND(AUTOEVENTO="Manual",$M168=$A$15),$M168&gt;(ROW(PLE.lastrow)-ROW(PLE.firstrow))),0,
           IF(OFFSET(PLE!$G$15,$M168-$A$15,CK$13)="",10^12,OFFSET(PLE!$G$15,$M168-$A$15,CK$13)))</f>
        <v>1000000000000</v>
      </c>
      <c r="CL168" s="172">
        <f t="array" aca="1" ref="CL168" ca="1">IF(OR($D168&lt;&gt;"Serviço",AND(AUTOEVENTO="Manual",$M168=$A$15),$M168&gt;(ROW(PLE.lastrow)-ROW(PLE.firstrow))),0,
           IF(OFFSET(PLE!$G$15,$M168-$A$15,CL$13)="",10^12,OFFSET(PLE!$G$15,$M168-$A$15,CL$13)))</f>
        <v>1000000000000</v>
      </c>
      <c r="CM168" s="172">
        <f t="array" aca="1" ref="CM168" ca="1">IF(OR($D168&lt;&gt;"Serviço",AND(AUTOEVENTO="Manual",$M168=$A$15),$M168&gt;(ROW(PLE.lastrow)-ROW(PLE.firstrow))),0,
           IF(OFFSET(PLE!$G$15,$M168-$A$15,CM$13)="",10^12,OFFSET(PLE!$G$15,$M168-$A$15,CM$13)))</f>
        <v>1000000000000</v>
      </c>
    </row>
    <row r="169" spans="1:91" s="696" customFormat="1" ht="12.75" x14ac:dyDescent="0.2">
      <c r="A169" s="694">
        <f t="shared" ca="1" si="82"/>
        <v>0</v>
      </c>
      <c r="B169" s="694">
        <f ca="1">OFFSET(ORÇAMENTO!C$15,$L169,0)</f>
        <v>2</v>
      </c>
      <c r="C169" s="694" t="str">
        <f ca="1">OFFSET(ORÇAMENTO!L$15,$L169,0)</f>
        <v>F</v>
      </c>
      <c r="D169" s="116" t="str">
        <f ca="1">OFFSET(ORÇAMENTO!N$15,$L169,0)</f>
        <v>Nível 2</v>
      </c>
      <c r="E169" s="117" t="str">
        <f ca="1">OFFSET(ORÇAMENTO!O$15,$L169,0)</f>
        <v>1.27.</v>
      </c>
      <c r="F169" s="163" t="str">
        <f ca="1">OFFSET(ORÇAMENTO!R$15,$L169,0)</f>
        <v>REGISTROS</v>
      </c>
      <c r="G169" s="164" t="str">
        <f ca="1">IF($D169&lt;&gt;"Serviço","",OFFSET(ORÇAMENTO!S$15,$L169,0))</f>
        <v/>
      </c>
      <c r="H169" s="122">
        <f t="array" aca="1" ref="H169" ca="1">IF($D169&lt;&gt;"Serviço",0,IF(ACOMPANHAMENTO="BM",ROUND(OFFSET(ORÇAMENTO!AJ$15,$L169,0),15-13*ORÇAMENTO!$AF$7),IF(IFERROR(CÁLCULO.FrentesPreenchidas,0)=0,0,SUM(ROUND(OFFSET($P169,0,1,1,CÁLCULO.FrentesPreenchidas),15-13*ORÇAMENTO!$AF$7)))))</f>
        <v>0</v>
      </c>
      <c r="I169" s="467"/>
      <c r="J169" s="653" t="str">
        <f t="array" aca="1" ref="J169" ca="1">IF(OR(B169&lt;&gt;"S",CÁLCULO.FrentesPreenchidas=0),"",IF(AND(ACOMPANHAMENTO="PLE",AUTOEVENTO="Manual",OR(H169&gt;0,ORÇAMENTO!AC169="QUANT."),OR(K169="",M169=0,N169="")),"►E",IF(AND(ACOMPANHAMENTO="PLE",ORÇAMENTO!AC169="QUANT."),"►Q",IF(AND(ACOMPANHAMENTO="PLE",H169&lt;&gt;SUMPRODUCT(($Q$1:$AI$1=1)*ROUND(Q169:AI169,15))),"►S",IF(AND(COUNTIF($P$11:$AI$11,"▼")=0,H169&gt;0,I169=""),"◄M","")))))</f>
        <v/>
      </c>
      <c r="K169" s="654"/>
      <c r="L169" s="165">
        <f t="shared" ca="1" si="83"/>
        <v>154</v>
      </c>
      <c r="M169" s="166" t="str">
        <f ca="1">IF($D169&lt;&gt;"Serviço","",
          IF(AUTOEVENTO="manual",$A169,
                IF(ISERROR(MATCH($A169,$A$15:OFFSET($A169,-1,0),0)),MAX($M$15:OFFSET(M169,-1,0))+1,
                      INDEX($M$15:OFFSET(M169,-1,0),MATCH($A169,$A$15:OFFSET($A169,-1,0),0)))))</f>
        <v/>
      </c>
      <c r="N169" s="167" t="str">
        <f ca="1">IF($D169&lt;&gt;"Serviço","",
         IF(AUTOEVENTO="Manual",
                IF($A169=0,"&lt;-- defina o número do agrupador",
                       OFFSET(EVENTOS!$D$15,$A169-$A$15,0)),
                OFFSET($F$15,$A169,0)))</f>
        <v/>
      </c>
      <c r="O169" s="168"/>
      <c r="Q169" s="169"/>
      <c r="R169" s="169"/>
      <c r="S169" s="169"/>
      <c r="T169" s="169"/>
      <c r="U169" s="169"/>
      <c r="V169" s="169"/>
      <c r="W169" s="169"/>
      <c r="X169" s="169"/>
      <c r="Y169" s="169"/>
      <c r="Z169" s="170"/>
      <c r="AA169" s="169"/>
      <c r="AB169" s="169"/>
      <c r="AC169" s="169"/>
      <c r="AD169" s="169"/>
      <c r="AE169" s="169"/>
      <c r="AF169" s="169"/>
      <c r="AG169" s="169"/>
      <c r="AH169" s="170"/>
      <c r="AJ169" s="452">
        <f ca="1">IF(AND($D169="Serviço",AJ$12&lt;&gt;0,$H169&gt;0,OR(AUTOEVENTO&lt;&gt;"manual",$M169&lt;&gt;$A$15)),
        IF(Import.TipoArredondamento&lt;&gt;"TransfereGOV",
              ROUND(OFFSET($P169,0,AJ$13),15-13*ORÇAMENTO!$AF$7)/$H169*OFFSET(ORÇAMENTO!$X$15,ROW(AJ169)-ROW(AJ$15),0),
              ROUND(ROUND(OFFSET($P169,0,AJ$13),15-13*ORÇAMENTO!$AF$7)*OFFSET(ORÇAMENTO!$W$15,ROW(AJ169)-ROW(AJ$15),0),15-13*ORÇAMENTO!$AF$11)),
         0)</f>
        <v>0</v>
      </c>
      <c r="AK169" s="452">
        <f ca="1">IF(AND($D169="Serviço",AK$12&lt;&gt;0,$H169&gt;0,OR(AUTOEVENTO&lt;&gt;"manual",$M169&lt;&gt;$A$15)),
        IF(Import.TipoArredondamento&lt;&gt;"TransfereGOV",
              ROUND(OFFSET($P169,0,AK$13),15-13*ORÇAMENTO!$AF$7)/$H169*OFFSET(ORÇAMENTO!$X$15,ROW(AK169)-ROW(AK$15),0),
              ROUND(ROUND(OFFSET($P169,0,AK$13),15-13*ORÇAMENTO!$AF$7)*OFFSET(ORÇAMENTO!$W$15,ROW(AK169)-ROW(AK$15),0),15-13*ORÇAMENTO!$AF$11)),
         0)</f>
        <v>0</v>
      </c>
      <c r="AL169" s="452">
        <f ca="1">IF(AND($D169="Serviço",AL$12&lt;&gt;0,$H169&gt;0,OR(AUTOEVENTO&lt;&gt;"manual",$M169&lt;&gt;$A$15)),
        IF(Import.TipoArredondamento&lt;&gt;"TransfereGOV",
              ROUND(OFFSET($P169,0,AL$13),15-13*ORÇAMENTO!$AF$7)/$H169*OFFSET(ORÇAMENTO!$X$15,ROW(AL169)-ROW(AL$15),0),
              ROUND(ROUND(OFFSET($P169,0,AL$13),15-13*ORÇAMENTO!$AF$7)*OFFSET(ORÇAMENTO!$W$15,ROW(AL169)-ROW(AL$15),0),15-13*ORÇAMENTO!$AF$11)),
         0)</f>
        <v>0</v>
      </c>
      <c r="AM169" s="452">
        <f ca="1">IF(AND($D169="Serviço",AM$12&lt;&gt;0,$H169&gt;0,OR(AUTOEVENTO&lt;&gt;"manual",$M169&lt;&gt;$A$15)),
        IF(Import.TipoArredondamento&lt;&gt;"TransfereGOV",
              ROUND(OFFSET($P169,0,AM$13),15-13*ORÇAMENTO!$AF$7)/$H169*OFFSET(ORÇAMENTO!$X$15,ROW(AM169)-ROW(AM$15),0),
              ROUND(ROUND(OFFSET($P169,0,AM$13),15-13*ORÇAMENTO!$AF$7)*OFFSET(ORÇAMENTO!$W$15,ROW(AM169)-ROW(AM$15),0),15-13*ORÇAMENTO!$AF$11)),
         0)</f>
        <v>0</v>
      </c>
      <c r="AN169" s="452">
        <f ca="1">IF(AND($D169="Serviço",AN$12&lt;&gt;0,$H169&gt;0,OR(AUTOEVENTO&lt;&gt;"manual",$M169&lt;&gt;$A$15)),
        IF(Import.TipoArredondamento&lt;&gt;"TransfereGOV",
              ROUND(OFFSET($P169,0,AN$13),15-13*ORÇAMENTO!$AF$7)/$H169*OFFSET(ORÇAMENTO!$X$15,ROW(AN169)-ROW(AN$15),0),
              ROUND(ROUND(OFFSET($P169,0,AN$13),15-13*ORÇAMENTO!$AF$7)*OFFSET(ORÇAMENTO!$W$15,ROW(AN169)-ROW(AN$15),0),15-13*ORÇAMENTO!$AF$11)),
         0)</f>
        <v>0</v>
      </c>
      <c r="AO169" s="452">
        <f ca="1">IF(AND($D169="Serviço",AO$12&lt;&gt;0,$H169&gt;0,OR(AUTOEVENTO&lt;&gt;"manual",$M169&lt;&gt;$A$15)),
        IF(Import.TipoArredondamento&lt;&gt;"TransfereGOV",
              ROUND(OFFSET($P169,0,AO$13),15-13*ORÇAMENTO!$AF$7)/$H169*OFFSET(ORÇAMENTO!$X$15,ROW(AO169)-ROW(AO$15),0),
              ROUND(ROUND(OFFSET($P169,0,AO$13),15-13*ORÇAMENTO!$AF$7)*OFFSET(ORÇAMENTO!$W$15,ROW(AO169)-ROW(AO$15),0),15-13*ORÇAMENTO!$AF$11)),
         0)</f>
        <v>0</v>
      </c>
      <c r="AP169" s="452">
        <f ca="1">IF(AND($D169="Serviço",AP$12&lt;&gt;0,$H169&gt;0,OR(AUTOEVENTO&lt;&gt;"manual",$M169&lt;&gt;$A$15)),
        IF(Import.TipoArredondamento&lt;&gt;"TransfereGOV",
              ROUND(OFFSET($P169,0,AP$13),15-13*ORÇAMENTO!$AF$7)/$H169*OFFSET(ORÇAMENTO!$X$15,ROW(AP169)-ROW(AP$15),0),
              ROUND(ROUND(OFFSET($P169,0,AP$13),15-13*ORÇAMENTO!$AF$7)*OFFSET(ORÇAMENTO!$W$15,ROW(AP169)-ROW(AP$15),0),15-13*ORÇAMENTO!$AF$11)),
         0)</f>
        <v>0</v>
      </c>
      <c r="AQ169" s="452">
        <f ca="1">IF(AND($D169="Serviço",AQ$12&lt;&gt;0,$H169&gt;0,OR(AUTOEVENTO&lt;&gt;"manual",$M169&lt;&gt;$A$15)),
        IF(Import.TipoArredondamento&lt;&gt;"TransfereGOV",
              ROUND(OFFSET($P169,0,AQ$13),15-13*ORÇAMENTO!$AF$7)/$H169*OFFSET(ORÇAMENTO!$X$15,ROW(AQ169)-ROW(AQ$15),0),
              ROUND(ROUND(OFFSET($P169,0,AQ$13),15-13*ORÇAMENTO!$AF$7)*OFFSET(ORÇAMENTO!$W$15,ROW(AQ169)-ROW(AQ$15),0),15-13*ORÇAMENTO!$AF$11)),
         0)</f>
        <v>0</v>
      </c>
      <c r="AR169" s="452">
        <f ca="1">IF(AND($D169="Serviço",AR$12&lt;&gt;0,$H169&gt;0,OR(AUTOEVENTO&lt;&gt;"manual",$M169&lt;&gt;$A$15)),
        IF(Import.TipoArredondamento&lt;&gt;"TransfereGOV",
              ROUND(OFFSET($P169,0,AR$13),15-13*ORÇAMENTO!$AF$7)/$H169*OFFSET(ORÇAMENTO!$X$15,ROW(AR169)-ROW(AR$15),0),
              ROUND(ROUND(OFFSET($P169,0,AR$13),15-13*ORÇAMENTO!$AF$7)*OFFSET(ORÇAMENTO!$W$15,ROW(AR169)-ROW(AR$15),0),15-13*ORÇAMENTO!$AF$11)),
         0)</f>
        <v>0</v>
      </c>
      <c r="AS169" s="452">
        <f ca="1">IF(AND($D169="Serviço",AS$12&lt;&gt;0,$H169&gt;0,OR(AUTOEVENTO&lt;&gt;"manual",$M169&lt;&gt;$A$15)),
        IF(Import.TipoArredondamento&lt;&gt;"TransfereGOV",
              ROUND(OFFSET($P169,0,AS$13),15-13*ORÇAMENTO!$AF$7)/$H169*OFFSET(ORÇAMENTO!$X$15,ROW(AS169)-ROW(AS$15),0),
              ROUND(ROUND(OFFSET($P169,0,AS$13),15-13*ORÇAMENTO!$AF$7)*OFFSET(ORÇAMENTO!$W$15,ROW(AS169)-ROW(AS$15),0),15-13*ORÇAMENTO!$AF$11)),
         0)</f>
        <v>0</v>
      </c>
      <c r="AT169" s="452">
        <f ca="1">IF(AND($D169="Serviço",AT$12&lt;&gt;0,$H169&gt;0,OR(AUTOEVENTO&lt;&gt;"manual",$M169&lt;&gt;$A$15)),
        IF(Import.TipoArredondamento&lt;&gt;"TransfereGOV",
              ROUND(OFFSET($P169,0,AT$13),15-13*ORÇAMENTO!$AF$7)/$H169*OFFSET(ORÇAMENTO!$X$15,ROW(AT169)-ROW(AT$15),0),
              ROUND(ROUND(OFFSET($P169,0,AT$13),15-13*ORÇAMENTO!$AF$7)*OFFSET(ORÇAMENTO!$W$15,ROW(AT169)-ROW(AT$15),0),15-13*ORÇAMENTO!$AF$11)),
         0)</f>
        <v>0</v>
      </c>
      <c r="AU169" s="452">
        <f ca="1">IF(AND($D169="Serviço",AU$12&lt;&gt;0,$H169&gt;0,OR(AUTOEVENTO&lt;&gt;"manual",$M169&lt;&gt;$A$15)),
        IF(Import.TipoArredondamento&lt;&gt;"TransfereGOV",
              ROUND(OFFSET($P169,0,AU$13),15-13*ORÇAMENTO!$AF$7)/$H169*OFFSET(ORÇAMENTO!$X$15,ROW(AU169)-ROW(AU$15),0),
              ROUND(ROUND(OFFSET($P169,0,AU$13),15-13*ORÇAMENTO!$AF$7)*OFFSET(ORÇAMENTO!$W$15,ROW(AU169)-ROW(AU$15),0),15-13*ORÇAMENTO!$AF$11)),
         0)</f>
        <v>0</v>
      </c>
      <c r="AV169" s="452">
        <f ca="1">IF(AND($D169="Serviço",AV$12&lt;&gt;0,$H169&gt;0,OR(AUTOEVENTO&lt;&gt;"manual",$M169&lt;&gt;$A$15)),
        IF(Import.TipoArredondamento&lt;&gt;"TransfereGOV",
              ROUND(OFFSET($P169,0,AV$13),15-13*ORÇAMENTO!$AF$7)/$H169*OFFSET(ORÇAMENTO!$X$15,ROW(AV169)-ROW(AV$15),0),
              ROUND(ROUND(OFFSET($P169,0,AV$13),15-13*ORÇAMENTO!$AF$7)*OFFSET(ORÇAMENTO!$W$15,ROW(AV169)-ROW(AV$15),0),15-13*ORÇAMENTO!$AF$11)),
         0)</f>
        <v>0</v>
      </c>
      <c r="AW169" s="452">
        <f ca="1">IF(AND($D169="Serviço",AW$12&lt;&gt;0,$H169&gt;0,OR(AUTOEVENTO&lt;&gt;"manual",$M169&lt;&gt;$A$15)),
        IF(Import.TipoArredondamento&lt;&gt;"TransfereGOV",
              ROUND(OFFSET($P169,0,AW$13),15-13*ORÇAMENTO!$AF$7)/$H169*OFFSET(ORÇAMENTO!$X$15,ROW(AW169)-ROW(AW$15),0),
              ROUND(ROUND(OFFSET($P169,0,AW$13),15-13*ORÇAMENTO!$AF$7)*OFFSET(ORÇAMENTO!$W$15,ROW(AW169)-ROW(AW$15),0),15-13*ORÇAMENTO!$AF$11)),
         0)</f>
        <v>0</v>
      </c>
      <c r="AX169" s="452">
        <f ca="1">IF(AND($D169="Serviço",AX$12&lt;&gt;0,$H169&gt;0,OR(AUTOEVENTO&lt;&gt;"manual",$M169&lt;&gt;$A$15)),
        IF(Import.TipoArredondamento&lt;&gt;"TransfereGOV",
              ROUND(OFFSET($P169,0,AX$13),15-13*ORÇAMENTO!$AF$7)/$H169*OFFSET(ORÇAMENTO!$X$15,ROW(AX169)-ROW(AX$15),0),
              ROUND(ROUND(OFFSET($P169,0,AX$13),15-13*ORÇAMENTO!$AF$7)*OFFSET(ORÇAMENTO!$W$15,ROW(AX169)-ROW(AX$15),0),15-13*ORÇAMENTO!$AF$11)),
         0)</f>
        <v>0</v>
      </c>
      <c r="AY169" s="452">
        <f ca="1">IF(AND($D169="Serviço",AY$12&lt;&gt;0,$H169&gt;0,OR(AUTOEVENTO&lt;&gt;"manual",$M169&lt;&gt;$A$15)),
        IF(Import.TipoArredondamento&lt;&gt;"TransfereGOV",
              ROUND(OFFSET($P169,0,AY$13),15-13*ORÇAMENTO!$AF$7)/$H169*OFFSET(ORÇAMENTO!$X$15,ROW(AY169)-ROW(AY$15),0),
              ROUND(ROUND(OFFSET($P169,0,AY$13),15-13*ORÇAMENTO!$AF$7)*OFFSET(ORÇAMENTO!$W$15,ROW(AY169)-ROW(AY$15),0),15-13*ORÇAMENTO!$AF$11)),
         0)</f>
        <v>0</v>
      </c>
      <c r="AZ169" s="452">
        <f ca="1">IF(AND($D169="Serviço",AZ$12&lt;&gt;0,$H169&gt;0,OR(AUTOEVENTO&lt;&gt;"manual",$M169&lt;&gt;$A$15)),
        IF(Import.TipoArredondamento&lt;&gt;"TransfereGOV",
              ROUND(OFFSET($P169,0,AZ$13),15-13*ORÇAMENTO!$AF$7)/$H169*OFFSET(ORÇAMENTO!$X$15,ROW(AZ169)-ROW(AZ$15),0),
              ROUND(ROUND(OFFSET($P169,0,AZ$13),15-13*ORÇAMENTO!$AF$7)*OFFSET(ORÇAMENTO!$W$15,ROW(AZ169)-ROW(AZ$15),0),15-13*ORÇAMENTO!$AF$11)),
         0)</f>
        <v>0</v>
      </c>
      <c r="BA169" s="452">
        <f ca="1">IF(AND($D169="Serviço",BA$12&lt;&gt;0,$H169&gt;0,OR(AUTOEVENTO&lt;&gt;"manual",$M169&lt;&gt;$A$15)),
        IF(Import.TipoArredondamento&lt;&gt;"TransfereGOV",
              ROUND(OFFSET($P169,0,BA$13),15-13*ORÇAMENTO!$AF$7)/$H169*OFFSET(ORÇAMENTO!$X$15,ROW(BA169)-ROW(BA$15),0),
              ROUND(ROUND(OFFSET($P169,0,BA$13),15-13*ORÇAMENTO!$AF$7)*OFFSET(ORÇAMENTO!$W$15,ROW(BA169)-ROW(BA$15),0),15-13*ORÇAMENTO!$AF$11)),
         0)</f>
        <v>0</v>
      </c>
      <c r="BC169" s="171">
        <f ca="1">IF(OR($D169&lt;&gt;"Serviço",AND(AUTOEVENTO="Manual",$M169=$A$15)),0,
         IF(OFFSET(CRONOPLE!$F$15,$M169-$A$15,BC$13)=0,10^12,OFFSET(CRONOPLE!$F$15,$M169-$A$15,BC$13)))</f>
        <v>0</v>
      </c>
      <c r="BD169" s="171">
        <f ca="1">IF(OR($D169&lt;&gt;"Serviço",AND(AUTOEVENTO="Manual",$M169=$A$15)),0,
         IF(OFFSET(CRONOPLE!$F$15,$M169-$A$15,BD$13)=0,10^12,OFFSET(CRONOPLE!$F$15,$M169-$A$15,BD$13)))</f>
        <v>0</v>
      </c>
      <c r="BE169" s="171">
        <f ca="1">IF(OR($D169&lt;&gt;"Serviço",AND(AUTOEVENTO="Manual",$M169=$A$15)),0,
         IF(OFFSET(CRONOPLE!$F$15,$M169-$A$15,BE$13)=0,10^12,OFFSET(CRONOPLE!$F$15,$M169-$A$15,BE$13)))</f>
        <v>0</v>
      </c>
      <c r="BF169" s="171">
        <f ca="1">IF(OR($D169&lt;&gt;"Serviço",AND(AUTOEVENTO="Manual",$M169=$A$15)),0,
         IF(OFFSET(CRONOPLE!$F$15,$M169-$A$15,BF$13)=0,10^12,OFFSET(CRONOPLE!$F$15,$M169-$A$15,BF$13)))</f>
        <v>0</v>
      </c>
      <c r="BG169" s="171">
        <f ca="1">IF(OR($D169&lt;&gt;"Serviço",AND(AUTOEVENTO="Manual",$M169=$A$15)),0,
         IF(OFFSET(CRONOPLE!$F$15,$M169-$A$15,BG$13)=0,10^12,OFFSET(CRONOPLE!$F$15,$M169-$A$15,BG$13)))</f>
        <v>0</v>
      </c>
      <c r="BH169" s="171">
        <f ca="1">IF(OR($D169&lt;&gt;"Serviço",AND(AUTOEVENTO="Manual",$M169=$A$15)),0,
         IF(OFFSET(CRONOPLE!$F$15,$M169-$A$15,BH$13)=0,10^12,OFFSET(CRONOPLE!$F$15,$M169-$A$15,BH$13)))</f>
        <v>0</v>
      </c>
      <c r="BI169" s="171">
        <f ca="1">IF(OR($D169&lt;&gt;"Serviço",AND(AUTOEVENTO="Manual",$M169=$A$15)),0,
         IF(OFFSET(CRONOPLE!$F$15,$M169-$A$15,BI$13)=0,10^12,OFFSET(CRONOPLE!$F$15,$M169-$A$15,BI$13)))</f>
        <v>0</v>
      </c>
      <c r="BJ169" s="171">
        <f ca="1">IF(OR($D169&lt;&gt;"Serviço",AND(AUTOEVENTO="Manual",$M169=$A$15)),0,
         IF(OFFSET(CRONOPLE!$F$15,$M169-$A$15,BJ$13)=0,10^12,OFFSET(CRONOPLE!$F$15,$M169-$A$15,BJ$13)))</f>
        <v>0</v>
      </c>
      <c r="BK169" s="171">
        <f ca="1">IF(OR($D169&lt;&gt;"Serviço",AND(AUTOEVENTO="Manual",$M169=$A$15)),0,
         IF(OFFSET(CRONOPLE!$F$15,$M169-$A$15,BK$13)=0,10^12,OFFSET(CRONOPLE!$F$15,$M169-$A$15,BK$13)))</f>
        <v>0</v>
      </c>
      <c r="BL169" s="171">
        <f ca="1">IF(OR($D169&lt;&gt;"Serviço",AND(AUTOEVENTO="Manual",$M169=$A$15)),0,
         IF(OFFSET(CRONOPLE!$F$15,$M169-$A$15,BL$13)=0,10^12,OFFSET(CRONOPLE!$F$15,$M169-$A$15,BL$13)))</f>
        <v>0</v>
      </c>
      <c r="BM169" s="171">
        <f ca="1">IF(OR($D169&lt;&gt;"Serviço",AND(AUTOEVENTO="Manual",$M169=$A$15)),0,
         IF(OFFSET(CRONOPLE!$F$15,$M169-$A$15,BM$13)=0,10^12,OFFSET(CRONOPLE!$F$15,$M169-$A$15,BM$13)))</f>
        <v>0</v>
      </c>
      <c r="BN169" s="171">
        <f ca="1">IF(OR($D169&lt;&gt;"Serviço",AND(AUTOEVENTO="Manual",$M169=$A$15)),0,
         IF(OFFSET(CRONOPLE!$F$15,$M169-$A$15,BN$13)=0,10^12,OFFSET(CRONOPLE!$F$15,$M169-$A$15,BN$13)))</f>
        <v>0</v>
      </c>
      <c r="BO169" s="171">
        <f ca="1">IF(OR($D169&lt;&gt;"Serviço",AND(AUTOEVENTO="Manual",$M169=$A$15)),0,
         IF(OFFSET(CRONOPLE!$F$15,$M169-$A$15,BO$13)=0,10^12,OFFSET(CRONOPLE!$F$15,$M169-$A$15,BO$13)))</f>
        <v>0</v>
      </c>
      <c r="BP169" s="171">
        <f ca="1">IF(OR($D169&lt;&gt;"Serviço",AND(AUTOEVENTO="Manual",$M169=$A$15)),0,
         IF(OFFSET(CRONOPLE!$F$15,$M169-$A$15,BP$13)=0,10^12,OFFSET(CRONOPLE!$F$15,$M169-$A$15,BP$13)))</f>
        <v>0</v>
      </c>
      <c r="BQ169" s="171">
        <f ca="1">IF(OR($D169&lt;&gt;"Serviço",AND(AUTOEVENTO="Manual",$M169=$A$15)),0,
         IF(OFFSET(CRONOPLE!$F$15,$M169-$A$15,BQ$13)=0,10^12,OFFSET(CRONOPLE!$F$15,$M169-$A$15,BQ$13)))</f>
        <v>0</v>
      </c>
      <c r="BR169" s="171">
        <f ca="1">IF(OR($D169&lt;&gt;"Serviço",AND(AUTOEVENTO="Manual",$M169=$A$15)),0,
         IF(OFFSET(CRONOPLE!$F$15,$M169-$A$15,BR$13)=0,10^12,OFFSET(CRONOPLE!$F$15,$M169-$A$15,BR$13)))</f>
        <v>0</v>
      </c>
      <c r="BS169" s="171">
        <f ca="1">IF(OR($D169&lt;&gt;"Serviço",AND(AUTOEVENTO="Manual",$M169=$A$15)),0,
         IF(OFFSET(CRONOPLE!$F$15,$M169-$A$15,BS$13)=0,10^12,OFFSET(CRONOPLE!$F$15,$M169-$A$15,BS$13)))</f>
        <v>0</v>
      </c>
      <c r="BT169" s="171">
        <f ca="1">IF(OR($D169&lt;&gt;"Serviço",AND(AUTOEVENTO="Manual",$M169=$A$15)),0,
         IF(OFFSET(CRONOPLE!$F$15,$M169-$A$15,BT$13)=0,10^12,OFFSET(CRONOPLE!$F$15,$M169-$A$15,BT$13)))</f>
        <v>0</v>
      </c>
      <c r="BV169" s="172">
        <f t="array" aca="1" ref="BV169" ca="1">IF(OR($D169&lt;&gt;"Serviço",AND(AUTOEVENTO="Manual",$M169=$A$15),$M169&gt;(ROW(PLE.lastrow)-ROW(PLE.firstrow))),0,
           IF(OFFSET(PLE!$G$15,$M169-$A$15,BV$13)="",10^12,OFFSET(PLE!$G$15,$M169-$A$15,BV$13)))</f>
        <v>0</v>
      </c>
      <c r="BW169" s="172">
        <f t="array" aca="1" ref="BW169" ca="1">IF(OR($D169&lt;&gt;"Serviço",AND(AUTOEVENTO="Manual",$M169=$A$15),$M169&gt;(ROW(PLE.lastrow)-ROW(PLE.firstrow))),0,
           IF(OFFSET(PLE!$G$15,$M169-$A$15,BW$13)="",10^12,OFFSET(PLE!$G$15,$M169-$A$15,BW$13)))</f>
        <v>0</v>
      </c>
      <c r="BX169" s="172">
        <f t="array" aca="1" ref="BX169" ca="1">IF(OR($D169&lt;&gt;"Serviço",AND(AUTOEVENTO="Manual",$M169=$A$15),$M169&gt;(ROW(PLE.lastrow)-ROW(PLE.firstrow))),0,
           IF(OFFSET(PLE!$G$15,$M169-$A$15,BX$13)="",10^12,OFFSET(PLE!$G$15,$M169-$A$15,BX$13)))</f>
        <v>0</v>
      </c>
      <c r="BY169" s="172">
        <f t="array" aca="1" ref="BY169" ca="1">IF(OR($D169&lt;&gt;"Serviço",AND(AUTOEVENTO="Manual",$M169=$A$15),$M169&gt;(ROW(PLE.lastrow)-ROW(PLE.firstrow))),0,
           IF(OFFSET(PLE!$G$15,$M169-$A$15,BY$13)="",10^12,OFFSET(PLE!$G$15,$M169-$A$15,BY$13)))</f>
        <v>0</v>
      </c>
      <c r="BZ169" s="172">
        <f t="array" aca="1" ref="BZ169" ca="1">IF(OR($D169&lt;&gt;"Serviço",AND(AUTOEVENTO="Manual",$M169=$A$15),$M169&gt;(ROW(PLE.lastrow)-ROW(PLE.firstrow))),0,
           IF(OFFSET(PLE!$G$15,$M169-$A$15,BZ$13)="",10^12,OFFSET(PLE!$G$15,$M169-$A$15,BZ$13)))</f>
        <v>0</v>
      </c>
      <c r="CA169" s="172">
        <f t="array" aca="1" ref="CA169" ca="1">IF(OR($D169&lt;&gt;"Serviço",AND(AUTOEVENTO="Manual",$M169=$A$15),$M169&gt;(ROW(PLE.lastrow)-ROW(PLE.firstrow))),0,
           IF(OFFSET(PLE!$G$15,$M169-$A$15,CA$13)="",10^12,OFFSET(PLE!$G$15,$M169-$A$15,CA$13)))</f>
        <v>0</v>
      </c>
      <c r="CB169" s="172">
        <f t="array" aca="1" ref="CB169" ca="1">IF(OR($D169&lt;&gt;"Serviço",AND(AUTOEVENTO="Manual",$M169=$A$15),$M169&gt;(ROW(PLE.lastrow)-ROW(PLE.firstrow))),0,
           IF(OFFSET(PLE!$G$15,$M169-$A$15,CB$13)="",10^12,OFFSET(PLE!$G$15,$M169-$A$15,CB$13)))</f>
        <v>0</v>
      </c>
      <c r="CC169" s="172">
        <f t="array" aca="1" ref="CC169" ca="1">IF(OR($D169&lt;&gt;"Serviço",AND(AUTOEVENTO="Manual",$M169=$A$15),$M169&gt;(ROW(PLE.lastrow)-ROW(PLE.firstrow))),0,
           IF(OFFSET(PLE!$G$15,$M169-$A$15,CC$13)="",10^12,OFFSET(PLE!$G$15,$M169-$A$15,CC$13)))</f>
        <v>0</v>
      </c>
      <c r="CD169" s="172">
        <f t="array" aca="1" ref="CD169" ca="1">IF(OR($D169&lt;&gt;"Serviço",AND(AUTOEVENTO="Manual",$M169=$A$15),$M169&gt;(ROW(PLE.lastrow)-ROW(PLE.firstrow))),0,
           IF(OFFSET(PLE!$G$15,$M169-$A$15,CD$13)="",10^12,OFFSET(PLE!$G$15,$M169-$A$15,CD$13)))</f>
        <v>0</v>
      </c>
      <c r="CE169" s="172">
        <f t="array" aca="1" ref="CE169" ca="1">IF(OR($D169&lt;&gt;"Serviço",AND(AUTOEVENTO="Manual",$M169=$A$15),$M169&gt;(ROW(PLE.lastrow)-ROW(PLE.firstrow))),0,
           IF(OFFSET(PLE!$G$15,$M169-$A$15,CE$13)="",10^12,OFFSET(PLE!$G$15,$M169-$A$15,CE$13)))</f>
        <v>0</v>
      </c>
      <c r="CF169" s="172">
        <f t="array" aca="1" ref="CF169" ca="1">IF(OR($D169&lt;&gt;"Serviço",AND(AUTOEVENTO="Manual",$M169=$A$15),$M169&gt;(ROW(PLE.lastrow)-ROW(PLE.firstrow))),0,
           IF(OFFSET(PLE!$G$15,$M169-$A$15,CF$13)="",10^12,OFFSET(PLE!$G$15,$M169-$A$15,CF$13)))</f>
        <v>0</v>
      </c>
      <c r="CG169" s="172">
        <f t="array" aca="1" ref="CG169" ca="1">IF(OR($D169&lt;&gt;"Serviço",AND(AUTOEVENTO="Manual",$M169=$A$15),$M169&gt;(ROW(PLE.lastrow)-ROW(PLE.firstrow))),0,
           IF(OFFSET(PLE!$G$15,$M169-$A$15,CG$13)="",10^12,OFFSET(PLE!$G$15,$M169-$A$15,CG$13)))</f>
        <v>0</v>
      </c>
      <c r="CH169" s="172">
        <f t="array" aca="1" ref="CH169" ca="1">IF(OR($D169&lt;&gt;"Serviço",AND(AUTOEVENTO="Manual",$M169=$A$15),$M169&gt;(ROW(PLE.lastrow)-ROW(PLE.firstrow))),0,
           IF(OFFSET(PLE!$G$15,$M169-$A$15,CH$13)="",10^12,OFFSET(PLE!$G$15,$M169-$A$15,CH$13)))</f>
        <v>0</v>
      </c>
      <c r="CI169" s="172">
        <f t="array" aca="1" ref="CI169" ca="1">IF(OR($D169&lt;&gt;"Serviço",AND(AUTOEVENTO="Manual",$M169=$A$15),$M169&gt;(ROW(PLE.lastrow)-ROW(PLE.firstrow))),0,
           IF(OFFSET(PLE!$G$15,$M169-$A$15,CI$13)="",10^12,OFFSET(PLE!$G$15,$M169-$A$15,CI$13)))</f>
        <v>0</v>
      </c>
      <c r="CJ169" s="172">
        <f t="array" aca="1" ref="CJ169" ca="1">IF(OR($D169&lt;&gt;"Serviço",AND(AUTOEVENTO="Manual",$M169=$A$15),$M169&gt;(ROW(PLE.lastrow)-ROW(PLE.firstrow))),0,
           IF(OFFSET(PLE!$G$15,$M169-$A$15,CJ$13)="",10^12,OFFSET(PLE!$G$15,$M169-$A$15,CJ$13)))</f>
        <v>0</v>
      </c>
      <c r="CK169" s="172">
        <f t="array" aca="1" ref="CK169" ca="1">IF(OR($D169&lt;&gt;"Serviço",AND(AUTOEVENTO="Manual",$M169=$A$15),$M169&gt;(ROW(PLE.lastrow)-ROW(PLE.firstrow))),0,
           IF(OFFSET(PLE!$G$15,$M169-$A$15,CK$13)="",10^12,OFFSET(PLE!$G$15,$M169-$A$15,CK$13)))</f>
        <v>0</v>
      </c>
      <c r="CL169" s="172">
        <f t="array" aca="1" ref="CL169" ca="1">IF(OR($D169&lt;&gt;"Serviço",AND(AUTOEVENTO="Manual",$M169=$A$15),$M169&gt;(ROW(PLE.lastrow)-ROW(PLE.firstrow))),0,
           IF(OFFSET(PLE!$G$15,$M169-$A$15,CL$13)="",10^12,OFFSET(PLE!$G$15,$M169-$A$15,CL$13)))</f>
        <v>0</v>
      </c>
      <c r="CM169" s="172">
        <f t="array" aca="1" ref="CM169" ca="1">IF(OR($D169&lt;&gt;"Serviço",AND(AUTOEVENTO="Manual",$M169=$A$15),$M169&gt;(ROW(PLE.lastrow)-ROW(PLE.firstrow))),0,
           IF(OFFSET(PLE!$G$15,$M169-$A$15,CM$13)="",10^12,OFFSET(PLE!$G$15,$M169-$A$15,CM$13)))</f>
        <v>0</v>
      </c>
    </row>
    <row r="170" spans="1:91" s="696" customFormat="1" ht="51" x14ac:dyDescent="0.2">
      <c r="A170" s="694">
        <f t="shared" ca="1" si="82"/>
        <v>38</v>
      </c>
      <c r="B170" s="694" t="str">
        <f ca="1">OFFSET(ORÇAMENTO!C$15,$L170,0)</f>
        <v>S</v>
      </c>
      <c r="C170" s="694" t="str">
        <f ca="1">OFFSET(ORÇAMENTO!L$15,$L170,0)</f>
        <v>F</v>
      </c>
      <c r="D170" s="116" t="str">
        <f ca="1">OFFSET(ORÇAMENTO!N$15,$L170,0)</f>
        <v>Serviço</v>
      </c>
      <c r="E170" s="117" t="str">
        <f ca="1">OFFSET(ORÇAMENTO!O$15,$L170,0)</f>
        <v>1.27.1.</v>
      </c>
      <c r="F170" s="163" t="str">
        <f ca="1">OFFSET(ORÇAMENTO!R$15,$L170,0)</f>
        <v>REGISTRO DE PRESSÃO BRUTO, LATÃO, ROSCÁVEL, 3/4", COM ACABAMENTO E CANOPLA CROMADOS - FORNECIMENTO E INSTALAÇÃO. AF_08/2021</v>
      </c>
      <c r="G170" s="164" t="str">
        <f ca="1">IF($D170&lt;&gt;"Serviço","",OFFSET(ORÇAMENTO!S$15,$L170,0))</f>
        <v>UN</v>
      </c>
      <c r="H170" s="122">
        <f t="array" aca="1" ref="H170" ca="1">IF($D170&lt;&gt;"Serviço",0,IF(ACOMPANHAMENTO="BM",ROUND(OFFSET(ORÇAMENTO!AJ$15,$L170,0),15-13*ORÇAMENTO!$AF$7),IF(IFERROR(CÁLCULO.FrentesPreenchidas,0)=0,0,SUM(ROUND(OFFSET($P170,0,1,1,CÁLCULO.FrentesPreenchidas),15-13*ORÇAMENTO!$AF$7)))))</f>
        <v>20</v>
      </c>
      <c r="I170" s="467" t="s">
        <v>1316</v>
      </c>
      <c r="J170" s="653" t="str">
        <f t="array" aca="1" ref="J170" ca="1">IF(OR(B170&lt;&gt;"S",CÁLCULO.FrentesPreenchidas=0),"",IF(AND(ACOMPANHAMENTO="PLE",AUTOEVENTO="Manual",OR(H170&gt;0,ORÇAMENTO!AC170="QUANT."),OR(K170="",M170=0,N170="")),"►E",IF(AND(ACOMPANHAMENTO="PLE",ORÇAMENTO!AC170="QUANT."),"►Q",IF(AND(ACOMPANHAMENTO="PLE",H170&lt;&gt;SUMPRODUCT(($Q$1:$AI$1=1)*ROUND(Q170:AI170,15))),"►S",IF(AND(COUNTIF($P$11:$AI$11,"▼")=0,H170&gt;0,I170=""),"◄M","")))))</f>
        <v/>
      </c>
      <c r="K170" s="654" t="s">
        <v>1445</v>
      </c>
      <c r="L170" s="165">
        <f t="shared" ca="1" si="83"/>
        <v>155</v>
      </c>
      <c r="M170" s="166">
        <f ca="1">IF($D170&lt;&gt;"Serviço","",
          IF(AUTOEVENTO="manual",$A170,
                IF(ISERROR(MATCH($A170,$A$15:OFFSET($A170,-1,0),0)),MAX($M$15:OFFSET(M170,-1,0))+1,
                      INDEX($M$15:OFFSET(M170,-1,0),MATCH($A170,$A$15:OFFSET($A170,-1,0),0)))))</f>
        <v>38</v>
      </c>
      <c r="N170" s="167" t="str">
        <f ca="1">IF($D170&lt;&gt;"Serviço","",
         IF(AUTOEVENTO="Manual",
                IF($A170=0,"&lt;-- defina o número do agrupador",
                       OFFSET(EVENTOS!$D$15,$A170-$A$15,0)),
                OFFSET($F$15,$A170,0)))</f>
        <v>HIDRÁULICA EMBUTIDA EM PAREDE</v>
      </c>
      <c r="O170" s="168"/>
      <c r="Q170" s="169">
        <v>5</v>
      </c>
      <c r="R170" s="169">
        <v>5</v>
      </c>
      <c r="S170" s="169">
        <v>5</v>
      </c>
      <c r="T170" s="169">
        <v>5</v>
      </c>
      <c r="U170" s="169"/>
      <c r="V170" s="169"/>
      <c r="W170" s="169"/>
      <c r="X170" s="169"/>
      <c r="Y170" s="169"/>
      <c r="Z170" s="170"/>
      <c r="AA170" s="169"/>
      <c r="AB170" s="169"/>
      <c r="AC170" s="169"/>
      <c r="AD170" s="169"/>
      <c r="AE170" s="169"/>
      <c r="AF170" s="169"/>
      <c r="AG170" s="169"/>
      <c r="AH170" s="170"/>
      <c r="AJ170" s="452">
        <f ca="1">IF(AND($D170="Serviço",AJ$12&lt;&gt;0,$H170&gt;0,OR(AUTOEVENTO&lt;&gt;"manual",$M170&lt;&gt;$A$15)),
        IF(Import.TipoArredondamento&lt;&gt;"TransfereGOV",
              ROUND(OFFSET($P170,0,AJ$13),15-13*ORÇAMENTO!$AF$7)/$H170*OFFSET(ORÇAMENTO!$X$15,ROW(AJ170)-ROW(AJ$15),0),
              ROUND(ROUND(OFFSET($P170,0,AJ$13),15-13*ORÇAMENTO!$AF$7)*OFFSET(ORÇAMENTO!$W$15,ROW(AJ170)-ROW(AJ$15),0),15-13*ORÇAMENTO!$AF$11)),
         0)</f>
        <v>803.1</v>
      </c>
      <c r="AK170" s="452">
        <f ca="1">IF(AND($D170="Serviço",AK$12&lt;&gt;0,$H170&gt;0,OR(AUTOEVENTO&lt;&gt;"manual",$M170&lt;&gt;$A$15)),
        IF(Import.TipoArredondamento&lt;&gt;"TransfereGOV",
              ROUND(OFFSET($P170,0,AK$13),15-13*ORÇAMENTO!$AF$7)/$H170*OFFSET(ORÇAMENTO!$X$15,ROW(AK170)-ROW(AK$15),0),
              ROUND(ROUND(OFFSET($P170,0,AK$13),15-13*ORÇAMENTO!$AF$7)*OFFSET(ORÇAMENTO!$W$15,ROW(AK170)-ROW(AK$15),0),15-13*ORÇAMENTO!$AF$11)),
         0)</f>
        <v>803.1</v>
      </c>
      <c r="AL170" s="452">
        <f ca="1">IF(AND($D170="Serviço",AL$12&lt;&gt;0,$H170&gt;0,OR(AUTOEVENTO&lt;&gt;"manual",$M170&lt;&gt;$A$15)),
        IF(Import.TipoArredondamento&lt;&gt;"TransfereGOV",
              ROUND(OFFSET($P170,0,AL$13),15-13*ORÇAMENTO!$AF$7)/$H170*OFFSET(ORÇAMENTO!$X$15,ROW(AL170)-ROW(AL$15),0),
              ROUND(ROUND(OFFSET($P170,0,AL$13),15-13*ORÇAMENTO!$AF$7)*OFFSET(ORÇAMENTO!$W$15,ROW(AL170)-ROW(AL$15),0),15-13*ORÇAMENTO!$AF$11)),
         0)</f>
        <v>803.1</v>
      </c>
      <c r="AM170" s="452">
        <f ca="1">IF(AND($D170="Serviço",AM$12&lt;&gt;0,$H170&gt;0,OR(AUTOEVENTO&lt;&gt;"manual",$M170&lt;&gt;$A$15)),
        IF(Import.TipoArredondamento&lt;&gt;"TransfereGOV",
              ROUND(OFFSET($P170,0,AM$13),15-13*ORÇAMENTO!$AF$7)/$H170*OFFSET(ORÇAMENTO!$X$15,ROW(AM170)-ROW(AM$15),0),
              ROUND(ROUND(OFFSET($P170,0,AM$13),15-13*ORÇAMENTO!$AF$7)*OFFSET(ORÇAMENTO!$W$15,ROW(AM170)-ROW(AM$15),0),15-13*ORÇAMENTO!$AF$11)),
         0)</f>
        <v>803.1</v>
      </c>
      <c r="AN170" s="452">
        <f ca="1">IF(AND($D170="Serviço",AN$12&lt;&gt;0,$H170&gt;0,OR(AUTOEVENTO&lt;&gt;"manual",$M170&lt;&gt;$A$15)),
        IF(Import.TipoArredondamento&lt;&gt;"TransfereGOV",
              ROUND(OFFSET($P170,0,AN$13),15-13*ORÇAMENTO!$AF$7)/$H170*OFFSET(ORÇAMENTO!$X$15,ROW(AN170)-ROW(AN$15),0),
              ROUND(ROUND(OFFSET($P170,0,AN$13),15-13*ORÇAMENTO!$AF$7)*OFFSET(ORÇAMENTO!$W$15,ROW(AN170)-ROW(AN$15),0),15-13*ORÇAMENTO!$AF$11)),
         0)</f>
        <v>0</v>
      </c>
      <c r="AO170" s="452">
        <f ca="1">IF(AND($D170="Serviço",AO$12&lt;&gt;0,$H170&gt;0,OR(AUTOEVENTO&lt;&gt;"manual",$M170&lt;&gt;$A$15)),
        IF(Import.TipoArredondamento&lt;&gt;"TransfereGOV",
              ROUND(OFFSET($P170,0,AO$13),15-13*ORÇAMENTO!$AF$7)/$H170*OFFSET(ORÇAMENTO!$X$15,ROW(AO170)-ROW(AO$15),0),
              ROUND(ROUND(OFFSET($P170,0,AO$13),15-13*ORÇAMENTO!$AF$7)*OFFSET(ORÇAMENTO!$W$15,ROW(AO170)-ROW(AO$15),0),15-13*ORÇAMENTO!$AF$11)),
         0)</f>
        <v>0</v>
      </c>
      <c r="AP170" s="452">
        <f ca="1">IF(AND($D170="Serviço",AP$12&lt;&gt;0,$H170&gt;0,OR(AUTOEVENTO&lt;&gt;"manual",$M170&lt;&gt;$A$15)),
        IF(Import.TipoArredondamento&lt;&gt;"TransfereGOV",
              ROUND(OFFSET($P170,0,AP$13),15-13*ORÇAMENTO!$AF$7)/$H170*OFFSET(ORÇAMENTO!$X$15,ROW(AP170)-ROW(AP$15),0),
              ROUND(ROUND(OFFSET($P170,0,AP$13),15-13*ORÇAMENTO!$AF$7)*OFFSET(ORÇAMENTO!$W$15,ROW(AP170)-ROW(AP$15),0),15-13*ORÇAMENTO!$AF$11)),
         0)</f>
        <v>0</v>
      </c>
      <c r="AQ170" s="452">
        <f ca="1">IF(AND($D170="Serviço",AQ$12&lt;&gt;0,$H170&gt;0,OR(AUTOEVENTO&lt;&gt;"manual",$M170&lt;&gt;$A$15)),
        IF(Import.TipoArredondamento&lt;&gt;"TransfereGOV",
              ROUND(OFFSET($P170,0,AQ$13),15-13*ORÇAMENTO!$AF$7)/$H170*OFFSET(ORÇAMENTO!$X$15,ROW(AQ170)-ROW(AQ$15),0),
              ROUND(ROUND(OFFSET($P170,0,AQ$13),15-13*ORÇAMENTO!$AF$7)*OFFSET(ORÇAMENTO!$W$15,ROW(AQ170)-ROW(AQ$15),0),15-13*ORÇAMENTO!$AF$11)),
         0)</f>
        <v>0</v>
      </c>
      <c r="AR170" s="452">
        <f ca="1">IF(AND($D170="Serviço",AR$12&lt;&gt;0,$H170&gt;0,OR(AUTOEVENTO&lt;&gt;"manual",$M170&lt;&gt;$A$15)),
        IF(Import.TipoArredondamento&lt;&gt;"TransfereGOV",
              ROUND(OFFSET($P170,0,AR$13),15-13*ORÇAMENTO!$AF$7)/$H170*OFFSET(ORÇAMENTO!$X$15,ROW(AR170)-ROW(AR$15),0),
              ROUND(ROUND(OFFSET($P170,0,AR$13),15-13*ORÇAMENTO!$AF$7)*OFFSET(ORÇAMENTO!$W$15,ROW(AR170)-ROW(AR$15),0),15-13*ORÇAMENTO!$AF$11)),
         0)</f>
        <v>0</v>
      </c>
      <c r="AS170" s="452">
        <f ca="1">IF(AND($D170="Serviço",AS$12&lt;&gt;0,$H170&gt;0,OR(AUTOEVENTO&lt;&gt;"manual",$M170&lt;&gt;$A$15)),
        IF(Import.TipoArredondamento&lt;&gt;"TransfereGOV",
              ROUND(OFFSET($P170,0,AS$13),15-13*ORÇAMENTO!$AF$7)/$H170*OFFSET(ORÇAMENTO!$X$15,ROW(AS170)-ROW(AS$15),0),
              ROUND(ROUND(OFFSET($P170,0,AS$13),15-13*ORÇAMENTO!$AF$7)*OFFSET(ORÇAMENTO!$W$15,ROW(AS170)-ROW(AS$15),0),15-13*ORÇAMENTO!$AF$11)),
         0)</f>
        <v>0</v>
      </c>
      <c r="AT170" s="452">
        <f ca="1">IF(AND($D170="Serviço",AT$12&lt;&gt;0,$H170&gt;0,OR(AUTOEVENTO&lt;&gt;"manual",$M170&lt;&gt;$A$15)),
        IF(Import.TipoArredondamento&lt;&gt;"TransfereGOV",
              ROUND(OFFSET($P170,0,AT$13),15-13*ORÇAMENTO!$AF$7)/$H170*OFFSET(ORÇAMENTO!$X$15,ROW(AT170)-ROW(AT$15),0),
              ROUND(ROUND(OFFSET($P170,0,AT$13),15-13*ORÇAMENTO!$AF$7)*OFFSET(ORÇAMENTO!$W$15,ROW(AT170)-ROW(AT$15),0),15-13*ORÇAMENTO!$AF$11)),
         0)</f>
        <v>0</v>
      </c>
      <c r="AU170" s="452">
        <f ca="1">IF(AND($D170="Serviço",AU$12&lt;&gt;0,$H170&gt;0,OR(AUTOEVENTO&lt;&gt;"manual",$M170&lt;&gt;$A$15)),
        IF(Import.TipoArredondamento&lt;&gt;"TransfereGOV",
              ROUND(OFFSET($P170,0,AU$13),15-13*ORÇAMENTO!$AF$7)/$H170*OFFSET(ORÇAMENTO!$X$15,ROW(AU170)-ROW(AU$15),0),
              ROUND(ROUND(OFFSET($P170,0,AU$13),15-13*ORÇAMENTO!$AF$7)*OFFSET(ORÇAMENTO!$W$15,ROW(AU170)-ROW(AU$15),0),15-13*ORÇAMENTO!$AF$11)),
         0)</f>
        <v>0</v>
      </c>
      <c r="AV170" s="452">
        <f ca="1">IF(AND($D170="Serviço",AV$12&lt;&gt;0,$H170&gt;0,OR(AUTOEVENTO&lt;&gt;"manual",$M170&lt;&gt;$A$15)),
        IF(Import.TipoArredondamento&lt;&gt;"TransfereGOV",
              ROUND(OFFSET($P170,0,AV$13),15-13*ORÇAMENTO!$AF$7)/$H170*OFFSET(ORÇAMENTO!$X$15,ROW(AV170)-ROW(AV$15),0),
              ROUND(ROUND(OFFSET($P170,0,AV$13),15-13*ORÇAMENTO!$AF$7)*OFFSET(ORÇAMENTO!$W$15,ROW(AV170)-ROW(AV$15),0),15-13*ORÇAMENTO!$AF$11)),
         0)</f>
        <v>0</v>
      </c>
      <c r="AW170" s="452">
        <f ca="1">IF(AND($D170="Serviço",AW$12&lt;&gt;0,$H170&gt;0,OR(AUTOEVENTO&lt;&gt;"manual",$M170&lt;&gt;$A$15)),
        IF(Import.TipoArredondamento&lt;&gt;"TransfereGOV",
              ROUND(OFFSET($P170,0,AW$13),15-13*ORÇAMENTO!$AF$7)/$H170*OFFSET(ORÇAMENTO!$X$15,ROW(AW170)-ROW(AW$15),0),
              ROUND(ROUND(OFFSET($P170,0,AW$13),15-13*ORÇAMENTO!$AF$7)*OFFSET(ORÇAMENTO!$W$15,ROW(AW170)-ROW(AW$15),0),15-13*ORÇAMENTO!$AF$11)),
         0)</f>
        <v>0</v>
      </c>
      <c r="AX170" s="452">
        <f ca="1">IF(AND($D170="Serviço",AX$12&lt;&gt;0,$H170&gt;0,OR(AUTOEVENTO&lt;&gt;"manual",$M170&lt;&gt;$A$15)),
        IF(Import.TipoArredondamento&lt;&gt;"TransfereGOV",
              ROUND(OFFSET($P170,0,AX$13),15-13*ORÇAMENTO!$AF$7)/$H170*OFFSET(ORÇAMENTO!$X$15,ROW(AX170)-ROW(AX$15),0),
              ROUND(ROUND(OFFSET($P170,0,AX$13),15-13*ORÇAMENTO!$AF$7)*OFFSET(ORÇAMENTO!$W$15,ROW(AX170)-ROW(AX$15),0),15-13*ORÇAMENTO!$AF$11)),
         0)</f>
        <v>0</v>
      </c>
      <c r="AY170" s="452">
        <f ca="1">IF(AND($D170="Serviço",AY$12&lt;&gt;0,$H170&gt;0,OR(AUTOEVENTO&lt;&gt;"manual",$M170&lt;&gt;$A$15)),
        IF(Import.TipoArredondamento&lt;&gt;"TransfereGOV",
              ROUND(OFFSET($P170,0,AY$13),15-13*ORÇAMENTO!$AF$7)/$H170*OFFSET(ORÇAMENTO!$X$15,ROW(AY170)-ROW(AY$15),0),
              ROUND(ROUND(OFFSET($P170,0,AY$13),15-13*ORÇAMENTO!$AF$7)*OFFSET(ORÇAMENTO!$W$15,ROW(AY170)-ROW(AY$15),0),15-13*ORÇAMENTO!$AF$11)),
         0)</f>
        <v>0</v>
      </c>
      <c r="AZ170" s="452">
        <f ca="1">IF(AND($D170="Serviço",AZ$12&lt;&gt;0,$H170&gt;0,OR(AUTOEVENTO&lt;&gt;"manual",$M170&lt;&gt;$A$15)),
        IF(Import.TipoArredondamento&lt;&gt;"TransfereGOV",
              ROUND(OFFSET($P170,0,AZ$13),15-13*ORÇAMENTO!$AF$7)/$H170*OFFSET(ORÇAMENTO!$X$15,ROW(AZ170)-ROW(AZ$15),0),
              ROUND(ROUND(OFFSET($P170,0,AZ$13),15-13*ORÇAMENTO!$AF$7)*OFFSET(ORÇAMENTO!$W$15,ROW(AZ170)-ROW(AZ$15),0),15-13*ORÇAMENTO!$AF$11)),
         0)</f>
        <v>0</v>
      </c>
      <c r="BA170" s="452">
        <f ca="1">IF(AND($D170="Serviço",BA$12&lt;&gt;0,$H170&gt;0,OR(AUTOEVENTO&lt;&gt;"manual",$M170&lt;&gt;$A$15)),
        IF(Import.TipoArredondamento&lt;&gt;"TransfereGOV",
              ROUND(OFFSET($P170,0,BA$13),15-13*ORÇAMENTO!$AF$7)/$H170*OFFSET(ORÇAMENTO!$X$15,ROW(BA170)-ROW(BA$15),0),
              ROUND(ROUND(OFFSET($P170,0,BA$13),15-13*ORÇAMENTO!$AF$7)*OFFSET(ORÇAMENTO!$W$15,ROW(BA170)-ROW(BA$15),0),15-13*ORÇAMENTO!$AF$11)),
         0)</f>
        <v>0</v>
      </c>
      <c r="BC170" s="171">
        <f ca="1">IF(OR($D170&lt;&gt;"Serviço",AND(AUTOEVENTO="Manual",$M170=$A$15)),0,
         IF(OFFSET(CRONOPLE!$F$15,$M170-$A$15,BC$13)=0,10^12,OFFSET(CRONOPLE!$F$15,$M170-$A$15,BC$13)))</f>
        <v>5</v>
      </c>
      <c r="BD170" s="171">
        <f ca="1">IF(OR($D170&lt;&gt;"Serviço",AND(AUTOEVENTO="Manual",$M170=$A$15)),0,
         IF(OFFSET(CRONOPLE!$F$15,$M170-$A$15,BD$13)=0,10^12,OFFSET(CRONOPLE!$F$15,$M170-$A$15,BD$13)))</f>
        <v>5</v>
      </c>
      <c r="BE170" s="171">
        <f ca="1">IF(OR($D170&lt;&gt;"Serviço",AND(AUTOEVENTO="Manual",$M170=$A$15)),0,
         IF(OFFSET(CRONOPLE!$F$15,$M170-$A$15,BE$13)=0,10^12,OFFSET(CRONOPLE!$F$15,$M170-$A$15,BE$13)))</f>
        <v>6</v>
      </c>
      <c r="BF170" s="171">
        <f ca="1">IF(OR($D170&lt;&gt;"Serviço",AND(AUTOEVENTO="Manual",$M170=$A$15)),0,
         IF(OFFSET(CRONOPLE!$F$15,$M170-$A$15,BF$13)=0,10^12,OFFSET(CRONOPLE!$F$15,$M170-$A$15,BF$13)))</f>
        <v>6</v>
      </c>
      <c r="BG170" s="171">
        <f ca="1">IF(OR($D170&lt;&gt;"Serviço",AND(AUTOEVENTO="Manual",$M170=$A$15)),0,
         IF(OFFSET(CRONOPLE!$F$15,$M170-$A$15,BG$13)=0,10^12,OFFSET(CRONOPLE!$F$15,$M170-$A$15,BG$13)))</f>
        <v>6</v>
      </c>
      <c r="BH170" s="171">
        <f ca="1">IF(OR($D170&lt;&gt;"Serviço",AND(AUTOEVENTO="Manual",$M170=$A$15)),0,
         IF(OFFSET(CRONOPLE!$F$15,$M170-$A$15,BH$13)=0,10^12,OFFSET(CRONOPLE!$F$15,$M170-$A$15,BH$13)))</f>
        <v>1000000000000</v>
      </c>
      <c r="BI170" s="171">
        <f ca="1">IF(OR($D170&lt;&gt;"Serviço",AND(AUTOEVENTO="Manual",$M170=$A$15)),0,
         IF(OFFSET(CRONOPLE!$F$15,$M170-$A$15,BI$13)=0,10^12,OFFSET(CRONOPLE!$F$15,$M170-$A$15,BI$13)))</f>
        <v>1000000000000</v>
      </c>
      <c r="BJ170" s="171">
        <f ca="1">IF(OR($D170&lt;&gt;"Serviço",AND(AUTOEVENTO="Manual",$M170=$A$15)),0,
         IF(OFFSET(CRONOPLE!$F$15,$M170-$A$15,BJ$13)=0,10^12,OFFSET(CRONOPLE!$F$15,$M170-$A$15,BJ$13)))</f>
        <v>1000000000000</v>
      </c>
      <c r="BK170" s="171">
        <f ca="1">IF(OR($D170&lt;&gt;"Serviço",AND(AUTOEVENTO="Manual",$M170=$A$15)),0,
         IF(OFFSET(CRONOPLE!$F$15,$M170-$A$15,BK$13)=0,10^12,OFFSET(CRONOPLE!$F$15,$M170-$A$15,BK$13)))</f>
        <v>1000000000000</v>
      </c>
      <c r="BL170" s="171">
        <f ca="1">IF(OR($D170&lt;&gt;"Serviço",AND(AUTOEVENTO="Manual",$M170=$A$15)),0,
         IF(OFFSET(CRONOPLE!$F$15,$M170-$A$15,BL$13)=0,10^12,OFFSET(CRONOPLE!$F$15,$M170-$A$15,BL$13)))</f>
        <v>1000000000000</v>
      </c>
      <c r="BM170" s="171">
        <f ca="1">IF(OR($D170&lt;&gt;"Serviço",AND(AUTOEVENTO="Manual",$M170=$A$15)),0,
         IF(OFFSET(CRONOPLE!$F$15,$M170-$A$15,BM$13)=0,10^12,OFFSET(CRONOPLE!$F$15,$M170-$A$15,BM$13)))</f>
        <v>1000000000000</v>
      </c>
      <c r="BN170" s="171">
        <f ca="1">IF(OR($D170&lt;&gt;"Serviço",AND(AUTOEVENTO="Manual",$M170=$A$15)),0,
         IF(OFFSET(CRONOPLE!$F$15,$M170-$A$15,BN$13)=0,10^12,OFFSET(CRONOPLE!$F$15,$M170-$A$15,BN$13)))</f>
        <v>1000000000000</v>
      </c>
      <c r="BO170" s="171">
        <f ca="1">IF(OR($D170&lt;&gt;"Serviço",AND(AUTOEVENTO="Manual",$M170=$A$15)),0,
         IF(OFFSET(CRONOPLE!$F$15,$M170-$A$15,BO$13)=0,10^12,OFFSET(CRONOPLE!$F$15,$M170-$A$15,BO$13)))</f>
        <v>1000000000000</v>
      </c>
      <c r="BP170" s="171">
        <f ca="1">IF(OR($D170&lt;&gt;"Serviço",AND(AUTOEVENTO="Manual",$M170=$A$15)),0,
         IF(OFFSET(CRONOPLE!$F$15,$M170-$A$15,BP$13)=0,10^12,OFFSET(CRONOPLE!$F$15,$M170-$A$15,BP$13)))</f>
        <v>1000000000000</v>
      </c>
      <c r="BQ170" s="171">
        <f ca="1">IF(OR($D170&lt;&gt;"Serviço",AND(AUTOEVENTO="Manual",$M170=$A$15)),0,
         IF(OFFSET(CRONOPLE!$F$15,$M170-$A$15,BQ$13)=0,10^12,OFFSET(CRONOPLE!$F$15,$M170-$A$15,BQ$13)))</f>
        <v>1000000000000</v>
      </c>
      <c r="BR170" s="171">
        <f ca="1">IF(OR($D170&lt;&gt;"Serviço",AND(AUTOEVENTO="Manual",$M170=$A$15)),0,
         IF(OFFSET(CRONOPLE!$F$15,$M170-$A$15,BR$13)=0,10^12,OFFSET(CRONOPLE!$F$15,$M170-$A$15,BR$13)))</f>
        <v>1000000000000</v>
      </c>
      <c r="BS170" s="171">
        <f ca="1">IF(OR($D170&lt;&gt;"Serviço",AND(AUTOEVENTO="Manual",$M170=$A$15)),0,
         IF(OFFSET(CRONOPLE!$F$15,$M170-$A$15,BS$13)=0,10^12,OFFSET(CRONOPLE!$F$15,$M170-$A$15,BS$13)))</f>
        <v>1000000000000</v>
      </c>
      <c r="BT170" s="171">
        <f ca="1">IF(OR($D170&lt;&gt;"Serviço",AND(AUTOEVENTO="Manual",$M170=$A$15)),0,
         IF(OFFSET(CRONOPLE!$F$15,$M170-$A$15,BT$13)=0,10^12,OFFSET(CRONOPLE!$F$15,$M170-$A$15,BT$13)))</f>
        <v>1000000000000</v>
      </c>
      <c r="BV170" s="172">
        <f t="array" aca="1" ref="BV170" ca="1">IF(OR($D170&lt;&gt;"Serviço",AND(AUTOEVENTO="Manual",$M170=$A$15),$M170&gt;(ROW(PLE.lastrow)-ROW(PLE.firstrow))),0,
           IF(OFFSET(PLE!$G$15,$M170-$A$15,BV$13)="",10^12,OFFSET(PLE!$G$15,$M170-$A$15,BV$13)))</f>
        <v>1000000000000</v>
      </c>
      <c r="BW170" s="172">
        <f t="array" aca="1" ref="BW170" ca="1">IF(OR($D170&lt;&gt;"Serviço",AND(AUTOEVENTO="Manual",$M170=$A$15),$M170&gt;(ROW(PLE.lastrow)-ROW(PLE.firstrow))),0,
           IF(OFFSET(PLE!$G$15,$M170-$A$15,BW$13)="",10^12,OFFSET(PLE!$G$15,$M170-$A$15,BW$13)))</f>
        <v>1000000000000</v>
      </c>
      <c r="BX170" s="172">
        <f t="array" aca="1" ref="BX170" ca="1">IF(OR($D170&lt;&gt;"Serviço",AND(AUTOEVENTO="Manual",$M170=$A$15),$M170&gt;(ROW(PLE.lastrow)-ROW(PLE.firstrow))),0,
           IF(OFFSET(PLE!$G$15,$M170-$A$15,BX$13)="",10^12,OFFSET(PLE!$G$15,$M170-$A$15,BX$13)))</f>
        <v>1000000000000</v>
      </c>
      <c r="BY170" s="172">
        <f t="array" aca="1" ref="BY170" ca="1">IF(OR($D170&lt;&gt;"Serviço",AND(AUTOEVENTO="Manual",$M170=$A$15),$M170&gt;(ROW(PLE.lastrow)-ROW(PLE.firstrow))),0,
           IF(OFFSET(PLE!$G$15,$M170-$A$15,BY$13)="",10^12,OFFSET(PLE!$G$15,$M170-$A$15,BY$13)))</f>
        <v>1000000000000</v>
      </c>
      <c r="BZ170" s="172">
        <f t="array" aca="1" ref="BZ170" ca="1">IF(OR($D170&lt;&gt;"Serviço",AND(AUTOEVENTO="Manual",$M170=$A$15),$M170&gt;(ROW(PLE.lastrow)-ROW(PLE.firstrow))),0,
           IF(OFFSET(PLE!$G$15,$M170-$A$15,BZ$13)="",10^12,OFFSET(PLE!$G$15,$M170-$A$15,BZ$13)))</f>
        <v>1000000000000</v>
      </c>
      <c r="CA170" s="172">
        <f t="array" aca="1" ref="CA170" ca="1">IF(OR($D170&lt;&gt;"Serviço",AND(AUTOEVENTO="Manual",$M170=$A$15),$M170&gt;(ROW(PLE.lastrow)-ROW(PLE.firstrow))),0,
           IF(OFFSET(PLE!$G$15,$M170-$A$15,CA$13)="",10^12,OFFSET(PLE!$G$15,$M170-$A$15,CA$13)))</f>
        <v>1000000000000</v>
      </c>
      <c r="CB170" s="172">
        <f t="array" aca="1" ref="CB170" ca="1">IF(OR($D170&lt;&gt;"Serviço",AND(AUTOEVENTO="Manual",$M170=$A$15),$M170&gt;(ROW(PLE.lastrow)-ROW(PLE.firstrow))),0,
           IF(OFFSET(PLE!$G$15,$M170-$A$15,CB$13)="",10^12,OFFSET(PLE!$G$15,$M170-$A$15,CB$13)))</f>
        <v>1000000000000</v>
      </c>
      <c r="CC170" s="172">
        <f t="array" aca="1" ref="CC170" ca="1">IF(OR($D170&lt;&gt;"Serviço",AND(AUTOEVENTO="Manual",$M170=$A$15),$M170&gt;(ROW(PLE.lastrow)-ROW(PLE.firstrow))),0,
           IF(OFFSET(PLE!$G$15,$M170-$A$15,CC$13)="",10^12,OFFSET(PLE!$G$15,$M170-$A$15,CC$13)))</f>
        <v>1000000000000</v>
      </c>
      <c r="CD170" s="172">
        <f t="array" aca="1" ref="CD170" ca="1">IF(OR($D170&lt;&gt;"Serviço",AND(AUTOEVENTO="Manual",$M170=$A$15),$M170&gt;(ROW(PLE.lastrow)-ROW(PLE.firstrow))),0,
           IF(OFFSET(PLE!$G$15,$M170-$A$15,CD$13)="",10^12,OFFSET(PLE!$G$15,$M170-$A$15,CD$13)))</f>
        <v>1000000000000</v>
      </c>
      <c r="CE170" s="172">
        <f t="array" aca="1" ref="CE170" ca="1">IF(OR($D170&lt;&gt;"Serviço",AND(AUTOEVENTO="Manual",$M170=$A$15),$M170&gt;(ROW(PLE.lastrow)-ROW(PLE.firstrow))),0,
           IF(OFFSET(PLE!$G$15,$M170-$A$15,CE$13)="",10^12,OFFSET(PLE!$G$15,$M170-$A$15,CE$13)))</f>
        <v>1000000000000</v>
      </c>
      <c r="CF170" s="172">
        <f t="array" aca="1" ref="CF170" ca="1">IF(OR($D170&lt;&gt;"Serviço",AND(AUTOEVENTO="Manual",$M170=$A$15),$M170&gt;(ROW(PLE.lastrow)-ROW(PLE.firstrow))),0,
           IF(OFFSET(PLE!$G$15,$M170-$A$15,CF$13)="",10^12,OFFSET(PLE!$G$15,$M170-$A$15,CF$13)))</f>
        <v>1000000000000</v>
      </c>
      <c r="CG170" s="172">
        <f t="array" aca="1" ref="CG170" ca="1">IF(OR($D170&lt;&gt;"Serviço",AND(AUTOEVENTO="Manual",$M170=$A$15),$M170&gt;(ROW(PLE.lastrow)-ROW(PLE.firstrow))),0,
           IF(OFFSET(PLE!$G$15,$M170-$A$15,CG$13)="",10^12,OFFSET(PLE!$G$15,$M170-$A$15,CG$13)))</f>
        <v>1000000000000</v>
      </c>
      <c r="CH170" s="172">
        <f t="array" aca="1" ref="CH170" ca="1">IF(OR($D170&lt;&gt;"Serviço",AND(AUTOEVENTO="Manual",$M170=$A$15),$M170&gt;(ROW(PLE.lastrow)-ROW(PLE.firstrow))),0,
           IF(OFFSET(PLE!$G$15,$M170-$A$15,CH$13)="",10^12,OFFSET(PLE!$G$15,$M170-$A$15,CH$13)))</f>
        <v>1000000000000</v>
      </c>
      <c r="CI170" s="172">
        <f t="array" aca="1" ref="CI170" ca="1">IF(OR($D170&lt;&gt;"Serviço",AND(AUTOEVENTO="Manual",$M170=$A$15),$M170&gt;(ROW(PLE.lastrow)-ROW(PLE.firstrow))),0,
           IF(OFFSET(PLE!$G$15,$M170-$A$15,CI$13)="",10^12,OFFSET(PLE!$G$15,$M170-$A$15,CI$13)))</f>
        <v>1000000000000</v>
      </c>
      <c r="CJ170" s="172">
        <f t="array" aca="1" ref="CJ170" ca="1">IF(OR($D170&lt;&gt;"Serviço",AND(AUTOEVENTO="Manual",$M170=$A$15),$M170&gt;(ROW(PLE.lastrow)-ROW(PLE.firstrow))),0,
           IF(OFFSET(PLE!$G$15,$M170-$A$15,CJ$13)="",10^12,OFFSET(PLE!$G$15,$M170-$A$15,CJ$13)))</f>
        <v>1000000000000</v>
      </c>
      <c r="CK170" s="172">
        <f t="array" aca="1" ref="CK170" ca="1">IF(OR($D170&lt;&gt;"Serviço",AND(AUTOEVENTO="Manual",$M170=$A$15),$M170&gt;(ROW(PLE.lastrow)-ROW(PLE.firstrow))),0,
           IF(OFFSET(PLE!$G$15,$M170-$A$15,CK$13)="",10^12,OFFSET(PLE!$G$15,$M170-$A$15,CK$13)))</f>
        <v>1000000000000</v>
      </c>
      <c r="CL170" s="172">
        <f t="array" aca="1" ref="CL170" ca="1">IF(OR($D170&lt;&gt;"Serviço",AND(AUTOEVENTO="Manual",$M170=$A$15),$M170&gt;(ROW(PLE.lastrow)-ROW(PLE.firstrow))),0,
           IF(OFFSET(PLE!$G$15,$M170-$A$15,CL$13)="",10^12,OFFSET(PLE!$G$15,$M170-$A$15,CL$13)))</f>
        <v>1000000000000</v>
      </c>
      <c r="CM170" s="172">
        <f t="array" aca="1" ref="CM170" ca="1">IF(OR($D170&lt;&gt;"Serviço",AND(AUTOEVENTO="Manual",$M170=$A$15),$M170&gt;(ROW(PLE.lastrow)-ROW(PLE.firstrow))),0,
           IF(OFFSET(PLE!$G$15,$M170-$A$15,CM$13)="",10^12,OFFSET(PLE!$G$15,$M170-$A$15,CM$13)))</f>
        <v>1000000000000</v>
      </c>
    </row>
    <row r="171" spans="1:91" s="696" customFormat="1" ht="51" x14ac:dyDescent="0.2">
      <c r="A171" s="694">
        <f t="shared" ca="1" si="82"/>
        <v>38</v>
      </c>
      <c r="B171" s="694" t="str">
        <f ca="1">OFFSET(ORÇAMENTO!C$15,$L171,0)</f>
        <v>S</v>
      </c>
      <c r="C171" s="694" t="str">
        <f ca="1">OFFSET(ORÇAMENTO!L$15,$L171,0)</f>
        <v>F</v>
      </c>
      <c r="D171" s="116" t="str">
        <f ca="1">OFFSET(ORÇAMENTO!N$15,$L171,0)</f>
        <v>Serviço</v>
      </c>
      <c r="E171" s="117" t="str">
        <f ca="1">OFFSET(ORÇAMENTO!O$15,$L171,0)</f>
        <v>1.27.2.</v>
      </c>
      <c r="F171" s="163" t="str">
        <f ca="1">OFFSET(ORÇAMENTO!R$15,$L171,0)</f>
        <v>REGISTRO DE GAVETA BRUTO, LATÃO, ROSCÁVEL, 3/4", COM ACABAMENTO E CANOPLA CROMADOS - FORNECIMENTO E INSTALAÇÃO. AF_08/2021</v>
      </c>
      <c r="G171" s="164" t="str">
        <f ca="1">IF($D171&lt;&gt;"Serviço","",OFFSET(ORÇAMENTO!S$15,$L171,0))</f>
        <v>UN</v>
      </c>
      <c r="H171" s="122">
        <f t="array" aca="1" ref="H171" ca="1">IF($D171&lt;&gt;"Serviço",0,IF(ACOMPANHAMENTO="BM",ROUND(OFFSET(ORÇAMENTO!AJ$15,$L171,0),15-13*ORÇAMENTO!$AF$7),IF(IFERROR(CÁLCULO.FrentesPreenchidas,0)=0,0,SUM(ROUND(OFFSET($P171,0,1,1,CÁLCULO.FrentesPreenchidas),15-13*ORÇAMENTO!$AF$7)))))</f>
        <v>60</v>
      </c>
      <c r="I171" s="467" t="s">
        <v>1317</v>
      </c>
      <c r="J171" s="653" t="str">
        <f t="array" aca="1" ref="J171" ca="1">IF(OR(B171&lt;&gt;"S",CÁLCULO.FrentesPreenchidas=0),"",IF(AND(ACOMPANHAMENTO="PLE",AUTOEVENTO="Manual",OR(H171&gt;0,ORÇAMENTO!AC171="QUANT."),OR(K171="",M171=0,N171="")),"►E",IF(AND(ACOMPANHAMENTO="PLE",ORÇAMENTO!AC171="QUANT."),"►Q",IF(AND(ACOMPANHAMENTO="PLE",H171&lt;&gt;SUMPRODUCT(($Q$1:$AI$1=1)*ROUND(Q171:AI171,15))),"►S",IF(AND(COUNTIF($P$11:$AI$11,"▼")=0,H171&gt;0,I171=""),"◄M","")))))</f>
        <v/>
      </c>
      <c r="K171" s="654" t="s">
        <v>1445</v>
      </c>
      <c r="L171" s="165">
        <f t="shared" ca="1" si="83"/>
        <v>156</v>
      </c>
      <c r="M171" s="166">
        <f ca="1">IF($D171&lt;&gt;"Serviço","",
          IF(AUTOEVENTO="manual",$A171,
                IF(ISERROR(MATCH($A171,$A$15:OFFSET($A171,-1,0),0)),MAX($M$15:OFFSET(M171,-1,0))+1,
                      INDEX($M$15:OFFSET(M171,-1,0),MATCH($A171,$A$15:OFFSET($A171,-1,0),0)))))</f>
        <v>38</v>
      </c>
      <c r="N171" s="167" t="str">
        <f ca="1">IF($D171&lt;&gt;"Serviço","",
         IF(AUTOEVENTO="Manual",
                IF($A171=0,"&lt;-- defina o número do agrupador",
                       OFFSET(EVENTOS!$D$15,$A171-$A$15,0)),
                OFFSET($F$15,$A171,0)))</f>
        <v>HIDRÁULICA EMBUTIDA EM PAREDE</v>
      </c>
      <c r="O171" s="168"/>
      <c r="Q171" s="169">
        <v>15</v>
      </c>
      <c r="R171" s="169">
        <v>15</v>
      </c>
      <c r="S171" s="169">
        <v>15</v>
      </c>
      <c r="T171" s="169">
        <v>15</v>
      </c>
      <c r="U171" s="169"/>
      <c r="V171" s="169"/>
      <c r="W171" s="169"/>
      <c r="X171" s="169"/>
      <c r="Y171" s="169"/>
      <c r="Z171" s="170"/>
      <c r="AA171" s="169"/>
      <c r="AB171" s="169"/>
      <c r="AC171" s="169"/>
      <c r="AD171" s="169"/>
      <c r="AE171" s="169"/>
      <c r="AF171" s="169"/>
      <c r="AG171" s="169"/>
      <c r="AH171" s="170"/>
      <c r="AJ171" s="452">
        <f ca="1">IF(AND($D171="Serviço",AJ$12&lt;&gt;0,$H171&gt;0,OR(AUTOEVENTO&lt;&gt;"manual",$M171&lt;&gt;$A$15)),
        IF(Import.TipoArredondamento&lt;&gt;"TransfereGOV",
              ROUND(OFFSET($P171,0,AJ$13),15-13*ORÇAMENTO!$AF$7)/$H171*OFFSET(ORÇAMENTO!$X$15,ROW(AJ171)-ROW(AJ$15),0),
              ROUND(ROUND(OFFSET($P171,0,AJ$13),15-13*ORÇAMENTO!$AF$7)*OFFSET(ORÇAMENTO!$W$15,ROW(AJ171)-ROW(AJ$15),0),15-13*ORÇAMENTO!$AF$11)),
         0)</f>
        <v>2541.75</v>
      </c>
      <c r="AK171" s="452">
        <f ca="1">IF(AND($D171="Serviço",AK$12&lt;&gt;0,$H171&gt;0,OR(AUTOEVENTO&lt;&gt;"manual",$M171&lt;&gt;$A$15)),
        IF(Import.TipoArredondamento&lt;&gt;"TransfereGOV",
              ROUND(OFFSET($P171,0,AK$13),15-13*ORÇAMENTO!$AF$7)/$H171*OFFSET(ORÇAMENTO!$X$15,ROW(AK171)-ROW(AK$15),0),
              ROUND(ROUND(OFFSET($P171,0,AK$13),15-13*ORÇAMENTO!$AF$7)*OFFSET(ORÇAMENTO!$W$15,ROW(AK171)-ROW(AK$15),0),15-13*ORÇAMENTO!$AF$11)),
         0)</f>
        <v>2541.75</v>
      </c>
      <c r="AL171" s="452">
        <f ca="1">IF(AND($D171="Serviço",AL$12&lt;&gt;0,$H171&gt;0,OR(AUTOEVENTO&lt;&gt;"manual",$M171&lt;&gt;$A$15)),
        IF(Import.TipoArredondamento&lt;&gt;"TransfereGOV",
              ROUND(OFFSET($P171,0,AL$13),15-13*ORÇAMENTO!$AF$7)/$H171*OFFSET(ORÇAMENTO!$X$15,ROW(AL171)-ROW(AL$15),0),
              ROUND(ROUND(OFFSET($P171,0,AL$13),15-13*ORÇAMENTO!$AF$7)*OFFSET(ORÇAMENTO!$W$15,ROW(AL171)-ROW(AL$15),0),15-13*ORÇAMENTO!$AF$11)),
         0)</f>
        <v>2541.75</v>
      </c>
      <c r="AM171" s="452">
        <f ca="1">IF(AND($D171="Serviço",AM$12&lt;&gt;0,$H171&gt;0,OR(AUTOEVENTO&lt;&gt;"manual",$M171&lt;&gt;$A$15)),
        IF(Import.TipoArredondamento&lt;&gt;"TransfereGOV",
              ROUND(OFFSET($P171,0,AM$13),15-13*ORÇAMENTO!$AF$7)/$H171*OFFSET(ORÇAMENTO!$X$15,ROW(AM171)-ROW(AM$15),0),
              ROUND(ROUND(OFFSET($P171,0,AM$13),15-13*ORÇAMENTO!$AF$7)*OFFSET(ORÇAMENTO!$W$15,ROW(AM171)-ROW(AM$15),0),15-13*ORÇAMENTO!$AF$11)),
         0)</f>
        <v>2541.75</v>
      </c>
      <c r="AN171" s="452">
        <f ca="1">IF(AND($D171="Serviço",AN$12&lt;&gt;0,$H171&gt;0,OR(AUTOEVENTO&lt;&gt;"manual",$M171&lt;&gt;$A$15)),
        IF(Import.TipoArredondamento&lt;&gt;"TransfereGOV",
              ROUND(OFFSET($P171,0,AN$13),15-13*ORÇAMENTO!$AF$7)/$H171*OFFSET(ORÇAMENTO!$X$15,ROW(AN171)-ROW(AN$15),0),
              ROUND(ROUND(OFFSET($P171,0,AN$13),15-13*ORÇAMENTO!$AF$7)*OFFSET(ORÇAMENTO!$W$15,ROW(AN171)-ROW(AN$15),0),15-13*ORÇAMENTO!$AF$11)),
         0)</f>
        <v>0</v>
      </c>
      <c r="AO171" s="452">
        <f ca="1">IF(AND($D171="Serviço",AO$12&lt;&gt;0,$H171&gt;0,OR(AUTOEVENTO&lt;&gt;"manual",$M171&lt;&gt;$A$15)),
        IF(Import.TipoArredondamento&lt;&gt;"TransfereGOV",
              ROUND(OFFSET($P171,0,AO$13),15-13*ORÇAMENTO!$AF$7)/$H171*OFFSET(ORÇAMENTO!$X$15,ROW(AO171)-ROW(AO$15),0),
              ROUND(ROUND(OFFSET($P171,0,AO$13),15-13*ORÇAMENTO!$AF$7)*OFFSET(ORÇAMENTO!$W$15,ROW(AO171)-ROW(AO$15),0),15-13*ORÇAMENTO!$AF$11)),
         0)</f>
        <v>0</v>
      </c>
      <c r="AP171" s="452">
        <f ca="1">IF(AND($D171="Serviço",AP$12&lt;&gt;0,$H171&gt;0,OR(AUTOEVENTO&lt;&gt;"manual",$M171&lt;&gt;$A$15)),
        IF(Import.TipoArredondamento&lt;&gt;"TransfereGOV",
              ROUND(OFFSET($P171,0,AP$13),15-13*ORÇAMENTO!$AF$7)/$H171*OFFSET(ORÇAMENTO!$X$15,ROW(AP171)-ROW(AP$15),0),
              ROUND(ROUND(OFFSET($P171,0,AP$13),15-13*ORÇAMENTO!$AF$7)*OFFSET(ORÇAMENTO!$W$15,ROW(AP171)-ROW(AP$15),0),15-13*ORÇAMENTO!$AF$11)),
         0)</f>
        <v>0</v>
      </c>
      <c r="AQ171" s="452">
        <f ca="1">IF(AND($D171="Serviço",AQ$12&lt;&gt;0,$H171&gt;0,OR(AUTOEVENTO&lt;&gt;"manual",$M171&lt;&gt;$A$15)),
        IF(Import.TipoArredondamento&lt;&gt;"TransfereGOV",
              ROUND(OFFSET($P171,0,AQ$13),15-13*ORÇAMENTO!$AF$7)/$H171*OFFSET(ORÇAMENTO!$X$15,ROW(AQ171)-ROW(AQ$15),0),
              ROUND(ROUND(OFFSET($P171,0,AQ$13),15-13*ORÇAMENTO!$AF$7)*OFFSET(ORÇAMENTO!$W$15,ROW(AQ171)-ROW(AQ$15),0),15-13*ORÇAMENTO!$AF$11)),
         0)</f>
        <v>0</v>
      </c>
      <c r="AR171" s="452">
        <f ca="1">IF(AND($D171="Serviço",AR$12&lt;&gt;0,$H171&gt;0,OR(AUTOEVENTO&lt;&gt;"manual",$M171&lt;&gt;$A$15)),
        IF(Import.TipoArredondamento&lt;&gt;"TransfereGOV",
              ROUND(OFFSET($P171,0,AR$13),15-13*ORÇAMENTO!$AF$7)/$H171*OFFSET(ORÇAMENTO!$X$15,ROW(AR171)-ROW(AR$15),0),
              ROUND(ROUND(OFFSET($P171,0,AR$13),15-13*ORÇAMENTO!$AF$7)*OFFSET(ORÇAMENTO!$W$15,ROW(AR171)-ROW(AR$15),0),15-13*ORÇAMENTO!$AF$11)),
         0)</f>
        <v>0</v>
      </c>
      <c r="AS171" s="452">
        <f ca="1">IF(AND($D171="Serviço",AS$12&lt;&gt;0,$H171&gt;0,OR(AUTOEVENTO&lt;&gt;"manual",$M171&lt;&gt;$A$15)),
        IF(Import.TipoArredondamento&lt;&gt;"TransfereGOV",
              ROUND(OFFSET($P171,0,AS$13),15-13*ORÇAMENTO!$AF$7)/$H171*OFFSET(ORÇAMENTO!$X$15,ROW(AS171)-ROW(AS$15),0),
              ROUND(ROUND(OFFSET($P171,0,AS$13),15-13*ORÇAMENTO!$AF$7)*OFFSET(ORÇAMENTO!$W$15,ROW(AS171)-ROW(AS$15),0),15-13*ORÇAMENTO!$AF$11)),
         0)</f>
        <v>0</v>
      </c>
      <c r="AT171" s="452">
        <f ca="1">IF(AND($D171="Serviço",AT$12&lt;&gt;0,$H171&gt;0,OR(AUTOEVENTO&lt;&gt;"manual",$M171&lt;&gt;$A$15)),
        IF(Import.TipoArredondamento&lt;&gt;"TransfereGOV",
              ROUND(OFFSET($P171,0,AT$13),15-13*ORÇAMENTO!$AF$7)/$H171*OFFSET(ORÇAMENTO!$X$15,ROW(AT171)-ROW(AT$15),0),
              ROUND(ROUND(OFFSET($P171,0,AT$13),15-13*ORÇAMENTO!$AF$7)*OFFSET(ORÇAMENTO!$W$15,ROW(AT171)-ROW(AT$15),0),15-13*ORÇAMENTO!$AF$11)),
         0)</f>
        <v>0</v>
      </c>
      <c r="AU171" s="452">
        <f ca="1">IF(AND($D171="Serviço",AU$12&lt;&gt;0,$H171&gt;0,OR(AUTOEVENTO&lt;&gt;"manual",$M171&lt;&gt;$A$15)),
        IF(Import.TipoArredondamento&lt;&gt;"TransfereGOV",
              ROUND(OFFSET($P171,0,AU$13),15-13*ORÇAMENTO!$AF$7)/$H171*OFFSET(ORÇAMENTO!$X$15,ROW(AU171)-ROW(AU$15),0),
              ROUND(ROUND(OFFSET($P171,0,AU$13),15-13*ORÇAMENTO!$AF$7)*OFFSET(ORÇAMENTO!$W$15,ROW(AU171)-ROW(AU$15),0),15-13*ORÇAMENTO!$AF$11)),
         0)</f>
        <v>0</v>
      </c>
      <c r="AV171" s="452">
        <f ca="1">IF(AND($D171="Serviço",AV$12&lt;&gt;0,$H171&gt;0,OR(AUTOEVENTO&lt;&gt;"manual",$M171&lt;&gt;$A$15)),
        IF(Import.TipoArredondamento&lt;&gt;"TransfereGOV",
              ROUND(OFFSET($P171,0,AV$13),15-13*ORÇAMENTO!$AF$7)/$H171*OFFSET(ORÇAMENTO!$X$15,ROW(AV171)-ROW(AV$15),0),
              ROUND(ROUND(OFFSET($P171,0,AV$13),15-13*ORÇAMENTO!$AF$7)*OFFSET(ORÇAMENTO!$W$15,ROW(AV171)-ROW(AV$15),0),15-13*ORÇAMENTO!$AF$11)),
         0)</f>
        <v>0</v>
      </c>
      <c r="AW171" s="452">
        <f ca="1">IF(AND($D171="Serviço",AW$12&lt;&gt;0,$H171&gt;0,OR(AUTOEVENTO&lt;&gt;"manual",$M171&lt;&gt;$A$15)),
        IF(Import.TipoArredondamento&lt;&gt;"TransfereGOV",
              ROUND(OFFSET($P171,0,AW$13),15-13*ORÇAMENTO!$AF$7)/$H171*OFFSET(ORÇAMENTO!$X$15,ROW(AW171)-ROW(AW$15),0),
              ROUND(ROUND(OFFSET($P171,0,AW$13),15-13*ORÇAMENTO!$AF$7)*OFFSET(ORÇAMENTO!$W$15,ROW(AW171)-ROW(AW$15),0),15-13*ORÇAMENTO!$AF$11)),
         0)</f>
        <v>0</v>
      </c>
      <c r="AX171" s="452">
        <f ca="1">IF(AND($D171="Serviço",AX$12&lt;&gt;0,$H171&gt;0,OR(AUTOEVENTO&lt;&gt;"manual",$M171&lt;&gt;$A$15)),
        IF(Import.TipoArredondamento&lt;&gt;"TransfereGOV",
              ROUND(OFFSET($P171,0,AX$13),15-13*ORÇAMENTO!$AF$7)/$H171*OFFSET(ORÇAMENTO!$X$15,ROW(AX171)-ROW(AX$15),0),
              ROUND(ROUND(OFFSET($P171,0,AX$13),15-13*ORÇAMENTO!$AF$7)*OFFSET(ORÇAMENTO!$W$15,ROW(AX171)-ROW(AX$15),0),15-13*ORÇAMENTO!$AF$11)),
         0)</f>
        <v>0</v>
      </c>
      <c r="AY171" s="452">
        <f ca="1">IF(AND($D171="Serviço",AY$12&lt;&gt;0,$H171&gt;0,OR(AUTOEVENTO&lt;&gt;"manual",$M171&lt;&gt;$A$15)),
        IF(Import.TipoArredondamento&lt;&gt;"TransfereGOV",
              ROUND(OFFSET($P171,0,AY$13),15-13*ORÇAMENTO!$AF$7)/$H171*OFFSET(ORÇAMENTO!$X$15,ROW(AY171)-ROW(AY$15),0),
              ROUND(ROUND(OFFSET($P171,0,AY$13),15-13*ORÇAMENTO!$AF$7)*OFFSET(ORÇAMENTO!$W$15,ROW(AY171)-ROW(AY$15),0),15-13*ORÇAMENTO!$AF$11)),
         0)</f>
        <v>0</v>
      </c>
      <c r="AZ171" s="452">
        <f ca="1">IF(AND($D171="Serviço",AZ$12&lt;&gt;0,$H171&gt;0,OR(AUTOEVENTO&lt;&gt;"manual",$M171&lt;&gt;$A$15)),
        IF(Import.TipoArredondamento&lt;&gt;"TransfereGOV",
              ROUND(OFFSET($P171,0,AZ$13),15-13*ORÇAMENTO!$AF$7)/$H171*OFFSET(ORÇAMENTO!$X$15,ROW(AZ171)-ROW(AZ$15),0),
              ROUND(ROUND(OFFSET($P171,0,AZ$13),15-13*ORÇAMENTO!$AF$7)*OFFSET(ORÇAMENTO!$W$15,ROW(AZ171)-ROW(AZ$15),0),15-13*ORÇAMENTO!$AF$11)),
         0)</f>
        <v>0</v>
      </c>
      <c r="BA171" s="452">
        <f ca="1">IF(AND($D171="Serviço",BA$12&lt;&gt;0,$H171&gt;0,OR(AUTOEVENTO&lt;&gt;"manual",$M171&lt;&gt;$A$15)),
        IF(Import.TipoArredondamento&lt;&gt;"TransfereGOV",
              ROUND(OFFSET($P171,0,BA$13),15-13*ORÇAMENTO!$AF$7)/$H171*OFFSET(ORÇAMENTO!$X$15,ROW(BA171)-ROW(BA$15),0),
              ROUND(ROUND(OFFSET($P171,0,BA$13),15-13*ORÇAMENTO!$AF$7)*OFFSET(ORÇAMENTO!$W$15,ROW(BA171)-ROW(BA$15),0),15-13*ORÇAMENTO!$AF$11)),
         0)</f>
        <v>0</v>
      </c>
      <c r="BC171" s="171">
        <f ca="1">IF(OR($D171&lt;&gt;"Serviço",AND(AUTOEVENTO="Manual",$M171=$A$15)),0,
         IF(OFFSET(CRONOPLE!$F$15,$M171-$A$15,BC$13)=0,10^12,OFFSET(CRONOPLE!$F$15,$M171-$A$15,BC$13)))</f>
        <v>5</v>
      </c>
      <c r="BD171" s="171">
        <f ca="1">IF(OR($D171&lt;&gt;"Serviço",AND(AUTOEVENTO="Manual",$M171=$A$15)),0,
         IF(OFFSET(CRONOPLE!$F$15,$M171-$A$15,BD$13)=0,10^12,OFFSET(CRONOPLE!$F$15,$M171-$A$15,BD$13)))</f>
        <v>5</v>
      </c>
      <c r="BE171" s="171">
        <f ca="1">IF(OR($D171&lt;&gt;"Serviço",AND(AUTOEVENTO="Manual",$M171=$A$15)),0,
         IF(OFFSET(CRONOPLE!$F$15,$M171-$A$15,BE$13)=0,10^12,OFFSET(CRONOPLE!$F$15,$M171-$A$15,BE$13)))</f>
        <v>6</v>
      </c>
      <c r="BF171" s="171">
        <f ca="1">IF(OR($D171&lt;&gt;"Serviço",AND(AUTOEVENTO="Manual",$M171=$A$15)),0,
         IF(OFFSET(CRONOPLE!$F$15,$M171-$A$15,BF$13)=0,10^12,OFFSET(CRONOPLE!$F$15,$M171-$A$15,BF$13)))</f>
        <v>6</v>
      </c>
      <c r="BG171" s="171">
        <f ca="1">IF(OR($D171&lt;&gt;"Serviço",AND(AUTOEVENTO="Manual",$M171=$A$15)),0,
         IF(OFFSET(CRONOPLE!$F$15,$M171-$A$15,BG$13)=0,10^12,OFFSET(CRONOPLE!$F$15,$M171-$A$15,BG$13)))</f>
        <v>6</v>
      </c>
      <c r="BH171" s="171">
        <f ca="1">IF(OR($D171&lt;&gt;"Serviço",AND(AUTOEVENTO="Manual",$M171=$A$15)),0,
         IF(OFFSET(CRONOPLE!$F$15,$M171-$A$15,BH$13)=0,10^12,OFFSET(CRONOPLE!$F$15,$M171-$A$15,BH$13)))</f>
        <v>1000000000000</v>
      </c>
      <c r="BI171" s="171">
        <f ca="1">IF(OR($D171&lt;&gt;"Serviço",AND(AUTOEVENTO="Manual",$M171=$A$15)),0,
         IF(OFFSET(CRONOPLE!$F$15,$M171-$A$15,BI$13)=0,10^12,OFFSET(CRONOPLE!$F$15,$M171-$A$15,BI$13)))</f>
        <v>1000000000000</v>
      </c>
      <c r="BJ171" s="171">
        <f ca="1">IF(OR($D171&lt;&gt;"Serviço",AND(AUTOEVENTO="Manual",$M171=$A$15)),0,
         IF(OFFSET(CRONOPLE!$F$15,$M171-$A$15,BJ$13)=0,10^12,OFFSET(CRONOPLE!$F$15,$M171-$A$15,BJ$13)))</f>
        <v>1000000000000</v>
      </c>
      <c r="BK171" s="171">
        <f ca="1">IF(OR($D171&lt;&gt;"Serviço",AND(AUTOEVENTO="Manual",$M171=$A$15)),0,
         IF(OFFSET(CRONOPLE!$F$15,$M171-$A$15,BK$13)=0,10^12,OFFSET(CRONOPLE!$F$15,$M171-$A$15,BK$13)))</f>
        <v>1000000000000</v>
      </c>
      <c r="BL171" s="171">
        <f ca="1">IF(OR($D171&lt;&gt;"Serviço",AND(AUTOEVENTO="Manual",$M171=$A$15)),0,
         IF(OFFSET(CRONOPLE!$F$15,$M171-$A$15,BL$13)=0,10^12,OFFSET(CRONOPLE!$F$15,$M171-$A$15,BL$13)))</f>
        <v>1000000000000</v>
      </c>
      <c r="BM171" s="171">
        <f ca="1">IF(OR($D171&lt;&gt;"Serviço",AND(AUTOEVENTO="Manual",$M171=$A$15)),0,
         IF(OFFSET(CRONOPLE!$F$15,$M171-$A$15,BM$13)=0,10^12,OFFSET(CRONOPLE!$F$15,$M171-$A$15,BM$13)))</f>
        <v>1000000000000</v>
      </c>
      <c r="BN171" s="171">
        <f ca="1">IF(OR($D171&lt;&gt;"Serviço",AND(AUTOEVENTO="Manual",$M171=$A$15)),0,
         IF(OFFSET(CRONOPLE!$F$15,$M171-$A$15,BN$13)=0,10^12,OFFSET(CRONOPLE!$F$15,$M171-$A$15,BN$13)))</f>
        <v>1000000000000</v>
      </c>
      <c r="BO171" s="171">
        <f ca="1">IF(OR($D171&lt;&gt;"Serviço",AND(AUTOEVENTO="Manual",$M171=$A$15)),0,
         IF(OFFSET(CRONOPLE!$F$15,$M171-$A$15,BO$13)=0,10^12,OFFSET(CRONOPLE!$F$15,$M171-$A$15,BO$13)))</f>
        <v>1000000000000</v>
      </c>
      <c r="BP171" s="171">
        <f ca="1">IF(OR($D171&lt;&gt;"Serviço",AND(AUTOEVENTO="Manual",$M171=$A$15)),0,
         IF(OFFSET(CRONOPLE!$F$15,$M171-$A$15,BP$13)=0,10^12,OFFSET(CRONOPLE!$F$15,$M171-$A$15,BP$13)))</f>
        <v>1000000000000</v>
      </c>
      <c r="BQ171" s="171">
        <f ca="1">IF(OR($D171&lt;&gt;"Serviço",AND(AUTOEVENTO="Manual",$M171=$A$15)),0,
         IF(OFFSET(CRONOPLE!$F$15,$M171-$A$15,BQ$13)=0,10^12,OFFSET(CRONOPLE!$F$15,$M171-$A$15,BQ$13)))</f>
        <v>1000000000000</v>
      </c>
      <c r="BR171" s="171">
        <f ca="1">IF(OR($D171&lt;&gt;"Serviço",AND(AUTOEVENTO="Manual",$M171=$A$15)),0,
         IF(OFFSET(CRONOPLE!$F$15,$M171-$A$15,BR$13)=0,10^12,OFFSET(CRONOPLE!$F$15,$M171-$A$15,BR$13)))</f>
        <v>1000000000000</v>
      </c>
      <c r="BS171" s="171">
        <f ca="1">IF(OR($D171&lt;&gt;"Serviço",AND(AUTOEVENTO="Manual",$M171=$A$15)),0,
         IF(OFFSET(CRONOPLE!$F$15,$M171-$A$15,BS$13)=0,10^12,OFFSET(CRONOPLE!$F$15,$M171-$A$15,BS$13)))</f>
        <v>1000000000000</v>
      </c>
      <c r="BT171" s="171">
        <f ca="1">IF(OR($D171&lt;&gt;"Serviço",AND(AUTOEVENTO="Manual",$M171=$A$15)),0,
         IF(OFFSET(CRONOPLE!$F$15,$M171-$A$15,BT$13)=0,10^12,OFFSET(CRONOPLE!$F$15,$M171-$A$15,BT$13)))</f>
        <v>1000000000000</v>
      </c>
      <c r="BV171" s="172">
        <f t="array" aca="1" ref="BV171" ca="1">IF(OR($D171&lt;&gt;"Serviço",AND(AUTOEVENTO="Manual",$M171=$A$15),$M171&gt;(ROW(PLE.lastrow)-ROW(PLE.firstrow))),0,
           IF(OFFSET(PLE!$G$15,$M171-$A$15,BV$13)="",10^12,OFFSET(PLE!$G$15,$M171-$A$15,BV$13)))</f>
        <v>1000000000000</v>
      </c>
      <c r="BW171" s="172">
        <f t="array" aca="1" ref="BW171" ca="1">IF(OR($D171&lt;&gt;"Serviço",AND(AUTOEVENTO="Manual",$M171=$A$15),$M171&gt;(ROW(PLE.lastrow)-ROW(PLE.firstrow))),0,
           IF(OFFSET(PLE!$G$15,$M171-$A$15,BW$13)="",10^12,OFFSET(PLE!$G$15,$M171-$A$15,BW$13)))</f>
        <v>1000000000000</v>
      </c>
      <c r="BX171" s="172">
        <f t="array" aca="1" ref="BX171" ca="1">IF(OR($D171&lt;&gt;"Serviço",AND(AUTOEVENTO="Manual",$M171=$A$15),$M171&gt;(ROW(PLE.lastrow)-ROW(PLE.firstrow))),0,
           IF(OFFSET(PLE!$G$15,$M171-$A$15,BX$13)="",10^12,OFFSET(PLE!$G$15,$M171-$A$15,BX$13)))</f>
        <v>1000000000000</v>
      </c>
      <c r="BY171" s="172">
        <f t="array" aca="1" ref="BY171" ca="1">IF(OR($D171&lt;&gt;"Serviço",AND(AUTOEVENTO="Manual",$M171=$A$15),$M171&gt;(ROW(PLE.lastrow)-ROW(PLE.firstrow))),0,
           IF(OFFSET(PLE!$G$15,$M171-$A$15,BY$13)="",10^12,OFFSET(PLE!$G$15,$M171-$A$15,BY$13)))</f>
        <v>1000000000000</v>
      </c>
      <c r="BZ171" s="172">
        <f t="array" aca="1" ref="BZ171" ca="1">IF(OR($D171&lt;&gt;"Serviço",AND(AUTOEVENTO="Manual",$M171=$A$15),$M171&gt;(ROW(PLE.lastrow)-ROW(PLE.firstrow))),0,
           IF(OFFSET(PLE!$G$15,$M171-$A$15,BZ$13)="",10^12,OFFSET(PLE!$G$15,$M171-$A$15,BZ$13)))</f>
        <v>1000000000000</v>
      </c>
      <c r="CA171" s="172">
        <f t="array" aca="1" ref="CA171" ca="1">IF(OR($D171&lt;&gt;"Serviço",AND(AUTOEVENTO="Manual",$M171=$A$15),$M171&gt;(ROW(PLE.lastrow)-ROW(PLE.firstrow))),0,
           IF(OFFSET(PLE!$G$15,$M171-$A$15,CA$13)="",10^12,OFFSET(PLE!$G$15,$M171-$A$15,CA$13)))</f>
        <v>1000000000000</v>
      </c>
      <c r="CB171" s="172">
        <f t="array" aca="1" ref="CB171" ca="1">IF(OR($D171&lt;&gt;"Serviço",AND(AUTOEVENTO="Manual",$M171=$A$15),$M171&gt;(ROW(PLE.lastrow)-ROW(PLE.firstrow))),0,
           IF(OFFSET(PLE!$G$15,$M171-$A$15,CB$13)="",10^12,OFFSET(PLE!$G$15,$M171-$A$15,CB$13)))</f>
        <v>1000000000000</v>
      </c>
      <c r="CC171" s="172">
        <f t="array" aca="1" ref="CC171" ca="1">IF(OR($D171&lt;&gt;"Serviço",AND(AUTOEVENTO="Manual",$M171=$A$15),$M171&gt;(ROW(PLE.lastrow)-ROW(PLE.firstrow))),0,
           IF(OFFSET(PLE!$G$15,$M171-$A$15,CC$13)="",10^12,OFFSET(PLE!$G$15,$M171-$A$15,CC$13)))</f>
        <v>1000000000000</v>
      </c>
      <c r="CD171" s="172">
        <f t="array" aca="1" ref="CD171" ca="1">IF(OR($D171&lt;&gt;"Serviço",AND(AUTOEVENTO="Manual",$M171=$A$15),$M171&gt;(ROW(PLE.lastrow)-ROW(PLE.firstrow))),0,
           IF(OFFSET(PLE!$G$15,$M171-$A$15,CD$13)="",10^12,OFFSET(PLE!$G$15,$M171-$A$15,CD$13)))</f>
        <v>1000000000000</v>
      </c>
      <c r="CE171" s="172">
        <f t="array" aca="1" ref="CE171" ca="1">IF(OR($D171&lt;&gt;"Serviço",AND(AUTOEVENTO="Manual",$M171=$A$15),$M171&gt;(ROW(PLE.lastrow)-ROW(PLE.firstrow))),0,
           IF(OFFSET(PLE!$G$15,$M171-$A$15,CE$13)="",10^12,OFFSET(PLE!$G$15,$M171-$A$15,CE$13)))</f>
        <v>1000000000000</v>
      </c>
      <c r="CF171" s="172">
        <f t="array" aca="1" ref="CF171" ca="1">IF(OR($D171&lt;&gt;"Serviço",AND(AUTOEVENTO="Manual",$M171=$A$15),$M171&gt;(ROW(PLE.lastrow)-ROW(PLE.firstrow))),0,
           IF(OFFSET(PLE!$G$15,$M171-$A$15,CF$13)="",10^12,OFFSET(PLE!$G$15,$M171-$A$15,CF$13)))</f>
        <v>1000000000000</v>
      </c>
      <c r="CG171" s="172">
        <f t="array" aca="1" ref="CG171" ca="1">IF(OR($D171&lt;&gt;"Serviço",AND(AUTOEVENTO="Manual",$M171=$A$15),$M171&gt;(ROW(PLE.lastrow)-ROW(PLE.firstrow))),0,
           IF(OFFSET(PLE!$G$15,$M171-$A$15,CG$13)="",10^12,OFFSET(PLE!$G$15,$M171-$A$15,CG$13)))</f>
        <v>1000000000000</v>
      </c>
      <c r="CH171" s="172">
        <f t="array" aca="1" ref="CH171" ca="1">IF(OR($D171&lt;&gt;"Serviço",AND(AUTOEVENTO="Manual",$M171=$A$15),$M171&gt;(ROW(PLE.lastrow)-ROW(PLE.firstrow))),0,
           IF(OFFSET(PLE!$G$15,$M171-$A$15,CH$13)="",10^12,OFFSET(PLE!$G$15,$M171-$A$15,CH$13)))</f>
        <v>1000000000000</v>
      </c>
      <c r="CI171" s="172">
        <f t="array" aca="1" ref="CI171" ca="1">IF(OR($D171&lt;&gt;"Serviço",AND(AUTOEVENTO="Manual",$M171=$A$15),$M171&gt;(ROW(PLE.lastrow)-ROW(PLE.firstrow))),0,
           IF(OFFSET(PLE!$G$15,$M171-$A$15,CI$13)="",10^12,OFFSET(PLE!$G$15,$M171-$A$15,CI$13)))</f>
        <v>1000000000000</v>
      </c>
      <c r="CJ171" s="172">
        <f t="array" aca="1" ref="CJ171" ca="1">IF(OR($D171&lt;&gt;"Serviço",AND(AUTOEVENTO="Manual",$M171=$A$15),$M171&gt;(ROW(PLE.lastrow)-ROW(PLE.firstrow))),0,
           IF(OFFSET(PLE!$G$15,$M171-$A$15,CJ$13)="",10^12,OFFSET(PLE!$G$15,$M171-$A$15,CJ$13)))</f>
        <v>1000000000000</v>
      </c>
      <c r="CK171" s="172">
        <f t="array" aca="1" ref="CK171" ca="1">IF(OR($D171&lt;&gt;"Serviço",AND(AUTOEVENTO="Manual",$M171=$A$15),$M171&gt;(ROW(PLE.lastrow)-ROW(PLE.firstrow))),0,
           IF(OFFSET(PLE!$G$15,$M171-$A$15,CK$13)="",10^12,OFFSET(PLE!$G$15,$M171-$A$15,CK$13)))</f>
        <v>1000000000000</v>
      </c>
      <c r="CL171" s="172">
        <f t="array" aca="1" ref="CL171" ca="1">IF(OR($D171&lt;&gt;"Serviço",AND(AUTOEVENTO="Manual",$M171=$A$15),$M171&gt;(ROW(PLE.lastrow)-ROW(PLE.firstrow))),0,
           IF(OFFSET(PLE!$G$15,$M171-$A$15,CL$13)="",10^12,OFFSET(PLE!$G$15,$M171-$A$15,CL$13)))</f>
        <v>1000000000000</v>
      </c>
      <c r="CM171" s="172">
        <f t="array" aca="1" ref="CM171" ca="1">IF(OR($D171&lt;&gt;"Serviço",AND(AUTOEVENTO="Manual",$M171=$A$15),$M171&gt;(ROW(PLE.lastrow)-ROW(PLE.firstrow))),0,
           IF(OFFSET(PLE!$G$15,$M171-$A$15,CM$13)="",10^12,OFFSET(PLE!$G$15,$M171-$A$15,CM$13)))</f>
        <v>1000000000000</v>
      </c>
    </row>
    <row r="172" spans="1:91" s="696" customFormat="1" ht="51" x14ac:dyDescent="0.2">
      <c r="A172" s="694">
        <f t="shared" ca="1" si="82"/>
        <v>38</v>
      </c>
      <c r="B172" s="694" t="str">
        <f ca="1">OFFSET(ORÇAMENTO!C$15,$L172,0)</f>
        <v>S</v>
      </c>
      <c r="C172" s="694" t="str">
        <f ca="1">OFFSET(ORÇAMENTO!L$15,$L172,0)</f>
        <v>F</v>
      </c>
      <c r="D172" s="116" t="str">
        <f ca="1">OFFSET(ORÇAMENTO!N$15,$L172,0)</f>
        <v>Serviço</v>
      </c>
      <c r="E172" s="117" t="str">
        <f ca="1">OFFSET(ORÇAMENTO!O$15,$L172,0)</f>
        <v>1.27.3.</v>
      </c>
      <c r="F172" s="163" t="str">
        <f ca="1">OFFSET(ORÇAMENTO!R$15,$L172,0)</f>
        <v>REGISTRO DE ESFERA, PVC, SOLDÁVEL, COM VOLANTE, DN 32 MM - FORNECIMENTO E INSTALAÇÃO. AF_08/2021</v>
      </c>
      <c r="G172" s="164" t="str">
        <f ca="1">IF($D172&lt;&gt;"Serviço","",OFFSET(ORÇAMENTO!S$15,$L172,0))</f>
        <v>UN</v>
      </c>
      <c r="H172" s="122">
        <f t="array" aca="1" ref="H172" ca="1">IF($D172&lt;&gt;"Serviço",0,IF(ACOMPANHAMENTO="BM",ROUND(OFFSET(ORÇAMENTO!AJ$15,$L172,0),15-13*ORÇAMENTO!$AF$7),IF(IFERROR(CÁLCULO.FrentesPreenchidas,0)=0,0,SUM(ROUND(OFFSET($P172,0,1,1,CÁLCULO.FrentesPreenchidas),15-13*ORÇAMENTO!$AF$7)))))</f>
        <v>40</v>
      </c>
      <c r="I172" s="467" t="s">
        <v>1318</v>
      </c>
      <c r="J172" s="653" t="str">
        <f t="array" aca="1" ref="J172" ca="1">IF(OR(B172&lt;&gt;"S",CÁLCULO.FrentesPreenchidas=0),"",IF(AND(ACOMPANHAMENTO="PLE",AUTOEVENTO="Manual",OR(H172&gt;0,ORÇAMENTO!AC172="QUANT."),OR(K172="",M172=0,N172="")),"►E",IF(AND(ACOMPANHAMENTO="PLE",ORÇAMENTO!AC172="QUANT."),"►Q",IF(AND(ACOMPANHAMENTO="PLE",H172&lt;&gt;SUMPRODUCT(($Q$1:$AI$1=1)*ROUND(Q172:AI172,15))),"►S",IF(AND(COUNTIF($P$11:$AI$11,"▼")=0,H172&gt;0,I172=""),"◄M","")))))</f>
        <v/>
      </c>
      <c r="K172" s="654" t="s">
        <v>1445</v>
      </c>
      <c r="L172" s="165">
        <f t="shared" ca="1" si="83"/>
        <v>157</v>
      </c>
      <c r="M172" s="166">
        <f ca="1">IF($D172&lt;&gt;"Serviço","",
          IF(AUTOEVENTO="manual",$A172,
                IF(ISERROR(MATCH($A172,$A$15:OFFSET($A172,-1,0),0)),MAX($M$15:OFFSET(M172,-1,0))+1,
                      INDEX($M$15:OFFSET(M172,-1,0),MATCH($A172,$A$15:OFFSET($A172,-1,0),0)))))</f>
        <v>38</v>
      </c>
      <c r="N172" s="167" t="str">
        <f ca="1">IF($D172&lt;&gt;"Serviço","",
         IF(AUTOEVENTO="Manual",
                IF($A172=0,"&lt;-- defina o número do agrupador",
                       OFFSET(EVENTOS!$D$15,$A172-$A$15,0)),
                OFFSET($F$15,$A172,0)))</f>
        <v>HIDRÁULICA EMBUTIDA EM PAREDE</v>
      </c>
      <c r="O172" s="168"/>
      <c r="Q172" s="169">
        <v>10</v>
      </c>
      <c r="R172" s="169">
        <v>10</v>
      </c>
      <c r="S172" s="169">
        <v>10</v>
      </c>
      <c r="T172" s="169">
        <v>10</v>
      </c>
      <c r="U172" s="169"/>
      <c r="V172" s="169"/>
      <c r="W172" s="169"/>
      <c r="X172" s="169"/>
      <c r="Y172" s="169"/>
      <c r="Z172" s="170"/>
      <c r="AA172" s="169"/>
      <c r="AB172" s="169"/>
      <c r="AC172" s="169"/>
      <c r="AD172" s="169"/>
      <c r="AE172" s="169"/>
      <c r="AF172" s="169"/>
      <c r="AG172" s="169"/>
      <c r="AH172" s="170"/>
      <c r="AJ172" s="452">
        <f ca="1">IF(AND($D172="Serviço",AJ$12&lt;&gt;0,$H172&gt;0,OR(AUTOEVENTO&lt;&gt;"manual",$M172&lt;&gt;$A$15)),
        IF(Import.TipoArredondamento&lt;&gt;"TransfereGOV",
              ROUND(OFFSET($P172,0,AJ$13),15-13*ORÇAMENTO!$AF$7)/$H172*OFFSET(ORÇAMENTO!$X$15,ROW(AJ172)-ROW(AJ$15),0),
              ROUND(ROUND(OFFSET($P172,0,AJ$13),15-13*ORÇAMENTO!$AF$7)*OFFSET(ORÇAMENTO!$W$15,ROW(AJ172)-ROW(AJ$15),0),15-13*ORÇAMENTO!$AF$11)),
         0)</f>
        <v>357.7</v>
      </c>
      <c r="AK172" s="452">
        <f ca="1">IF(AND($D172="Serviço",AK$12&lt;&gt;0,$H172&gt;0,OR(AUTOEVENTO&lt;&gt;"manual",$M172&lt;&gt;$A$15)),
        IF(Import.TipoArredondamento&lt;&gt;"TransfereGOV",
              ROUND(OFFSET($P172,0,AK$13),15-13*ORÇAMENTO!$AF$7)/$H172*OFFSET(ORÇAMENTO!$X$15,ROW(AK172)-ROW(AK$15),0),
              ROUND(ROUND(OFFSET($P172,0,AK$13),15-13*ORÇAMENTO!$AF$7)*OFFSET(ORÇAMENTO!$W$15,ROW(AK172)-ROW(AK$15),0),15-13*ORÇAMENTO!$AF$11)),
         0)</f>
        <v>357.7</v>
      </c>
      <c r="AL172" s="452">
        <f ca="1">IF(AND($D172="Serviço",AL$12&lt;&gt;0,$H172&gt;0,OR(AUTOEVENTO&lt;&gt;"manual",$M172&lt;&gt;$A$15)),
        IF(Import.TipoArredondamento&lt;&gt;"TransfereGOV",
              ROUND(OFFSET($P172,0,AL$13),15-13*ORÇAMENTO!$AF$7)/$H172*OFFSET(ORÇAMENTO!$X$15,ROW(AL172)-ROW(AL$15),0),
              ROUND(ROUND(OFFSET($P172,0,AL$13),15-13*ORÇAMENTO!$AF$7)*OFFSET(ORÇAMENTO!$W$15,ROW(AL172)-ROW(AL$15),0),15-13*ORÇAMENTO!$AF$11)),
         0)</f>
        <v>357.7</v>
      </c>
      <c r="AM172" s="452">
        <f ca="1">IF(AND($D172="Serviço",AM$12&lt;&gt;0,$H172&gt;0,OR(AUTOEVENTO&lt;&gt;"manual",$M172&lt;&gt;$A$15)),
        IF(Import.TipoArredondamento&lt;&gt;"TransfereGOV",
              ROUND(OFFSET($P172,0,AM$13),15-13*ORÇAMENTO!$AF$7)/$H172*OFFSET(ORÇAMENTO!$X$15,ROW(AM172)-ROW(AM$15),0),
              ROUND(ROUND(OFFSET($P172,0,AM$13),15-13*ORÇAMENTO!$AF$7)*OFFSET(ORÇAMENTO!$W$15,ROW(AM172)-ROW(AM$15),0),15-13*ORÇAMENTO!$AF$11)),
         0)</f>
        <v>357.7</v>
      </c>
      <c r="AN172" s="452">
        <f ca="1">IF(AND($D172="Serviço",AN$12&lt;&gt;0,$H172&gt;0,OR(AUTOEVENTO&lt;&gt;"manual",$M172&lt;&gt;$A$15)),
        IF(Import.TipoArredondamento&lt;&gt;"TransfereGOV",
              ROUND(OFFSET($P172,0,AN$13),15-13*ORÇAMENTO!$AF$7)/$H172*OFFSET(ORÇAMENTO!$X$15,ROW(AN172)-ROW(AN$15),0),
              ROUND(ROUND(OFFSET($P172,0,AN$13),15-13*ORÇAMENTO!$AF$7)*OFFSET(ORÇAMENTO!$W$15,ROW(AN172)-ROW(AN$15),0),15-13*ORÇAMENTO!$AF$11)),
         0)</f>
        <v>0</v>
      </c>
      <c r="AO172" s="452">
        <f ca="1">IF(AND($D172="Serviço",AO$12&lt;&gt;0,$H172&gt;0,OR(AUTOEVENTO&lt;&gt;"manual",$M172&lt;&gt;$A$15)),
        IF(Import.TipoArredondamento&lt;&gt;"TransfereGOV",
              ROUND(OFFSET($P172,0,AO$13),15-13*ORÇAMENTO!$AF$7)/$H172*OFFSET(ORÇAMENTO!$X$15,ROW(AO172)-ROW(AO$15),0),
              ROUND(ROUND(OFFSET($P172,0,AO$13),15-13*ORÇAMENTO!$AF$7)*OFFSET(ORÇAMENTO!$W$15,ROW(AO172)-ROW(AO$15),0),15-13*ORÇAMENTO!$AF$11)),
         0)</f>
        <v>0</v>
      </c>
      <c r="AP172" s="452">
        <f ca="1">IF(AND($D172="Serviço",AP$12&lt;&gt;0,$H172&gt;0,OR(AUTOEVENTO&lt;&gt;"manual",$M172&lt;&gt;$A$15)),
        IF(Import.TipoArredondamento&lt;&gt;"TransfereGOV",
              ROUND(OFFSET($P172,0,AP$13),15-13*ORÇAMENTO!$AF$7)/$H172*OFFSET(ORÇAMENTO!$X$15,ROW(AP172)-ROW(AP$15),0),
              ROUND(ROUND(OFFSET($P172,0,AP$13),15-13*ORÇAMENTO!$AF$7)*OFFSET(ORÇAMENTO!$W$15,ROW(AP172)-ROW(AP$15),0),15-13*ORÇAMENTO!$AF$11)),
         0)</f>
        <v>0</v>
      </c>
      <c r="AQ172" s="452">
        <f ca="1">IF(AND($D172="Serviço",AQ$12&lt;&gt;0,$H172&gt;0,OR(AUTOEVENTO&lt;&gt;"manual",$M172&lt;&gt;$A$15)),
        IF(Import.TipoArredondamento&lt;&gt;"TransfereGOV",
              ROUND(OFFSET($P172,0,AQ$13),15-13*ORÇAMENTO!$AF$7)/$H172*OFFSET(ORÇAMENTO!$X$15,ROW(AQ172)-ROW(AQ$15),0),
              ROUND(ROUND(OFFSET($P172,0,AQ$13),15-13*ORÇAMENTO!$AF$7)*OFFSET(ORÇAMENTO!$W$15,ROW(AQ172)-ROW(AQ$15),0),15-13*ORÇAMENTO!$AF$11)),
         0)</f>
        <v>0</v>
      </c>
      <c r="AR172" s="452">
        <f ca="1">IF(AND($D172="Serviço",AR$12&lt;&gt;0,$H172&gt;0,OR(AUTOEVENTO&lt;&gt;"manual",$M172&lt;&gt;$A$15)),
        IF(Import.TipoArredondamento&lt;&gt;"TransfereGOV",
              ROUND(OFFSET($P172,0,AR$13),15-13*ORÇAMENTO!$AF$7)/$H172*OFFSET(ORÇAMENTO!$X$15,ROW(AR172)-ROW(AR$15),0),
              ROUND(ROUND(OFFSET($P172,0,AR$13),15-13*ORÇAMENTO!$AF$7)*OFFSET(ORÇAMENTO!$W$15,ROW(AR172)-ROW(AR$15),0),15-13*ORÇAMENTO!$AF$11)),
         0)</f>
        <v>0</v>
      </c>
      <c r="AS172" s="452">
        <f ca="1">IF(AND($D172="Serviço",AS$12&lt;&gt;0,$H172&gt;0,OR(AUTOEVENTO&lt;&gt;"manual",$M172&lt;&gt;$A$15)),
        IF(Import.TipoArredondamento&lt;&gt;"TransfereGOV",
              ROUND(OFFSET($P172,0,AS$13),15-13*ORÇAMENTO!$AF$7)/$H172*OFFSET(ORÇAMENTO!$X$15,ROW(AS172)-ROW(AS$15),0),
              ROUND(ROUND(OFFSET($P172,0,AS$13),15-13*ORÇAMENTO!$AF$7)*OFFSET(ORÇAMENTO!$W$15,ROW(AS172)-ROW(AS$15),0),15-13*ORÇAMENTO!$AF$11)),
         0)</f>
        <v>0</v>
      </c>
      <c r="AT172" s="452">
        <f ca="1">IF(AND($D172="Serviço",AT$12&lt;&gt;0,$H172&gt;0,OR(AUTOEVENTO&lt;&gt;"manual",$M172&lt;&gt;$A$15)),
        IF(Import.TipoArredondamento&lt;&gt;"TransfereGOV",
              ROUND(OFFSET($P172,0,AT$13),15-13*ORÇAMENTO!$AF$7)/$H172*OFFSET(ORÇAMENTO!$X$15,ROW(AT172)-ROW(AT$15),0),
              ROUND(ROUND(OFFSET($P172,0,AT$13),15-13*ORÇAMENTO!$AF$7)*OFFSET(ORÇAMENTO!$W$15,ROW(AT172)-ROW(AT$15),0),15-13*ORÇAMENTO!$AF$11)),
         0)</f>
        <v>0</v>
      </c>
      <c r="AU172" s="452">
        <f ca="1">IF(AND($D172="Serviço",AU$12&lt;&gt;0,$H172&gt;0,OR(AUTOEVENTO&lt;&gt;"manual",$M172&lt;&gt;$A$15)),
        IF(Import.TipoArredondamento&lt;&gt;"TransfereGOV",
              ROUND(OFFSET($P172,0,AU$13),15-13*ORÇAMENTO!$AF$7)/$H172*OFFSET(ORÇAMENTO!$X$15,ROW(AU172)-ROW(AU$15),0),
              ROUND(ROUND(OFFSET($P172,0,AU$13),15-13*ORÇAMENTO!$AF$7)*OFFSET(ORÇAMENTO!$W$15,ROW(AU172)-ROW(AU$15),0),15-13*ORÇAMENTO!$AF$11)),
         0)</f>
        <v>0</v>
      </c>
      <c r="AV172" s="452">
        <f ca="1">IF(AND($D172="Serviço",AV$12&lt;&gt;0,$H172&gt;0,OR(AUTOEVENTO&lt;&gt;"manual",$M172&lt;&gt;$A$15)),
        IF(Import.TipoArredondamento&lt;&gt;"TransfereGOV",
              ROUND(OFFSET($P172,0,AV$13),15-13*ORÇAMENTO!$AF$7)/$H172*OFFSET(ORÇAMENTO!$X$15,ROW(AV172)-ROW(AV$15),0),
              ROUND(ROUND(OFFSET($P172,0,AV$13),15-13*ORÇAMENTO!$AF$7)*OFFSET(ORÇAMENTO!$W$15,ROW(AV172)-ROW(AV$15),0),15-13*ORÇAMENTO!$AF$11)),
         0)</f>
        <v>0</v>
      </c>
      <c r="AW172" s="452">
        <f ca="1">IF(AND($D172="Serviço",AW$12&lt;&gt;0,$H172&gt;0,OR(AUTOEVENTO&lt;&gt;"manual",$M172&lt;&gt;$A$15)),
        IF(Import.TipoArredondamento&lt;&gt;"TransfereGOV",
              ROUND(OFFSET($P172,0,AW$13),15-13*ORÇAMENTO!$AF$7)/$H172*OFFSET(ORÇAMENTO!$X$15,ROW(AW172)-ROW(AW$15),0),
              ROUND(ROUND(OFFSET($P172,0,AW$13),15-13*ORÇAMENTO!$AF$7)*OFFSET(ORÇAMENTO!$W$15,ROW(AW172)-ROW(AW$15),0),15-13*ORÇAMENTO!$AF$11)),
         0)</f>
        <v>0</v>
      </c>
      <c r="AX172" s="452">
        <f ca="1">IF(AND($D172="Serviço",AX$12&lt;&gt;0,$H172&gt;0,OR(AUTOEVENTO&lt;&gt;"manual",$M172&lt;&gt;$A$15)),
        IF(Import.TipoArredondamento&lt;&gt;"TransfereGOV",
              ROUND(OFFSET($P172,0,AX$13),15-13*ORÇAMENTO!$AF$7)/$H172*OFFSET(ORÇAMENTO!$X$15,ROW(AX172)-ROW(AX$15),0),
              ROUND(ROUND(OFFSET($P172,0,AX$13),15-13*ORÇAMENTO!$AF$7)*OFFSET(ORÇAMENTO!$W$15,ROW(AX172)-ROW(AX$15),0),15-13*ORÇAMENTO!$AF$11)),
         0)</f>
        <v>0</v>
      </c>
      <c r="AY172" s="452">
        <f ca="1">IF(AND($D172="Serviço",AY$12&lt;&gt;0,$H172&gt;0,OR(AUTOEVENTO&lt;&gt;"manual",$M172&lt;&gt;$A$15)),
        IF(Import.TipoArredondamento&lt;&gt;"TransfereGOV",
              ROUND(OFFSET($P172,0,AY$13),15-13*ORÇAMENTO!$AF$7)/$H172*OFFSET(ORÇAMENTO!$X$15,ROW(AY172)-ROW(AY$15),0),
              ROUND(ROUND(OFFSET($P172,0,AY$13),15-13*ORÇAMENTO!$AF$7)*OFFSET(ORÇAMENTO!$W$15,ROW(AY172)-ROW(AY$15),0),15-13*ORÇAMENTO!$AF$11)),
         0)</f>
        <v>0</v>
      </c>
      <c r="AZ172" s="452">
        <f ca="1">IF(AND($D172="Serviço",AZ$12&lt;&gt;0,$H172&gt;0,OR(AUTOEVENTO&lt;&gt;"manual",$M172&lt;&gt;$A$15)),
        IF(Import.TipoArredondamento&lt;&gt;"TransfereGOV",
              ROUND(OFFSET($P172,0,AZ$13),15-13*ORÇAMENTO!$AF$7)/$H172*OFFSET(ORÇAMENTO!$X$15,ROW(AZ172)-ROW(AZ$15),0),
              ROUND(ROUND(OFFSET($P172,0,AZ$13),15-13*ORÇAMENTO!$AF$7)*OFFSET(ORÇAMENTO!$W$15,ROW(AZ172)-ROW(AZ$15),0),15-13*ORÇAMENTO!$AF$11)),
         0)</f>
        <v>0</v>
      </c>
      <c r="BA172" s="452">
        <f ca="1">IF(AND($D172="Serviço",BA$12&lt;&gt;0,$H172&gt;0,OR(AUTOEVENTO&lt;&gt;"manual",$M172&lt;&gt;$A$15)),
        IF(Import.TipoArredondamento&lt;&gt;"TransfereGOV",
              ROUND(OFFSET($P172,0,BA$13),15-13*ORÇAMENTO!$AF$7)/$H172*OFFSET(ORÇAMENTO!$X$15,ROW(BA172)-ROW(BA$15),0),
              ROUND(ROUND(OFFSET($P172,0,BA$13),15-13*ORÇAMENTO!$AF$7)*OFFSET(ORÇAMENTO!$W$15,ROW(BA172)-ROW(BA$15),0),15-13*ORÇAMENTO!$AF$11)),
         0)</f>
        <v>0</v>
      </c>
      <c r="BC172" s="171">
        <f ca="1">IF(OR($D172&lt;&gt;"Serviço",AND(AUTOEVENTO="Manual",$M172=$A$15)),0,
         IF(OFFSET(CRONOPLE!$F$15,$M172-$A$15,BC$13)=0,10^12,OFFSET(CRONOPLE!$F$15,$M172-$A$15,BC$13)))</f>
        <v>5</v>
      </c>
      <c r="BD172" s="171">
        <f ca="1">IF(OR($D172&lt;&gt;"Serviço",AND(AUTOEVENTO="Manual",$M172=$A$15)),0,
         IF(OFFSET(CRONOPLE!$F$15,$M172-$A$15,BD$13)=0,10^12,OFFSET(CRONOPLE!$F$15,$M172-$A$15,BD$13)))</f>
        <v>5</v>
      </c>
      <c r="BE172" s="171">
        <f ca="1">IF(OR($D172&lt;&gt;"Serviço",AND(AUTOEVENTO="Manual",$M172=$A$15)),0,
         IF(OFFSET(CRONOPLE!$F$15,$M172-$A$15,BE$13)=0,10^12,OFFSET(CRONOPLE!$F$15,$M172-$A$15,BE$13)))</f>
        <v>6</v>
      </c>
      <c r="BF172" s="171">
        <f ca="1">IF(OR($D172&lt;&gt;"Serviço",AND(AUTOEVENTO="Manual",$M172=$A$15)),0,
         IF(OFFSET(CRONOPLE!$F$15,$M172-$A$15,BF$13)=0,10^12,OFFSET(CRONOPLE!$F$15,$M172-$A$15,BF$13)))</f>
        <v>6</v>
      </c>
      <c r="BG172" s="171">
        <f ca="1">IF(OR($D172&lt;&gt;"Serviço",AND(AUTOEVENTO="Manual",$M172=$A$15)),0,
         IF(OFFSET(CRONOPLE!$F$15,$M172-$A$15,BG$13)=0,10^12,OFFSET(CRONOPLE!$F$15,$M172-$A$15,BG$13)))</f>
        <v>6</v>
      </c>
      <c r="BH172" s="171">
        <f ca="1">IF(OR($D172&lt;&gt;"Serviço",AND(AUTOEVENTO="Manual",$M172=$A$15)),0,
         IF(OFFSET(CRONOPLE!$F$15,$M172-$A$15,BH$13)=0,10^12,OFFSET(CRONOPLE!$F$15,$M172-$A$15,BH$13)))</f>
        <v>1000000000000</v>
      </c>
      <c r="BI172" s="171">
        <f ca="1">IF(OR($D172&lt;&gt;"Serviço",AND(AUTOEVENTO="Manual",$M172=$A$15)),0,
         IF(OFFSET(CRONOPLE!$F$15,$M172-$A$15,BI$13)=0,10^12,OFFSET(CRONOPLE!$F$15,$M172-$A$15,BI$13)))</f>
        <v>1000000000000</v>
      </c>
      <c r="BJ172" s="171">
        <f ca="1">IF(OR($D172&lt;&gt;"Serviço",AND(AUTOEVENTO="Manual",$M172=$A$15)),0,
         IF(OFFSET(CRONOPLE!$F$15,$M172-$A$15,BJ$13)=0,10^12,OFFSET(CRONOPLE!$F$15,$M172-$A$15,BJ$13)))</f>
        <v>1000000000000</v>
      </c>
      <c r="BK172" s="171">
        <f ca="1">IF(OR($D172&lt;&gt;"Serviço",AND(AUTOEVENTO="Manual",$M172=$A$15)),0,
         IF(OFFSET(CRONOPLE!$F$15,$M172-$A$15,BK$13)=0,10^12,OFFSET(CRONOPLE!$F$15,$M172-$A$15,BK$13)))</f>
        <v>1000000000000</v>
      </c>
      <c r="BL172" s="171">
        <f ca="1">IF(OR($D172&lt;&gt;"Serviço",AND(AUTOEVENTO="Manual",$M172=$A$15)),0,
         IF(OFFSET(CRONOPLE!$F$15,$M172-$A$15,BL$13)=0,10^12,OFFSET(CRONOPLE!$F$15,$M172-$A$15,BL$13)))</f>
        <v>1000000000000</v>
      </c>
      <c r="BM172" s="171">
        <f ca="1">IF(OR($D172&lt;&gt;"Serviço",AND(AUTOEVENTO="Manual",$M172=$A$15)),0,
         IF(OFFSET(CRONOPLE!$F$15,$M172-$A$15,BM$13)=0,10^12,OFFSET(CRONOPLE!$F$15,$M172-$A$15,BM$13)))</f>
        <v>1000000000000</v>
      </c>
      <c r="BN172" s="171">
        <f ca="1">IF(OR($D172&lt;&gt;"Serviço",AND(AUTOEVENTO="Manual",$M172=$A$15)),0,
         IF(OFFSET(CRONOPLE!$F$15,$M172-$A$15,BN$13)=0,10^12,OFFSET(CRONOPLE!$F$15,$M172-$A$15,BN$13)))</f>
        <v>1000000000000</v>
      </c>
      <c r="BO172" s="171">
        <f ca="1">IF(OR($D172&lt;&gt;"Serviço",AND(AUTOEVENTO="Manual",$M172=$A$15)),0,
         IF(OFFSET(CRONOPLE!$F$15,$M172-$A$15,BO$13)=0,10^12,OFFSET(CRONOPLE!$F$15,$M172-$A$15,BO$13)))</f>
        <v>1000000000000</v>
      </c>
      <c r="BP172" s="171">
        <f ca="1">IF(OR($D172&lt;&gt;"Serviço",AND(AUTOEVENTO="Manual",$M172=$A$15)),0,
         IF(OFFSET(CRONOPLE!$F$15,$M172-$A$15,BP$13)=0,10^12,OFFSET(CRONOPLE!$F$15,$M172-$A$15,BP$13)))</f>
        <v>1000000000000</v>
      </c>
      <c r="BQ172" s="171">
        <f ca="1">IF(OR($D172&lt;&gt;"Serviço",AND(AUTOEVENTO="Manual",$M172=$A$15)),0,
         IF(OFFSET(CRONOPLE!$F$15,$M172-$A$15,BQ$13)=0,10^12,OFFSET(CRONOPLE!$F$15,$M172-$A$15,BQ$13)))</f>
        <v>1000000000000</v>
      </c>
      <c r="BR172" s="171">
        <f ca="1">IF(OR($D172&lt;&gt;"Serviço",AND(AUTOEVENTO="Manual",$M172=$A$15)),0,
         IF(OFFSET(CRONOPLE!$F$15,$M172-$A$15,BR$13)=0,10^12,OFFSET(CRONOPLE!$F$15,$M172-$A$15,BR$13)))</f>
        <v>1000000000000</v>
      </c>
      <c r="BS172" s="171">
        <f ca="1">IF(OR($D172&lt;&gt;"Serviço",AND(AUTOEVENTO="Manual",$M172=$A$15)),0,
         IF(OFFSET(CRONOPLE!$F$15,$M172-$A$15,BS$13)=0,10^12,OFFSET(CRONOPLE!$F$15,$M172-$A$15,BS$13)))</f>
        <v>1000000000000</v>
      </c>
      <c r="BT172" s="171">
        <f ca="1">IF(OR($D172&lt;&gt;"Serviço",AND(AUTOEVENTO="Manual",$M172=$A$15)),0,
         IF(OFFSET(CRONOPLE!$F$15,$M172-$A$15,BT$13)=0,10^12,OFFSET(CRONOPLE!$F$15,$M172-$A$15,BT$13)))</f>
        <v>1000000000000</v>
      </c>
      <c r="BV172" s="172">
        <f t="array" aca="1" ref="BV172" ca="1">IF(OR($D172&lt;&gt;"Serviço",AND(AUTOEVENTO="Manual",$M172=$A$15),$M172&gt;(ROW(PLE.lastrow)-ROW(PLE.firstrow))),0,
           IF(OFFSET(PLE!$G$15,$M172-$A$15,BV$13)="",10^12,OFFSET(PLE!$G$15,$M172-$A$15,BV$13)))</f>
        <v>1000000000000</v>
      </c>
      <c r="BW172" s="172">
        <f t="array" aca="1" ref="BW172" ca="1">IF(OR($D172&lt;&gt;"Serviço",AND(AUTOEVENTO="Manual",$M172=$A$15),$M172&gt;(ROW(PLE.lastrow)-ROW(PLE.firstrow))),0,
           IF(OFFSET(PLE!$G$15,$M172-$A$15,BW$13)="",10^12,OFFSET(PLE!$G$15,$M172-$A$15,BW$13)))</f>
        <v>1000000000000</v>
      </c>
      <c r="BX172" s="172">
        <f t="array" aca="1" ref="BX172" ca="1">IF(OR($D172&lt;&gt;"Serviço",AND(AUTOEVENTO="Manual",$M172=$A$15),$M172&gt;(ROW(PLE.lastrow)-ROW(PLE.firstrow))),0,
           IF(OFFSET(PLE!$G$15,$M172-$A$15,BX$13)="",10^12,OFFSET(PLE!$G$15,$M172-$A$15,BX$13)))</f>
        <v>1000000000000</v>
      </c>
      <c r="BY172" s="172">
        <f t="array" aca="1" ref="BY172" ca="1">IF(OR($D172&lt;&gt;"Serviço",AND(AUTOEVENTO="Manual",$M172=$A$15),$M172&gt;(ROW(PLE.lastrow)-ROW(PLE.firstrow))),0,
           IF(OFFSET(PLE!$G$15,$M172-$A$15,BY$13)="",10^12,OFFSET(PLE!$G$15,$M172-$A$15,BY$13)))</f>
        <v>1000000000000</v>
      </c>
      <c r="BZ172" s="172">
        <f t="array" aca="1" ref="BZ172" ca="1">IF(OR($D172&lt;&gt;"Serviço",AND(AUTOEVENTO="Manual",$M172=$A$15),$M172&gt;(ROW(PLE.lastrow)-ROW(PLE.firstrow))),0,
           IF(OFFSET(PLE!$G$15,$M172-$A$15,BZ$13)="",10^12,OFFSET(PLE!$G$15,$M172-$A$15,BZ$13)))</f>
        <v>1000000000000</v>
      </c>
      <c r="CA172" s="172">
        <f t="array" aca="1" ref="CA172" ca="1">IF(OR($D172&lt;&gt;"Serviço",AND(AUTOEVENTO="Manual",$M172=$A$15),$M172&gt;(ROW(PLE.lastrow)-ROW(PLE.firstrow))),0,
           IF(OFFSET(PLE!$G$15,$M172-$A$15,CA$13)="",10^12,OFFSET(PLE!$G$15,$M172-$A$15,CA$13)))</f>
        <v>1000000000000</v>
      </c>
      <c r="CB172" s="172">
        <f t="array" aca="1" ref="CB172" ca="1">IF(OR($D172&lt;&gt;"Serviço",AND(AUTOEVENTO="Manual",$M172=$A$15),$M172&gt;(ROW(PLE.lastrow)-ROW(PLE.firstrow))),0,
           IF(OFFSET(PLE!$G$15,$M172-$A$15,CB$13)="",10^12,OFFSET(PLE!$G$15,$M172-$A$15,CB$13)))</f>
        <v>1000000000000</v>
      </c>
      <c r="CC172" s="172">
        <f t="array" aca="1" ref="CC172" ca="1">IF(OR($D172&lt;&gt;"Serviço",AND(AUTOEVENTO="Manual",$M172=$A$15),$M172&gt;(ROW(PLE.lastrow)-ROW(PLE.firstrow))),0,
           IF(OFFSET(PLE!$G$15,$M172-$A$15,CC$13)="",10^12,OFFSET(PLE!$G$15,$M172-$A$15,CC$13)))</f>
        <v>1000000000000</v>
      </c>
      <c r="CD172" s="172">
        <f t="array" aca="1" ref="CD172" ca="1">IF(OR($D172&lt;&gt;"Serviço",AND(AUTOEVENTO="Manual",$M172=$A$15),$M172&gt;(ROW(PLE.lastrow)-ROW(PLE.firstrow))),0,
           IF(OFFSET(PLE!$G$15,$M172-$A$15,CD$13)="",10^12,OFFSET(PLE!$G$15,$M172-$A$15,CD$13)))</f>
        <v>1000000000000</v>
      </c>
      <c r="CE172" s="172">
        <f t="array" aca="1" ref="CE172" ca="1">IF(OR($D172&lt;&gt;"Serviço",AND(AUTOEVENTO="Manual",$M172=$A$15),$M172&gt;(ROW(PLE.lastrow)-ROW(PLE.firstrow))),0,
           IF(OFFSET(PLE!$G$15,$M172-$A$15,CE$13)="",10^12,OFFSET(PLE!$G$15,$M172-$A$15,CE$13)))</f>
        <v>1000000000000</v>
      </c>
      <c r="CF172" s="172">
        <f t="array" aca="1" ref="CF172" ca="1">IF(OR($D172&lt;&gt;"Serviço",AND(AUTOEVENTO="Manual",$M172=$A$15),$M172&gt;(ROW(PLE.lastrow)-ROW(PLE.firstrow))),0,
           IF(OFFSET(PLE!$G$15,$M172-$A$15,CF$13)="",10^12,OFFSET(PLE!$G$15,$M172-$A$15,CF$13)))</f>
        <v>1000000000000</v>
      </c>
      <c r="CG172" s="172">
        <f t="array" aca="1" ref="CG172" ca="1">IF(OR($D172&lt;&gt;"Serviço",AND(AUTOEVENTO="Manual",$M172=$A$15),$M172&gt;(ROW(PLE.lastrow)-ROW(PLE.firstrow))),0,
           IF(OFFSET(PLE!$G$15,$M172-$A$15,CG$13)="",10^12,OFFSET(PLE!$G$15,$M172-$A$15,CG$13)))</f>
        <v>1000000000000</v>
      </c>
      <c r="CH172" s="172">
        <f t="array" aca="1" ref="CH172" ca="1">IF(OR($D172&lt;&gt;"Serviço",AND(AUTOEVENTO="Manual",$M172=$A$15),$M172&gt;(ROW(PLE.lastrow)-ROW(PLE.firstrow))),0,
           IF(OFFSET(PLE!$G$15,$M172-$A$15,CH$13)="",10^12,OFFSET(PLE!$G$15,$M172-$A$15,CH$13)))</f>
        <v>1000000000000</v>
      </c>
      <c r="CI172" s="172">
        <f t="array" aca="1" ref="CI172" ca="1">IF(OR($D172&lt;&gt;"Serviço",AND(AUTOEVENTO="Manual",$M172=$A$15),$M172&gt;(ROW(PLE.lastrow)-ROW(PLE.firstrow))),0,
           IF(OFFSET(PLE!$G$15,$M172-$A$15,CI$13)="",10^12,OFFSET(PLE!$G$15,$M172-$A$15,CI$13)))</f>
        <v>1000000000000</v>
      </c>
      <c r="CJ172" s="172">
        <f t="array" aca="1" ref="CJ172" ca="1">IF(OR($D172&lt;&gt;"Serviço",AND(AUTOEVENTO="Manual",$M172=$A$15),$M172&gt;(ROW(PLE.lastrow)-ROW(PLE.firstrow))),0,
           IF(OFFSET(PLE!$G$15,$M172-$A$15,CJ$13)="",10^12,OFFSET(PLE!$G$15,$M172-$A$15,CJ$13)))</f>
        <v>1000000000000</v>
      </c>
      <c r="CK172" s="172">
        <f t="array" aca="1" ref="CK172" ca="1">IF(OR($D172&lt;&gt;"Serviço",AND(AUTOEVENTO="Manual",$M172=$A$15),$M172&gt;(ROW(PLE.lastrow)-ROW(PLE.firstrow))),0,
           IF(OFFSET(PLE!$G$15,$M172-$A$15,CK$13)="",10^12,OFFSET(PLE!$G$15,$M172-$A$15,CK$13)))</f>
        <v>1000000000000</v>
      </c>
      <c r="CL172" s="172">
        <f t="array" aca="1" ref="CL172" ca="1">IF(OR($D172&lt;&gt;"Serviço",AND(AUTOEVENTO="Manual",$M172=$A$15),$M172&gt;(ROW(PLE.lastrow)-ROW(PLE.firstrow))),0,
           IF(OFFSET(PLE!$G$15,$M172-$A$15,CL$13)="",10^12,OFFSET(PLE!$G$15,$M172-$A$15,CL$13)))</f>
        <v>1000000000000</v>
      </c>
      <c r="CM172" s="172">
        <f t="array" aca="1" ref="CM172" ca="1">IF(OR($D172&lt;&gt;"Serviço",AND(AUTOEVENTO="Manual",$M172=$A$15),$M172&gt;(ROW(PLE.lastrow)-ROW(PLE.firstrow))),0,
           IF(OFFSET(PLE!$G$15,$M172-$A$15,CM$13)="",10^12,OFFSET(PLE!$G$15,$M172-$A$15,CM$13)))</f>
        <v>1000000000000</v>
      </c>
    </row>
    <row r="173" spans="1:91" s="696" customFormat="1" ht="51" x14ac:dyDescent="0.2">
      <c r="A173" s="694">
        <f t="shared" ca="1" si="82"/>
        <v>38</v>
      </c>
      <c r="B173" s="694" t="str">
        <f ca="1">OFFSET(ORÇAMENTO!C$15,$L173,0)</f>
        <v>S</v>
      </c>
      <c r="C173" s="694" t="str">
        <f ca="1">OFFSET(ORÇAMENTO!L$15,$L173,0)</f>
        <v>F</v>
      </c>
      <c r="D173" s="116" t="str">
        <f ca="1">OFFSET(ORÇAMENTO!N$15,$L173,0)</f>
        <v>Serviço</v>
      </c>
      <c r="E173" s="117" t="str">
        <f ca="1">OFFSET(ORÇAMENTO!O$15,$L173,0)</f>
        <v>1.27.4.</v>
      </c>
      <c r="F173" s="163" t="str">
        <f ca="1">OFFSET(ORÇAMENTO!R$15,$L173,0)</f>
        <v>ENGATE FLEXÍVEL EM PLÁSTICO BRANCO, 1/2" X 40CM - FORNECIMENTO E INSTALAÇÃO. AF_01/2020</v>
      </c>
      <c r="G173" s="164" t="str">
        <f ca="1">IF($D173&lt;&gt;"Serviço","",OFFSET(ORÇAMENTO!S$15,$L173,0))</f>
        <v>UN</v>
      </c>
      <c r="H173" s="122">
        <f t="array" aca="1" ref="H173" ca="1">IF($D173&lt;&gt;"Serviço",0,IF(ACOMPANHAMENTO="BM",ROUND(OFFSET(ORÇAMENTO!AJ$15,$L173,0),15-13*ORÇAMENTO!$AF$7),IF(IFERROR(CÁLCULO.FrentesPreenchidas,0)=0,0,SUM(ROUND(OFFSET($P173,0,1,1,CÁLCULO.FrentesPreenchidas),15-13*ORÇAMENTO!$AF$7)))))</f>
        <v>80</v>
      </c>
      <c r="I173" s="467" t="s">
        <v>1319</v>
      </c>
      <c r="J173" s="653" t="str">
        <f t="array" aca="1" ref="J173" ca="1">IF(OR(B173&lt;&gt;"S",CÁLCULO.FrentesPreenchidas=0),"",IF(AND(ACOMPANHAMENTO="PLE",AUTOEVENTO="Manual",OR(H173&gt;0,ORÇAMENTO!AC173="QUANT."),OR(K173="",M173=0,N173="")),"►E",IF(AND(ACOMPANHAMENTO="PLE",ORÇAMENTO!AC173="QUANT."),"►Q",IF(AND(ACOMPANHAMENTO="PLE",H173&lt;&gt;SUMPRODUCT(($Q$1:$AI$1=1)*ROUND(Q173:AI173,15))),"►S",IF(AND(COUNTIF($P$11:$AI$11,"▼")=0,H173&gt;0,I173=""),"◄M","")))))</f>
        <v/>
      </c>
      <c r="K173" s="654" t="s">
        <v>1445</v>
      </c>
      <c r="L173" s="165">
        <f t="shared" ca="1" si="83"/>
        <v>158</v>
      </c>
      <c r="M173" s="166">
        <f ca="1">IF($D173&lt;&gt;"Serviço","",
          IF(AUTOEVENTO="manual",$A173,
                IF(ISERROR(MATCH($A173,$A$15:OFFSET($A173,-1,0),0)),MAX($M$15:OFFSET(M173,-1,0))+1,
                      INDEX($M$15:OFFSET(M173,-1,0),MATCH($A173,$A$15:OFFSET($A173,-1,0),0)))))</f>
        <v>38</v>
      </c>
      <c r="N173" s="167" t="str">
        <f ca="1">IF($D173&lt;&gt;"Serviço","",
         IF(AUTOEVENTO="Manual",
                IF($A173=0,"&lt;-- defina o número do agrupador",
                       OFFSET(EVENTOS!$D$15,$A173-$A$15,0)),
                OFFSET($F$15,$A173,0)))</f>
        <v>HIDRÁULICA EMBUTIDA EM PAREDE</v>
      </c>
      <c r="O173" s="168"/>
      <c r="Q173" s="169">
        <v>20</v>
      </c>
      <c r="R173" s="169">
        <v>20</v>
      </c>
      <c r="S173" s="169">
        <v>20</v>
      </c>
      <c r="T173" s="169">
        <v>20</v>
      </c>
      <c r="U173" s="169"/>
      <c r="V173" s="169"/>
      <c r="W173" s="169"/>
      <c r="X173" s="169"/>
      <c r="Y173" s="169"/>
      <c r="Z173" s="170"/>
      <c r="AA173" s="169"/>
      <c r="AB173" s="169"/>
      <c r="AC173" s="169"/>
      <c r="AD173" s="169"/>
      <c r="AE173" s="169"/>
      <c r="AF173" s="169"/>
      <c r="AG173" s="169"/>
      <c r="AH173" s="170"/>
      <c r="AJ173" s="452">
        <f ca="1">IF(AND($D173="Serviço",AJ$12&lt;&gt;0,$H173&gt;0,OR(AUTOEVENTO&lt;&gt;"manual",$M173&lt;&gt;$A$15)),
        IF(Import.TipoArredondamento&lt;&gt;"TransfereGOV",
              ROUND(OFFSET($P173,0,AJ$13),15-13*ORÇAMENTO!$AF$7)/$H173*OFFSET(ORÇAMENTO!$X$15,ROW(AJ173)-ROW(AJ$15),0),
              ROUND(ROUND(OFFSET($P173,0,AJ$13),15-13*ORÇAMENTO!$AF$7)*OFFSET(ORÇAMENTO!$W$15,ROW(AJ173)-ROW(AJ$15),0),15-13*ORÇAMENTO!$AF$11)),
         0)</f>
        <v>307.39999999999998</v>
      </c>
      <c r="AK173" s="452">
        <f ca="1">IF(AND($D173="Serviço",AK$12&lt;&gt;0,$H173&gt;0,OR(AUTOEVENTO&lt;&gt;"manual",$M173&lt;&gt;$A$15)),
        IF(Import.TipoArredondamento&lt;&gt;"TransfereGOV",
              ROUND(OFFSET($P173,0,AK$13),15-13*ORÇAMENTO!$AF$7)/$H173*OFFSET(ORÇAMENTO!$X$15,ROW(AK173)-ROW(AK$15),0),
              ROUND(ROUND(OFFSET($P173,0,AK$13),15-13*ORÇAMENTO!$AF$7)*OFFSET(ORÇAMENTO!$W$15,ROW(AK173)-ROW(AK$15),0),15-13*ORÇAMENTO!$AF$11)),
         0)</f>
        <v>307.39999999999998</v>
      </c>
      <c r="AL173" s="452">
        <f ca="1">IF(AND($D173="Serviço",AL$12&lt;&gt;0,$H173&gt;0,OR(AUTOEVENTO&lt;&gt;"manual",$M173&lt;&gt;$A$15)),
        IF(Import.TipoArredondamento&lt;&gt;"TransfereGOV",
              ROUND(OFFSET($P173,0,AL$13),15-13*ORÇAMENTO!$AF$7)/$H173*OFFSET(ORÇAMENTO!$X$15,ROW(AL173)-ROW(AL$15),0),
              ROUND(ROUND(OFFSET($P173,0,AL$13),15-13*ORÇAMENTO!$AF$7)*OFFSET(ORÇAMENTO!$W$15,ROW(AL173)-ROW(AL$15),0),15-13*ORÇAMENTO!$AF$11)),
         0)</f>
        <v>307.39999999999998</v>
      </c>
      <c r="AM173" s="452">
        <f ca="1">IF(AND($D173="Serviço",AM$12&lt;&gt;0,$H173&gt;0,OR(AUTOEVENTO&lt;&gt;"manual",$M173&lt;&gt;$A$15)),
        IF(Import.TipoArredondamento&lt;&gt;"TransfereGOV",
              ROUND(OFFSET($P173,0,AM$13),15-13*ORÇAMENTO!$AF$7)/$H173*OFFSET(ORÇAMENTO!$X$15,ROW(AM173)-ROW(AM$15),0),
              ROUND(ROUND(OFFSET($P173,0,AM$13),15-13*ORÇAMENTO!$AF$7)*OFFSET(ORÇAMENTO!$W$15,ROW(AM173)-ROW(AM$15),0),15-13*ORÇAMENTO!$AF$11)),
         0)</f>
        <v>307.39999999999998</v>
      </c>
      <c r="AN173" s="452">
        <f ca="1">IF(AND($D173="Serviço",AN$12&lt;&gt;0,$H173&gt;0,OR(AUTOEVENTO&lt;&gt;"manual",$M173&lt;&gt;$A$15)),
        IF(Import.TipoArredondamento&lt;&gt;"TransfereGOV",
              ROUND(OFFSET($P173,0,AN$13),15-13*ORÇAMENTO!$AF$7)/$H173*OFFSET(ORÇAMENTO!$X$15,ROW(AN173)-ROW(AN$15),0),
              ROUND(ROUND(OFFSET($P173,0,AN$13),15-13*ORÇAMENTO!$AF$7)*OFFSET(ORÇAMENTO!$W$15,ROW(AN173)-ROW(AN$15),0),15-13*ORÇAMENTO!$AF$11)),
         0)</f>
        <v>0</v>
      </c>
      <c r="AO173" s="452">
        <f ca="1">IF(AND($D173="Serviço",AO$12&lt;&gt;0,$H173&gt;0,OR(AUTOEVENTO&lt;&gt;"manual",$M173&lt;&gt;$A$15)),
        IF(Import.TipoArredondamento&lt;&gt;"TransfereGOV",
              ROUND(OFFSET($P173,0,AO$13),15-13*ORÇAMENTO!$AF$7)/$H173*OFFSET(ORÇAMENTO!$X$15,ROW(AO173)-ROW(AO$15),0),
              ROUND(ROUND(OFFSET($P173,0,AO$13),15-13*ORÇAMENTO!$AF$7)*OFFSET(ORÇAMENTO!$W$15,ROW(AO173)-ROW(AO$15),0),15-13*ORÇAMENTO!$AF$11)),
         0)</f>
        <v>0</v>
      </c>
      <c r="AP173" s="452">
        <f ca="1">IF(AND($D173="Serviço",AP$12&lt;&gt;0,$H173&gt;0,OR(AUTOEVENTO&lt;&gt;"manual",$M173&lt;&gt;$A$15)),
        IF(Import.TipoArredondamento&lt;&gt;"TransfereGOV",
              ROUND(OFFSET($P173,0,AP$13),15-13*ORÇAMENTO!$AF$7)/$H173*OFFSET(ORÇAMENTO!$X$15,ROW(AP173)-ROW(AP$15),0),
              ROUND(ROUND(OFFSET($P173,0,AP$13),15-13*ORÇAMENTO!$AF$7)*OFFSET(ORÇAMENTO!$W$15,ROW(AP173)-ROW(AP$15),0),15-13*ORÇAMENTO!$AF$11)),
         0)</f>
        <v>0</v>
      </c>
      <c r="AQ173" s="452">
        <f ca="1">IF(AND($D173="Serviço",AQ$12&lt;&gt;0,$H173&gt;0,OR(AUTOEVENTO&lt;&gt;"manual",$M173&lt;&gt;$A$15)),
        IF(Import.TipoArredondamento&lt;&gt;"TransfereGOV",
              ROUND(OFFSET($P173,0,AQ$13),15-13*ORÇAMENTO!$AF$7)/$H173*OFFSET(ORÇAMENTO!$X$15,ROW(AQ173)-ROW(AQ$15),0),
              ROUND(ROUND(OFFSET($P173,0,AQ$13),15-13*ORÇAMENTO!$AF$7)*OFFSET(ORÇAMENTO!$W$15,ROW(AQ173)-ROW(AQ$15),0),15-13*ORÇAMENTO!$AF$11)),
         0)</f>
        <v>0</v>
      </c>
      <c r="AR173" s="452">
        <f ca="1">IF(AND($D173="Serviço",AR$12&lt;&gt;0,$H173&gt;0,OR(AUTOEVENTO&lt;&gt;"manual",$M173&lt;&gt;$A$15)),
        IF(Import.TipoArredondamento&lt;&gt;"TransfereGOV",
              ROUND(OFFSET($P173,0,AR$13),15-13*ORÇAMENTO!$AF$7)/$H173*OFFSET(ORÇAMENTO!$X$15,ROW(AR173)-ROW(AR$15),0),
              ROUND(ROUND(OFFSET($P173,0,AR$13),15-13*ORÇAMENTO!$AF$7)*OFFSET(ORÇAMENTO!$W$15,ROW(AR173)-ROW(AR$15),0),15-13*ORÇAMENTO!$AF$11)),
         0)</f>
        <v>0</v>
      </c>
      <c r="AS173" s="452">
        <f ca="1">IF(AND($D173="Serviço",AS$12&lt;&gt;0,$H173&gt;0,OR(AUTOEVENTO&lt;&gt;"manual",$M173&lt;&gt;$A$15)),
        IF(Import.TipoArredondamento&lt;&gt;"TransfereGOV",
              ROUND(OFFSET($P173,0,AS$13),15-13*ORÇAMENTO!$AF$7)/$H173*OFFSET(ORÇAMENTO!$X$15,ROW(AS173)-ROW(AS$15),0),
              ROUND(ROUND(OFFSET($P173,0,AS$13),15-13*ORÇAMENTO!$AF$7)*OFFSET(ORÇAMENTO!$W$15,ROW(AS173)-ROW(AS$15),0),15-13*ORÇAMENTO!$AF$11)),
         0)</f>
        <v>0</v>
      </c>
      <c r="AT173" s="452">
        <f ca="1">IF(AND($D173="Serviço",AT$12&lt;&gt;0,$H173&gt;0,OR(AUTOEVENTO&lt;&gt;"manual",$M173&lt;&gt;$A$15)),
        IF(Import.TipoArredondamento&lt;&gt;"TransfereGOV",
              ROUND(OFFSET($P173,0,AT$13),15-13*ORÇAMENTO!$AF$7)/$H173*OFFSET(ORÇAMENTO!$X$15,ROW(AT173)-ROW(AT$15),0),
              ROUND(ROUND(OFFSET($P173,0,AT$13),15-13*ORÇAMENTO!$AF$7)*OFFSET(ORÇAMENTO!$W$15,ROW(AT173)-ROW(AT$15),0),15-13*ORÇAMENTO!$AF$11)),
         0)</f>
        <v>0</v>
      </c>
      <c r="AU173" s="452">
        <f ca="1">IF(AND($D173="Serviço",AU$12&lt;&gt;0,$H173&gt;0,OR(AUTOEVENTO&lt;&gt;"manual",$M173&lt;&gt;$A$15)),
        IF(Import.TipoArredondamento&lt;&gt;"TransfereGOV",
              ROUND(OFFSET($P173,0,AU$13),15-13*ORÇAMENTO!$AF$7)/$H173*OFFSET(ORÇAMENTO!$X$15,ROW(AU173)-ROW(AU$15),0),
              ROUND(ROUND(OFFSET($P173,0,AU$13),15-13*ORÇAMENTO!$AF$7)*OFFSET(ORÇAMENTO!$W$15,ROW(AU173)-ROW(AU$15),0),15-13*ORÇAMENTO!$AF$11)),
         0)</f>
        <v>0</v>
      </c>
      <c r="AV173" s="452">
        <f ca="1">IF(AND($D173="Serviço",AV$12&lt;&gt;0,$H173&gt;0,OR(AUTOEVENTO&lt;&gt;"manual",$M173&lt;&gt;$A$15)),
        IF(Import.TipoArredondamento&lt;&gt;"TransfereGOV",
              ROUND(OFFSET($P173,0,AV$13),15-13*ORÇAMENTO!$AF$7)/$H173*OFFSET(ORÇAMENTO!$X$15,ROW(AV173)-ROW(AV$15),0),
              ROUND(ROUND(OFFSET($P173,0,AV$13),15-13*ORÇAMENTO!$AF$7)*OFFSET(ORÇAMENTO!$W$15,ROW(AV173)-ROW(AV$15),0),15-13*ORÇAMENTO!$AF$11)),
         0)</f>
        <v>0</v>
      </c>
      <c r="AW173" s="452">
        <f ca="1">IF(AND($D173="Serviço",AW$12&lt;&gt;0,$H173&gt;0,OR(AUTOEVENTO&lt;&gt;"manual",$M173&lt;&gt;$A$15)),
        IF(Import.TipoArredondamento&lt;&gt;"TransfereGOV",
              ROUND(OFFSET($P173,0,AW$13),15-13*ORÇAMENTO!$AF$7)/$H173*OFFSET(ORÇAMENTO!$X$15,ROW(AW173)-ROW(AW$15),0),
              ROUND(ROUND(OFFSET($P173,0,AW$13),15-13*ORÇAMENTO!$AF$7)*OFFSET(ORÇAMENTO!$W$15,ROW(AW173)-ROW(AW$15),0),15-13*ORÇAMENTO!$AF$11)),
         0)</f>
        <v>0</v>
      </c>
      <c r="AX173" s="452">
        <f ca="1">IF(AND($D173="Serviço",AX$12&lt;&gt;0,$H173&gt;0,OR(AUTOEVENTO&lt;&gt;"manual",$M173&lt;&gt;$A$15)),
        IF(Import.TipoArredondamento&lt;&gt;"TransfereGOV",
              ROUND(OFFSET($P173,0,AX$13),15-13*ORÇAMENTO!$AF$7)/$H173*OFFSET(ORÇAMENTO!$X$15,ROW(AX173)-ROW(AX$15),0),
              ROUND(ROUND(OFFSET($P173,0,AX$13),15-13*ORÇAMENTO!$AF$7)*OFFSET(ORÇAMENTO!$W$15,ROW(AX173)-ROW(AX$15),0),15-13*ORÇAMENTO!$AF$11)),
         0)</f>
        <v>0</v>
      </c>
      <c r="AY173" s="452">
        <f ca="1">IF(AND($D173="Serviço",AY$12&lt;&gt;0,$H173&gt;0,OR(AUTOEVENTO&lt;&gt;"manual",$M173&lt;&gt;$A$15)),
        IF(Import.TipoArredondamento&lt;&gt;"TransfereGOV",
              ROUND(OFFSET($P173,0,AY$13),15-13*ORÇAMENTO!$AF$7)/$H173*OFFSET(ORÇAMENTO!$X$15,ROW(AY173)-ROW(AY$15),0),
              ROUND(ROUND(OFFSET($P173,0,AY$13),15-13*ORÇAMENTO!$AF$7)*OFFSET(ORÇAMENTO!$W$15,ROW(AY173)-ROW(AY$15),0),15-13*ORÇAMENTO!$AF$11)),
         0)</f>
        <v>0</v>
      </c>
      <c r="AZ173" s="452">
        <f ca="1">IF(AND($D173="Serviço",AZ$12&lt;&gt;0,$H173&gt;0,OR(AUTOEVENTO&lt;&gt;"manual",$M173&lt;&gt;$A$15)),
        IF(Import.TipoArredondamento&lt;&gt;"TransfereGOV",
              ROUND(OFFSET($P173,0,AZ$13),15-13*ORÇAMENTO!$AF$7)/$H173*OFFSET(ORÇAMENTO!$X$15,ROW(AZ173)-ROW(AZ$15),0),
              ROUND(ROUND(OFFSET($P173,0,AZ$13),15-13*ORÇAMENTO!$AF$7)*OFFSET(ORÇAMENTO!$W$15,ROW(AZ173)-ROW(AZ$15),0),15-13*ORÇAMENTO!$AF$11)),
         0)</f>
        <v>0</v>
      </c>
      <c r="BA173" s="452">
        <f ca="1">IF(AND($D173="Serviço",BA$12&lt;&gt;0,$H173&gt;0,OR(AUTOEVENTO&lt;&gt;"manual",$M173&lt;&gt;$A$15)),
        IF(Import.TipoArredondamento&lt;&gt;"TransfereGOV",
              ROUND(OFFSET($P173,0,BA$13),15-13*ORÇAMENTO!$AF$7)/$H173*OFFSET(ORÇAMENTO!$X$15,ROW(BA173)-ROW(BA$15),0),
              ROUND(ROUND(OFFSET($P173,0,BA$13),15-13*ORÇAMENTO!$AF$7)*OFFSET(ORÇAMENTO!$W$15,ROW(BA173)-ROW(BA$15),0),15-13*ORÇAMENTO!$AF$11)),
         0)</f>
        <v>0</v>
      </c>
      <c r="BC173" s="171">
        <f ca="1">IF(OR($D173&lt;&gt;"Serviço",AND(AUTOEVENTO="Manual",$M173=$A$15)),0,
         IF(OFFSET(CRONOPLE!$F$15,$M173-$A$15,BC$13)=0,10^12,OFFSET(CRONOPLE!$F$15,$M173-$A$15,BC$13)))</f>
        <v>5</v>
      </c>
      <c r="BD173" s="171">
        <f ca="1">IF(OR($D173&lt;&gt;"Serviço",AND(AUTOEVENTO="Manual",$M173=$A$15)),0,
         IF(OFFSET(CRONOPLE!$F$15,$M173-$A$15,BD$13)=0,10^12,OFFSET(CRONOPLE!$F$15,$M173-$A$15,BD$13)))</f>
        <v>5</v>
      </c>
      <c r="BE173" s="171">
        <f ca="1">IF(OR($D173&lt;&gt;"Serviço",AND(AUTOEVENTO="Manual",$M173=$A$15)),0,
         IF(OFFSET(CRONOPLE!$F$15,$M173-$A$15,BE$13)=0,10^12,OFFSET(CRONOPLE!$F$15,$M173-$A$15,BE$13)))</f>
        <v>6</v>
      </c>
      <c r="BF173" s="171">
        <f ca="1">IF(OR($D173&lt;&gt;"Serviço",AND(AUTOEVENTO="Manual",$M173=$A$15)),0,
         IF(OFFSET(CRONOPLE!$F$15,$M173-$A$15,BF$13)=0,10^12,OFFSET(CRONOPLE!$F$15,$M173-$A$15,BF$13)))</f>
        <v>6</v>
      </c>
      <c r="BG173" s="171">
        <f ca="1">IF(OR($D173&lt;&gt;"Serviço",AND(AUTOEVENTO="Manual",$M173=$A$15)),0,
         IF(OFFSET(CRONOPLE!$F$15,$M173-$A$15,BG$13)=0,10^12,OFFSET(CRONOPLE!$F$15,$M173-$A$15,BG$13)))</f>
        <v>6</v>
      </c>
      <c r="BH173" s="171">
        <f ca="1">IF(OR($D173&lt;&gt;"Serviço",AND(AUTOEVENTO="Manual",$M173=$A$15)),0,
         IF(OFFSET(CRONOPLE!$F$15,$M173-$A$15,BH$13)=0,10^12,OFFSET(CRONOPLE!$F$15,$M173-$A$15,BH$13)))</f>
        <v>1000000000000</v>
      </c>
      <c r="BI173" s="171">
        <f ca="1">IF(OR($D173&lt;&gt;"Serviço",AND(AUTOEVENTO="Manual",$M173=$A$15)),0,
         IF(OFFSET(CRONOPLE!$F$15,$M173-$A$15,BI$13)=0,10^12,OFFSET(CRONOPLE!$F$15,$M173-$A$15,BI$13)))</f>
        <v>1000000000000</v>
      </c>
      <c r="BJ173" s="171">
        <f ca="1">IF(OR($D173&lt;&gt;"Serviço",AND(AUTOEVENTO="Manual",$M173=$A$15)),0,
         IF(OFFSET(CRONOPLE!$F$15,$M173-$A$15,BJ$13)=0,10^12,OFFSET(CRONOPLE!$F$15,$M173-$A$15,BJ$13)))</f>
        <v>1000000000000</v>
      </c>
      <c r="BK173" s="171">
        <f ca="1">IF(OR($D173&lt;&gt;"Serviço",AND(AUTOEVENTO="Manual",$M173=$A$15)),0,
         IF(OFFSET(CRONOPLE!$F$15,$M173-$A$15,BK$13)=0,10^12,OFFSET(CRONOPLE!$F$15,$M173-$A$15,BK$13)))</f>
        <v>1000000000000</v>
      </c>
      <c r="BL173" s="171">
        <f ca="1">IF(OR($D173&lt;&gt;"Serviço",AND(AUTOEVENTO="Manual",$M173=$A$15)),0,
         IF(OFFSET(CRONOPLE!$F$15,$M173-$A$15,BL$13)=0,10^12,OFFSET(CRONOPLE!$F$15,$M173-$A$15,BL$13)))</f>
        <v>1000000000000</v>
      </c>
      <c r="BM173" s="171">
        <f ca="1">IF(OR($D173&lt;&gt;"Serviço",AND(AUTOEVENTO="Manual",$M173=$A$15)),0,
         IF(OFFSET(CRONOPLE!$F$15,$M173-$A$15,BM$13)=0,10^12,OFFSET(CRONOPLE!$F$15,$M173-$A$15,BM$13)))</f>
        <v>1000000000000</v>
      </c>
      <c r="BN173" s="171">
        <f ca="1">IF(OR($D173&lt;&gt;"Serviço",AND(AUTOEVENTO="Manual",$M173=$A$15)),0,
         IF(OFFSET(CRONOPLE!$F$15,$M173-$A$15,BN$13)=0,10^12,OFFSET(CRONOPLE!$F$15,$M173-$A$15,BN$13)))</f>
        <v>1000000000000</v>
      </c>
      <c r="BO173" s="171">
        <f ca="1">IF(OR($D173&lt;&gt;"Serviço",AND(AUTOEVENTO="Manual",$M173=$A$15)),0,
         IF(OFFSET(CRONOPLE!$F$15,$M173-$A$15,BO$13)=0,10^12,OFFSET(CRONOPLE!$F$15,$M173-$A$15,BO$13)))</f>
        <v>1000000000000</v>
      </c>
      <c r="BP173" s="171">
        <f ca="1">IF(OR($D173&lt;&gt;"Serviço",AND(AUTOEVENTO="Manual",$M173=$A$15)),0,
         IF(OFFSET(CRONOPLE!$F$15,$M173-$A$15,BP$13)=0,10^12,OFFSET(CRONOPLE!$F$15,$M173-$A$15,BP$13)))</f>
        <v>1000000000000</v>
      </c>
      <c r="BQ173" s="171">
        <f ca="1">IF(OR($D173&lt;&gt;"Serviço",AND(AUTOEVENTO="Manual",$M173=$A$15)),0,
         IF(OFFSET(CRONOPLE!$F$15,$M173-$A$15,BQ$13)=0,10^12,OFFSET(CRONOPLE!$F$15,$M173-$A$15,BQ$13)))</f>
        <v>1000000000000</v>
      </c>
      <c r="BR173" s="171">
        <f ca="1">IF(OR($D173&lt;&gt;"Serviço",AND(AUTOEVENTO="Manual",$M173=$A$15)),0,
         IF(OFFSET(CRONOPLE!$F$15,$M173-$A$15,BR$13)=0,10^12,OFFSET(CRONOPLE!$F$15,$M173-$A$15,BR$13)))</f>
        <v>1000000000000</v>
      </c>
      <c r="BS173" s="171">
        <f ca="1">IF(OR($D173&lt;&gt;"Serviço",AND(AUTOEVENTO="Manual",$M173=$A$15)),0,
         IF(OFFSET(CRONOPLE!$F$15,$M173-$A$15,BS$13)=0,10^12,OFFSET(CRONOPLE!$F$15,$M173-$A$15,BS$13)))</f>
        <v>1000000000000</v>
      </c>
      <c r="BT173" s="171">
        <f ca="1">IF(OR($D173&lt;&gt;"Serviço",AND(AUTOEVENTO="Manual",$M173=$A$15)),0,
         IF(OFFSET(CRONOPLE!$F$15,$M173-$A$15,BT$13)=0,10^12,OFFSET(CRONOPLE!$F$15,$M173-$A$15,BT$13)))</f>
        <v>1000000000000</v>
      </c>
      <c r="BV173" s="172">
        <f t="array" aca="1" ref="BV173" ca="1">IF(OR($D173&lt;&gt;"Serviço",AND(AUTOEVENTO="Manual",$M173=$A$15),$M173&gt;(ROW(PLE.lastrow)-ROW(PLE.firstrow))),0,
           IF(OFFSET(PLE!$G$15,$M173-$A$15,BV$13)="",10^12,OFFSET(PLE!$G$15,$M173-$A$15,BV$13)))</f>
        <v>1000000000000</v>
      </c>
      <c r="BW173" s="172">
        <f t="array" aca="1" ref="BW173" ca="1">IF(OR($D173&lt;&gt;"Serviço",AND(AUTOEVENTO="Manual",$M173=$A$15),$M173&gt;(ROW(PLE.lastrow)-ROW(PLE.firstrow))),0,
           IF(OFFSET(PLE!$G$15,$M173-$A$15,BW$13)="",10^12,OFFSET(PLE!$G$15,$M173-$A$15,BW$13)))</f>
        <v>1000000000000</v>
      </c>
      <c r="BX173" s="172">
        <f t="array" aca="1" ref="BX173" ca="1">IF(OR($D173&lt;&gt;"Serviço",AND(AUTOEVENTO="Manual",$M173=$A$15),$M173&gt;(ROW(PLE.lastrow)-ROW(PLE.firstrow))),0,
           IF(OFFSET(PLE!$G$15,$M173-$A$15,BX$13)="",10^12,OFFSET(PLE!$G$15,$M173-$A$15,BX$13)))</f>
        <v>1000000000000</v>
      </c>
      <c r="BY173" s="172">
        <f t="array" aca="1" ref="BY173" ca="1">IF(OR($D173&lt;&gt;"Serviço",AND(AUTOEVENTO="Manual",$M173=$A$15),$M173&gt;(ROW(PLE.lastrow)-ROW(PLE.firstrow))),0,
           IF(OFFSET(PLE!$G$15,$M173-$A$15,BY$13)="",10^12,OFFSET(PLE!$G$15,$M173-$A$15,BY$13)))</f>
        <v>1000000000000</v>
      </c>
      <c r="BZ173" s="172">
        <f t="array" aca="1" ref="BZ173" ca="1">IF(OR($D173&lt;&gt;"Serviço",AND(AUTOEVENTO="Manual",$M173=$A$15),$M173&gt;(ROW(PLE.lastrow)-ROW(PLE.firstrow))),0,
           IF(OFFSET(PLE!$G$15,$M173-$A$15,BZ$13)="",10^12,OFFSET(PLE!$G$15,$M173-$A$15,BZ$13)))</f>
        <v>1000000000000</v>
      </c>
      <c r="CA173" s="172">
        <f t="array" aca="1" ref="CA173" ca="1">IF(OR($D173&lt;&gt;"Serviço",AND(AUTOEVENTO="Manual",$M173=$A$15),$M173&gt;(ROW(PLE.lastrow)-ROW(PLE.firstrow))),0,
           IF(OFFSET(PLE!$G$15,$M173-$A$15,CA$13)="",10^12,OFFSET(PLE!$G$15,$M173-$A$15,CA$13)))</f>
        <v>1000000000000</v>
      </c>
      <c r="CB173" s="172">
        <f t="array" aca="1" ref="CB173" ca="1">IF(OR($D173&lt;&gt;"Serviço",AND(AUTOEVENTO="Manual",$M173=$A$15),$M173&gt;(ROW(PLE.lastrow)-ROW(PLE.firstrow))),0,
           IF(OFFSET(PLE!$G$15,$M173-$A$15,CB$13)="",10^12,OFFSET(PLE!$G$15,$M173-$A$15,CB$13)))</f>
        <v>1000000000000</v>
      </c>
      <c r="CC173" s="172">
        <f t="array" aca="1" ref="CC173" ca="1">IF(OR($D173&lt;&gt;"Serviço",AND(AUTOEVENTO="Manual",$M173=$A$15),$M173&gt;(ROW(PLE.lastrow)-ROW(PLE.firstrow))),0,
           IF(OFFSET(PLE!$G$15,$M173-$A$15,CC$13)="",10^12,OFFSET(PLE!$G$15,$M173-$A$15,CC$13)))</f>
        <v>1000000000000</v>
      </c>
      <c r="CD173" s="172">
        <f t="array" aca="1" ref="CD173" ca="1">IF(OR($D173&lt;&gt;"Serviço",AND(AUTOEVENTO="Manual",$M173=$A$15),$M173&gt;(ROW(PLE.lastrow)-ROW(PLE.firstrow))),0,
           IF(OFFSET(PLE!$G$15,$M173-$A$15,CD$13)="",10^12,OFFSET(PLE!$G$15,$M173-$A$15,CD$13)))</f>
        <v>1000000000000</v>
      </c>
      <c r="CE173" s="172">
        <f t="array" aca="1" ref="CE173" ca="1">IF(OR($D173&lt;&gt;"Serviço",AND(AUTOEVENTO="Manual",$M173=$A$15),$M173&gt;(ROW(PLE.lastrow)-ROW(PLE.firstrow))),0,
           IF(OFFSET(PLE!$G$15,$M173-$A$15,CE$13)="",10^12,OFFSET(PLE!$G$15,$M173-$A$15,CE$13)))</f>
        <v>1000000000000</v>
      </c>
      <c r="CF173" s="172">
        <f t="array" aca="1" ref="CF173" ca="1">IF(OR($D173&lt;&gt;"Serviço",AND(AUTOEVENTO="Manual",$M173=$A$15),$M173&gt;(ROW(PLE.lastrow)-ROW(PLE.firstrow))),0,
           IF(OFFSET(PLE!$G$15,$M173-$A$15,CF$13)="",10^12,OFFSET(PLE!$G$15,$M173-$A$15,CF$13)))</f>
        <v>1000000000000</v>
      </c>
      <c r="CG173" s="172">
        <f t="array" aca="1" ref="CG173" ca="1">IF(OR($D173&lt;&gt;"Serviço",AND(AUTOEVENTO="Manual",$M173=$A$15),$M173&gt;(ROW(PLE.lastrow)-ROW(PLE.firstrow))),0,
           IF(OFFSET(PLE!$G$15,$M173-$A$15,CG$13)="",10^12,OFFSET(PLE!$G$15,$M173-$A$15,CG$13)))</f>
        <v>1000000000000</v>
      </c>
      <c r="CH173" s="172">
        <f t="array" aca="1" ref="CH173" ca="1">IF(OR($D173&lt;&gt;"Serviço",AND(AUTOEVENTO="Manual",$M173=$A$15),$M173&gt;(ROW(PLE.lastrow)-ROW(PLE.firstrow))),0,
           IF(OFFSET(PLE!$G$15,$M173-$A$15,CH$13)="",10^12,OFFSET(PLE!$G$15,$M173-$A$15,CH$13)))</f>
        <v>1000000000000</v>
      </c>
      <c r="CI173" s="172">
        <f t="array" aca="1" ref="CI173" ca="1">IF(OR($D173&lt;&gt;"Serviço",AND(AUTOEVENTO="Manual",$M173=$A$15),$M173&gt;(ROW(PLE.lastrow)-ROW(PLE.firstrow))),0,
           IF(OFFSET(PLE!$G$15,$M173-$A$15,CI$13)="",10^12,OFFSET(PLE!$G$15,$M173-$A$15,CI$13)))</f>
        <v>1000000000000</v>
      </c>
      <c r="CJ173" s="172">
        <f t="array" aca="1" ref="CJ173" ca="1">IF(OR($D173&lt;&gt;"Serviço",AND(AUTOEVENTO="Manual",$M173=$A$15),$M173&gt;(ROW(PLE.lastrow)-ROW(PLE.firstrow))),0,
           IF(OFFSET(PLE!$G$15,$M173-$A$15,CJ$13)="",10^12,OFFSET(PLE!$G$15,$M173-$A$15,CJ$13)))</f>
        <v>1000000000000</v>
      </c>
      <c r="CK173" s="172">
        <f t="array" aca="1" ref="CK173" ca="1">IF(OR($D173&lt;&gt;"Serviço",AND(AUTOEVENTO="Manual",$M173=$A$15),$M173&gt;(ROW(PLE.lastrow)-ROW(PLE.firstrow))),0,
           IF(OFFSET(PLE!$G$15,$M173-$A$15,CK$13)="",10^12,OFFSET(PLE!$G$15,$M173-$A$15,CK$13)))</f>
        <v>1000000000000</v>
      </c>
      <c r="CL173" s="172">
        <f t="array" aca="1" ref="CL173" ca="1">IF(OR($D173&lt;&gt;"Serviço",AND(AUTOEVENTO="Manual",$M173=$A$15),$M173&gt;(ROW(PLE.lastrow)-ROW(PLE.firstrow))),0,
           IF(OFFSET(PLE!$G$15,$M173-$A$15,CL$13)="",10^12,OFFSET(PLE!$G$15,$M173-$A$15,CL$13)))</f>
        <v>1000000000000</v>
      </c>
      <c r="CM173" s="172">
        <f t="array" aca="1" ref="CM173" ca="1">IF(OR($D173&lt;&gt;"Serviço",AND(AUTOEVENTO="Manual",$M173=$A$15),$M173&gt;(ROW(PLE.lastrow)-ROW(PLE.firstrow))),0,
           IF(OFFSET(PLE!$G$15,$M173-$A$15,CM$13)="",10^12,OFFSET(PLE!$G$15,$M173-$A$15,CM$13)))</f>
        <v>1000000000000</v>
      </c>
    </row>
    <row r="174" spans="1:91" s="696" customFormat="1" ht="12.75" x14ac:dyDescent="0.2">
      <c r="A174" s="694">
        <f t="shared" ca="1" si="82"/>
        <v>0</v>
      </c>
      <c r="B174" s="694">
        <f ca="1">OFFSET(ORÇAMENTO!C$15,$L174,0)</f>
        <v>2</v>
      </c>
      <c r="C174" s="694" t="str">
        <f ca="1">OFFSET(ORÇAMENTO!L$15,$L174,0)</f>
        <v>F</v>
      </c>
      <c r="D174" s="116" t="str">
        <f ca="1">OFFSET(ORÇAMENTO!N$15,$L174,0)</f>
        <v>Nível 2</v>
      </c>
      <c r="E174" s="117" t="str">
        <f ca="1">OFFSET(ORÇAMENTO!O$15,$L174,0)</f>
        <v>1.28.</v>
      </c>
      <c r="F174" s="163" t="str">
        <f ca="1">OFFSET(ORÇAMENTO!R$15,$L174,0)</f>
        <v>ENTRADA E ALIMENTAÇÃO</v>
      </c>
      <c r="G174" s="164" t="str">
        <f ca="1">IF($D174&lt;&gt;"Serviço","",OFFSET(ORÇAMENTO!S$15,$L174,0))</f>
        <v/>
      </c>
      <c r="H174" s="122">
        <f t="array" aca="1" ref="H174" ca="1">IF($D174&lt;&gt;"Serviço",0,IF(ACOMPANHAMENTO="BM",ROUND(OFFSET(ORÇAMENTO!AJ$15,$L174,0),15-13*ORÇAMENTO!$AF$7),IF(IFERROR(CÁLCULO.FrentesPreenchidas,0)=0,0,SUM(ROUND(OFFSET($P174,0,1,1,CÁLCULO.FrentesPreenchidas),15-13*ORÇAMENTO!$AF$7)))))</f>
        <v>0</v>
      </c>
      <c r="I174" s="467"/>
      <c r="J174" s="653" t="str">
        <f t="array" aca="1" ref="J174" ca="1">IF(OR(B174&lt;&gt;"S",CÁLCULO.FrentesPreenchidas=0),"",IF(AND(ACOMPANHAMENTO="PLE",AUTOEVENTO="Manual",OR(H174&gt;0,ORÇAMENTO!AC174="QUANT."),OR(K174="",M174=0,N174="")),"►E",IF(AND(ACOMPANHAMENTO="PLE",ORÇAMENTO!AC174="QUANT."),"►Q",IF(AND(ACOMPANHAMENTO="PLE",H174&lt;&gt;SUMPRODUCT(($Q$1:$AI$1=1)*ROUND(Q174:AI174,15))),"►S",IF(AND(COUNTIF($P$11:$AI$11,"▼")=0,H174&gt;0,I174=""),"◄M","")))))</f>
        <v/>
      </c>
      <c r="K174" s="654"/>
      <c r="L174" s="165">
        <f t="shared" ca="1" si="83"/>
        <v>159</v>
      </c>
      <c r="M174" s="166" t="str">
        <f ca="1">IF($D174&lt;&gt;"Serviço","",
          IF(AUTOEVENTO="manual",$A174,
                IF(ISERROR(MATCH($A174,$A$15:OFFSET($A174,-1,0),0)),MAX($M$15:OFFSET(M174,-1,0))+1,
                      INDEX($M$15:OFFSET(M174,-1,0),MATCH($A174,$A$15:OFFSET($A174,-1,0),0)))))</f>
        <v/>
      </c>
      <c r="N174" s="167" t="str">
        <f ca="1">IF($D174&lt;&gt;"Serviço","",
         IF(AUTOEVENTO="Manual",
                IF($A174=0,"&lt;-- defina o número do agrupador",
                       OFFSET(EVENTOS!$D$15,$A174-$A$15,0)),
                OFFSET($F$15,$A174,0)))</f>
        <v/>
      </c>
      <c r="O174" s="168"/>
      <c r="Q174" s="169"/>
      <c r="R174" s="169"/>
      <c r="S174" s="169"/>
      <c r="T174" s="169"/>
      <c r="U174" s="169"/>
      <c r="V174" s="169"/>
      <c r="W174" s="169"/>
      <c r="X174" s="169"/>
      <c r="Y174" s="169"/>
      <c r="Z174" s="170"/>
      <c r="AA174" s="169"/>
      <c r="AB174" s="169"/>
      <c r="AC174" s="169"/>
      <c r="AD174" s="169"/>
      <c r="AE174" s="169"/>
      <c r="AF174" s="169"/>
      <c r="AG174" s="169"/>
      <c r="AH174" s="170"/>
      <c r="AJ174" s="452">
        <f ca="1">IF(AND($D174="Serviço",AJ$12&lt;&gt;0,$H174&gt;0,OR(AUTOEVENTO&lt;&gt;"manual",$M174&lt;&gt;$A$15)),
        IF(Import.TipoArredondamento&lt;&gt;"TransfereGOV",
              ROUND(OFFSET($P174,0,AJ$13),15-13*ORÇAMENTO!$AF$7)/$H174*OFFSET(ORÇAMENTO!$X$15,ROW(AJ174)-ROW(AJ$15),0),
              ROUND(ROUND(OFFSET($P174,0,AJ$13),15-13*ORÇAMENTO!$AF$7)*OFFSET(ORÇAMENTO!$W$15,ROW(AJ174)-ROW(AJ$15),0),15-13*ORÇAMENTO!$AF$11)),
         0)</f>
        <v>0</v>
      </c>
      <c r="AK174" s="452">
        <f ca="1">IF(AND($D174="Serviço",AK$12&lt;&gt;0,$H174&gt;0,OR(AUTOEVENTO&lt;&gt;"manual",$M174&lt;&gt;$A$15)),
        IF(Import.TipoArredondamento&lt;&gt;"TransfereGOV",
              ROUND(OFFSET($P174,0,AK$13),15-13*ORÇAMENTO!$AF$7)/$H174*OFFSET(ORÇAMENTO!$X$15,ROW(AK174)-ROW(AK$15),0),
              ROUND(ROUND(OFFSET($P174,0,AK$13),15-13*ORÇAMENTO!$AF$7)*OFFSET(ORÇAMENTO!$W$15,ROW(AK174)-ROW(AK$15),0),15-13*ORÇAMENTO!$AF$11)),
         0)</f>
        <v>0</v>
      </c>
      <c r="AL174" s="452">
        <f ca="1">IF(AND($D174="Serviço",AL$12&lt;&gt;0,$H174&gt;0,OR(AUTOEVENTO&lt;&gt;"manual",$M174&lt;&gt;$A$15)),
        IF(Import.TipoArredondamento&lt;&gt;"TransfereGOV",
              ROUND(OFFSET($P174,0,AL$13),15-13*ORÇAMENTO!$AF$7)/$H174*OFFSET(ORÇAMENTO!$X$15,ROW(AL174)-ROW(AL$15),0),
              ROUND(ROUND(OFFSET($P174,0,AL$13),15-13*ORÇAMENTO!$AF$7)*OFFSET(ORÇAMENTO!$W$15,ROW(AL174)-ROW(AL$15),0),15-13*ORÇAMENTO!$AF$11)),
         0)</f>
        <v>0</v>
      </c>
      <c r="AM174" s="452">
        <f ca="1">IF(AND($D174="Serviço",AM$12&lt;&gt;0,$H174&gt;0,OR(AUTOEVENTO&lt;&gt;"manual",$M174&lt;&gt;$A$15)),
        IF(Import.TipoArredondamento&lt;&gt;"TransfereGOV",
              ROUND(OFFSET($P174,0,AM$13),15-13*ORÇAMENTO!$AF$7)/$H174*OFFSET(ORÇAMENTO!$X$15,ROW(AM174)-ROW(AM$15),0),
              ROUND(ROUND(OFFSET($P174,0,AM$13),15-13*ORÇAMENTO!$AF$7)*OFFSET(ORÇAMENTO!$W$15,ROW(AM174)-ROW(AM$15),0),15-13*ORÇAMENTO!$AF$11)),
         0)</f>
        <v>0</v>
      </c>
      <c r="AN174" s="452">
        <f ca="1">IF(AND($D174="Serviço",AN$12&lt;&gt;0,$H174&gt;0,OR(AUTOEVENTO&lt;&gt;"manual",$M174&lt;&gt;$A$15)),
        IF(Import.TipoArredondamento&lt;&gt;"TransfereGOV",
              ROUND(OFFSET($P174,0,AN$13),15-13*ORÇAMENTO!$AF$7)/$H174*OFFSET(ORÇAMENTO!$X$15,ROW(AN174)-ROW(AN$15),0),
              ROUND(ROUND(OFFSET($P174,0,AN$13),15-13*ORÇAMENTO!$AF$7)*OFFSET(ORÇAMENTO!$W$15,ROW(AN174)-ROW(AN$15),0),15-13*ORÇAMENTO!$AF$11)),
         0)</f>
        <v>0</v>
      </c>
      <c r="AO174" s="452">
        <f ca="1">IF(AND($D174="Serviço",AO$12&lt;&gt;0,$H174&gt;0,OR(AUTOEVENTO&lt;&gt;"manual",$M174&lt;&gt;$A$15)),
        IF(Import.TipoArredondamento&lt;&gt;"TransfereGOV",
              ROUND(OFFSET($P174,0,AO$13),15-13*ORÇAMENTO!$AF$7)/$H174*OFFSET(ORÇAMENTO!$X$15,ROW(AO174)-ROW(AO$15),0),
              ROUND(ROUND(OFFSET($P174,0,AO$13),15-13*ORÇAMENTO!$AF$7)*OFFSET(ORÇAMENTO!$W$15,ROW(AO174)-ROW(AO$15),0),15-13*ORÇAMENTO!$AF$11)),
         0)</f>
        <v>0</v>
      </c>
      <c r="AP174" s="452">
        <f ca="1">IF(AND($D174="Serviço",AP$12&lt;&gt;0,$H174&gt;0,OR(AUTOEVENTO&lt;&gt;"manual",$M174&lt;&gt;$A$15)),
        IF(Import.TipoArredondamento&lt;&gt;"TransfereGOV",
              ROUND(OFFSET($P174,0,AP$13),15-13*ORÇAMENTO!$AF$7)/$H174*OFFSET(ORÇAMENTO!$X$15,ROW(AP174)-ROW(AP$15),0),
              ROUND(ROUND(OFFSET($P174,0,AP$13),15-13*ORÇAMENTO!$AF$7)*OFFSET(ORÇAMENTO!$W$15,ROW(AP174)-ROW(AP$15),0),15-13*ORÇAMENTO!$AF$11)),
         0)</f>
        <v>0</v>
      </c>
      <c r="AQ174" s="452">
        <f ca="1">IF(AND($D174="Serviço",AQ$12&lt;&gt;0,$H174&gt;0,OR(AUTOEVENTO&lt;&gt;"manual",$M174&lt;&gt;$A$15)),
        IF(Import.TipoArredondamento&lt;&gt;"TransfereGOV",
              ROUND(OFFSET($P174,0,AQ$13),15-13*ORÇAMENTO!$AF$7)/$H174*OFFSET(ORÇAMENTO!$X$15,ROW(AQ174)-ROW(AQ$15),0),
              ROUND(ROUND(OFFSET($P174,0,AQ$13),15-13*ORÇAMENTO!$AF$7)*OFFSET(ORÇAMENTO!$W$15,ROW(AQ174)-ROW(AQ$15),0),15-13*ORÇAMENTO!$AF$11)),
         0)</f>
        <v>0</v>
      </c>
      <c r="AR174" s="452">
        <f ca="1">IF(AND($D174="Serviço",AR$12&lt;&gt;0,$H174&gt;0,OR(AUTOEVENTO&lt;&gt;"manual",$M174&lt;&gt;$A$15)),
        IF(Import.TipoArredondamento&lt;&gt;"TransfereGOV",
              ROUND(OFFSET($P174,0,AR$13),15-13*ORÇAMENTO!$AF$7)/$H174*OFFSET(ORÇAMENTO!$X$15,ROW(AR174)-ROW(AR$15),0),
              ROUND(ROUND(OFFSET($P174,0,AR$13),15-13*ORÇAMENTO!$AF$7)*OFFSET(ORÇAMENTO!$W$15,ROW(AR174)-ROW(AR$15),0),15-13*ORÇAMENTO!$AF$11)),
         0)</f>
        <v>0</v>
      </c>
      <c r="AS174" s="452">
        <f ca="1">IF(AND($D174="Serviço",AS$12&lt;&gt;0,$H174&gt;0,OR(AUTOEVENTO&lt;&gt;"manual",$M174&lt;&gt;$A$15)),
        IF(Import.TipoArredondamento&lt;&gt;"TransfereGOV",
              ROUND(OFFSET($P174,0,AS$13),15-13*ORÇAMENTO!$AF$7)/$H174*OFFSET(ORÇAMENTO!$X$15,ROW(AS174)-ROW(AS$15),0),
              ROUND(ROUND(OFFSET($P174,0,AS$13),15-13*ORÇAMENTO!$AF$7)*OFFSET(ORÇAMENTO!$W$15,ROW(AS174)-ROW(AS$15),0),15-13*ORÇAMENTO!$AF$11)),
         0)</f>
        <v>0</v>
      </c>
      <c r="AT174" s="452">
        <f ca="1">IF(AND($D174="Serviço",AT$12&lt;&gt;0,$H174&gt;0,OR(AUTOEVENTO&lt;&gt;"manual",$M174&lt;&gt;$A$15)),
        IF(Import.TipoArredondamento&lt;&gt;"TransfereGOV",
              ROUND(OFFSET($P174,0,AT$13),15-13*ORÇAMENTO!$AF$7)/$H174*OFFSET(ORÇAMENTO!$X$15,ROW(AT174)-ROW(AT$15),0),
              ROUND(ROUND(OFFSET($P174,0,AT$13),15-13*ORÇAMENTO!$AF$7)*OFFSET(ORÇAMENTO!$W$15,ROW(AT174)-ROW(AT$15),0),15-13*ORÇAMENTO!$AF$11)),
         0)</f>
        <v>0</v>
      </c>
      <c r="AU174" s="452">
        <f ca="1">IF(AND($D174="Serviço",AU$12&lt;&gt;0,$H174&gt;0,OR(AUTOEVENTO&lt;&gt;"manual",$M174&lt;&gt;$A$15)),
        IF(Import.TipoArredondamento&lt;&gt;"TransfereGOV",
              ROUND(OFFSET($P174,0,AU$13),15-13*ORÇAMENTO!$AF$7)/$H174*OFFSET(ORÇAMENTO!$X$15,ROW(AU174)-ROW(AU$15),0),
              ROUND(ROUND(OFFSET($P174,0,AU$13),15-13*ORÇAMENTO!$AF$7)*OFFSET(ORÇAMENTO!$W$15,ROW(AU174)-ROW(AU$15),0),15-13*ORÇAMENTO!$AF$11)),
         0)</f>
        <v>0</v>
      </c>
      <c r="AV174" s="452">
        <f ca="1">IF(AND($D174="Serviço",AV$12&lt;&gt;0,$H174&gt;0,OR(AUTOEVENTO&lt;&gt;"manual",$M174&lt;&gt;$A$15)),
        IF(Import.TipoArredondamento&lt;&gt;"TransfereGOV",
              ROUND(OFFSET($P174,0,AV$13),15-13*ORÇAMENTO!$AF$7)/$H174*OFFSET(ORÇAMENTO!$X$15,ROW(AV174)-ROW(AV$15),0),
              ROUND(ROUND(OFFSET($P174,0,AV$13),15-13*ORÇAMENTO!$AF$7)*OFFSET(ORÇAMENTO!$W$15,ROW(AV174)-ROW(AV$15),0),15-13*ORÇAMENTO!$AF$11)),
         0)</f>
        <v>0</v>
      </c>
      <c r="AW174" s="452">
        <f ca="1">IF(AND($D174="Serviço",AW$12&lt;&gt;0,$H174&gt;0,OR(AUTOEVENTO&lt;&gt;"manual",$M174&lt;&gt;$A$15)),
        IF(Import.TipoArredondamento&lt;&gt;"TransfereGOV",
              ROUND(OFFSET($P174,0,AW$13),15-13*ORÇAMENTO!$AF$7)/$H174*OFFSET(ORÇAMENTO!$X$15,ROW(AW174)-ROW(AW$15),0),
              ROUND(ROUND(OFFSET($P174,0,AW$13),15-13*ORÇAMENTO!$AF$7)*OFFSET(ORÇAMENTO!$W$15,ROW(AW174)-ROW(AW$15),0),15-13*ORÇAMENTO!$AF$11)),
         0)</f>
        <v>0</v>
      </c>
      <c r="AX174" s="452">
        <f ca="1">IF(AND($D174="Serviço",AX$12&lt;&gt;0,$H174&gt;0,OR(AUTOEVENTO&lt;&gt;"manual",$M174&lt;&gt;$A$15)),
        IF(Import.TipoArredondamento&lt;&gt;"TransfereGOV",
              ROUND(OFFSET($P174,0,AX$13),15-13*ORÇAMENTO!$AF$7)/$H174*OFFSET(ORÇAMENTO!$X$15,ROW(AX174)-ROW(AX$15),0),
              ROUND(ROUND(OFFSET($P174,0,AX$13),15-13*ORÇAMENTO!$AF$7)*OFFSET(ORÇAMENTO!$W$15,ROW(AX174)-ROW(AX$15),0),15-13*ORÇAMENTO!$AF$11)),
         0)</f>
        <v>0</v>
      </c>
      <c r="AY174" s="452">
        <f ca="1">IF(AND($D174="Serviço",AY$12&lt;&gt;0,$H174&gt;0,OR(AUTOEVENTO&lt;&gt;"manual",$M174&lt;&gt;$A$15)),
        IF(Import.TipoArredondamento&lt;&gt;"TransfereGOV",
              ROUND(OFFSET($P174,0,AY$13),15-13*ORÇAMENTO!$AF$7)/$H174*OFFSET(ORÇAMENTO!$X$15,ROW(AY174)-ROW(AY$15),0),
              ROUND(ROUND(OFFSET($P174,0,AY$13),15-13*ORÇAMENTO!$AF$7)*OFFSET(ORÇAMENTO!$W$15,ROW(AY174)-ROW(AY$15),0),15-13*ORÇAMENTO!$AF$11)),
         0)</f>
        <v>0</v>
      </c>
      <c r="AZ174" s="452">
        <f ca="1">IF(AND($D174="Serviço",AZ$12&lt;&gt;0,$H174&gt;0,OR(AUTOEVENTO&lt;&gt;"manual",$M174&lt;&gt;$A$15)),
        IF(Import.TipoArredondamento&lt;&gt;"TransfereGOV",
              ROUND(OFFSET($P174,0,AZ$13),15-13*ORÇAMENTO!$AF$7)/$H174*OFFSET(ORÇAMENTO!$X$15,ROW(AZ174)-ROW(AZ$15),0),
              ROUND(ROUND(OFFSET($P174,0,AZ$13),15-13*ORÇAMENTO!$AF$7)*OFFSET(ORÇAMENTO!$W$15,ROW(AZ174)-ROW(AZ$15),0),15-13*ORÇAMENTO!$AF$11)),
         0)</f>
        <v>0</v>
      </c>
      <c r="BA174" s="452">
        <f ca="1">IF(AND($D174="Serviço",BA$12&lt;&gt;0,$H174&gt;0,OR(AUTOEVENTO&lt;&gt;"manual",$M174&lt;&gt;$A$15)),
        IF(Import.TipoArredondamento&lt;&gt;"TransfereGOV",
              ROUND(OFFSET($P174,0,BA$13),15-13*ORÇAMENTO!$AF$7)/$H174*OFFSET(ORÇAMENTO!$X$15,ROW(BA174)-ROW(BA$15),0),
              ROUND(ROUND(OFFSET($P174,0,BA$13),15-13*ORÇAMENTO!$AF$7)*OFFSET(ORÇAMENTO!$W$15,ROW(BA174)-ROW(BA$15),0),15-13*ORÇAMENTO!$AF$11)),
         0)</f>
        <v>0</v>
      </c>
      <c r="BC174" s="171">
        <f ca="1">IF(OR($D174&lt;&gt;"Serviço",AND(AUTOEVENTO="Manual",$M174=$A$15)),0,
         IF(OFFSET(CRONOPLE!$F$15,$M174-$A$15,BC$13)=0,10^12,OFFSET(CRONOPLE!$F$15,$M174-$A$15,BC$13)))</f>
        <v>0</v>
      </c>
      <c r="BD174" s="171">
        <f ca="1">IF(OR($D174&lt;&gt;"Serviço",AND(AUTOEVENTO="Manual",$M174=$A$15)),0,
         IF(OFFSET(CRONOPLE!$F$15,$M174-$A$15,BD$13)=0,10^12,OFFSET(CRONOPLE!$F$15,$M174-$A$15,BD$13)))</f>
        <v>0</v>
      </c>
      <c r="BE174" s="171">
        <f ca="1">IF(OR($D174&lt;&gt;"Serviço",AND(AUTOEVENTO="Manual",$M174=$A$15)),0,
         IF(OFFSET(CRONOPLE!$F$15,$M174-$A$15,BE$13)=0,10^12,OFFSET(CRONOPLE!$F$15,$M174-$A$15,BE$13)))</f>
        <v>0</v>
      </c>
      <c r="BF174" s="171">
        <f ca="1">IF(OR($D174&lt;&gt;"Serviço",AND(AUTOEVENTO="Manual",$M174=$A$15)),0,
         IF(OFFSET(CRONOPLE!$F$15,$M174-$A$15,BF$13)=0,10^12,OFFSET(CRONOPLE!$F$15,$M174-$A$15,BF$13)))</f>
        <v>0</v>
      </c>
      <c r="BG174" s="171">
        <f ca="1">IF(OR($D174&lt;&gt;"Serviço",AND(AUTOEVENTO="Manual",$M174=$A$15)),0,
         IF(OFFSET(CRONOPLE!$F$15,$M174-$A$15,BG$13)=0,10^12,OFFSET(CRONOPLE!$F$15,$M174-$A$15,BG$13)))</f>
        <v>0</v>
      </c>
      <c r="BH174" s="171">
        <f ca="1">IF(OR($D174&lt;&gt;"Serviço",AND(AUTOEVENTO="Manual",$M174=$A$15)),0,
         IF(OFFSET(CRONOPLE!$F$15,$M174-$A$15,BH$13)=0,10^12,OFFSET(CRONOPLE!$F$15,$M174-$A$15,BH$13)))</f>
        <v>0</v>
      </c>
      <c r="BI174" s="171">
        <f ca="1">IF(OR($D174&lt;&gt;"Serviço",AND(AUTOEVENTO="Manual",$M174=$A$15)),0,
         IF(OFFSET(CRONOPLE!$F$15,$M174-$A$15,BI$13)=0,10^12,OFFSET(CRONOPLE!$F$15,$M174-$A$15,BI$13)))</f>
        <v>0</v>
      </c>
      <c r="BJ174" s="171">
        <f ca="1">IF(OR($D174&lt;&gt;"Serviço",AND(AUTOEVENTO="Manual",$M174=$A$15)),0,
         IF(OFFSET(CRONOPLE!$F$15,$M174-$A$15,BJ$13)=0,10^12,OFFSET(CRONOPLE!$F$15,$M174-$A$15,BJ$13)))</f>
        <v>0</v>
      </c>
      <c r="BK174" s="171">
        <f ca="1">IF(OR($D174&lt;&gt;"Serviço",AND(AUTOEVENTO="Manual",$M174=$A$15)),0,
         IF(OFFSET(CRONOPLE!$F$15,$M174-$A$15,BK$13)=0,10^12,OFFSET(CRONOPLE!$F$15,$M174-$A$15,BK$13)))</f>
        <v>0</v>
      </c>
      <c r="BL174" s="171">
        <f ca="1">IF(OR($D174&lt;&gt;"Serviço",AND(AUTOEVENTO="Manual",$M174=$A$15)),0,
         IF(OFFSET(CRONOPLE!$F$15,$M174-$A$15,BL$13)=0,10^12,OFFSET(CRONOPLE!$F$15,$M174-$A$15,BL$13)))</f>
        <v>0</v>
      </c>
      <c r="BM174" s="171">
        <f ca="1">IF(OR($D174&lt;&gt;"Serviço",AND(AUTOEVENTO="Manual",$M174=$A$15)),0,
         IF(OFFSET(CRONOPLE!$F$15,$M174-$A$15,BM$13)=0,10^12,OFFSET(CRONOPLE!$F$15,$M174-$A$15,BM$13)))</f>
        <v>0</v>
      </c>
      <c r="BN174" s="171">
        <f ca="1">IF(OR($D174&lt;&gt;"Serviço",AND(AUTOEVENTO="Manual",$M174=$A$15)),0,
         IF(OFFSET(CRONOPLE!$F$15,$M174-$A$15,BN$13)=0,10^12,OFFSET(CRONOPLE!$F$15,$M174-$A$15,BN$13)))</f>
        <v>0</v>
      </c>
      <c r="BO174" s="171">
        <f ca="1">IF(OR($D174&lt;&gt;"Serviço",AND(AUTOEVENTO="Manual",$M174=$A$15)),0,
         IF(OFFSET(CRONOPLE!$F$15,$M174-$A$15,BO$13)=0,10^12,OFFSET(CRONOPLE!$F$15,$M174-$A$15,BO$13)))</f>
        <v>0</v>
      </c>
      <c r="BP174" s="171">
        <f ca="1">IF(OR($D174&lt;&gt;"Serviço",AND(AUTOEVENTO="Manual",$M174=$A$15)),0,
         IF(OFFSET(CRONOPLE!$F$15,$M174-$A$15,BP$13)=0,10^12,OFFSET(CRONOPLE!$F$15,$M174-$A$15,BP$13)))</f>
        <v>0</v>
      </c>
      <c r="BQ174" s="171">
        <f ca="1">IF(OR($D174&lt;&gt;"Serviço",AND(AUTOEVENTO="Manual",$M174=$A$15)),0,
         IF(OFFSET(CRONOPLE!$F$15,$M174-$A$15,BQ$13)=0,10^12,OFFSET(CRONOPLE!$F$15,$M174-$A$15,BQ$13)))</f>
        <v>0</v>
      </c>
      <c r="BR174" s="171">
        <f ca="1">IF(OR($D174&lt;&gt;"Serviço",AND(AUTOEVENTO="Manual",$M174=$A$15)),0,
         IF(OFFSET(CRONOPLE!$F$15,$M174-$A$15,BR$13)=0,10^12,OFFSET(CRONOPLE!$F$15,$M174-$A$15,BR$13)))</f>
        <v>0</v>
      </c>
      <c r="BS174" s="171">
        <f ca="1">IF(OR($D174&lt;&gt;"Serviço",AND(AUTOEVENTO="Manual",$M174=$A$15)),0,
         IF(OFFSET(CRONOPLE!$F$15,$M174-$A$15,BS$13)=0,10^12,OFFSET(CRONOPLE!$F$15,$M174-$A$15,BS$13)))</f>
        <v>0</v>
      </c>
      <c r="BT174" s="171">
        <f ca="1">IF(OR($D174&lt;&gt;"Serviço",AND(AUTOEVENTO="Manual",$M174=$A$15)),0,
         IF(OFFSET(CRONOPLE!$F$15,$M174-$A$15,BT$13)=0,10^12,OFFSET(CRONOPLE!$F$15,$M174-$A$15,BT$13)))</f>
        <v>0</v>
      </c>
      <c r="BV174" s="172">
        <f t="array" aca="1" ref="BV174" ca="1">IF(OR($D174&lt;&gt;"Serviço",AND(AUTOEVENTO="Manual",$M174=$A$15),$M174&gt;(ROW(PLE.lastrow)-ROW(PLE.firstrow))),0,
           IF(OFFSET(PLE!$G$15,$M174-$A$15,BV$13)="",10^12,OFFSET(PLE!$G$15,$M174-$A$15,BV$13)))</f>
        <v>0</v>
      </c>
      <c r="BW174" s="172">
        <f t="array" aca="1" ref="BW174" ca="1">IF(OR($D174&lt;&gt;"Serviço",AND(AUTOEVENTO="Manual",$M174=$A$15),$M174&gt;(ROW(PLE.lastrow)-ROW(PLE.firstrow))),0,
           IF(OFFSET(PLE!$G$15,$M174-$A$15,BW$13)="",10^12,OFFSET(PLE!$G$15,$M174-$A$15,BW$13)))</f>
        <v>0</v>
      </c>
      <c r="BX174" s="172">
        <f t="array" aca="1" ref="BX174" ca="1">IF(OR($D174&lt;&gt;"Serviço",AND(AUTOEVENTO="Manual",$M174=$A$15),$M174&gt;(ROW(PLE.lastrow)-ROW(PLE.firstrow))),0,
           IF(OFFSET(PLE!$G$15,$M174-$A$15,BX$13)="",10^12,OFFSET(PLE!$G$15,$M174-$A$15,BX$13)))</f>
        <v>0</v>
      </c>
      <c r="BY174" s="172">
        <f t="array" aca="1" ref="BY174" ca="1">IF(OR($D174&lt;&gt;"Serviço",AND(AUTOEVENTO="Manual",$M174=$A$15),$M174&gt;(ROW(PLE.lastrow)-ROW(PLE.firstrow))),0,
           IF(OFFSET(PLE!$G$15,$M174-$A$15,BY$13)="",10^12,OFFSET(PLE!$G$15,$M174-$A$15,BY$13)))</f>
        <v>0</v>
      </c>
      <c r="BZ174" s="172">
        <f t="array" aca="1" ref="BZ174" ca="1">IF(OR($D174&lt;&gt;"Serviço",AND(AUTOEVENTO="Manual",$M174=$A$15),$M174&gt;(ROW(PLE.lastrow)-ROW(PLE.firstrow))),0,
           IF(OFFSET(PLE!$G$15,$M174-$A$15,BZ$13)="",10^12,OFFSET(PLE!$G$15,$M174-$A$15,BZ$13)))</f>
        <v>0</v>
      </c>
      <c r="CA174" s="172">
        <f t="array" aca="1" ref="CA174" ca="1">IF(OR($D174&lt;&gt;"Serviço",AND(AUTOEVENTO="Manual",$M174=$A$15),$M174&gt;(ROW(PLE.lastrow)-ROW(PLE.firstrow))),0,
           IF(OFFSET(PLE!$G$15,$M174-$A$15,CA$13)="",10^12,OFFSET(PLE!$G$15,$M174-$A$15,CA$13)))</f>
        <v>0</v>
      </c>
      <c r="CB174" s="172">
        <f t="array" aca="1" ref="CB174" ca="1">IF(OR($D174&lt;&gt;"Serviço",AND(AUTOEVENTO="Manual",$M174=$A$15),$M174&gt;(ROW(PLE.lastrow)-ROW(PLE.firstrow))),0,
           IF(OFFSET(PLE!$G$15,$M174-$A$15,CB$13)="",10^12,OFFSET(PLE!$G$15,$M174-$A$15,CB$13)))</f>
        <v>0</v>
      </c>
      <c r="CC174" s="172">
        <f t="array" aca="1" ref="CC174" ca="1">IF(OR($D174&lt;&gt;"Serviço",AND(AUTOEVENTO="Manual",$M174=$A$15),$M174&gt;(ROW(PLE.lastrow)-ROW(PLE.firstrow))),0,
           IF(OFFSET(PLE!$G$15,$M174-$A$15,CC$13)="",10^12,OFFSET(PLE!$G$15,$M174-$A$15,CC$13)))</f>
        <v>0</v>
      </c>
      <c r="CD174" s="172">
        <f t="array" aca="1" ref="CD174" ca="1">IF(OR($D174&lt;&gt;"Serviço",AND(AUTOEVENTO="Manual",$M174=$A$15),$M174&gt;(ROW(PLE.lastrow)-ROW(PLE.firstrow))),0,
           IF(OFFSET(PLE!$G$15,$M174-$A$15,CD$13)="",10^12,OFFSET(PLE!$G$15,$M174-$A$15,CD$13)))</f>
        <v>0</v>
      </c>
      <c r="CE174" s="172">
        <f t="array" aca="1" ref="CE174" ca="1">IF(OR($D174&lt;&gt;"Serviço",AND(AUTOEVENTO="Manual",$M174=$A$15),$M174&gt;(ROW(PLE.lastrow)-ROW(PLE.firstrow))),0,
           IF(OFFSET(PLE!$G$15,$M174-$A$15,CE$13)="",10^12,OFFSET(PLE!$G$15,$M174-$A$15,CE$13)))</f>
        <v>0</v>
      </c>
      <c r="CF174" s="172">
        <f t="array" aca="1" ref="CF174" ca="1">IF(OR($D174&lt;&gt;"Serviço",AND(AUTOEVENTO="Manual",$M174=$A$15),$M174&gt;(ROW(PLE.lastrow)-ROW(PLE.firstrow))),0,
           IF(OFFSET(PLE!$G$15,$M174-$A$15,CF$13)="",10^12,OFFSET(PLE!$G$15,$M174-$A$15,CF$13)))</f>
        <v>0</v>
      </c>
      <c r="CG174" s="172">
        <f t="array" aca="1" ref="CG174" ca="1">IF(OR($D174&lt;&gt;"Serviço",AND(AUTOEVENTO="Manual",$M174=$A$15),$M174&gt;(ROW(PLE.lastrow)-ROW(PLE.firstrow))),0,
           IF(OFFSET(PLE!$G$15,$M174-$A$15,CG$13)="",10^12,OFFSET(PLE!$G$15,$M174-$A$15,CG$13)))</f>
        <v>0</v>
      </c>
      <c r="CH174" s="172">
        <f t="array" aca="1" ref="CH174" ca="1">IF(OR($D174&lt;&gt;"Serviço",AND(AUTOEVENTO="Manual",$M174=$A$15),$M174&gt;(ROW(PLE.lastrow)-ROW(PLE.firstrow))),0,
           IF(OFFSET(PLE!$G$15,$M174-$A$15,CH$13)="",10^12,OFFSET(PLE!$G$15,$M174-$A$15,CH$13)))</f>
        <v>0</v>
      </c>
      <c r="CI174" s="172">
        <f t="array" aca="1" ref="CI174" ca="1">IF(OR($D174&lt;&gt;"Serviço",AND(AUTOEVENTO="Manual",$M174=$A$15),$M174&gt;(ROW(PLE.lastrow)-ROW(PLE.firstrow))),0,
           IF(OFFSET(PLE!$G$15,$M174-$A$15,CI$13)="",10^12,OFFSET(PLE!$G$15,$M174-$A$15,CI$13)))</f>
        <v>0</v>
      </c>
      <c r="CJ174" s="172">
        <f t="array" aca="1" ref="CJ174" ca="1">IF(OR($D174&lt;&gt;"Serviço",AND(AUTOEVENTO="Manual",$M174=$A$15),$M174&gt;(ROW(PLE.lastrow)-ROW(PLE.firstrow))),0,
           IF(OFFSET(PLE!$G$15,$M174-$A$15,CJ$13)="",10^12,OFFSET(PLE!$G$15,$M174-$A$15,CJ$13)))</f>
        <v>0</v>
      </c>
      <c r="CK174" s="172">
        <f t="array" aca="1" ref="CK174" ca="1">IF(OR($D174&lt;&gt;"Serviço",AND(AUTOEVENTO="Manual",$M174=$A$15),$M174&gt;(ROW(PLE.lastrow)-ROW(PLE.firstrow))),0,
           IF(OFFSET(PLE!$G$15,$M174-$A$15,CK$13)="",10^12,OFFSET(PLE!$G$15,$M174-$A$15,CK$13)))</f>
        <v>0</v>
      </c>
      <c r="CL174" s="172">
        <f t="array" aca="1" ref="CL174" ca="1">IF(OR($D174&lt;&gt;"Serviço",AND(AUTOEVENTO="Manual",$M174=$A$15),$M174&gt;(ROW(PLE.lastrow)-ROW(PLE.firstrow))),0,
           IF(OFFSET(PLE!$G$15,$M174-$A$15,CL$13)="",10^12,OFFSET(PLE!$G$15,$M174-$A$15,CL$13)))</f>
        <v>0</v>
      </c>
      <c r="CM174" s="172">
        <f t="array" aca="1" ref="CM174" ca="1">IF(OR($D174&lt;&gt;"Serviço",AND(AUTOEVENTO="Manual",$M174=$A$15),$M174&gt;(ROW(PLE.lastrow)-ROW(PLE.firstrow))),0,
           IF(OFFSET(PLE!$G$15,$M174-$A$15,CM$13)="",10^12,OFFSET(PLE!$G$15,$M174-$A$15,CM$13)))</f>
        <v>0</v>
      </c>
    </row>
    <row r="175" spans="1:91" s="696" customFormat="1" ht="51" x14ac:dyDescent="0.2">
      <c r="A175" s="694">
        <f t="shared" ca="1" si="82"/>
        <v>30</v>
      </c>
      <c r="B175" s="694" t="str">
        <f ca="1">OFFSET(ORÇAMENTO!C$15,$L175,0)</f>
        <v>S</v>
      </c>
      <c r="C175" s="694" t="str">
        <f ca="1">OFFSET(ORÇAMENTO!L$15,$L175,0)</f>
        <v>F</v>
      </c>
      <c r="D175" s="116" t="str">
        <f ca="1">OFFSET(ORÇAMENTO!N$15,$L175,0)</f>
        <v>Serviço</v>
      </c>
      <c r="E175" s="117" t="str">
        <f ca="1">OFFSET(ORÇAMENTO!O$15,$L175,0)</f>
        <v>1.28.1.</v>
      </c>
      <c r="F175" s="163" t="str">
        <f ca="1">OFFSET(ORÇAMENTO!R$15,$L175,0)</f>
        <v>KIT CAVALETE PARA MEDIÇÃO DE ÁGUA - ENTRADA INDIVIDUALIZADA, EM PVC 25 MM (3/4"), PARA 1 MEDIDOR - FORNECIMENTO E INSTALAÇÃO (EXCLUSIVE HIDRÔMETRO). AF_03/2024</v>
      </c>
      <c r="G175" s="164" t="str">
        <f ca="1">IF($D175&lt;&gt;"Serviço","",OFFSET(ORÇAMENTO!S$15,$L175,0))</f>
        <v>UN</v>
      </c>
      <c r="H175" s="122">
        <f t="array" aca="1" ref="H175" ca="1">IF($D175&lt;&gt;"Serviço",0,IF(ACOMPANHAMENTO="BM",ROUND(OFFSET(ORÇAMENTO!AJ$15,$L175,0),15-13*ORÇAMENTO!$AF$7),IF(IFERROR(CÁLCULO.FrentesPreenchidas,0)=0,0,SUM(ROUND(OFFSET($P175,0,1,1,CÁLCULO.FrentesPreenchidas),15-13*ORÇAMENTO!$AF$7)))))</f>
        <v>20</v>
      </c>
      <c r="I175" s="467" t="s">
        <v>1320</v>
      </c>
      <c r="J175" s="653" t="str">
        <f t="array" aca="1" ref="J175" ca="1">IF(OR(B175&lt;&gt;"S",CÁLCULO.FrentesPreenchidas=0),"",IF(AND(ACOMPANHAMENTO="PLE",AUTOEVENTO="Manual",OR(H175&gt;0,ORÇAMENTO!AC175="QUANT."),OR(K175="",M175=0,N175="")),"►E",IF(AND(ACOMPANHAMENTO="PLE",ORÇAMENTO!AC175="QUANT."),"►Q",IF(AND(ACOMPANHAMENTO="PLE",H175&lt;&gt;SUMPRODUCT(($Q$1:$AI$1=1)*ROUND(Q175:AI175,15))),"►S",IF(AND(COUNTIF($P$11:$AI$11,"▼")=0,H175&gt;0,I175=""),"◄M","")))))</f>
        <v/>
      </c>
      <c r="K175" s="654" t="s">
        <v>1436</v>
      </c>
      <c r="L175" s="165">
        <f t="shared" ca="1" si="83"/>
        <v>160</v>
      </c>
      <c r="M175" s="166">
        <f ca="1">IF($D175&lt;&gt;"Serviço","",
          IF(AUTOEVENTO="manual",$A175,
                IF(ISERROR(MATCH($A175,$A$15:OFFSET($A175,-1,0),0)),MAX($M$15:OFFSET(M175,-1,0))+1,
                      INDEX($M$15:OFFSET(M175,-1,0),MATCH($A175,$A$15:OFFSET($A175,-1,0),0)))))</f>
        <v>30</v>
      </c>
      <c r="N175" s="167" t="str">
        <f ca="1">IF($D175&lt;&gt;"Serviço","",
         IF(AUTOEVENTO="Manual",
                IF($A175=0,"&lt;-- defina o número do agrupador",
                       OFFSET(EVENTOS!$D$15,$A175-$A$15,0)),
                OFFSET($F$15,$A175,0)))</f>
        <v>ENTRADA DE ÁGUA</v>
      </c>
      <c r="O175" s="168"/>
      <c r="Q175" s="169">
        <v>5</v>
      </c>
      <c r="R175" s="169">
        <v>5</v>
      </c>
      <c r="S175" s="169">
        <v>5</v>
      </c>
      <c r="T175" s="169">
        <v>5</v>
      </c>
      <c r="U175" s="169"/>
      <c r="V175" s="169"/>
      <c r="W175" s="169"/>
      <c r="X175" s="169"/>
      <c r="Y175" s="169"/>
      <c r="Z175" s="170"/>
      <c r="AA175" s="169"/>
      <c r="AB175" s="169"/>
      <c r="AC175" s="169"/>
      <c r="AD175" s="169"/>
      <c r="AE175" s="169"/>
      <c r="AF175" s="169"/>
      <c r="AG175" s="169"/>
      <c r="AH175" s="170"/>
      <c r="AJ175" s="452">
        <f ca="1">IF(AND($D175="Serviço",AJ$12&lt;&gt;0,$H175&gt;0,OR(AUTOEVENTO&lt;&gt;"manual",$M175&lt;&gt;$A$15)),
        IF(Import.TipoArredondamento&lt;&gt;"TransfereGOV",
              ROUND(OFFSET($P175,0,AJ$13),15-13*ORÇAMENTO!$AF$7)/$H175*OFFSET(ORÇAMENTO!$X$15,ROW(AJ175)-ROW(AJ$15),0),
              ROUND(ROUND(OFFSET($P175,0,AJ$13),15-13*ORÇAMENTO!$AF$7)*OFFSET(ORÇAMENTO!$W$15,ROW(AJ175)-ROW(AJ$15),0),15-13*ORÇAMENTO!$AF$11)),
         0)</f>
        <v>1127.1500000000001</v>
      </c>
      <c r="AK175" s="452">
        <f ca="1">IF(AND($D175="Serviço",AK$12&lt;&gt;0,$H175&gt;0,OR(AUTOEVENTO&lt;&gt;"manual",$M175&lt;&gt;$A$15)),
        IF(Import.TipoArredondamento&lt;&gt;"TransfereGOV",
              ROUND(OFFSET($P175,0,AK$13),15-13*ORÇAMENTO!$AF$7)/$H175*OFFSET(ORÇAMENTO!$X$15,ROW(AK175)-ROW(AK$15),0),
              ROUND(ROUND(OFFSET($P175,0,AK$13),15-13*ORÇAMENTO!$AF$7)*OFFSET(ORÇAMENTO!$W$15,ROW(AK175)-ROW(AK$15),0),15-13*ORÇAMENTO!$AF$11)),
         0)</f>
        <v>1127.1500000000001</v>
      </c>
      <c r="AL175" s="452">
        <f ca="1">IF(AND($D175="Serviço",AL$12&lt;&gt;0,$H175&gt;0,OR(AUTOEVENTO&lt;&gt;"manual",$M175&lt;&gt;$A$15)),
        IF(Import.TipoArredondamento&lt;&gt;"TransfereGOV",
              ROUND(OFFSET($P175,0,AL$13),15-13*ORÇAMENTO!$AF$7)/$H175*OFFSET(ORÇAMENTO!$X$15,ROW(AL175)-ROW(AL$15),0),
              ROUND(ROUND(OFFSET($P175,0,AL$13),15-13*ORÇAMENTO!$AF$7)*OFFSET(ORÇAMENTO!$W$15,ROW(AL175)-ROW(AL$15),0),15-13*ORÇAMENTO!$AF$11)),
         0)</f>
        <v>1127.1500000000001</v>
      </c>
      <c r="AM175" s="452">
        <f ca="1">IF(AND($D175="Serviço",AM$12&lt;&gt;0,$H175&gt;0,OR(AUTOEVENTO&lt;&gt;"manual",$M175&lt;&gt;$A$15)),
        IF(Import.TipoArredondamento&lt;&gt;"TransfereGOV",
              ROUND(OFFSET($P175,0,AM$13),15-13*ORÇAMENTO!$AF$7)/$H175*OFFSET(ORÇAMENTO!$X$15,ROW(AM175)-ROW(AM$15),0),
              ROUND(ROUND(OFFSET($P175,0,AM$13),15-13*ORÇAMENTO!$AF$7)*OFFSET(ORÇAMENTO!$W$15,ROW(AM175)-ROW(AM$15),0),15-13*ORÇAMENTO!$AF$11)),
         0)</f>
        <v>1127.1500000000001</v>
      </c>
      <c r="AN175" s="452">
        <f ca="1">IF(AND($D175="Serviço",AN$12&lt;&gt;0,$H175&gt;0,OR(AUTOEVENTO&lt;&gt;"manual",$M175&lt;&gt;$A$15)),
        IF(Import.TipoArredondamento&lt;&gt;"TransfereGOV",
              ROUND(OFFSET($P175,0,AN$13),15-13*ORÇAMENTO!$AF$7)/$H175*OFFSET(ORÇAMENTO!$X$15,ROW(AN175)-ROW(AN$15),0),
              ROUND(ROUND(OFFSET($P175,0,AN$13),15-13*ORÇAMENTO!$AF$7)*OFFSET(ORÇAMENTO!$W$15,ROW(AN175)-ROW(AN$15),0),15-13*ORÇAMENTO!$AF$11)),
         0)</f>
        <v>0</v>
      </c>
      <c r="AO175" s="452">
        <f ca="1">IF(AND($D175="Serviço",AO$12&lt;&gt;0,$H175&gt;0,OR(AUTOEVENTO&lt;&gt;"manual",$M175&lt;&gt;$A$15)),
        IF(Import.TipoArredondamento&lt;&gt;"TransfereGOV",
              ROUND(OFFSET($P175,0,AO$13),15-13*ORÇAMENTO!$AF$7)/$H175*OFFSET(ORÇAMENTO!$X$15,ROW(AO175)-ROW(AO$15),0),
              ROUND(ROUND(OFFSET($P175,0,AO$13),15-13*ORÇAMENTO!$AF$7)*OFFSET(ORÇAMENTO!$W$15,ROW(AO175)-ROW(AO$15),0),15-13*ORÇAMENTO!$AF$11)),
         0)</f>
        <v>0</v>
      </c>
      <c r="AP175" s="452">
        <f ca="1">IF(AND($D175="Serviço",AP$12&lt;&gt;0,$H175&gt;0,OR(AUTOEVENTO&lt;&gt;"manual",$M175&lt;&gt;$A$15)),
        IF(Import.TipoArredondamento&lt;&gt;"TransfereGOV",
              ROUND(OFFSET($P175,0,AP$13),15-13*ORÇAMENTO!$AF$7)/$H175*OFFSET(ORÇAMENTO!$X$15,ROW(AP175)-ROW(AP$15),0),
              ROUND(ROUND(OFFSET($P175,0,AP$13),15-13*ORÇAMENTO!$AF$7)*OFFSET(ORÇAMENTO!$W$15,ROW(AP175)-ROW(AP$15),0),15-13*ORÇAMENTO!$AF$11)),
         0)</f>
        <v>0</v>
      </c>
      <c r="AQ175" s="452">
        <f ca="1">IF(AND($D175="Serviço",AQ$12&lt;&gt;0,$H175&gt;0,OR(AUTOEVENTO&lt;&gt;"manual",$M175&lt;&gt;$A$15)),
        IF(Import.TipoArredondamento&lt;&gt;"TransfereGOV",
              ROUND(OFFSET($P175,0,AQ$13),15-13*ORÇAMENTO!$AF$7)/$H175*OFFSET(ORÇAMENTO!$X$15,ROW(AQ175)-ROW(AQ$15),0),
              ROUND(ROUND(OFFSET($P175,0,AQ$13),15-13*ORÇAMENTO!$AF$7)*OFFSET(ORÇAMENTO!$W$15,ROW(AQ175)-ROW(AQ$15),0),15-13*ORÇAMENTO!$AF$11)),
         0)</f>
        <v>0</v>
      </c>
      <c r="AR175" s="452">
        <f ca="1">IF(AND($D175="Serviço",AR$12&lt;&gt;0,$H175&gt;0,OR(AUTOEVENTO&lt;&gt;"manual",$M175&lt;&gt;$A$15)),
        IF(Import.TipoArredondamento&lt;&gt;"TransfereGOV",
              ROUND(OFFSET($P175,0,AR$13),15-13*ORÇAMENTO!$AF$7)/$H175*OFFSET(ORÇAMENTO!$X$15,ROW(AR175)-ROW(AR$15),0),
              ROUND(ROUND(OFFSET($P175,0,AR$13),15-13*ORÇAMENTO!$AF$7)*OFFSET(ORÇAMENTO!$W$15,ROW(AR175)-ROW(AR$15),0),15-13*ORÇAMENTO!$AF$11)),
         0)</f>
        <v>0</v>
      </c>
      <c r="AS175" s="452">
        <f ca="1">IF(AND($D175="Serviço",AS$12&lt;&gt;0,$H175&gt;0,OR(AUTOEVENTO&lt;&gt;"manual",$M175&lt;&gt;$A$15)),
        IF(Import.TipoArredondamento&lt;&gt;"TransfereGOV",
              ROUND(OFFSET($P175,0,AS$13),15-13*ORÇAMENTO!$AF$7)/$H175*OFFSET(ORÇAMENTO!$X$15,ROW(AS175)-ROW(AS$15),0),
              ROUND(ROUND(OFFSET($P175,0,AS$13),15-13*ORÇAMENTO!$AF$7)*OFFSET(ORÇAMENTO!$W$15,ROW(AS175)-ROW(AS$15),0),15-13*ORÇAMENTO!$AF$11)),
         0)</f>
        <v>0</v>
      </c>
      <c r="AT175" s="452">
        <f ca="1">IF(AND($D175="Serviço",AT$12&lt;&gt;0,$H175&gt;0,OR(AUTOEVENTO&lt;&gt;"manual",$M175&lt;&gt;$A$15)),
        IF(Import.TipoArredondamento&lt;&gt;"TransfereGOV",
              ROUND(OFFSET($P175,0,AT$13),15-13*ORÇAMENTO!$AF$7)/$H175*OFFSET(ORÇAMENTO!$X$15,ROW(AT175)-ROW(AT$15),0),
              ROUND(ROUND(OFFSET($P175,0,AT$13),15-13*ORÇAMENTO!$AF$7)*OFFSET(ORÇAMENTO!$W$15,ROW(AT175)-ROW(AT$15),0),15-13*ORÇAMENTO!$AF$11)),
         0)</f>
        <v>0</v>
      </c>
      <c r="AU175" s="452">
        <f ca="1">IF(AND($D175="Serviço",AU$12&lt;&gt;0,$H175&gt;0,OR(AUTOEVENTO&lt;&gt;"manual",$M175&lt;&gt;$A$15)),
        IF(Import.TipoArredondamento&lt;&gt;"TransfereGOV",
              ROUND(OFFSET($P175,0,AU$13),15-13*ORÇAMENTO!$AF$7)/$H175*OFFSET(ORÇAMENTO!$X$15,ROW(AU175)-ROW(AU$15),0),
              ROUND(ROUND(OFFSET($P175,0,AU$13),15-13*ORÇAMENTO!$AF$7)*OFFSET(ORÇAMENTO!$W$15,ROW(AU175)-ROW(AU$15),0),15-13*ORÇAMENTO!$AF$11)),
         0)</f>
        <v>0</v>
      </c>
      <c r="AV175" s="452">
        <f ca="1">IF(AND($D175="Serviço",AV$12&lt;&gt;0,$H175&gt;0,OR(AUTOEVENTO&lt;&gt;"manual",$M175&lt;&gt;$A$15)),
        IF(Import.TipoArredondamento&lt;&gt;"TransfereGOV",
              ROUND(OFFSET($P175,0,AV$13),15-13*ORÇAMENTO!$AF$7)/$H175*OFFSET(ORÇAMENTO!$X$15,ROW(AV175)-ROW(AV$15),0),
              ROUND(ROUND(OFFSET($P175,0,AV$13),15-13*ORÇAMENTO!$AF$7)*OFFSET(ORÇAMENTO!$W$15,ROW(AV175)-ROW(AV$15),0),15-13*ORÇAMENTO!$AF$11)),
         0)</f>
        <v>0</v>
      </c>
      <c r="AW175" s="452">
        <f ca="1">IF(AND($D175="Serviço",AW$12&lt;&gt;0,$H175&gt;0,OR(AUTOEVENTO&lt;&gt;"manual",$M175&lt;&gt;$A$15)),
        IF(Import.TipoArredondamento&lt;&gt;"TransfereGOV",
              ROUND(OFFSET($P175,0,AW$13),15-13*ORÇAMENTO!$AF$7)/$H175*OFFSET(ORÇAMENTO!$X$15,ROW(AW175)-ROW(AW$15),0),
              ROUND(ROUND(OFFSET($P175,0,AW$13),15-13*ORÇAMENTO!$AF$7)*OFFSET(ORÇAMENTO!$W$15,ROW(AW175)-ROW(AW$15),0),15-13*ORÇAMENTO!$AF$11)),
         0)</f>
        <v>0</v>
      </c>
      <c r="AX175" s="452">
        <f ca="1">IF(AND($D175="Serviço",AX$12&lt;&gt;0,$H175&gt;0,OR(AUTOEVENTO&lt;&gt;"manual",$M175&lt;&gt;$A$15)),
        IF(Import.TipoArredondamento&lt;&gt;"TransfereGOV",
              ROUND(OFFSET($P175,0,AX$13),15-13*ORÇAMENTO!$AF$7)/$H175*OFFSET(ORÇAMENTO!$X$15,ROW(AX175)-ROW(AX$15),0),
              ROUND(ROUND(OFFSET($P175,0,AX$13),15-13*ORÇAMENTO!$AF$7)*OFFSET(ORÇAMENTO!$W$15,ROW(AX175)-ROW(AX$15),0),15-13*ORÇAMENTO!$AF$11)),
         0)</f>
        <v>0</v>
      </c>
      <c r="AY175" s="452">
        <f ca="1">IF(AND($D175="Serviço",AY$12&lt;&gt;0,$H175&gt;0,OR(AUTOEVENTO&lt;&gt;"manual",$M175&lt;&gt;$A$15)),
        IF(Import.TipoArredondamento&lt;&gt;"TransfereGOV",
              ROUND(OFFSET($P175,0,AY$13),15-13*ORÇAMENTO!$AF$7)/$H175*OFFSET(ORÇAMENTO!$X$15,ROW(AY175)-ROW(AY$15),0),
              ROUND(ROUND(OFFSET($P175,0,AY$13),15-13*ORÇAMENTO!$AF$7)*OFFSET(ORÇAMENTO!$W$15,ROW(AY175)-ROW(AY$15),0),15-13*ORÇAMENTO!$AF$11)),
         0)</f>
        <v>0</v>
      </c>
      <c r="AZ175" s="452">
        <f ca="1">IF(AND($D175="Serviço",AZ$12&lt;&gt;0,$H175&gt;0,OR(AUTOEVENTO&lt;&gt;"manual",$M175&lt;&gt;$A$15)),
        IF(Import.TipoArredondamento&lt;&gt;"TransfereGOV",
              ROUND(OFFSET($P175,0,AZ$13),15-13*ORÇAMENTO!$AF$7)/$H175*OFFSET(ORÇAMENTO!$X$15,ROW(AZ175)-ROW(AZ$15),0),
              ROUND(ROUND(OFFSET($P175,0,AZ$13),15-13*ORÇAMENTO!$AF$7)*OFFSET(ORÇAMENTO!$W$15,ROW(AZ175)-ROW(AZ$15),0),15-13*ORÇAMENTO!$AF$11)),
         0)</f>
        <v>0</v>
      </c>
      <c r="BA175" s="452">
        <f ca="1">IF(AND($D175="Serviço",BA$12&lt;&gt;0,$H175&gt;0,OR(AUTOEVENTO&lt;&gt;"manual",$M175&lt;&gt;$A$15)),
        IF(Import.TipoArredondamento&lt;&gt;"TransfereGOV",
              ROUND(OFFSET($P175,0,BA$13),15-13*ORÇAMENTO!$AF$7)/$H175*OFFSET(ORÇAMENTO!$X$15,ROW(BA175)-ROW(BA$15),0),
              ROUND(ROUND(OFFSET($P175,0,BA$13),15-13*ORÇAMENTO!$AF$7)*OFFSET(ORÇAMENTO!$W$15,ROW(BA175)-ROW(BA$15),0),15-13*ORÇAMENTO!$AF$11)),
         0)</f>
        <v>0</v>
      </c>
      <c r="BC175" s="171">
        <f ca="1">IF(OR($D175&lt;&gt;"Serviço",AND(AUTOEVENTO="Manual",$M175=$A$15)),0,
         IF(OFFSET(CRONOPLE!$F$15,$M175-$A$15,BC$13)=0,10^12,OFFSET(CRONOPLE!$F$15,$M175-$A$15,BC$13)))</f>
        <v>6</v>
      </c>
      <c r="BD175" s="171">
        <f ca="1">IF(OR($D175&lt;&gt;"Serviço",AND(AUTOEVENTO="Manual",$M175=$A$15)),0,
         IF(OFFSET(CRONOPLE!$F$15,$M175-$A$15,BD$13)=0,10^12,OFFSET(CRONOPLE!$F$15,$M175-$A$15,BD$13)))</f>
        <v>6</v>
      </c>
      <c r="BE175" s="171">
        <f ca="1">IF(OR($D175&lt;&gt;"Serviço",AND(AUTOEVENTO="Manual",$M175=$A$15)),0,
         IF(OFFSET(CRONOPLE!$F$15,$M175-$A$15,BE$13)=0,10^12,OFFSET(CRONOPLE!$F$15,$M175-$A$15,BE$13)))</f>
        <v>7</v>
      </c>
      <c r="BF175" s="171">
        <f ca="1">IF(OR($D175&lt;&gt;"Serviço",AND(AUTOEVENTO="Manual",$M175=$A$15)),0,
         IF(OFFSET(CRONOPLE!$F$15,$M175-$A$15,BF$13)=0,10^12,OFFSET(CRONOPLE!$F$15,$M175-$A$15,BF$13)))</f>
        <v>7</v>
      </c>
      <c r="BG175" s="171">
        <f ca="1">IF(OR($D175&lt;&gt;"Serviço",AND(AUTOEVENTO="Manual",$M175=$A$15)),0,
         IF(OFFSET(CRONOPLE!$F$15,$M175-$A$15,BG$13)=0,10^12,OFFSET(CRONOPLE!$F$15,$M175-$A$15,BG$13)))</f>
        <v>7</v>
      </c>
      <c r="BH175" s="171">
        <f ca="1">IF(OR($D175&lt;&gt;"Serviço",AND(AUTOEVENTO="Manual",$M175=$A$15)),0,
         IF(OFFSET(CRONOPLE!$F$15,$M175-$A$15,BH$13)=0,10^12,OFFSET(CRONOPLE!$F$15,$M175-$A$15,BH$13)))</f>
        <v>6</v>
      </c>
      <c r="BI175" s="171">
        <f ca="1">IF(OR($D175&lt;&gt;"Serviço",AND(AUTOEVENTO="Manual",$M175=$A$15)),0,
         IF(OFFSET(CRONOPLE!$F$15,$M175-$A$15,BI$13)=0,10^12,OFFSET(CRONOPLE!$F$15,$M175-$A$15,BI$13)))</f>
        <v>1000000000000</v>
      </c>
      <c r="BJ175" s="171">
        <f ca="1">IF(OR($D175&lt;&gt;"Serviço",AND(AUTOEVENTO="Manual",$M175=$A$15)),0,
         IF(OFFSET(CRONOPLE!$F$15,$M175-$A$15,BJ$13)=0,10^12,OFFSET(CRONOPLE!$F$15,$M175-$A$15,BJ$13)))</f>
        <v>1000000000000</v>
      </c>
      <c r="BK175" s="171">
        <f ca="1">IF(OR($D175&lt;&gt;"Serviço",AND(AUTOEVENTO="Manual",$M175=$A$15)),0,
         IF(OFFSET(CRONOPLE!$F$15,$M175-$A$15,BK$13)=0,10^12,OFFSET(CRONOPLE!$F$15,$M175-$A$15,BK$13)))</f>
        <v>1000000000000</v>
      </c>
      <c r="BL175" s="171">
        <f ca="1">IF(OR($D175&lt;&gt;"Serviço",AND(AUTOEVENTO="Manual",$M175=$A$15)),0,
         IF(OFFSET(CRONOPLE!$F$15,$M175-$A$15,BL$13)=0,10^12,OFFSET(CRONOPLE!$F$15,$M175-$A$15,BL$13)))</f>
        <v>1000000000000</v>
      </c>
      <c r="BM175" s="171">
        <f ca="1">IF(OR($D175&lt;&gt;"Serviço",AND(AUTOEVENTO="Manual",$M175=$A$15)),0,
         IF(OFFSET(CRONOPLE!$F$15,$M175-$A$15,BM$13)=0,10^12,OFFSET(CRONOPLE!$F$15,$M175-$A$15,BM$13)))</f>
        <v>1000000000000</v>
      </c>
      <c r="BN175" s="171">
        <f ca="1">IF(OR($D175&lt;&gt;"Serviço",AND(AUTOEVENTO="Manual",$M175=$A$15)),0,
         IF(OFFSET(CRONOPLE!$F$15,$M175-$A$15,BN$13)=0,10^12,OFFSET(CRONOPLE!$F$15,$M175-$A$15,BN$13)))</f>
        <v>1000000000000</v>
      </c>
      <c r="BO175" s="171">
        <f ca="1">IF(OR($D175&lt;&gt;"Serviço",AND(AUTOEVENTO="Manual",$M175=$A$15)),0,
         IF(OFFSET(CRONOPLE!$F$15,$M175-$A$15,BO$13)=0,10^12,OFFSET(CRONOPLE!$F$15,$M175-$A$15,BO$13)))</f>
        <v>1000000000000</v>
      </c>
      <c r="BP175" s="171">
        <f ca="1">IF(OR($D175&lt;&gt;"Serviço",AND(AUTOEVENTO="Manual",$M175=$A$15)),0,
         IF(OFFSET(CRONOPLE!$F$15,$M175-$A$15,BP$13)=0,10^12,OFFSET(CRONOPLE!$F$15,$M175-$A$15,BP$13)))</f>
        <v>1000000000000</v>
      </c>
      <c r="BQ175" s="171">
        <f ca="1">IF(OR($D175&lt;&gt;"Serviço",AND(AUTOEVENTO="Manual",$M175=$A$15)),0,
         IF(OFFSET(CRONOPLE!$F$15,$M175-$A$15,BQ$13)=0,10^12,OFFSET(CRONOPLE!$F$15,$M175-$A$15,BQ$13)))</f>
        <v>1000000000000</v>
      </c>
      <c r="BR175" s="171">
        <f ca="1">IF(OR($D175&lt;&gt;"Serviço",AND(AUTOEVENTO="Manual",$M175=$A$15)),0,
         IF(OFFSET(CRONOPLE!$F$15,$M175-$A$15,BR$13)=0,10^12,OFFSET(CRONOPLE!$F$15,$M175-$A$15,BR$13)))</f>
        <v>1000000000000</v>
      </c>
      <c r="BS175" s="171">
        <f ca="1">IF(OR($D175&lt;&gt;"Serviço",AND(AUTOEVENTO="Manual",$M175=$A$15)),0,
         IF(OFFSET(CRONOPLE!$F$15,$M175-$A$15,BS$13)=0,10^12,OFFSET(CRONOPLE!$F$15,$M175-$A$15,BS$13)))</f>
        <v>1000000000000</v>
      </c>
      <c r="BT175" s="171">
        <f ca="1">IF(OR($D175&lt;&gt;"Serviço",AND(AUTOEVENTO="Manual",$M175=$A$15)),0,
         IF(OFFSET(CRONOPLE!$F$15,$M175-$A$15,BT$13)=0,10^12,OFFSET(CRONOPLE!$F$15,$M175-$A$15,BT$13)))</f>
        <v>1000000000000</v>
      </c>
      <c r="BV175" s="172">
        <f t="array" aca="1" ref="BV175" ca="1">IF(OR($D175&lt;&gt;"Serviço",AND(AUTOEVENTO="Manual",$M175=$A$15),$M175&gt;(ROW(PLE.lastrow)-ROW(PLE.firstrow))),0,
           IF(OFFSET(PLE!$G$15,$M175-$A$15,BV$13)="",10^12,OFFSET(PLE!$G$15,$M175-$A$15,BV$13)))</f>
        <v>1000000000000</v>
      </c>
      <c r="BW175" s="172">
        <f t="array" aca="1" ref="BW175" ca="1">IF(OR($D175&lt;&gt;"Serviço",AND(AUTOEVENTO="Manual",$M175=$A$15),$M175&gt;(ROW(PLE.lastrow)-ROW(PLE.firstrow))),0,
           IF(OFFSET(PLE!$G$15,$M175-$A$15,BW$13)="",10^12,OFFSET(PLE!$G$15,$M175-$A$15,BW$13)))</f>
        <v>1000000000000</v>
      </c>
      <c r="BX175" s="172">
        <f t="array" aca="1" ref="BX175" ca="1">IF(OR($D175&lt;&gt;"Serviço",AND(AUTOEVENTO="Manual",$M175=$A$15),$M175&gt;(ROW(PLE.lastrow)-ROW(PLE.firstrow))),0,
           IF(OFFSET(PLE!$G$15,$M175-$A$15,BX$13)="",10^12,OFFSET(PLE!$G$15,$M175-$A$15,BX$13)))</f>
        <v>1000000000000</v>
      </c>
      <c r="BY175" s="172">
        <f t="array" aca="1" ref="BY175" ca="1">IF(OR($D175&lt;&gt;"Serviço",AND(AUTOEVENTO="Manual",$M175=$A$15),$M175&gt;(ROW(PLE.lastrow)-ROW(PLE.firstrow))),0,
           IF(OFFSET(PLE!$G$15,$M175-$A$15,BY$13)="",10^12,OFFSET(PLE!$G$15,$M175-$A$15,BY$13)))</f>
        <v>1000000000000</v>
      </c>
      <c r="BZ175" s="172">
        <f t="array" aca="1" ref="BZ175" ca="1">IF(OR($D175&lt;&gt;"Serviço",AND(AUTOEVENTO="Manual",$M175=$A$15),$M175&gt;(ROW(PLE.lastrow)-ROW(PLE.firstrow))),0,
           IF(OFFSET(PLE!$G$15,$M175-$A$15,BZ$13)="",10^12,OFFSET(PLE!$G$15,$M175-$A$15,BZ$13)))</f>
        <v>1000000000000</v>
      </c>
      <c r="CA175" s="172">
        <f t="array" aca="1" ref="CA175" ca="1">IF(OR($D175&lt;&gt;"Serviço",AND(AUTOEVENTO="Manual",$M175=$A$15),$M175&gt;(ROW(PLE.lastrow)-ROW(PLE.firstrow))),0,
           IF(OFFSET(PLE!$G$15,$M175-$A$15,CA$13)="",10^12,OFFSET(PLE!$G$15,$M175-$A$15,CA$13)))</f>
        <v>1000000000000</v>
      </c>
      <c r="CB175" s="172">
        <f t="array" aca="1" ref="CB175" ca="1">IF(OR($D175&lt;&gt;"Serviço",AND(AUTOEVENTO="Manual",$M175=$A$15),$M175&gt;(ROW(PLE.lastrow)-ROW(PLE.firstrow))),0,
           IF(OFFSET(PLE!$G$15,$M175-$A$15,CB$13)="",10^12,OFFSET(PLE!$G$15,$M175-$A$15,CB$13)))</f>
        <v>1000000000000</v>
      </c>
      <c r="CC175" s="172">
        <f t="array" aca="1" ref="CC175" ca="1">IF(OR($D175&lt;&gt;"Serviço",AND(AUTOEVENTO="Manual",$M175=$A$15),$M175&gt;(ROW(PLE.lastrow)-ROW(PLE.firstrow))),0,
           IF(OFFSET(PLE!$G$15,$M175-$A$15,CC$13)="",10^12,OFFSET(PLE!$G$15,$M175-$A$15,CC$13)))</f>
        <v>1000000000000</v>
      </c>
      <c r="CD175" s="172">
        <f t="array" aca="1" ref="CD175" ca="1">IF(OR($D175&lt;&gt;"Serviço",AND(AUTOEVENTO="Manual",$M175=$A$15),$M175&gt;(ROW(PLE.lastrow)-ROW(PLE.firstrow))),0,
           IF(OFFSET(PLE!$G$15,$M175-$A$15,CD$13)="",10^12,OFFSET(PLE!$G$15,$M175-$A$15,CD$13)))</f>
        <v>1000000000000</v>
      </c>
      <c r="CE175" s="172">
        <f t="array" aca="1" ref="CE175" ca="1">IF(OR($D175&lt;&gt;"Serviço",AND(AUTOEVENTO="Manual",$M175=$A$15),$M175&gt;(ROW(PLE.lastrow)-ROW(PLE.firstrow))),0,
           IF(OFFSET(PLE!$G$15,$M175-$A$15,CE$13)="",10^12,OFFSET(PLE!$G$15,$M175-$A$15,CE$13)))</f>
        <v>1000000000000</v>
      </c>
      <c r="CF175" s="172">
        <f t="array" aca="1" ref="CF175" ca="1">IF(OR($D175&lt;&gt;"Serviço",AND(AUTOEVENTO="Manual",$M175=$A$15),$M175&gt;(ROW(PLE.lastrow)-ROW(PLE.firstrow))),0,
           IF(OFFSET(PLE!$G$15,$M175-$A$15,CF$13)="",10^12,OFFSET(PLE!$G$15,$M175-$A$15,CF$13)))</f>
        <v>1000000000000</v>
      </c>
      <c r="CG175" s="172">
        <f t="array" aca="1" ref="CG175" ca="1">IF(OR($D175&lt;&gt;"Serviço",AND(AUTOEVENTO="Manual",$M175=$A$15),$M175&gt;(ROW(PLE.lastrow)-ROW(PLE.firstrow))),0,
           IF(OFFSET(PLE!$G$15,$M175-$A$15,CG$13)="",10^12,OFFSET(PLE!$G$15,$M175-$A$15,CG$13)))</f>
        <v>1000000000000</v>
      </c>
      <c r="CH175" s="172">
        <f t="array" aca="1" ref="CH175" ca="1">IF(OR($D175&lt;&gt;"Serviço",AND(AUTOEVENTO="Manual",$M175=$A$15),$M175&gt;(ROW(PLE.lastrow)-ROW(PLE.firstrow))),0,
           IF(OFFSET(PLE!$G$15,$M175-$A$15,CH$13)="",10^12,OFFSET(PLE!$G$15,$M175-$A$15,CH$13)))</f>
        <v>1000000000000</v>
      </c>
      <c r="CI175" s="172">
        <f t="array" aca="1" ref="CI175" ca="1">IF(OR($D175&lt;&gt;"Serviço",AND(AUTOEVENTO="Manual",$M175=$A$15),$M175&gt;(ROW(PLE.lastrow)-ROW(PLE.firstrow))),0,
           IF(OFFSET(PLE!$G$15,$M175-$A$15,CI$13)="",10^12,OFFSET(PLE!$G$15,$M175-$A$15,CI$13)))</f>
        <v>1000000000000</v>
      </c>
      <c r="CJ175" s="172">
        <f t="array" aca="1" ref="CJ175" ca="1">IF(OR($D175&lt;&gt;"Serviço",AND(AUTOEVENTO="Manual",$M175=$A$15),$M175&gt;(ROW(PLE.lastrow)-ROW(PLE.firstrow))),0,
           IF(OFFSET(PLE!$G$15,$M175-$A$15,CJ$13)="",10^12,OFFSET(PLE!$G$15,$M175-$A$15,CJ$13)))</f>
        <v>1000000000000</v>
      </c>
      <c r="CK175" s="172">
        <f t="array" aca="1" ref="CK175" ca="1">IF(OR($D175&lt;&gt;"Serviço",AND(AUTOEVENTO="Manual",$M175=$A$15),$M175&gt;(ROW(PLE.lastrow)-ROW(PLE.firstrow))),0,
           IF(OFFSET(PLE!$G$15,$M175-$A$15,CK$13)="",10^12,OFFSET(PLE!$G$15,$M175-$A$15,CK$13)))</f>
        <v>1000000000000</v>
      </c>
      <c r="CL175" s="172">
        <f t="array" aca="1" ref="CL175" ca="1">IF(OR($D175&lt;&gt;"Serviço",AND(AUTOEVENTO="Manual",$M175=$A$15),$M175&gt;(ROW(PLE.lastrow)-ROW(PLE.firstrow))),0,
           IF(OFFSET(PLE!$G$15,$M175-$A$15,CL$13)="",10^12,OFFSET(PLE!$G$15,$M175-$A$15,CL$13)))</f>
        <v>1000000000000</v>
      </c>
      <c r="CM175" s="172">
        <f t="array" aca="1" ref="CM175" ca="1">IF(OR($D175&lt;&gt;"Serviço",AND(AUTOEVENTO="Manual",$M175=$A$15),$M175&gt;(ROW(PLE.lastrow)-ROW(PLE.firstrow))),0,
           IF(OFFSET(PLE!$G$15,$M175-$A$15,CM$13)="",10^12,OFFSET(PLE!$G$15,$M175-$A$15,CM$13)))</f>
        <v>1000000000000</v>
      </c>
    </row>
    <row r="176" spans="1:91" s="696" customFormat="1" ht="51" x14ac:dyDescent="0.2">
      <c r="A176" s="694">
        <f t="shared" ca="1" si="82"/>
        <v>38</v>
      </c>
      <c r="B176" s="694" t="str">
        <f ca="1">OFFSET(ORÇAMENTO!C$15,$L176,0)</f>
        <v>S</v>
      </c>
      <c r="C176" s="694" t="str">
        <f ca="1">OFFSET(ORÇAMENTO!L$15,$L176,0)</f>
        <v>F</v>
      </c>
      <c r="D176" s="116" t="str">
        <f ca="1">OFFSET(ORÇAMENTO!N$15,$L176,0)</f>
        <v>Serviço</v>
      </c>
      <c r="E176" s="117" t="str">
        <f ca="1">OFFSET(ORÇAMENTO!O$15,$L176,0)</f>
        <v>1.28.2.</v>
      </c>
      <c r="F176" s="163" t="str">
        <f ca="1">OFFSET(ORÇAMENTO!R$15,$L176,0)</f>
        <v>REGISTRO DE GAVETA BRUTO, LATÃO, ROSCÁVEL, 3/4" - FORNECIMENTO E INSTALAÇÃO. AF_08/2021</v>
      </c>
      <c r="G176" s="164" t="str">
        <f ca="1">IF($D176&lt;&gt;"Serviço","",OFFSET(ORÇAMENTO!S$15,$L176,0))</f>
        <v>UN</v>
      </c>
      <c r="H176" s="122">
        <f t="array" aca="1" ref="H176" ca="1">IF($D176&lt;&gt;"Serviço",0,IF(ACOMPANHAMENTO="BM",ROUND(OFFSET(ORÇAMENTO!AJ$15,$L176,0),15-13*ORÇAMENTO!$AF$7),IF(IFERROR(CÁLCULO.FrentesPreenchidas,0)=0,0,SUM(ROUND(OFFSET($P176,0,1,1,CÁLCULO.FrentesPreenchidas),15-13*ORÇAMENTO!$AF$7)))))</f>
        <v>20</v>
      </c>
      <c r="I176" s="467" t="s">
        <v>1316</v>
      </c>
      <c r="J176" s="653" t="str">
        <f t="array" aca="1" ref="J176" ca="1">IF(OR(B176&lt;&gt;"S",CÁLCULO.FrentesPreenchidas=0),"",IF(AND(ACOMPANHAMENTO="PLE",AUTOEVENTO="Manual",OR(H176&gt;0,ORÇAMENTO!AC176="QUANT."),OR(K176="",M176=0,N176="")),"►E",IF(AND(ACOMPANHAMENTO="PLE",ORÇAMENTO!AC176="QUANT."),"►Q",IF(AND(ACOMPANHAMENTO="PLE",H176&lt;&gt;SUMPRODUCT(($Q$1:$AI$1=1)*ROUND(Q176:AI176,15))),"►S",IF(AND(COUNTIF($P$11:$AI$11,"▼")=0,H176&gt;0,I176=""),"◄M","")))))</f>
        <v/>
      </c>
      <c r="K176" s="654" t="s">
        <v>1445</v>
      </c>
      <c r="L176" s="165">
        <f t="shared" ca="1" si="83"/>
        <v>161</v>
      </c>
      <c r="M176" s="166">
        <f ca="1">IF($D176&lt;&gt;"Serviço","",
          IF(AUTOEVENTO="manual",$A176,
                IF(ISERROR(MATCH($A176,$A$15:OFFSET($A176,-1,0),0)),MAX($M$15:OFFSET(M176,-1,0))+1,
                      INDEX($M$15:OFFSET(M176,-1,0),MATCH($A176,$A$15:OFFSET($A176,-1,0),0)))))</f>
        <v>38</v>
      </c>
      <c r="N176" s="167" t="str">
        <f ca="1">IF($D176&lt;&gt;"Serviço","",
         IF(AUTOEVENTO="Manual",
                IF($A176=0,"&lt;-- defina o número do agrupador",
                       OFFSET(EVENTOS!$D$15,$A176-$A$15,0)),
                OFFSET($F$15,$A176,0)))</f>
        <v>HIDRÁULICA EMBUTIDA EM PAREDE</v>
      </c>
      <c r="O176" s="168"/>
      <c r="Q176" s="169">
        <v>5</v>
      </c>
      <c r="R176" s="169">
        <v>5</v>
      </c>
      <c r="S176" s="169">
        <v>5</v>
      </c>
      <c r="T176" s="169">
        <v>5</v>
      </c>
      <c r="U176" s="169"/>
      <c r="V176" s="169"/>
      <c r="W176" s="169"/>
      <c r="X176" s="169"/>
      <c r="Y176" s="169"/>
      <c r="Z176" s="170"/>
      <c r="AA176" s="169"/>
      <c r="AB176" s="169"/>
      <c r="AC176" s="169"/>
      <c r="AD176" s="169"/>
      <c r="AE176" s="169"/>
      <c r="AF176" s="169"/>
      <c r="AG176" s="169"/>
      <c r="AH176" s="170"/>
      <c r="AJ176" s="452">
        <f ca="1">IF(AND($D176="Serviço",AJ$12&lt;&gt;0,$H176&gt;0,OR(AUTOEVENTO&lt;&gt;"manual",$M176&lt;&gt;$A$15)),
        IF(Import.TipoArredondamento&lt;&gt;"TransfereGOV",
              ROUND(OFFSET($P176,0,AJ$13),15-13*ORÇAMENTO!$AF$7)/$H176*OFFSET(ORÇAMENTO!$X$15,ROW(AJ176)-ROW(AJ$15),0),
              ROUND(ROUND(OFFSET($P176,0,AJ$13),15-13*ORÇAMENTO!$AF$7)*OFFSET(ORÇAMENTO!$W$15,ROW(AJ176)-ROW(AJ$15),0),15-13*ORÇAMENTO!$AF$11)),
         0)</f>
        <v>353.8</v>
      </c>
      <c r="AK176" s="452">
        <f ca="1">IF(AND($D176="Serviço",AK$12&lt;&gt;0,$H176&gt;0,OR(AUTOEVENTO&lt;&gt;"manual",$M176&lt;&gt;$A$15)),
        IF(Import.TipoArredondamento&lt;&gt;"TransfereGOV",
              ROUND(OFFSET($P176,0,AK$13),15-13*ORÇAMENTO!$AF$7)/$H176*OFFSET(ORÇAMENTO!$X$15,ROW(AK176)-ROW(AK$15),0),
              ROUND(ROUND(OFFSET($P176,0,AK$13),15-13*ORÇAMENTO!$AF$7)*OFFSET(ORÇAMENTO!$W$15,ROW(AK176)-ROW(AK$15),0),15-13*ORÇAMENTO!$AF$11)),
         0)</f>
        <v>353.8</v>
      </c>
      <c r="AL176" s="452">
        <f ca="1">IF(AND($D176="Serviço",AL$12&lt;&gt;0,$H176&gt;0,OR(AUTOEVENTO&lt;&gt;"manual",$M176&lt;&gt;$A$15)),
        IF(Import.TipoArredondamento&lt;&gt;"TransfereGOV",
              ROUND(OFFSET($P176,0,AL$13),15-13*ORÇAMENTO!$AF$7)/$H176*OFFSET(ORÇAMENTO!$X$15,ROW(AL176)-ROW(AL$15),0),
              ROUND(ROUND(OFFSET($P176,0,AL$13),15-13*ORÇAMENTO!$AF$7)*OFFSET(ORÇAMENTO!$W$15,ROW(AL176)-ROW(AL$15),0),15-13*ORÇAMENTO!$AF$11)),
         0)</f>
        <v>353.8</v>
      </c>
      <c r="AM176" s="452">
        <f ca="1">IF(AND($D176="Serviço",AM$12&lt;&gt;0,$H176&gt;0,OR(AUTOEVENTO&lt;&gt;"manual",$M176&lt;&gt;$A$15)),
        IF(Import.TipoArredondamento&lt;&gt;"TransfereGOV",
              ROUND(OFFSET($P176,0,AM$13),15-13*ORÇAMENTO!$AF$7)/$H176*OFFSET(ORÇAMENTO!$X$15,ROW(AM176)-ROW(AM$15),0),
              ROUND(ROUND(OFFSET($P176,0,AM$13),15-13*ORÇAMENTO!$AF$7)*OFFSET(ORÇAMENTO!$W$15,ROW(AM176)-ROW(AM$15),0),15-13*ORÇAMENTO!$AF$11)),
         0)</f>
        <v>353.8</v>
      </c>
      <c r="AN176" s="452">
        <f ca="1">IF(AND($D176="Serviço",AN$12&lt;&gt;0,$H176&gt;0,OR(AUTOEVENTO&lt;&gt;"manual",$M176&lt;&gt;$A$15)),
        IF(Import.TipoArredondamento&lt;&gt;"TransfereGOV",
              ROUND(OFFSET($P176,0,AN$13),15-13*ORÇAMENTO!$AF$7)/$H176*OFFSET(ORÇAMENTO!$X$15,ROW(AN176)-ROW(AN$15),0),
              ROUND(ROUND(OFFSET($P176,0,AN$13),15-13*ORÇAMENTO!$AF$7)*OFFSET(ORÇAMENTO!$W$15,ROW(AN176)-ROW(AN$15),0),15-13*ORÇAMENTO!$AF$11)),
         0)</f>
        <v>0</v>
      </c>
      <c r="AO176" s="452">
        <f ca="1">IF(AND($D176="Serviço",AO$12&lt;&gt;0,$H176&gt;0,OR(AUTOEVENTO&lt;&gt;"manual",$M176&lt;&gt;$A$15)),
        IF(Import.TipoArredondamento&lt;&gt;"TransfereGOV",
              ROUND(OFFSET($P176,0,AO$13),15-13*ORÇAMENTO!$AF$7)/$H176*OFFSET(ORÇAMENTO!$X$15,ROW(AO176)-ROW(AO$15),0),
              ROUND(ROUND(OFFSET($P176,0,AO$13),15-13*ORÇAMENTO!$AF$7)*OFFSET(ORÇAMENTO!$W$15,ROW(AO176)-ROW(AO$15),0),15-13*ORÇAMENTO!$AF$11)),
         0)</f>
        <v>0</v>
      </c>
      <c r="AP176" s="452">
        <f ca="1">IF(AND($D176="Serviço",AP$12&lt;&gt;0,$H176&gt;0,OR(AUTOEVENTO&lt;&gt;"manual",$M176&lt;&gt;$A$15)),
        IF(Import.TipoArredondamento&lt;&gt;"TransfereGOV",
              ROUND(OFFSET($P176,0,AP$13),15-13*ORÇAMENTO!$AF$7)/$H176*OFFSET(ORÇAMENTO!$X$15,ROW(AP176)-ROW(AP$15),0),
              ROUND(ROUND(OFFSET($P176,0,AP$13),15-13*ORÇAMENTO!$AF$7)*OFFSET(ORÇAMENTO!$W$15,ROW(AP176)-ROW(AP$15),0),15-13*ORÇAMENTO!$AF$11)),
         0)</f>
        <v>0</v>
      </c>
      <c r="AQ176" s="452">
        <f ca="1">IF(AND($D176="Serviço",AQ$12&lt;&gt;0,$H176&gt;0,OR(AUTOEVENTO&lt;&gt;"manual",$M176&lt;&gt;$A$15)),
        IF(Import.TipoArredondamento&lt;&gt;"TransfereGOV",
              ROUND(OFFSET($P176,0,AQ$13),15-13*ORÇAMENTO!$AF$7)/$H176*OFFSET(ORÇAMENTO!$X$15,ROW(AQ176)-ROW(AQ$15),0),
              ROUND(ROUND(OFFSET($P176,0,AQ$13),15-13*ORÇAMENTO!$AF$7)*OFFSET(ORÇAMENTO!$W$15,ROW(AQ176)-ROW(AQ$15),0),15-13*ORÇAMENTO!$AF$11)),
         0)</f>
        <v>0</v>
      </c>
      <c r="AR176" s="452">
        <f ca="1">IF(AND($D176="Serviço",AR$12&lt;&gt;0,$H176&gt;0,OR(AUTOEVENTO&lt;&gt;"manual",$M176&lt;&gt;$A$15)),
        IF(Import.TipoArredondamento&lt;&gt;"TransfereGOV",
              ROUND(OFFSET($P176,0,AR$13),15-13*ORÇAMENTO!$AF$7)/$H176*OFFSET(ORÇAMENTO!$X$15,ROW(AR176)-ROW(AR$15),0),
              ROUND(ROUND(OFFSET($P176,0,AR$13),15-13*ORÇAMENTO!$AF$7)*OFFSET(ORÇAMENTO!$W$15,ROW(AR176)-ROW(AR$15),0),15-13*ORÇAMENTO!$AF$11)),
         0)</f>
        <v>0</v>
      </c>
      <c r="AS176" s="452">
        <f ca="1">IF(AND($D176="Serviço",AS$12&lt;&gt;0,$H176&gt;0,OR(AUTOEVENTO&lt;&gt;"manual",$M176&lt;&gt;$A$15)),
        IF(Import.TipoArredondamento&lt;&gt;"TransfereGOV",
              ROUND(OFFSET($P176,0,AS$13),15-13*ORÇAMENTO!$AF$7)/$H176*OFFSET(ORÇAMENTO!$X$15,ROW(AS176)-ROW(AS$15),0),
              ROUND(ROUND(OFFSET($P176,0,AS$13),15-13*ORÇAMENTO!$AF$7)*OFFSET(ORÇAMENTO!$W$15,ROW(AS176)-ROW(AS$15),0),15-13*ORÇAMENTO!$AF$11)),
         0)</f>
        <v>0</v>
      </c>
      <c r="AT176" s="452">
        <f ca="1">IF(AND($D176="Serviço",AT$12&lt;&gt;0,$H176&gt;0,OR(AUTOEVENTO&lt;&gt;"manual",$M176&lt;&gt;$A$15)),
        IF(Import.TipoArredondamento&lt;&gt;"TransfereGOV",
              ROUND(OFFSET($P176,0,AT$13),15-13*ORÇAMENTO!$AF$7)/$H176*OFFSET(ORÇAMENTO!$X$15,ROW(AT176)-ROW(AT$15),0),
              ROUND(ROUND(OFFSET($P176,0,AT$13),15-13*ORÇAMENTO!$AF$7)*OFFSET(ORÇAMENTO!$W$15,ROW(AT176)-ROW(AT$15),0),15-13*ORÇAMENTO!$AF$11)),
         0)</f>
        <v>0</v>
      </c>
      <c r="AU176" s="452">
        <f ca="1">IF(AND($D176="Serviço",AU$12&lt;&gt;0,$H176&gt;0,OR(AUTOEVENTO&lt;&gt;"manual",$M176&lt;&gt;$A$15)),
        IF(Import.TipoArredondamento&lt;&gt;"TransfereGOV",
              ROUND(OFFSET($P176,0,AU$13),15-13*ORÇAMENTO!$AF$7)/$H176*OFFSET(ORÇAMENTO!$X$15,ROW(AU176)-ROW(AU$15),0),
              ROUND(ROUND(OFFSET($P176,0,AU$13),15-13*ORÇAMENTO!$AF$7)*OFFSET(ORÇAMENTO!$W$15,ROW(AU176)-ROW(AU$15),0),15-13*ORÇAMENTO!$AF$11)),
         0)</f>
        <v>0</v>
      </c>
      <c r="AV176" s="452">
        <f ca="1">IF(AND($D176="Serviço",AV$12&lt;&gt;0,$H176&gt;0,OR(AUTOEVENTO&lt;&gt;"manual",$M176&lt;&gt;$A$15)),
        IF(Import.TipoArredondamento&lt;&gt;"TransfereGOV",
              ROUND(OFFSET($P176,0,AV$13),15-13*ORÇAMENTO!$AF$7)/$H176*OFFSET(ORÇAMENTO!$X$15,ROW(AV176)-ROW(AV$15),0),
              ROUND(ROUND(OFFSET($P176,0,AV$13),15-13*ORÇAMENTO!$AF$7)*OFFSET(ORÇAMENTO!$W$15,ROW(AV176)-ROW(AV$15),0),15-13*ORÇAMENTO!$AF$11)),
         0)</f>
        <v>0</v>
      </c>
      <c r="AW176" s="452">
        <f ca="1">IF(AND($D176="Serviço",AW$12&lt;&gt;0,$H176&gt;0,OR(AUTOEVENTO&lt;&gt;"manual",$M176&lt;&gt;$A$15)),
        IF(Import.TipoArredondamento&lt;&gt;"TransfereGOV",
              ROUND(OFFSET($P176,0,AW$13),15-13*ORÇAMENTO!$AF$7)/$H176*OFFSET(ORÇAMENTO!$X$15,ROW(AW176)-ROW(AW$15),0),
              ROUND(ROUND(OFFSET($P176,0,AW$13),15-13*ORÇAMENTO!$AF$7)*OFFSET(ORÇAMENTO!$W$15,ROW(AW176)-ROW(AW$15),0),15-13*ORÇAMENTO!$AF$11)),
         0)</f>
        <v>0</v>
      </c>
      <c r="AX176" s="452">
        <f ca="1">IF(AND($D176="Serviço",AX$12&lt;&gt;0,$H176&gt;0,OR(AUTOEVENTO&lt;&gt;"manual",$M176&lt;&gt;$A$15)),
        IF(Import.TipoArredondamento&lt;&gt;"TransfereGOV",
              ROUND(OFFSET($P176,0,AX$13),15-13*ORÇAMENTO!$AF$7)/$H176*OFFSET(ORÇAMENTO!$X$15,ROW(AX176)-ROW(AX$15),0),
              ROUND(ROUND(OFFSET($P176,0,AX$13),15-13*ORÇAMENTO!$AF$7)*OFFSET(ORÇAMENTO!$W$15,ROW(AX176)-ROW(AX$15),0),15-13*ORÇAMENTO!$AF$11)),
         0)</f>
        <v>0</v>
      </c>
      <c r="AY176" s="452">
        <f ca="1">IF(AND($D176="Serviço",AY$12&lt;&gt;0,$H176&gt;0,OR(AUTOEVENTO&lt;&gt;"manual",$M176&lt;&gt;$A$15)),
        IF(Import.TipoArredondamento&lt;&gt;"TransfereGOV",
              ROUND(OFFSET($P176,0,AY$13),15-13*ORÇAMENTO!$AF$7)/$H176*OFFSET(ORÇAMENTO!$X$15,ROW(AY176)-ROW(AY$15),0),
              ROUND(ROUND(OFFSET($P176,0,AY$13),15-13*ORÇAMENTO!$AF$7)*OFFSET(ORÇAMENTO!$W$15,ROW(AY176)-ROW(AY$15),0),15-13*ORÇAMENTO!$AF$11)),
         0)</f>
        <v>0</v>
      </c>
      <c r="AZ176" s="452">
        <f ca="1">IF(AND($D176="Serviço",AZ$12&lt;&gt;0,$H176&gt;0,OR(AUTOEVENTO&lt;&gt;"manual",$M176&lt;&gt;$A$15)),
        IF(Import.TipoArredondamento&lt;&gt;"TransfereGOV",
              ROUND(OFFSET($P176,0,AZ$13),15-13*ORÇAMENTO!$AF$7)/$H176*OFFSET(ORÇAMENTO!$X$15,ROW(AZ176)-ROW(AZ$15),0),
              ROUND(ROUND(OFFSET($P176,0,AZ$13),15-13*ORÇAMENTO!$AF$7)*OFFSET(ORÇAMENTO!$W$15,ROW(AZ176)-ROW(AZ$15),0),15-13*ORÇAMENTO!$AF$11)),
         0)</f>
        <v>0</v>
      </c>
      <c r="BA176" s="452">
        <f ca="1">IF(AND($D176="Serviço",BA$12&lt;&gt;0,$H176&gt;0,OR(AUTOEVENTO&lt;&gt;"manual",$M176&lt;&gt;$A$15)),
        IF(Import.TipoArredondamento&lt;&gt;"TransfereGOV",
              ROUND(OFFSET($P176,0,BA$13),15-13*ORÇAMENTO!$AF$7)/$H176*OFFSET(ORÇAMENTO!$X$15,ROW(BA176)-ROW(BA$15),0),
              ROUND(ROUND(OFFSET($P176,0,BA$13),15-13*ORÇAMENTO!$AF$7)*OFFSET(ORÇAMENTO!$W$15,ROW(BA176)-ROW(BA$15),0),15-13*ORÇAMENTO!$AF$11)),
         0)</f>
        <v>0</v>
      </c>
      <c r="BC176" s="171">
        <f ca="1">IF(OR($D176&lt;&gt;"Serviço",AND(AUTOEVENTO="Manual",$M176=$A$15)),0,
         IF(OFFSET(CRONOPLE!$F$15,$M176-$A$15,BC$13)=0,10^12,OFFSET(CRONOPLE!$F$15,$M176-$A$15,BC$13)))</f>
        <v>5</v>
      </c>
      <c r="BD176" s="171">
        <f ca="1">IF(OR($D176&lt;&gt;"Serviço",AND(AUTOEVENTO="Manual",$M176=$A$15)),0,
         IF(OFFSET(CRONOPLE!$F$15,$M176-$A$15,BD$13)=0,10^12,OFFSET(CRONOPLE!$F$15,$M176-$A$15,BD$13)))</f>
        <v>5</v>
      </c>
      <c r="BE176" s="171">
        <f ca="1">IF(OR($D176&lt;&gt;"Serviço",AND(AUTOEVENTO="Manual",$M176=$A$15)),0,
         IF(OFFSET(CRONOPLE!$F$15,$M176-$A$15,BE$13)=0,10^12,OFFSET(CRONOPLE!$F$15,$M176-$A$15,BE$13)))</f>
        <v>6</v>
      </c>
      <c r="BF176" s="171">
        <f ca="1">IF(OR($D176&lt;&gt;"Serviço",AND(AUTOEVENTO="Manual",$M176=$A$15)),0,
         IF(OFFSET(CRONOPLE!$F$15,$M176-$A$15,BF$13)=0,10^12,OFFSET(CRONOPLE!$F$15,$M176-$A$15,BF$13)))</f>
        <v>6</v>
      </c>
      <c r="BG176" s="171">
        <f ca="1">IF(OR($D176&lt;&gt;"Serviço",AND(AUTOEVENTO="Manual",$M176=$A$15)),0,
         IF(OFFSET(CRONOPLE!$F$15,$M176-$A$15,BG$13)=0,10^12,OFFSET(CRONOPLE!$F$15,$M176-$A$15,BG$13)))</f>
        <v>6</v>
      </c>
      <c r="BH176" s="171">
        <f ca="1">IF(OR($D176&lt;&gt;"Serviço",AND(AUTOEVENTO="Manual",$M176=$A$15)),0,
         IF(OFFSET(CRONOPLE!$F$15,$M176-$A$15,BH$13)=0,10^12,OFFSET(CRONOPLE!$F$15,$M176-$A$15,BH$13)))</f>
        <v>1000000000000</v>
      </c>
      <c r="BI176" s="171">
        <f ca="1">IF(OR($D176&lt;&gt;"Serviço",AND(AUTOEVENTO="Manual",$M176=$A$15)),0,
         IF(OFFSET(CRONOPLE!$F$15,$M176-$A$15,BI$13)=0,10^12,OFFSET(CRONOPLE!$F$15,$M176-$A$15,BI$13)))</f>
        <v>1000000000000</v>
      </c>
      <c r="BJ176" s="171">
        <f ca="1">IF(OR($D176&lt;&gt;"Serviço",AND(AUTOEVENTO="Manual",$M176=$A$15)),0,
         IF(OFFSET(CRONOPLE!$F$15,$M176-$A$15,BJ$13)=0,10^12,OFFSET(CRONOPLE!$F$15,$M176-$A$15,BJ$13)))</f>
        <v>1000000000000</v>
      </c>
      <c r="BK176" s="171">
        <f ca="1">IF(OR($D176&lt;&gt;"Serviço",AND(AUTOEVENTO="Manual",$M176=$A$15)),0,
         IF(OFFSET(CRONOPLE!$F$15,$M176-$A$15,BK$13)=0,10^12,OFFSET(CRONOPLE!$F$15,$M176-$A$15,BK$13)))</f>
        <v>1000000000000</v>
      </c>
      <c r="BL176" s="171">
        <f ca="1">IF(OR($D176&lt;&gt;"Serviço",AND(AUTOEVENTO="Manual",$M176=$A$15)),0,
         IF(OFFSET(CRONOPLE!$F$15,$M176-$A$15,BL$13)=0,10^12,OFFSET(CRONOPLE!$F$15,$M176-$A$15,BL$13)))</f>
        <v>1000000000000</v>
      </c>
      <c r="BM176" s="171">
        <f ca="1">IF(OR($D176&lt;&gt;"Serviço",AND(AUTOEVENTO="Manual",$M176=$A$15)),0,
         IF(OFFSET(CRONOPLE!$F$15,$M176-$A$15,BM$13)=0,10^12,OFFSET(CRONOPLE!$F$15,$M176-$A$15,BM$13)))</f>
        <v>1000000000000</v>
      </c>
      <c r="BN176" s="171">
        <f ca="1">IF(OR($D176&lt;&gt;"Serviço",AND(AUTOEVENTO="Manual",$M176=$A$15)),0,
         IF(OFFSET(CRONOPLE!$F$15,$M176-$A$15,BN$13)=0,10^12,OFFSET(CRONOPLE!$F$15,$M176-$A$15,BN$13)))</f>
        <v>1000000000000</v>
      </c>
      <c r="BO176" s="171">
        <f ca="1">IF(OR($D176&lt;&gt;"Serviço",AND(AUTOEVENTO="Manual",$M176=$A$15)),0,
         IF(OFFSET(CRONOPLE!$F$15,$M176-$A$15,BO$13)=0,10^12,OFFSET(CRONOPLE!$F$15,$M176-$A$15,BO$13)))</f>
        <v>1000000000000</v>
      </c>
      <c r="BP176" s="171">
        <f ca="1">IF(OR($D176&lt;&gt;"Serviço",AND(AUTOEVENTO="Manual",$M176=$A$15)),0,
         IF(OFFSET(CRONOPLE!$F$15,$M176-$A$15,BP$13)=0,10^12,OFFSET(CRONOPLE!$F$15,$M176-$A$15,BP$13)))</f>
        <v>1000000000000</v>
      </c>
      <c r="BQ176" s="171">
        <f ca="1">IF(OR($D176&lt;&gt;"Serviço",AND(AUTOEVENTO="Manual",$M176=$A$15)),0,
         IF(OFFSET(CRONOPLE!$F$15,$M176-$A$15,BQ$13)=0,10^12,OFFSET(CRONOPLE!$F$15,$M176-$A$15,BQ$13)))</f>
        <v>1000000000000</v>
      </c>
      <c r="BR176" s="171">
        <f ca="1">IF(OR($D176&lt;&gt;"Serviço",AND(AUTOEVENTO="Manual",$M176=$A$15)),0,
         IF(OFFSET(CRONOPLE!$F$15,$M176-$A$15,BR$13)=0,10^12,OFFSET(CRONOPLE!$F$15,$M176-$A$15,BR$13)))</f>
        <v>1000000000000</v>
      </c>
      <c r="BS176" s="171">
        <f ca="1">IF(OR($D176&lt;&gt;"Serviço",AND(AUTOEVENTO="Manual",$M176=$A$15)),0,
         IF(OFFSET(CRONOPLE!$F$15,$M176-$A$15,BS$13)=0,10^12,OFFSET(CRONOPLE!$F$15,$M176-$A$15,BS$13)))</f>
        <v>1000000000000</v>
      </c>
      <c r="BT176" s="171">
        <f ca="1">IF(OR($D176&lt;&gt;"Serviço",AND(AUTOEVENTO="Manual",$M176=$A$15)),0,
         IF(OFFSET(CRONOPLE!$F$15,$M176-$A$15,BT$13)=0,10^12,OFFSET(CRONOPLE!$F$15,$M176-$A$15,BT$13)))</f>
        <v>1000000000000</v>
      </c>
      <c r="BV176" s="172">
        <f t="array" aca="1" ref="BV176" ca="1">IF(OR($D176&lt;&gt;"Serviço",AND(AUTOEVENTO="Manual",$M176=$A$15),$M176&gt;(ROW(PLE.lastrow)-ROW(PLE.firstrow))),0,
           IF(OFFSET(PLE!$G$15,$M176-$A$15,BV$13)="",10^12,OFFSET(PLE!$G$15,$M176-$A$15,BV$13)))</f>
        <v>1000000000000</v>
      </c>
      <c r="BW176" s="172">
        <f t="array" aca="1" ref="BW176" ca="1">IF(OR($D176&lt;&gt;"Serviço",AND(AUTOEVENTO="Manual",$M176=$A$15),$M176&gt;(ROW(PLE.lastrow)-ROW(PLE.firstrow))),0,
           IF(OFFSET(PLE!$G$15,$M176-$A$15,BW$13)="",10^12,OFFSET(PLE!$G$15,$M176-$A$15,BW$13)))</f>
        <v>1000000000000</v>
      </c>
      <c r="BX176" s="172">
        <f t="array" aca="1" ref="BX176" ca="1">IF(OR($D176&lt;&gt;"Serviço",AND(AUTOEVENTO="Manual",$M176=$A$15),$M176&gt;(ROW(PLE.lastrow)-ROW(PLE.firstrow))),0,
           IF(OFFSET(PLE!$G$15,$M176-$A$15,BX$13)="",10^12,OFFSET(PLE!$G$15,$M176-$A$15,BX$13)))</f>
        <v>1000000000000</v>
      </c>
      <c r="BY176" s="172">
        <f t="array" aca="1" ref="BY176" ca="1">IF(OR($D176&lt;&gt;"Serviço",AND(AUTOEVENTO="Manual",$M176=$A$15),$M176&gt;(ROW(PLE.lastrow)-ROW(PLE.firstrow))),0,
           IF(OFFSET(PLE!$G$15,$M176-$A$15,BY$13)="",10^12,OFFSET(PLE!$G$15,$M176-$A$15,BY$13)))</f>
        <v>1000000000000</v>
      </c>
      <c r="BZ176" s="172">
        <f t="array" aca="1" ref="BZ176" ca="1">IF(OR($D176&lt;&gt;"Serviço",AND(AUTOEVENTO="Manual",$M176=$A$15),$M176&gt;(ROW(PLE.lastrow)-ROW(PLE.firstrow))),0,
           IF(OFFSET(PLE!$G$15,$M176-$A$15,BZ$13)="",10^12,OFFSET(PLE!$G$15,$M176-$A$15,BZ$13)))</f>
        <v>1000000000000</v>
      </c>
      <c r="CA176" s="172">
        <f t="array" aca="1" ref="CA176" ca="1">IF(OR($D176&lt;&gt;"Serviço",AND(AUTOEVENTO="Manual",$M176=$A$15),$M176&gt;(ROW(PLE.lastrow)-ROW(PLE.firstrow))),0,
           IF(OFFSET(PLE!$G$15,$M176-$A$15,CA$13)="",10^12,OFFSET(PLE!$G$15,$M176-$A$15,CA$13)))</f>
        <v>1000000000000</v>
      </c>
      <c r="CB176" s="172">
        <f t="array" aca="1" ref="CB176" ca="1">IF(OR($D176&lt;&gt;"Serviço",AND(AUTOEVENTO="Manual",$M176=$A$15),$M176&gt;(ROW(PLE.lastrow)-ROW(PLE.firstrow))),0,
           IF(OFFSET(PLE!$G$15,$M176-$A$15,CB$13)="",10^12,OFFSET(PLE!$G$15,$M176-$A$15,CB$13)))</f>
        <v>1000000000000</v>
      </c>
      <c r="CC176" s="172">
        <f t="array" aca="1" ref="CC176" ca="1">IF(OR($D176&lt;&gt;"Serviço",AND(AUTOEVENTO="Manual",$M176=$A$15),$M176&gt;(ROW(PLE.lastrow)-ROW(PLE.firstrow))),0,
           IF(OFFSET(PLE!$G$15,$M176-$A$15,CC$13)="",10^12,OFFSET(PLE!$G$15,$M176-$A$15,CC$13)))</f>
        <v>1000000000000</v>
      </c>
      <c r="CD176" s="172">
        <f t="array" aca="1" ref="CD176" ca="1">IF(OR($D176&lt;&gt;"Serviço",AND(AUTOEVENTO="Manual",$M176=$A$15),$M176&gt;(ROW(PLE.lastrow)-ROW(PLE.firstrow))),0,
           IF(OFFSET(PLE!$G$15,$M176-$A$15,CD$13)="",10^12,OFFSET(PLE!$G$15,$M176-$A$15,CD$13)))</f>
        <v>1000000000000</v>
      </c>
      <c r="CE176" s="172">
        <f t="array" aca="1" ref="CE176" ca="1">IF(OR($D176&lt;&gt;"Serviço",AND(AUTOEVENTO="Manual",$M176=$A$15),$M176&gt;(ROW(PLE.lastrow)-ROW(PLE.firstrow))),0,
           IF(OFFSET(PLE!$G$15,$M176-$A$15,CE$13)="",10^12,OFFSET(PLE!$G$15,$M176-$A$15,CE$13)))</f>
        <v>1000000000000</v>
      </c>
      <c r="CF176" s="172">
        <f t="array" aca="1" ref="CF176" ca="1">IF(OR($D176&lt;&gt;"Serviço",AND(AUTOEVENTO="Manual",$M176=$A$15),$M176&gt;(ROW(PLE.lastrow)-ROW(PLE.firstrow))),0,
           IF(OFFSET(PLE!$G$15,$M176-$A$15,CF$13)="",10^12,OFFSET(PLE!$G$15,$M176-$A$15,CF$13)))</f>
        <v>1000000000000</v>
      </c>
      <c r="CG176" s="172">
        <f t="array" aca="1" ref="CG176" ca="1">IF(OR($D176&lt;&gt;"Serviço",AND(AUTOEVENTO="Manual",$M176=$A$15),$M176&gt;(ROW(PLE.lastrow)-ROW(PLE.firstrow))),0,
           IF(OFFSET(PLE!$G$15,$M176-$A$15,CG$13)="",10^12,OFFSET(PLE!$G$15,$M176-$A$15,CG$13)))</f>
        <v>1000000000000</v>
      </c>
      <c r="CH176" s="172">
        <f t="array" aca="1" ref="CH176" ca="1">IF(OR($D176&lt;&gt;"Serviço",AND(AUTOEVENTO="Manual",$M176=$A$15),$M176&gt;(ROW(PLE.lastrow)-ROW(PLE.firstrow))),0,
           IF(OFFSET(PLE!$G$15,$M176-$A$15,CH$13)="",10^12,OFFSET(PLE!$G$15,$M176-$A$15,CH$13)))</f>
        <v>1000000000000</v>
      </c>
      <c r="CI176" s="172">
        <f t="array" aca="1" ref="CI176" ca="1">IF(OR($D176&lt;&gt;"Serviço",AND(AUTOEVENTO="Manual",$M176=$A$15),$M176&gt;(ROW(PLE.lastrow)-ROW(PLE.firstrow))),0,
           IF(OFFSET(PLE!$G$15,$M176-$A$15,CI$13)="",10^12,OFFSET(PLE!$G$15,$M176-$A$15,CI$13)))</f>
        <v>1000000000000</v>
      </c>
      <c r="CJ176" s="172">
        <f t="array" aca="1" ref="CJ176" ca="1">IF(OR($D176&lt;&gt;"Serviço",AND(AUTOEVENTO="Manual",$M176=$A$15),$M176&gt;(ROW(PLE.lastrow)-ROW(PLE.firstrow))),0,
           IF(OFFSET(PLE!$G$15,$M176-$A$15,CJ$13)="",10^12,OFFSET(PLE!$G$15,$M176-$A$15,CJ$13)))</f>
        <v>1000000000000</v>
      </c>
      <c r="CK176" s="172">
        <f t="array" aca="1" ref="CK176" ca="1">IF(OR($D176&lt;&gt;"Serviço",AND(AUTOEVENTO="Manual",$M176=$A$15),$M176&gt;(ROW(PLE.lastrow)-ROW(PLE.firstrow))),0,
           IF(OFFSET(PLE!$G$15,$M176-$A$15,CK$13)="",10^12,OFFSET(PLE!$G$15,$M176-$A$15,CK$13)))</f>
        <v>1000000000000</v>
      </c>
      <c r="CL176" s="172">
        <f t="array" aca="1" ref="CL176" ca="1">IF(OR($D176&lt;&gt;"Serviço",AND(AUTOEVENTO="Manual",$M176=$A$15),$M176&gt;(ROW(PLE.lastrow)-ROW(PLE.firstrow))),0,
           IF(OFFSET(PLE!$G$15,$M176-$A$15,CL$13)="",10^12,OFFSET(PLE!$G$15,$M176-$A$15,CL$13)))</f>
        <v>1000000000000</v>
      </c>
      <c r="CM176" s="172">
        <f t="array" aca="1" ref="CM176" ca="1">IF(OR($D176&lt;&gt;"Serviço",AND(AUTOEVENTO="Manual",$M176=$A$15),$M176&gt;(ROW(PLE.lastrow)-ROW(PLE.firstrow))),0,
           IF(OFFSET(PLE!$G$15,$M176-$A$15,CM$13)="",10^12,OFFSET(PLE!$G$15,$M176-$A$15,CM$13)))</f>
        <v>1000000000000</v>
      </c>
    </row>
    <row r="177" spans="1:91" s="696" customFormat="1" ht="38.25" x14ac:dyDescent="0.2">
      <c r="A177" s="694">
        <f t="shared" ca="1" si="82"/>
        <v>38</v>
      </c>
      <c r="B177" s="694" t="str">
        <f ca="1">OFFSET(ORÇAMENTO!C$15,$L177,0)</f>
        <v>S</v>
      </c>
      <c r="C177" s="694" t="str">
        <f ca="1">OFFSET(ORÇAMENTO!L$15,$L177,0)</f>
        <v>F</v>
      </c>
      <c r="D177" s="116" t="str">
        <f ca="1">OFFSET(ORÇAMENTO!N$15,$L177,0)</f>
        <v>Serviço</v>
      </c>
      <c r="E177" s="117" t="str">
        <f ca="1">OFFSET(ORÇAMENTO!O$15,$L177,0)</f>
        <v>1.28.3.</v>
      </c>
      <c r="F177" s="163" t="str">
        <f ca="1">OFFSET(ORÇAMENTO!R$15,$L177,0)</f>
        <v>TUBO, PVC, SOLDÁVEL, DE 25MM, INSTALADO EM PRUMADA DE ÁGUA - FORNECIMENTO E INSTALAÇÃO. AF_06/2022</v>
      </c>
      <c r="G177" s="164" t="str">
        <f ca="1">IF($D177&lt;&gt;"Serviço","",OFFSET(ORÇAMENTO!S$15,$L177,0))</f>
        <v>M</v>
      </c>
      <c r="H177" s="122">
        <f t="array" aca="1" ref="H177" ca="1">IF($D177&lt;&gt;"Serviço",0,IF(ACOMPANHAMENTO="BM",ROUND(OFFSET(ORÇAMENTO!AJ$15,$L177,0),15-13*ORÇAMENTO!$AF$7),IF(IFERROR(CÁLCULO.FrentesPreenchidas,0)=0,0,SUM(ROUND(OFFSET($P177,0,1,1,CÁLCULO.FrentesPreenchidas),15-13*ORÇAMENTO!$AF$7)))))</f>
        <v>135</v>
      </c>
      <c r="I177" s="467" t="s">
        <v>1322</v>
      </c>
      <c r="J177" s="653" t="str">
        <f t="array" aca="1" ref="J177" ca="1">IF(OR(B177&lt;&gt;"S",CÁLCULO.FrentesPreenchidas=0),"",IF(AND(ACOMPANHAMENTO="PLE",AUTOEVENTO="Manual",OR(H177&gt;0,ORÇAMENTO!AC177="QUANT."),OR(K177="",M177=0,N177="")),"►E",IF(AND(ACOMPANHAMENTO="PLE",ORÇAMENTO!AC177="QUANT."),"►Q",IF(AND(ACOMPANHAMENTO="PLE",H177&lt;&gt;SUMPRODUCT(($Q$1:$AI$1=1)*ROUND(Q177:AI177,15))),"►S",IF(AND(COUNTIF($P$11:$AI$11,"▼")=0,H177&gt;0,I177=""),"◄M","")))))</f>
        <v/>
      </c>
      <c r="K177" s="654" t="s">
        <v>1445</v>
      </c>
      <c r="L177" s="165">
        <f t="shared" ca="1" si="83"/>
        <v>162</v>
      </c>
      <c r="M177" s="166">
        <f ca="1">IF($D177&lt;&gt;"Serviço","",
          IF(AUTOEVENTO="manual",$A177,
                IF(ISERROR(MATCH($A177,$A$15:OFFSET($A177,-1,0),0)),MAX($M$15:OFFSET(M177,-1,0))+1,
                      INDEX($M$15:OFFSET(M177,-1,0),MATCH($A177,$A$15:OFFSET($A177,-1,0),0)))))</f>
        <v>38</v>
      </c>
      <c r="N177" s="167" t="str">
        <f ca="1">IF($D177&lt;&gt;"Serviço","",
         IF(AUTOEVENTO="Manual",
                IF($A177=0,"&lt;-- defina o número do agrupador",
                       OFFSET(EVENTOS!$D$15,$A177-$A$15,0)),
                OFFSET($F$15,$A177,0)))</f>
        <v>HIDRÁULICA EMBUTIDA EM PAREDE</v>
      </c>
      <c r="O177" s="168"/>
      <c r="Q177" s="169">
        <f>6.75*5</f>
        <v>33.75</v>
      </c>
      <c r="R177" s="169">
        <f t="shared" ref="R177:T177" si="95">6.75*5</f>
        <v>33.75</v>
      </c>
      <c r="S177" s="169">
        <f t="shared" si="95"/>
        <v>33.75</v>
      </c>
      <c r="T177" s="169">
        <f t="shared" si="95"/>
        <v>33.75</v>
      </c>
      <c r="U177" s="169"/>
      <c r="V177" s="169"/>
      <c r="W177" s="169"/>
      <c r="X177" s="169"/>
      <c r="Y177" s="169"/>
      <c r="Z177" s="170"/>
      <c r="AA177" s="169"/>
      <c r="AB177" s="169"/>
      <c r="AC177" s="169"/>
      <c r="AD177" s="169"/>
      <c r="AE177" s="169"/>
      <c r="AF177" s="169"/>
      <c r="AG177" s="169"/>
      <c r="AH177" s="170"/>
      <c r="AJ177" s="452">
        <f ca="1">IF(AND($D177="Serviço",AJ$12&lt;&gt;0,$H177&gt;0,OR(AUTOEVENTO&lt;&gt;"manual",$M177&lt;&gt;$A$15)),
        IF(Import.TipoArredondamento&lt;&gt;"TransfereGOV",
              ROUND(OFFSET($P177,0,AJ$13),15-13*ORÇAMENTO!$AF$7)/$H177*OFFSET(ORÇAMENTO!$X$15,ROW(AJ177)-ROW(AJ$15),0),
              ROUND(ROUND(OFFSET($P177,0,AJ$13),15-13*ORÇAMENTO!$AF$7)*OFFSET(ORÇAMENTO!$W$15,ROW(AJ177)-ROW(AJ$15),0),15-13*ORÇAMENTO!$AF$11)),
         0)</f>
        <v>210.94</v>
      </c>
      <c r="AK177" s="452">
        <f ca="1">IF(AND($D177="Serviço",AK$12&lt;&gt;0,$H177&gt;0,OR(AUTOEVENTO&lt;&gt;"manual",$M177&lt;&gt;$A$15)),
        IF(Import.TipoArredondamento&lt;&gt;"TransfereGOV",
              ROUND(OFFSET($P177,0,AK$13),15-13*ORÇAMENTO!$AF$7)/$H177*OFFSET(ORÇAMENTO!$X$15,ROW(AK177)-ROW(AK$15),0),
              ROUND(ROUND(OFFSET($P177,0,AK$13),15-13*ORÇAMENTO!$AF$7)*OFFSET(ORÇAMENTO!$W$15,ROW(AK177)-ROW(AK$15),0),15-13*ORÇAMENTO!$AF$11)),
         0)</f>
        <v>210.94</v>
      </c>
      <c r="AL177" s="452">
        <f ca="1">IF(AND($D177="Serviço",AL$12&lt;&gt;0,$H177&gt;0,OR(AUTOEVENTO&lt;&gt;"manual",$M177&lt;&gt;$A$15)),
        IF(Import.TipoArredondamento&lt;&gt;"TransfereGOV",
              ROUND(OFFSET($P177,0,AL$13),15-13*ORÇAMENTO!$AF$7)/$H177*OFFSET(ORÇAMENTO!$X$15,ROW(AL177)-ROW(AL$15),0),
              ROUND(ROUND(OFFSET($P177,0,AL$13),15-13*ORÇAMENTO!$AF$7)*OFFSET(ORÇAMENTO!$W$15,ROW(AL177)-ROW(AL$15),0),15-13*ORÇAMENTO!$AF$11)),
         0)</f>
        <v>210.94</v>
      </c>
      <c r="AM177" s="452">
        <f ca="1">IF(AND($D177="Serviço",AM$12&lt;&gt;0,$H177&gt;0,OR(AUTOEVENTO&lt;&gt;"manual",$M177&lt;&gt;$A$15)),
        IF(Import.TipoArredondamento&lt;&gt;"TransfereGOV",
              ROUND(OFFSET($P177,0,AM$13),15-13*ORÇAMENTO!$AF$7)/$H177*OFFSET(ORÇAMENTO!$X$15,ROW(AM177)-ROW(AM$15),0),
              ROUND(ROUND(OFFSET($P177,0,AM$13),15-13*ORÇAMENTO!$AF$7)*OFFSET(ORÇAMENTO!$W$15,ROW(AM177)-ROW(AM$15),0),15-13*ORÇAMENTO!$AF$11)),
         0)</f>
        <v>210.94</v>
      </c>
      <c r="AN177" s="452">
        <f ca="1">IF(AND($D177="Serviço",AN$12&lt;&gt;0,$H177&gt;0,OR(AUTOEVENTO&lt;&gt;"manual",$M177&lt;&gt;$A$15)),
        IF(Import.TipoArredondamento&lt;&gt;"TransfereGOV",
              ROUND(OFFSET($P177,0,AN$13),15-13*ORÇAMENTO!$AF$7)/$H177*OFFSET(ORÇAMENTO!$X$15,ROW(AN177)-ROW(AN$15),0),
              ROUND(ROUND(OFFSET($P177,0,AN$13),15-13*ORÇAMENTO!$AF$7)*OFFSET(ORÇAMENTO!$W$15,ROW(AN177)-ROW(AN$15),0),15-13*ORÇAMENTO!$AF$11)),
         0)</f>
        <v>0</v>
      </c>
      <c r="AO177" s="452">
        <f ca="1">IF(AND($D177="Serviço",AO$12&lt;&gt;0,$H177&gt;0,OR(AUTOEVENTO&lt;&gt;"manual",$M177&lt;&gt;$A$15)),
        IF(Import.TipoArredondamento&lt;&gt;"TransfereGOV",
              ROUND(OFFSET($P177,0,AO$13),15-13*ORÇAMENTO!$AF$7)/$H177*OFFSET(ORÇAMENTO!$X$15,ROW(AO177)-ROW(AO$15),0),
              ROUND(ROUND(OFFSET($P177,0,AO$13),15-13*ORÇAMENTO!$AF$7)*OFFSET(ORÇAMENTO!$W$15,ROW(AO177)-ROW(AO$15),0),15-13*ORÇAMENTO!$AF$11)),
         0)</f>
        <v>0</v>
      </c>
      <c r="AP177" s="452">
        <f ca="1">IF(AND($D177="Serviço",AP$12&lt;&gt;0,$H177&gt;0,OR(AUTOEVENTO&lt;&gt;"manual",$M177&lt;&gt;$A$15)),
        IF(Import.TipoArredondamento&lt;&gt;"TransfereGOV",
              ROUND(OFFSET($P177,0,AP$13),15-13*ORÇAMENTO!$AF$7)/$H177*OFFSET(ORÇAMENTO!$X$15,ROW(AP177)-ROW(AP$15),0),
              ROUND(ROUND(OFFSET($P177,0,AP$13),15-13*ORÇAMENTO!$AF$7)*OFFSET(ORÇAMENTO!$W$15,ROW(AP177)-ROW(AP$15),0),15-13*ORÇAMENTO!$AF$11)),
         0)</f>
        <v>0</v>
      </c>
      <c r="AQ177" s="452">
        <f ca="1">IF(AND($D177="Serviço",AQ$12&lt;&gt;0,$H177&gt;0,OR(AUTOEVENTO&lt;&gt;"manual",$M177&lt;&gt;$A$15)),
        IF(Import.TipoArredondamento&lt;&gt;"TransfereGOV",
              ROUND(OFFSET($P177,0,AQ$13),15-13*ORÇAMENTO!$AF$7)/$H177*OFFSET(ORÇAMENTO!$X$15,ROW(AQ177)-ROW(AQ$15),0),
              ROUND(ROUND(OFFSET($P177,0,AQ$13),15-13*ORÇAMENTO!$AF$7)*OFFSET(ORÇAMENTO!$W$15,ROW(AQ177)-ROW(AQ$15),0),15-13*ORÇAMENTO!$AF$11)),
         0)</f>
        <v>0</v>
      </c>
      <c r="AR177" s="452">
        <f ca="1">IF(AND($D177="Serviço",AR$12&lt;&gt;0,$H177&gt;0,OR(AUTOEVENTO&lt;&gt;"manual",$M177&lt;&gt;$A$15)),
        IF(Import.TipoArredondamento&lt;&gt;"TransfereGOV",
              ROUND(OFFSET($P177,0,AR$13),15-13*ORÇAMENTO!$AF$7)/$H177*OFFSET(ORÇAMENTO!$X$15,ROW(AR177)-ROW(AR$15),0),
              ROUND(ROUND(OFFSET($P177,0,AR$13),15-13*ORÇAMENTO!$AF$7)*OFFSET(ORÇAMENTO!$W$15,ROW(AR177)-ROW(AR$15),0),15-13*ORÇAMENTO!$AF$11)),
         0)</f>
        <v>0</v>
      </c>
      <c r="AS177" s="452">
        <f ca="1">IF(AND($D177="Serviço",AS$12&lt;&gt;0,$H177&gt;0,OR(AUTOEVENTO&lt;&gt;"manual",$M177&lt;&gt;$A$15)),
        IF(Import.TipoArredondamento&lt;&gt;"TransfereGOV",
              ROUND(OFFSET($P177,0,AS$13),15-13*ORÇAMENTO!$AF$7)/$H177*OFFSET(ORÇAMENTO!$X$15,ROW(AS177)-ROW(AS$15),0),
              ROUND(ROUND(OFFSET($P177,0,AS$13),15-13*ORÇAMENTO!$AF$7)*OFFSET(ORÇAMENTO!$W$15,ROW(AS177)-ROW(AS$15),0),15-13*ORÇAMENTO!$AF$11)),
         0)</f>
        <v>0</v>
      </c>
      <c r="AT177" s="452">
        <f ca="1">IF(AND($D177="Serviço",AT$12&lt;&gt;0,$H177&gt;0,OR(AUTOEVENTO&lt;&gt;"manual",$M177&lt;&gt;$A$15)),
        IF(Import.TipoArredondamento&lt;&gt;"TransfereGOV",
              ROUND(OFFSET($P177,0,AT$13),15-13*ORÇAMENTO!$AF$7)/$H177*OFFSET(ORÇAMENTO!$X$15,ROW(AT177)-ROW(AT$15),0),
              ROUND(ROUND(OFFSET($P177,0,AT$13),15-13*ORÇAMENTO!$AF$7)*OFFSET(ORÇAMENTO!$W$15,ROW(AT177)-ROW(AT$15),0),15-13*ORÇAMENTO!$AF$11)),
         0)</f>
        <v>0</v>
      </c>
      <c r="AU177" s="452">
        <f ca="1">IF(AND($D177="Serviço",AU$12&lt;&gt;0,$H177&gt;0,OR(AUTOEVENTO&lt;&gt;"manual",$M177&lt;&gt;$A$15)),
        IF(Import.TipoArredondamento&lt;&gt;"TransfereGOV",
              ROUND(OFFSET($P177,0,AU$13),15-13*ORÇAMENTO!$AF$7)/$H177*OFFSET(ORÇAMENTO!$X$15,ROW(AU177)-ROW(AU$15),0),
              ROUND(ROUND(OFFSET($P177,0,AU$13),15-13*ORÇAMENTO!$AF$7)*OFFSET(ORÇAMENTO!$W$15,ROW(AU177)-ROW(AU$15),0),15-13*ORÇAMENTO!$AF$11)),
         0)</f>
        <v>0</v>
      </c>
      <c r="AV177" s="452">
        <f ca="1">IF(AND($D177="Serviço",AV$12&lt;&gt;0,$H177&gt;0,OR(AUTOEVENTO&lt;&gt;"manual",$M177&lt;&gt;$A$15)),
        IF(Import.TipoArredondamento&lt;&gt;"TransfereGOV",
              ROUND(OFFSET($P177,0,AV$13),15-13*ORÇAMENTO!$AF$7)/$H177*OFFSET(ORÇAMENTO!$X$15,ROW(AV177)-ROW(AV$15),0),
              ROUND(ROUND(OFFSET($P177,0,AV$13),15-13*ORÇAMENTO!$AF$7)*OFFSET(ORÇAMENTO!$W$15,ROW(AV177)-ROW(AV$15),0),15-13*ORÇAMENTO!$AF$11)),
         0)</f>
        <v>0</v>
      </c>
      <c r="AW177" s="452">
        <f ca="1">IF(AND($D177="Serviço",AW$12&lt;&gt;0,$H177&gt;0,OR(AUTOEVENTO&lt;&gt;"manual",$M177&lt;&gt;$A$15)),
        IF(Import.TipoArredondamento&lt;&gt;"TransfereGOV",
              ROUND(OFFSET($P177,0,AW$13),15-13*ORÇAMENTO!$AF$7)/$H177*OFFSET(ORÇAMENTO!$X$15,ROW(AW177)-ROW(AW$15),0),
              ROUND(ROUND(OFFSET($P177,0,AW$13),15-13*ORÇAMENTO!$AF$7)*OFFSET(ORÇAMENTO!$W$15,ROW(AW177)-ROW(AW$15),0),15-13*ORÇAMENTO!$AF$11)),
         0)</f>
        <v>0</v>
      </c>
      <c r="AX177" s="452">
        <f ca="1">IF(AND($D177="Serviço",AX$12&lt;&gt;0,$H177&gt;0,OR(AUTOEVENTO&lt;&gt;"manual",$M177&lt;&gt;$A$15)),
        IF(Import.TipoArredondamento&lt;&gt;"TransfereGOV",
              ROUND(OFFSET($P177,0,AX$13),15-13*ORÇAMENTO!$AF$7)/$H177*OFFSET(ORÇAMENTO!$X$15,ROW(AX177)-ROW(AX$15),0),
              ROUND(ROUND(OFFSET($P177,0,AX$13),15-13*ORÇAMENTO!$AF$7)*OFFSET(ORÇAMENTO!$W$15,ROW(AX177)-ROW(AX$15),0),15-13*ORÇAMENTO!$AF$11)),
         0)</f>
        <v>0</v>
      </c>
      <c r="AY177" s="452">
        <f ca="1">IF(AND($D177="Serviço",AY$12&lt;&gt;0,$H177&gt;0,OR(AUTOEVENTO&lt;&gt;"manual",$M177&lt;&gt;$A$15)),
        IF(Import.TipoArredondamento&lt;&gt;"TransfereGOV",
              ROUND(OFFSET($P177,0,AY$13),15-13*ORÇAMENTO!$AF$7)/$H177*OFFSET(ORÇAMENTO!$X$15,ROW(AY177)-ROW(AY$15),0),
              ROUND(ROUND(OFFSET($P177,0,AY$13),15-13*ORÇAMENTO!$AF$7)*OFFSET(ORÇAMENTO!$W$15,ROW(AY177)-ROW(AY$15),0),15-13*ORÇAMENTO!$AF$11)),
         0)</f>
        <v>0</v>
      </c>
      <c r="AZ177" s="452">
        <f ca="1">IF(AND($D177="Serviço",AZ$12&lt;&gt;0,$H177&gt;0,OR(AUTOEVENTO&lt;&gt;"manual",$M177&lt;&gt;$A$15)),
        IF(Import.TipoArredondamento&lt;&gt;"TransfereGOV",
              ROUND(OFFSET($P177,0,AZ$13),15-13*ORÇAMENTO!$AF$7)/$H177*OFFSET(ORÇAMENTO!$X$15,ROW(AZ177)-ROW(AZ$15),0),
              ROUND(ROUND(OFFSET($P177,0,AZ$13),15-13*ORÇAMENTO!$AF$7)*OFFSET(ORÇAMENTO!$W$15,ROW(AZ177)-ROW(AZ$15),0),15-13*ORÇAMENTO!$AF$11)),
         0)</f>
        <v>0</v>
      </c>
      <c r="BA177" s="452">
        <f ca="1">IF(AND($D177="Serviço",BA$12&lt;&gt;0,$H177&gt;0,OR(AUTOEVENTO&lt;&gt;"manual",$M177&lt;&gt;$A$15)),
        IF(Import.TipoArredondamento&lt;&gt;"TransfereGOV",
              ROUND(OFFSET($P177,0,BA$13),15-13*ORÇAMENTO!$AF$7)/$H177*OFFSET(ORÇAMENTO!$X$15,ROW(BA177)-ROW(BA$15),0),
              ROUND(ROUND(OFFSET($P177,0,BA$13),15-13*ORÇAMENTO!$AF$7)*OFFSET(ORÇAMENTO!$W$15,ROW(BA177)-ROW(BA$15),0),15-13*ORÇAMENTO!$AF$11)),
         0)</f>
        <v>0</v>
      </c>
      <c r="BC177" s="171">
        <f ca="1">IF(OR($D177&lt;&gt;"Serviço",AND(AUTOEVENTO="Manual",$M177=$A$15)),0,
         IF(OFFSET(CRONOPLE!$F$15,$M177-$A$15,BC$13)=0,10^12,OFFSET(CRONOPLE!$F$15,$M177-$A$15,BC$13)))</f>
        <v>5</v>
      </c>
      <c r="BD177" s="171">
        <f ca="1">IF(OR($D177&lt;&gt;"Serviço",AND(AUTOEVENTO="Manual",$M177=$A$15)),0,
         IF(OFFSET(CRONOPLE!$F$15,$M177-$A$15,BD$13)=0,10^12,OFFSET(CRONOPLE!$F$15,$M177-$A$15,BD$13)))</f>
        <v>5</v>
      </c>
      <c r="BE177" s="171">
        <f ca="1">IF(OR($D177&lt;&gt;"Serviço",AND(AUTOEVENTO="Manual",$M177=$A$15)),0,
         IF(OFFSET(CRONOPLE!$F$15,$M177-$A$15,BE$13)=0,10^12,OFFSET(CRONOPLE!$F$15,$M177-$A$15,BE$13)))</f>
        <v>6</v>
      </c>
      <c r="BF177" s="171">
        <f ca="1">IF(OR($D177&lt;&gt;"Serviço",AND(AUTOEVENTO="Manual",$M177=$A$15)),0,
         IF(OFFSET(CRONOPLE!$F$15,$M177-$A$15,BF$13)=0,10^12,OFFSET(CRONOPLE!$F$15,$M177-$A$15,BF$13)))</f>
        <v>6</v>
      </c>
      <c r="BG177" s="171">
        <f ca="1">IF(OR($D177&lt;&gt;"Serviço",AND(AUTOEVENTO="Manual",$M177=$A$15)),0,
         IF(OFFSET(CRONOPLE!$F$15,$M177-$A$15,BG$13)=0,10^12,OFFSET(CRONOPLE!$F$15,$M177-$A$15,BG$13)))</f>
        <v>6</v>
      </c>
      <c r="BH177" s="171">
        <f ca="1">IF(OR($D177&lt;&gt;"Serviço",AND(AUTOEVENTO="Manual",$M177=$A$15)),0,
         IF(OFFSET(CRONOPLE!$F$15,$M177-$A$15,BH$13)=0,10^12,OFFSET(CRONOPLE!$F$15,$M177-$A$15,BH$13)))</f>
        <v>1000000000000</v>
      </c>
      <c r="BI177" s="171">
        <f ca="1">IF(OR($D177&lt;&gt;"Serviço",AND(AUTOEVENTO="Manual",$M177=$A$15)),0,
         IF(OFFSET(CRONOPLE!$F$15,$M177-$A$15,BI$13)=0,10^12,OFFSET(CRONOPLE!$F$15,$M177-$A$15,BI$13)))</f>
        <v>1000000000000</v>
      </c>
      <c r="BJ177" s="171">
        <f ca="1">IF(OR($D177&lt;&gt;"Serviço",AND(AUTOEVENTO="Manual",$M177=$A$15)),0,
         IF(OFFSET(CRONOPLE!$F$15,$M177-$A$15,BJ$13)=0,10^12,OFFSET(CRONOPLE!$F$15,$M177-$A$15,BJ$13)))</f>
        <v>1000000000000</v>
      </c>
      <c r="BK177" s="171">
        <f ca="1">IF(OR($D177&lt;&gt;"Serviço",AND(AUTOEVENTO="Manual",$M177=$A$15)),0,
         IF(OFFSET(CRONOPLE!$F$15,$M177-$A$15,BK$13)=0,10^12,OFFSET(CRONOPLE!$F$15,$M177-$A$15,BK$13)))</f>
        <v>1000000000000</v>
      </c>
      <c r="BL177" s="171">
        <f ca="1">IF(OR($D177&lt;&gt;"Serviço",AND(AUTOEVENTO="Manual",$M177=$A$15)),0,
         IF(OFFSET(CRONOPLE!$F$15,$M177-$A$15,BL$13)=0,10^12,OFFSET(CRONOPLE!$F$15,$M177-$A$15,BL$13)))</f>
        <v>1000000000000</v>
      </c>
      <c r="BM177" s="171">
        <f ca="1">IF(OR($D177&lt;&gt;"Serviço",AND(AUTOEVENTO="Manual",$M177=$A$15)),0,
         IF(OFFSET(CRONOPLE!$F$15,$M177-$A$15,BM$13)=0,10^12,OFFSET(CRONOPLE!$F$15,$M177-$A$15,BM$13)))</f>
        <v>1000000000000</v>
      </c>
      <c r="BN177" s="171">
        <f ca="1">IF(OR($D177&lt;&gt;"Serviço",AND(AUTOEVENTO="Manual",$M177=$A$15)),0,
         IF(OFFSET(CRONOPLE!$F$15,$M177-$A$15,BN$13)=0,10^12,OFFSET(CRONOPLE!$F$15,$M177-$A$15,BN$13)))</f>
        <v>1000000000000</v>
      </c>
      <c r="BO177" s="171">
        <f ca="1">IF(OR($D177&lt;&gt;"Serviço",AND(AUTOEVENTO="Manual",$M177=$A$15)),0,
         IF(OFFSET(CRONOPLE!$F$15,$M177-$A$15,BO$13)=0,10^12,OFFSET(CRONOPLE!$F$15,$M177-$A$15,BO$13)))</f>
        <v>1000000000000</v>
      </c>
      <c r="BP177" s="171">
        <f ca="1">IF(OR($D177&lt;&gt;"Serviço",AND(AUTOEVENTO="Manual",$M177=$A$15)),0,
         IF(OFFSET(CRONOPLE!$F$15,$M177-$A$15,BP$13)=0,10^12,OFFSET(CRONOPLE!$F$15,$M177-$A$15,BP$13)))</f>
        <v>1000000000000</v>
      </c>
      <c r="BQ177" s="171">
        <f ca="1">IF(OR($D177&lt;&gt;"Serviço",AND(AUTOEVENTO="Manual",$M177=$A$15)),0,
         IF(OFFSET(CRONOPLE!$F$15,$M177-$A$15,BQ$13)=0,10^12,OFFSET(CRONOPLE!$F$15,$M177-$A$15,BQ$13)))</f>
        <v>1000000000000</v>
      </c>
      <c r="BR177" s="171">
        <f ca="1">IF(OR($D177&lt;&gt;"Serviço",AND(AUTOEVENTO="Manual",$M177=$A$15)),0,
         IF(OFFSET(CRONOPLE!$F$15,$M177-$A$15,BR$13)=0,10^12,OFFSET(CRONOPLE!$F$15,$M177-$A$15,BR$13)))</f>
        <v>1000000000000</v>
      </c>
      <c r="BS177" s="171">
        <f ca="1">IF(OR($D177&lt;&gt;"Serviço",AND(AUTOEVENTO="Manual",$M177=$A$15)),0,
         IF(OFFSET(CRONOPLE!$F$15,$M177-$A$15,BS$13)=0,10^12,OFFSET(CRONOPLE!$F$15,$M177-$A$15,BS$13)))</f>
        <v>1000000000000</v>
      </c>
      <c r="BT177" s="171">
        <f ca="1">IF(OR($D177&lt;&gt;"Serviço",AND(AUTOEVENTO="Manual",$M177=$A$15)),0,
         IF(OFFSET(CRONOPLE!$F$15,$M177-$A$15,BT$13)=0,10^12,OFFSET(CRONOPLE!$F$15,$M177-$A$15,BT$13)))</f>
        <v>1000000000000</v>
      </c>
      <c r="BV177" s="172">
        <f t="array" aca="1" ref="BV177" ca="1">IF(OR($D177&lt;&gt;"Serviço",AND(AUTOEVENTO="Manual",$M177=$A$15),$M177&gt;(ROW(PLE.lastrow)-ROW(PLE.firstrow))),0,
           IF(OFFSET(PLE!$G$15,$M177-$A$15,BV$13)="",10^12,OFFSET(PLE!$G$15,$M177-$A$15,BV$13)))</f>
        <v>1000000000000</v>
      </c>
      <c r="BW177" s="172">
        <f t="array" aca="1" ref="BW177" ca="1">IF(OR($D177&lt;&gt;"Serviço",AND(AUTOEVENTO="Manual",$M177=$A$15),$M177&gt;(ROW(PLE.lastrow)-ROW(PLE.firstrow))),0,
           IF(OFFSET(PLE!$G$15,$M177-$A$15,BW$13)="",10^12,OFFSET(PLE!$G$15,$M177-$A$15,BW$13)))</f>
        <v>1000000000000</v>
      </c>
      <c r="BX177" s="172">
        <f t="array" aca="1" ref="BX177" ca="1">IF(OR($D177&lt;&gt;"Serviço",AND(AUTOEVENTO="Manual",$M177=$A$15),$M177&gt;(ROW(PLE.lastrow)-ROW(PLE.firstrow))),0,
           IF(OFFSET(PLE!$G$15,$M177-$A$15,BX$13)="",10^12,OFFSET(PLE!$G$15,$M177-$A$15,BX$13)))</f>
        <v>1000000000000</v>
      </c>
      <c r="BY177" s="172">
        <f t="array" aca="1" ref="BY177" ca="1">IF(OR($D177&lt;&gt;"Serviço",AND(AUTOEVENTO="Manual",$M177=$A$15),$M177&gt;(ROW(PLE.lastrow)-ROW(PLE.firstrow))),0,
           IF(OFFSET(PLE!$G$15,$M177-$A$15,BY$13)="",10^12,OFFSET(PLE!$G$15,$M177-$A$15,BY$13)))</f>
        <v>1000000000000</v>
      </c>
      <c r="BZ177" s="172">
        <f t="array" aca="1" ref="BZ177" ca="1">IF(OR($D177&lt;&gt;"Serviço",AND(AUTOEVENTO="Manual",$M177=$A$15),$M177&gt;(ROW(PLE.lastrow)-ROW(PLE.firstrow))),0,
           IF(OFFSET(PLE!$G$15,$M177-$A$15,BZ$13)="",10^12,OFFSET(PLE!$G$15,$M177-$A$15,BZ$13)))</f>
        <v>1000000000000</v>
      </c>
      <c r="CA177" s="172">
        <f t="array" aca="1" ref="CA177" ca="1">IF(OR($D177&lt;&gt;"Serviço",AND(AUTOEVENTO="Manual",$M177=$A$15),$M177&gt;(ROW(PLE.lastrow)-ROW(PLE.firstrow))),0,
           IF(OFFSET(PLE!$G$15,$M177-$A$15,CA$13)="",10^12,OFFSET(PLE!$G$15,$M177-$A$15,CA$13)))</f>
        <v>1000000000000</v>
      </c>
      <c r="CB177" s="172">
        <f t="array" aca="1" ref="CB177" ca="1">IF(OR($D177&lt;&gt;"Serviço",AND(AUTOEVENTO="Manual",$M177=$A$15),$M177&gt;(ROW(PLE.lastrow)-ROW(PLE.firstrow))),0,
           IF(OFFSET(PLE!$G$15,$M177-$A$15,CB$13)="",10^12,OFFSET(PLE!$G$15,$M177-$A$15,CB$13)))</f>
        <v>1000000000000</v>
      </c>
      <c r="CC177" s="172">
        <f t="array" aca="1" ref="CC177" ca="1">IF(OR($D177&lt;&gt;"Serviço",AND(AUTOEVENTO="Manual",$M177=$A$15),$M177&gt;(ROW(PLE.lastrow)-ROW(PLE.firstrow))),0,
           IF(OFFSET(PLE!$G$15,$M177-$A$15,CC$13)="",10^12,OFFSET(PLE!$G$15,$M177-$A$15,CC$13)))</f>
        <v>1000000000000</v>
      </c>
      <c r="CD177" s="172">
        <f t="array" aca="1" ref="CD177" ca="1">IF(OR($D177&lt;&gt;"Serviço",AND(AUTOEVENTO="Manual",$M177=$A$15),$M177&gt;(ROW(PLE.lastrow)-ROW(PLE.firstrow))),0,
           IF(OFFSET(PLE!$G$15,$M177-$A$15,CD$13)="",10^12,OFFSET(PLE!$G$15,$M177-$A$15,CD$13)))</f>
        <v>1000000000000</v>
      </c>
      <c r="CE177" s="172">
        <f t="array" aca="1" ref="CE177" ca="1">IF(OR($D177&lt;&gt;"Serviço",AND(AUTOEVENTO="Manual",$M177=$A$15),$M177&gt;(ROW(PLE.lastrow)-ROW(PLE.firstrow))),0,
           IF(OFFSET(PLE!$G$15,$M177-$A$15,CE$13)="",10^12,OFFSET(PLE!$G$15,$M177-$A$15,CE$13)))</f>
        <v>1000000000000</v>
      </c>
      <c r="CF177" s="172">
        <f t="array" aca="1" ref="CF177" ca="1">IF(OR($D177&lt;&gt;"Serviço",AND(AUTOEVENTO="Manual",$M177=$A$15),$M177&gt;(ROW(PLE.lastrow)-ROW(PLE.firstrow))),0,
           IF(OFFSET(PLE!$G$15,$M177-$A$15,CF$13)="",10^12,OFFSET(PLE!$G$15,$M177-$A$15,CF$13)))</f>
        <v>1000000000000</v>
      </c>
      <c r="CG177" s="172">
        <f t="array" aca="1" ref="CG177" ca="1">IF(OR($D177&lt;&gt;"Serviço",AND(AUTOEVENTO="Manual",$M177=$A$15),$M177&gt;(ROW(PLE.lastrow)-ROW(PLE.firstrow))),0,
           IF(OFFSET(PLE!$G$15,$M177-$A$15,CG$13)="",10^12,OFFSET(PLE!$G$15,$M177-$A$15,CG$13)))</f>
        <v>1000000000000</v>
      </c>
      <c r="CH177" s="172">
        <f t="array" aca="1" ref="CH177" ca="1">IF(OR($D177&lt;&gt;"Serviço",AND(AUTOEVENTO="Manual",$M177=$A$15),$M177&gt;(ROW(PLE.lastrow)-ROW(PLE.firstrow))),0,
           IF(OFFSET(PLE!$G$15,$M177-$A$15,CH$13)="",10^12,OFFSET(PLE!$G$15,$M177-$A$15,CH$13)))</f>
        <v>1000000000000</v>
      </c>
      <c r="CI177" s="172">
        <f t="array" aca="1" ref="CI177" ca="1">IF(OR($D177&lt;&gt;"Serviço",AND(AUTOEVENTO="Manual",$M177=$A$15),$M177&gt;(ROW(PLE.lastrow)-ROW(PLE.firstrow))),0,
           IF(OFFSET(PLE!$G$15,$M177-$A$15,CI$13)="",10^12,OFFSET(PLE!$G$15,$M177-$A$15,CI$13)))</f>
        <v>1000000000000</v>
      </c>
      <c r="CJ177" s="172">
        <f t="array" aca="1" ref="CJ177" ca="1">IF(OR($D177&lt;&gt;"Serviço",AND(AUTOEVENTO="Manual",$M177=$A$15),$M177&gt;(ROW(PLE.lastrow)-ROW(PLE.firstrow))),0,
           IF(OFFSET(PLE!$G$15,$M177-$A$15,CJ$13)="",10^12,OFFSET(PLE!$G$15,$M177-$A$15,CJ$13)))</f>
        <v>1000000000000</v>
      </c>
      <c r="CK177" s="172">
        <f t="array" aca="1" ref="CK177" ca="1">IF(OR($D177&lt;&gt;"Serviço",AND(AUTOEVENTO="Manual",$M177=$A$15),$M177&gt;(ROW(PLE.lastrow)-ROW(PLE.firstrow))),0,
           IF(OFFSET(PLE!$G$15,$M177-$A$15,CK$13)="",10^12,OFFSET(PLE!$G$15,$M177-$A$15,CK$13)))</f>
        <v>1000000000000</v>
      </c>
      <c r="CL177" s="172">
        <f t="array" aca="1" ref="CL177" ca="1">IF(OR($D177&lt;&gt;"Serviço",AND(AUTOEVENTO="Manual",$M177=$A$15),$M177&gt;(ROW(PLE.lastrow)-ROW(PLE.firstrow))),0,
           IF(OFFSET(PLE!$G$15,$M177-$A$15,CL$13)="",10^12,OFFSET(PLE!$G$15,$M177-$A$15,CL$13)))</f>
        <v>1000000000000</v>
      </c>
      <c r="CM177" s="172">
        <f t="array" aca="1" ref="CM177" ca="1">IF(OR($D177&lt;&gt;"Serviço",AND(AUTOEVENTO="Manual",$M177=$A$15),$M177&gt;(ROW(PLE.lastrow)-ROW(PLE.firstrow))),0,
           IF(OFFSET(PLE!$G$15,$M177-$A$15,CM$13)="",10^12,OFFSET(PLE!$G$15,$M177-$A$15,CM$13)))</f>
        <v>1000000000000</v>
      </c>
    </row>
    <row r="178" spans="1:91" s="696" customFormat="1" ht="38.25" x14ac:dyDescent="0.2">
      <c r="A178" s="694">
        <f t="shared" ca="1" si="82"/>
        <v>38</v>
      </c>
      <c r="B178" s="694" t="str">
        <f ca="1">OFFSET(ORÇAMENTO!C$15,$L178,0)</f>
        <v>S</v>
      </c>
      <c r="C178" s="694" t="str">
        <f ca="1">OFFSET(ORÇAMENTO!L$15,$L178,0)</f>
        <v>F</v>
      </c>
      <c r="D178" s="116" t="str">
        <f ca="1">OFFSET(ORÇAMENTO!N$15,$L178,0)</f>
        <v>Serviço</v>
      </c>
      <c r="E178" s="117" t="str">
        <f ca="1">OFFSET(ORÇAMENTO!O$15,$L178,0)</f>
        <v>1.28.4.</v>
      </c>
      <c r="F178" s="163" t="str">
        <f ca="1">OFFSET(ORÇAMENTO!R$15,$L178,0)</f>
        <v>TUBO, PVC, SOLDÁVEL, DE 25MM, INSTALADO EM RAMAL DE DISTRIBUIÇÃO DE ÁGUA - FORNECIMENTO E INSTALAÇÃO. AF_06/2022</v>
      </c>
      <c r="G178" s="164" t="str">
        <f ca="1">IF($D178&lt;&gt;"Serviço","",OFFSET(ORÇAMENTO!S$15,$L178,0))</f>
        <v>M</v>
      </c>
      <c r="H178" s="122">
        <f t="array" aca="1" ref="H178" ca="1">IF($D178&lt;&gt;"Serviço",0,IF(ACOMPANHAMENTO="BM",ROUND(OFFSET(ORÇAMENTO!AJ$15,$L178,0),15-13*ORÇAMENTO!$AF$7),IF(IFERROR(CÁLCULO.FrentesPreenchidas,0)=0,0,SUM(ROUND(OFFSET($P178,0,1,1,CÁLCULO.FrentesPreenchidas),15-13*ORÇAMENTO!$AF$7)))))</f>
        <v>60</v>
      </c>
      <c r="I178" s="467" t="s">
        <v>1321</v>
      </c>
      <c r="J178" s="653" t="str">
        <f t="array" aca="1" ref="J178" ca="1">IF(OR(B178&lt;&gt;"S",CÁLCULO.FrentesPreenchidas=0),"",IF(AND(ACOMPANHAMENTO="PLE",AUTOEVENTO="Manual",OR(H178&gt;0,ORÇAMENTO!AC178="QUANT."),OR(K178="",M178=0,N178="")),"►E",IF(AND(ACOMPANHAMENTO="PLE",ORÇAMENTO!AC178="QUANT."),"►Q",IF(AND(ACOMPANHAMENTO="PLE",H178&lt;&gt;SUMPRODUCT(($Q$1:$AI$1=1)*ROUND(Q178:AI178,15))),"►S",IF(AND(COUNTIF($P$11:$AI$11,"▼")=0,H178&gt;0,I178=""),"◄M","")))))</f>
        <v/>
      </c>
      <c r="K178" s="654" t="s">
        <v>1445</v>
      </c>
      <c r="L178" s="165">
        <f t="shared" ca="1" si="83"/>
        <v>163</v>
      </c>
      <c r="M178" s="166">
        <f ca="1">IF($D178&lt;&gt;"Serviço","",
          IF(AUTOEVENTO="manual",$A178,
                IF(ISERROR(MATCH($A178,$A$15:OFFSET($A178,-1,0),0)),MAX($M$15:OFFSET(M178,-1,0))+1,
                      INDEX($M$15:OFFSET(M178,-1,0),MATCH($A178,$A$15:OFFSET($A178,-1,0),0)))))</f>
        <v>38</v>
      </c>
      <c r="N178" s="167" t="str">
        <f ca="1">IF($D178&lt;&gt;"Serviço","",
         IF(AUTOEVENTO="Manual",
                IF($A178=0,"&lt;-- defina o número do agrupador",
                       OFFSET(EVENTOS!$D$15,$A178-$A$15,0)),
                OFFSET($F$15,$A178,0)))</f>
        <v>HIDRÁULICA EMBUTIDA EM PAREDE</v>
      </c>
      <c r="O178" s="168"/>
      <c r="Q178" s="169">
        <v>15</v>
      </c>
      <c r="R178" s="169">
        <v>15</v>
      </c>
      <c r="S178" s="169">
        <v>15</v>
      </c>
      <c r="T178" s="169">
        <v>15</v>
      </c>
      <c r="U178" s="169"/>
      <c r="V178" s="169"/>
      <c r="W178" s="169"/>
      <c r="X178" s="169"/>
      <c r="Y178" s="169"/>
      <c r="Z178" s="170"/>
      <c r="AA178" s="169"/>
      <c r="AB178" s="169"/>
      <c r="AC178" s="169"/>
      <c r="AD178" s="169"/>
      <c r="AE178" s="169"/>
      <c r="AF178" s="169"/>
      <c r="AG178" s="169"/>
      <c r="AH178" s="170"/>
      <c r="AJ178" s="452">
        <f ca="1">IF(AND($D178="Serviço",AJ$12&lt;&gt;0,$H178&gt;0,OR(AUTOEVENTO&lt;&gt;"manual",$M178&lt;&gt;$A$15)),
        IF(Import.TipoArredondamento&lt;&gt;"TransfereGOV",
              ROUND(OFFSET($P178,0,AJ$13),15-13*ORÇAMENTO!$AF$7)/$H178*OFFSET(ORÇAMENTO!$X$15,ROW(AJ178)-ROW(AJ$15),0),
              ROUND(ROUND(OFFSET($P178,0,AJ$13),15-13*ORÇAMENTO!$AF$7)*OFFSET(ORÇAMENTO!$W$15,ROW(AJ178)-ROW(AJ$15),0),15-13*ORÇAMENTO!$AF$11)),
         0)</f>
        <v>224.85</v>
      </c>
      <c r="AK178" s="452">
        <f ca="1">IF(AND($D178="Serviço",AK$12&lt;&gt;0,$H178&gt;0,OR(AUTOEVENTO&lt;&gt;"manual",$M178&lt;&gt;$A$15)),
        IF(Import.TipoArredondamento&lt;&gt;"TransfereGOV",
              ROUND(OFFSET($P178,0,AK$13),15-13*ORÇAMENTO!$AF$7)/$H178*OFFSET(ORÇAMENTO!$X$15,ROW(AK178)-ROW(AK$15),0),
              ROUND(ROUND(OFFSET($P178,0,AK$13),15-13*ORÇAMENTO!$AF$7)*OFFSET(ORÇAMENTO!$W$15,ROW(AK178)-ROW(AK$15),0),15-13*ORÇAMENTO!$AF$11)),
         0)</f>
        <v>224.85</v>
      </c>
      <c r="AL178" s="452">
        <f ca="1">IF(AND($D178="Serviço",AL$12&lt;&gt;0,$H178&gt;0,OR(AUTOEVENTO&lt;&gt;"manual",$M178&lt;&gt;$A$15)),
        IF(Import.TipoArredondamento&lt;&gt;"TransfereGOV",
              ROUND(OFFSET($P178,0,AL$13),15-13*ORÇAMENTO!$AF$7)/$H178*OFFSET(ORÇAMENTO!$X$15,ROW(AL178)-ROW(AL$15),0),
              ROUND(ROUND(OFFSET($P178,0,AL$13),15-13*ORÇAMENTO!$AF$7)*OFFSET(ORÇAMENTO!$W$15,ROW(AL178)-ROW(AL$15),0),15-13*ORÇAMENTO!$AF$11)),
         0)</f>
        <v>224.85</v>
      </c>
      <c r="AM178" s="452">
        <f ca="1">IF(AND($D178="Serviço",AM$12&lt;&gt;0,$H178&gt;0,OR(AUTOEVENTO&lt;&gt;"manual",$M178&lt;&gt;$A$15)),
        IF(Import.TipoArredondamento&lt;&gt;"TransfereGOV",
              ROUND(OFFSET($P178,0,AM$13),15-13*ORÇAMENTO!$AF$7)/$H178*OFFSET(ORÇAMENTO!$X$15,ROW(AM178)-ROW(AM$15),0),
              ROUND(ROUND(OFFSET($P178,0,AM$13),15-13*ORÇAMENTO!$AF$7)*OFFSET(ORÇAMENTO!$W$15,ROW(AM178)-ROW(AM$15),0),15-13*ORÇAMENTO!$AF$11)),
         0)</f>
        <v>224.85</v>
      </c>
      <c r="AN178" s="452">
        <f ca="1">IF(AND($D178="Serviço",AN$12&lt;&gt;0,$H178&gt;0,OR(AUTOEVENTO&lt;&gt;"manual",$M178&lt;&gt;$A$15)),
        IF(Import.TipoArredondamento&lt;&gt;"TransfereGOV",
              ROUND(OFFSET($P178,0,AN$13),15-13*ORÇAMENTO!$AF$7)/$H178*OFFSET(ORÇAMENTO!$X$15,ROW(AN178)-ROW(AN$15),0),
              ROUND(ROUND(OFFSET($P178,0,AN$13),15-13*ORÇAMENTO!$AF$7)*OFFSET(ORÇAMENTO!$W$15,ROW(AN178)-ROW(AN$15),0),15-13*ORÇAMENTO!$AF$11)),
         0)</f>
        <v>0</v>
      </c>
      <c r="AO178" s="452">
        <f ca="1">IF(AND($D178="Serviço",AO$12&lt;&gt;0,$H178&gt;0,OR(AUTOEVENTO&lt;&gt;"manual",$M178&lt;&gt;$A$15)),
        IF(Import.TipoArredondamento&lt;&gt;"TransfereGOV",
              ROUND(OFFSET($P178,0,AO$13),15-13*ORÇAMENTO!$AF$7)/$H178*OFFSET(ORÇAMENTO!$X$15,ROW(AO178)-ROW(AO$15),0),
              ROUND(ROUND(OFFSET($P178,0,AO$13),15-13*ORÇAMENTO!$AF$7)*OFFSET(ORÇAMENTO!$W$15,ROW(AO178)-ROW(AO$15),0),15-13*ORÇAMENTO!$AF$11)),
         0)</f>
        <v>0</v>
      </c>
      <c r="AP178" s="452">
        <f ca="1">IF(AND($D178="Serviço",AP$12&lt;&gt;0,$H178&gt;0,OR(AUTOEVENTO&lt;&gt;"manual",$M178&lt;&gt;$A$15)),
        IF(Import.TipoArredondamento&lt;&gt;"TransfereGOV",
              ROUND(OFFSET($P178,0,AP$13),15-13*ORÇAMENTO!$AF$7)/$H178*OFFSET(ORÇAMENTO!$X$15,ROW(AP178)-ROW(AP$15),0),
              ROUND(ROUND(OFFSET($P178,0,AP$13),15-13*ORÇAMENTO!$AF$7)*OFFSET(ORÇAMENTO!$W$15,ROW(AP178)-ROW(AP$15),0),15-13*ORÇAMENTO!$AF$11)),
         0)</f>
        <v>0</v>
      </c>
      <c r="AQ178" s="452">
        <f ca="1">IF(AND($D178="Serviço",AQ$12&lt;&gt;0,$H178&gt;0,OR(AUTOEVENTO&lt;&gt;"manual",$M178&lt;&gt;$A$15)),
        IF(Import.TipoArredondamento&lt;&gt;"TransfereGOV",
              ROUND(OFFSET($P178,0,AQ$13),15-13*ORÇAMENTO!$AF$7)/$H178*OFFSET(ORÇAMENTO!$X$15,ROW(AQ178)-ROW(AQ$15),0),
              ROUND(ROUND(OFFSET($P178,0,AQ$13),15-13*ORÇAMENTO!$AF$7)*OFFSET(ORÇAMENTO!$W$15,ROW(AQ178)-ROW(AQ$15),0),15-13*ORÇAMENTO!$AF$11)),
         0)</f>
        <v>0</v>
      </c>
      <c r="AR178" s="452">
        <f ca="1">IF(AND($D178="Serviço",AR$12&lt;&gt;0,$H178&gt;0,OR(AUTOEVENTO&lt;&gt;"manual",$M178&lt;&gt;$A$15)),
        IF(Import.TipoArredondamento&lt;&gt;"TransfereGOV",
              ROUND(OFFSET($P178,0,AR$13),15-13*ORÇAMENTO!$AF$7)/$H178*OFFSET(ORÇAMENTO!$X$15,ROW(AR178)-ROW(AR$15),0),
              ROUND(ROUND(OFFSET($P178,0,AR$13),15-13*ORÇAMENTO!$AF$7)*OFFSET(ORÇAMENTO!$W$15,ROW(AR178)-ROW(AR$15),0),15-13*ORÇAMENTO!$AF$11)),
         0)</f>
        <v>0</v>
      </c>
      <c r="AS178" s="452">
        <f ca="1">IF(AND($D178="Serviço",AS$12&lt;&gt;0,$H178&gt;0,OR(AUTOEVENTO&lt;&gt;"manual",$M178&lt;&gt;$A$15)),
        IF(Import.TipoArredondamento&lt;&gt;"TransfereGOV",
              ROUND(OFFSET($P178,0,AS$13),15-13*ORÇAMENTO!$AF$7)/$H178*OFFSET(ORÇAMENTO!$X$15,ROW(AS178)-ROW(AS$15),0),
              ROUND(ROUND(OFFSET($P178,0,AS$13),15-13*ORÇAMENTO!$AF$7)*OFFSET(ORÇAMENTO!$W$15,ROW(AS178)-ROW(AS$15),0),15-13*ORÇAMENTO!$AF$11)),
         0)</f>
        <v>0</v>
      </c>
      <c r="AT178" s="452">
        <f ca="1">IF(AND($D178="Serviço",AT$12&lt;&gt;0,$H178&gt;0,OR(AUTOEVENTO&lt;&gt;"manual",$M178&lt;&gt;$A$15)),
        IF(Import.TipoArredondamento&lt;&gt;"TransfereGOV",
              ROUND(OFFSET($P178,0,AT$13),15-13*ORÇAMENTO!$AF$7)/$H178*OFFSET(ORÇAMENTO!$X$15,ROW(AT178)-ROW(AT$15),0),
              ROUND(ROUND(OFFSET($P178,0,AT$13),15-13*ORÇAMENTO!$AF$7)*OFFSET(ORÇAMENTO!$W$15,ROW(AT178)-ROW(AT$15),0),15-13*ORÇAMENTO!$AF$11)),
         0)</f>
        <v>0</v>
      </c>
      <c r="AU178" s="452">
        <f ca="1">IF(AND($D178="Serviço",AU$12&lt;&gt;0,$H178&gt;0,OR(AUTOEVENTO&lt;&gt;"manual",$M178&lt;&gt;$A$15)),
        IF(Import.TipoArredondamento&lt;&gt;"TransfereGOV",
              ROUND(OFFSET($P178,0,AU$13),15-13*ORÇAMENTO!$AF$7)/$H178*OFFSET(ORÇAMENTO!$X$15,ROW(AU178)-ROW(AU$15),0),
              ROUND(ROUND(OFFSET($P178,0,AU$13),15-13*ORÇAMENTO!$AF$7)*OFFSET(ORÇAMENTO!$W$15,ROW(AU178)-ROW(AU$15),0),15-13*ORÇAMENTO!$AF$11)),
         0)</f>
        <v>0</v>
      </c>
      <c r="AV178" s="452">
        <f ca="1">IF(AND($D178="Serviço",AV$12&lt;&gt;0,$H178&gt;0,OR(AUTOEVENTO&lt;&gt;"manual",$M178&lt;&gt;$A$15)),
        IF(Import.TipoArredondamento&lt;&gt;"TransfereGOV",
              ROUND(OFFSET($P178,0,AV$13),15-13*ORÇAMENTO!$AF$7)/$H178*OFFSET(ORÇAMENTO!$X$15,ROW(AV178)-ROW(AV$15),0),
              ROUND(ROUND(OFFSET($P178,0,AV$13),15-13*ORÇAMENTO!$AF$7)*OFFSET(ORÇAMENTO!$W$15,ROW(AV178)-ROW(AV$15),0),15-13*ORÇAMENTO!$AF$11)),
         0)</f>
        <v>0</v>
      </c>
      <c r="AW178" s="452">
        <f ca="1">IF(AND($D178="Serviço",AW$12&lt;&gt;0,$H178&gt;0,OR(AUTOEVENTO&lt;&gt;"manual",$M178&lt;&gt;$A$15)),
        IF(Import.TipoArredondamento&lt;&gt;"TransfereGOV",
              ROUND(OFFSET($P178,0,AW$13),15-13*ORÇAMENTO!$AF$7)/$H178*OFFSET(ORÇAMENTO!$X$15,ROW(AW178)-ROW(AW$15),0),
              ROUND(ROUND(OFFSET($P178,0,AW$13),15-13*ORÇAMENTO!$AF$7)*OFFSET(ORÇAMENTO!$W$15,ROW(AW178)-ROW(AW$15),0),15-13*ORÇAMENTO!$AF$11)),
         0)</f>
        <v>0</v>
      </c>
      <c r="AX178" s="452">
        <f ca="1">IF(AND($D178="Serviço",AX$12&lt;&gt;0,$H178&gt;0,OR(AUTOEVENTO&lt;&gt;"manual",$M178&lt;&gt;$A$15)),
        IF(Import.TipoArredondamento&lt;&gt;"TransfereGOV",
              ROUND(OFFSET($P178,0,AX$13),15-13*ORÇAMENTO!$AF$7)/$H178*OFFSET(ORÇAMENTO!$X$15,ROW(AX178)-ROW(AX$15),0),
              ROUND(ROUND(OFFSET($P178,0,AX$13),15-13*ORÇAMENTO!$AF$7)*OFFSET(ORÇAMENTO!$W$15,ROW(AX178)-ROW(AX$15),0),15-13*ORÇAMENTO!$AF$11)),
         0)</f>
        <v>0</v>
      </c>
      <c r="AY178" s="452">
        <f ca="1">IF(AND($D178="Serviço",AY$12&lt;&gt;0,$H178&gt;0,OR(AUTOEVENTO&lt;&gt;"manual",$M178&lt;&gt;$A$15)),
        IF(Import.TipoArredondamento&lt;&gt;"TransfereGOV",
              ROUND(OFFSET($P178,0,AY$13),15-13*ORÇAMENTO!$AF$7)/$H178*OFFSET(ORÇAMENTO!$X$15,ROW(AY178)-ROW(AY$15),0),
              ROUND(ROUND(OFFSET($P178,0,AY$13),15-13*ORÇAMENTO!$AF$7)*OFFSET(ORÇAMENTO!$W$15,ROW(AY178)-ROW(AY$15),0),15-13*ORÇAMENTO!$AF$11)),
         0)</f>
        <v>0</v>
      </c>
      <c r="AZ178" s="452">
        <f ca="1">IF(AND($D178="Serviço",AZ$12&lt;&gt;0,$H178&gt;0,OR(AUTOEVENTO&lt;&gt;"manual",$M178&lt;&gt;$A$15)),
        IF(Import.TipoArredondamento&lt;&gt;"TransfereGOV",
              ROUND(OFFSET($P178,0,AZ$13),15-13*ORÇAMENTO!$AF$7)/$H178*OFFSET(ORÇAMENTO!$X$15,ROW(AZ178)-ROW(AZ$15),0),
              ROUND(ROUND(OFFSET($P178,0,AZ$13),15-13*ORÇAMENTO!$AF$7)*OFFSET(ORÇAMENTO!$W$15,ROW(AZ178)-ROW(AZ$15),0),15-13*ORÇAMENTO!$AF$11)),
         0)</f>
        <v>0</v>
      </c>
      <c r="BA178" s="452">
        <f ca="1">IF(AND($D178="Serviço",BA$12&lt;&gt;0,$H178&gt;0,OR(AUTOEVENTO&lt;&gt;"manual",$M178&lt;&gt;$A$15)),
        IF(Import.TipoArredondamento&lt;&gt;"TransfereGOV",
              ROUND(OFFSET($P178,0,BA$13),15-13*ORÇAMENTO!$AF$7)/$H178*OFFSET(ORÇAMENTO!$X$15,ROW(BA178)-ROW(BA$15),0),
              ROUND(ROUND(OFFSET($P178,0,BA$13),15-13*ORÇAMENTO!$AF$7)*OFFSET(ORÇAMENTO!$W$15,ROW(BA178)-ROW(BA$15),0),15-13*ORÇAMENTO!$AF$11)),
         0)</f>
        <v>0</v>
      </c>
      <c r="BC178" s="171">
        <f ca="1">IF(OR($D178&lt;&gt;"Serviço",AND(AUTOEVENTO="Manual",$M178=$A$15)),0,
         IF(OFFSET(CRONOPLE!$F$15,$M178-$A$15,BC$13)=0,10^12,OFFSET(CRONOPLE!$F$15,$M178-$A$15,BC$13)))</f>
        <v>5</v>
      </c>
      <c r="BD178" s="171">
        <f ca="1">IF(OR($D178&lt;&gt;"Serviço",AND(AUTOEVENTO="Manual",$M178=$A$15)),0,
         IF(OFFSET(CRONOPLE!$F$15,$M178-$A$15,BD$13)=0,10^12,OFFSET(CRONOPLE!$F$15,$M178-$A$15,BD$13)))</f>
        <v>5</v>
      </c>
      <c r="BE178" s="171">
        <f ca="1">IF(OR($D178&lt;&gt;"Serviço",AND(AUTOEVENTO="Manual",$M178=$A$15)),0,
         IF(OFFSET(CRONOPLE!$F$15,$M178-$A$15,BE$13)=0,10^12,OFFSET(CRONOPLE!$F$15,$M178-$A$15,BE$13)))</f>
        <v>6</v>
      </c>
      <c r="BF178" s="171">
        <f ca="1">IF(OR($D178&lt;&gt;"Serviço",AND(AUTOEVENTO="Manual",$M178=$A$15)),0,
         IF(OFFSET(CRONOPLE!$F$15,$M178-$A$15,BF$13)=0,10^12,OFFSET(CRONOPLE!$F$15,$M178-$A$15,BF$13)))</f>
        <v>6</v>
      </c>
      <c r="BG178" s="171">
        <f ca="1">IF(OR($D178&lt;&gt;"Serviço",AND(AUTOEVENTO="Manual",$M178=$A$15)),0,
         IF(OFFSET(CRONOPLE!$F$15,$M178-$A$15,BG$13)=0,10^12,OFFSET(CRONOPLE!$F$15,$M178-$A$15,BG$13)))</f>
        <v>6</v>
      </c>
      <c r="BH178" s="171">
        <f ca="1">IF(OR($D178&lt;&gt;"Serviço",AND(AUTOEVENTO="Manual",$M178=$A$15)),0,
         IF(OFFSET(CRONOPLE!$F$15,$M178-$A$15,BH$13)=0,10^12,OFFSET(CRONOPLE!$F$15,$M178-$A$15,BH$13)))</f>
        <v>1000000000000</v>
      </c>
      <c r="BI178" s="171">
        <f ca="1">IF(OR($D178&lt;&gt;"Serviço",AND(AUTOEVENTO="Manual",$M178=$A$15)),0,
         IF(OFFSET(CRONOPLE!$F$15,$M178-$A$15,BI$13)=0,10^12,OFFSET(CRONOPLE!$F$15,$M178-$A$15,BI$13)))</f>
        <v>1000000000000</v>
      </c>
      <c r="BJ178" s="171">
        <f ca="1">IF(OR($D178&lt;&gt;"Serviço",AND(AUTOEVENTO="Manual",$M178=$A$15)),0,
         IF(OFFSET(CRONOPLE!$F$15,$M178-$A$15,BJ$13)=0,10^12,OFFSET(CRONOPLE!$F$15,$M178-$A$15,BJ$13)))</f>
        <v>1000000000000</v>
      </c>
      <c r="BK178" s="171">
        <f ca="1">IF(OR($D178&lt;&gt;"Serviço",AND(AUTOEVENTO="Manual",$M178=$A$15)),0,
         IF(OFFSET(CRONOPLE!$F$15,$M178-$A$15,BK$13)=0,10^12,OFFSET(CRONOPLE!$F$15,$M178-$A$15,BK$13)))</f>
        <v>1000000000000</v>
      </c>
      <c r="BL178" s="171">
        <f ca="1">IF(OR($D178&lt;&gt;"Serviço",AND(AUTOEVENTO="Manual",$M178=$A$15)),0,
         IF(OFFSET(CRONOPLE!$F$15,$M178-$A$15,BL$13)=0,10^12,OFFSET(CRONOPLE!$F$15,$M178-$A$15,BL$13)))</f>
        <v>1000000000000</v>
      </c>
      <c r="BM178" s="171">
        <f ca="1">IF(OR($D178&lt;&gt;"Serviço",AND(AUTOEVENTO="Manual",$M178=$A$15)),0,
         IF(OFFSET(CRONOPLE!$F$15,$M178-$A$15,BM$13)=0,10^12,OFFSET(CRONOPLE!$F$15,$M178-$A$15,BM$13)))</f>
        <v>1000000000000</v>
      </c>
      <c r="BN178" s="171">
        <f ca="1">IF(OR($D178&lt;&gt;"Serviço",AND(AUTOEVENTO="Manual",$M178=$A$15)),0,
         IF(OFFSET(CRONOPLE!$F$15,$M178-$A$15,BN$13)=0,10^12,OFFSET(CRONOPLE!$F$15,$M178-$A$15,BN$13)))</f>
        <v>1000000000000</v>
      </c>
      <c r="BO178" s="171">
        <f ca="1">IF(OR($D178&lt;&gt;"Serviço",AND(AUTOEVENTO="Manual",$M178=$A$15)),0,
         IF(OFFSET(CRONOPLE!$F$15,$M178-$A$15,BO$13)=0,10^12,OFFSET(CRONOPLE!$F$15,$M178-$A$15,BO$13)))</f>
        <v>1000000000000</v>
      </c>
      <c r="BP178" s="171">
        <f ca="1">IF(OR($D178&lt;&gt;"Serviço",AND(AUTOEVENTO="Manual",$M178=$A$15)),0,
         IF(OFFSET(CRONOPLE!$F$15,$M178-$A$15,BP$13)=0,10^12,OFFSET(CRONOPLE!$F$15,$M178-$A$15,BP$13)))</f>
        <v>1000000000000</v>
      </c>
      <c r="BQ178" s="171">
        <f ca="1">IF(OR($D178&lt;&gt;"Serviço",AND(AUTOEVENTO="Manual",$M178=$A$15)),0,
         IF(OFFSET(CRONOPLE!$F$15,$M178-$A$15,BQ$13)=0,10^12,OFFSET(CRONOPLE!$F$15,$M178-$A$15,BQ$13)))</f>
        <v>1000000000000</v>
      </c>
      <c r="BR178" s="171">
        <f ca="1">IF(OR($D178&lt;&gt;"Serviço",AND(AUTOEVENTO="Manual",$M178=$A$15)),0,
         IF(OFFSET(CRONOPLE!$F$15,$M178-$A$15,BR$13)=0,10^12,OFFSET(CRONOPLE!$F$15,$M178-$A$15,BR$13)))</f>
        <v>1000000000000</v>
      </c>
      <c r="BS178" s="171">
        <f ca="1">IF(OR($D178&lt;&gt;"Serviço",AND(AUTOEVENTO="Manual",$M178=$A$15)),0,
         IF(OFFSET(CRONOPLE!$F$15,$M178-$A$15,BS$13)=0,10^12,OFFSET(CRONOPLE!$F$15,$M178-$A$15,BS$13)))</f>
        <v>1000000000000</v>
      </c>
      <c r="BT178" s="171">
        <f ca="1">IF(OR($D178&lt;&gt;"Serviço",AND(AUTOEVENTO="Manual",$M178=$A$15)),0,
         IF(OFFSET(CRONOPLE!$F$15,$M178-$A$15,BT$13)=0,10^12,OFFSET(CRONOPLE!$F$15,$M178-$A$15,BT$13)))</f>
        <v>1000000000000</v>
      </c>
      <c r="BV178" s="172">
        <f t="array" aca="1" ref="BV178" ca="1">IF(OR($D178&lt;&gt;"Serviço",AND(AUTOEVENTO="Manual",$M178=$A$15),$M178&gt;(ROW(PLE.lastrow)-ROW(PLE.firstrow))),0,
           IF(OFFSET(PLE!$G$15,$M178-$A$15,BV$13)="",10^12,OFFSET(PLE!$G$15,$M178-$A$15,BV$13)))</f>
        <v>1000000000000</v>
      </c>
      <c r="BW178" s="172">
        <f t="array" aca="1" ref="BW178" ca="1">IF(OR($D178&lt;&gt;"Serviço",AND(AUTOEVENTO="Manual",$M178=$A$15),$M178&gt;(ROW(PLE.lastrow)-ROW(PLE.firstrow))),0,
           IF(OFFSET(PLE!$G$15,$M178-$A$15,BW$13)="",10^12,OFFSET(PLE!$G$15,$M178-$A$15,BW$13)))</f>
        <v>1000000000000</v>
      </c>
      <c r="BX178" s="172">
        <f t="array" aca="1" ref="BX178" ca="1">IF(OR($D178&lt;&gt;"Serviço",AND(AUTOEVENTO="Manual",$M178=$A$15),$M178&gt;(ROW(PLE.lastrow)-ROW(PLE.firstrow))),0,
           IF(OFFSET(PLE!$G$15,$M178-$A$15,BX$13)="",10^12,OFFSET(PLE!$G$15,$M178-$A$15,BX$13)))</f>
        <v>1000000000000</v>
      </c>
      <c r="BY178" s="172">
        <f t="array" aca="1" ref="BY178" ca="1">IF(OR($D178&lt;&gt;"Serviço",AND(AUTOEVENTO="Manual",$M178=$A$15),$M178&gt;(ROW(PLE.lastrow)-ROW(PLE.firstrow))),0,
           IF(OFFSET(PLE!$G$15,$M178-$A$15,BY$13)="",10^12,OFFSET(PLE!$G$15,$M178-$A$15,BY$13)))</f>
        <v>1000000000000</v>
      </c>
      <c r="BZ178" s="172">
        <f t="array" aca="1" ref="BZ178" ca="1">IF(OR($D178&lt;&gt;"Serviço",AND(AUTOEVENTO="Manual",$M178=$A$15),$M178&gt;(ROW(PLE.lastrow)-ROW(PLE.firstrow))),0,
           IF(OFFSET(PLE!$G$15,$M178-$A$15,BZ$13)="",10^12,OFFSET(PLE!$G$15,$M178-$A$15,BZ$13)))</f>
        <v>1000000000000</v>
      </c>
      <c r="CA178" s="172">
        <f t="array" aca="1" ref="CA178" ca="1">IF(OR($D178&lt;&gt;"Serviço",AND(AUTOEVENTO="Manual",$M178=$A$15),$M178&gt;(ROW(PLE.lastrow)-ROW(PLE.firstrow))),0,
           IF(OFFSET(PLE!$G$15,$M178-$A$15,CA$13)="",10^12,OFFSET(PLE!$G$15,$M178-$A$15,CA$13)))</f>
        <v>1000000000000</v>
      </c>
      <c r="CB178" s="172">
        <f t="array" aca="1" ref="CB178" ca="1">IF(OR($D178&lt;&gt;"Serviço",AND(AUTOEVENTO="Manual",$M178=$A$15),$M178&gt;(ROW(PLE.lastrow)-ROW(PLE.firstrow))),0,
           IF(OFFSET(PLE!$G$15,$M178-$A$15,CB$13)="",10^12,OFFSET(PLE!$G$15,$M178-$A$15,CB$13)))</f>
        <v>1000000000000</v>
      </c>
      <c r="CC178" s="172">
        <f t="array" aca="1" ref="CC178" ca="1">IF(OR($D178&lt;&gt;"Serviço",AND(AUTOEVENTO="Manual",$M178=$A$15),$M178&gt;(ROW(PLE.lastrow)-ROW(PLE.firstrow))),0,
           IF(OFFSET(PLE!$G$15,$M178-$A$15,CC$13)="",10^12,OFFSET(PLE!$G$15,$M178-$A$15,CC$13)))</f>
        <v>1000000000000</v>
      </c>
      <c r="CD178" s="172">
        <f t="array" aca="1" ref="CD178" ca="1">IF(OR($D178&lt;&gt;"Serviço",AND(AUTOEVENTO="Manual",$M178=$A$15),$M178&gt;(ROW(PLE.lastrow)-ROW(PLE.firstrow))),0,
           IF(OFFSET(PLE!$G$15,$M178-$A$15,CD$13)="",10^12,OFFSET(PLE!$G$15,$M178-$A$15,CD$13)))</f>
        <v>1000000000000</v>
      </c>
      <c r="CE178" s="172">
        <f t="array" aca="1" ref="CE178" ca="1">IF(OR($D178&lt;&gt;"Serviço",AND(AUTOEVENTO="Manual",$M178=$A$15),$M178&gt;(ROW(PLE.lastrow)-ROW(PLE.firstrow))),0,
           IF(OFFSET(PLE!$G$15,$M178-$A$15,CE$13)="",10^12,OFFSET(PLE!$G$15,$M178-$A$15,CE$13)))</f>
        <v>1000000000000</v>
      </c>
      <c r="CF178" s="172">
        <f t="array" aca="1" ref="CF178" ca="1">IF(OR($D178&lt;&gt;"Serviço",AND(AUTOEVENTO="Manual",$M178=$A$15),$M178&gt;(ROW(PLE.lastrow)-ROW(PLE.firstrow))),0,
           IF(OFFSET(PLE!$G$15,$M178-$A$15,CF$13)="",10^12,OFFSET(PLE!$G$15,$M178-$A$15,CF$13)))</f>
        <v>1000000000000</v>
      </c>
      <c r="CG178" s="172">
        <f t="array" aca="1" ref="CG178" ca="1">IF(OR($D178&lt;&gt;"Serviço",AND(AUTOEVENTO="Manual",$M178=$A$15),$M178&gt;(ROW(PLE.lastrow)-ROW(PLE.firstrow))),0,
           IF(OFFSET(PLE!$G$15,$M178-$A$15,CG$13)="",10^12,OFFSET(PLE!$G$15,$M178-$A$15,CG$13)))</f>
        <v>1000000000000</v>
      </c>
      <c r="CH178" s="172">
        <f t="array" aca="1" ref="CH178" ca="1">IF(OR($D178&lt;&gt;"Serviço",AND(AUTOEVENTO="Manual",$M178=$A$15),$M178&gt;(ROW(PLE.lastrow)-ROW(PLE.firstrow))),0,
           IF(OFFSET(PLE!$G$15,$M178-$A$15,CH$13)="",10^12,OFFSET(PLE!$G$15,$M178-$A$15,CH$13)))</f>
        <v>1000000000000</v>
      </c>
      <c r="CI178" s="172">
        <f t="array" aca="1" ref="CI178" ca="1">IF(OR($D178&lt;&gt;"Serviço",AND(AUTOEVENTO="Manual",$M178=$A$15),$M178&gt;(ROW(PLE.lastrow)-ROW(PLE.firstrow))),0,
           IF(OFFSET(PLE!$G$15,$M178-$A$15,CI$13)="",10^12,OFFSET(PLE!$G$15,$M178-$A$15,CI$13)))</f>
        <v>1000000000000</v>
      </c>
      <c r="CJ178" s="172">
        <f t="array" aca="1" ref="CJ178" ca="1">IF(OR($D178&lt;&gt;"Serviço",AND(AUTOEVENTO="Manual",$M178=$A$15),$M178&gt;(ROW(PLE.lastrow)-ROW(PLE.firstrow))),0,
           IF(OFFSET(PLE!$G$15,$M178-$A$15,CJ$13)="",10^12,OFFSET(PLE!$G$15,$M178-$A$15,CJ$13)))</f>
        <v>1000000000000</v>
      </c>
      <c r="CK178" s="172">
        <f t="array" aca="1" ref="CK178" ca="1">IF(OR($D178&lt;&gt;"Serviço",AND(AUTOEVENTO="Manual",$M178=$A$15),$M178&gt;(ROW(PLE.lastrow)-ROW(PLE.firstrow))),0,
           IF(OFFSET(PLE!$G$15,$M178-$A$15,CK$13)="",10^12,OFFSET(PLE!$G$15,$M178-$A$15,CK$13)))</f>
        <v>1000000000000</v>
      </c>
      <c r="CL178" s="172">
        <f t="array" aca="1" ref="CL178" ca="1">IF(OR($D178&lt;&gt;"Serviço",AND(AUTOEVENTO="Manual",$M178=$A$15),$M178&gt;(ROW(PLE.lastrow)-ROW(PLE.firstrow))),0,
           IF(OFFSET(PLE!$G$15,$M178-$A$15,CL$13)="",10^12,OFFSET(PLE!$G$15,$M178-$A$15,CL$13)))</f>
        <v>1000000000000</v>
      </c>
      <c r="CM178" s="172">
        <f t="array" aca="1" ref="CM178" ca="1">IF(OR($D178&lt;&gt;"Serviço",AND(AUTOEVENTO="Manual",$M178=$A$15),$M178&gt;(ROW(PLE.lastrow)-ROW(PLE.firstrow))),0,
           IF(OFFSET(PLE!$G$15,$M178-$A$15,CM$13)="",10^12,OFFSET(PLE!$G$15,$M178-$A$15,CM$13)))</f>
        <v>1000000000000</v>
      </c>
    </row>
    <row r="179" spans="1:91" s="696" customFormat="1" ht="63.75" x14ac:dyDescent="0.2">
      <c r="A179" s="694">
        <f t="shared" ca="1" si="82"/>
        <v>38</v>
      </c>
      <c r="B179" s="694" t="str">
        <f ca="1">OFFSET(ORÇAMENTO!C$15,$L179,0)</f>
        <v>S</v>
      </c>
      <c r="C179" s="694" t="str">
        <f ca="1">OFFSET(ORÇAMENTO!L$15,$L179,0)</f>
        <v>F</v>
      </c>
      <c r="D179" s="116" t="str">
        <f ca="1">OFFSET(ORÇAMENTO!N$15,$L179,0)</f>
        <v>Serviço</v>
      </c>
      <c r="E179" s="117" t="str">
        <f ca="1">OFFSET(ORÇAMENTO!O$15,$L179,0)</f>
        <v>1.28.5.</v>
      </c>
      <c r="F179" s="163" t="str">
        <f ca="1">OFFSET(ORÇAMENTO!R$15,$L179,0)</f>
        <v>JOELHO 90 GRAUS, PVC, SOLDÁVEL, DN 25MM, INSTALADO EM RAMAL DE DISTRIBUIÇÃO DE ÁGUA - FORNECIMENTO E INSTALAÇÃO. AF_06/2022</v>
      </c>
      <c r="G179" s="164" t="str">
        <f ca="1">IF($D179&lt;&gt;"Serviço","",OFFSET(ORÇAMENTO!S$15,$L179,0))</f>
        <v>UN</v>
      </c>
      <c r="H179" s="122">
        <f t="array" aca="1" ref="H179" ca="1">IF($D179&lt;&gt;"Serviço",0,IF(ACOMPANHAMENTO="BM",ROUND(OFFSET(ORÇAMENTO!AJ$15,$L179,0),15-13*ORÇAMENTO!$AF$7),IF(IFERROR(CÁLCULO.FrentesPreenchidas,0)=0,0,SUM(ROUND(OFFSET($P179,0,1,1,CÁLCULO.FrentesPreenchidas),15-13*ORÇAMENTO!$AF$7)))))</f>
        <v>40</v>
      </c>
      <c r="I179" s="467" t="s">
        <v>1323</v>
      </c>
      <c r="J179" s="653" t="str">
        <f t="array" aca="1" ref="J179" ca="1">IF(OR(B179&lt;&gt;"S",CÁLCULO.FrentesPreenchidas=0),"",IF(AND(ACOMPANHAMENTO="PLE",AUTOEVENTO="Manual",OR(H179&gt;0,ORÇAMENTO!AC179="QUANT."),OR(K179="",M179=0,N179="")),"►E",IF(AND(ACOMPANHAMENTO="PLE",ORÇAMENTO!AC179="QUANT."),"►Q",IF(AND(ACOMPANHAMENTO="PLE",H179&lt;&gt;SUMPRODUCT(($Q$1:$AI$1=1)*ROUND(Q179:AI179,15))),"►S",IF(AND(COUNTIF($P$11:$AI$11,"▼")=0,H179&gt;0,I179=""),"◄M","")))))</f>
        <v/>
      </c>
      <c r="K179" s="654" t="s">
        <v>1445</v>
      </c>
      <c r="L179" s="165">
        <f t="shared" ca="1" si="83"/>
        <v>164</v>
      </c>
      <c r="M179" s="166">
        <f ca="1">IF($D179&lt;&gt;"Serviço","",
          IF(AUTOEVENTO="manual",$A179,
                IF(ISERROR(MATCH($A179,$A$15:OFFSET($A179,-1,0),0)),MAX($M$15:OFFSET(M179,-1,0))+1,
                      INDEX($M$15:OFFSET(M179,-1,0),MATCH($A179,$A$15:OFFSET($A179,-1,0),0)))))</f>
        <v>38</v>
      </c>
      <c r="N179" s="167" t="str">
        <f ca="1">IF($D179&lt;&gt;"Serviço","",
         IF(AUTOEVENTO="Manual",
                IF($A179=0,"&lt;-- defina o número do agrupador",
                       OFFSET(EVENTOS!$D$15,$A179-$A$15,0)),
                OFFSET($F$15,$A179,0)))</f>
        <v>HIDRÁULICA EMBUTIDA EM PAREDE</v>
      </c>
      <c r="O179" s="168"/>
      <c r="Q179" s="169">
        <v>10</v>
      </c>
      <c r="R179" s="169">
        <v>10</v>
      </c>
      <c r="S179" s="169">
        <v>10</v>
      </c>
      <c r="T179" s="169">
        <v>10</v>
      </c>
      <c r="U179" s="169"/>
      <c r="V179" s="169"/>
      <c r="W179" s="169"/>
      <c r="X179" s="169"/>
      <c r="Y179" s="169"/>
      <c r="Z179" s="170"/>
      <c r="AA179" s="169"/>
      <c r="AB179" s="169"/>
      <c r="AC179" s="169"/>
      <c r="AD179" s="169"/>
      <c r="AE179" s="169"/>
      <c r="AF179" s="169"/>
      <c r="AG179" s="169"/>
      <c r="AH179" s="170"/>
      <c r="AJ179" s="452">
        <f ca="1">IF(AND($D179="Serviço",AJ$12&lt;&gt;0,$H179&gt;0,OR(AUTOEVENTO&lt;&gt;"manual",$M179&lt;&gt;$A$15)),
        IF(Import.TipoArredondamento&lt;&gt;"TransfereGOV",
              ROUND(OFFSET($P179,0,AJ$13),15-13*ORÇAMENTO!$AF$7)/$H179*OFFSET(ORÇAMENTO!$X$15,ROW(AJ179)-ROW(AJ$15),0),
              ROUND(ROUND(OFFSET($P179,0,AJ$13),15-13*ORÇAMENTO!$AF$7)*OFFSET(ORÇAMENTO!$W$15,ROW(AJ179)-ROW(AJ$15),0),15-13*ORÇAMENTO!$AF$11)),
         0)</f>
        <v>106.9</v>
      </c>
      <c r="AK179" s="452">
        <f ca="1">IF(AND($D179="Serviço",AK$12&lt;&gt;0,$H179&gt;0,OR(AUTOEVENTO&lt;&gt;"manual",$M179&lt;&gt;$A$15)),
        IF(Import.TipoArredondamento&lt;&gt;"TransfereGOV",
              ROUND(OFFSET($P179,0,AK$13),15-13*ORÇAMENTO!$AF$7)/$H179*OFFSET(ORÇAMENTO!$X$15,ROW(AK179)-ROW(AK$15),0),
              ROUND(ROUND(OFFSET($P179,0,AK$13),15-13*ORÇAMENTO!$AF$7)*OFFSET(ORÇAMENTO!$W$15,ROW(AK179)-ROW(AK$15),0),15-13*ORÇAMENTO!$AF$11)),
         0)</f>
        <v>106.9</v>
      </c>
      <c r="AL179" s="452">
        <f ca="1">IF(AND($D179="Serviço",AL$12&lt;&gt;0,$H179&gt;0,OR(AUTOEVENTO&lt;&gt;"manual",$M179&lt;&gt;$A$15)),
        IF(Import.TipoArredondamento&lt;&gt;"TransfereGOV",
              ROUND(OFFSET($P179,0,AL$13),15-13*ORÇAMENTO!$AF$7)/$H179*OFFSET(ORÇAMENTO!$X$15,ROW(AL179)-ROW(AL$15),0),
              ROUND(ROUND(OFFSET($P179,0,AL$13),15-13*ORÇAMENTO!$AF$7)*OFFSET(ORÇAMENTO!$W$15,ROW(AL179)-ROW(AL$15),0),15-13*ORÇAMENTO!$AF$11)),
         0)</f>
        <v>106.9</v>
      </c>
      <c r="AM179" s="452">
        <f ca="1">IF(AND($D179="Serviço",AM$12&lt;&gt;0,$H179&gt;0,OR(AUTOEVENTO&lt;&gt;"manual",$M179&lt;&gt;$A$15)),
        IF(Import.TipoArredondamento&lt;&gt;"TransfereGOV",
              ROUND(OFFSET($P179,0,AM$13),15-13*ORÇAMENTO!$AF$7)/$H179*OFFSET(ORÇAMENTO!$X$15,ROW(AM179)-ROW(AM$15),0),
              ROUND(ROUND(OFFSET($P179,0,AM$13),15-13*ORÇAMENTO!$AF$7)*OFFSET(ORÇAMENTO!$W$15,ROW(AM179)-ROW(AM$15),0),15-13*ORÇAMENTO!$AF$11)),
         0)</f>
        <v>106.9</v>
      </c>
      <c r="AN179" s="452">
        <f ca="1">IF(AND($D179="Serviço",AN$12&lt;&gt;0,$H179&gt;0,OR(AUTOEVENTO&lt;&gt;"manual",$M179&lt;&gt;$A$15)),
        IF(Import.TipoArredondamento&lt;&gt;"TransfereGOV",
              ROUND(OFFSET($P179,0,AN$13),15-13*ORÇAMENTO!$AF$7)/$H179*OFFSET(ORÇAMENTO!$X$15,ROW(AN179)-ROW(AN$15),0),
              ROUND(ROUND(OFFSET($P179,0,AN$13),15-13*ORÇAMENTO!$AF$7)*OFFSET(ORÇAMENTO!$W$15,ROW(AN179)-ROW(AN$15),0),15-13*ORÇAMENTO!$AF$11)),
         0)</f>
        <v>0</v>
      </c>
      <c r="AO179" s="452">
        <f ca="1">IF(AND($D179="Serviço",AO$12&lt;&gt;0,$H179&gt;0,OR(AUTOEVENTO&lt;&gt;"manual",$M179&lt;&gt;$A$15)),
        IF(Import.TipoArredondamento&lt;&gt;"TransfereGOV",
              ROUND(OFFSET($P179,0,AO$13),15-13*ORÇAMENTO!$AF$7)/$H179*OFFSET(ORÇAMENTO!$X$15,ROW(AO179)-ROW(AO$15),0),
              ROUND(ROUND(OFFSET($P179,0,AO$13),15-13*ORÇAMENTO!$AF$7)*OFFSET(ORÇAMENTO!$W$15,ROW(AO179)-ROW(AO$15),0),15-13*ORÇAMENTO!$AF$11)),
         0)</f>
        <v>0</v>
      </c>
      <c r="AP179" s="452">
        <f ca="1">IF(AND($D179="Serviço",AP$12&lt;&gt;0,$H179&gt;0,OR(AUTOEVENTO&lt;&gt;"manual",$M179&lt;&gt;$A$15)),
        IF(Import.TipoArredondamento&lt;&gt;"TransfereGOV",
              ROUND(OFFSET($P179,0,AP$13),15-13*ORÇAMENTO!$AF$7)/$H179*OFFSET(ORÇAMENTO!$X$15,ROW(AP179)-ROW(AP$15),0),
              ROUND(ROUND(OFFSET($P179,0,AP$13),15-13*ORÇAMENTO!$AF$7)*OFFSET(ORÇAMENTO!$W$15,ROW(AP179)-ROW(AP$15),0),15-13*ORÇAMENTO!$AF$11)),
         0)</f>
        <v>0</v>
      </c>
      <c r="AQ179" s="452">
        <f ca="1">IF(AND($D179="Serviço",AQ$12&lt;&gt;0,$H179&gt;0,OR(AUTOEVENTO&lt;&gt;"manual",$M179&lt;&gt;$A$15)),
        IF(Import.TipoArredondamento&lt;&gt;"TransfereGOV",
              ROUND(OFFSET($P179,0,AQ$13),15-13*ORÇAMENTO!$AF$7)/$H179*OFFSET(ORÇAMENTO!$X$15,ROW(AQ179)-ROW(AQ$15),0),
              ROUND(ROUND(OFFSET($P179,0,AQ$13),15-13*ORÇAMENTO!$AF$7)*OFFSET(ORÇAMENTO!$W$15,ROW(AQ179)-ROW(AQ$15),0),15-13*ORÇAMENTO!$AF$11)),
         0)</f>
        <v>0</v>
      </c>
      <c r="AR179" s="452">
        <f ca="1">IF(AND($D179="Serviço",AR$12&lt;&gt;0,$H179&gt;0,OR(AUTOEVENTO&lt;&gt;"manual",$M179&lt;&gt;$A$15)),
        IF(Import.TipoArredondamento&lt;&gt;"TransfereGOV",
              ROUND(OFFSET($P179,0,AR$13),15-13*ORÇAMENTO!$AF$7)/$H179*OFFSET(ORÇAMENTO!$X$15,ROW(AR179)-ROW(AR$15),0),
              ROUND(ROUND(OFFSET($P179,0,AR$13),15-13*ORÇAMENTO!$AF$7)*OFFSET(ORÇAMENTO!$W$15,ROW(AR179)-ROW(AR$15),0),15-13*ORÇAMENTO!$AF$11)),
         0)</f>
        <v>0</v>
      </c>
      <c r="AS179" s="452">
        <f ca="1">IF(AND($D179="Serviço",AS$12&lt;&gt;0,$H179&gt;0,OR(AUTOEVENTO&lt;&gt;"manual",$M179&lt;&gt;$A$15)),
        IF(Import.TipoArredondamento&lt;&gt;"TransfereGOV",
              ROUND(OFFSET($P179,0,AS$13),15-13*ORÇAMENTO!$AF$7)/$H179*OFFSET(ORÇAMENTO!$X$15,ROW(AS179)-ROW(AS$15),0),
              ROUND(ROUND(OFFSET($P179,0,AS$13),15-13*ORÇAMENTO!$AF$7)*OFFSET(ORÇAMENTO!$W$15,ROW(AS179)-ROW(AS$15),0),15-13*ORÇAMENTO!$AF$11)),
         0)</f>
        <v>0</v>
      </c>
      <c r="AT179" s="452">
        <f ca="1">IF(AND($D179="Serviço",AT$12&lt;&gt;0,$H179&gt;0,OR(AUTOEVENTO&lt;&gt;"manual",$M179&lt;&gt;$A$15)),
        IF(Import.TipoArredondamento&lt;&gt;"TransfereGOV",
              ROUND(OFFSET($P179,0,AT$13),15-13*ORÇAMENTO!$AF$7)/$H179*OFFSET(ORÇAMENTO!$X$15,ROW(AT179)-ROW(AT$15),0),
              ROUND(ROUND(OFFSET($P179,0,AT$13),15-13*ORÇAMENTO!$AF$7)*OFFSET(ORÇAMENTO!$W$15,ROW(AT179)-ROW(AT$15),0),15-13*ORÇAMENTO!$AF$11)),
         0)</f>
        <v>0</v>
      </c>
      <c r="AU179" s="452">
        <f ca="1">IF(AND($D179="Serviço",AU$12&lt;&gt;0,$H179&gt;0,OR(AUTOEVENTO&lt;&gt;"manual",$M179&lt;&gt;$A$15)),
        IF(Import.TipoArredondamento&lt;&gt;"TransfereGOV",
              ROUND(OFFSET($P179,0,AU$13),15-13*ORÇAMENTO!$AF$7)/$H179*OFFSET(ORÇAMENTO!$X$15,ROW(AU179)-ROW(AU$15),0),
              ROUND(ROUND(OFFSET($P179,0,AU$13),15-13*ORÇAMENTO!$AF$7)*OFFSET(ORÇAMENTO!$W$15,ROW(AU179)-ROW(AU$15),0),15-13*ORÇAMENTO!$AF$11)),
         0)</f>
        <v>0</v>
      </c>
      <c r="AV179" s="452">
        <f ca="1">IF(AND($D179="Serviço",AV$12&lt;&gt;0,$H179&gt;0,OR(AUTOEVENTO&lt;&gt;"manual",$M179&lt;&gt;$A$15)),
        IF(Import.TipoArredondamento&lt;&gt;"TransfereGOV",
              ROUND(OFFSET($P179,0,AV$13),15-13*ORÇAMENTO!$AF$7)/$H179*OFFSET(ORÇAMENTO!$X$15,ROW(AV179)-ROW(AV$15),0),
              ROUND(ROUND(OFFSET($P179,0,AV$13),15-13*ORÇAMENTO!$AF$7)*OFFSET(ORÇAMENTO!$W$15,ROW(AV179)-ROW(AV$15),0),15-13*ORÇAMENTO!$AF$11)),
         0)</f>
        <v>0</v>
      </c>
      <c r="AW179" s="452">
        <f ca="1">IF(AND($D179="Serviço",AW$12&lt;&gt;0,$H179&gt;0,OR(AUTOEVENTO&lt;&gt;"manual",$M179&lt;&gt;$A$15)),
        IF(Import.TipoArredondamento&lt;&gt;"TransfereGOV",
              ROUND(OFFSET($P179,0,AW$13),15-13*ORÇAMENTO!$AF$7)/$H179*OFFSET(ORÇAMENTO!$X$15,ROW(AW179)-ROW(AW$15),0),
              ROUND(ROUND(OFFSET($P179,0,AW$13),15-13*ORÇAMENTO!$AF$7)*OFFSET(ORÇAMENTO!$W$15,ROW(AW179)-ROW(AW$15),0),15-13*ORÇAMENTO!$AF$11)),
         0)</f>
        <v>0</v>
      </c>
      <c r="AX179" s="452">
        <f ca="1">IF(AND($D179="Serviço",AX$12&lt;&gt;0,$H179&gt;0,OR(AUTOEVENTO&lt;&gt;"manual",$M179&lt;&gt;$A$15)),
        IF(Import.TipoArredondamento&lt;&gt;"TransfereGOV",
              ROUND(OFFSET($P179,0,AX$13),15-13*ORÇAMENTO!$AF$7)/$H179*OFFSET(ORÇAMENTO!$X$15,ROW(AX179)-ROW(AX$15),0),
              ROUND(ROUND(OFFSET($P179,0,AX$13),15-13*ORÇAMENTO!$AF$7)*OFFSET(ORÇAMENTO!$W$15,ROW(AX179)-ROW(AX$15),0),15-13*ORÇAMENTO!$AF$11)),
         0)</f>
        <v>0</v>
      </c>
      <c r="AY179" s="452">
        <f ca="1">IF(AND($D179="Serviço",AY$12&lt;&gt;0,$H179&gt;0,OR(AUTOEVENTO&lt;&gt;"manual",$M179&lt;&gt;$A$15)),
        IF(Import.TipoArredondamento&lt;&gt;"TransfereGOV",
              ROUND(OFFSET($P179,0,AY$13),15-13*ORÇAMENTO!$AF$7)/$H179*OFFSET(ORÇAMENTO!$X$15,ROW(AY179)-ROW(AY$15),0),
              ROUND(ROUND(OFFSET($P179,0,AY$13),15-13*ORÇAMENTO!$AF$7)*OFFSET(ORÇAMENTO!$W$15,ROW(AY179)-ROW(AY$15),0),15-13*ORÇAMENTO!$AF$11)),
         0)</f>
        <v>0</v>
      </c>
      <c r="AZ179" s="452">
        <f ca="1">IF(AND($D179="Serviço",AZ$12&lt;&gt;0,$H179&gt;0,OR(AUTOEVENTO&lt;&gt;"manual",$M179&lt;&gt;$A$15)),
        IF(Import.TipoArredondamento&lt;&gt;"TransfereGOV",
              ROUND(OFFSET($P179,0,AZ$13),15-13*ORÇAMENTO!$AF$7)/$H179*OFFSET(ORÇAMENTO!$X$15,ROW(AZ179)-ROW(AZ$15),0),
              ROUND(ROUND(OFFSET($P179,0,AZ$13),15-13*ORÇAMENTO!$AF$7)*OFFSET(ORÇAMENTO!$W$15,ROW(AZ179)-ROW(AZ$15),0),15-13*ORÇAMENTO!$AF$11)),
         0)</f>
        <v>0</v>
      </c>
      <c r="BA179" s="452">
        <f ca="1">IF(AND($D179="Serviço",BA$12&lt;&gt;0,$H179&gt;0,OR(AUTOEVENTO&lt;&gt;"manual",$M179&lt;&gt;$A$15)),
        IF(Import.TipoArredondamento&lt;&gt;"TransfereGOV",
              ROUND(OFFSET($P179,0,BA$13),15-13*ORÇAMENTO!$AF$7)/$H179*OFFSET(ORÇAMENTO!$X$15,ROW(BA179)-ROW(BA$15),0),
              ROUND(ROUND(OFFSET($P179,0,BA$13),15-13*ORÇAMENTO!$AF$7)*OFFSET(ORÇAMENTO!$W$15,ROW(BA179)-ROW(BA$15),0),15-13*ORÇAMENTO!$AF$11)),
         0)</f>
        <v>0</v>
      </c>
      <c r="BC179" s="171">
        <f ca="1">IF(OR($D179&lt;&gt;"Serviço",AND(AUTOEVENTO="Manual",$M179=$A$15)),0,
         IF(OFFSET(CRONOPLE!$F$15,$M179-$A$15,BC$13)=0,10^12,OFFSET(CRONOPLE!$F$15,$M179-$A$15,BC$13)))</f>
        <v>5</v>
      </c>
      <c r="BD179" s="171">
        <f ca="1">IF(OR($D179&lt;&gt;"Serviço",AND(AUTOEVENTO="Manual",$M179=$A$15)),0,
         IF(OFFSET(CRONOPLE!$F$15,$M179-$A$15,BD$13)=0,10^12,OFFSET(CRONOPLE!$F$15,$M179-$A$15,BD$13)))</f>
        <v>5</v>
      </c>
      <c r="BE179" s="171">
        <f ca="1">IF(OR($D179&lt;&gt;"Serviço",AND(AUTOEVENTO="Manual",$M179=$A$15)),0,
         IF(OFFSET(CRONOPLE!$F$15,$M179-$A$15,BE$13)=0,10^12,OFFSET(CRONOPLE!$F$15,$M179-$A$15,BE$13)))</f>
        <v>6</v>
      </c>
      <c r="BF179" s="171">
        <f ca="1">IF(OR($D179&lt;&gt;"Serviço",AND(AUTOEVENTO="Manual",$M179=$A$15)),0,
         IF(OFFSET(CRONOPLE!$F$15,$M179-$A$15,BF$13)=0,10^12,OFFSET(CRONOPLE!$F$15,$M179-$A$15,BF$13)))</f>
        <v>6</v>
      </c>
      <c r="BG179" s="171">
        <f ca="1">IF(OR($D179&lt;&gt;"Serviço",AND(AUTOEVENTO="Manual",$M179=$A$15)),0,
         IF(OFFSET(CRONOPLE!$F$15,$M179-$A$15,BG$13)=0,10^12,OFFSET(CRONOPLE!$F$15,$M179-$A$15,BG$13)))</f>
        <v>6</v>
      </c>
      <c r="BH179" s="171">
        <f ca="1">IF(OR($D179&lt;&gt;"Serviço",AND(AUTOEVENTO="Manual",$M179=$A$15)),0,
         IF(OFFSET(CRONOPLE!$F$15,$M179-$A$15,BH$13)=0,10^12,OFFSET(CRONOPLE!$F$15,$M179-$A$15,BH$13)))</f>
        <v>1000000000000</v>
      </c>
      <c r="BI179" s="171">
        <f ca="1">IF(OR($D179&lt;&gt;"Serviço",AND(AUTOEVENTO="Manual",$M179=$A$15)),0,
         IF(OFFSET(CRONOPLE!$F$15,$M179-$A$15,BI$13)=0,10^12,OFFSET(CRONOPLE!$F$15,$M179-$A$15,BI$13)))</f>
        <v>1000000000000</v>
      </c>
      <c r="BJ179" s="171">
        <f ca="1">IF(OR($D179&lt;&gt;"Serviço",AND(AUTOEVENTO="Manual",$M179=$A$15)),0,
         IF(OFFSET(CRONOPLE!$F$15,$M179-$A$15,BJ$13)=0,10^12,OFFSET(CRONOPLE!$F$15,$M179-$A$15,BJ$13)))</f>
        <v>1000000000000</v>
      </c>
      <c r="BK179" s="171">
        <f ca="1">IF(OR($D179&lt;&gt;"Serviço",AND(AUTOEVENTO="Manual",$M179=$A$15)),0,
         IF(OFFSET(CRONOPLE!$F$15,$M179-$A$15,BK$13)=0,10^12,OFFSET(CRONOPLE!$F$15,$M179-$A$15,BK$13)))</f>
        <v>1000000000000</v>
      </c>
      <c r="BL179" s="171">
        <f ca="1">IF(OR($D179&lt;&gt;"Serviço",AND(AUTOEVENTO="Manual",$M179=$A$15)),0,
         IF(OFFSET(CRONOPLE!$F$15,$M179-$A$15,BL$13)=0,10^12,OFFSET(CRONOPLE!$F$15,$M179-$A$15,BL$13)))</f>
        <v>1000000000000</v>
      </c>
      <c r="BM179" s="171">
        <f ca="1">IF(OR($D179&lt;&gt;"Serviço",AND(AUTOEVENTO="Manual",$M179=$A$15)),0,
         IF(OFFSET(CRONOPLE!$F$15,$M179-$A$15,BM$13)=0,10^12,OFFSET(CRONOPLE!$F$15,$M179-$A$15,BM$13)))</f>
        <v>1000000000000</v>
      </c>
      <c r="BN179" s="171">
        <f ca="1">IF(OR($D179&lt;&gt;"Serviço",AND(AUTOEVENTO="Manual",$M179=$A$15)),0,
         IF(OFFSET(CRONOPLE!$F$15,$M179-$A$15,BN$13)=0,10^12,OFFSET(CRONOPLE!$F$15,$M179-$A$15,BN$13)))</f>
        <v>1000000000000</v>
      </c>
      <c r="BO179" s="171">
        <f ca="1">IF(OR($D179&lt;&gt;"Serviço",AND(AUTOEVENTO="Manual",$M179=$A$15)),0,
         IF(OFFSET(CRONOPLE!$F$15,$M179-$A$15,BO$13)=0,10^12,OFFSET(CRONOPLE!$F$15,$M179-$A$15,BO$13)))</f>
        <v>1000000000000</v>
      </c>
      <c r="BP179" s="171">
        <f ca="1">IF(OR($D179&lt;&gt;"Serviço",AND(AUTOEVENTO="Manual",$M179=$A$15)),0,
         IF(OFFSET(CRONOPLE!$F$15,$M179-$A$15,BP$13)=0,10^12,OFFSET(CRONOPLE!$F$15,$M179-$A$15,BP$13)))</f>
        <v>1000000000000</v>
      </c>
      <c r="BQ179" s="171">
        <f ca="1">IF(OR($D179&lt;&gt;"Serviço",AND(AUTOEVENTO="Manual",$M179=$A$15)),0,
         IF(OFFSET(CRONOPLE!$F$15,$M179-$A$15,BQ$13)=0,10^12,OFFSET(CRONOPLE!$F$15,$M179-$A$15,BQ$13)))</f>
        <v>1000000000000</v>
      </c>
      <c r="BR179" s="171">
        <f ca="1">IF(OR($D179&lt;&gt;"Serviço",AND(AUTOEVENTO="Manual",$M179=$A$15)),0,
         IF(OFFSET(CRONOPLE!$F$15,$M179-$A$15,BR$13)=0,10^12,OFFSET(CRONOPLE!$F$15,$M179-$A$15,BR$13)))</f>
        <v>1000000000000</v>
      </c>
      <c r="BS179" s="171">
        <f ca="1">IF(OR($D179&lt;&gt;"Serviço",AND(AUTOEVENTO="Manual",$M179=$A$15)),0,
         IF(OFFSET(CRONOPLE!$F$15,$M179-$A$15,BS$13)=0,10^12,OFFSET(CRONOPLE!$F$15,$M179-$A$15,BS$13)))</f>
        <v>1000000000000</v>
      </c>
      <c r="BT179" s="171">
        <f ca="1">IF(OR($D179&lt;&gt;"Serviço",AND(AUTOEVENTO="Manual",$M179=$A$15)),0,
         IF(OFFSET(CRONOPLE!$F$15,$M179-$A$15,BT$13)=0,10^12,OFFSET(CRONOPLE!$F$15,$M179-$A$15,BT$13)))</f>
        <v>1000000000000</v>
      </c>
      <c r="BV179" s="172">
        <f t="array" aca="1" ref="BV179" ca="1">IF(OR($D179&lt;&gt;"Serviço",AND(AUTOEVENTO="Manual",$M179=$A$15),$M179&gt;(ROW(PLE.lastrow)-ROW(PLE.firstrow))),0,
           IF(OFFSET(PLE!$G$15,$M179-$A$15,BV$13)="",10^12,OFFSET(PLE!$G$15,$M179-$A$15,BV$13)))</f>
        <v>1000000000000</v>
      </c>
      <c r="BW179" s="172">
        <f t="array" aca="1" ref="BW179" ca="1">IF(OR($D179&lt;&gt;"Serviço",AND(AUTOEVENTO="Manual",$M179=$A$15),$M179&gt;(ROW(PLE.lastrow)-ROW(PLE.firstrow))),0,
           IF(OFFSET(PLE!$G$15,$M179-$A$15,BW$13)="",10^12,OFFSET(PLE!$G$15,$M179-$A$15,BW$13)))</f>
        <v>1000000000000</v>
      </c>
      <c r="BX179" s="172">
        <f t="array" aca="1" ref="BX179" ca="1">IF(OR($D179&lt;&gt;"Serviço",AND(AUTOEVENTO="Manual",$M179=$A$15),$M179&gt;(ROW(PLE.lastrow)-ROW(PLE.firstrow))),0,
           IF(OFFSET(PLE!$G$15,$M179-$A$15,BX$13)="",10^12,OFFSET(PLE!$G$15,$M179-$A$15,BX$13)))</f>
        <v>1000000000000</v>
      </c>
      <c r="BY179" s="172">
        <f t="array" aca="1" ref="BY179" ca="1">IF(OR($D179&lt;&gt;"Serviço",AND(AUTOEVENTO="Manual",$M179=$A$15),$M179&gt;(ROW(PLE.lastrow)-ROW(PLE.firstrow))),0,
           IF(OFFSET(PLE!$G$15,$M179-$A$15,BY$13)="",10^12,OFFSET(PLE!$G$15,$M179-$A$15,BY$13)))</f>
        <v>1000000000000</v>
      </c>
      <c r="BZ179" s="172">
        <f t="array" aca="1" ref="BZ179" ca="1">IF(OR($D179&lt;&gt;"Serviço",AND(AUTOEVENTO="Manual",$M179=$A$15),$M179&gt;(ROW(PLE.lastrow)-ROW(PLE.firstrow))),0,
           IF(OFFSET(PLE!$G$15,$M179-$A$15,BZ$13)="",10^12,OFFSET(PLE!$G$15,$M179-$A$15,BZ$13)))</f>
        <v>1000000000000</v>
      </c>
      <c r="CA179" s="172">
        <f t="array" aca="1" ref="CA179" ca="1">IF(OR($D179&lt;&gt;"Serviço",AND(AUTOEVENTO="Manual",$M179=$A$15),$M179&gt;(ROW(PLE.lastrow)-ROW(PLE.firstrow))),0,
           IF(OFFSET(PLE!$G$15,$M179-$A$15,CA$13)="",10^12,OFFSET(PLE!$G$15,$M179-$A$15,CA$13)))</f>
        <v>1000000000000</v>
      </c>
      <c r="CB179" s="172">
        <f t="array" aca="1" ref="CB179" ca="1">IF(OR($D179&lt;&gt;"Serviço",AND(AUTOEVENTO="Manual",$M179=$A$15),$M179&gt;(ROW(PLE.lastrow)-ROW(PLE.firstrow))),0,
           IF(OFFSET(PLE!$G$15,$M179-$A$15,CB$13)="",10^12,OFFSET(PLE!$G$15,$M179-$A$15,CB$13)))</f>
        <v>1000000000000</v>
      </c>
      <c r="CC179" s="172">
        <f t="array" aca="1" ref="CC179" ca="1">IF(OR($D179&lt;&gt;"Serviço",AND(AUTOEVENTO="Manual",$M179=$A$15),$M179&gt;(ROW(PLE.lastrow)-ROW(PLE.firstrow))),0,
           IF(OFFSET(PLE!$G$15,$M179-$A$15,CC$13)="",10^12,OFFSET(PLE!$G$15,$M179-$A$15,CC$13)))</f>
        <v>1000000000000</v>
      </c>
      <c r="CD179" s="172">
        <f t="array" aca="1" ref="CD179" ca="1">IF(OR($D179&lt;&gt;"Serviço",AND(AUTOEVENTO="Manual",$M179=$A$15),$M179&gt;(ROW(PLE.lastrow)-ROW(PLE.firstrow))),0,
           IF(OFFSET(PLE!$G$15,$M179-$A$15,CD$13)="",10^12,OFFSET(PLE!$G$15,$M179-$A$15,CD$13)))</f>
        <v>1000000000000</v>
      </c>
      <c r="CE179" s="172">
        <f t="array" aca="1" ref="CE179" ca="1">IF(OR($D179&lt;&gt;"Serviço",AND(AUTOEVENTO="Manual",$M179=$A$15),$M179&gt;(ROW(PLE.lastrow)-ROW(PLE.firstrow))),0,
           IF(OFFSET(PLE!$G$15,$M179-$A$15,CE$13)="",10^12,OFFSET(PLE!$G$15,$M179-$A$15,CE$13)))</f>
        <v>1000000000000</v>
      </c>
      <c r="CF179" s="172">
        <f t="array" aca="1" ref="CF179" ca="1">IF(OR($D179&lt;&gt;"Serviço",AND(AUTOEVENTO="Manual",$M179=$A$15),$M179&gt;(ROW(PLE.lastrow)-ROW(PLE.firstrow))),0,
           IF(OFFSET(PLE!$G$15,$M179-$A$15,CF$13)="",10^12,OFFSET(PLE!$G$15,$M179-$A$15,CF$13)))</f>
        <v>1000000000000</v>
      </c>
      <c r="CG179" s="172">
        <f t="array" aca="1" ref="CG179" ca="1">IF(OR($D179&lt;&gt;"Serviço",AND(AUTOEVENTO="Manual",$M179=$A$15),$M179&gt;(ROW(PLE.lastrow)-ROW(PLE.firstrow))),0,
           IF(OFFSET(PLE!$G$15,$M179-$A$15,CG$13)="",10^12,OFFSET(PLE!$G$15,$M179-$A$15,CG$13)))</f>
        <v>1000000000000</v>
      </c>
      <c r="CH179" s="172">
        <f t="array" aca="1" ref="CH179" ca="1">IF(OR($D179&lt;&gt;"Serviço",AND(AUTOEVENTO="Manual",$M179=$A$15),$M179&gt;(ROW(PLE.lastrow)-ROW(PLE.firstrow))),0,
           IF(OFFSET(PLE!$G$15,$M179-$A$15,CH$13)="",10^12,OFFSET(PLE!$G$15,$M179-$A$15,CH$13)))</f>
        <v>1000000000000</v>
      </c>
      <c r="CI179" s="172">
        <f t="array" aca="1" ref="CI179" ca="1">IF(OR($D179&lt;&gt;"Serviço",AND(AUTOEVENTO="Manual",$M179=$A$15),$M179&gt;(ROW(PLE.lastrow)-ROW(PLE.firstrow))),0,
           IF(OFFSET(PLE!$G$15,$M179-$A$15,CI$13)="",10^12,OFFSET(PLE!$G$15,$M179-$A$15,CI$13)))</f>
        <v>1000000000000</v>
      </c>
      <c r="CJ179" s="172">
        <f t="array" aca="1" ref="CJ179" ca="1">IF(OR($D179&lt;&gt;"Serviço",AND(AUTOEVENTO="Manual",$M179=$A$15),$M179&gt;(ROW(PLE.lastrow)-ROW(PLE.firstrow))),0,
           IF(OFFSET(PLE!$G$15,$M179-$A$15,CJ$13)="",10^12,OFFSET(PLE!$G$15,$M179-$A$15,CJ$13)))</f>
        <v>1000000000000</v>
      </c>
      <c r="CK179" s="172">
        <f t="array" aca="1" ref="CK179" ca="1">IF(OR($D179&lt;&gt;"Serviço",AND(AUTOEVENTO="Manual",$M179=$A$15),$M179&gt;(ROW(PLE.lastrow)-ROW(PLE.firstrow))),0,
           IF(OFFSET(PLE!$G$15,$M179-$A$15,CK$13)="",10^12,OFFSET(PLE!$G$15,$M179-$A$15,CK$13)))</f>
        <v>1000000000000</v>
      </c>
      <c r="CL179" s="172">
        <f t="array" aca="1" ref="CL179" ca="1">IF(OR($D179&lt;&gt;"Serviço",AND(AUTOEVENTO="Manual",$M179=$A$15),$M179&gt;(ROW(PLE.lastrow)-ROW(PLE.firstrow))),0,
           IF(OFFSET(PLE!$G$15,$M179-$A$15,CL$13)="",10^12,OFFSET(PLE!$G$15,$M179-$A$15,CL$13)))</f>
        <v>1000000000000</v>
      </c>
      <c r="CM179" s="172">
        <f t="array" aca="1" ref="CM179" ca="1">IF(OR($D179&lt;&gt;"Serviço",AND(AUTOEVENTO="Manual",$M179=$A$15),$M179&gt;(ROW(PLE.lastrow)-ROW(PLE.firstrow))),0,
           IF(OFFSET(PLE!$G$15,$M179-$A$15,CM$13)="",10^12,OFFSET(PLE!$G$15,$M179-$A$15,CM$13)))</f>
        <v>1000000000000</v>
      </c>
    </row>
    <row r="180" spans="1:91" s="696" customFormat="1" ht="63.75" x14ac:dyDescent="0.2">
      <c r="A180" s="694">
        <f t="shared" ca="1" si="82"/>
        <v>38</v>
      </c>
      <c r="B180" s="694" t="str">
        <f ca="1">OFFSET(ORÇAMENTO!C$15,$L180,0)</f>
        <v>S</v>
      </c>
      <c r="C180" s="694" t="str">
        <f ca="1">OFFSET(ORÇAMENTO!L$15,$L180,0)</f>
        <v>F</v>
      </c>
      <c r="D180" s="116" t="str">
        <f ca="1">OFFSET(ORÇAMENTO!N$15,$L180,0)</f>
        <v>Serviço</v>
      </c>
      <c r="E180" s="117" t="str">
        <f ca="1">OFFSET(ORÇAMENTO!O$15,$L180,0)</f>
        <v>1.28.6.</v>
      </c>
      <c r="F180" s="163" t="str">
        <f ca="1">OFFSET(ORÇAMENTO!R$15,$L180,0)</f>
        <v>TE, PVC, SOLDÁVEL, DN 25MM, INSTALADO EM RAMAL DE DISTRIBUIÇÃO DE ÁGUA - FORNECIMENTO E INSTALAÇÃO. AF_06/2022</v>
      </c>
      <c r="G180" s="164" t="str">
        <f ca="1">IF($D180&lt;&gt;"Serviço","",OFFSET(ORÇAMENTO!S$15,$L180,0))</f>
        <v>UN</v>
      </c>
      <c r="H180" s="122">
        <f t="array" aca="1" ref="H180" ca="1">IF($D180&lt;&gt;"Serviço",0,IF(ACOMPANHAMENTO="BM",ROUND(OFFSET(ORÇAMENTO!AJ$15,$L180,0),15-13*ORÇAMENTO!$AF$7),IF(IFERROR(CÁLCULO.FrentesPreenchidas,0)=0,0,SUM(ROUND(OFFSET($P180,0,1,1,CÁLCULO.FrentesPreenchidas),15-13*ORÇAMENTO!$AF$7)))))</f>
        <v>20</v>
      </c>
      <c r="I180" s="467" t="s">
        <v>1324</v>
      </c>
      <c r="J180" s="653" t="str">
        <f t="array" aca="1" ref="J180" ca="1">IF(OR(B180&lt;&gt;"S",CÁLCULO.FrentesPreenchidas=0),"",IF(AND(ACOMPANHAMENTO="PLE",AUTOEVENTO="Manual",OR(H180&gt;0,ORÇAMENTO!AC180="QUANT."),OR(K180="",M180=0,N180="")),"►E",IF(AND(ACOMPANHAMENTO="PLE",ORÇAMENTO!AC180="QUANT."),"►Q",IF(AND(ACOMPANHAMENTO="PLE",H180&lt;&gt;SUMPRODUCT(($Q$1:$AI$1=1)*ROUND(Q180:AI180,15))),"►S",IF(AND(COUNTIF($P$11:$AI$11,"▼")=0,H180&gt;0,I180=""),"◄M","")))))</f>
        <v/>
      </c>
      <c r="K180" s="654" t="s">
        <v>1445</v>
      </c>
      <c r="L180" s="165">
        <f t="shared" ca="1" si="83"/>
        <v>165</v>
      </c>
      <c r="M180" s="166">
        <f ca="1">IF($D180&lt;&gt;"Serviço","",
          IF(AUTOEVENTO="manual",$A180,
                IF(ISERROR(MATCH($A180,$A$15:OFFSET($A180,-1,0),0)),MAX($M$15:OFFSET(M180,-1,0))+1,
                      INDEX($M$15:OFFSET(M180,-1,0),MATCH($A180,$A$15:OFFSET($A180,-1,0),0)))))</f>
        <v>38</v>
      </c>
      <c r="N180" s="167" t="str">
        <f ca="1">IF($D180&lt;&gt;"Serviço","",
         IF(AUTOEVENTO="Manual",
                IF($A180=0,"&lt;-- defina o número do agrupador",
                       OFFSET(EVENTOS!$D$15,$A180-$A$15,0)),
                OFFSET($F$15,$A180,0)))</f>
        <v>HIDRÁULICA EMBUTIDA EM PAREDE</v>
      </c>
      <c r="O180" s="168"/>
      <c r="Q180" s="169">
        <v>5</v>
      </c>
      <c r="R180" s="169">
        <v>5</v>
      </c>
      <c r="S180" s="169">
        <v>5</v>
      </c>
      <c r="T180" s="169">
        <v>5</v>
      </c>
      <c r="U180" s="169"/>
      <c r="V180" s="169"/>
      <c r="W180" s="169"/>
      <c r="X180" s="169"/>
      <c r="Y180" s="169"/>
      <c r="Z180" s="170"/>
      <c r="AA180" s="169"/>
      <c r="AB180" s="169"/>
      <c r="AC180" s="169"/>
      <c r="AD180" s="169"/>
      <c r="AE180" s="169"/>
      <c r="AF180" s="169"/>
      <c r="AG180" s="169"/>
      <c r="AH180" s="170"/>
      <c r="AJ180" s="452">
        <f ca="1">IF(AND($D180="Serviço",AJ$12&lt;&gt;0,$H180&gt;0,OR(AUTOEVENTO&lt;&gt;"manual",$M180&lt;&gt;$A$15)),
        IF(Import.TipoArredondamento&lt;&gt;"TransfereGOV",
              ROUND(OFFSET($P180,0,AJ$13),15-13*ORÇAMENTO!$AF$7)/$H180*OFFSET(ORÇAMENTO!$X$15,ROW(AJ180)-ROW(AJ$15),0),
              ROUND(ROUND(OFFSET($P180,0,AJ$13),15-13*ORÇAMENTO!$AF$7)*OFFSET(ORÇAMENTO!$W$15,ROW(AJ180)-ROW(AJ$15),0),15-13*ORÇAMENTO!$AF$11)),
         0)</f>
        <v>73.95</v>
      </c>
      <c r="AK180" s="452">
        <f ca="1">IF(AND($D180="Serviço",AK$12&lt;&gt;0,$H180&gt;0,OR(AUTOEVENTO&lt;&gt;"manual",$M180&lt;&gt;$A$15)),
        IF(Import.TipoArredondamento&lt;&gt;"TransfereGOV",
              ROUND(OFFSET($P180,0,AK$13),15-13*ORÇAMENTO!$AF$7)/$H180*OFFSET(ORÇAMENTO!$X$15,ROW(AK180)-ROW(AK$15),0),
              ROUND(ROUND(OFFSET($P180,0,AK$13),15-13*ORÇAMENTO!$AF$7)*OFFSET(ORÇAMENTO!$W$15,ROW(AK180)-ROW(AK$15),0),15-13*ORÇAMENTO!$AF$11)),
         0)</f>
        <v>73.95</v>
      </c>
      <c r="AL180" s="452">
        <f ca="1">IF(AND($D180="Serviço",AL$12&lt;&gt;0,$H180&gt;0,OR(AUTOEVENTO&lt;&gt;"manual",$M180&lt;&gt;$A$15)),
        IF(Import.TipoArredondamento&lt;&gt;"TransfereGOV",
              ROUND(OFFSET($P180,0,AL$13),15-13*ORÇAMENTO!$AF$7)/$H180*OFFSET(ORÇAMENTO!$X$15,ROW(AL180)-ROW(AL$15),0),
              ROUND(ROUND(OFFSET($P180,0,AL$13),15-13*ORÇAMENTO!$AF$7)*OFFSET(ORÇAMENTO!$W$15,ROW(AL180)-ROW(AL$15),0),15-13*ORÇAMENTO!$AF$11)),
         0)</f>
        <v>73.95</v>
      </c>
      <c r="AM180" s="452">
        <f ca="1">IF(AND($D180="Serviço",AM$12&lt;&gt;0,$H180&gt;0,OR(AUTOEVENTO&lt;&gt;"manual",$M180&lt;&gt;$A$15)),
        IF(Import.TipoArredondamento&lt;&gt;"TransfereGOV",
              ROUND(OFFSET($P180,0,AM$13),15-13*ORÇAMENTO!$AF$7)/$H180*OFFSET(ORÇAMENTO!$X$15,ROW(AM180)-ROW(AM$15),0),
              ROUND(ROUND(OFFSET($P180,0,AM$13),15-13*ORÇAMENTO!$AF$7)*OFFSET(ORÇAMENTO!$W$15,ROW(AM180)-ROW(AM$15),0),15-13*ORÇAMENTO!$AF$11)),
         0)</f>
        <v>73.95</v>
      </c>
      <c r="AN180" s="452">
        <f ca="1">IF(AND($D180="Serviço",AN$12&lt;&gt;0,$H180&gt;0,OR(AUTOEVENTO&lt;&gt;"manual",$M180&lt;&gt;$A$15)),
        IF(Import.TipoArredondamento&lt;&gt;"TransfereGOV",
              ROUND(OFFSET($P180,0,AN$13),15-13*ORÇAMENTO!$AF$7)/$H180*OFFSET(ORÇAMENTO!$X$15,ROW(AN180)-ROW(AN$15),0),
              ROUND(ROUND(OFFSET($P180,0,AN$13),15-13*ORÇAMENTO!$AF$7)*OFFSET(ORÇAMENTO!$W$15,ROW(AN180)-ROW(AN$15),0),15-13*ORÇAMENTO!$AF$11)),
         0)</f>
        <v>0</v>
      </c>
      <c r="AO180" s="452">
        <f ca="1">IF(AND($D180="Serviço",AO$12&lt;&gt;0,$H180&gt;0,OR(AUTOEVENTO&lt;&gt;"manual",$M180&lt;&gt;$A$15)),
        IF(Import.TipoArredondamento&lt;&gt;"TransfereGOV",
              ROUND(OFFSET($P180,0,AO$13),15-13*ORÇAMENTO!$AF$7)/$H180*OFFSET(ORÇAMENTO!$X$15,ROW(AO180)-ROW(AO$15),0),
              ROUND(ROUND(OFFSET($P180,0,AO$13),15-13*ORÇAMENTO!$AF$7)*OFFSET(ORÇAMENTO!$W$15,ROW(AO180)-ROW(AO$15),0),15-13*ORÇAMENTO!$AF$11)),
         0)</f>
        <v>0</v>
      </c>
      <c r="AP180" s="452">
        <f ca="1">IF(AND($D180="Serviço",AP$12&lt;&gt;0,$H180&gt;0,OR(AUTOEVENTO&lt;&gt;"manual",$M180&lt;&gt;$A$15)),
        IF(Import.TipoArredondamento&lt;&gt;"TransfereGOV",
              ROUND(OFFSET($P180,0,AP$13),15-13*ORÇAMENTO!$AF$7)/$H180*OFFSET(ORÇAMENTO!$X$15,ROW(AP180)-ROW(AP$15),0),
              ROUND(ROUND(OFFSET($P180,0,AP$13),15-13*ORÇAMENTO!$AF$7)*OFFSET(ORÇAMENTO!$W$15,ROW(AP180)-ROW(AP$15),0),15-13*ORÇAMENTO!$AF$11)),
         0)</f>
        <v>0</v>
      </c>
      <c r="AQ180" s="452">
        <f ca="1">IF(AND($D180="Serviço",AQ$12&lt;&gt;0,$H180&gt;0,OR(AUTOEVENTO&lt;&gt;"manual",$M180&lt;&gt;$A$15)),
        IF(Import.TipoArredondamento&lt;&gt;"TransfereGOV",
              ROUND(OFFSET($P180,0,AQ$13),15-13*ORÇAMENTO!$AF$7)/$H180*OFFSET(ORÇAMENTO!$X$15,ROW(AQ180)-ROW(AQ$15),0),
              ROUND(ROUND(OFFSET($P180,0,AQ$13),15-13*ORÇAMENTO!$AF$7)*OFFSET(ORÇAMENTO!$W$15,ROW(AQ180)-ROW(AQ$15),0),15-13*ORÇAMENTO!$AF$11)),
         0)</f>
        <v>0</v>
      </c>
      <c r="AR180" s="452">
        <f ca="1">IF(AND($D180="Serviço",AR$12&lt;&gt;0,$H180&gt;0,OR(AUTOEVENTO&lt;&gt;"manual",$M180&lt;&gt;$A$15)),
        IF(Import.TipoArredondamento&lt;&gt;"TransfereGOV",
              ROUND(OFFSET($P180,0,AR$13),15-13*ORÇAMENTO!$AF$7)/$H180*OFFSET(ORÇAMENTO!$X$15,ROW(AR180)-ROW(AR$15),0),
              ROUND(ROUND(OFFSET($P180,0,AR$13),15-13*ORÇAMENTO!$AF$7)*OFFSET(ORÇAMENTO!$W$15,ROW(AR180)-ROW(AR$15),0),15-13*ORÇAMENTO!$AF$11)),
         0)</f>
        <v>0</v>
      </c>
      <c r="AS180" s="452">
        <f ca="1">IF(AND($D180="Serviço",AS$12&lt;&gt;0,$H180&gt;0,OR(AUTOEVENTO&lt;&gt;"manual",$M180&lt;&gt;$A$15)),
        IF(Import.TipoArredondamento&lt;&gt;"TransfereGOV",
              ROUND(OFFSET($P180,0,AS$13),15-13*ORÇAMENTO!$AF$7)/$H180*OFFSET(ORÇAMENTO!$X$15,ROW(AS180)-ROW(AS$15),0),
              ROUND(ROUND(OFFSET($P180,0,AS$13),15-13*ORÇAMENTO!$AF$7)*OFFSET(ORÇAMENTO!$W$15,ROW(AS180)-ROW(AS$15),0),15-13*ORÇAMENTO!$AF$11)),
         0)</f>
        <v>0</v>
      </c>
      <c r="AT180" s="452">
        <f ca="1">IF(AND($D180="Serviço",AT$12&lt;&gt;0,$H180&gt;0,OR(AUTOEVENTO&lt;&gt;"manual",$M180&lt;&gt;$A$15)),
        IF(Import.TipoArredondamento&lt;&gt;"TransfereGOV",
              ROUND(OFFSET($P180,0,AT$13),15-13*ORÇAMENTO!$AF$7)/$H180*OFFSET(ORÇAMENTO!$X$15,ROW(AT180)-ROW(AT$15),0),
              ROUND(ROUND(OFFSET($P180,0,AT$13),15-13*ORÇAMENTO!$AF$7)*OFFSET(ORÇAMENTO!$W$15,ROW(AT180)-ROW(AT$15),0),15-13*ORÇAMENTO!$AF$11)),
         0)</f>
        <v>0</v>
      </c>
      <c r="AU180" s="452">
        <f ca="1">IF(AND($D180="Serviço",AU$12&lt;&gt;0,$H180&gt;0,OR(AUTOEVENTO&lt;&gt;"manual",$M180&lt;&gt;$A$15)),
        IF(Import.TipoArredondamento&lt;&gt;"TransfereGOV",
              ROUND(OFFSET($P180,0,AU$13),15-13*ORÇAMENTO!$AF$7)/$H180*OFFSET(ORÇAMENTO!$X$15,ROW(AU180)-ROW(AU$15),0),
              ROUND(ROUND(OFFSET($P180,0,AU$13),15-13*ORÇAMENTO!$AF$7)*OFFSET(ORÇAMENTO!$W$15,ROW(AU180)-ROW(AU$15),0),15-13*ORÇAMENTO!$AF$11)),
         0)</f>
        <v>0</v>
      </c>
      <c r="AV180" s="452">
        <f ca="1">IF(AND($D180="Serviço",AV$12&lt;&gt;0,$H180&gt;0,OR(AUTOEVENTO&lt;&gt;"manual",$M180&lt;&gt;$A$15)),
        IF(Import.TipoArredondamento&lt;&gt;"TransfereGOV",
              ROUND(OFFSET($P180,0,AV$13),15-13*ORÇAMENTO!$AF$7)/$H180*OFFSET(ORÇAMENTO!$X$15,ROW(AV180)-ROW(AV$15),0),
              ROUND(ROUND(OFFSET($P180,0,AV$13),15-13*ORÇAMENTO!$AF$7)*OFFSET(ORÇAMENTO!$W$15,ROW(AV180)-ROW(AV$15),0),15-13*ORÇAMENTO!$AF$11)),
         0)</f>
        <v>0</v>
      </c>
      <c r="AW180" s="452">
        <f ca="1">IF(AND($D180="Serviço",AW$12&lt;&gt;0,$H180&gt;0,OR(AUTOEVENTO&lt;&gt;"manual",$M180&lt;&gt;$A$15)),
        IF(Import.TipoArredondamento&lt;&gt;"TransfereGOV",
              ROUND(OFFSET($P180,0,AW$13),15-13*ORÇAMENTO!$AF$7)/$H180*OFFSET(ORÇAMENTO!$X$15,ROW(AW180)-ROW(AW$15),0),
              ROUND(ROUND(OFFSET($P180,0,AW$13),15-13*ORÇAMENTO!$AF$7)*OFFSET(ORÇAMENTO!$W$15,ROW(AW180)-ROW(AW$15),0),15-13*ORÇAMENTO!$AF$11)),
         0)</f>
        <v>0</v>
      </c>
      <c r="AX180" s="452">
        <f ca="1">IF(AND($D180="Serviço",AX$12&lt;&gt;0,$H180&gt;0,OR(AUTOEVENTO&lt;&gt;"manual",$M180&lt;&gt;$A$15)),
        IF(Import.TipoArredondamento&lt;&gt;"TransfereGOV",
              ROUND(OFFSET($P180,0,AX$13),15-13*ORÇAMENTO!$AF$7)/$H180*OFFSET(ORÇAMENTO!$X$15,ROW(AX180)-ROW(AX$15),0),
              ROUND(ROUND(OFFSET($P180,0,AX$13),15-13*ORÇAMENTO!$AF$7)*OFFSET(ORÇAMENTO!$W$15,ROW(AX180)-ROW(AX$15),0),15-13*ORÇAMENTO!$AF$11)),
         0)</f>
        <v>0</v>
      </c>
      <c r="AY180" s="452">
        <f ca="1">IF(AND($D180="Serviço",AY$12&lt;&gt;0,$H180&gt;0,OR(AUTOEVENTO&lt;&gt;"manual",$M180&lt;&gt;$A$15)),
        IF(Import.TipoArredondamento&lt;&gt;"TransfereGOV",
              ROUND(OFFSET($P180,0,AY$13),15-13*ORÇAMENTO!$AF$7)/$H180*OFFSET(ORÇAMENTO!$X$15,ROW(AY180)-ROW(AY$15),0),
              ROUND(ROUND(OFFSET($P180,0,AY$13),15-13*ORÇAMENTO!$AF$7)*OFFSET(ORÇAMENTO!$W$15,ROW(AY180)-ROW(AY$15),0),15-13*ORÇAMENTO!$AF$11)),
         0)</f>
        <v>0</v>
      </c>
      <c r="AZ180" s="452">
        <f ca="1">IF(AND($D180="Serviço",AZ$12&lt;&gt;0,$H180&gt;0,OR(AUTOEVENTO&lt;&gt;"manual",$M180&lt;&gt;$A$15)),
        IF(Import.TipoArredondamento&lt;&gt;"TransfereGOV",
              ROUND(OFFSET($P180,0,AZ$13),15-13*ORÇAMENTO!$AF$7)/$H180*OFFSET(ORÇAMENTO!$X$15,ROW(AZ180)-ROW(AZ$15),0),
              ROUND(ROUND(OFFSET($P180,0,AZ$13),15-13*ORÇAMENTO!$AF$7)*OFFSET(ORÇAMENTO!$W$15,ROW(AZ180)-ROW(AZ$15),0),15-13*ORÇAMENTO!$AF$11)),
         0)</f>
        <v>0</v>
      </c>
      <c r="BA180" s="452">
        <f ca="1">IF(AND($D180="Serviço",BA$12&lt;&gt;0,$H180&gt;0,OR(AUTOEVENTO&lt;&gt;"manual",$M180&lt;&gt;$A$15)),
        IF(Import.TipoArredondamento&lt;&gt;"TransfereGOV",
              ROUND(OFFSET($P180,0,BA$13),15-13*ORÇAMENTO!$AF$7)/$H180*OFFSET(ORÇAMENTO!$X$15,ROW(BA180)-ROW(BA$15),0),
              ROUND(ROUND(OFFSET($P180,0,BA$13),15-13*ORÇAMENTO!$AF$7)*OFFSET(ORÇAMENTO!$W$15,ROW(BA180)-ROW(BA$15),0),15-13*ORÇAMENTO!$AF$11)),
         0)</f>
        <v>0</v>
      </c>
      <c r="BC180" s="171">
        <f ca="1">IF(OR($D180&lt;&gt;"Serviço",AND(AUTOEVENTO="Manual",$M180=$A$15)),0,
         IF(OFFSET(CRONOPLE!$F$15,$M180-$A$15,BC$13)=0,10^12,OFFSET(CRONOPLE!$F$15,$M180-$A$15,BC$13)))</f>
        <v>5</v>
      </c>
      <c r="BD180" s="171">
        <f ca="1">IF(OR($D180&lt;&gt;"Serviço",AND(AUTOEVENTO="Manual",$M180=$A$15)),0,
         IF(OFFSET(CRONOPLE!$F$15,$M180-$A$15,BD$13)=0,10^12,OFFSET(CRONOPLE!$F$15,$M180-$A$15,BD$13)))</f>
        <v>5</v>
      </c>
      <c r="BE180" s="171">
        <f ca="1">IF(OR($D180&lt;&gt;"Serviço",AND(AUTOEVENTO="Manual",$M180=$A$15)),0,
         IF(OFFSET(CRONOPLE!$F$15,$M180-$A$15,BE$13)=0,10^12,OFFSET(CRONOPLE!$F$15,$M180-$A$15,BE$13)))</f>
        <v>6</v>
      </c>
      <c r="BF180" s="171">
        <f ca="1">IF(OR($D180&lt;&gt;"Serviço",AND(AUTOEVENTO="Manual",$M180=$A$15)),0,
         IF(OFFSET(CRONOPLE!$F$15,$M180-$A$15,BF$13)=0,10^12,OFFSET(CRONOPLE!$F$15,$M180-$A$15,BF$13)))</f>
        <v>6</v>
      </c>
      <c r="BG180" s="171">
        <f ca="1">IF(OR($D180&lt;&gt;"Serviço",AND(AUTOEVENTO="Manual",$M180=$A$15)),0,
         IF(OFFSET(CRONOPLE!$F$15,$M180-$A$15,BG$13)=0,10^12,OFFSET(CRONOPLE!$F$15,$M180-$A$15,BG$13)))</f>
        <v>6</v>
      </c>
      <c r="BH180" s="171">
        <f ca="1">IF(OR($D180&lt;&gt;"Serviço",AND(AUTOEVENTO="Manual",$M180=$A$15)),0,
         IF(OFFSET(CRONOPLE!$F$15,$M180-$A$15,BH$13)=0,10^12,OFFSET(CRONOPLE!$F$15,$M180-$A$15,BH$13)))</f>
        <v>1000000000000</v>
      </c>
      <c r="BI180" s="171">
        <f ca="1">IF(OR($D180&lt;&gt;"Serviço",AND(AUTOEVENTO="Manual",$M180=$A$15)),0,
         IF(OFFSET(CRONOPLE!$F$15,$M180-$A$15,BI$13)=0,10^12,OFFSET(CRONOPLE!$F$15,$M180-$A$15,BI$13)))</f>
        <v>1000000000000</v>
      </c>
      <c r="BJ180" s="171">
        <f ca="1">IF(OR($D180&lt;&gt;"Serviço",AND(AUTOEVENTO="Manual",$M180=$A$15)),0,
         IF(OFFSET(CRONOPLE!$F$15,$M180-$A$15,BJ$13)=0,10^12,OFFSET(CRONOPLE!$F$15,$M180-$A$15,BJ$13)))</f>
        <v>1000000000000</v>
      </c>
      <c r="BK180" s="171">
        <f ca="1">IF(OR($D180&lt;&gt;"Serviço",AND(AUTOEVENTO="Manual",$M180=$A$15)),0,
         IF(OFFSET(CRONOPLE!$F$15,$M180-$A$15,BK$13)=0,10^12,OFFSET(CRONOPLE!$F$15,$M180-$A$15,BK$13)))</f>
        <v>1000000000000</v>
      </c>
      <c r="BL180" s="171">
        <f ca="1">IF(OR($D180&lt;&gt;"Serviço",AND(AUTOEVENTO="Manual",$M180=$A$15)),0,
         IF(OFFSET(CRONOPLE!$F$15,$M180-$A$15,BL$13)=0,10^12,OFFSET(CRONOPLE!$F$15,$M180-$A$15,BL$13)))</f>
        <v>1000000000000</v>
      </c>
      <c r="BM180" s="171">
        <f ca="1">IF(OR($D180&lt;&gt;"Serviço",AND(AUTOEVENTO="Manual",$M180=$A$15)),0,
         IF(OFFSET(CRONOPLE!$F$15,$M180-$A$15,BM$13)=0,10^12,OFFSET(CRONOPLE!$F$15,$M180-$A$15,BM$13)))</f>
        <v>1000000000000</v>
      </c>
      <c r="BN180" s="171">
        <f ca="1">IF(OR($D180&lt;&gt;"Serviço",AND(AUTOEVENTO="Manual",$M180=$A$15)),0,
         IF(OFFSET(CRONOPLE!$F$15,$M180-$A$15,BN$13)=0,10^12,OFFSET(CRONOPLE!$F$15,$M180-$A$15,BN$13)))</f>
        <v>1000000000000</v>
      </c>
      <c r="BO180" s="171">
        <f ca="1">IF(OR($D180&lt;&gt;"Serviço",AND(AUTOEVENTO="Manual",$M180=$A$15)),0,
         IF(OFFSET(CRONOPLE!$F$15,$M180-$A$15,BO$13)=0,10^12,OFFSET(CRONOPLE!$F$15,$M180-$A$15,BO$13)))</f>
        <v>1000000000000</v>
      </c>
      <c r="BP180" s="171">
        <f ca="1">IF(OR($D180&lt;&gt;"Serviço",AND(AUTOEVENTO="Manual",$M180=$A$15)),0,
         IF(OFFSET(CRONOPLE!$F$15,$M180-$A$15,BP$13)=0,10^12,OFFSET(CRONOPLE!$F$15,$M180-$A$15,BP$13)))</f>
        <v>1000000000000</v>
      </c>
      <c r="BQ180" s="171">
        <f ca="1">IF(OR($D180&lt;&gt;"Serviço",AND(AUTOEVENTO="Manual",$M180=$A$15)),0,
         IF(OFFSET(CRONOPLE!$F$15,$M180-$A$15,BQ$13)=0,10^12,OFFSET(CRONOPLE!$F$15,$M180-$A$15,BQ$13)))</f>
        <v>1000000000000</v>
      </c>
      <c r="BR180" s="171">
        <f ca="1">IF(OR($D180&lt;&gt;"Serviço",AND(AUTOEVENTO="Manual",$M180=$A$15)),0,
         IF(OFFSET(CRONOPLE!$F$15,$M180-$A$15,BR$13)=0,10^12,OFFSET(CRONOPLE!$F$15,$M180-$A$15,BR$13)))</f>
        <v>1000000000000</v>
      </c>
      <c r="BS180" s="171">
        <f ca="1">IF(OR($D180&lt;&gt;"Serviço",AND(AUTOEVENTO="Manual",$M180=$A$15)),0,
         IF(OFFSET(CRONOPLE!$F$15,$M180-$A$15,BS$13)=0,10^12,OFFSET(CRONOPLE!$F$15,$M180-$A$15,BS$13)))</f>
        <v>1000000000000</v>
      </c>
      <c r="BT180" s="171">
        <f ca="1">IF(OR($D180&lt;&gt;"Serviço",AND(AUTOEVENTO="Manual",$M180=$A$15)),0,
         IF(OFFSET(CRONOPLE!$F$15,$M180-$A$15,BT$13)=0,10^12,OFFSET(CRONOPLE!$F$15,$M180-$A$15,BT$13)))</f>
        <v>1000000000000</v>
      </c>
      <c r="BV180" s="172">
        <f t="array" aca="1" ref="BV180" ca="1">IF(OR($D180&lt;&gt;"Serviço",AND(AUTOEVENTO="Manual",$M180=$A$15),$M180&gt;(ROW(PLE.lastrow)-ROW(PLE.firstrow))),0,
           IF(OFFSET(PLE!$G$15,$M180-$A$15,BV$13)="",10^12,OFFSET(PLE!$G$15,$M180-$A$15,BV$13)))</f>
        <v>1000000000000</v>
      </c>
      <c r="BW180" s="172">
        <f t="array" aca="1" ref="BW180" ca="1">IF(OR($D180&lt;&gt;"Serviço",AND(AUTOEVENTO="Manual",$M180=$A$15),$M180&gt;(ROW(PLE.lastrow)-ROW(PLE.firstrow))),0,
           IF(OFFSET(PLE!$G$15,$M180-$A$15,BW$13)="",10^12,OFFSET(PLE!$G$15,$M180-$A$15,BW$13)))</f>
        <v>1000000000000</v>
      </c>
      <c r="BX180" s="172">
        <f t="array" aca="1" ref="BX180" ca="1">IF(OR($D180&lt;&gt;"Serviço",AND(AUTOEVENTO="Manual",$M180=$A$15),$M180&gt;(ROW(PLE.lastrow)-ROW(PLE.firstrow))),0,
           IF(OFFSET(PLE!$G$15,$M180-$A$15,BX$13)="",10^12,OFFSET(PLE!$G$15,$M180-$A$15,BX$13)))</f>
        <v>1000000000000</v>
      </c>
      <c r="BY180" s="172">
        <f t="array" aca="1" ref="BY180" ca="1">IF(OR($D180&lt;&gt;"Serviço",AND(AUTOEVENTO="Manual",$M180=$A$15),$M180&gt;(ROW(PLE.lastrow)-ROW(PLE.firstrow))),0,
           IF(OFFSET(PLE!$G$15,$M180-$A$15,BY$13)="",10^12,OFFSET(PLE!$G$15,$M180-$A$15,BY$13)))</f>
        <v>1000000000000</v>
      </c>
      <c r="BZ180" s="172">
        <f t="array" aca="1" ref="BZ180" ca="1">IF(OR($D180&lt;&gt;"Serviço",AND(AUTOEVENTO="Manual",$M180=$A$15),$M180&gt;(ROW(PLE.lastrow)-ROW(PLE.firstrow))),0,
           IF(OFFSET(PLE!$G$15,$M180-$A$15,BZ$13)="",10^12,OFFSET(PLE!$G$15,$M180-$A$15,BZ$13)))</f>
        <v>1000000000000</v>
      </c>
      <c r="CA180" s="172">
        <f t="array" aca="1" ref="CA180" ca="1">IF(OR($D180&lt;&gt;"Serviço",AND(AUTOEVENTO="Manual",$M180=$A$15),$M180&gt;(ROW(PLE.lastrow)-ROW(PLE.firstrow))),0,
           IF(OFFSET(PLE!$G$15,$M180-$A$15,CA$13)="",10^12,OFFSET(PLE!$G$15,$M180-$A$15,CA$13)))</f>
        <v>1000000000000</v>
      </c>
      <c r="CB180" s="172">
        <f t="array" aca="1" ref="CB180" ca="1">IF(OR($D180&lt;&gt;"Serviço",AND(AUTOEVENTO="Manual",$M180=$A$15),$M180&gt;(ROW(PLE.lastrow)-ROW(PLE.firstrow))),0,
           IF(OFFSET(PLE!$G$15,$M180-$A$15,CB$13)="",10^12,OFFSET(PLE!$G$15,$M180-$A$15,CB$13)))</f>
        <v>1000000000000</v>
      </c>
      <c r="CC180" s="172">
        <f t="array" aca="1" ref="CC180" ca="1">IF(OR($D180&lt;&gt;"Serviço",AND(AUTOEVENTO="Manual",$M180=$A$15),$M180&gt;(ROW(PLE.lastrow)-ROW(PLE.firstrow))),0,
           IF(OFFSET(PLE!$G$15,$M180-$A$15,CC$13)="",10^12,OFFSET(PLE!$G$15,$M180-$A$15,CC$13)))</f>
        <v>1000000000000</v>
      </c>
      <c r="CD180" s="172">
        <f t="array" aca="1" ref="CD180" ca="1">IF(OR($D180&lt;&gt;"Serviço",AND(AUTOEVENTO="Manual",$M180=$A$15),$M180&gt;(ROW(PLE.lastrow)-ROW(PLE.firstrow))),0,
           IF(OFFSET(PLE!$G$15,$M180-$A$15,CD$13)="",10^12,OFFSET(PLE!$G$15,$M180-$A$15,CD$13)))</f>
        <v>1000000000000</v>
      </c>
      <c r="CE180" s="172">
        <f t="array" aca="1" ref="CE180" ca="1">IF(OR($D180&lt;&gt;"Serviço",AND(AUTOEVENTO="Manual",$M180=$A$15),$M180&gt;(ROW(PLE.lastrow)-ROW(PLE.firstrow))),0,
           IF(OFFSET(PLE!$G$15,$M180-$A$15,CE$13)="",10^12,OFFSET(PLE!$G$15,$M180-$A$15,CE$13)))</f>
        <v>1000000000000</v>
      </c>
      <c r="CF180" s="172">
        <f t="array" aca="1" ref="CF180" ca="1">IF(OR($D180&lt;&gt;"Serviço",AND(AUTOEVENTO="Manual",$M180=$A$15),$M180&gt;(ROW(PLE.lastrow)-ROW(PLE.firstrow))),0,
           IF(OFFSET(PLE!$G$15,$M180-$A$15,CF$13)="",10^12,OFFSET(PLE!$G$15,$M180-$A$15,CF$13)))</f>
        <v>1000000000000</v>
      </c>
      <c r="CG180" s="172">
        <f t="array" aca="1" ref="CG180" ca="1">IF(OR($D180&lt;&gt;"Serviço",AND(AUTOEVENTO="Manual",$M180=$A$15),$M180&gt;(ROW(PLE.lastrow)-ROW(PLE.firstrow))),0,
           IF(OFFSET(PLE!$G$15,$M180-$A$15,CG$13)="",10^12,OFFSET(PLE!$G$15,$M180-$A$15,CG$13)))</f>
        <v>1000000000000</v>
      </c>
      <c r="CH180" s="172">
        <f t="array" aca="1" ref="CH180" ca="1">IF(OR($D180&lt;&gt;"Serviço",AND(AUTOEVENTO="Manual",$M180=$A$15),$M180&gt;(ROW(PLE.lastrow)-ROW(PLE.firstrow))),0,
           IF(OFFSET(PLE!$G$15,$M180-$A$15,CH$13)="",10^12,OFFSET(PLE!$G$15,$M180-$A$15,CH$13)))</f>
        <v>1000000000000</v>
      </c>
      <c r="CI180" s="172">
        <f t="array" aca="1" ref="CI180" ca="1">IF(OR($D180&lt;&gt;"Serviço",AND(AUTOEVENTO="Manual",$M180=$A$15),$M180&gt;(ROW(PLE.lastrow)-ROW(PLE.firstrow))),0,
           IF(OFFSET(PLE!$G$15,$M180-$A$15,CI$13)="",10^12,OFFSET(PLE!$G$15,$M180-$A$15,CI$13)))</f>
        <v>1000000000000</v>
      </c>
      <c r="CJ180" s="172">
        <f t="array" aca="1" ref="CJ180" ca="1">IF(OR($D180&lt;&gt;"Serviço",AND(AUTOEVENTO="Manual",$M180=$A$15),$M180&gt;(ROW(PLE.lastrow)-ROW(PLE.firstrow))),0,
           IF(OFFSET(PLE!$G$15,$M180-$A$15,CJ$13)="",10^12,OFFSET(PLE!$G$15,$M180-$A$15,CJ$13)))</f>
        <v>1000000000000</v>
      </c>
      <c r="CK180" s="172">
        <f t="array" aca="1" ref="CK180" ca="1">IF(OR($D180&lt;&gt;"Serviço",AND(AUTOEVENTO="Manual",$M180=$A$15),$M180&gt;(ROW(PLE.lastrow)-ROW(PLE.firstrow))),0,
           IF(OFFSET(PLE!$G$15,$M180-$A$15,CK$13)="",10^12,OFFSET(PLE!$G$15,$M180-$A$15,CK$13)))</f>
        <v>1000000000000</v>
      </c>
      <c r="CL180" s="172">
        <f t="array" aca="1" ref="CL180" ca="1">IF(OR($D180&lt;&gt;"Serviço",AND(AUTOEVENTO="Manual",$M180=$A$15),$M180&gt;(ROW(PLE.lastrow)-ROW(PLE.firstrow))),0,
           IF(OFFSET(PLE!$G$15,$M180-$A$15,CL$13)="",10^12,OFFSET(PLE!$G$15,$M180-$A$15,CL$13)))</f>
        <v>1000000000000</v>
      </c>
      <c r="CM180" s="172">
        <f t="array" aca="1" ref="CM180" ca="1">IF(OR($D180&lt;&gt;"Serviço",AND(AUTOEVENTO="Manual",$M180=$A$15),$M180&gt;(ROW(PLE.lastrow)-ROW(PLE.firstrow))),0,
           IF(OFFSET(PLE!$G$15,$M180-$A$15,CM$13)="",10^12,OFFSET(PLE!$G$15,$M180-$A$15,CM$13)))</f>
        <v>1000000000000</v>
      </c>
    </row>
    <row r="181" spans="1:91" s="696" customFormat="1" ht="12.75" x14ac:dyDescent="0.2">
      <c r="A181" s="694">
        <f t="shared" ca="1" si="82"/>
        <v>0</v>
      </c>
      <c r="B181" s="694">
        <f ca="1">OFFSET(ORÇAMENTO!C$15,$L181,0)</f>
        <v>2</v>
      </c>
      <c r="C181" s="694" t="str">
        <f ca="1">OFFSET(ORÇAMENTO!L$15,$L181,0)</f>
        <v>F</v>
      </c>
      <c r="D181" s="116" t="str">
        <f ca="1">OFFSET(ORÇAMENTO!N$15,$L181,0)</f>
        <v>Nível 2</v>
      </c>
      <c r="E181" s="117" t="str">
        <f ca="1">OFFSET(ORÇAMENTO!O$15,$L181,0)</f>
        <v>1.29.</v>
      </c>
      <c r="F181" s="163" t="str">
        <f ca="1">OFFSET(ORÇAMENTO!R$15,$L181,0)</f>
        <v>CAIXA D'ÁGUA E BARRILETE</v>
      </c>
      <c r="G181" s="164" t="str">
        <f ca="1">IF($D181&lt;&gt;"Serviço","",OFFSET(ORÇAMENTO!S$15,$L181,0))</f>
        <v/>
      </c>
      <c r="H181" s="122">
        <f t="array" aca="1" ref="H181" ca="1">IF($D181&lt;&gt;"Serviço",0,IF(ACOMPANHAMENTO="BM",ROUND(OFFSET(ORÇAMENTO!AJ$15,$L181,0),15-13*ORÇAMENTO!$AF$7),IF(IFERROR(CÁLCULO.FrentesPreenchidas,0)=0,0,SUM(ROUND(OFFSET($P181,0,1,1,CÁLCULO.FrentesPreenchidas),15-13*ORÇAMENTO!$AF$7)))))</f>
        <v>0</v>
      </c>
      <c r="I181" s="467"/>
      <c r="J181" s="653" t="str">
        <f t="array" aca="1" ref="J181" ca="1">IF(OR(B181&lt;&gt;"S",CÁLCULO.FrentesPreenchidas=0),"",IF(AND(ACOMPANHAMENTO="PLE",AUTOEVENTO="Manual",OR(H181&gt;0,ORÇAMENTO!AC181="QUANT."),OR(K181="",M181=0,N181="")),"►E",IF(AND(ACOMPANHAMENTO="PLE",ORÇAMENTO!AC181="QUANT."),"►Q",IF(AND(ACOMPANHAMENTO="PLE",H181&lt;&gt;SUMPRODUCT(($Q$1:$AI$1=1)*ROUND(Q181:AI181,15))),"►S",IF(AND(COUNTIF($P$11:$AI$11,"▼")=0,H181&gt;0,I181=""),"◄M","")))))</f>
        <v/>
      </c>
      <c r="K181" s="654"/>
      <c r="L181" s="165">
        <f t="shared" ca="1" si="83"/>
        <v>166</v>
      </c>
      <c r="M181" s="166" t="str">
        <f ca="1">IF($D181&lt;&gt;"Serviço","",
          IF(AUTOEVENTO="manual",$A181,
                IF(ISERROR(MATCH($A181,$A$15:OFFSET($A181,-1,0),0)),MAX($M$15:OFFSET(M181,-1,0))+1,
                      INDEX($M$15:OFFSET(M181,-1,0),MATCH($A181,$A$15:OFFSET($A181,-1,0),0)))))</f>
        <v/>
      </c>
      <c r="N181" s="167" t="str">
        <f ca="1">IF($D181&lt;&gt;"Serviço","",
         IF(AUTOEVENTO="Manual",
                IF($A181=0,"&lt;-- defina o número do agrupador",
                       OFFSET(EVENTOS!$D$15,$A181-$A$15,0)),
                OFFSET($F$15,$A181,0)))</f>
        <v/>
      </c>
      <c r="O181" s="168"/>
      <c r="Q181" s="169"/>
      <c r="R181" s="169"/>
      <c r="S181" s="169"/>
      <c r="T181" s="169"/>
      <c r="U181" s="169"/>
      <c r="V181" s="169"/>
      <c r="W181" s="169"/>
      <c r="X181" s="169"/>
      <c r="Y181" s="169"/>
      <c r="Z181" s="170"/>
      <c r="AA181" s="169"/>
      <c r="AB181" s="169"/>
      <c r="AC181" s="169"/>
      <c r="AD181" s="169"/>
      <c r="AE181" s="169"/>
      <c r="AF181" s="169"/>
      <c r="AG181" s="169"/>
      <c r="AH181" s="170"/>
      <c r="AJ181" s="452">
        <f ca="1">IF(AND($D181="Serviço",AJ$12&lt;&gt;0,$H181&gt;0,OR(AUTOEVENTO&lt;&gt;"manual",$M181&lt;&gt;$A$15)),
        IF(Import.TipoArredondamento&lt;&gt;"TransfereGOV",
              ROUND(OFFSET($P181,0,AJ$13),15-13*ORÇAMENTO!$AF$7)/$H181*OFFSET(ORÇAMENTO!$X$15,ROW(AJ181)-ROW(AJ$15),0),
              ROUND(ROUND(OFFSET($P181,0,AJ$13),15-13*ORÇAMENTO!$AF$7)*OFFSET(ORÇAMENTO!$W$15,ROW(AJ181)-ROW(AJ$15),0),15-13*ORÇAMENTO!$AF$11)),
         0)</f>
        <v>0</v>
      </c>
      <c r="AK181" s="452">
        <f ca="1">IF(AND($D181="Serviço",AK$12&lt;&gt;0,$H181&gt;0,OR(AUTOEVENTO&lt;&gt;"manual",$M181&lt;&gt;$A$15)),
        IF(Import.TipoArredondamento&lt;&gt;"TransfereGOV",
              ROUND(OFFSET($P181,0,AK$13),15-13*ORÇAMENTO!$AF$7)/$H181*OFFSET(ORÇAMENTO!$X$15,ROW(AK181)-ROW(AK$15),0),
              ROUND(ROUND(OFFSET($P181,0,AK$13),15-13*ORÇAMENTO!$AF$7)*OFFSET(ORÇAMENTO!$W$15,ROW(AK181)-ROW(AK$15),0),15-13*ORÇAMENTO!$AF$11)),
         0)</f>
        <v>0</v>
      </c>
      <c r="AL181" s="452">
        <f ca="1">IF(AND($D181="Serviço",AL$12&lt;&gt;0,$H181&gt;0,OR(AUTOEVENTO&lt;&gt;"manual",$M181&lt;&gt;$A$15)),
        IF(Import.TipoArredondamento&lt;&gt;"TransfereGOV",
              ROUND(OFFSET($P181,0,AL$13),15-13*ORÇAMENTO!$AF$7)/$H181*OFFSET(ORÇAMENTO!$X$15,ROW(AL181)-ROW(AL$15),0),
              ROUND(ROUND(OFFSET($P181,0,AL$13),15-13*ORÇAMENTO!$AF$7)*OFFSET(ORÇAMENTO!$W$15,ROW(AL181)-ROW(AL$15),0),15-13*ORÇAMENTO!$AF$11)),
         0)</f>
        <v>0</v>
      </c>
      <c r="AM181" s="452">
        <f ca="1">IF(AND($D181="Serviço",AM$12&lt;&gt;0,$H181&gt;0,OR(AUTOEVENTO&lt;&gt;"manual",$M181&lt;&gt;$A$15)),
        IF(Import.TipoArredondamento&lt;&gt;"TransfereGOV",
              ROUND(OFFSET($P181,0,AM$13),15-13*ORÇAMENTO!$AF$7)/$H181*OFFSET(ORÇAMENTO!$X$15,ROW(AM181)-ROW(AM$15),0),
              ROUND(ROUND(OFFSET($P181,0,AM$13),15-13*ORÇAMENTO!$AF$7)*OFFSET(ORÇAMENTO!$W$15,ROW(AM181)-ROW(AM$15),0),15-13*ORÇAMENTO!$AF$11)),
         0)</f>
        <v>0</v>
      </c>
      <c r="AN181" s="452">
        <f ca="1">IF(AND($D181="Serviço",AN$12&lt;&gt;0,$H181&gt;0,OR(AUTOEVENTO&lt;&gt;"manual",$M181&lt;&gt;$A$15)),
        IF(Import.TipoArredondamento&lt;&gt;"TransfereGOV",
              ROUND(OFFSET($P181,0,AN$13),15-13*ORÇAMENTO!$AF$7)/$H181*OFFSET(ORÇAMENTO!$X$15,ROW(AN181)-ROW(AN$15),0),
              ROUND(ROUND(OFFSET($P181,0,AN$13),15-13*ORÇAMENTO!$AF$7)*OFFSET(ORÇAMENTO!$W$15,ROW(AN181)-ROW(AN$15),0),15-13*ORÇAMENTO!$AF$11)),
         0)</f>
        <v>0</v>
      </c>
      <c r="AO181" s="452">
        <f ca="1">IF(AND($D181="Serviço",AO$12&lt;&gt;0,$H181&gt;0,OR(AUTOEVENTO&lt;&gt;"manual",$M181&lt;&gt;$A$15)),
        IF(Import.TipoArredondamento&lt;&gt;"TransfereGOV",
              ROUND(OFFSET($P181,0,AO$13),15-13*ORÇAMENTO!$AF$7)/$H181*OFFSET(ORÇAMENTO!$X$15,ROW(AO181)-ROW(AO$15),0),
              ROUND(ROUND(OFFSET($P181,0,AO$13),15-13*ORÇAMENTO!$AF$7)*OFFSET(ORÇAMENTO!$W$15,ROW(AO181)-ROW(AO$15),0),15-13*ORÇAMENTO!$AF$11)),
         0)</f>
        <v>0</v>
      </c>
      <c r="AP181" s="452">
        <f ca="1">IF(AND($D181="Serviço",AP$12&lt;&gt;0,$H181&gt;0,OR(AUTOEVENTO&lt;&gt;"manual",$M181&lt;&gt;$A$15)),
        IF(Import.TipoArredondamento&lt;&gt;"TransfereGOV",
              ROUND(OFFSET($P181,0,AP$13),15-13*ORÇAMENTO!$AF$7)/$H181*OFFSET(ORÇAMENTO!$X$15,ROW(AP181)-ROW(AP$15),0),
              ROUND(ROUND(OFFSET($P181,0,AP$13),15-13*ORÇAMENTO!$AF$7)*OFFSET(ORÇAMENTO!$W$15,ROW(AP181)-ROW(AP$15),0),15-13*ORÇAMENTO!$AF$11)),
         0)</f>
        <v>0</v>
      </c>
      <c r="AQ181" s="452">
        <f ca="1">IF(AND($D181="Serviço",AQ$12&lt;&gt;0,$H181&gt;0,OR(AUTOEVENTO&lt;&gt;"manual",$M181&lt;&gt;$A$15)),
        IF(Import.TipoArredondamento&lt;&gt;"TransfereGOV",
              ROUND(OFFSET($P181,0,AQ$13),15-13*ORÇAMENTO!$AF$7)/$H181*OFFSET(ORÇAMENTO!$X$15,ROW(AQ181)-ROW(AQ$15),0),
              ROUND(ROUND(OFFSET($P181,0,AQ$13),15-13*ORÇAMENTO!$AF$7)*OFFSET(ORÇAMENTO!$W$15,ROW(AQ181)-ROW(AQ$15),0),15-13*ORÇAMENTO!$AF$11)),
         0)</f>
        <v>0</v>
      </c>
      <c r="AR181" s="452">
        <f ca="1">IF(AND($D181="Serviço",AR$12&lt;&gt;0,$H181&gt;0,OR(AUTOEVENTO&lt;&gt;"manual",$M181&lt;&gt;$A$15)),
        IF(Import.TipoArredondamento&lt;&gt;"TransfereGOV",
              ROUND(OFFSET($P181,0,AR$13),15-13*ORÇAMENTO!$AF$7)/$H181*OFFSET(ORÇAMENTO!$X$15,ROW(AR181)-ROW(AR$15),0),
              ROUND(ROUND(OFFSET($P181,0,AR$13),15-13*ORÇAMENTO!$AF$7)*OFFSET(ORÇAMENTO!$W$15,ROW(AR181)-ROW(AR$15),0),15-13*ORÇAMENTO!$AF$11)),
         0)</f>
        <v>0</v>
      </c>
      <c r="AS181" s="452">
        <f ca="1">IF(AND($D181="Serviço",AS$12&lt;&gt;0,$H181&gt;0,OR(AUTOEVENTO&lt;&gt;"manual",$M181&lt;&gt;$A$15)),
        IF(Import.TipoArredondamento&lt;&gt;"TransfereGOV",
              ROUND(OFFSET($P181,0,AS$13),15-13*ORÇAMENTO!$AF$7)/$H181*OFFSET(ORÇAMENTO!$X$15,ROW(AS181)-ROW(AS$15),0),
              ROUND(ROUND(OFFSET($P181,0,AS$13),15-13*ORÇAMENTO!$AF$7)*OFFSET(ORÇAMENTO!$W$15,ROW(AS181)-ROW(AS$15),0),15-13*ORÇAMENTO!$AF$11)),
         0)</f>
        <v>0</v>
      </c>
      <c r="AT181" s="452">
        <f ca="1">IF(AND($D181="Serviço",AT$12&lt;&gt;0,$H181&gt;0,OR(AUTOEVENTO&lt;&gt;"manual",$M181&lt;&gt;$A$15)),
        IF(Import.TipoArredondamento&lt;&gt;"TransfereGOV",
              ROUND(OFFSET($P181,0,AT$13),15-13*ORÇAMENTO!$AF$7)/$H181*OFFSET(ORÇAMENTO!$X$15,ROW(AT181)-ROW(AT$15),0),
              ROUND(ROUND(OFFSET($P181,0,AT$13),15-13*ORÇAMENTO!$AF$7)*OFFSET(ORÇAMENTO!$W$15,ROW(AT181)-ROW(AT$15),0),15-13*ORÇAMENTO!$AF$11)),
         0)</f>
        <v>0</v>
      </c>
      <c r="AU181" s="452">
        <f ca="1">IF(AND($D181="Serviço",AU$12&lt;&gt;0,$H181&gt;0,OR(AUTOEVENTO&lt;&gt;"manual",$M181&lt;&gt;$A$15)),
        IF(Import.TipoArredondamento&lt;&gt;"TransfereGOV",
              ROUND(OFFSET($P181,0,AU$13),15-13*ORÇAMENTO!$AF$7)/$H181*OFFSET(ORÇAMENTO!$X$15,ROW(AU181)-ROW(AU$15),0),
              ROUND(ROUND(OFFSET($P181,0,AU$13),15-13*ORÇAMENTO!$AF$7)*OFFSET(ORÇAMENTO!$W$15,ROW(AU181)-ROW(AU$15),0),15-13*ORÇAMENTO!$AF$11)),
         0)</f>
        <v>0</v>
      </c>
      <c r="AV181" s="452">
        <f ca="1">IF(AND($D181="Serviço",AV$12&lt;&gt;0,$H181&gt;0,OR(AUTOEVENTO&lt;&gt;"manual",$M181&lt;&gt;$A$15)),
        IF(Import.TipoArredondamento&lt;&gt;"TransfereGOV",
              ROUND(OFFSET($P181,0,AV$13),15-13*ORÇAMENTO!$AF$7)/$H181*OFFSET(ORÇAMENTO!$X$15,ROW(AV181)-ROW(AV$15),0),
              ROUND(ROUND(OFFSET($P181,0,AV$13),15-13*ORÇAMENTO!$AF$7)*OFFSET(ORÇAMENTO!$W$15,ROW(AV181)-ROW(AV$15),0),15-13*ORÇAMENTO!$AF$11)),
         0)</f>
        <v>0</v>
      </c>
      <c r="AW181" s="452">
        <f ca="1">IF(AND($D181="Serviço",AW$12&lt;&gt;0,$H181&gt;0,OR(AUTOEVENTO&lt;&gt;"manual",$M181&lt;&gt;$A$15)),
        IF(Import.TipoArredondamento&lt;&gt;"TransfereGOV",
              ROUND(OFFSET($P181,0,AW$13),15-13*ORÇAMENTO!$AF$7)/$H181*OFFSET(ORÇAMENTO!$X$15,ROW(AW181)-ROW(AW$15),0),
              ROUND(ROUND(OFFSET($P181,0,AW$13),15-13*ORÇAMENTO!$AF$7)*OFFSET(ORÇAMENTO!$W$15,ROW(AW181)-ROW(AW$15),0),15-13*ORÇAMENTO!$AF$11)),
         0)</f>
        <v>0</v>
      </c>
      <c r="AX181" s="452">
        <f ca="1">IF(AND($D181="Serviço",AX$12&lt;&gt;0,$H181&gt;0,OR(AUTOEVENTO&lt;&gt;"manual",$M181&lt;&gt;$A$15)),
        IF(Import.TipoArredondamento&lt;&gt;"TransfereGOV",
              ROUND(OFFSET($P181,0,AX$13),15-13*ORÇAMENTO!$AF$7)/$H181*OFFSET(ORÇAMENTO!$X$15,ROW(AX181)-ROW(AX$15),0),
              ROUND(ROUND(OFFSET($P181,0,AX$13),15-13*ORÇAMENTO!$AF$7)*OFFSET(ORÇAMENTO!$W$15,ROW(AX181)-ROW(AX$15),0),15-13*ORÇAMENTO!$AF$11)),
         0)</f>
        <v>0</v>
      </c>
      <c r="AY181" s="452">
        <f ca="1">IF(AND($D181="Serviço",AY$12&lt;&gt;0,$H181&gt;0,OR(AUTOEVENTO&lt;&gt;"manual",$M181&lt;&gt;$A$15)),
        IF(Import.TipoArredondamento&lt;&gt;"TransfereGOV",
              ROUND(OFFSET($P181,0,AY$13),15-13*ORÇAMENTO!$AF$7)/$H181*OFFSET(ORÇAMENTO!$X$15,ROW(AY181)-ROW(AY$15),0),
              ROUND(ROUND(OFFSET($P181,0,AY$13),15-13*ORÇAMENTO!$AF$7)*OFFSET(ORÇAMENTO!$W$15,ROW(AY181)-ROW(AY$15),0),15-13*ORÇAMENTO!$AF$11)),
         0)</f>
        <v>0</v>
      </c>
      <c r="AZ181" s="452">
        <f ca="1">IF(AND($D181="Serviço",AZ$12&lt;&gt;0,$H181&gt;0,OR(AUTOEVENTO&lt;&gt;"manual",$M181&lt;&gt;$A$15)),
        IF(Import.TipoArredondamento&lt;&gt;"TransfereGOV",
              ROUND(OFFSET($P181,0,AZ$13),15-13*ORÇAMENTO!$AF$7)/$H181*OFFSET(ORÇAMENTO!$X$15,ROW(AZ181)-ROW(AZ$15),0),
              ROUND(ROUND(OFFSET($P181,0,AZ$13),15-13*ORÇAMENTO!$AF$7)*OFFSET(ORÇAMENTO!$W$15,ROW(AZ181)-ROW(AZ$15),0),15-13*ORÇAMENTO!$AF$11)),
         0)</f>
        <v>0</v>
      </c>
      <c r="BA181" s="452">
        <f ca="1">IF(AND($D181="Serviço",BA$12&lt;&gt;0,$H181&gt;0,OR(AUTOEVENTO&lt;&gt;"manual",$M181&lt;&gt;$A$15)),
        IF(Import.TipoArredondamento&lt;&gt;"TransfereGOV",
              ROUND(OFFSET($P181,0,BA$13),15-13*ORÇAMENTO!$AF$7)/$H181*OFFSET(ORÇAMENTO!$X$15,ROW(BA181)-ROW(BA$15),0),
              ROUND(ROUND(OFFSET($P181,0,BA$13),15-13*ORÇAMENTO!$AF$7)*OFFSET(ORÇAMENTO!$W$15,ROW(BA181)-ROW(BA$15),0),15-13*ORÇAMENTO!$AF$11)),
         0)</f>
        <v>0</v>
      </c>
      <c r="BC181" s="171">
        <f ca="1">IF(OR($D181&lt;&gt;"Serviço",AND(AUTOEVENTO="Manual",$M181=$A$15)),0,
         IF(OFFSET(CRONOPLE!$F$15,$M181-$A$15,BC$13)=0,10^12,OFFSET(CRONOPLE!$F$15,$M181-$A$15,BC$13)))</f>
        <v>0</v>
      </c>
      <c r="BD181" s="171">
        <f ca="1">IF(OR($D181&lt;&gt;"Serviço",AND(AUTOEVENTO="Manual",$M181=$A$15)),0,
         IF(OFFSET(CRONOPLE!$F$15,$M181-$A$15,BD$13)=0,10^12,OFFSET(CRONOPLE!$F$15,$M181-$A$15,BD$13)))</f>
        <v>0</v>
      </c>
      <c r="BE181" s="171">
        <f ca="1">IF(OR($D181&lt;&gt;"Serviço",AND(AUTOEVENTO="Manual",$M181=$A$15)),0,
         IF(OFFSET(CRONOPLE!$F$15,$M181-$A$15,BE$13)=0,10^12,OFFSET(CRONOPLE!$F$15,$M181-$A$15,BE$13)))</f>
        <v>0</v>
      </c>
      <c r="BF181" s="171">
        <f ca="1">IF(OR($D181&lt;&gt;"Serviço",AND(AUTOEVENTO="Manual",$M181=$A$15)),0,
         IF(OFFSET(CRONOPLE!$F$15,$M181-$A$15,BF$13)=0,10^12,OFFSET(CRONOPLE!$F$15,$M181-$A$15,BF$13)))</f>
        <v>0</v>
      </c>
      <c r="BG181" s="171">
        <f ca="1">IF(OR($D181&lt;&gt;"Serviço",AND(AUTOEVENTO="Manual",$M181=$A$15)),0,
         IF(OFFSET(CRONOPLE!$F$15,$M181-$A$15,BG$13)=0,10^12,OFFSET(CRONOPLE!$F$15,$M181-$A$15,BG$13)))</f>
        <v>0</v>
      </c>
      <c r="BH181" s="171">
        <f ca="1">IF(OR($D181&lt;&gt;"Serviço",AND(AUTOEVENTO="Manual",$M181=$A$15)),0,
         IF(OFFSET(CRONOPLE!$F$15,$M181-$A$15,BH$13)=0,10^12,OFFSET(CRONOPLE!$F$15,$M181-$A$15,BH$13)))</f>
        <v>0</v>
      </c>
      <c r="BI181" s="171">
        <f ca="1">IF(OR($D181&lt;&gt;"Serviço",AND(AUTOEVENTO="Manual",$M181=$A$15)),0,
         IF(OFFSET(CRONOPLE!$F$15,$M181-$A$15,BI$13)=0,10^12,OFFSET(CRONOPLE!$F$15,$M181-$A$15,BI$13)))</f>
        <v>0</v>
      </c>
      <c r="BJ181" s="171">
        <f ca="1">IF(OR($D181&lt;&gt;"Serviço",AND(AUTOEVENTO="Manual",$M181=$A$15)),0,
         IF(OFFSET(CRONOPLE!$F$15,$M181-$A$15,BJ$13)=0,10^12,OFFSET(CRONOPLE!$F$15,$M181-$A$15,BJ$13)))</f>
        <v>0</v>
      </c>
      <c r="BK181" s="171">
        <f ca="1">IF(OR($D181&lt;&gt;"Serviço",AND(AUTOEVENTO="Manual",$M181=$A$15)),0,
         IF(OFFSET(CRONOPLE!$F$15,$M181-$A$15,BK$13)=0,10^12,OFFSET(CRONOPLE!$F$15,$M181-$A$15,BK$13)))</f>
        <v>0</v>
      </c>
      <c r="BL181" s="171">
        <f ca="1">IF(OR($D181&lt;&gt;"Serviço",AND(AUTOEVENTO="Manual",$M181=$A$15)),0,
         IF(OFFSET(CRONOPLE!$F$15,$M181-$A$15,BL$13)=0,10^12,OFFSET(CRONOPLE!$F$15,$M181-$A$15,BL$13)))</f>
        <v>0</v>
      </c>
      <c r="BM181" s="171">
        <f ca="1">IF(OR($D181&lt;&gt;"Serviço",AND(AUTOEVENTO="Manual",$M181=$A$15)),0,
         IF(OFFSET(CRONOPLE!$F$15,$M181-$A$15,BM$13)=0,10^12,OFFSET(CRONOPLE!$F$15,$M181-$A$15,BM$13)))</f>
        <v>0</v>
      </c>
      <c r="BN181" s="171">
        <f ca="1">IF(OR($D181&lt;&gt;"Serviço",AND(AUTOEVENTO="Manual",$M181=$A$15)),0,
         IF(OFFSET(CRONOPLE!$F$15,$M181-$A$15,BN$13)=0,10^12,OFFSET(CRONOPLE!$F$15,$M181-$A$15,BN$13)))</f>
        <v>0</v>
      </c>
      <c r="BO181" s="171">
        <f ca="1">IF(OR($D181&lt;&gt;"Serviço",AND(AUTOEVENTO="Manual",$M181=$A$15)),0,
         IF(OFFSET(CRONOPLE!$F$15,$M181-$A$15,BO$13)=0,10^12,OFFSET(CRONOPLE!$F$15,$M181-$A$15,BO$13)))</f>
        <v>0</v>
      </c>
      <c r="BP181" s="171">
        <f ca="1">IF(OR($D181&lt;&gt;"Serviço",AND(AUTOEVENTO="Manual",$M181=$A$15)),0,
         IF(OFFSET(CRONOPLE!$F$15,$M181-$A$15,BP$13)=0,10^12,OFFSET(CRONOPLE!$F$15,$M181-$A$15,BP$13)))</f>
        <v>0</v>
      </c>
      <c r="BQ181" s="171">
        <f ca="1">IF(OR($D181&lt;&gt;"Serviço",AND(AUTOEVENTO="Manual",$M181=$A$15)),0,
         IF(OFFSET(CRONOPLE!$F$15,$M181-$A$15,BQ$13)=0,10^12,OFFSET(CRONOPLE!$F$15,$M181-$A$15,BQ$13)))</f>
        <v>0</v>
      </c>
      <c r="BR181" s="171">
        <f ca="1">IF(OR($D181&lt;&gt;"Serviço",AND(AUTOEVENTO="Manual",$M181=$A$15)),0,
         IF(OFFSET(CRONOPLE!$F$15,$M181-$A$15,BR$13)=0,10^12,OFFSET(CRONOPLE!$F$15,$M181-$A$15,BR$13)))</f>
        <v>0</v>
      </c>
      <c r="BS181" s="171">
        <f ca="1">IF(OR($D181&lt;&gt;"Serviço",AND(AUTOEVENTO="Manual",$M181=$A$15)),0,
         IF(OFFSET(CRONOPLE!$F$15,$M181-$A$15,BS$13)=0,10^12,OFFSET(CRONOPLE!$F$15,$M181-$A$15,BS$13)))</f>
        <v>0</v>
      </c>
      <c r="BT181" s="171">
        <f ca="1">IF(OR($D181&lt;&gt;"Serviço",AND(AUTOEVENTO="Manual",$M181=$A$15)),0,
         IF(OFFSET(CRONOPLE!$F$15,$M181-$A$15,BT$13)=0,10^12,OFFSET(CRONOPLE!$F$15,$M181-$A$15,BT$13)))</f>
        <v>0</v>
      </c>
      <c r="BV181" s="172">
        <f t="array" aca="1" ref="BV181" ca="1">IF(OR($D181&lt;&gt;"Serviço",AND(AUTOEVENTO="Manual",$M181=$A$15),$M181&gt;(ROW(PLE.lastrow)-ROW(PLE.firstrow))),0,
           IF(OFFSET(PLE!$G$15,$M181-$A$15,BV$13)="",10^12,OFFSET(PLE!$G$15,$M181-$A$15,BV$13)))</f>
        <v>0</v>
      </c>
      <c r="BW181" s="172">
        <f t="array" aca="1" ref="BW181" ca="1">IF(OR($D181&lt;&gt;"Serviço",AND(AUTOEVENTO="Manual",$M181=$A$15),$M181&gt;(ROW(PLE.lastrow)-ROW(PLE.firstrow))),0,
           IF(OFFSET(PLE!$G$15,$M181-$A$15,BW$13)="",10^12,OFFSET(PLE!$G$15,$M181-$A$15,BW$13)))</f>
        <v>0</v>
      </c>
      <c r="BX181" s="172">
        <f t="array" aca="1" ref="BX181" ca="1">IF(OR($D181&lt;&gt;"Serviço",AND(AUTOEVENTO="Manual",$M181=$A$15),$M181&gt;(ROW(PLE.lastrow)-ROW(PLE.firstrow))),0,
           IF(OFFSET(PLE!$G$15,$M181-$A$15,BX$13)="",10^12,OFFSET(PLE!$G$15,$M181-$A$15,BX$13)))</f>
        <v>0</v>
      </c>
      <c r="BY181" s="172">
        <f t="array" aca="1" ref="BY181" ca="1">IF(OR($D181&lt;&gt;"Serviço",AND(AUTOEVENTO="Manual",$M181=$A$15),$M181&gt;(ROW(PLE.lastrow)-ROW(PLE.firstrow))),0,
           IF(OFFSET(PLE!$G$15,$M181-$A$15,BY$13)="",10^12,OFFSET(PLE!$G$15,$M181-$A$15,BY$13)))</f>
        <v>0</v>
      </c>
      <c r="BZ181" s="172">
        <f t="array" aca="1" ref="BZ181" ca="1">IF(OR($D181&lt;&gt;"Serviço",AND(AUTOEVENTO="Manual",$M181=$A$15),$M181&gt;(ROW(PLE.lastrow)-ROW(PLE.firstrow))),0,
           IF(OFFSET(PLE!$G$15,$M181-$A$15,BZ$13)="",10^12,OFFSET(PLE!$G$15,$M181-$A$15,BZ$13)))</f>
        <v>0</v>
      </c>
      <c r="CA181" s="172">
        <f t="array" aca="1" ref="CA181" ca="1">IF(OR($D181&lt;&gt;"Serviço",AND(AUTOEVENTO="Manual",$M181=$A$15),$M181&gt;(ROW(PLE.lastrow)-ROW(PLE.firstrow))),0,
           IF(OFFSET(PLE!$G$15,$M181-$A$15,CA$13)="",10^12,OFFSET(PLE!$G$15,$M181-$A$15,CA$13)))</f>
        <v>0</v>
      </c>
      <c r="CB181" s="172">
        <f t="array" aca="1" ref="CB181" ca="1">IF(OR($D181&lt;&gt;"Serviço",AND(AUTOEVENTO="Manual",$M181=$A$15),$M181&gt;(ROW(PLE.lastrow)-ROW(PLE.firstrow))),0,
           IF(OFFSET(PLE!$G$15,$M181-$A$15,CB$13)="",10^12,OFFSET(PLE!$G$15,$M181-$A$15,CB$13)))</f>
        <v>0</v>
      </c>
      <c r="CC181" s="172">
        <f t="array" aca="1" ref="CC181" ca="1">IF(OR($D181&lt;&gt;"Serviço",AND(AUTOEVENTO="Manual",$M181=$A$15),$M181&gt;(ROW(PLE.lastrow)-ROW(PLE.firstrow))),0,
           IF(OFFSET(PLE!$G$15,$M181-$A$15,CC$13)="",10^12,OFFSET(PLE!$G$15,$M181-$A$15,CC$13)))</f>
        <v>0</v>
      </c>
      <c r="CD181" s="172">
        <f t="array" aca="1" ref="CD181" ca="1">IF(OR($D181&lt;&gt;"Serviço",AND(AUTOEVENTO="Manual",$M181=$A$15),$M181&gt;(ROW(PLE.lastrow)-ROW(PLE.firstrow))),0,
           IF(OFFSET(PLE!$G$15,$M181-$A$15,CD$13)="",10^12,OFFSET(PLE!$G$15,$M181-$A$15,CD$13)))</f>
        <v>0</v>
      </c>
      <c r="CE181" s="172">
        <f t="array" aca="1" ref="CE181" ca="1">IF(OR($D181&lt;&gt;"Serviço",AND(AUTOEVENTO="Manual",$M181=$A$15),$M181&gt;(ROW(PLE.lastrow)-ROW(PLE.firstrow))),0,
           IF(OFFSET(PLE!$G$15,$M181-$A$15,CE$13)="",10^12,OFFSET(PLE!$G$15,$M181-$A$15,CE$13)))</f>
        <v>0</v>
      </c>
      <c r="CF181" s="172">
        <f t="array" aca="1" ref="CF181" ca="1">IF(OR($D181&lt;&gt;"Serviço",AND(AUTOEVENTO="Manual",$M181=$A$15),$M181&gt;(ROW(PLE.lastrow)-ROW(PLE.firstrow))),0,
           IF(OFFSET(PLE!$G$15,$M181-$A$15,CF$13)="",10^12,OFFSET(PLE!$G$15,$M181-$A$15,CF$13)))</f>
        <v>0</v>
      </c>
      <c r="CG181" s="172">
        <f t="array" aca="1" ref="CG181" ca="1">IF(OR($D181&lt;&gt;"Serviço",AND(AUTOEVENTO="Manual",$M181=$A$15),$M181&gt;(ROW(PLE.lastrow)-ROW(PLE.firstrow))),0,
           IF(OFFSET(PLE!$G$15,$M181-$A$15,CG$13)="",10^12,OFFSET(PLE!$G$15,$M181-$A$15,CG$13)))</f>
        <v>0</v>
      </c>
      <c r="CH181" s="172">
        <f t="array" aca="1" ref="CH181" ca="1">IF(OR($D181&lt;&gt;"Serviço",AND(AUTOEVENTO="Manual",$M181=$A$15),$M181&gt;(ROW(PLE.lastrow)-ROW(PLE.firstrow))),0,
           IF(OFFSET(PLE!$G$15,$M181-$A$15,CH$13)="",10^12,OFFSET(PLE!$G$15,$M181-$A$15,CH$13)))</f>
        <v>0</v>
      </c>
      <c r="CI181" s="172">
        <f t="array" aca="1" ref="CI181" ca="1">IF(OR($D181&lt;&gt;"Serviço",AND(AUTOEVENTO="Manual",$M181=$A$15),$M181&gt;(ROW(PLE.lastrow)-ROW(PLE.firstrow))),0,
           IF(OFFSET(PLE!$G$15,$M181-$A$15,CI$13)="",10^12,OFFSET(PLE!$G$15,$M181-$A$15,CI$13)))</f>
        <v>0</v>
      </c>
      <c r="CJ181" s="172">
        <f t="array" aca="1" ref="CJ181" ca="1">IF(OR($D181&lt;&gt;"Serviço",AND(AUTOEVENTO="Manual",$M181=$A$15),$M181&gt;(ROW(PLE.lastrow)-ROW(PLE.firstrow))),0,
           IF(OFFSET(PLE!$G$15,$M181-$A$15,CJ$13)="",10^12,OFFSET(PLE!$G$15,$M181-$A$15,CJ$13)))</f>
        <v>0</v>
      </c>
      <c r="CK181" s="172">
        <f t="array" aca="1" ref="CK181" ca="1">IF(OR($D181&lt;&gt;"Serviço",AND(AUTOEVENTO="Manual",$M181=$A$15),$M181&gt;(ROW(PLE.lastrow)-ROW(PLE.firstrow))),0,
           IF(OFFSET(PLE!$G$15,$M181-$A$15,CK$13)="",10^12,OFFSET(PLE!$G$15,$M181-$A$15,CK$13)))</f>
        <v>0</v>
      </c>
      <c r="CL181" s="172">
        <f t="array" aca="1" ref="CL181" ca="1">IF(OR($D181&lt;&gt;"Serviço",AND(AUTOEVENTO="Manual",$M181=$A$15),$M181&gt;(ROW(PLE.lastrow)-ROW(PLE.firstrow))),0,
           IF(OFFSET(PLE!$G$15,$M181-$A$15,CL$13)="",10^12,OFFSET(PLE!$G$15,$M181-$A$15,CL$13)))</f>
        <v>0</v>
      </c>
      <c r="CM181" s="172">
        <f t="array" aca="1" ref="CM181" ca="1">IF(OR($D181&lt;&gt;"Serviço",AND(AUTOEVENTO="Manual",$M181=$A$15),$M181&gt;(ROW(PLE.lastrow)-ROW(PLE.firstrow))),0,
           IF(OFFSET(PLE!$G$15,$M181-$A$15,CM$13)="",10^12,OFFSET(PLE!$G$15,$M181-$A$15,CM$13)))</f>
        <v>0</v>
      </c>
    </row>
    <row r="182" spans="1:91" s="696" customFormat="1" ht="38.25" x14ac:dyDescent="0.2">
      <c r="A182" s="694">
        <f t="shared" ca="1" si="82"/>
        <v>39</v>
      </c>
      <c r="B182" s="694" t="str">
        <f ca="1">OFFSET(ORÇAMENTO!C$15,$L182,0)</f>
        <v>S</v>
      </c>
      <c r="C182" s="694" t="str">
        <f ca="1">OFFSET(ORÇAMENTO!L$15,$L182,0)</f>
        <v>F</v>
      </c>
      <c r="D182" s="116" t="str">
        <f ca="1">OFFSET(ORÇAMENTO!N$15,$L182,0)</f>
        <v>Serviço</v>
      </c>
      <c r="E182" s="117" t="str">
        <f ca="1">OFFSET(ORÇAMENTO!O$15,$L182,0)</f>
        <v>1.29.1.</v>
      </c>
      <c r="F182" s="163" t="str">
        <f ca="1">OFFSET(ORÇAMENTO!R$15,$L182,0)</f>
        <v>CAIXA D´ÁGUA EM POLIETILENO, 500 LITROS - FORNECIMENTO E INSTALAÇÃO. AF_06/2021</v>
      </c>
      <c r="G182" s="164" t="str">
        <f ca="1">IF($D182&lt;&gt;"Serviço","",OFFSET(ORÇAMENTO!S$15,$L182,0))</f>
        <v>UN</v>
      </c>
      <c r="H182" s="122">
        <f t="array" aca="1" ref="H182" ca="1">IF($D182&lt;&gt;"Serviço",0,IF(ACOMPANHAMENTO="BM",ROUND(OFFSET(ORÇAMENTO!AJ$15,$L182,0),15-13*ORÇAMENTO!$AF$7),IF(IFERROR(CÁLCULO.FrentesPreenchidas,0)=0,0,SUM(ROUND(OFFSET($P182,0,1,1,CÁLCULO.FrentesPreenchidas),15-13*ORÇAMENTO!$AF$7)))))</f>
        <v>20</v>
      </c>
      <c r="I182" s="467" t="s">
        <v>1325</v>
      </c>
      <c r="J182" s="653" t="str">
        <f t="array" aca="1" ref="J182" ca="1">IF(OR(B182&lt;&gt;"S",CÁLCULO.FrentesPreenchidas=0),"",IF(AND(ACOMPANHAMENTO="PLE",AUTOEVENTO="Manual",OR(H182&gt;0,ORÇAMENTO!AC182="QUANT."),OR(K182="",M182=0,N182="")),"►E",IF(AND(ACOMPANHAMENTO="PLE",ORÇAMENTO!AC182="QUANT."),"►Q",IF(AND(ACOMPANHAMENTO="PLE",H182&lt;&gt;SUMPRODUCT(($Q$1:$AI$1=1)*ROUND(Q182:AI182,15))),"►S",IF(AND(COUNTIF($P$11:$AI$11,"▼")=0,H182&gt;0,I182=""),"◄M","")))))</f>
        <v/>
      </c>
      <c r="K182" s="654" t="s">
        <v>1446</v>
      </c>
      <c r="L182" s="165">
        <f t="shared" ca="1" si="83"/>
        <v>167</v>
      </c>
      <c r="M182" s="166">
        <f ca="1">IF($D182&lt;&gt;"Serviço","",
          IF(AUTOEVENTO="manual",$A182,
                IF(ISERROR(MATCH($A182,$A$15:OFFSET($A182,-1,0),0)),MAX($M$15:OFFSET(M182,-1,0))+1,
                      INDEX($M$15:OFFSET(M182,-1,0),MATCH($A182,$A$15:OFFSET($A182,-1,0),0)))))</f>
        <v>39</v>
      </c>
      <c r="N182" s="167" t="str">
        <f ca="1">IF($D182&lt;&gt;"Serviço","",
         IF(AUTOEVENTO="Manual",
                IF($A182=0,"&lt;-- defina o número do agrupador",
                       OFFSET(EVENTOS!$D$15,$A182-$A$15,0)),
                OFFSET($F$15,$A182,0)))</f>
        <v>RESERVATÓRIO DE ÁGUA</v>
      </c>
      <c r="O182" s="168"/>
      <c r="Q182" s="169">
        <v>5</v>
      </c>
      <c r="R182" s="169">
        <v>5</v>
      </c>
      <c r="S182" s="169">
        <v>5</v>
      </c>
      <c r="T182" s="169">
        <v>5</v>
      </c>
      <c r="U182" s="169"/>
      <c r="V182" s="169"/>
      <c r="W182" s="169"/>
      <c r="X182" s="169"/>
      <c r="Y182" s="169"/>
      <c r="Z182" s="170"/>
      <c r="AA182" s="169"/>
      <c r="AB182" s="169"/>
      <c r="AC182" s="169"/>
      <c r="AD182" s="169"/>
      <c r="AE182" s="169"/>
      <c r="AF182" s="169"/>
      <c r="AG182" s="169"/>
      <c r="AH182" s="170"/>
      <c r="AJ182" s="452">
        <f ca="1">IF(AND($D182="Serviço",AJ$12&lt;&gt;0,$H182&gt;0,OR(AUTOEVENTO&lt;&gt;"manual",$M182&lt;&gt;$A$15)),
        IF(Import.TipoArredondamento&lt;&gt;"TransfereGOV",
              ROUND(OFFSET($P182,0,AJ$13),15-13*ORÇAMENTO!$AF$7)/$H182*OFFSET(ORÇAMENTO!$X$15,ROW(AJ182)-ROW(AJ$15),0),
              ROUND(ROUND(OFFSET($P182,0,AJ$13),15-13*ORÇAMENTO!$AF$7)*OFFSET(ORÇAMENTO!$W$15,ROW(AJ182)-ROW(AJ$15),0),15-13*ORÇAMENTO!$AF$11)),
         0)</f>
        <v>1712.1</v>
      </c>
      <c r="AK182" s="452">
        <f ca="1">IF(AND($D182="Serviço",AK$12&lt;&gt;0,$H182&gt;0,OR(AUTOEVENTO&lt;&gt;"manual",$M182&lt;&gt;$A$15)),
        IF(Import.TipoArredondamento&lt;&gt;"TransfereGOV",
              ROUND(OFFSET($P182,0,AK$13),15-13*ORÇAMENTO!$AF$7)/$H182*OFFSET(ORÇAMENTO!$X$15,ROW(AK182)-ROW(AK$15),0),
              ROUND(ROUND(OFFSET($P182,0,AK$13),15-13*ORÇAMENTO!$AF$7)*OFFSET(ORÇAMENTO!$W$15,ROW(AK182)-ROW(AK$15),0),15-13*ORÇAMENTO!$AF$11)),
         0)</f>
        <v>1712.1</v>
      </c>
      <c r="AL182" s="452">
        <f ca="1">IF(AND($D182="Serviço",AL$12&lt;&gt;0,$H182&gt;0,OR(AUTOEVENTO&lt;&gt;"manual",$M182&lt;&gt;$A$15)),
        IF(Import.TipoArredondamento&lt;&gt;"TransfereGOV",
              ROUND(OFFSET($P182,0,AL$13),15-13*ORÇAMENTO!$AF$7)/$H182*OFFSET(ORÇAMENTO!$X$15,ROW(AL182)-ROW(AL$15),0),
              ROUND(ROUND(OFFSET($P182,0,AL$13),15-13*ORÇAMENTO!$AF$7)*OFFSET(ORÇAMENTO!$W$15,ROW(AL182)-ROW(AL$15),0),15-13*ORÇAMENTO!$AF$11)),
         0)</f>
        <v>1712.1</v>
      </c>
      <c r="AM182" s="452">
        <f ca="1">IF(AND($D182="Serviço",AM$12&lt;&gt;0,$H182&gt;0,OR(AUTOEVENTO&lt;&gt;"manual",$M182&lt;&gt;$A$15)),
        IF(Import.TipoArredondamento&lt;&gt;"TransfereGOV",
              ROUND(OFFSET($P182,0,AM$13),15-13*ORÇAMENTO!$AF$7)/$H182*OFFSET(ORÇAMENTO!$X$15,ROW(AM182)-ROW(AM$15),0),
              ROUND(ROUND(OFFSET($P182,0,AM$13),15-13*ORÇAMENTO!$AF$7)*OFFSET(ORÇAMENTO!$W$15,ROW(AM182)-ROW(AM$15),0),15-13*ORÇAMENTO!$AF$11)),
         0)</f>
        <v>1712.1</v>
      </c>
      <c r="AN182" s="452">
        <f ca="1">IF(AND($D182="Serviço",AN$12&lt;&gt;0,$H182&gt;0,OR(AUTOEVENTO&lt;&gt;"manual",$M182&lt;&gt;$A$15)),
        IF(Import.TipoArredondamento&lt;&gt;"TransfereGOV",
              ROUND(OFFSET($P182,0,AN$13),15-13*ORÇAMENTO!$AF$7)/$H182*OFFSET(ORÇAMENTO!$X$15,ROW(AN182)-ROW(AN$15),0),
              ROUND(ROUND(OFFSET($P182,0,AN$13),15-13*ORÇAMENTO!$AF$7)*OFFSET(ORÇAMENTO!$W$15,ROW(AN182)-ROW(AN$15),0),15-13*ORÇAMENTO!$AF$11)),
         0)</f>
        <v>0</v>
      </c>
      <c r="AO182" s="452">
        <f ca="1">IF(AND($D182="Serviço",AO$12&lt;&gt;0,$H182&gt;0,OR(AUTOEVENTO&lt;&gt;"manual",$M182&lt;&gt;$A$15)),
        IF(Import.TipoArredondamento&lt;&gt;"TransfereGOV",
              ROUND(OFFSET($P182,0,AO$13),15-13*ORÇAMENTO!$AF$7)/$H182*OFFSET(ORÇAMENTO!$X$15,ROW(AO182)-ROW(AO$15),0),
              ROUND(ROUND(OFFSET($P182,0,AO$13),15-13*ORÇAMENTO!$AF$7)*OFFSET(ORÇAMENTO!$W$15,ROW(AO182)-ROW(AO$15),0),15-13*ORÇAMENTO!$AF$11)),
         0)</f>
        <v>0</v>
      </c>
      <c r="AP182" s="452">
        <f ca="1">IF(AND($D182="Serviço",AP$12&lt;&gt;0,$H182&gt;0,OR(AUTOEVENTO&lt;&gt;"manual",$M182&lt;&gt;$A$15)),
        IF(Import.TipoArredondamento&lt;&gt;"TransfereGOV",
              ROUND(OFFSET($P182,0,AP$13),15-13*ORÇAMENTO!$AF$7)/$H182*OFFSET(ORÇAMENTO!$X$15,ROW(AP182)-ROW(AP$15),0),
              ROUND(ROUND(OFFSET($P182,0,AP$13),15-13*ORÇAMENTO!$AF$7)*OFFSET(ORÇAMENTO!$W$15,ROW(AP182)-ROW(AP$15),0),15-13*ORÇAMENTO!$AF$11)),
         0)</f>
        <v>0</v>
      </c>
      <c r="AQ182" s="452">
        <f ca="1">IF(AND($D182="Serviço",AQ$12&lt;&gt;0,$H182&gt;0,OR(AUTOEVENTO&lt;&gt;"manual",$M182&lt;&gt;$A$15)),
        IF(Import.TipoArredondamento&lt;&gt;"TransfereGOV",
              ROUND(OFFSET($P182,0,AQ$13),15-13*ORÇAMENTO!$AF$7)/$H182*OFFSET(ORÇAMENTO!$X$15,ROW(AQ182)-ROW(AQ$15),0),
              ROUND(ROUND(OFFSET($P182,0,AQ$13),15-13*ORÇAMENTO!$AF$7)*OFFSET(ORÇAMENTO!$W$15,ROW(AQ182)-ROW(AQ$15),0),15-13*ORÇAMENTO!$AF$11)),
         0)</f>
        <v>0</v>
      </c>
      <c r="AR182" s="452">
        <f ca="1">IF(AND($D182="Serviço",AR$12&lt;&gt;0,$H182&gt;0,OR(AUTOEVENTO&lt;&gt;"manual",$M182&lt;&gt;$A$15)),
        IF(Import.TipoArredondamento&lt;&gt;"TransfereGOV",
              ROUND(OFFSET($P182,0,AR$13),15-13*ORÇAMENTO!$AF$7)/$H182*OFFSET(ORÇAMENTO!$X$15,ROW(AR182)-ROW(AR$15),0),
              ROUND(ROUND(OFFSET($P182,0,AR$13),15-13*ORÇAMENTO!$AF$7)*OFFSET(ORÇAMENTO!$W$15,ROW(AR182)-ROW(AR$15),0),15-13*ORÇAMENTO!$AF$11)),
         0)</f>
        <v>0</v>
      </c>
      <c r="AS182" s="452">
        <f ca="1">IF(AND($D182="Serviço",AS$12&lt;&gt;0,$H182&gt;0,OR(AUTOEVENTO&lt;&gt;"manual",$M182&lt;&gt;$A$15)),
        IF(Import.TipoArredondamento&lt;&gt;"TransfereGOV",
              ROUND(OFFSET($P182,0,AS$13),15-13*ORÇAMENTO!$AF$7)/$H182*OFFSET(ORÇAMENTO!$X$15,ROW(AS182)-ROW(AS$15),0),
              ROUND(ROUND(OFFSET($P182,0,AS$13),15-13*ORÇAMENTO!$AF$7)*OFFSET(ORÇAMENTO!$W$15,ROW(AS182)-ROW(AS$15),0),15-13*ORÇAMENTO!$AF$11)),
         0)</f>
        <v>0</v>
      </c>
      <c r="AT182" s="452">
        <f ca="1">IF(AND($D182="Serviço",AT$12&lt;&gt;0,$H182&gt;0,OR(AUTOEVENTO&lt;&gt;"manual",$M182&lt;&gt;$A$15)),
        IF(Import.TipoArredondamento&lt;&gt;"TransfereGOV",
              ROUND(OFFSET($P182,0,AT$13),15-13*ORÇAMENTO!$AF$7)/$H182*OFFSET(ORÇAMENTO!$X$15,ROW(AT182)-ROW(AT$15),0),
              ROUND(ROUND(OFFSET($P182,0,AT$13),15-13*ORÇAMENTO!$AF$7)*OFFSET(ORÇAMENTO!$W$15,ROW(AT182)-ROW(AT$15),0),15-13*ORÇAMENTO!$AF$11)),
         0)</f>
        <v>0</v>
      </c>
      <c r="AU182" s="452">
        <f ca="1">IF(AND($D182="Serviço",AU$12&lt;&gt;0,$H182&gt;0,OR(AUTOEVENTO&lt;&gt;"manual",$M182&lt;&gt;$A$15)),
        IF(Import.TipoArredondamento&lt;&gt;"TransfereGOV",
              ROUND(OFFSET($P182,0,AU$13),15-13*ORÇAMENTO!$AF$7)/$H182*OFFSET(ORÇAMENTO!$X$15,ROW(AU182)-ROW(AU$15),0),
              ROUND(ROUND(OFFSET($P182,0,AU$13),15-13*ORÇAMENTO!$AF$7)*OFFSET(ORÇAMENTO!$W$15,ROW(AU182)-ROW(AU$15),0),15-13*ORÇAMENTO!$AF$11)),
         0)</f>
        <v>0</v>
      </c>
      <c r="AV182" s="452">
        <f ca="1">IF(AND($D182="Serviço",AV$12&lt;&gt;0,$H182&gt;0,OR(AUTOEVENTO&lt;&gt;"manual",$M182&lt;&gt;$A$15)),
        IF(Import.TipoArredondamento&lt;&gt;"TransfereGOV",
              ROUND(OFFSET($P182,0,AV$13),15-13*ORÇAMENTO!$AF$7)/$H182*OFFSET(ORÇAMENTO!$X$15,ROW(AV182)-ROW(AV$15),0),
              ROUND(ROUND(OFFSET($P182,0,AV$13),15-13*ORÇAMENTO!$AF$7)*OFFSET(ORÇAMENTO!$W$15,ROW(AV182)-ROW(AV$15),0),15-13*ORÇAMENTO!$AF$11)),
         0)</f>
        <v>0</v>
      </c>
      <c r="AW182" s="452">
        <f ca="1">IF(AND($D182="Serviço",AW$12&lt;&gt;0,$H182&gt;0,OR(AUTOEVENTO&lt;&gt;"manual",$M182&lt;&gt;$A$15)),
        IF(Import.TipoArredondamento&lt;&gt;"TransfereGOV",
              ROUND(OFFSET($P182,0,AW$13),15-13*ORÇAMENTO!$AF$7)/$H182*OFFSET(ORÇAMENTO!$X$15,ROW(AW182)-ROW(AW$15),0),
              ROUND(ROUND(OFFSET($P182,0,AW$13),15-13*ORÇAMENTO!$AF$7)*OFFSET(ORÇAMENTO!$W$15,ROW(AW182)-ROW(AW$15),0),15-13*ORÇAMENTO!$AF$11)),
         0)</f>
        <v>0</v>
      </c>
      <c r="AX182" s="452">
        <f ca="1">IF(AND($D182="Serviço",AX$12&lt;&gt;0,$H182&gt;0,OR(AUTOEVENTO&lt;&gt;"manual",$M182&lt;&gt;$A$15)),
        IF(Import.TipoArredondamento&lt;&gt;"TransfereGOV",
              ROUND(OFFSET($P182,0,AX$13),15-13*ORÇAMENTO!$AF$7)/$H182*OFFSET(ORÇAMENTO!$X$15,ROW(AX182)-ROW(AX$15),0),
              ROUND(ROUND(OFFSET($P182,0,AX$13),15-13*ORÇAMENTO!$AF$7)*OFFSET(ORÇAMENTO!$W$15,ROW(AX182)-ROW(AX$15),0),15-13*ORÇAMENTO!$AF$11)),
         0)</f>
        <v>0</v>
      </c>
      <c r="AY182" s="452">
        <f ca="1">IF(AND($D182="Serviço",AY$12&lt;&gt;0,$H182&gt;0,OR(AUTOEVENTO&lt;&gt;"manual",$M182&lt;&gt;$A$15)),
        IF(Import.TipoArredondamento&lt;&gt;"TransfereGOV",
              ROUND(OFFSET($P182,0,AY$13),15-13*ORÇAMENTO!$AF$7)/$H182*OFFSET(ORÇAMENTO!$X$15,ROW(AY182)-ROW(AY$15),0),
              ROUND(ROUND(OFFSET($P182,0,AY$13),15-13*ORÇAMENTO!$AF$7)*OFFSET(ORÇAMENTO!$W$15,ROW(AY182)-ROW(AY$15),0),15-13*ORÇAMENTO!$AF$11)),
         0)</f>
        <v>0</v>
      </c>
      <c r="AZ182" s="452">
        <f ca="1">IF(AND($D182="Serviço",AZ$12&lt;&gt;0,$H182&gt;0,OR(AUTOEVENTO&lt;&gt;"manual",$M182&lt;&gt;$A$15)),
        IF(Import.TipoArredondamento&lt;&gt;"TransfereGOV",
              ROUND(OFFSET($P182,0,AZ$13),15-13*ORÇAMENTO!$AF$7)/$H182*OFFSET(ORÇAMENTO!$X$15,ROW(AZ182)-ROW(AZ$15),0),
              ROUND(ROUND(OFFSET($P182,0,AZ$13),15-13*ORÇAMENTO!$AF$7)*OFFSET(ORÇAMENTO!$W$15,ROW(AZ182)-ROW(AZ$15),0),15-13*ORÇAMENTO!$AF$11)),
         0)</f>
        <v>0</v>
      </c>
      <c r="BA182" s="452">
        <f ca="1">IF(AND($D182="Serviço",BA$12&lt;&gt;0,$H182&gt;0,OR(AUTOEVENTO&lt;&gt;"manual",$M182&lt;&gt;$A$15)),
        IF(Import.TipoArredondamento&lt;&gt;"TransfereGOV",
              ROUND(OFFSET($P182,0,BA$13),15-13*ORÇAMENTO!$AF$7)/$H182*OFFSET(ORÇAMENTO!$X$15,ROW(BA182)-ROW(BA$15),0),
              ROUND(ROUND(OFFSET($P182,0,BA$13),15-13*ORÇAMENTO!$AF$7)*OFFSET(ORÇAMENTO!$W$15,ROW(BA182)-ROW(BA$15),0),15-13*ORÇAMENTO!$AF$11)),
         0)</f>
        <v>0</v>
      </c>
      <c r="BC182" s="171">
        <f ca="1">IF(OR($D182&lt;&gt;"Serviço",AND(AUTOEVENTO="Manual",$M182=$A$15)),0,
         IF(OFFSET(CRONOPLE!$F$15,$M182-$A$15,BC$13)=0,10^12,OFFSET(CRONOPLE!$F$15,$M182-$A$15,BC$13)))</f>
        <v>4</v>
      </c>
      <c r="BD182" s="171">
        <f ca="1">IF(OR($D182&lt;&gt;"Serviço",AND(AUTOEVENTO="Manual",$M182=$A$15)),0,
         IF(OFFSET(CRONOPLE!$F$15,$M182-$A$15,BD$13)=0,10^12,OFFSET(CRONOPLE!$F$15,$M182-$A$15,BD$13)))</f>
        <v>4</v>
      </c>
      <c r="BE182" s="171">
        <f ca="1">IF(OR($D182&lt;&gt;"Serviço",AND(AUTOEVENTO="Manual",$M182=$A$15)),0,
         IF(OFFSET(CRONOPLE!$F$15,$M182-$A$15,BE$13)=0,10^12,OFFSET(CRONOPLE!$F$15,$M182-$A$15,BE$13)))</f>
        <v>5</v>
      </c>
      <c r="BF182" s="171">
        <f ca="1">IF(OR($D182&lt;&gt;"Serviço",AND(AUTOEVENTO="Manual",$M182=$A$15)),0,
         IF(OFFSET(CRONOPLE!$F$15,$M182-$A$15,BF$13)=0,10^12,OFFSET(CRONOPLE!$F$15,$M182-$A$15,BF$13)))</f>
        <v>5</v>
      </c>
      <c r="BG182" s="171">
        <f ca="1">IF(OR($D182&lt;&gt;"Serviço",AND(AUTOEVENTO="Manual",$M182=$A$15)),0,
         IF(OFFSET(CRONOPLE!$F$15,$M182-$A$15,BG$13)=0,10^12,OFFSET(CRONOPLE!$F$15,$M182-$A$15,BG$13)))</f>
        <v>5</v>
      </c>
      <c r="BH182" s="171">
        <f ca="1">IF(OR($D182&lt;&gt;"Serviço",AND(AUTOEVENTO="Manual",$M182=$A$15)),0,
         IF(OFFSET(CRONOPLE!$F$15,$M182-$A$15,BH$13)=0,10^12,OFFSET(CRONOPLE!$F$15,$M182-$A$15,BH$13)))</f>
        <v>1000000000000</v>
      </c>
      <c r="BI182" s="171">
        <f ca="1">IF(OR($D182&lt;&gt;"Serviço",AND(AUTOEVENTO="Manual",$M182=$A$15)),0,
         IF(OFFSET(CRONOPLE!$F$15,$M182-$A$15,BI$13)=0,10^12,OFFSET(CRONOPLE!$F$15,$M182-$A$15,BI$13)))</f>
        <v>1000000000000</v>
      </c>
      <c r="BJ182" s="171">
        <f ca="1">IF(OR($D182&lt;&gt;"Serviço",AND(AUTOEVENTO="Manual",$M182=$A$15)),0,
         IF(OFFSET(CRONOPLE!$F$15,$M182-$A$15,BJ$13)=0,10^12,OFFSET(CRONOPLE!$F$15,$M182-$A$15,BJ$13)))</f>
        <v>1000000000000</v>
      </c>
      <c r="BK182" s="171">
        <f ca="1">IF(OR($D182&lt;&gt;"Serviço",AND(AUTOEVENTO="Manual",$M182=$A$15)),0,
         IF(OFFSET(CRONOPLE!$F$15,$M182-$A$15,BK$13)=0,10^12,OFFSET(CRONOPLE!$F$15,$M182-$A$15,BK$13)))</f>
        <v>1000000000000</v>
      </c>
      <c r="BL182" s="171">
        <f ca="1">IF(OR($D182&lt;&gt;"Serviço",AND(AUTOEVENTO="Manual",$M182=$A$15)),0,
         IF(OFFSET(CRONOPLE!$F$15,$M182-$A$15,BL$13)=0,10^12,OFFSET(CRONOPLE!$F$15,$M182-$A$15,BL$13)))</f>
        <v>1000000000000</v>
      </c>
      <c r="BM182" s="171">
        <f ca="1">IF(OR($D182&lt;&gt;"Serviço",AND(AUTOEVENTO="Manual",$M182=$A$15)),0,
         IF(OFFSET(CRONOPLE!$F$15,$M182-$A$15,BM$13)=0,10^12,OFFSET(CRONOPLE!$F$15,$M182-$A$15,BM$13)))</f>
        <v>1000000000000</v>
      </c>
      <c r="BN182" s="171">
        <f ca="1">IF(OR($D182&lt;&gt;"Serviço",AND(AUTOEVENTO="Manual",$M182=$A$15)),0,
         IF(OFFSET(CRONOPLE!$F$15,$M182-$A$15,BN$13)=0,10^12,OFFSET(CRONOPLE!$F$15,$M182-$A$15,BN$13)))</f>
        <v>1000000000000</v>
      </c>
      <c r="BO182" s="171">
        <f ca="1">IF(OR($D182&lt;&gt;"Serviço",AND(AUTOEVENTO="Manual",$M182=$A$15)),0,
         IF(OFFSET(CRONOPLE!$F$15,$M182-$A$15,BO$13)=0,10^12,OFFSET(CRONOPLE!$F$15,$M182-$A$15,BO$13)))</f>
        <v>1000000000000</v>
      </c>
      <c r="BP182" s="171">
        <f ca="1">IF(OR($D182&lt;&gt;"Serviço",AND(AUTOEVENTO="Manual",$M182=$A$15)),0,
         IF(OFFSET(CRONOPLE!$F$15,$M182-$A$15,BP$13)=0,10^12,OFFSET(CRONOPLE!$F$15,$M182-$A$15,BP$13)))</f>
        <v>1000000000000</v>
      </c>
      <c r="BQ182" s="171">
        <f ca="1">IF(OR($D182&lt;&gt;"Serviço",AND(AUTOEVENTO="Manual",$M182=$A$15)),0,
         IF(OFFSET(CRONOPLE!$F$15,$M182-$A$15,BQ$13)=0,10^12,OFFSET(CRONOPLE!$F$15,$M182-$A$15,BQ$13)))</f>
        <v>1000000000000</v>
      </c>
      <c r="BR182" s="171">
        <f ca="1">IF(OR($D182&lt;&gt;"Serviço",AND(AUTOEVENTO="Manual",$M182=$A$15)),0,
         IF(OFFSET(CRONOPLE!$F$15,$M182-$A$15,BR$13)=0,10^12,OFFSET(CRONOPLE!$F$15,$M182-$A$15,BR$13)))</f>
        <v>1000000000000</v>
      </c>
      <c r="BS182" s="171">
        <f ca="1">IF(OR($D182&lt;&gt;"Serviço",AND(AUTOEVENTO="Manual",$M182=$A$15)),0,
         IF(OFFSET(CRONOPLE!$F$15,$M182-$A$15,BS$13)=0,10^12,OFFSET(CRONOPLE!$F$15,$M182-$A$15,BS$13)))</f>
        <v>1000000000000</v>
      </c>
      <c r="BT182" s="171">
        <f ca="1">IF(OR($D182&lt;&gt;"Serviço",AND(AUTOEVENTO="Manual",$M182=$A$15)),0,
         IF(OFFSET(CRONOPLE!$F$15,$M182-$A$15,BT$13)=0,10^12,OFFSET(CRONOPLE!$F$15,$M182-$A$15,BT$13)))</f>
        <v>1000000000000</v>
      </c>
      <c r="BV182" s="172">
        <f t="array" aca="1" ref="BV182" ca="1">IF(OR($D182&lt;&gt;"Serviço",AND(AUTOEVENTO="Manual",$M182=$A$15),$M182&gt;(ROW(PLE.lastrow)-ROW(PLE.firstrow))),0,
           IF(OFFSET(PLE!$G$15,$M182-$A$15,BV$13)="",10^12,OFFSET(PLE!$G$15,$M182-$A$15,BV$13)))</f>
        <v>1000000000000</v>
      </c>
      <c r="BW182" s="172">
        <f t="array" aca="1" ref="BW182" ca="1">IF(OR($D182&lt;&gt;"Serviço",AND(AUTOEVENTO="Manual",$M182=$A$15),$M182&gt;(ROW(PLE.lastrow)-ROW(PLE.firstrow))),0,
           IF(OFFSET(PLE!$G$15,$M182-$A$15,BW$13)="",10^12,OFFSET(PLE!$G$15,$M182-$A$15,BW$13)))</f>
        <v>1000000000000</v>
      </c>
      <c r="BX182" s="172">
        <f t="array" aca="1" ref="BX182" ca="1">IF(OR($D182&lt;&gt;"Serviço",AND(AUTOEVENTO="Manual",$M182=$A$15),$M182&gt;(ROW(PLE.lastrow)-ROW(PLE.firstrow))),0,
           IF(OFFSET(PLE!$G$15,$M182-$A$15,BX$13)="",10^12,OFFSET(PLE!$G$15,$M182-$A$15,BX$13)))</f>
        <v>1000000000000</v>
      </c>
      <c r="BY182" s="172">
        <f t="array" aca="1" ref="BY182" ca="1">IF(OR($D182&lt;&gt;"Serviço",AND(AUTOEVENTO="Manual",$M182=$A$15),$M182&gt;(ROW(PLE.lastrow)-ROW(PLE.firstrow))),0,
           IF(OFFSET(PLE!$G$15,$M182-$A$15,BY$13)="",10^12,OFFSET(PLE!$G$15,$M182-$A$15,BY$13)))</f>
        <v>1000000000000</v>
      </c>
      <c r="BZ182" s="172">
        <f t="array" aca="1" ref="BZ182" ca="1">IF(OR($D182&lt;&gt;"Serviço",AND(AUTOEVENTO="Manual",$M182=$A$15),$M182&gt;(ROW(PLE.lastrow)-ROW(PLE.firstrow))),0,
           IF(OFFSET(PLE!$G$15,$M182-$A$15,BZ$13)="",10^12,OFFSET(PLE!$G$15,$M182-$A$15,BZ$13)))</f>
        <v>1000000000000</v>
      </c>
      <c r="CA182" s="172">
        <f t="array" aca="1" ref="CA182" ca="1">IF(OR($D182&lt;&gt;"Serviço",AND(AUTOEVENTO="Manual",$M182=$A$15),$M182&gt;(ROW(PLE.lastrow)-ROW(PLE.firstrow))),0,
           IF(OFFSET(PLE!$G$15,$M182-$A$15,CA$13)="",10^12,OFFSET(PLE!$G$15,$M182-$A$15,CA$13)))</f>
        <v>1000000000000</v>
      </c>
      <c r="CB182" s="172">
        <f t="array" aca="1" ref="CB182" ca="1">IF(OR($D182&lt;&gt;"Serviço",AND(AUTOEVENTO="Manual",$M182=$A$15),$M182&gt;(ROW(PLE.lastrow)-ROW(PLE.firstrow))),0,
           IF(OFFSET(PLE!$G$15,$M182-$A$15,CB$13)="",10^12,OFFSET(PLE!$G$15,$M182-$A$15,CB$13)))</f>
        <v>1000000000000</v>
      </c>
      <c r="CC182" s="172">
        <f t="array" aca="1" ref="CC182" ca="1">IF(OR($D182&lt;&gt;"Serviço",AND(AUTOEVENTO="Manual",$M182=$A$15),$M182&gt;(ROW(PLE.lastrow)-ROW(PLE.firstrow))),0,
           IF(OFFSET(PLE!$G$15,$M182-$A$15,CC$13)="",10^12,OFFSET(PLE!$G$15,$M182-$A$15,CC$13)))</f>
        <v>1000000000000</v>
      </c>
      <c r="CD182" s="172">
        <f t="array" aca="1" ref="CD182" ca="1">IF(OR($D182&lt;&gt;"Serviço",AND(AUTOEVENTO="Manual",$M182=$A$15),$M182&gt;(ROW(PLE.lastrow)-ROW(PLE.firstrow))),0,
           IF(OFFSET(PLE!$G$15,$M182-$A$15,CD$13)="",10^12,OFFSET(PLE!$G$15,$M182-$A$15,CD$13)))</f>
        <v>1000000000000</v>
      </c>
      <c r="CE182" s="172">
        <f t="array" aca="1" ref="CE182" ca="1">IF(OR($D182&lt;&gt;"Serviço",AND(AUTOEVENTO="Manual",$M182=$A$15),$M182&gt;(ROW(PLE.lastrow)-ROW(PLE.firstrow))),0,
           IF(OFFSET(PLE!$G$15,$M182-$A$15,CE$13)="",10^12,OFFSET(PLE!$G$15,$M182-$A$15,CE$13)))</f>
        <v>1000000000000</v>
      </c>
      <c r="CF182" s="172">
        <f t="array" aca="1" ref="CF182" ca="1">IF(OR($D182&lt;&gt;"Serviço",AND(AUTOEVENTO="Manual",$M182=$A$15),$M182&gt;(ROW(PLE.lastrow)-ROW(PLE.firstrow))),0,
           IF(OFFSET(PLE!$G$15,$M182-$A$15,CF$13)="",10^12,OFFSET(PLE!$G$15,$M182-$A$15,CF$13)))</f>
        <v>1000000000000</v>
      </c>
      <c r="CG182" s="172">
        <f t="array" aca="1" ref="CG182" ca="1">IF(OR($D182&lt;&gt;"Serviço",AND(AUTOEVENTO="Manual",$M182=$A$15),$M182&gt;(ROW(PLE.lastrow)-ROW(PLE.firstrow))),0,
           IF(OFFSET(PLE!$G$15,$M182-$A$15,CG$13)="",10^12,OFFSET(PLE!$G$15,$M182-$A$15,CG$13)))</f>
        <v>1000000000000</v>
      </c>
      <c r="CH182" s="172">
        <f t="array" aca="1" ref="CH182" ca="1">IF(OR($D182&lt;&gt;"Serviço",AND(AUTOEVENTO="Manual",$M182=$A$15),$M182&gt;(ROW(PLE.lastrow)-ROW(PLE.firstrow))),0,
           IF(OFFSET(PLE!$G$15,$M182-$A$15,CH$13)="",10^12,OFFSET(PLE!$G$15,$M182-$A$15,CH$13)))</f>
        <v>1000000000000</v>
      </c>
      <c r="CI182" s="172">
        <f t="array" aca="1" ref="CI182" ca="1">IF(OR($D182&lt;&gt;"Serviço",AND(AUTOEVENTO="Manual",$M182=$A$15),$M182&gt;(ROW(PLE.lastrow)-ROW(PLE.firstrow))),0,
           IF(OFFSET(PLE!$G$15,$M182-$A$15,CI$13)="",10^12,OFFSET(PLE!$G$15,$M182-$A$15,CI$13)))</f>
        <v>1000000000000</v>
      </c>
      <c r="CJ182" s="172">
        <f t="array" aca="1" ref="CJ182" ca="1">IF(OR($D182&lt;&gt;"Serviço",AND(AUTOEVENTO="Manual",$M182=$A$15),$M182&gt;(ROW(PLE.lastrow)-ROW(PLE.firstrow))),0,
           IF(OFFSET(PLE!$G$15,$M182-$A$15,CJ$13)="",10^12,OFFSET(PLE!$G$15,$M182-$A$15,CJ$13)))</f>
        <v>1000000000000</v>
      </c>
      <c r="CK182" s="172">
        <f t="array" aca="1" ref="CK182" ca="1">IF(OR($D182&lt;&gt;"Serviço",AND(AUTOEVENTO="Manual",$M182=$A$15),$M182&gt;(ROW(PLE.lastrow)-ROW(PLE.firstrow))),0,
           IF(OFFSET(PLE!$G$15,$M182-$A$15,CK$13)="",10^12,OFFSET(PLE!$G$15,$M182-$A$15,CK$13)))</f>
        <v>1000000000000</v>
      </c>
      <c r="CL182" s="172">
        <f t="array" aca="1" ref="CL182" ca="1">IF(OR($D182&lt;&gt;"Serviço",AND(AUTOEVENTO="Manual",$M182=$A$15),$M182&gt;(ROW(PLE.lastrow)-ROW(PLE.firstrow))),0,
           IF(OFFSET(PLE!$G$15,$M182-$A$15,CL$13)="",10^12,OFFSET(PLE!$G$15,$M182-$A$15,CL$13)))</f>
        <v>1000000000000</v>
      </c>
      <c r="CM182" s="172">
        <f t="array" aca="1" ref="CM182" ca="1">IF(OR($D182&lt;&gt;"Serviço",AND(AUTOEVENTO="Manual",$M182=$A$15),$M182&gt;(ROW(PLE.lastrow)-ROW(PLE.firstrow))),0,
           IF(OFFSET(PLE!$G$15,$M182-$A$15,CM$13)="",10^12,OFFSET(PLE!$G$15,$M182-$A$15,CM$13)))</f>
        <v>1000000000000</v>
      </c>
    </row>
    <row r="183" spans="1:91" s="696" customFormat="1" ht="51" x14ac:dyDescent="0.2">
      <c r="A183" s="694">
        <f t="shared" ca="1" si="82"/>
        <v>39</v>
      </c>
      <c r="B183" s="694" t="str">
        <f ca="1">OFFSET(ORÇAMENTO!C$15,$L183,0)</f>
        <v>S</v>
      </c>
      <c r="C183" s="694" t="str">
        <f ca="1">OFFSET(ORÇAMENTO!L$15,$L183,0)</f>
        <v>F</v>
      </c>
      <c r="D183" s="116" t="str">
        <f ca="1">OFFSET(ORÇAMENTO!N$15,$L183,0)</f>
        <v>Serviço</v>
      </c>
      <c r="E183" s="117" t="str">
        <f ca="1">OFFSET(ORÇAMENTO!O$15,$L183,0)</f>
        <v>1.29.2.</v>
      </c>
      <c r="F183" s="163" t="str">
        <f ca="1">OFFSET(ORÇAMENTO!R$15,$L183,0)</f>
        <v>FURO EM CAIXA D'ÁGUA COM ESPESSURA DE 2 ATÉ 5 MM E DIÂMETRO DE 25 MM. AF_06/2021</v>
      </c>
      <c r="G183" s="164" t="str">
        <f ca="1">IF($D183&lt;&gt;"Serviço","",OFFSET(ORÇAMENTO!S$15,$L183,0))</f>
        <v>UN</v>
      </c>
      <c r="H183" s="122">
        <f t="array" aca="1" ref="H183" ca="1">IF($D183&lt;&gt;"Serviço",0,IF(ACOMPANHAMENTO="BM",ROUND(OFFSET(ORÇAMENTO!AJ$15,$L183,0),15-13*ORÇAMENTO!$AF$7),IF(IFERROR(CÁLCULO.FrentesPreenchidas,0)=0,0,SUM(ROUND(OFFSET($P183,0,1,1,CÁLCULO.FrentesPreenchidas),15-13*ORÇAMENTO!$AF$7)))))</f>
        <v>20</v>
      </c>
      <c r="I183" s="467" t="s">
        <v>1326</v>
      </c>
      <c r="J183" s="653" t="str">
        <f t="array" aca="1" ref="J183" ca="1">IF(OR(B183&lt;&gt;"S",CÁLCULO.FrentesPreenchidas=0),"",IF(AND(ACOMPANHAMENTO="PLE",AUTOEVENTO="Manual",OR(H183&gt;0,ORÇAMENTO!AC183="QUANT."),OR(K183="",M183=0,N183="")),"►E",IF(AND(ACOMPANHAMENTO="PLE",ORÇAMENTO!AC183="QUANT."),"►Q",IF(AND(ACOMPANHAMENTO="PLE",H183&lt;&gt;SUMPRODUCT(($Q$1:$AI$1=1)*ROUND(Q183:AI183,15))),"►S",IF(AND(COUNTIF($P$11:$AI$11,"▼")=0,H183&gt;0,I183=""),"◄M","")))))</f>
        <v/>
      </c>
      <c r="K183" s="654" t="s">
        <v>1446</v>
      </c>
      <c r="L183" s="165">
        <f t="shared" ca="1" si="83"/>
        <v>168</v>
      </c>
      <c r="M183" s="166">
        <f ca="1">IF($D183&lt;&gt;"Serviço","",
          IF(AUTOEVENTO="manual",$A183,
                IF(ISERROR(MATCH($A183,$A$15:OFFSET($A183,-1,0),0)),MAX($M$15:OFFSET(M183,-1,0))+1,
                      INDEX($M$15:OFFSET(M183,-1,0),MATCH($A183,$A$15:OFFSET($A183,-1,0),0)))))</f>
        <v>39</v>
      </c>
      <c r="N183" s="167" t="str">
        <f ca="1">IF($D183&lt;&gt;"Serviço","",
         IF(AUTOEVENTO="Manual",
                IF($A183=0,"&lt;-- defina o número do agrupador",
                       OFFSET(EVENTOS!$D$15,$A183-$A$15,0)),
                OFFSET($F$15,$A183,0)))</f>
        <v>RESERVATÓRIO DE ÁGUA</v>
      </c>
      <c r="O183" s="168"/>
      <c r="Q183" s="169">
        <v>5</v>
      </c>
      <c r="R183" s="169">
        <v>5</v>
      </c>
      <c r="S183" s="169">
        <v>5</v>
      </c>
      <c r="T183" s="169">
        <v>5</v>
      </c>
      <c r="U183" s="169"/>
      <c r="V183" s="169"/>
      <c r="W183" s="169"/>
      <c r="X183" s="169"/>
      <c r="Y183" s="169"/>
      <c r="Z183" s="170"/>
      <c r="AA183" s="169"/>
      <c r="AB183" s="169"/>
      <c r="AC183" s="169"/>
      <c r="AD183" s="169"/>
      <c r="AE183" s="169"/>
      <c r="AF183" s="169"/>
      <c r="AG183" s="169"/>
      <c r="AH183" s="170"/>
      <c r="AJ183" s="452">
        <f ca="1">IF(AND($D183="Serviço",AJ$12&lt;&gt;0,$H183&gt;0,OR(AUTOEVENTO&lt;&gt;"manual",$M183&lt;&gt;$A$15)),
        IF(Import.TipoArredondamento&lt;&gt;"TransfereGOV",
              ROUND(OFFSET($P183,0,AJ$13),15-13*ORÇAMENTO!$AF$7)/$H183*OFFSET(ORÇAMENTO!$X$15,ROW(AJ183)-ROW(AJ$15),0),
              ROUND(ROUND(OFFSET($P183,0,AJ$13),15-13*ORÇAMENTO!$AF$7)*OFFSET(ORÇAMENTO!$W$15,ROW(AJ183)-ROW(AJ$15),0),15-13*ORÇAMENTO!$AF$11)),
         0)</f>
        <v>26.6</v>
      </c>
      <c r="AK183" s="452">
        <f ca="1">IF(AND($D183="Serviço",AK$12&lt;&gt;0,$H183&gt;0,OR(AUTOEVENTO&lt;&gt;"manual",$M183&lt;&gt;$A$15)),
        IF(Import.TipoArredondamento&lt;&gt;"TransfereGOV",
              ROUND(OFFSET($P183,0,AK$13),15-13*ORÇAMENTO!$AF$7)/$H183*OFFSET(ORÇAMENTO!$X$15,ROW(AK183)-ROW(AK$15),0),
              ROUND(ROUND(OFFSET($P183,0,AK$13),15-13*ORÇAMENTO!$AF$7)*OFFSET(ORÇAMENTO!$W$15,ROW(AK183)-ROW(AK$15),0),15-13*ORÇAMENTO!$AF$11)),
         0)</f>
        <v>26.6</v>
      </c>
      <c r="AL183" s="452">
        <f ca="1">IF(AND($D183="Serviço",AL$12&lt;&gt;0,$H183&gt;0,OR(AUTOEVENTO&lt;&gt;"manual",$M183&lt;&gt;$A$15)),
        IF(Import.TipoArredondamento&lt;&gt;"TransfereGOV",
              ROUND(OFFSET($P183,0,AL$13),15-13*ORÇAMENTO!$AF$7)/$H183*OFFSET(ORÇAMENTO!$X$15,ROW(AL183)-ROW(AL$15),0),
              ROUND(ROUND(OFFSET($P183,0,AL$13),15-13*ORÇAMENTO!$AF$7)*OFFSET(ORÇAMENTO!$W$15,ROW(AL183)-ROW(AL$15),0),15-13*ORÇAMENTO!$AF$11)),
         0)</f>
        <v>26.6</v>
      </c>
      <c r="AM183" s="452">
        <f ca="1">IF(AND($D183="Serviço",AM$12&lt;&gt;0,$H183&gt;0,OR(AUTOEVENTO&lt;&gt;"manual",$M183&lt;&gt;$A$15)),
        IF(Import.TipoArredondamento&lt;&gt;"TransfereGOV",
              ROUND(OFFSET($P183,0,AM$13),15-13*ORÇAMENTO!$AF$7)/$H183*OFFSET(ORÇAMENTO!$X$15,ROW(AM183)-ROW(AM$15),0),
              ROUND(ROUND(OFFSET($P183,0,AM$13),15-13*ORÇAMENTO!$AF$7)*OFFSET(ORÇAMENTO!$W$15,ROW(AM183)-ROW(AM$15),0),15-13*ORÇAMENTO!$AF$11)),
         0)</f>
        <v>26.6</v>
      </c>
      <c r="AN183" s="452">
        <f ca="1">IF(AND($D183="Serviço",AN$12&lt;&gt;0,$H183&gt;0,OR(AUTOEVENTO&lt;&gt;"manual",$M183&lt;&gt;$A$15)),
        IF(Import.TipoArredondamento&lt;&gt;"TransfereGOV",
              ROUND(OFFSET($P183,0,AN$13),15-13*ORÇAMENTO!$AF$7)/$H183*OFFSET(ORÇAMENTO!$X$15,ROW(AN183)-ROW(AN$15),0),
              ROUND(ROUND(OFFSET($P183,0,AN$13),15-13*ORÇAMENTO!$AF$7)*OFFSET(ORÇAMENTO!$W$15,ROW(AN183)-ROW(AN$15),0),15-13*ORÇAMENTO!$AF$11)),
         0)</f>
        <v>0</v>
      </c>
      <c r="AO183" s="452">
        <f ca="1">IF(AND($D183="Serviço",AO$12&lt;&gt;0,$H183&gt;0,OR(AUTOEVENTO&lt;&gt;"manual",$M183&lt;&gt;$A$15)),
        IF(Import.TipoArredondamento&lt;&gt;"TransfereGOV",
              ROUND(OFFSET($P183,0,AO$13),15-13*ORÇAMENTO!$AF$7)/$H183*OFFSET(ORÇAMENTO!$X$15,ROW(AO183)-ROW(AO$15),0),
              ROUND(ROUND(OFFSET($P183,0,AO$13),15-13*ORÇAMENTO!$AF$7)*OFFSET(ORÇAMENTO!$W$15,ROW(AO183)-ROW(AO$15),0),15-13*ORÇAMENTO!$AF$11)),
         0)</f>
        <v>0</v>
      </c>
      <c r="AP183" s="452">
        <f ca="1">IF(AND($D183="Serviço",AP$12&lt;&gt;0,$H183&gt;0,OR(AUTOEVENTO&lt;&gt;"manual",$M183&lt;&gt;$A$15)),
        IF(Import.TipoArredondamento&lt;&gt;"TransfereGOV",
              ROUND(OFFSET($P183,0,AP$13),15-13*ORÇAMENTO!$AF$7)/$H183*OFFSET(ORÇAMENTO!$X$15,ROW(AP183)-ROW(AP$15),0),
              ROUND(ROUND(OFFSET($P183,0,AP$13),15-13*ORÇAMENTO!$AF$7)*OFFSET(ORÇAMENTO!$W$15,ROW(AP183)-ROW(AP$15),0),15-13*ORÇAMENTO!$AF$11)),
         0)</f>
        <v>0</v>
      </c>
      <c r="AQ183" s="452">
        <f ca="1">IF(AND($D183="Serviço",AQ$12&lt;&gt;0,$H183&gt;0,OR(AUTOEVENTO&lt;&gt;"manual",$M183&lt;&gt;$A$15)),
        IF(Import.TipoArredondamento&lt;&gt;"TransfereGOV",
              ROUND(OFFSET($P183,0,AQ$13),15-13*ORÇAMENTO!$AF$7)/$H183*OFFSET(ORÇAMENTO!$X$15,ROW(AQ183)-ROW(AQ$15),0),
              ROUND(ROUND(OFFSET($P183,0,AQ$13),15-13*ORÇAMENTO!$AF$7)*OFFSET(ORÇAMENTO!$W$15,ROW(AQ183)-ROW(AQ$15),0),15-13*ORÇAMENTO!$AF$11)),
         0)</f>
        <v>0</v>
      </c>
      <c r="AR183" s="452">
        <f ca="1">IF(AND($D183="Serviço",AR$12&lt;&gt;0,$H183&gt;0,OR(AUTOEVENTO&lt;&gt;"manual",$M183&lt;&gt;$A$15)),
        IF(Import.TipoArredondamento&lt;&gt;"TransfereGOV",
              ROUND(OFFSET($P183,0,AR$13),15-13*ORÇAMENTO!$AF$7)/$H183*OFFSET(ORÇAMENTO!$X$15,ROW(AR183)-ROW(AR$15),0),
              ROUND(ROUND(OFFSET($P183,0,AR$13),15-13*ORÇAMENTO!$AF$7)*OFFSET(ORÇAMENTO!$W$15,ROW(AR183)-ROW(AR$15),0),15-13*ORÇAMENTO!$AF$11)),
         0)</f>
        <v>0</v>
      </c>
      <c r="AS183" s="452">
        <f ca="1">IF(AND($D183="Serviço",AS$12&lt;&gt;0,$H183&gt;0,OR(AUTOEVENTO&lt;&gt;"manual",$M183&lt;&gt;$A$15)),
        IF(Import.TipoArredondamento&lt;&gt;"TransfereGOV",
              ROUND(OFFSET($P183,0,AS$13),15-13*ORÇAMENTO!$AF$7)/$H183*OFFSET(ORÇAMENTO!$X$15,ROW(AS183)-ROW(AS$15),0),
              ROUND(ROUND(OFFSET($P183,0,AS$13),15-13*ORÇAMENTO!$AF$7)*OFFSET(ORÇAMENTO!$W$15,ROW(AS183)-ROW(AS$15),0),15-13*ORÇAMENTO!$AF$11)),
         0)</f>
        <v>0</v>
      </c>
      <c r="AT183" s="452">
        <f ca="1">IF(AND($D183="Serviço",AT$12&lt;&gt;0,$H183&gt;0,OR(AUTOEVENTO&lt;&gt;"manual",$M183&lt;&gt;$A$15)),
        IF(Import.TipoArredondamento&lt;&gt;"TransfereGOV",
              ROUND(OFFSET($P183,0,AT$13),15-13*ORÇAMENTO!$AF$7)/$H183*OFFSET(ORÇAMENTO!$X$15,ROW(AT183)-ROW(AT$15),0),
              ROUND(ROUND(OFFSET($P183,0,AT$13),15-13*ORÇAMENTO!$AF$7)*OFFSET(ORÇAMENTO!$W$15,ROW(AT183)-ROW(AT$15),0),15-13*ORÇAMENTO!$AF$11)),
         0)</f>
        <v>0</v>
      </c>
      <c r="AU183" s="452">
        <f ca="1">IF(AND($D183="Serviço",AU$12&lt;&gt;0,$H183&gt;0,OR(AUTOEVENTO&lt;&gt;"manual",$M183&lt;&gt;$A$15)),
        IF(Import.TipoArredondamento&lt;&gt;"TransfereGOV",
              ROUND(OFFSET($P183,0,AU$13),15-13*ORÇAMENTO!$AF$7)/$H183*OFFSET(ORÇAMENTO!$X$15,ROW(AU183)-ROW(AU$15),0),
              ROUND(ROUND(OFFSET($P183,0,AU$13),15-13*ORÇAMENTO!$AF$7)*OFFSET(ORÇAMENTO!$W$15,ROW(AU183)-ROW(AU$15),0),15-13*ORÇAMENTO!$AF$11)),
         0)</f>
        <v>0</v>
      </c>
      <c r="AV183" s="452">
        <f ca="1">IF(AND($D183="Serviço",AV$12&lt;&gt;0,$H183&gt;0,OR(AUTOEVENTO&lt;&gt;"manual",$M183&lt;&gt;$A$15)),
        IF(Import.TipoArredondamento&lt;&gt;"TransfereGOV",
              ROUND(OFFSET($P183,0,AV$13),15-13*ORÇAMENTO!$AF$7)/$H183*OFFSET(ORÇAMENTO!$X$15,ROW(AV183)-ROW(AV$15),0),
              ROUND(ROUND(OFFSET($P183,0,AV$13),15-13*ORÇAMENTO!$AF$7)*OFFSET(ORÇAMENTO!$W$15,ROW(AV183)-ROW(AV$15),0),15-13*ORÇAMENTO!$AF$11)),
         0)</f>
        <v>0</v>
      </c>
      <c r="AW183" s="452">
        <f ca="1">IF(AND($D183="Serviço",AW$12&lt;&gt;0,$H183&gt;0,OR(AUTOEVENTO&lt;&gt;"manual",$M183&lt;&gt;$A$15)),
        IF(Import.TipoArredondamento&lt;&gt;"TransfereGOV",
              ROUND(OFFSET($P183,0,AW$13),15-13*ORÇAMENTO!$AF$7)/$H183*OFFSET(ORÇAMENTO!$X$15,ROW(AW183)-ROW(AW$15),0),
              ROUND(ROUND(OFFSET($P183,0,AW$13),15-13*ORÇAMENTO!$AF$7)*OFFSET(ORÇAMENTO!$W$15,ROW(AW183)-ROW(AW$15),0),15-13*ORÇAMENTO!$AF$11)),
         0)</f>
        <v>0</v>
      </c>
      <c r="AX183" s="452">
        <f ca="1">IF(AND($D183="Serviço",AX$12&lt;&gt;0,$H183&gt;0,OR(AUTOEVENTO&lt;&gt;"manual",$M183&lt;&gt;$A$15)),
        IF(Import.TipoArredondamento&lt;&gt;"TransfereGOV",
              ROUND(OFFSET($P183,0,AX$13),15-13*ORÇAMENTO!$AF$7)/$H183*OFFSET(ORÇAMENTO!$X$15,ROW(AX183)-ROW(AX$15),0),
              ROUND(ROUND(OFFSET($P183,0,AX$13),15-13*ORÇAMENTO!$AF$7)*OFFSET(ORÇAMENTO!$W$15,ROW(AX183)-ROW(AX$15),0),15-13*ORÇAMENTO!$AF$11)),
         0)</f>
        <v>0</v>
      </c>
      <c r="AY183" s="452">
        <f ca="1">IF(AND($D183="Serviço",AY$12&lt;&gt;0,$H183&gt;0,OR(AUTOEVENTO&lt;&gt;"manual",$M183&lt;&gt;$A$15)),
        IF(Import.TipoArredondamento&lt;&gt;"TransfereGOV",
              ROUND(OFFSET($P183,0,AY$13),15-13*ORÇAMENTO!$AF$7)/$H183*OFFSET(ORÇAMENTO!$X$15,ROW(AY183)-ROW(AY$15),0),
              ROUND(ROUND(OFFSET($P183,0,AY$13),15-13*ORÇAMENTO!$AF$7)*OFFSET(ORÇAMENTO!$W$15,ROW(AY183)-ROW(AY$15),0),15-13*ORÇAMENTO!$AF$11)),
         0)</f>
        <v>0</v>
      </c>
      <c r="AZ183" s="452">
        <f ca="1">IF(AND($D183="Serviço",AZ$12&lt;&gt;0,$H183&gt;0,OR(AUTOEVENTO&lt;&gt;"manual",$M183&lt;&gt;$A$15)),
        IF(Import.TipoArredondamento&lt;&gt;"TransfereGOV",
              ROUND(OFFSET($P183,0,AZ$13),15-13*ORÇAMENTO!$AF$7)/$H183*OFFSET(ORÇAMENTO!$X$15,ROW(AZ183)-ROW(AZ$15),0),
              ROUND(ROUND(OFFSET($P183,0,AZ$13),15-13*ORÇAMENTO!$AF$7)*OFFSET(ORÇAMENTO!$W$15,ROW(AZ183)-ROW(AZ$15),0),15-13*ORÇAMENTO!$AF$11)),
         0)</f>
        <v>0</v>
      </c>
      <c r="BA183" s="452">
        <f ca="1">IF(AND($D183="Serviço",BA$12&lt;&gt;0,$H183&gt;0,OR(AUTOEVENTO&lt;&gt;"manual",$M183&lt;&gt;$A$15)),
        IF(Import.TipoArredondamento&lt;&gt;"TransfereGOV",
              ROUND(OFFSET($P183,0,BA$13),15-13*ORÇAMENTO!$AF$7)/$H183*OFFSET(ORÇAMENTO!$X$15,ROW(BA183)-ROW(BA$15),0),
              ROUND(ROUND(OFFSET($P183,0,BA$13),15-13*ORÇAMENTO!$AF$7)*OFFSET(ORÇAMENTO!$W$15,ROW(BA183)-ROW(BA$15),0),15-13*ORÇAMENTO!$AF$11)),
         0)</f>
        <v>0</v>
      </c>
      <c r="BC183" s="171">
        <f ca="1">IF(OR($D183&lt;&gt;"Serviço",AND(AUTOEVENTO="Manual",$M183=$A$15)),0,
         IF(OFFSET(CRONOPLE!$F$15,$M183-$A$15,BC$13)=0,10^12,OFFSET(CRONOPLE!$F$15,$M183-$A$15,BC$13)))</f>
        <v>4</v>
      </c>
      <c r="BD183" s="171">
        <f ca="1">IF(OR($D183&lt;&gt;"Serviço",AND(AUTOEVENTO="Manual",$M183=$A$15)),0,
         IF(OFFSET(CRONOPLE!$F$15,$M183-$A$15,BD$13)=0,10^12,OFFSET(CRONOPLE!$F$15,$M183-$A$15,BD$13)))</f>
        <v>4</v>
      </c>
      <c r="BE183" s="171">
        <f ca="1">IF(OR($D183&lt;&gt;"Serviço",AND(AUTOEVENTO="Manual",$M183=$A$15)),0,
         IF(OFFSET(CRONOPLE!$F$15,$M183-$A$15,BE$13)=0,10^12,OFFSET(CRONOPLE!$F$15,$M183-$A$15,BE$13)))</f>
        <v>5</v>
      </c>
      <c r="BF183" s="171">
        <f ca="1">IF(OR($D183&lt;&gt;"Serviço",AND(AUTOEVENTO="Manual",$M183=$A$15)),0,
         IF(OFFSET(CRONOPLE!$F$15,$M183-$A$15,BF$13)=0,10^12,OFFSET(CRONOPLE!$F$15,$M183-$A$15,BF$13)))</f>
        <v>5</v>
      </c>
      <c r="BG183" s="171">
        <f ca="1">IF(OR($D183&lt;&gt;"Serviço",AND(AUTOEVENTO="Manual",$M183=$A$15)),0,
         IF(OFFSET(CRONOPLE!$F$15,$M183-$A$15,BG$13)=0,10^12,OFFSET(CRONOPLE!$F$15,$M183-$A$15,BG$13)))</f>
        <v>5</v>
      </c>
      <c r="BH183" s="171">
        <f ca="1">IF(OR($D183&lt;&gt;"Serviço",AND(AUTOEVENTO="Manual",$M183=$A$15)),0,
         IF(OFFSET(CRONOPLE!$F$15,$M183-$A$15,BH$13)=0,10^12,OFFSET(CRONOPLE!$F$15,$M183-$A$15,BH$13)))</f>
        <v>1000000000000</v>
      </c>
      <c r="BI183" s="171">
        <f ca="1">IF(OR($D183&lt;&gt;"Serviço",AND(AUTOEVENTO="Manual",$M183=$A$15)),0,
         IF(OFFSET(CRONOPLE!$F$15,$M183-$A$15,BI$13)=0,10^12,OFFSET(CRONOPLE!$F$15,$M183-$A$15,BI$13)))</f>
        <v>1000000000000</v>
      </c>
      <c r="BJ183" s="171">
        <f ca="1">IF(OR($D183&lt;&gt;"Serviço",AND(AUTOEVENTO="Manual",$M183=$A$15)),0,
         IF(OFFSET(CRONOPLE!$F$15,$M183-$A$15,BJ$13)=0,10^12,OFFSET(CRONOPLE!$F$15,$M183-$A$15,BJ$13)))</f>
        <v>1000000000000</v>
      </c>
      <c r="BK183" s="171">
        <f ca="1">IF(OR($D183&lt;&gt;"Serviço",AND(AUTOEVENTO="Manual",$M183=$A$15)),0,
         IF(OFFSET(CRONOPLE!$F$15,$M183-$A$15,BK$13)=0,10^12,OFFSET(CRONOPLE!$F$15,$M183-$A$15,BK$13)))</f>
        <v>1000000000000</v>
      </c>
      <c r="BL183" s="171">
        <f ca="1">IF(OR($D183&lt;&gt;"Serviço",AND(AUTOEVENTO="Manual",$M183=$A$15)),0,
         IF(OFFSET(CRONOPLE!$F$15,$M183-$A$15,BL$13)=0,10^12,OFFSET(CRONOPLE!$F$15,$M183-$A$15,BL$13)))</f>
        <v>1000000000000</v>
      </c>
      <c r="BM183" s="171">
        <f ca="1">IF(OR($D183&lt;&gt;"Serviço",AND(AUTOEVENTO="Manual",$M183=$A$15)),0,
         IF(OFFSET(CRONOPLE!$F$15,$M183-$A$15,BM$13)=0,10^12,OFFSET(CRONOPLE!$F$15,$M183-$A$15,BM$13)))</f>
        <v>1000000000000</v>
      </c>
      <c r="BN183" s="171">
        <f ca="1">IF(OR($D183&lt;&gt;"Serviço",AND(AUTOEVENTO="Manual",$M183=$A$15)),0,
         IF(OFFSET(CRONOPLE!$F$15,$M183-$A$15,BN$13)=0,10^12,OFFSET(CRONOPLE!$F$15,$M183-$A$15,BN$13)))</f>
        <v>1000000000000</v>
      </c>
      <c r="BO183" s="171">
        <f ca="1">IF(OR($D183&lt;&gt;"Serviço",AND(AUTOEVENTO="Manual",$M183=$A$15)),0,
         IF(OFFSET(CRONOPLE!$F$15,$M183-$A$15,BO$13)=0,10^12,OFFSET(CRONOPLE!$F$15,$M183-$A$15,BO$13)))</f>
        <v>1000000000000</v>
      </c>
      <c r="BP183" s="171">
        <f ca="1">IF(OR($D183&lt;&gt;"Serviço",AND(AUTOEVENTO="Manual",$M183=$A$15)),0,
         IF(OFFSET(CRONOPLE!$F$15,$M183-$A$15,BP$13)=0,10^12,OFFSET(CRONOPLE!$F$15,$M183-$A$15,BP$13)))</f>
        <v>1000000000000</v>
      </c>
      <c r="BQ183" s="171">
        <f ca="1">IF(OR($D183&lt;&gt;"Serviço",AND(AUTOEVENTO="Manual",$M183=$A$15)),0,
         IF(OFFSET(CRONOPLE!$F$15,$M183-$A$15,BQ$13)=0,10^12,OFFSET(CRONOPLE!$F$15,$M183-$A$15,BQ$13)))</f>
        <v>1000000000000</v>
      </c>
      <c r="BR183" s="171">
        <f ca="1">IF(OR($D183&lt;&gt;"Serviço",AND(AUTOEVENTO="Manual",$M183=$A$15)),0,
         IF(OFFSET(CRONOPLE!$F$15,$M183-$A$15,BR$13)=0,10^12,OFFSET(CRONOPLE!$F$15,$M183-$A$15,BR$13)))</f>
        <v>1000000000000</v>
      </c>
      <c r="BS183" s="171">
        <f ca="1">IF(OR($D183&lt;&gt;"Serviço",AND(AUTOEVENTO="Manual",$M183=$A$15)),0,
         IF(OFFSET(CRONOPLE!$F$15,$M183-$A$15,BS$13)=0,10^12,OFFSET(CRONOPLE!$F$15,$M183-$A$15,BS$13)))</f>
        <v>1000000000000</v>
      </c>
      <c r="BT183" s="171">
        <f ca="1">IF(OR($D183&lt;&gt;"Serviço",AND(AUTOEVENTO="Manual",$M183=$A$15)),0,
         IF(OFFSET(CRONOPLE!$F$15,$M183-$A$15,BT$13)=0,10^12,OFFSET(CRONOPLE!$F$15,$M183-$A$15,BT$13)))</f>
        <v>1000000000000</v>
      </c>
      <c r="BV183" s="172">
        <f t="array" aca="1" ref="BV183" ca="1">IF(OR($D183&lt;&gt;"Serviço",AND(AUTOEVENTO="Manual",$M183=$A$15),$M183&gt;(ROW(PLE.lastrow)-ROW(PLE.firstrow))),0,
           IF(OFFSET(PLE!$G$15,$M183-$A$15,BV$13)="",10^12,OFFSET(PLE!$G$15,$M183-$A$15,BV$13)))</f>
        <v>1000000000000</v>
      </c>
      <c r="BW183" s="172">
        <f t="array" aca="1" ref="BW183" ca="1">IF(OR($D183&lt;&gt;"Serviço",AND(AUTOEVENTO="Manual",$M183=$A$15),$M183&gt;(ROW(PLE.lastrow)-ROW(PLE.firstrow))),0,
           IF(OFFSET(PLE!$G$15,$M183-$A$15,BW$13)="",10^12,OFFSET(PLE!$G$15,$M183-$A$15,BW$13)))</f>
        <v>1000000000000</v>
      </c>
      <c r="BX183" s="172">
        <f t="array" aca="1" ref="BX183" ca="1">IF(OR($D183&lt;&gt;"Serviço",AND(AUTOEVENTO="Manual",$M183=$A$15),$M183&gt;(ROW(PLE.lastrow)-ROW(PLE.firstrow))),0,
           IF(OFFSET(PLE!$G$15,$M183-$A$15,BX$13)="",10^12,OFFSET(PLE!$G$15,$M183-$A$15,BX$13)))</f>
        <v>1000000000000</v>
      </c>
      <c r="BY183" s="172">
        <f t="array" aca="1" ref="BY183" ca="1">IF(OR($D183&lt;&gt;"Serviço",AND(AUTOEVENTO="Manual",$M183=$A$15),$M183&gt;(ROW(PLE.lastrow)-ROW(PLE.firstrow))),0,
           IF(OFFSET(PLE!$G$15,$M183-$A$15,BY$13)="",10^12,OFFSET(PLE!$G$15,$M183-$A$15,BY$13)))</f>
        <v>1000000000000</v>
      </c>
      <c r="BZ183" s="172">
        <f t="array" aca="1" ref="BZ183" ca="1">IF(OR($D183&lt;&gt;"Serviço",AND(AUTOEVENTO="Manual",$M183=$A$15),$M183&gt;(ROW(PLE.lastrow)-ROW(PLE.firstrow))),0,
           IF(OFFSET(PLE!$G$15,$M183-$A$15,BZ$13)="",10^12,OFFSET(PLE!$G$15,$M183-$A$15,BZ$13)))</f>
        <v>1000000000000</v>
      </c>
      <c r="CA183" s="172">
        <f t="array" aca="1" ref="CA183" ca="1">IF(OR($D183&lt;&gt;"Serviço",AND(AUTOEVENTO="Manual",$M183=$A$15),$M183&gt;(ROW(PLE.lastrow)-ROW(PLE.firstrow))),0,
           IF(OFFSET(PLE!$G$15,$M183-$A$15,CA$13)="",10^12,OFFSET(PLE!$G$15,$M183-$A$15,CA$13)))</f>
        <v>1000000000000</v>
      </c>
      <c r="CB183" s="172">
        <f t="array" aca="1" ref="CB183" ca="1">IF(OR($D183&lt;&gt;"Serviço",AND(AUTOEVENTO="Manual",$M183=$A$15),$M183&gt;(ROW(PLE.lastrow)-ROW(PLE.firstrow))),0,
           IF(OFFSET(PLE!$G$15,$M183-$A$15,CB$13)="",10^12,OFFSET(PLE!$G$15,$M183-$A$15,CB$13)))</f>
        <v>1000000000000</v>
      </c>
      <c r="CC183" s="172">
        <f t="array" aca="1" ref="CC183" ca="1">IF(OR($D183&lt;&gt;"Serviço",AND(AUTOEVENTO="Manual",$M183=$A$15),$M183&gt;(ROW(PLE.lastrow)-ROW(PLE.firstrow))),0,
           IF(OFFSET(PLE!$G$15,$M183-$A$15,CC$13)="",10^12,OFFSET(PLE!$G$15,$M183-$A$15,CC$13)))</f>
        <v>1000000000000</v>
      </c>
      <c r="CD183" s="172">
        <f t="array" aca="1" ref="CD183" ca="1">IF(OR($D183&lt;&gt;"Serviço",AND(AUTOEVENTO="Manual",$M183=$A$15),$M183&gt;(ROW(PLE.lastrow)-ROW(PLE.firstrow))),0,
           IF(OFFSET(PLE!$G$15,$M183-$A$15,CD$13)="",10^12,OFFSET(PLE!$G$15,$M183-$A$15,CD$13)))</f>
        <v>1000000000000</v>
      </c>
      <c r="CE183" s="172">
        <f t="array" aca="1" ref="CE183" ca="1">IF(OR($D183&lt;&gt;"Serviço",AND(AUTOEVENTO="Manual",$M183=$A$15),$M183&gt;(ROW(PLE.lastrow)-ROW(PLE.firstrow))),0,
           IF(OFFSET(PLE!$G$15,$M183-$A$15,CE$13)="",10^12,OFFSET(PLE!$G$15,$M183-$A$15,CE$13)))</f>
        <v>1000000000000</v>
      </c>
      <c r="CF183" s="172">
        <f t="array" aca="1" ref="CF183" ca="1">IF(OR($D183&lt;&gt;"Serviço",AND(AUTOEVENTO="Manual",$M183=$A$15),$M183&gt;(ROW(PLE.lastrow)-ROW(PLE.firstrow))),0,
           IF(OFFSET(PLE!$G$15,$M183-$A$15,CF$13)="",10^12,OFFSET(PLE!$G$15,$M183-$A$15,CF$13)))</f>
        <v>1000000000000</v>
      </c>
      <c r="CG183" s="172">
        <f t="array" aca="1" ref="CG183" ca="1">IF(OR($D183&lt;&gt;"Serviço",AND(AUTOEVENTO="Manual",$M183=$A$15),$M183&gt;(ROW(PLE.lastrow)-ROW(PLE.firstrow))),0,
           IF(OFFSET(PLE!$G$15,$M183-$A$15,CG$13)="",10^12,OFFSET(PLE!$G$15,$M183-$A$15,CG$13)))</f>
        <v>1000000000000</v>
      </c>
      <c r="CH183" s="172">
        <f t="array" aca="1" ref="CH183" ca="1">IF(OR($D183&lt;&gt;"Serviço",AND(AUTOEVENTO="Manual",$M183=$A$15),$M183&gt;(ROW(PLE.lastrow)-ROW(PLE.firstrow))),0,
           IF(OFFSET(PLE!$G$15,$M183-$A$15,CH$13)="",10^12,OFFSET(PLE!$G$15,$M183-$A$15,CH$13)))</f>
        <v>1000000000000</v>
      </c>
      <c r="CI183" s="172">
        <f t="array" aca="1" ref="CI183" ca="1">IF(OR($D183&lt;&gt;"Serviço",AND(AUTOEVENTO="Manual",$M183=$A$15),$M183&gt;(ROW(PLE.lastrow)-ROW(PLE.firstrow))),0,
           IF(OFFSET(PLE!$G$15,$M183-$A$15,CI$13)="",10^12,OFFSET(PLE!$G$15,$M183-$A$15,CI$13)))</f>
        <v>1000000000000</v>
      </c>
      <c r="CJ183" s="172">
        <f t="array" aca="1" ref="CJ183" ca="1">IF(OR($D183&lt;&gt;"Serviço",AND(AUTOEVENTO="Manual",$M183=$A$15),$M183&gt;(ROW(PLE.lastrow)-ROW(PLE.firstrow))),0,
           IF(OFFSET(PLE!$G$15,$M183-$A$15,CJ$13)="",10^12,OFFSET(PLE!$G$15,$M183-$A$15,CJ$13)))</f>
        <v>1000000000000</v>
      </c>
      <c r="CK183" s="172">
        <f t="array" aca="1" ref="CK183" ca="1">IF(OR($D183&lt;&gt;"Serviço",AND(AUTOEVENTO="Manual",$M183=$A$15),$M183&gt;(ROW(PLE.lastrow)-ROW(PLE.firstrow))),0,
           IF(OFFSET(PLE!$G$15,$M183-$A$15,CK$13)="",10^12,OFFSET(PLE!$G$15,$M183-$A$15,CK$13)))</f>
        <v>1000000000000</v>
      </c>
      <c r="CL183" s="172">
        <f t="array" aca="1" ref="CL183" ca="1">IF(OR($D183&lt;&gt;"Serviço",AND(AUTOEVENTO="Manual",$M183=$A$15),$M183&gt;(ROW(PLE.lastrow)-ROW(PLE.firstrow))),0,
           IF(OFFSET(PLE!$G$15,$M183-$A$15,CL$13)="",10^12,OFFSET(PLE!$G$15,$M183-$A$15,CL$13)))</f>
        <v>1000000000000</v>
      </c>
      <c r="CM183" s="172">
        <f t="array" aca="1" ref="CM183" ca="1">IF(OR($D183&lt;&gt;"Serviço",AND(AUTOEVENTO="Manual",$M183=$A$15),$M183&gt;(ROW(PLE.lastrow)-ROW(PLE.firstrow))),0,
           IF(OFFSET(PLE!$G$15,$M183-$A$15,CM$13)="",10^12,OFFSET(PLE!$G$15,$M183-$A$15,CM$13)))</f>
        <v>1000000000000</v>
      </c>
    </row>
    <row r="184" spans="1:91" s="696" customFormat="1" ht="51" x14ac:dyDescent="0.2">
      <c r="A184" s="694">
        <f t="shared" ca="1" si="82"/>
        <v>39</v>
      </c>
      <c r="B184" s="694" t="str">
        <f ca="1">OFFSET(ORÇAMENTO!C$15,$L184,0)</f>
        <v>S</v>
      </c>
      <c r="C184" s="694" t="str">
        <f ca="1">OFFSET(ORÇAMENTO!L$15,$L184,0)</f>
        <v>F</v>
      </c>
      <c r="D184" s="116" t="str">
        <f ca="1">OFFSET(ORÇAMENTO!N$15,$L184,0)</f>
        <v>Serviço</v>
      </c>
      <c r="E184" s="117" t="str">
        <f ca="1">OFFSET(ORÇAMENTO!O$15,$L184,0)</f>
        <v>1.29.3.</v>
      </c>
      <c r="F184" s="163" t="str">
        <f ca="1">OFFSET(ORÇAMENTO!R$15,$L184,0)</f>
        <v>FURO EM CAIXA D'ÁGUA COM ESPESSURA DE 2 ATÉ 5 MM E DIÂMETRO DE 32 MM. AF_06/2021</v>
      </c>
      <c r="G184" s="164" t="str">
        <f ca="1">IF($D184&lt;&gt;"Serviço","",OFFSET(ORÇAMENTO!S$15,$L184,0))</f>
        <v>UN</v>
      </c>
      <c r="H184" s="122">
        <f t="array" aca="1" ref="H184" ca="1">IF($D184&lt;&gt;"Serviço",0,IF(ACOMPANHAMENTO="BM",ROUND(OFFSET(ORÇAMENTO!AJ$15,$L184,0),15-13*ORÇAMENTO!$AF$7),IF(IFERROR(CÁLCULO.FrentesPreenchidas,0)=0,0,SUM(ROUND(OFFSET($P184,0,1,1,CÁLCULO.FrentesPreenchidas),15-13*ORÇAMENTO!$AF$7)))))</f>
        <v>40</v>
      </c>
      <c r="I184" s="467" t="s">
        <v>1327</v>
      </c>
      <c r="J184" s="653" t="str">
        <f t="array" aca="1" ref="J184" ca="1">IF(OR(B184&lt;&gt;"S",CÁLCULO.FrentesPreenchidas=0),"",IF(AND(ACOMPANHAMENTO="PLE",AUTOEVENTO="Manual",OR(H184&gt;0,ORÇAMENTO!AC184="QUANT."),OR(K184="",M184=0,N184="")),"►E",IF(AND(ACOMPANHAMENTO="PLE",ORÇAMENTO!AC184="QUANT."),"►Q",IF(AND(ACOMPANHAMENTO="PLE",H184&lt;&gt;SUMPRODUCT(($Q$1:$AI$1=1)*ROUND(Q184:AI184,15))),"►S",IF(AND(COUNTIF($P$11:$AI$11,"▼")=0,H184&gt;0,I184=""),"◄M","")))))</f>
        <v/>
      </c>
      <c r="K184" s="654" t="s">
        <v>1446</v>
      </c>
      <c r="L184" s="165">
        <f t="shared" ca="1" si="83"/>
        <v>169</v>
      </c>
      <c r="M184" s="166">
        <f ca="1">IF($D184&lt;&gt;"Serviço","",
          IF(AUTOEVENTO="manual",$A184,
                IF(ISERROR(MATCH($A184,$A$15:OFFSET($A184,-1,0),0)),MAX($M$15:OFFSET(M184,-1,0))+1,
                      INDEX($M$15:OFFSET(M184,-1,0),MATCH($A184,$A$15:OFFSET($A184,-1,0),0)))))</f>
        <v>39</v>
      </c>
      <c r="N184" s="167" t="str">
        <f ca="1">IF($D184&lt;&gt;"Serviço","",
         IF(AUTOEVENTO="Manual",
                IF($A184=0,"&lt;-- defina o número do agrupador",
                       OFFSET(EVENTOS!$D$15,$A184-$A$15,0)),
                OFFSET($F$15,$A184,0)))</f>
        <v>RESERVATÓRIO DE ÁGUA</v>
      </c>
      <c r="O184" s="168"/>
      <c r="Q184" s="169">
        <v>10</v>
      </c>
      <c r="R184" s="169">
        <v>10</v>
      </c>
      <c r="S184" s="169">
        <v>10</v>
      </c>
      <c r="T184" s="169">
        <v>10</v>
      </c>
      <c r="U184" s="169"/>
      <c r="V184" s="169"/>
      <c r="W184" s="169"/>
      <c r="X184" s="169"/>
      <c r="Y184" s="169"/>
      <c r="Z184" s="170"/>
      <c r="AA184" s="169"/>
      <c r="AB184" s="169"/>
      <c r="AC184" s="169"/>
      <c r="AD184" s="169"/>
      <c r="AE184" s="169"/>
      <c r="AF184" s="169"/>
      <c r="AG184" s="169"/>
      <c r="AH184" s="170"/>
      <c r="AJ184" s="452">
        <f ca="1">IF(AND($D184="Serviço",AJ$12&lt;&gt;0,$H184&gt;0,OR(AUTOEVENTO&lt;&gt;"manual",$M184&lt;&gt;$A$15)),
        IF(Import.TipoArredondamento&lt;&gt;"TransfereGOV",
              ROUND(OFFSET($P184,0,AJ$13),15-13*ORÇAMENTO!$AF$7)/$H184*OFFSET(ORÇAMENTO!$X$15,ROW(AJ184)-ROW(AJ$15),0),
              ROUND(ROUND(OFFSET($P184,0,AJ$13),15-13*ORÇAMENTO!$AF$7)*OFFSET(ORÇAMENTO!$W$15,ROW(AJ184)-ROW(AJ$15),0),15-13*ORÇAMENTO!$AF$11)),
         0)</f>
        <v>59.9</v>
      </c>
      <c r="AK184" s="452">
        <f ca="1">IF(AND($D184="Serviço",AK$12&lt;&gt;0,$H184&gt;0,OR(AUTOEVENTO&lt;&gt;"manual",$M184&lt;&gt;$A$15)),
        IF(Import.TipoArredondamento&lt;&gt;"TransfereGOV",
              ROUND(OFFSET($P184,0,AK$13),15-13*ORÇAMENTO!$AF$7)/$H184*OFFSET(ORÇAMENTO!$X$15,ROW(AK184)-ROW(AK$15),0),
              ROUND(ROUND(OFFSET($P184,0,AK$13),15-13*ORÇAMENTO!$AF$7)*OFFSET(ORÇAMENTO!$W$15,ROW(AK184)-ROW(AK$15),0),15-13*ORÇAMENTO!$AF$11)),
         0)</f>
        <v>59.9</v>
      </c>
      <c r="AL184" s="452">
        <f ca="1">IF(AND($D184="Serviço",AL$12&lt;&gt;0,$H184&gt;0,OR(AUTOEVENTO&lt;&gt;"manual",$M184&lt;&gt;$A$15)),
        IF(Import.TipoArredondamento&lt;&gt;"TransfereGOV",
              ROUND(OFFSET($P184,0,AL$13),15-13*ORÇAMENTO!$AF$7)/$H184*OFFSET(ORÇAMENTO!$X$15,ROW(AL184)-ROW(AL$15),0),
              ROUND(ROUND(OFFSET($P184,0,AL$13),15-13*ORÇAMENTO!$AF$7)*OFFSET(ORÇAMENTO!$W$15,ROW(AL184)-ROW(AL$15),0),15-13*ORÇAMENTO!$AF$11)),
         0)</f>
        <v>59.9</v>
      </c>
      <c r="AM184" s="452">
        <f ca="1">IF(AND($D184="Serviço",AM$12&lt;&gt;0,$H184&gt;0,OR(AUTOEVENTO&lt;&gt;"manual",$M184&lt;&gt;$A$15)),
        IF(Import.TipoArredondamento&lt;&gt;"TransfereGOV",
              ROUND(OFFSET($P184,0,AM$13),15-13*ORÇAMENTO!$AF$7)/$H184*OFFSET(ORÇAMENTO!$X$15,ROW(AM184)-ROW(AM$15),0),
              ROUND(ROUND(OFFSET($P184,0,AM$13),15-13*ORÇAMENTO!$AF$7)*OFFSET(ORÇAMENTO!$W$15,ROW(AM184)-ROW(AM$15),0),15-13*ORÇAMENTO!$AF$11)),
         0)</f>
        <v>59.9</v>
      </c>
      <c r="AN184" s="452">
        <f ca="1">IF(AND($D184="Serviço",AN$12&lt;&gt;0,$H184&gt;0,OR(AUTOEVENTO&lt;&gt;"manual",$M184&lt;&gt;$A$15)),
        IF(Import.TipoArredondamento&lt;&gt;"TransfereGOV",
              ROUND(OFFSET($P184,0,AN$13),15-13*ORÇAMENTO!$AF$7)/$H184*OFFSET(ORÇAMENTO!$X$15,ROW(AN184)-ROW(AN$15),0),
              ROUND(ROUND(OFFSET($P184,0,AN$13),15-13*ORÇAMENTO!$AF$7)*OFFSET(ORÇAMENTO!$W$15,ROW(AN184)-ROW(AN$15),0),15-13*ORÇAMENTO!$AF$11)),
         0)</f>
        <v>0</v>
      </c>
      <c r="AO184" s="452">
        <f ca="1">IF(AND($D184="Serviço",AO$12&lt;&gt;0,$H184&gt;0,OR(AUTOEVENTO&lt;&gt;"manual",$M184&lt;&gt;$A$15)),
        IF(Import.TipoArredondamento&lt;&gt;"TransfereGOV",
              ROUND(OFFSET($P184,0,AO$13),15-13*ORÇAMENTO!$AF$7)/$H184*OFFSET(ORÇAMENTO!$X$15,ROW(AO184)-ROW(AO$15),0),
              ROUND(ROUND(OFFSET($P184,0,AO$13),15-13*ORÇAMENTO!$AF$7)*OFFSET(ORÇAMENTO!$W$15,ROW(AO184)-ROW(AO$15),0),15-13*ORÇAMENTO!$AF$11)),
         0)</f>
        <v>0</v>
      </c>
      <c r="AP184" s="452">
        <f ca="1">IF(AND($D184="Serviço",AP$12&lt;&gt;0,$H184&gt;0,OR(AUTOEVENTO&lt;&gt;"manual",$M184&lt;&gt;$A$15)),
        IF(Import.TipoArredondamento&lt;&gt;"TransfereGOV",
              ROUND(OFFSET($P184,0,AP$13),15-13*ORÇAMENTO!$AF$7)/$H184*OFFSET(ORÇAMENTO!$X$15,ROW(AP184)-ROW(AP$15),0),
              ROUND(ROUND(OFFSET($P184,0,AP$13),15-13*ORÇAMENTO!$AF$7)*OFFSET(ORÇAMENTO!$W$15,ROW(AP184)-ROW(AP$15),0),15-13*ORÇAMENTO!$AF$11)),
         0)</f>
        <v>0</v>
      </c>
      <c r="AQ184" s="452">
        <f ca="1">IF(AND($D184="Serviço",AQ$12&lt;&gt;0,$H184&gt;0,OR(AUTOEVENTO&lt;&gt;"manual",$M184&lt;&gt;$A$15)),
        IF(Import.TipoArredondamento&lt;&gt;"TransfereGOV",
              ROUND(OFFSET($P184,0,AQ$13),15-13*ORÇAMENTO!$AF$7)/$H184*OFFSET(ORÇAMENTO!$X$15,ROW(AQ184)-ROW(AQ$15),0),
              ROUND(ROUND(OFFSET($P184,0,AQ$13),15-13*ORÇAMENTO!$AF$7)*OFFSET(ORÇAMENTO!$W$15,ROW(AQ184)-ROW(AQ$15),0),15-13*ORÇAMENTO!$AF$11)),
         0)</f>
        <v>0</v>
      </c>
      <c r="AR184" s="452">
        <f ca="1">IF(AND($D184="Serviço",AR$12&lt;&gt;0,$H184&gt;0,OR(AUTOEVENTO&lt;&gt;"manual",$M184&lt;&gt;$A$15)),
        IF(Import.TipoArredondamento&lt;&gt;"TransfereGOV",
              ROUND(OFFSET($P184,0,AR$13),15-13*ORÇAMENTO!$AF$7)/$H184*OFFSET(ORÇAMENTO!$X$15,ROW(AR184)-ROW(AR$15),0),
              ROUND(ROUND(OFFSET($P184,0,AR$13),15-13*ORÇAMENTO!$AF$7)*OFFSET(ORÇAMENTO!$W$15,ROW(AR184)-ROW(AR$15),0),15-13*ORÇAMENTO!$AF$11)),
         0)</f>
        <v>0</v>
      </c>
      <c r="AS184" s="452">
        <f ca="1">IF(AND($D184="Serviço",AS$12&lt;&gt;0,$H184&gt;0,OR(AUTOEVENTO&lt;&gt;"manual",$M184&lt;&gt;$A$15)),
        IF(Import.TipoArredondamento&lt;&gt;"TransfereGOV",
              ROUND(OFFSET($P184,0,AS$13),15-13*ORÇAMENTO!$AF$7)/$H184*OFFSET(ORÇAMENTO!$X$15,ROW(AS184)-ROW(AS$15),0),
              ROUND(ROUND(OFFSET($P184,0,AS$13),15-13*ORÇAMENTO!$AF$7)*OFFSET(ORÇAMENTO!$W$15,ROW(AS184)-ROW(AS$15),0),15-13*ORÇAMENTO!$AF$11)),
         0)</f>
        <v>0</v>
      </c>
      <c r="AT184" s="452">
        <f ca="1">IF(AND($D184="Serviço",AT$12&lt;&gt;0,$H184&gt;0,OR(AUTOEVENTO&lt;&gt;"manual",$M184&lt;&gt;$A$15)),
        IF(Import.TipoArredondamento&lt;&gt;"TransfereGOV",
              ROUND(OFFSET($P184,0,AT$13),15-13*ORÇAMENTO!$AF$7)/$H184*OFFSET(ORÇAMENTO!$X$15,ROW(AT184)-ROW(AT$15),0),
              ROUND(ROUND(OFFSET($P184,0,AT$13),15-13*ORÇAMENTO!$AF$7)*OFFSET(ORÇAMENTO!$W$15,ROW(AT184)-ROW(AT$15),0),15-13*ORÇAMENTO!$AF$11)),
         0)</f>
        <v>0</v>
      </c>
      <c r="AU184" s="452">
        <f ca="1">IF(AND($D184="Serviço",AU$12&lt;&gt;0,$H184&gt;0,OR(AUTOEVENTO&lt;&gt;"manual",$M184&lt;&gt;$A$15)),
        IF(Import.TipoArredondamento&lt;&gt;"TransfereGOV",
              ROUND(OFFSET($P184,0,AU$13),15-13*ORÇAMENTO!$AF$7)/$H184*OFFSET(ORÇAMENTO!$X$15,ROW(AU184)-ROW(AU$15),0),
              ROUND(ROUND(OFFSET($P184,0,AU$13),15-13*ORÇAMENTO!$AF$7)*OFFSET(ORÇAMENTO!$W$15,ROW(AU184)-ROW(AU$15),0),15-13*ORÇAMENTO!$AF$11)),
         0)</f>
        <v>0</v>
      </c>
      <c r="AV184" s="452">
        <f ca="1">IF(AND($D184="Serviço",AV$12&lt;&gt;0,$H184&gt;0,OR(AUTOEVENTO&lt;&gt;"manual",$M184&lt;&gt;$A$15)),
        IF(Import.TipoArredondamento&lt;&gt;"TransfereGOV",
              ROUND(OFFSET($P184,0,AV$13),15-13*ORÇAMENTO!$AF$7)/$H184*OFFSET(ORÇAMENTO!$X$15,ROW(AV184)-ROW(AV$15),0),
              ROUND(ROUND(OFFSET($P184,0,AV$13),15-13*ORÇAMENTO!$AF$7)*OFFSET(ORÇAMENTO!$W$15,ROW(AV184)-ROW(AV$15),0),15-13*ORÇAMENTO!$AF$11)),
         0)</f>
        <v>0</v>
      </c>
      <c r="AW184" s="452">
        <f ca="1">IF(AND($D184="Serviço",AW$12&lt;&gt;0,$H184&gt;0,OR(AUTOEVENTO&lt;&gt;"manual",$M184&lt;&gt;$A$15)),
        IF(Import.TipoArredondamento&lt;&gt;"TransfereGOV",
              ROUND(OFFSET($P184,0,AW$13),15-13*ORÇAMENTO!$AF$7)/$H184*OFFSET(ORÇAMENTO!$X$15,ROW(AW184)-ROW(AW$15),0),
              ROUND(ROUND(OFFSET($P184,0,AW$13),15-13*ORÇAMENTO!$AF$7)*OFFSET(ORÇAMENTO!$W$15,ROW(AW184)-ROW(AW$15),0),15-13*ORÇAMENTO!$AF$11)),
         0)</f>
        <v>0</v>
      </c>
      <c r="AX184" s="452">
        <f ca="1">IF(AND($D184="Serviço",AX$12&lt;&gt;0,$H184&gt;0,OR(AUTOEVENTO&lt;&gt;"manual",$M184&lt;&gt;$A$15)),
        IF(Import.TipoArredondamento&lt;&gt;"TransfereGOV",
              ROUND(OFFSET($P184,0,AX$13),15-13*ORÇAMENTO!$AF$7)/$H184*OFFSET(ORÇAMENTO!$X$15,ROW(AX184)-ROW(AX$15),0),
              ROUND(ROUND(OFFSET($P184,0,AX$13),15-13*ORÇAMENTO!$AF$7)*OFFSET(ORÇAMENTO!$W$15,ROW(AX184)-ROW(AX$15),0),15-13*ORÇAMENTO!$AF$11)),
         0)</f>
        <v>0</v>
      </c>
      <c r="AY184" s="452">
        <f ca="1">IF(AND($D184="Serviço",AY$12&lt;&gt;0,$H184&gt;0,OR(AUTOEVENTO&lt;&gt;"manual",$M184&lt;&gt;$A$15)),
        IF(Import.TipoArredondamento&lt;&gt;"TransfereGOV",
              ROUND(OFFSET($P184,0,AY$13),15-13*ORÇAMENTO!$AF$7)/$H184*OFFSET(ORÇAMENTO!$X$15,ROW(AY184)-ROW(AY$15),0),
              ROUND(ROUND(OFFSET($P184,0,AY$13),15-13*ORÇAMENTO!$AF$7)*OFFSET(ORÇAMENTO!$W$15,ROW(AY184)-ROW(AY$15),0),15-13*ORÇAMENTO!$AF$11)),
         0)</f>
        <v>0</v>
      </c>
      <c r="AZ184" s="452">
        <f ca="1">IF(AND($D184="Serviço",AZ$12&lt;&gt;0,$H184&gt;0,OR(AUTOEVENTO&lt;&gt;"manual",$M184&lt;&gt;$A$15)),
        IF(Import.TipoArredondamento&lt;&gt;"TransfereGOV",
              ROUND(OFFSET($P184,0,AZ$13),15-13*ORÇAMENTO!$AF$7)/$H184*OFFSET(ORÇAMENTO!$X$15,ROW(AZ184)-ROW(AZ$15),0),
              ROUND(ROUND(OFFSET($P184,0,AZ$13),15-13*ORÇAMENTO!$AF$7)*OFFSET(ORÇAMENTO!$W$15,ROW(AZ184)-ROW(AZ$15),0),15-13*ORÇAMENTO!$AF$11)),
         0)</f>
        <v>0</v>
      </c>
      <c r="BA184" s="452">
        <f ca="1">IF(AND($D184="Serviço",BA$12&lt;&gt;0,$H184&gt;0,OR(AUTOEVENTO&lt;&gt;"manual",$M184&lt;&gt;$A$15)),
        IF(Import.TipoArredondamento&lt;&gt;"TransfereGOV",
              ROUND(OFFSET($P184,0,BA$13),15-13*ORÇAMENTO!$AF$7)/$H184*OFFSET(ORÇAMENTO!$X$15,ROW(BA184)-ROW(BA$15),0),
              ROUND(ROUND(OFFSET($P184,0,BA$13),15-13*ORÇAMENTO!$AF$7)*OFFSET(ORÇAMENTO!$W$15,ROW(BA184)-ROW(BA$15),0),15-13*ORÇAMENTO!$AF$11)),
         0)</f>
        <v>0</v>
      </c>
      <c r="BC184" s="171">
        <f ca="1">IF(OR($D184&lt;&gt;"Serviço",AND(AUTOEVENTO="Manual",$M184=$A$15)),0,
         IF(OFFSET(CRONOPLE!$F$15,$M184-$A$15,BC$13)=0,10^12,OFFSET(CRONOPLE!$F$15,$M184-$A$15,BC$13)))</f>
        <v>4</v>
      </c>
      <c r="BD184" s="171">
        <f ca="1">IF(OR($D184&lt;&gt;"Serviço",AND(AUTOEVENTO="Manual",$M184=$A$15)),0,
         IF(OFFSET(CRONOPLE!$F$15,$M184-$A$15,BD$13)=0,10^12,OFFSET(CRONOPLE!$F$15,$M184-$A$15,BD$13)))</f>
        <v>4</v>
      </c>
      <c r="BE184" s="171">
        <f ca="1">IF(OR($D184&lt;&gt;"Serviço",AND(AUTOEVENTO="Manual",$M184=$A$15)),0,
         IF(OFFSET(CRONOPLE!$F$15,$M184-$A$15,BE$13)=0,10^12,OFFSET(CRONOPLE!$F$15,$M184-$A$15,BE$13)))</f>
        <v>5</v>
      </c>
      <c r="BF184" s="171">
        <f ca="1">IF(OR($D184&lt;&gt;"Serviço",AND(AUTOEVENTO="Manual",$M184=$A$15)),0,
         IF(OFFSET(CRONOPLE!$F$15,$M184-$A$15,BF$13)=0,10^12,OFFSET(CRONOPLE!$F$15,$M184-$A$15,BF$13)))</f>
        <v>5</v>
      </c>
      <c r="BG184" s="171">
        <f ca="1">IF(OR($D184&lt;&gt;"Serviço",AND(AUTOEVENTO="Manual",$M184=$A$15)),0,
         IF(OFFSET(CRONOPLE!$F$15,$M184-$A$15,BG$13)=0,10^12,OFFSET(CRONOPLE!$F$15,$M184-$A$15,BG$13)))</f>
        <v>5</v>
      </c>
      <c r="BH184" s="171">
        <f ca="1">IF(OR($D184&lt;&gt;"Serviço",AND(AUTOEVENTO="Manual",$M184=$A$15)),0,
         IF(OFFSET(CRONOPLE!$F$15,$M184-$A$15,BH$13)=0,10^12,OFFSET(CRONOPLE!$F$15,$M184-$A$15,BH$13)))</f>
        <v>1000000000000</v>
      </c>
      <c r="BI184" s="171">
        <f ca="1">IF(OR($D184&lt;&gt;"Serviço",AND(AUTOEVENTO="Manual",$M184=$A$15)),0,
         IF(OFFSET(CRONOPLE!$F$15,$M184-$A$15,BI$13)=0,10^12,OFFSET(CRONOPLE!$F$15,$M184-$A$15,BI$13)))</f>
        <v>1000000000000</v>
      </c>
      <c r="BJ184" s="171">
        <f ca="1">IF(OR($D184&lt;&gt;"Serviço",AND(AUTOEVENTO="Manual",$M184=$A$15)),0,
         IF(OFFSET(CRONOPLE!$F$15,$M184-$A$15,BJ$13)=0,10^12,OFFSET(CRONOPLE!$F$15,$M184-$A$15,BJ$13)))</f>
        <v>1000000000000</v>
      </c>
      <c r="BK184" s="171">
        <f ca="1">IF(OR($D184&lt;&gt;"Serviço",AND(AUTOEVENTO="Manual",$M184=$A$15)),0,
         IF(OFFSET(CRONOPLE!$F$15,$M184-$A$15,BK$13)=0,10^12,OFFSET(CRONOPLE!$F$15,$M184-$A$15,BK$13)))</f>
        <v>1000000000000</v>
      </c>
      <c r="BL184" s="171">
        <f ca="1">IF(OR($D184&lt;&gt;"Serviço",AND(AUTOEVENTO="Manual",$M184=$A$15)),0,
         IF(OFFSET(CRONOPLE!$F$15,$M184-$A$15,BL$13)=0,10^12,OFFSET(CRONOPLE!$F$15,$M184-$A$15,BL$13)))</f>
        <v>1000000000000</v>
      </c>
      <c r="BM184" s="171">
        <f ca="1">IF(OR($D184&lt;&gt;"Serviço",AND(AUTOEVENTO="Manual",$M184=$A$15)),0,
         IF(OFFSET(CRONOPLE!$F$15,$M184-$A$15,BM$13)=0,10^12,OFFSET(CRONOPLE!$F$15,$M184-$A$15,BM$13)))</f>
        <v>1000000000000</v>
      </c>
      <c r="BN184" s="171">
        <f ca="1">IF(OR($D184&lt;&gt;"Serviço",AND(AUTOEVENTO="Manual",$M184=$A$15)),0,
         IF(OFFSET(CRONOPLE!$F$15,$M184-$A$15,BN$13)=0,10^12,OFFSET(CRONOPLE!$F$15,$M184-$A$15,BN$13)))</f>
        <v>1000000000000</v>
      </c>
      <c r="BO184" s="171">
        <f ca="1">IF(OR($D184&lt;&gt;"Serviço",AND(AUTOEVENTO="Manual",$M184=$A$15)),0,
         IF(OFFSET(CRONOPLE!$F$15,$M184-$A$15,BO$13)=0,10^12,OFFSET(CRONOPLE!$F$15,$M184-$A$15,BO$13)))</f>
        <v>1000000000000</v>
      </c>
      <c r="BP184" s="171">
        <f ca="1">IF(OR($D184&lt;&gt;"Serviço",AND(AUTOEVENTO="Manual",$M184=$A$15)),0,
         IF(OFFSET(CRONOPLE!$F$15,$M184-$A$15,BP$13)=0,10^12,OFFSET(CRONOPLE!$F$15,$M184-$A$15,BP$13)))</f>
        <v>1000000000000</v>
      </c>
      <c r="BQ184" s="171">
        <f ca="1">IF(OR($D184&lt;&gt;"Serviço",AND(AUTOEVENTO="Manual",$M184=$A$15)),0,
         IF(OFFSET(CRONOPLE!$F$15,$M184-$A$15,BQ$13)=0,10^12,OFFSET(CRONOPLE!$F$15,$M184-$A$15,BQ$13)))</f>
        <v>1000000000000</v>
      </c>
      <c r="BR184" s="171">
        <f ca="1">IF(OR($D184&lt;&gt;"Serviço",AND(AUTOEVENTO="Manual",$M184=$A$15)),0,
         IF(OFFSET(CRONOPLE!$F$15,$M184-$A$15,BR$13)=0,10^12,OFFSET(CRONOPLE!$F$15,$M184-$A$15,BR$13)))</f>
        <v>1000000000000</v>
      </c>
      <c r="BS184" s="171">
        <f ca="1">IF(OR($D184&lt;&gt;"Serviço",AND(AUTOEVENTO="Manual",$M184=$A$15)),0,
         IF(OFFSET(CRONOPLE!$F$15,$M184-$A$15,BS$13)=0,10^12,OFFSET(CRONOPLE!$F$15,$M184-$A$15,BS$13)))</f>
        <v>1000000000000</v>
      </c>
      <c r="BT184" s="171">
        <f ca="1">IF(OR($D184&lt;&gt;"Serviço",AND(AUTOEVENTO="Manual",$M184=$A$15)),0,
         IF(OFFSET(CRONOPLE!$F$15,$M184-$A$15,BT$13)=0,10^12,OFFSET(CRONOPLE!$F$15,$M184-$A$15,BT$13)))</f>
        <v>1000000000000</v>
      </c>
      <c r="BV184" s="172">
        <f t="array" aca="1" ref="BV184" ca="1">IF(OR($D184&lt;&gt;"Serviço",AND(AUTOEVENTO="Manual",$M184=$A$15),$M184&gt;(ROW(PLE.lastrow)-ROW(PLE.firstrow))),0,
           IF(OFFSET(PLE!$G$15,$M184-$A$15,BV$13)="",10^12,OFFSET(PLE!$G$15,$M184-$A$15,BV$13)))</f>
        <v>1000000000000</v>
      </c>
      <c r="BW184" s="172">
        <f t="array" aca="1" ref="BW184" ca="1">IF(OR($D184&lt;&gt;"Serviço",AND(AUTOEVENTO="Manual",$M184=$A$15),$M184&gt;(ROW(PLE.lastrow)-ROW(PLE.firstrow))),0,
           IF(OFFSET(PLE!$G$15,$M184-$A$15,BW$13)="",10^12,OFFSET(PLE!$G$15,$M184-$A$15,BW$13)))</f>
        <v>1000000000000</v>
      </c>
      <c r="BX184" s="172">
        <f t="array" aca="1" ref="BX184" ca="1">IF(OR($D184&lt;&gt;"Serviço",AND(AUTOEVENTO="Manual",$M184=$A$15),$M184&gt;(ROW(PLE.lastrow)-ROW(PLE.firstrow))),0,
           IF(OFFSET(PLE!$G$15,$M184-$A$15,BX$13)="",10^12,OFFSET(PLE!$G$15,$M184-$A$15,BX$13)))</f>
        <v>1000000000000</v>
      </c>
      <c r="BY184" s="172">
        <f t="array" aca="1" ref="BY184" ca="1">IF(OR($D184&lt;&gt;"Serviço",AND(AUTOEVENTO="Manual",$M184=$A$15),$M184&gt;(ROW(PLE.lastrow)-ROW(PLE.firstrow))),0,
           IF(OFFSET(PLE!$G$15,$M184-$A$15,BY$13)="",10^12,OFFSET(PLE!$G$15,$M184-$A$15,BY$13)))</f>
        <v>1000000000000</v>
      </c>
      <c r="BZ184" s="172">
        <f t="array" aca="1" ref="BZ184" ca="1">IF(OR($D184&lt;&gt;"Serviço",AND(AUTOEVENTO="Manual",$M184=$A$15),$M184&gt;(ROW(PLE.lastrow)-ROW(PLE.firstrow))),0,
           IF(OFFSET(PLE!$G$15,$M184-$A$15,BZ$13)="",10^12,OFFSET(PLE!$G$15,$M184-$A$15,BZ$13)))</f>
        <v>1000000000000</v>
      </c>
      <c r="CA184" s="172">
        <f t="array" aca="1" ref="CA184" ca="1">IF(OR($D184&lt;&gt;"Serviço",AND(AUTOEVENTO="Manual",$M184=$A$15),$M184&gt;(ROW(PLE.lastrow)-ROW(PLE.firstrow))),0,
           IF(OFFSET(PLE!$G$15,$M184-$A$15,CA$13)="",10^12,OFFSET(PLE!$G$15,$M184-$A$15,CA$13)))</f>
        <v>1000000000000</v>
      </c>
      <c r="CB184" s="172">
        <f t="array" aca="1" ref="CB184" ca="1">IF(OR($D184&lt;&gt;"Serviço",AND(AUTOEVENTO="Manual",$M184=$A$15),$M184&gt;(ROW(PLE.lastrow)-ROW(PLE.firstrow))),0,
           IF(OFFSET(PLE!$G$15,$M184-$A$15,CB$13)="",10^12,OFFSET(PLE!$G$15,$M184-$A$15,CB$13)))</f>
        <v>1000000000000</v>
      </c>
      <c r="CC184" s="172">
        <f t="array" aca="1" ref="CC184" ca="1">IF(OR($D184&lt;&gt;"Serviço",AND(AUTOEVENTO="Manual",$M184=$A$15),$M184&gt;(ROW(PLE.lastrow)-ROW(PLE.firstrow))),0,
           IF(OFFSET(PLE!$G$15,$M184-$A$15,CC$13)="",10^12,OFFSET(PLE!$G$15,$M184-$A$15,CC$13)))</f>
        <v>1000000000000</v>
      </c>
      <c r="CD184" s="172">
        <f t="array" aca="1" ref="CD184" ca="1">IF(OR($D184&lt;&gt;"Serviço",AND(AUTOEVENTO="Manual",$M184=$A$15),$M184&gt;(ROW(PLE.lastrow)-ROW(PLE.firstrow))),0,
           IF(OFFSET(PLE!$G$15,$M184-$A$15,CD$13)="",10^12,OFFSET(PLE!$G$15,$M184-$A$15,CD$13)))</f>
        <v>1000000000000</v>
      </c>
      <c r="CE184" s="172">
        <f t="array" aca="1" ref="CE184" ca="1">IF(OR($D184&lt;&gt;"Serviço",AND(AUTOEVENTO="Manual",$M184=$A$15),$M184&gt;(ROW(PLE.lastrow)-ROW(PLE.firstrow))),0,
           IF(OFFSET(PLE!$G$15,$M184-$A$15,CE$13)="",10^12,OFFSET(PLE!$G$15,$M184-$A$15,CE$13)))</f>
        <v>1000000000000</v>
      </c>
      <c r="CF184" s="172">
        <f t="array" aca="1" ref="CF184" ca="1">IF(OR($D184&lt;&gt;"Serviço",AND(AUTOEVENTO="Manual",$M184=$A$15),$M184&gt;(ROW(PLE.lastrow)-ROW(PLE.firstrow))),0,
           IF(OFFSET(PLE!$G$15,$M184-$A$15,CF$13)="",10^12,OFFSET(PLE!$G$15,$M184-$A$15,CF$13)))</f>
        <v>1000000000000</v>
      </c>
      <c r="CG184" s="172">
        <f t="array" aca="1" ref="CG184" ca="1">IF(OR($D184&lt;&gt;"Serviço",AND(AUTOEVENTO="Manual",$M184=$A$15),$M184&gt;(ROW(PLE.lastrow)-ROW(PLE.firstrow))),0,
           IF(OFFSET(PLE!$G$15,$M184-$A$15,CG$13)="",10^12,OFFSET(PLE!$G$15,$M184-$A$15,CG$13)))</f>
        <v>1000000000000</v>
      </c>
      <c r="CH184" s="172">
        <f t="array" aca="1" ref="CH184" ca="1">IF(OR($D184&lt;&gt;"Serviço",AND(AUTOEVENTO="Manual",$M184=$A$15),$M184&gt;(ROW(PLE.lastrow)-ROW(PLE.firstrow))),0,
           IF(OFFSET(PLE!$G$15,$M184-$A$15,CH$13)="",10^12,OFFSET(PLE!$G$15,$M184-$A$15,CH$13)))</f>
        <v>1000000000000</v>
      </c>
      <c r="CI184" s="172">
        <f t="array" aca="1" ref="CI184" ca="1">IF(OR($D184&lt;&gt;"Serviço",AND(AUTOEVENTO="Manual",$M184=$A$15),$M184&gt;(ROW(PLE.lastrow)-ROW(PLE.firstrow))),0,
           IF(OFFSET(PLE!$G$15,$M184-$A$15,CI$13)="",10^12,OFFSET(PLE!$G$15,$M184-$A$15,CI$13)))</f>
        <v>1000000000000</v>
      </c>
      <c r="CJ184" s="172">
        <f t="array" aca="1" ref="CJ184" ca="1">IF(OR($D184&lt;&gt;"Serviço",AND(AUTOEVENTO="Manual",$M184=$A$15),$M184&gt;(ROW(PLE.lastrow)-ROW(PLE.firstrow))),0,
           IF(OFFSET(PLE!$G$15,$M184-$A$15,CJ$13)="",10^12,OFFSET(PLE!$G$15,$M184-$A$15,CJ$13)))</f>
        <v>1000000000000</v>
      </c>
      <c r="CK184" s="172">
        <f t="array" aca="1" ref="CK184" ca="1">IF(OR($D184&lt;&gt;"Serviço",AND(AUTOEVENTO="Manual",$M184=$A$15),$M184&gt;(ROW(PLE.lastrow)-ROW(PLE.firstrow))),0,
           IF(OFFSET(PLE!$G$15,$M184-$A$15,CK$13)="",10^12,OFFSET(PLE!$G$15,$M184-$A$15,CK$13)))</f>
        <v>1000000000000</v>
      </c>
      <c r="CL184" s="172">
        <f t="array" aca="1" ref="CL184" ca="1">IF(OR($D184&lt;&gt;"Serviço",AND(AUTOEVENTO="Manual",$M184=$A$15),$M184&gt;(ROW(PLE.lastrow)-ROW(PLE.firstrow))),0,
           IF(OFFSET(PLE!$G$15,$M184-$A$15,CL$13)="",10^12,OFFSET(PLE!$G$15,$M184-$A$15,CL$13)))</f>
        <v>1000000000000</v>
      </c>
      <c r="CM184" s="172">
        <f t="array" aca="1" ref="CM184" ca="1">IF(OR($D184&lt;&gt;"Serviço",AND(AUTOEVENTO="Manual",$M184=$A$15),$M184&gt;(ROW(PLE.lastrow)-ROW(PLE.firstrow))),0,
           IF(OFFSET(PLE!$G$15,$M184-$A$15,CM$13)="",10^12,OFFSET(PLE!$G$15,$M184-$A$15,CM$13)))</f>
        <v>1000000000000</v>
      </c>
    </row>
    <row r="185" spans="1:91" s="696" customFormat="1" ht="63.75" x14ac:dyDescent="0.2">
      <c r="A185" s="694">
        <f t="shared" ca="1" si="82"/>
        <v>39</v>
      </c>
      <c r="B185" s="694" t="str">
        <f ca="1">OFFSET(ORÇAMENTO!C$15,$L185,0)</f>
        <v>S</v>
      </c>
      <c r="C185" s="694" t="str">
        <f ca="1">OFFSET(ORÇAMENTO!L$15,$L185,0)</f>
        <v>F</v>
      </c>
      <c r="D185" s="116" t="str">
        <f ca="1">OFFSET(ORÇAMENTO!N$15,$L185,0)</f>
        <v>Serviço</v>
      </c>
      <c r="E185" s="117" t="str">
        <f ca="1">OFFSET(ORÇAMENTO!O$15,$L185,0)</f>
        <v>1.29.4.</v>
      </c>
      <c r="F185" s="163" t="str">
        <f ca="1">OFFSET(ORÇAMENTO!R$15,$L185,0)</f>
        <v>ADAPTADOR COM FLANGE E ANEL DE VEDAÇÃO, PVC, SOLDÁVEL, DN 25 MM X 3/4", INSTALADO EM RESERVAÇÃO PREDIAL DE ÁGUA - FORNECIMENTO E INSTALAÇÃO. AF_04/2024</v>
      </c>
      <c r="G185" s="164" t="str">
        <f ca="1">IF($D185&lt;&gt;"Serviço","",OFFSET(ORÇAMENTO!S$15,$L185,0))</f>
        <v>UN</v>
      </c>
      <c r="H185" s="122">
        <f t="array" aca="1" ref="H185" ca="1">IF($D185&lt;&gt;"Serviço",0,IF(ACOMPANHAMENTO="BM",ROUND(OFFSET(ORÇAMENTO!AJ$15,$L185,0),15-13*ORÇAMENTO!$AF$7),IF(IFERROR(CÁLCULO.FrentesPreenchidas,0)=0,0,SUM(ROUND(OFFSET($P185,0,1,1,CÁLCULO.FrentesPreenchidas),15-13*ORÇAMENTO!$AF$7)))))</f>
        <v>20</v>
      </c>
      <c r="I185" s="467" t="s">
        <v>1324</v>
      </c>
      <c r="J185" s="653" t="str">
        <f t="array" aca="1" ref="J185" ca="1">IF(OR(B185&lt;&gt;"S",CÁLCULO.FrentesPreenchidas=0),"",IF(AND(ACOMPANHAMENTO="PLE",AUTOEVENTO="Manual",OR(H185&gt;0,ORÇAMENTO!AC185="QUANT."),OR(K185="",M185=0,N185="")),"►E",IF(AND(ACOMPANHAMENTO="PLE",ORÇAMENTO!AC185="QUANT."),"►Q",IF(AND(ACOMPANHAMENTO="PLE",H185&lt;&gt;SUMPRODUCT(($Q$1:$AI$1=1)*ROUND(Q185:AI185,15))),"►S",IF(AND(COUNTIF($P$11:$AI$11,"▼")=0,H185&gt;0,I185=""),"◄M","")))))</f>
        <v/>
      </c>
      <c r="K185" s="654" t="s">
        <v>1446</v>
      </c>
      <c r="L185" s="165">
        <f t="shared" ca="1" si="83"/>
        <v>170</v>
      </c>
      <c r="M185" s="166">
        <f ca="1">IF($D185&lt;&gt;"Serviço","",
          IF(AUTOEVENTO="manual",$A185,
                IF(ISERROR(MATCH($A185,$A$15:OFFSET($A185,-1,0),0)),MAX($M$15:OFFSET(M185,-1,0))+1,
                      INDEX($M$15:OFFSET(M185,-1,0),MATCH($A185,$A$15:OFFSET($A185,-1,0),0)))))</f>
        <v>39</v>
      </c>
      <c r="N185" s="167" t="str">
        <f ca="1">IF($D185&lt;&gt;"Serviço","",
         IF(AUTOEVENTO="Manual",
                IF($A185=0,"&lt;-- defina o número do agrupador",
                       OFFSET(EVENTOS!$D$15,$A185-$A$15,0)),
                OFFSET($F$15,$A185,0)))</f>
        <v>RESERVATÓRIO DE ÁGUA</v>
      </c>
      <c r="O185" s="168"/>
      <c r="Q185" s="169">
        <v>5</v>
      </c>
      <c r="R185" s="169">
        <v>5</v>
      </c>
      <c r="S185" s="169">
        <v>5</v>
      </c>
      <c r="T185" s="169">
        <v>5</v>
      </c>
      <c r="U185" s="169"/>
      <c r="V185" s="169"/>
      <c r="W185" s="169"/>
      <c r="X185" s="169"/>
      <c r="Y185" s="169"/>
      <c r="Z185" s="170"/>
      <c r="AA185" s="169"/>
      <c r="AB185" s="169"/>
      <c r="AC185" s="169"/>
      <c r="AD185" s="169"/>
      <c r="AE185" s="169"/>
      <c r="AF185" s="169"/>
      <c r="AG185" s="169"/>
      <c r="AH185" s="170"/>
      <c r="AJ185" s="452">
        <f ca="1">IF(AND($D185="Serviço",AJ$12&lt;&gt;0,$H185&gt;0,OR(AUTOEVENTO&lt;&gt;"manual",$M185&lt;&gt;$A$15)),
        IF(Import.TipoArredondamento&lt;&gt;"TransfereGOV",
              ROUND(OFFSET($P185,0,AJ$13),15-13*ORÇAMENTO!$AF$7)/$H185*OFFSET(ORÇAMENTO!$X$15,ROW(AJ185)-ROW(AJ$15),0),
              ROUND(ROUND(OFFSET($P185,0,AJ$13),15-13*ORÇAMENTO!$AF$7)*OFFSET(ORÇAMENTO!$W$15,ROW(AJ185)-ROW(AJ$15),0),15-13*ORÇAMENTO!$AF$11)),
         0)</f>
        <v>116.15</v>
      </c>
      <c r="AK185" s="452">
        <f ca="1">IF(AND($D185="Serviço",AK$12&lt;&gt;0,$H185&gt;0,OR(AUTOEVENTO&lt;&gt;"manual",$M185&lt;&gt;$A$15)),
        IF(Import.TipoArredondamento&lt;&gt;"TransfereGOV",
              ROUND(OFFSET($P185,0,AK$13),15-13*ORÇAMENTO!$AF$7)/$H185*OFFSET(ORÇAMENTO!$X$15,ROW(AK185)-ROW(AK$15),0),
              ROUND(ROUND(OFFSET($P185,0,AK$13),15-13*ORÇAMENTO!$AF$7)*OFFSET(ORÇAMENTO!$W$15,ROW(AK185)-ROW(AK$15),0),15-13*ORÇAMENTO!$AF$11)),
         0)</f>
        <v>116.15</v>
      </c>
      <c r="AL185" s="452">
        <f ca="1">IF(AND($D185="Serviço",AL$12&lt;&gt;0,$H185&gt;0,OR(AUTOEVENTO&lt;&gt;"manual",$M185&lt;&gt;$A$15)),
        IF(Import.TipoArredondamento&lt;&gt;"TransfereGOV",
              ROUND(OFFSET($P185,0,AL$13),15-13*ORÇAMENTO!$AF$7)/$H185*OFFSET(ORÇAMENTO!$X$15,ROW(AL185)-ROW(AL$15),0),
              ROUND(ROUND(OFFSET($P185,0,AL$13),15-13*ORÇAMENTO!$AF$7)*OFFSET(ORÇAMENTO!$W$15,ROW(AL185)-ROW(AL$15),0),15-13*ORÇAMENTO!$AF$11)),
         0)</f>
        <v>116.15</v>
      </c>
      <c r="AM185" s="452">
        <f ca="1">IF(AND($D185="Serviço",AM$12&lt;&gt;0,$H185&gt;0,OR(AUTOEVENTO&lt;&gt;"manual",$M185&lt;&gt;$A$15)),
        IF(Import.TipoArredondamento&lt;&gt;"TransfereGOV",
              ROUND(OFFSET($P185,0,AM$13),15-13*ORÇAMENTO!$AF$7)/$H185*OFFSET(ORÇAMENTO!$X$15,ROW(AM185)-ROW(AM$15),0),
              ROUND(ROUND(OFFSET($P185,0,AM$13),15-13*ORÇAMENTO!$AF$7)*OFFSET(ORÇAMENTO!$W$15,ROW(AM185)-ROW(AM$15),0),15-13*ORÇAMENTO!$AF$11)),
         0)</f>
        <v>116.15</v>
      </c>
      <c r="AN185" s="452">
        <f ca="1">IF(AND($D185="Serviço",AN$12&lt;&gt;0,$H185&gt;0,OR(AUTOEVENTO&lt;&gt;"manual",$M185&lt;&gt;$A$15)),
        IF(Import.TipoArredondamento&lt;&gt;"TransfereGOV",
              ROUND(OFFSET($P185,0,AN$13),15-13*ORÇAMENTO!$AF$7)/$H185*OFFSET(ORÇAMENTO!$X$15,ROW(AN185)-ROW(AN$15),0),
              ROUND(ROUND(OFFSET($P185,0,AN$13),15-13*ORÇAMENTO!$AF$7)*OFFSET(ORÇAMENTO!$W$15,ROW(AN185)-ROW(AN$15),0),15-13*ORÇAMENTO!$AF$11)),
         0)</f>
        <v>0</v>
      </c>
      <c r="AO185" s="452">
        <f ca="1">IF(AND($D185="Serviço",AO$12&lt;&gt;0,$H185&gt;0,OR(AUTOEVENTO&lt;&gt;"manual",$M185&lt;&gt;$A$15)),
        IF(Import.TipoArredondamento&lt;&gt;"TransfereGOV",
              ROUND(OFFSET($P185,0,AO$13),15-13*ORÇAMENTO!$AF$7)/$H185*OFFSET(ORÇAMENTO!$X$15,ROW(AO185)-ROW(AO$15),0),
              ROUND(ROUND(OFFSET($P185,0,AO$13),15-13*ORÇAMENTO!$AF$7)*OFFSET(ORÇAMENTO!$W$15,ROW(AO185)-ROW(AO$15),0),15-13*ORÇAMENTO!$AF$11)),
         0)</f>
        <v>0</v>
      </c>
      <c r="AP185" s="452">
        <f ca="1">IF(AND($D185="Serviço",AP$12&lt;&gt;0,$H185&gt;0,OR(AUTOEVENTO&lt;&gt;"manual",$M185&lt;&gt;$A$15)),
        IF(Import.TipoArredondamento&lt;&gt;"TransfereGOV",
              ROUND(OFFSET($P185,0,AP$13),15-13*ORÇAMENTO!$AF$7)/$H185*OFFSET(ORÇAMENTO!$X$15,ROW(AP185)-ROW(AP$15),0),
              ROUND(ROUND(OFFSET($P185,0,AP$13),15-13*ORÇAMENTO!$AF$7)*OFFSET(ORÇAMENTO!$W$15,ROW(AP185)-ROW(AP$15),0),15-13*ORÇAMENTO!$AF$11)),
         0)</f>
        <v>0</v>
      </c>
      <c r="AQ185" s="452">
        <f ca="1">IF(AND($D185="Serviço",AQ$12&lt;&gt;0,$H185&gt;0,OR(AUTOEVENTO&lt;&gt;"manual",$M185&lt;&gt;$A$15)),
        IF(Import.TipoArredondamento&lt;&gt;"TransfereGOV",
              ROUND(OFFSET($P185,0,AQ$13),15-13*ORÇAMENTO!$AF$7)/$H185*OFFSET(ORÇAMENTO!$X$15,ROW(AQ185)-ROW(AQ$15),0),
              ROUND(ROUND(OFFSET($P185,0,AQ$13),15-13*ORÇAMENTO!$AF$7)*OFFSET(ORÇAMENTO!$W$15,ROW(AQ185)-ROW(AQ$15),0),15-13*ORÇAMENTO!$AF$11)),
         0)</f>
        <v>0</v>
      </c>
      <c r="AR185" s="452">
        <f ca="1">IF(AND($D185="Serviço",AR$12&lt;&gt;0,$H185&gt;0,OR(AUTOEVENTO&lt;&gt;"manual",$M185&lt;&gt;$A$15)),
        IF(Import.TipoArredondamento&lt;&gt;"TransfereGOV",
              ROUND(OFFSET($P185,0,AR$13),15-13*ORÇAMENTO!$AF$7)/$H185*OFFSET(ORÇAMENTO!$X$15,ROW(AR185)-ROW(AR$15),0),
              ROUND(ROUND(OFFSET($P185,0,AR$13),15-13*ORÇAMENTO!$AF$7)*OFFSET(ORÇAMENTO!$W$15,ROW(AR185)-ROW(AR$15),0),15-13*ORÇAMENTO!$AF$11)),
         0)</f>
        <v>0</v>
      </c>
      <c r="AS185" s="452">
        <f ca="1">IF(AND($D185="Serviço",AS$12&lt;&gt;0,$H185&gt;0,OR(AUTOEVENTO&lt;&gt;"manual",$M185&lt;&gt;$A$15)),
        IF(Import.TipoArredondamento&lt;&gt;"TransfereGOV",
              ROUND(OFFSET($P185,0,AS$13),15-13*ORÇAMENTO!$AF$7)/$H185*OFFSET(ORÇAMENTO!$X$15,ROW(AS185)-ROW(AS$15),0),
              ROUND(ROUND(OFFSET($P185,0,AS$13),15-13*ORÇAMENTO!$AF$7)*OFFSET(ORÇAMENTO!$W$15,ROW(AS185)-ROW(AS$15),0),15-13*ORÇAMENTO!$AF$11)),
         0)</f>
        <v>0</v>
      </c>
      <c r="AT185" s="452">
        <f ca="1">IF(AND($D185="Serviço",AT$12&lt;&gt;0,$H185&gt;0,OR(AUTOEVENTO&lt;&gt;"manual",$M185&lt;&gt;$A$15)),
        IF(Import.TipoArredondamento&lt;&gt;"TransfereGOV",
              ROUND(OFFSET($P185,0,AT$13),15-13*ORÇAMENTO!$AF$7)/$H185*OFFSET(ORÇAMENTO!$X$15,ROW(AT185)-ROW(AT$15),0),
              ROUND(ROUND(OFFSET($P185,0,AT$13),15-13*ORÇAMENTO!$AF$7)*OFFSET(ORÇAMENTO!$W$15,ROW(AT185)-ROW(AT$15),0),15-13*ORÇAMENTO!$AF$11)),
         0)</f>
        <v>0</v>
      </c>
      <c r="AU185" s="452">
        <f ca="1">IF(AND($D185="Serviço",AU$12&lt;&gt;0,$H185&gt;0,OR(AUTOEVENTO&lt;&gt;"manual",$M185&lt;&gt;$A$15)),
        IF(Import.TipoArredondamento&lt;&gt;"TransfereGOV",
              ROUND(OFFSET($P185,0,AU$13),15-13*ORÇAMENTO!$AF$7)/$H185*OFFSET(ORÇAMENTO!$X$15,ROW(AU185)-ROW(AU$15),0),
              ROUND(ROUND(OFFSET($P185,0,AU$13),15-13*ORÇAMENTO!$AF$7)*OFFSET(ORÇAMENTO!$W$15,ROW(AU185)-ROW(AU$15),0),15-13*ORÇAMENTO!$AF$11)),
         0)</f>
        <v>0</v>
      </c>
      <c r="AV185" s="452">
        <f ca="1">IF(AND($D185="Serviço",AV$12&lt;&gt;0,$H185&gt;0,OR(AUTOEVENTO&lt;&gt;"manual",$M185&lt;&gt;$A$15)),
        IF(Import.TipoArredondamento&lt;&gt;"TransfereGOV",
              ROUND(OFFSET($P185,0,AV$13),15-13*ORÇAMENTO!$AF$7)/$H185*OFFSET(ORÇAMENTO!$X$15,ROW(AV185)-ROW(AV$15),0),
              ROUND(ROUND(OFFSET($P185,0,AV$13),15-13*ORÇAMENTO!$AF$7)*OFFSET(ORÇAMENTO!$W$15,ROW(AV185)-ROW(AV$15),0),15-13*ORÇAMENTO!$AF$11)),
         0)</f>
        <v>0</v>
      </c>
      <c r="AW185" s="452">
        <f ca="1">IF(AND($D185="Serviço",AW$12&lt;&gt;0,$H185&gt;0,OR(AUTOEVENTO&lt;&gt;"manual",$M185&lt;&gt;$A$15)),
        IF(Import.TipoArredondamento&lt;&gt;"TransfereGOV",
              ROUND(OFFSET($P185,0,AW$13),15-13*ORÇAMENTO!$AF$7)/$H185*OFFSET(ORÇAMENTO!$X$15,ROW(AW185)-ROW(AW$15),0),
              ROUND(ROUND(OFFSET($P185,0,AW$13),15-13*ORÇAMENTO!$AF$7)*OFFSET(ORÇAMENTO!$W$15,ROW(AW185)-ROW(AW$15),0),15-13*ORÇAMENTO!$AF$11)),
         0)</f>
        <v>0</v>
      </c>
      <c r="AX185" s="452">
        <f ca="1">IF(AND($D185="Serviço",AX$12&lt;&gt;0,$H185&gt;0,OR(AUTOEVENTO&lt;&gt;"manual",$M185&lt;&gt;$A$15)),
        IF(Import.TipoArredondamento&lt;&gt;"TransfereGOV",
              ROUND(OFFSET($P185,0,AX$13),15-13*ORÇAMENTO!$AF$7)/$H185*OFFSET(ORÇAMENTO!$X$15,ROW(AX185)-ROW(AX$15),0),
              ROUND(ROUND(OFFSET($P185,0,AX$13),15-13*ORÇAMENTO!$AF$7)*OFFSET(ORÇAMENTO!$W$15,ROW(AX185)-ROW(AX$15),0),15-13*ORÇAMENTO!$AF$11)),
         0)</f>
        <v>0</v>
      </c>
      <c r="AY185" s="452">
        <f ca="1">IF(AND($D185="Serviço",AY$12&lt;&gt;0,$H185&gt;0,OR(AUTOEVENTO&lt;&gt;"manual",$M185&lt;&gt;$A$15)),
        IF(Import.TipoArredondamento&lt;&gt;"TransfereGOV",
              ROUND(OFFSET($P185,0,AY$13),15-13*ORÇAMENTO!$AF$7)/$H185*OFFSET(ORÇAMENTO!$X$15,ROW(AY185)-ROW(AY$15),0),
              ROUND(ROUND(OFFSET($P185,0,AY$13),15-13*ORÇAMENTO!$AF$7)*OFFSET(ORÇAMENTO!$W$15,ROW(AY185)-ROW(AY$15),0),15-13*ORÇAMENTO!$AF$11)),
         0)</f>
        <v>0</v>
      </c>
      <c r="AZ185" s="452">
        <f ca="1">IF(AND($D185="Serviço",AZ$12&lt;&gt;0,$H185&gt;0,OR(AUTOEVENTO&lt;&gt;"manual",$M185&lt;&gt;$A$15)),
        IF(Import.TipoArredondamento&lt;&gt;"TransfereGOV",
              ROUND(OFFSET($P185,0,AZ$13),15-13*ORÇAMENTO!$AF$7)/$H185*OFFSET(ORÇAMENTO!$X$15,ROW(AZ185)-ROW(AZ$15),0),
              ROUND(ROUND(OFFSET($P185,0,AZ$13),15-13*ORÇAMENTO!$AF$7)*OFFSET(ORÇAMENTO!$W$15,ROW(AZ185)-ROW(AZ$15),0),15-13*ORÇAMENTO!$AF$11)),
         0)</f>
        <v>0</v>
      </c>
      <c r="BA185" s="452">
        <f ca="1">IF(AND($D185="Serviço",BA$12&lt;&gt;0,$H185&gt;0,OR(AUTOEVENTO&lt;&gt;"manual",$M185&lt;&gt;$A$15)),
        IF(Import.TipoArredondamento&lt;&gt;"TransfereGOV",
              ROUND(OFFSET($P185,0,BA$13),15-13*ORÇAMENTO!$AF$7)/$H185*OFFSET(ORÇAMENTO!$X$15,ROW(BA185)-ROW(BA$15),0),
              ROUND(ROUND(OFFSET($P185,0,BA$13),15-13*ORÇAMENTO!$AF$7)*OFFSET(ORÇAMENTO!$W$15,ROW(BA185)-ROW(BA$15),0),15-13*ORÇAMENTO!$AF$11)),
         0)</f>
        <v>0</v>
      </c>
      <c r="BC185" s="171">
        <f ca="1">IF(OR($D185&lt;&gt;"Serviço",AND(AUTOEVENTO="Manual",$M185=$A$15)),0,
         IF(OFFSET(CRONOPLE!$F$15,$M185-$A$15,BC$13)=0,10^12,OFFSET(CRONOPLE!$F$15,$M185-$A$15,BC$13)))</f>
        <v>4</v>
      </c>
      <c r="BD185" s="171">
        <f ca="1">IF(OR($D185&lt;&gt;"Serviço",AND(AUTOEVENTO="Manual",$M185=$A$15)),0,
         IF(OFFSET(CRONOPLE!$F$15,$M185-$A$15,BD$13)=0,10^12,OFFSET(CRONOPLE!$F$15,$M185-$A$15,BD$13)))</f>
        <v>4</v>
      </c>
      <c r="BE185" s="171">
        <f ca="1">IF(OR($D185&lt;&gt;"Serviço",AND(AUTOEVENTO="Manual",$M185=$A$15)),0,
         IF(OFFSET(CRONOPLE!$F$15,$M185-$A$15,BE$13)=0,10^12,OFFSET(CRONOPLE!$F$15,$M185-$A$15,BE$13)))</f>
        <v>5</v>
      </c>
      <c r="BF185" s="171">
        <f ca="1">IF(OR($D185&lt;&gt;"Serviço",AND(AUTOEVENTO="Manual",$M185=$A$15)),0,
         IF(OFFSET(CRONOPLE!$F$15,$M185-$A$15,BF$13)=0,10^12,OFFSET(CRONOPLE!$F$15,$M185-$A$15,BF$13)))</f>
        <v>5</v>
      </c>
      <c r="BG185" s="171">
        <f ca="1">IF(OR($D185&lt;&gt;"Serviço",AND(AUTOEVENTO="Manual",$M185=$A$15)),0,
         IF(OFFSET(CRONOPLE!$F$15,$M185-$A$15,BG$13)=0,10^12,OFFSET(CRONOPLE!$F$15,$M185-$A$15,BG$13)))</f>
        <v>5</v>
      </c>
      <c r="BH185" s="171">
        <f ca="1">IF(OR($D185&lt;&gt;"Serviço",AND(AUTOEVENTO="Manual",$M185=$A$15)),0,
         IF(OFFSET(CRONOPLE!$F$15,$M185-$A$15,BH$13)=0,10^12,OFFSET(CRONOPLE!$F$15,$M185-$A$15,BH$13)))</f>
        <v>1000000000000</v>
      </c>
      <c r="BI185" s="171">
        <f ca="1">IF(OR($D185&lt;&gt;"Serviço",AND(AUTOEVENTO="Manual",$M185=$A$15)),0,
         IF(OFFSET(CRONOPLE!$F$15,$M185-$A$15,BI$13)=0,10^12,OFFSET(CRONOPLE!$F$15,$M185-$A$15,BI$13)))</f>
        <v>1000000000000</v>
      </c>
      <c r="BJ185" s="171">
        <f ca="1">IF(OR($D185&lt;&gt;"Serviço",AND(AUTOEVENTO="Manual",$M185=$A$15)),0,
         IF(OFFSET(CRONOPLE!$F$15,$M185-$A$15,BJ$13)=0,10^12,OFFSET(CRONOPLE!$F$15,$M185-$A$15,BJ$13)))</f>
        <v>1000000000000</v>
      </c>
      <c r="BK185" s="171">
        <f ca="1">IF(OR($D185&lt;&gt;"Serviço",AND(AUTOEVENTO="Manual",$M185=$A$15)),0,
         IF(OFFSET(CRONOPLE!$F$15,$M185-$A$15,BK$13)=0,10^12,OFFSET(CRONOPLE!$F$15,$M185-$A$15,BK$13)))</f>
        <v>1000000000000</v>
      </c>
      <c r="BL185" s="171">
        <f ca="1">IF(OR($D185&lt;&gt;"Serviço",AND(AUTOEVENTO="Manual",$M185=$A$15)),0,
         IF(OFFSET(CRONOPLE!$F$15,$M185-$A$15,BL$13)=0,10^12,OFFSET(CRONOPLE!$F$15,$M185-$A$15,BL$13)))</f>
        <v>1000000000000</v>
      </c>
      <c r="BM185" s="171">
        <f ca="1">IF(OR($D185&lt;&gt;"Serviço",AND(AUTOEVENTO="Manual",$M185=$A$15)),0,
         IF(OFFSET(CRONOPLE!$F$15,$M185-$A$15,BM$13)=0,10^12,OFFSET(CRONOPLE!$F$15,$M185-$A$15,BM$13)))</f>
        <v>1000000000000</v>
      </c>
      <c r="BN185" s="171">
        <f ca="1">IF(OR($D185&lt;&gt;"Serviço",AND(AUTOEVENTO="Manual",$M185=$A$15)),0,
         IF(OFFSET(CRONOPLE!$F$15,$M185-$A$15,BN$13)=0,10^12,OFFSET(CRONOPLE!$F$15,$M185-$A$15,BN$13)))</f>
        <v>1000000000000</v>
      </c>
      <c r="BO185" s="171">
        <f ca="1">IF(OR($D185&lt;&gt;"Serviço",AND(AUTOEVENTO="Manual",$M185=$A$15)),0,
         IF(OFFSET(CRONOPLE!$F$15,$M185-$A$15,BO$13)=0,10^12,OFFSET(CRONOPLE!$F$15,$M185-$A$15,BO$13)))</f>
        <v>1000000000000</v>
      </c>
      <c r="BP185" s="171">
        <f ca="1">IF(OR($D185&lt;&gt;"Serviço",AND(AUTOEVENTO="Manual",$M185=$A$15)),0,
         IF(OFFSET(CRONOPLE!$F$15,$M185-$A$15,BP$13)=0,10^12,OFFSET(CRONOPLE!$F$15,$M185-$A$15,BP$13)))</f>
        <v>1000000000000</v>
      </c>
      <c r="BQ185" s="171">
        <f ca="1">IF(OR($D185&lt;&gt;"Serviço",AND(AUTOEVENTO="Manual",$M185=$A$15)),0,
         IF(OFFSET(CRONOPLE!$F$15,$M185-$A$15,BQ$13)=0,10^12,OFFSET(CRONOPLE!$F$15,$M185-$A$15,BQ$13)))</f>
        <v>1000000000000</v>
      </c>
      <c r="BR185" s="171">
        <f ca="1">IF(OR($D185&lt;&gt;"Serviço",AND(AUTOEVENTO="Manual",$M185=$A$15)),0,
         IF(OFFSET(CRONOPLE!$F$15,$M185-$A$15,BR$13)=0,10^12,OFFSET(CRONOPLE!$F$15,$M185-$A$15,BR$13)))</f>
        <v>1000000000000</v>
      </c>
      <c r="BS185" s="171">
        <f ca="1">IF(OR($D185&lt;&gt;"Serviço",AND(AUTOEVENTO="Manual",$M185=$A$15)),0,
         IF(OFFSET(CRONOPLE!$F$15,$M185-$A$15,BS$13)=0,10^12,OFFSET(CRONOPLE!$F$15,$M185-$A$15,BS$13)))</f>
        <v>1000000000000</v>
      </c>
      <c r="BT185" s="171">
        <f ca="1">IF(OR($D185&lt;&gt;"Serviço",AND(AUTOEVENTO="Manual",$M185=$A$15)),0,
         IF(OFFSET(CRONOPLE!$F$15,$M185-$A$15,BT$13)=0,10^12,OFFSET(CRONOPLE!$F$15,$M185-$A$15,BT$13)))</f>
        <v>1000000000000</v>
      </c>
      <c r="BV185" s="172">
        <f t="array" aca="1" ref="BV185" ca="1">IF(OR($D185&lt;&gt;"Serviço",AND(AUTOEVENTO="Manual",$M185=$A$15),$M185&gt;(ROW(PLE.lastrow)-ROW(PLE.firstrow))),0,
           IF(OFFSET(PLE!$G$15,$M185-$A$15,BV$13)="",10^12,OFFSET(PLE!$G$15,$M185-$A$15,BV$13)))</f>
        <v>1000000000000</v>
      </c>
      <c r="BW185" s="172">
        <f t="array" aca="1" ref="BW185" ca="1">IF(OR($D185&lt;&gt;"Serviço",AND(AUTOEVENTO="Manual",$M185=$A$15),$M185&gt;(ROW(PLE.lastrow)-ROW(PLE.firstrow))),0,
           IF(OFFSET(PLE!$G$15,$M185-$A$15,BW$13)="",10^12,OFFSET(PLE!$G$15,$M185-$A$15,BW$13)))</f>
        <v>1000000000000</v>
      </c>
      <c r="BX185" s="172">
        <f t="array" aca="1" ref="BX185" ca="1">IF(OR($D185&lt;&gt;"Serviço",AND(AUTOEVENTO="Manual",$M185=$A$15),$M185&gt;(ROW(PLE.lastrow)-ROW(PLE.firstrow))),0,
           IF(OFFSET(PLE!$G$15,$M185-$A$15,BX$13)="",10^12,OFFSET(PLE!$G$15,$M185-$A$15,BX$13)))</f>
        <v>1000000000000</v>
      </c>
      <c r="BY185" s="172">
        <f t="array" aca="1" ref="BY185" ca="1">IF(OR($D185&lt;&gt;"Serviço",AND(AUTOEVENTO="Manual",$M185=$A$15),$M185&gt;(ROW(PLE.lastrow)-ROW(PLE.firstrow))),0,
           IF(OFFSET(PLE!$G$15,$M185-$A$15,BY$13)="",10^12,OFFSET(PLE!$G$15,$M185-$A$15,BY$13)))</f>
        <v>1000000000000</v>
      </c>
      <c r="BZ185" s="172">
        <f t="array" aca="1" ref="BZ185" ca="1">IF(OR($D185&lt;&gt;"Serviço",AND(AUTOEVENTO="Manual",$M185=$A$15),$M185&gt;(ROW(PLE.lastrow)-ROW(PLE.firstrow))),0,
           IF(OFFSET(PLE!$G$15,$M185-$A$15,BZ$13)="",10^12,OFFSET(PLE!$G$15,$M185-$A$15,BZ$13)))</f>
        <v>1000000000000</v>
      </c>
      <c r="CA185" s="172">
        <f t="array" aca="1" ref="CA185" ca="1">IF(OR($D185&lt;&gt;"Serviço",AND(AUTOEVENTO="Manual",$M185=$A$15),$M185&gt;(ROW(PLE.lastrow)-ROW(PLE.firstrow))),0,
           IF(OFFSET(PLE!$G$15,$M185-$A$15,CA$13)="",10^12,OFFSET(PLE!$G$15,$M185-$A$15,CA$13)))</f>
        <v>1000000000000</v>
      </c>
      <c r="CB185" s="172">
        <f t="array" aca="1" ref="CB185" ca="1">IF(OR($D185&lt;&gt;"Serviço",AND(AUTOEVENTO="Manual",$M185=$A$15),$M185&gt;(ROW(PLE.lastrow)-ROW(PLE.firstrow))),0,
           IF(OFFSET(PLE!$G$15,$M185-$A$15,CB$13)="",10^12,OFFSET(PLE!$G$15,$M185-$A$15,CB$13)))</f>
        <v>1000000000000</v>
      </c>
      <c r="CC185" s="172">
        <f t="array" aca="1" ref="CC185" ca="1">IF(OR($D185&lt;&gt;"Serviço",AND(AUTOEVENTO="Manual",$M185=$A$15),$M185&gt;(ROW(PLE.lastrow)-ROW(PLE.firstrow))),0,
           IF(OFFSET(PLE!$G$15,$M185-$A$15,CC$13)="",10^12,OFFSET(PLE!$G$15,$M185-$A$15,CC$13)))</f>
        <v>1000000000000</v>
      </c>
      <c r="CD185" s="172">
        <f t="array" aca="1" ref="CD185" ca="1">IF(OR($D185&lt;&gt;"Serviço",AND(AUTOEVENTO="Manual",$M185=$A$15),$M185&gt;(ROW(PLE.lastrow)-ROW(PLE.firstrow))),0,
           IF(OFFSET(PLE!$G$15,$M185-$A$15,CD$13)="",10^12,OFFSET(PLE!$G$15,$M185-$A$15,CD$13)))</f>
        <v>1000000000000</v>
      </c>
      <c r="CE185" s="172">
        <f t="array" aca="1" ref="CE185" ca="1">IF(OR($D185&lt;&gt;"Serviço",AND(AUTOEVENTO="Manual",$M185=$A$15),$M185&gt;(ROW(PLE.lastrow)-ROW(PLE.firstrow))),0,
           IF(OFFSET(PLE!$G$15,$M185-$A$15,CE$13)="",10^12,OFFSET(PLE!$G$15,$M185-$A$15,CE$13)))</f>
        <v>1000000000000</v>
      </c>
      <c r="CF185" s="172">
        <f t="array" aca="1" ref="CF185" ca="1">IF(OR($D185&lt;&gt;"Serviço",AND(AUTOEVENTO="Manual",$M185=$A$15),$M185&gt;(ROW(PLE.lastrow)-ROW(PLE.firstrow))),0,
           IF(OFFSET(PLE!$G$15,$M185-$A$15,CF$13)="",10^12,OFFSET(PLE!$G$15,$M185-$A$15,CF$13)))</f>
        <v>1000000000000</v>
      </c>
      <c r="CG185" s="172">
        <f t="array" aca="1" ref="CG185" ca="1">IF(OR($D185&lt;&gt;"Serviço",AND(AUTOEVENTO="Manual",$M185=$A$15),$M185&gt;(ROW(PLE.lastrow)-ROW(PLE.firstrow))),0,
           IF(OFFSET(PLE!$G$15,$M185-$A$15,CG$13)="",10^12,OFFSET(PLE!$G$15,$M185-$A$15,CG$13)))</f>
        <v>1000000000000</v>
      </c>
      <c r="CH185" s="172">
        <f t="array" aca="1" ref="CH185" ca="1">IF(OR($D185&lt;&gt;"Serviço",AND(AUTOEVENTO="Manual",$M185=$A$15),$M185&gt;(ROW(PLE.lastrow)-ROW(PLE.firstrow))),0,
           IF(OFFSET(PLE!$G$15,$M185-$A$15,CH$13)="",10^12,OFFSET(PLE!$G$15,$M185-$A$15,CH$13)))</f>
        <v>1000000000000</v>
      </c>
      <c r="CI185" s="172">
        <f t="array" aca="1" ref="CI185" ca="1">IF(OR($D185&lt;&gt;"Serviço",AND(AUTOEVENTO="Manual",$M185=$A$15),$M185&gt;(ROW(PLE.lastrow)-ROW(PLE.firstrow))),0,
           IF(OFFSET(PLE!$G$15,$M185-$A$15,CI$13)="",10^12,OFFSET(PLE!$G$15,$M185-$A$15,CI$13)))</f>
        <v>1000000000000</v>
      </c>
      <c r="CJ185" s="172">
        <f t="array" aca="1" ref="CJ185" ca="1">IF(OR($D185&lt;&gt;"Serviço",AND(AUTOEVENTO="Manual",$M185=$A$15),$M185&gt;(ROW(PLE.lastrow)-ROW(PLE.firstrow))),0,
           IF(OFFSET(PLE!$G$15,$M185-$A$15,CJ$13)="",10^12,OFFSET(PLE!$G$15,$M185-$A$15,CJ$13)))</f>
        <v>1000000000000</v>
      </c>
      <c r="CK185" s="172">
        <f t="array" aca="1" ref="CK185" ca="1">IF(OR($D185&lt;&gt;"Serviço",AND(AUTOEVENTO="Manual",$M185=$A$15),$M185&gt;(ROW(PLE.lastrow)-ROW(PLE.firstrow))),0,
           IF(OFFSET(PLE!$G$15,$M185-$A$15,CK$13)="",10^12,OFFSET(PLE!$G$15,$M185-$A$15,CK$13)))</f>
        <v>1000000000000</v>
      </c>
      <c r="CL185" s="172">
        <f t="array" aca="1" ref="CL185" ca="1">IF(OR($D185&lt;&gt;"Serviço",AND(AUTOEVENTO="Manual",$M185=$A$15),$M185&gt;(ROW(PLE.lastrow)-ROW(PLE.firstrow))),0,
           IF(OFFSET(PLE!$G$15,$M185-$A$15,CL$13)="",10^12,OFFSET(PLE!$G$15,$M185-$A$15,CL$13)))</f>
        <v>1000000000000</v>
      </c>
      <c r="CM185" s="172">
        <f t="array" aca="1" ref="CM185" ca="1">IF(OR($D185&lt;&gt;"Serviço",AND(AUTOEVENTO="Manual",$M185=$A$15),$M185&gt;(ROW(PLE.lastrow)-ROW(PLE.firstrow))),0,
           IF(OFFSET(PLE!$G$15,$M185-$A$15,CM$13)="",10^12,OFFSET(PLE!$G$15,$M185-$A$15,CM$13)))</f>
        <v>1000000000000</v>
      </c>
    </row>
    <row r="186" spans="1:91" s="696" customFormat="1" ht="63.75" x14ac:dyDescent="0.2">
      <c r="A186" s="694">
        <f t="shared" ca="1" si="82"/>
        <v>39</v>
      </c>
      <c r="B186" s="694" t="str">
        <f ca="1">OFFSET(ORÇAMENTO!C$15,$L186,0)</f>
        <v>S</v>
      </c>
      <c r="C186" s="694" t="str">
        <f ca="1">OFFSET(ORÇAMENTO!L$15,$L186,0)</f>
        <v>F</v>
      </c>
      <c r="D186" s="116" t="str">
        <f ca="1">OFFSET(ORÇAMENTO!N$15,$L186,0)</f>
        <v>Serviço</v>
      </c>
      <c r="E186" s="117" t="str">
        <f ca="1">OFFSET(ORÇAMENTO!O$15,$L186,0)</f>
        <v>1.29.5.</v>
      </c>
      <c r="F186" s="163" t="str">
        <f ca="1">OFFSET(ORÇAMENTO!R$15,$L186,0)</f>
        <v>ADAPTADOR COM FLANGE E ANEL DE VEDAÇÃO, PVC, SOLDÁVEL, DN 32 MM X 1", INSTALADO EM RESERVAÇÃO PREDIAL DE ÁGUA - FORNECIMENTO E INSTALAÇÃO. AF_04/2024</v>
      </c>
      <c r="G186" s="164" t="str">
        <f ca="1">IF($D186&lt;&gt;"Serviço","",OFFSET(ORÇAMENTO!S$15,$L186,0))</f>
        <v>UN</v>
      </c>
      <c r="H186" s="122">
        <f t="array" aca="1" ref="H186" ca="1">IF($D186&lt;&gt;"Serviço",0,IF(ACOMPANHAMENTO="BM",ROUND(OFFSET(ORÇAMENTO!AJ$15,$L186,0),15-13*ORÇAMENTO!$AF$7),IF(IFERROR(CÁLCULO.FrentesPreenchidas,0)=0,0,SUM(ROUND(OFFSET($P186,0,1,1,CÁLCULO.FrentesPreenchidas),15-13*ORÇAMENTO!$AF$7)))))</f>
        <v>40</v>
      </c>
      <c r="I186" s="467" t="s">
        <v>1328</v>
      </c>
      <c r="J186" s="653" t="str">
        <f t="array" aca="1" ref="J186" ca="1">IF(OR(B186&lt;&gt;"S",CÁLCULO.FrentesPreenchidas=0),"",IF(AND(ACOMPANHAMENTO="PLE",AUTOEVENTO="Manual",OR(H186&gt;0,ORÇAMENTO!AC186="QUANT."),OR(K186="",M186=0,N186="")),"►E",IF(AND(ACOMPANHAMENTO="PLE",ORÇAMENTO!AC186="QUANT."),"►Q",IF(AND(ACOMPANHAMENTO="PLE",H186&lt;&gt;SUMPRODUCT(($Q$1:$AI$1=1)*ROUND(Q186:AI186,15))),"►S",IF(AND(COUNTIF($P$11:$AI$11,"▼")=0,H186&gt;0,I186=""),"◄M","")))))</f>
        <v/>
      </c>
      <c r="K186" s="654" t="s">
        <v>1446</v>
      </c>
      <c r="L186" s="165">
        <f t="shared" ca="1" si="83"/>
        <v>171</v>
      </c>
      <c r="M186" s="166">
        <f ca="1">IF($D186&lt;&gt;"Serviço","",
          IF(AUTOEVENTO="manual",$A186,
                IF(ISERROR(MATCH($A186,$A$15:OFFSET($A186,-1,0),0)),MAX($M$15:OFFSET(M186,-1,0))+1,
                      INDEX($M$15:OFFSET(M186,-1,0),MATCH($A186,$A$15:OFFSET($A186,-1,0),0)))))</f>
        <v>39</v>
      </c>
      <c r="N186" s="167" t="str">
        <f ca="1">IF($D186&lt;&gt;"Serviço","",
         IF(AUTOEVENTO="Manual",
                IF($A186=0,"&lt;-- defina o número do agrupador",
                       OFFSET(EVENTOS!$D$15,$A186-$A$15,0)),
                OFFSET($F$15,$A186,0)))</f>
        <v>RESERVATÓRIO DE ÁGUA</v>
      </c>
      <c r="O186" s="168"/>
      <c r="Q186" s="169">
        <v>10</v>
      </c>
      <c r="R186" s="169">
        <v>10</v>
      </c>
      <c r="S186" s="169">
        <v>10</v>
      </c>
      <c r="T186" s="169">
        <v>10</v>
      </c>
      <c r="U186" s="169"/>
      <c r="V186" s="169"/>
      <c r="W186" s="169"/>
      <c r="X186" s="169"/>
      <c r="Y186" s="169"/>
      <c r="Z186" s="170"/>
      <c r="AA186" s="169"/>
      <c r="AB186" s="169"/>
      <c r="AC186" s="169"/>
      <c r="AD186" s="169"/>
      <c r="AE186" s="169"/>
      <c r="AF186" s="169"/>
      <c r="AG186" s="169"/>
      <c r="AH186" s="170"/>
      <c r="AJ186" s="452">
        <f ca="1">IF(AND($D186="Serviço",AJ$12&lt;&gt;0,$H186&gt;0,OR(AUTOEVENTO&lt;&gt;"manual",$M186&lt;&gt;$A$15)),
        IF(Import.TipoArredondamento&lt;&gt;"TransfereGOV",
              ROUND(OFFSET($P186,0,AJ$13),15-13*ORÇAMENTO!$AF$7)/$H186*OFFSET(ORÇAMENTO!$X$15,ROW(AJ186)-ROW(AJ$15),0),
              ROUND(ROUND(OFFSET($P186,0,AJ$13),15-13*ORÇAMENTO!$AF$7)*OFFSET(ORÇAMENTO!$W$15,ROW(AJ186)-ROW(AJ$15),0),15-13*ORÇAMENTO!$AF$11)),
         0)</f>
        <v>308.89999999999998</v>
      </c>
      <c r="AK186" s="452">
        <f ca="1">IF(AND($D186="Serviço",AK$12&lt;&gt;0,$H186&gt;0,OR(AUTOEVENTO&lt;&gt;"manual",$M186&lt;&gt;$A$15)),
        IF(Import.TipoArredondamento&lt;&gt;"TransfereGOV",
              ROUND(OFFSET($P186,0,AK$13),15-13*ORÇAMENTO!$AF$7)/$H186*OFFSET(ORÇAMENTO!$X$15,ROW(AK186)-ROW(AK$15),0),
              ROUND(ROUND(OFFSET($P186,0,AK$13),15-13*ORÇAMENTO!$AF$7)*OFFSET(ORÇAMENTO!$W$15,ROW(AK186)-ROW(AK$15),0),15-13*ORÇAMENTO!$AF$11)),
         0)</f>
        <v>308.89999999999998</v>
      </c>
      <c r="AL186" s="452">
        <f ca="1">IF(AND($D186="Serviço",AL$12&lt;&gt;0,$H186&gt;0,OR(AUTOEVENTO&lt;&gt;"manual",$M186&lt;&gt;$A$15)),
        IF(Import.TipoArredondamento&lt;&gt;"TransfereGOV",
              ROUND(OFFSET($P186,0,AL$13),15-13*ORÇAMENTO!$AF$7)/$H186*OFFSET(ORÇAMENTO!$X$15,ROW(AL186)-ROW(AL$15),0),
              ROUND(ROUND(OFFSET($P186,0,AL$13),15-13*ORÇAMENTO!$AF$7)*OFFSET(ORÇAMENTO!$W$15,ROW(AL186)-ROW(AL$15),0),15-13*ORÇAMENTO!$AF$11)),
         0)</f>
        <v>308.89999999999998</v>
      </c>
      <c r="AM186" s="452">
        <f ca="1">IF(AND($D186="Serviço",AM$12&lt;&gt;0,$H186&gt;0,OR(AUTOEVENTO&lt;&gt;"manual",$M186&lt;&gt;$A$15)),
        IF(Import.TipoArredondamento&lt;&gt;"TransfereGOV",
              ROUND(OFFSET($P186,0,AM$13),15-13*ORÇAMENTO!$AF$7)/$H186*OFFSET(ORÇAMENTO!$X$15,ROW(AM186)-ROW(AM$15),0),
              ROUND(ROUND(OFFSET($P186,0,AM$13),15-13*ORÇAMENTO!$AF$7)*OFFSET(ORÇAMENTO!$W$15,ROW(AM186)-ROW(AM$15),0),15-13*ORÇAMENTO!$AF$11)),
         0)</f>
        <v>308.89999999999998</v>
      </c>
      <c r="AN186" s="452">
        <f ca="1">IF(AND($D186="Serviço",AN$12&lt;&gt;0,$H186&gt;0,OR(AUTOEVENTO&lt;&gt;"manual",$M186&lt;&gt;$A$15)),
        IF(Import.TipoArredondamento&lt;&gt;"TransfereGOV",
              ROUND(OFFSET($P186,0,AN$13),15-13*ORÇAMENTO!$AF$7)/$H186*OFFSET(ORÇAMENTO!$X$15,ROW(AN186)-ROW(AN$15),0),
              ROUND(ROUND(OFFSET($P186,0,AN$13),15-13*ORÇAMENTO!$AF$7)*OFFSET(ORÇAMENTO!$W$15,ROW(AN186)-ROW(AN$15),0),15-13*ORÇAMENTO!$AF$11)),
         0)</f>
        <v>0</v>
      </c>
      <c r="AO186" s="452">
        <f ca="1">IF(AND($D186="Serviço",AO$12&lt;&gt;0,$H186&gt;0,OR(AUTOEVENTO&lt;&gt;"manual",$M186&lt;&gt;$A$15)),
        IF(Import.TipoArredondamento&lt;&gt;"TransfereGOV",
              ROUND(OFFSET($P186,0,AO$13),15-13*ORÇAMENTO!$AF$7)/$H186*OFFSET(ORÇAMENTO!$X$15,ROW(AO186)-ROW(AO$15),0),
              ROUND(ROUND(OFFSET($P186,0,AO$13),15-13*ORÇAMENTO!$AF$7)*OFFSET(ORÇAMENTO!$W$15,ROW(AO186)-ROW(AO$15),0),15-13*ORÇAMENTO!$AF$11)),
         0)</f>
        <v>0</v>
      </c>
      <c r="AP186" s="452">
        <f ca="1">IF(AND($D186="Serviço",AP$12&lt;&gt;0,$H186&gt;0,OR(AUTOEVENTO&lt;&gt;"manual",$M186&lt;&gt;$A$15)),
        IF(Import.TipoArredondamento&lt;&gt;"TransfereGOV",
              ROUND(OFFSET($P186,0,AP$13),15-13*ORÇAMENTO!$AF$7)/$H186*OFFSET(ORÇAMENTO!$X$15,ROW(AP186)-ROW(AP$15),0),
              ROUND(ROUND(OFFSET($P186,0,AP$13),15-13*ORÇAMENTO!$AF$7)*OFFSET(ORÇAMENTO!$W$15,ROW(AP186)-ROW(AP$15),0),15-13*ORÇAMENTO!$AF$11)),
         0)</f>
        <v>0</v>
      </c>
      <c r="AQ186" s="452">
        <f ca="1">IF(AND($D186="Serviço",AQ$12&lt;&gt;0,$H186&gt;0,OR(AUTOEVENTO&lt;&gt;"manual",$M186&lt;&gt;$A$15)),
        IF(Import.TipoArredondamento&lt;&gt;"TransfereGOV",
              ROUND(OFFSET($P186,0,AQ$13),15-13*ORÇAMENTO!$AF$7)/$H186*OFFSET(ORÇAMENTO!$X$15,ROW(AQ186)-ROW(AQ$15),0),
              ROUND(ROUND(OFFSET($P186,0,AQ$13),15-13*ORÇAMENTO!$AF$7)*OFFSET(ORÇAMENTO!$W$15,ROW(AQ186)-ROW(AQ$15),0),15-13*ORÇAMENTO!$AF$11)),
         0)</f>
        <v>0</v>
      </c>
      <c r="AR186" s="452">
        <f ca="1">IF(AND($D186="Serviço",AR$12&lt;&gt;0,$H186&gt;0,OR(AUTOEVENTO&lt;&gt;"manual",$M186&lt;&gt;$A$15)),
        IF(Import.TipoArredondamento&lt;&gt;"TransfereGOV",
              ROUND(OFFSET($P186,0,AR$13),15-13*ORÇAMENTO!$AF$7)/$H186*OFFSET(ORÇAMENTO!$X$15,ROW(AR186)-ROW(AR$15),0),
              ROUND(ROUND(OFFSET($P186,0,AR$13),15-13*ORÇAMENTO!$AF$7)*OFFSET(ORÇAMENTO!$W$15,ROW(AR186)-ROW(AR$15),0),15-13*ORÇAMENTO!$AF$11)),
         0)</f>
        <v>0</v>
      </c>
      <c r="AS186" s="452">
        <f ca="1">IF(AND($D186="Serviço",AS$12&lt;&gt;0,$H186&gt;0,OR(AUTOEVENTO&lt;&gt;"manual",$M186&lt;&gt;$A$15)),
        IF(Import.TipoArredondamento&lt;&gt;"TransfereGOV",
              ROUND(OFFSET($P186,0,AS$13),15-13*ORÇAMENTO!$AF$7)/$H186*OFFSET(ORÇAMENTO!$X$15,ROW(AS186)-ROW(AS$15),0),
              ROUND(ROUND(OFFSET($P186,0,AS$13),15-13*ORÇAMENTO!$AF$7)*OFFSET(ORÇAMENTO!$W$15,ROW(AS186)-ROW(AS$15),0),15-13*ORÇAMENTO!$AF$11)),
         0)</f>
        <v>0</v>
      </c>
      <c r="AT186" s="452">
        <f ca="1">IF(AND($D186="Serviço",AT$12&lt;&gt;0,$H186&gt;0,OR(AUTOEVENTO&lt;&gt;"manual",$M186&lt;&gt;$A$15)),
        IF(Import.TipoArredondamento&lt;&gt;"TransfereGOV",
              ROUND(OFFSET($P186,0,AT$13),15-13*ORÇAMENTO!$AF$7)/$H186*OFFSET(ORÇAMENTO!$X$15,ROW(AT186)-ROW(AT$15),0),
              ROUND(ROUND(OFFSET($P186,0,AT$13),15-13*ORÇAMENTO!$AF$7)*OFFSET(ORÇAMENTO!$W$15,ROW(AT186)-ROW(AT$15),0),15-13*ORÇAMENTO!$AF$11)),
         0)</f>
        <v>0</v>
      </c>
      <c r="AU186" s="452">
        <f ca="1">IF(AND($D186="Serviço",AU$12&lt;&gt;0,$H186&gt;0,OR(AUTOEVENTO&lt;&gt;"manual",$M186&lt;&gt;$A$15)),
        IF(Import.TipoArredondamento&lt;&gt;"TransfereGOV",
              ROUND(OFFSET($P186,0,AU$13),15-13*ORÇAMENTO!$AF$7)/$H186*OFFSET(ORÇAMENTO!$X$15,ROW(AU186)-ROW(AU$15),0),
              ROUND(ROUND(OFFSET($P186,0,AU$13),15-13*ORÇAMENTO!$AF$7)*OFFSET(ORÇAMENTO!$W$15,ROW(AU186)-ROW(AU$15),0),15-13*ORÇAMENTO!$AF$11)),
         0)</f>
        <v>0</v>
      </c>
      <c r="AV186" s="452">
        <f ca="1">IF(AND($D186="Serviço",AV$12&lt;&gt;0,$H186&gt;0,OR(AUTOEVENTO&lt;&gt;"manual",$M186&lt;&gt;$A$15)),
        IF(Import.TipoArredondamento&lt;&gt;"TransfereGOV",
              ROUND(OFFSET($P186,0,AV$13),15-13*ORÇAMENTO!$AF$7)/$H186*OFFSET(ORÇAMENTO!$X$15,ROW(AV186)-ROW(AV$15),0),
              ROUND(ROUND(OFFSET($P186,0,AV$13),15-13*ORÇAMENTO!$AF$7)*OFFSET(ORÇAMENTO!$W$15,ROW(AV186)-ROW(AV$15),0),15-13*ORÇAMENTO!$AF$11)),
         0)</f>
        <v>0</v>
      </c>
      <c r="AW186" s="452">
        <f ca="1">IF(AND($D186="Serviço",AW$12&lt;&gt;0,$H186&gt;0,OR(AUTOEVENTO&lt;&gt;"manual",$M186&lt;&gt;$A$15)),
        IF(Import.TipoArredondamento&lt;&gt;"TransfereGOV",
              ROUND(OFFSET($P186,0,AW$13),15-13*ORÇAMENTO!$AF$7)/$H186*OFFSET(ORÇAMENTO!$X$15,ROW(AW186)-ROW(AW$15),0),
              ROUND(ROUND(OFFSET($P186,0,AW$13),15-13*ORÇAMENTO!$AF$7)*OFFSET(ORÇAMENTO!$W$15,ROW(AW186)-ROW(AW$15),0),15-13*ORÇAMENTO!$AF$11)),
         0)</f>
        <v>0</v>
      </c>
      <c r="AX186" s="452">
        <f ca="1">IF(AND($D186="Serviço",AX$12&lt;&gt;0,$H186&gt;0,OR(AUTOEVENTO&lt;&gt;"manual",$M186&lt;&gt;$A$15)),
        IF(Import.TipoArredondamento&lt;&gt;"TransfereGOV",
              ROUND(OFFSET($P186,0,AX$13),15-13*ORÇAMENTO!$AF$7)/$H186*OFFSET(ORÇAMENTO!$X$15,ROW(AX186)-ROW(AX$15),0),
              ROUND(ROUND(OFFSET($P186,0,AX$13),15-13*ORÇAMENTO!$AF$7)*OFFSET(ORÇAMENTO!$W$15,ROW(AX186)-ROW(AX$15),0),15-13*ORÇAMENTO!$AF$11)),
         0)</f>
        <v>0</v>
      </c>
      <c r="AY186" s="452">
        <f ca="1">IF(AND($D186="Serviço",AY$12&lt;&gt;0,$H186&gt;0,OR(AUTOEVENTO&lt;&gt;"manual",$M186&lt;&gt;$A$15)),
        IF(Import.TipoArredondamento&lt;&gt;"TransfereGOV",
              ROUND(OFFSET($P186,0,AY$13),15-13*ORÇAMENTO!$AF$7)/$H186*OFFSET(ORÇAMENTO!$X$15,ROW(AY186)-ROW(AY$15),0),
              ROUND(ROUND(OFFSET($P186,0,AY$13),15-13*ORÇAMENTO!$AF$7)*OFFSET(ORÇAMENTO!$W$15,ROW(AY186)-ROW(AY$15),0),15-13*ORÇAMENTO!$AF$11)),
         0)</f>
        <v>0</v>
      </c>
      <c r="AZ186" s="452">
        <f ca="1">IF(AND($D186="Serviço",AZ$12&lt;&gt;0,$H186&gt;0,OR(AUTOEVENTO&lt;&gt;"manual",$M186&lt;&gt;$A$15)),
        IF(Import.TipoArredondamento&lt;&gt;"TransfereGOV",
              ROUND(OFFSET($P186,0,AZ$13),15-13*ORÇAMENTO!$AF$7)/$H186*OFFSET(ORÇAMENTO!$X$15,ROW(AZ186)-ROW(AZ$15),0),
              ROUND(ROUND(OFFSET($P186,0,AZ$13),15-13*ORÇAMENTO!$AF$7)*OFFSET(ORÇAMENTO!$W$15,ROW(AZ186)-ROW(AZ$15),0),15-13*ORÇAMENTO!$AF$11)),
         0)</f>
        <v>0</v>
      </c>
      <c r="BA186" s="452">
        <f ca="1">IF(AND($D186="Serviço",BA$12&lt;&gt;0,$H186&gt;0,OR(AUTOEVENTO&lt;&gt;"manual",$M186&lt;&gt;$A$15)),
        IF(Import.TipoArredondamento&lt;&gt;"TransfereGOV",
              ROUND(OFFSET($P186,0,BA$13),15-13*ORÇAMENTO!$AF$7)/$H186*OFFSET(ORÇAMENTO!$X$15,ROW(BA186)-ROW(BA$15),0),
              ROUND(ROUND(OFFSET($P186,0,BA$13),15-13*ORÇAMENTO!$AF$7)*OFFSET(ORÇAMENTO!$W$15,ROW(BA186)-ROW(BA$15),0),15-13*ORÇAMENTO!$AF$11)),
         0)</f>
        <v>0</v>
      </c>
      <c r="BC186" s="171">
        <f ca="1">IF(OR($D186&lt;&gt;"Serviço",AND(AUTOEVENTO="Manual",$M186=$A$15)),0,
         IF(OFFSET(CRONOPLE!$F$15,$M186-$A$15,BC$13)=0,10^12,OFFSET(CRONOPLE!$F$15,$M186-$A$15,BC$13)))</f>
        <v>4</v>
      </c>
      <c r="BD186" s="171">
        <f ca="1">IF(OR($D186&lt;&gt;"Serviço",AND(AUTOEVENTO="Manual",$M186=$A$15)),0,
         IF(OFFSET(CRONOPLE!$F$15,$M186-$A$15,BD$13)=0,10^12,OFFSET(CRONOPLE!$F$15,$M186-$A$15,BD$13)))</f>
        <v>4</v>
      </c>
      <c r="BE186" s="171">
        <f ca="1">IF(OR($D186&lt;&gt;"Serviço",AND(AUTOEVENTO="Manual",$M186=$A$15)),0,
         IF(OFFSET(CRONOPLE!$F$15,$M186-$A$15,BE$13)=0,10^12,OFFSET(CRONOPLE!$F$15,$M186-$A$15,BE$13)))</f>
        <v>5</v>
      </c>
      <c r="BF186" s="171">
        <f ca="1">IF(OR($D186&lt;&gt;"Serviço",AND(AUTOEVENTO="Manual",$M186=$A$15)),0,
         IF(OFFSET(CRONOPLE!$F$15,$M186-$A$15,BF$13)=0,10^12,OFFSET(CRONOPLE!$F$15,$M186-$A$15,BF$13)))</f>
        <v>5</v>
      </c>
      <c r="BG186" s="171">
        <f ca="1">IF(OR($D186&lt;&gt;"Serviço",AND(AUTOEVENTO="Manual",$M186=$A$15)),0,
         IF(OFFSET(CRONOPLE!$F$15,$M186-$A$15,BG$13)=0,10^12,OFFSET(CRONOPLE!$F$15,$M186-$A$15,BG$13)))</f>
        <v>5</v>
      </c>
      <c r="BH186" s="171">
        <f ca="1">IF(OR($D186&lt;&gt;"Serviço",AND(AUTOEVENTO="Manual",$M186=$A$15)),0,
         IF(OFFSET(CRONOPLE!$F$15,$M186-$A$15,BH$13)=0,10^12,OFFSET(CRONOPLE!$F$15,$M186-$A$15,BH$13)))</f>
        <v>1000000000000</v>
      </c>
      <c r="BI186" s="171">
        <f ca="1">IF(OR($D186&lt;&gt;"Serviço",AND(AUTOEVENTO="Manual",$M186=$A$15)),0,
         IF(OFFSET(CRONOPLE!$F$15,$M186-$A$15,BI$13)=0,10^12,OFFSET(CRONOPLE!$F$15,$M186-$A$15,BI$13)))</f>
        <v>1000000000000</v>
      </c>
      <c r="BJ186" s="171">
        <f ca="1">IF(OR($D186&lt;&gt;"Serviço",AND(AUTOEVENTO="Manual",$M186=$A$15)),0,
         IF(OFFSET(CRONOPLE!$F$15,$M186-$A$15,BJ$13)=0,10^12,OFFSET(CRONOPLE!$F$15,$M186-$A$15,BJ$13)))</f>
        <v>1000000000000</v>
      </c>
      <c r="BK186" s="171">
        <f ca="1">IF(OR($D186&lt;&gt;"Serviço",AND(AUTOEVENTO="Manual",$M186=$A$15)),0,
         IF(OFFSET(CRONOPLE!$F$15,$M186-$A$15,BK$13)=0,10^12,OFFSET(CRONOPLE!$F$15,$M186-$A$15,BK$13)))</f>
        <v>1000000000000</v>
      </c>
      <c r="BL186" s="171">
        <f ca="1">IF(OR($D186&lt;&gt;"Serviço",AND(AUTOEVENTO="Manual",$M186=$A$15)),0,
         IF(OFFSET(CRONOPLE!$F$15,$M186-$A$15,BL$13)=0,10^12,OFFSET(CRONOPLE!$F$15,$M186-$A$15,BL$13)))</f>
        <v>1000000000000</v>
      </c>
      <c r="BM186" s="171">
        <f ca="1">IF(OR($D186&lt;&gt;"Serviço",AND(AUTOEVENTO="Manual",$M186=$A$15)),0,
         IF(OFFSET(CRONOPLE!$F$15,$M186-$A$15,BM$13)=0,10^12,OFFSET(CRONOPLE!$F$15,$M186-$A$15,BM$13)))</f>
        <v>1000000000000</v>
      </c>
      <c r="BN186" s="171">
        <f ca="1">IF(OR($D186&lt;&gt;"Serviço",AND(AUTOEVENTO="Manual",$M186=$A$15)),0,
         IF(OFFSET(CRONOPLE!$F$15,$M186-$A$15,BN$13)=0,10^12,OFFSET(CRONOPLE!$F$15,$M186-$A$15,BN$13)))</f>
        <v>1000000000000</v>
      </c>
      <c r="BO186" s="171">
        <f ca="1">IF(OR($D186&lt;&gt;"Serviço",AND(AUTOEVENTO="Manual",$M186=$A$15)),0,
         IF(OFFSET(CRONOPLE!$F$15,$M186-$A$15,BO$13)=0,10^12,OFFSET(CRONOPLE!$F$15,$M186-$A$15,BO$13)))</f>
        <v>1000000000000</v>
      </c>
      <c r="BP186" s="171">
        <f ca="1">IF(OR($D186&lt;&gt;"Serviço",AND(AUTOEVENTO="Manual",$M186=$A$15)),0,
         IF(OFFSET(CRONOPLE!$F$15,$M186-$A$15,BP$13)=0,10^12,OFFSET(CRONOPLE!$F$15,$M186-$A$15,BP$13)))</f>
        <v>1000000000000</v>
      </c>
      <c r="BQ186" s="171">
        <f ca="1">IF(OR($D186&lt;&gt;"Serviço",AND(AUTOEVENTO="Manual",$M186=$A$15)),0,
         IF(OFFSET(CRONOPLE!$F$15,$M186-$A$15,BQ$13)=0,10^12,OFFSET(CRONOPLE!$F$15,$M186-$A$15,BQ$13)))</f>
        <v>1000000000000</v>
      </c>
      <c r="BR186" s="171">
        <f ca="1">IF(OR($D186&lt;&gt;"Serviço",AND(AUTOEVENTO="Manual",$M186=$A$15)),0,
         IF(OFFSET(CRONOPLE!$F$15,$M186-$A$15,BR$13)=0,10^12,OFFSET(CRONOPLE!$F$15,$M186-$A$15,BR$13)))</f>
        <v>1000000000000</v>
      </c>
      <c r="BS186" s="171">
        <f ca="1">IF(OR($D186&lt;&gt;"Serviço",AND(AUTOEVENTO="Manual",$M186=$A$15)),0,
         IF(OFFSET(CRONOPLE!$F$15,$M186-$A$15,BS$13)=0,10^12,OFFSET(CRONOPLE!$F$15,$M186-$A$15,BS$13)))</f>
        <v>1000000000000</v>
      </c>
      <c r="BT186" s="171">
        <f ca="1">IF(OR($D186&lt;&gt;"Serviço",AND(AUTOEVENTO="Manual",$M186=$A$15)),0,
         IF(OFFSET(CRONOPLE!$F$15,$M186-$A$15,BT$13)=0,10^12,OFFSET(CRONOPLE!$F$15,$M186-$A$15,BT$13)))</f>
        <v>1000000000000</v>
      </c>
      <c r="BV186" s="172">
        <f t="array" aca="1" ref="BV186" ca="1">IF(OR($D186&lt;&gt;"Serviço",AND(AUTOEVENTO="Manual",$M186=$A$15),$M186&gt;(ROW(PLE.lastrow)-ROW(PLE.firstrow))),0,
           IF(OFFSET(PLE!$G$15,$M186-$A$15,BV$13)="",10^12,OFFSET(PLE!$G$15,$M186-$A$15,BV$13)))</f>
        <v>1000000000000</v>
      </c>
      <c r="BW186" s="172">
        <f t="array" aca="1" ref="BW186" ca="1">IF(OR($D186&lt;&gt;"Serviço",AND(AUTOEVENTO="Manual",$M186=$A$15),$M186&gt;(ROW(PLE.lastrow)-ROW(PLE.firstrow))),0,
           IF(OFFSET(PLE!$G$15,$M186-$A$15,BW$13)="",10^12,OFFSET(PLE!$G$15,$M186-$A$15,BW$13)))</f>
        <v>1000000000000</v>
      </c>
      <c r="BX186" s="172">
        <f t="array" aca="1" ref="BX186" ca="1">IF(OR($D186&lt;&gt;"Serviço",AND(AUTOEVENTO="Manual",$M186=$A$15),$M186&gt;(ROW(PLE.lastrow)-ROW(PLE.firstrow))),0,
           IF(OFFSET(PLE!$G$15,$M186-$A$15,BX$13)="",10^12,OFFSET(PLE!$G$15,$M186-$A$15,BX$13)))</f>
        <v>1000000000000</v>
      </c>
      <c r="BY186" s="172">
        <f t="array" aca="1" ref="BY186" ca="1">IF(OR($D186&lt;&gt;"Serviço",AND(AUTOEVENTO="Manual",$M186=$A$15),$M186&gt;(ROW(PLE.lastrow)-ROW(PLE.firstrow))),0,
           IF(OFFSET(PLE!$G$15,$M186-$A$15,BY$13)="",10^12,OFFSET(PLE!$G$15,$M186-$A$15,BY$13)))</f>
        <v>1000000000000</v>
      </c>
      <c r="BZ186" s="172">
        <f t="array" aca="1" ref="BZ186" ca="1">IF(OR($D186&lt;&gt;"Serviço",AND(AUTOEVENTO="Manual",$M186=$A$15),$M186&gt;(ROW(PLE.lastrow)-ROW(PLE.firstrow))),0,
           IF(OFFSET(PLE!$G$15,$M186-$A$15,BZ$13)="",10^12,OFFSET(PLE!$G$15,$M186-$A$15,BZ$13)))</f>
        <v>1000000000000</v>
      </c>
      <c r="CA186" s="172">
        <f t="array" aca="1" ref="CA186" ca="1">IF(OR($D186&lt;&gt;"Serviço",AND(AUTOEVENTO="Manual",$M186=$A$15),$M186&gt;(ROW(PLE.lastrow)-ROW(PLE.firstrow))),0,
           IF(OFFSET(PLE!$G$15,$M186-$A$15,CA$13)="",10^12,OFFSET(PLE!$G$15,$M186-$A$15,CA$13)))</f>
        <v>1000000000000</v>
      </c>
      <c r="CB186" s="172">
        <f t="array" aca="1" ref="CB186" ca="1">IF(OR($D186&lt;&gt;"Serviço",AND(AUTOEVENTO="Manual",$M186=$A$15),$M186&gt;(ROW(PLE.lastrow)-ROW(PLE.firstrow))),0,
           IF(OFFSET(PLE!$G$15,$M186-$A$15,CB$13)="",10^12,OFFSET(PLE!$G$15,$M186-$A$15,CB$13)))</f>
        <v>1000000000000</v>
      </c>
      <c r="CC186" s="172">
        <f t="array" aca="1" ref="CC186" ca="1">IF(OR($D186&lt;&gt;"Serviço",AND(AUTOEVENTO="Manual",$M186=$A$15),$M186&gt;(ROW(PLE.lastrow)-ROW(PLE.firstrow))),0,
           IF(OFFSET(PLE!$G$15,$M186-$A$15,CC$13)="",10^12,OFFSET(PLE!$G$15,$M186-$A$15,CC$13)))</f>
        <v>1000000000000</v>
      </c>
      <c r="CD186" s="172">
        <f t="array" aca="1" ref="CD186" ca="1">IF(OR($D186&lt;&gt;"Serviço",AND(AUTOEVENTO="Manual",$M186=$A$15),$M186&gt;(ROW(PLE.lastrow)-ROW(PLE.firstrow))),0,
           IF(OFFSET(PLE!$G$15,$M186-$A$15,CD$13)="",10^12,OFFSET(PLE!$G$15,$M186-$A$15,CD$13)))</f>
        <v>1000000000000</v>
      </c>
      <c r="CE186" s="172">
        <f t="array" aca="1" ref="CE186" ca="1">IF(OR($D186&lt;&gt;"Serviço",AND(AUTOEVENTO="Manual",$M186=$A$15),$M186&gt;(ROW(PLE.lastrow)-ROW(PLE.firstrow))),0,
           IF(OFFSET(PLE!$G$15,$M186-$A$15,CE$13)="",10^12,OFFSET(PLE!$G$15,$M186-$A$15,CE$13)))</f>
        <v>1000000000000</v>
      </c>
      <c r="CF186" s="172">
        <f t="array" aca="1" ref="CF186" ca="1">IF(OR($D186&lt;&gt;"Serviço",AND(AUTOEVENTO="Manual",$M186=$A$15),$M186&gt;(ROW(PLE.lastrow)-ROW(PLE.firstrow))),0,
           IF(OFFSET(PLE!$G$15,$M186-$A$15,CF$13)="",10^12,OFFSET(PLE!$G$15,$M186-$A$15,CF$13)))</f>
        <v>1000000000000</v>
      </c>
      <c r="CG186" s="172">
        <f t="array" aca="1" ref="CG186" ca="1">IF(OR($D186&lt;&gt;"Serviço",AND(AUTOEVENTO="Manual",$M186=$A$15),$M186&gt;(ROW(PLE.lastrow)-ROW(PLE.firstrow))),0,
           IF(OFFSET(PLE!$G$15,$M186-$A$15,CG$13)="",10^12,OFFSET(PLE!$G$15,$M186-$A$15,CG$13)))</f>
        <v>1000000000000</v>
      </c>
      <c r="CH186" s="172">
        <f t="array" aca="1" ref="CH186" ca="1">IF(OR($D186&lt;&gt;"Serviço",AND(AUTOEVENTO="Manual",$M186=$A$15),$M186&gt;(ROW(PLE.lastrow)-ROW(PLE.firstrow))),0,
           IF(OFFSET(PLE!$G$15,$M186-$A$15,CH$13)="",10^12,OFFSET(PLE!$G$15,$M186-$A$15,CH$13)))</f>
        <v>1000000000000</v>
      </c>
      <c r="CI186" s="172">
        <f t="array" aca="1" ref="CI186" ca="1">IF(OR($D186&lt;&gt;"Serviço",AND(AUTOEVENTO="Manual",$M186=$A$15),$M186&gt;(ROW(PLE.lastrow)-ROW(PLE.firstrow))),0,
           IF(OFFSET(PLE!$G$15,$M186-$A$15,CI$13)="",10^12,OFFSET(PLE!$G$15,$M186-$A$15,CI$13)))</f>
        <v>1000000000000</v>
      </c>
      <c r="CJ186" s="172">
        <f t="array" aca="1" ref="CJ186" ca="1">IF(OR($D186&lt;&gt;"Serviço",AND(AUTOEVENTO="Manual",$M186=$A$15),$M186&gt;(ROW(PLE.lastrow)-ROW(PLE.firstrow))),0,
           IF(OFFSET(PLE!$G$15,$M186-$A$15,CJ$13)="",10^12,OFFSET(PLE!$G$15,$M186-$A$15,CJ$13)))</f>
        <v>1000000000000</v>
      </c>
      <c r="CK186" s="172">
        <f t="array" aca="1" ref="CK186" ca="1">IF(OR($D186&lt;&gt;"Serviço",AND(AUTOEVENTO="Manual",$M186=$A$15),$M186&gt;(ROW(PLE.lastrow)-ROW(PLE.firstrow))),0,
           IF(OFFSET(PLE!$G$15,$M186-$A$15,CK$13)="",10^12,OFFSET(PLE!$G$15,$M186-$A$15,CK$13)))</f>
        <v>1000000000000</v>
      </c>
      <c r="CL186" s="172">
        <f t="array" aca="1" ref="CL186" ca="1">IF(OR($D186&lt;&gt;"Serviço",AND(AUTOEVENTO="Manual",$M186=$A$15),$M186&gt;(ROW(PLE.lastrow)-ROW(PLE.firstrow))),0,
           IF(OFFSET(PLE!$G$15,$M186-$A$15,CL$13)="",10^12,OFFSET(PLE!$G$15,$M186-$A$15,CL$13)))</f>
        <v>1000000000000</v>
      </c>
      <c r="CM186" s="172">
        <f t="array" aca="1" ref="CM186" ca="1">IF(OR($D186&lt;&gt;"Serviço",AND(AUTOEVENTO="Manual",$M186=$A$15),$M186&gt;(ROW(PLE.lastrow)-ROW(PLE.firstrow))),0,
           IF(OFFSET(PLE!$G$15,$M186-$A$15,CM$13)="",10^12,OFFSET(PLE!$G$15,$M186-$A$15,CM$13)))</f>
        <v>1000000000000</v>
      </c>
    </row>
    <row r="187" spans="1:91" s="696" customFormat="1" ht="63.75" x14ac:dyDescent="0.2">
      <c r="A187" s="694">
        <f t="shared" ca="1" si="82"/>
        <v>39</v>
      </c>
      <c r="B187" s="694" t="str">
        <f ca="1">OFFSET(ORÇAMENTO!C$15,$L187,0)</f>
        <v>S</v>
      </c>
      <c r="C187" s="694" t="str">
        <f ca="1">OFFSET(ORÇAMENTO!L$15,$L187,0)</f>
        <v>F</v>
      </c>
      <c r="D187" s="116" t="str">
        <f ca="1">OFFSET(ORÇAMENTO!N$15,$L187,0)</f>
        <v>Serviço</v>
      </c>
      <c r="E187" s="117" t="str">
        <f ca="1">OFFSET(ORÇAMENTO!O$15,$L187,0)</f>
        <v>1.29.6.</v>
      </c>
      <c r="F187" s="163" t="str">
        <f ca="1">OFFSET(ORÇAMENTO!R$15,$L187,0)</f>
        <v>TORNEIRA DE BOIA PARA CAIXA D'ÁGUA, ROSCÁVEL, 3/4" - FORNECIMENTO E INSTALAÇÃO. AF_08/2021</v>
      </c>
      <c r="G187" s="164" t="str">
        <f ca="1">IF($D187&lt;&gt;"Serviço","",OFFSET(ORÇAMENTO!S$15,$L187,0))</f>
        <v>UN</v>
      </c>
      <c r="H187" s="122">
        <f t="array" aca="1" ref="H187" ca="1">IF($D187&lt;&gt;"Serviço",0,IF(ACOMPANHAMENTO="BM",ROUND(OFFSET(ORÇAMENTO!AJ$15,$L187,0),15-13*ORÇAMENTO!$AF$7),IF(IFERROR(CÁLCULO.FrentesPreenchidas,0)=0,0,SUM(ROUND(OFFSET($P187,0,1,1,CÁLCULO.FrentesPreenchidas),15-13*ORÇAMENTO!$AF$7)))))</f>
        <v>20</v>
      </c>
      <c r="I187" s="467" t="s">
        <v>1324</v>
      </c>
      <c r="J187" s="653" t="str">
        <f t="array" aca="1" ref="J187" ca="1">IF(OR(B187&lt;&gt;"S",CÁLCULO.FrentesPreenchidas=0),"",IF(AND(ACOMPANHAMENTO="PLE",AUTOEVENTO="Manual",OR(H187&gt;0,ORÇAMENTO!AC187="QUANT."),OR(K187="",M187=0,N187="")),"►E",IF(AND(ACOMPANHAMENTO="PLE",ORÇAMENTO!AC187="QUANT."),"►Q",IF(AND(ACOMPANHAMENTO="PLE",H187&lt;&gt;SUMPRODUCT(($Q$1:$AI$1=1)*ROUND(Q187:AI187,15))),"►S",IF(AND(COUNTIF($P$11:$AI$11,"▼")=0,H187&gt;0,I187=""),"◄M","")))))</f>
        <v/>
      </c>
      <c r="K187" s="654" t="s">
        <v>1446</v>
      </c>
      <c r="L187" s="165">
        <f t="shared" ca="1" si="83"/>
        <v>172</v>
      </c>
      <c r="M187" s="166">
        <f ca="1">IF($D187&lt;&gt;"Serviço","",
          IF(AUTOEVENTO="manual",$A187,
                IF(ISERROR(MATCH($A187,$A$15:OFFSET($A187,-1,0),0)),MAX($M$15:OFFSET(M187,-1,0))+1,
                      INDEX($M$15:OFFSET(M187,-1,0),MATCH($A187,$A$15:OFFSET($A187,-1,0),0)))))</f>
        <v>39</v>
      </c>
      <c r="N187" s="167" t="str">
        <f ca="1">IF($D187&lt;&gt;"Serviço","",
         IF(AUTOEVENTO="Manual",
                IF($A187=0,"&lt;-- defina o número do agrupador",
                       OFFSET(EVENTOS!$D$15,$A187-$A$15,0)),
                OFFSET($F$15,$A187,0)))</f>
        <v>RESERVATÓRIO DE ÁGUA</v>
      </c>
      <c r="O187" s="168"/>
      <c r="Q187" s="169">
        <v>5</v>
      </c>
      <c r="R187" s="169">
        <v>5</v>
      </c>
      <c r="S187" s="169">
        <v>5</v>
      </c>
      <c r="T187" s="169">
        <v>5</v>
      </c>
      <c r="U187" s="169"/>
      <c r="V187" s="169"/>
      <c r="W187" s="169"/>
      <c r="X187" s="169"/>
      <c r="Y187" s="169"/>
      <c r="Z187" s="170"/>
      <c r="AA187" s="169"/>
      <c r="AB187" s="169"/>
      <c r="AC187" s="169"/>
      <c r="AD187" s="169"/>
      <c r="AE187" s="169"/>
      <c r="AF187" s="169"/>
      <c r="AG187" s="169"/>
      <c r="AH187" s="170"/>
      <c r="AJ187" s="452">
        <f ca="1">IF(AND($D187="Serviço",AJ$12&lt;&gt;0,$H187&gt;0,OR(AUTOEVENTO&lt;&gt;"manual",$M187&lt;&gt;$A$15)),
        IF(Import.TipoArredondamento&lt;&gt;"TransfereGOV",
              ROUND(OFFSET($P187,0,AJ$13),15-13*ORÇAMENTO!$AF$7)/$H187*OFFSET(ORÇAMENTO!$X$15,ROW(AJ187)-ROW(AJ$15),0),
              ROUND(ROUND(OFFSET($P187,0,AJ$13),15-13*ORÇAMENTO!$AF$7)*OFFSET(ORÇAMENTO!$W$15,ROW(AJ187)-ROW(AJ$15),0),15-13*ORÇAMENTO!$AF$11)),
         0)</f>
        <v>210.65</v>
      </c>
      <c r="AK187" s="452">
        <f ca="1">IF(AND($D187="Serviço",AK$12&lt;&gt;0,$H187&gt;0,OR(AUTOEVENTO&lt;&gt;"manual",$M187&lt;&gt;$A$15)),
        IF(Import.TipoArredondamento&lt;&gt;"TransfereGOV",
              ROUND(OFFSET($P187,0,AK$13),15-13*ORÇAMENTO!$AF$7)/$H187*OFFSET(ORÇAMENTO!$X$15,ROW(AK187)-ROW(AK$15),0),
              ROUND(ROUND(OFFSET($P187,0,AK$13),15-13*ORÇAMENTO!$AF$7)*OFFSET(ORÇAMENTO!$W$15,ROW(AK187)-ROW(AK$15),0),15-13*ORÇAMENTO!$AF$11)),
         0)</f>
        <v>210.65</v>
      </c>
      <c r="AL187" s="452">
        <f ca="1">IF(AND($D187="Serviço",AL$12&lt;&gt;0,$H187&gt;0,OR(AUTOEVENTO&lt;&gt;"manual",$M187&lt;&gt;$A$15)),
        IF(Import.TipoArredondamento&lt;&gt;"TransfereGOV",
              ROUND(OFFSET($P187,0,AL$13),15-13*ORÇAMENTO!$AF$7)/$H187*OFFSET(ORÇAMENTO!$X$15,ROW(AL187)-ROW(AL$15),0),
              ROUND(ROUND(OFFSET($P187,0,AL$13),15-13*ORÇAMENTO!$AF$7)*OFFSET(ORÇAMENTO!$W$15,ROW(AL187)-ROW(AL$15),0),15-13*ORÇAMENTO!$AF$11)),
         0)</f>
        <v>210.65</v>
      </c>
      <c r="AM187" s="452">
        <f ca="1">IF(AND($D187="Serviço",AM$12&lt;&gt;0,$H187&gt;0,OR(AUTOEVENTO&lt;&gt;"manual",$M187&lt;&gt;$A$15)),
        IF(Import.TipoArredondamento&lt;&gt;"TransfereGOV",
              ROUND(OFFSET($P187,0,AM$13),15-13*ORÇAMENTO!$AF$7)/$H187*OFFSET(ORÇAMENTO!$X$15,ROW(AM187)-ROW(AM$15),0),
              ROUND(ROUND(OFFSET($P187,0,AM$13),15-13*ORÇAMENTO!$AF$7)*OFFSET(ORÇAMENTO!$W$15,ROW(AM187)-ROW(AM$15),0),15-13*ORÇAMENTO!$AF$11)),
         0)</f>
        <v>210.65</v>
      </c>
      <c r="AN187" s="452">
        <f ca="1">IF(AND($D187="Serviço",AN$12&lt;&gt;0,$H187&gt;0,OR(AUTOEVENTO&lt;&gt;"manual",$M187&lt;&gt;$A$15)),
        IF(Import.TipoArredondamento&lt;&gt;"TransfereGOV",
              ROUND(OFFSET($P187,0,AN$13),15-13*ORÇAMENTO!$AF$7)/$H187*OFFSET(ORÇAMENTO!$X$15,ROW(AN187)-ROW(AN$15),0),
              ROUND(ROUND(OFFSET($P187,0,AN$13),15-13*ORÇAMENTO!$AF$7)*OFFSET(ORÇAMENTO!$W$15,ROW(AN187)-ROW(AN$15),0),15-13*ORÇAMENTO!$AF$11)),
         0)</f>
        <v>0</v>
      </c>
      <c r="AO187" s="452">
        <f ca="1">IF(AND($D187="Serviço",AO$12&lt;&gt;0,$H187&gt;0,OR(AUTOEVENTO&lt;&gt;"manual",$M187&lt;&gt;$A$15)),
        IF(Import.TipoArredondamento&lt;&gt;"TransfereGOV",
              ROUND(OFFSET($P187,0,AO$13),15-13*ORÇAMENTO!$AF$7)/$H187*OFFSET(ORÇAMENTO!$X$15,ROW(AO187)-ROW(AO$15),0),
              ROUND(ROUND(OFFSET($P187,0,AO$13),15-13*ORÇAMENTO!$AF$7)*OFFSET(ORÇAMENTO!$W$15,ROW(AO187)-ROW(AO$15),0),15-13*ORÇAMENTO!$AF$11)),
         0)</f>
        <v>0</v>
      </c>
      <c r="AP187" s="452">
        <f ca="1">IF(AND($D187="Serviço",AP$12&lt;&gt;0,$H187&gt;0,OR(AUTOEVENTO&lt;&gt;"manual",$M187&lt;&gt;$A$15)),
        IF(Import.TipoArredondamento&lt;&gt;"TransfereGOV",
              ROUND(OFFSET($P187,0,AP$13),15-13*ORÇAMENTO!$AF$7)/$H187*OFFSET(ORÇAMENTO!$X$15,ROW(AP187)-ROW(AP$15),0),
              ROUND(ROUND(OFFSET($P187,0,AP$13),15-13*ORÇAMENTO!$AF$7)*OFFSET(ORÇAMENTO!$W$15,ROW(AP187)-ROW(AP$15),0),15-13*ORÇAMENTO!$AF$11)),
         0)</f>
        <v>0</v>
      </c>
      <c r="AQ187" s="452">
        <f ca="1">IF(AND($D187="Serviço",AQ$12&lt;&gt;0,$H187&gt;0,OR(AUTOEVENTO&lt;&gt;"manual",$M187&lt;&gt;$A$15)),
        IF(Import.TipoArredondamento&lt;&gt;"TransfereGOV",
              ROUND(OFFSET($P187,0,AQ$13),15-13*ORÇAMENTO!$AF$7)/$H187*OFFSET(ORÇAMENTO!$X$15,ROW(AQ187)-ROW(AQ$15),0),
              ROUND(ROUND(OFFSET($P187,0,AQ$13),15-13*ORÇAMENTO!$AF$7)*OFFSET(ORÇAMENTO!$W$15,ROW(AQ187)-ROW(AQ$15),0),15-13*ORÇAMENTO!$AF$11)),
         0)</f>
        <v>0</v>
      </c>
      <c r="AR187" s="452">
        <f ca="1">IF(AND($D187="Serviço",AR$12&lt;&gt;0,$H187&gt;0,OR(AUTOEVENTO&lt;&gt;"manual",$M187&lt;&gt;$A$15)),
        IF(Import.TipoArredondamento&lt;&gt;"TransfereGOV",
              ROUND(OFFSET($P187,0,AR$13),15-13*ORÇAMENTO!$AF$7)/$H187*OFFSET(ORÇAMENTO!$X$15,ROW(AR187)-ROW(AR$15),0),
              ROUND(ROUND(OFFSET($P187,0,AR$13),15-13*ORÇAMENTO!$AF$7)*OFFSET(ORÇAMENTO!$W$15,ROW(AR187)-ROW(AR$15),0),15-13*ORÇAMENTO!$AF$11)),
         0)</f>
        <v>0</v>
      </c>
      <c r="AS187" s="452">
        <f ca="1">IF(AND($D187="Serviço",AS$12&lt;&gt;0,$H187&gt;0,OR(AUTOEVENTO&lt;&gt;"manual",$M187&lt;&gt;$A$15)),
        IF(Import.TipoArredondamento&lt;&gt;"TransfereGOV",
              ROUND(OFFSET($P187,0,AS$13),15-13*ORÇAMENTO!$AF$7)/$H187*OFFSET(ORÇAMENTO!$X$15,ROW(AS187)-ROW(AS$15),0),
              ROUND(ROUND(OFFSET($P187,0,AS$13),15-13*ORÇAMENTO!$AF$7)*OFFSET(ORÇAMENTO!$W$15,ROW(AS187)-ROW(AS$15),0),15-13*ORÇAMENTO!$AF$11)),
         0)</f>
        <v>0</v>
      </c>
      <c r="AT187" s="452">
        <f ca="1">IF(AND($D187="Serviço",AT$12&lt;&gt;0,$H187&gt;0,OR(AUTOEVENTO&lt;&gt;"manual",$M187&lt;&gt;$A$15)),
        IF(Import.TipoArredondamento&lt;&gt;"TransfereGOV",
              ROUND(OFFSET($P187,0,AT$13),15-13*ORÇAMENTO!$AF$7)/$H187*OFFSET(ORÇAMENTO!$X$15,ROW(AT187)-ROW(AT$15),0),
              ROUND(ROUND(OFFSET($P187,0,AT$13),15-13*ORÇAMENTO!$AF$7)*OFFSET(ORÇAMENTO!$W$15,ROW(AT187)-ROW(AT$15),0),15-13*ORÇAMENTO!$AF$11)),
         0)</f>
        <v>0</v>
      </c>
      <c r="AU187" s="452">
        <f ca="1">IF(AND($D187="Serviço",AU$12&lt;&gt;0,$H187&gt;0,OR(AUTOEVENTO&lt;&gt;"manual",$M187&lt;&gt;$A$15)),
        IF(Import.TipoArredondamento&lt;&gt;"TransfereGOV",
              ROUND(OFFSET($P187,0,AU$13),15-13*ORÇAMENTO!$AF$7)/$H187*OFFSET(ORÇAMENTO!$X$15,ROW(AU187)-ROW(AU$15),0),
              ROUND(ROUND(OFFSET($P187,0,AU$13),15-13*ORÇAMENTO!$AF$7)*OFFSET(ORÇAMENTO!$W$15,ROW(AU187)-ROW(AU$15),0),15-13*ORÇAMENTO!$AF$11)),
         0)</f>
        <v>0</v>
      </c>
      <c r="AV187" s="452">
        <f ca="1">IF(AND($D187="Serviço",AV$12&lt;&gt;0,$H187&gt;0,OR(AUTOEVENTO&lt;&gt;"manual",$M187&lt;&gt;$A$15)),
        IF(Import.TipoArredondamento&lt;&gt;"TransfereGOV",
              ROUND(OFFSET($P187,0,AV$13),15-13*ORÇAMENTO!$AF$7)/$H187*OFFSET(ORÇAMENTO!$X$15,ROW(AV187)-ROW(AV$15),0),
              ROUND(ROUND(OFFSET($P187,0,AV$13),15-13*ORÇAMENTO!$AF$7)*OFFSET(ORÇAMENTO!$W$15,ROW(AV187)-ROW(AV$15),0),15-13*ORÇAMENTO!$AF$11)),
         0)</f>
        <v>0</v>
      </c>
      <c r="AW187" s="452">
        <f ca="1">IF(AND($D187="Serviço",AW$12&lt;&gt;0,$H187&gt;0,OR(AUTOEVENTO&lt;&gt;"manual",$M187&lt;&gt;$A$15)),
        IF(Import.TipoArredondamento&lt;&gt;"TransfereGOV",
              ROUND(OFFSET($P187,0,AW$13),15-13*ORÇAMENTO!$AF$7)/$H187*OFFSET(ORÇAMENTO!$X$15,ROW(AW187)-ROW(AW$15),0),
              ROUND(ROUND(OFFSET($P187,0,AW$13),15-13*ORÇAMENTO!$AF$7)*OFFSET(ORÇAMENTO!$W$15,ROW(AW187)-ROW(AW$15),0),15-13*ORÇAMENTO!$AF$11)),
         0)</f>
        <v>0</v>
      </c>
      <c r="AX187" s="452">
        <f ca="1">IF(AND($D187="Serviço",AX$12&lt;&gt;0,$H187&gt;0,OR(AUTOEVENTO&lt;&gt;"manual",$M187&lt;&gt;$A$15)),
        IF(Import.TipoArredondamento&lt;&gt;"TransfereGOV",
              ROUND(OFFSET($P187,0,AX$13),15-13*ORÇAMENTO!$AF$7)/$H187*OFFSET(ORÇAMENTO!$X$15,ROW(AX187)-ROW(AX$15),0),
              ROUND(ROUND(OFFSET($P187,0,AX$13),15-13*ORÇAMENTO!$AF$7)*OFFSET(ORÇAMENTO!$W$15,ROW(AX187)-ROW(AX$15),0),15-13*ORÇAMENTO!$AF$11)),
         0)</f>
        <v>0</v>
      </c>
      <c r="AY187" s="452">
        <f ca="1">IF(AND($D187="Serviço",AY$12&lt;&gt;0,$H187&gt;0,OR(AUTOEVENTO&lt;&gt;"manual",$M187&lt;&gt;$A$15)),
        IF(Import.TipoArredondamento&lt;&gt;"TransfereGOV",
              ROUND(OFFSET($P187,0,AY$13),15-13*ORÇAMENTO!$AF$7)/$H187*OFFSET(ORÇAMENTO!$X$15,ROW(AY187)-ROW(AY$15),0),
              ROUND(ROUND(OFFSET($P187,0,AY$13),15-13*ORÇAMENTO!$AF$7)*OFFSET(ORÇAMENTO!$W$15,ROW(AY187)-ROW(AY$15),0),15-13*ORÇAMENTO!$AF$11)),
         0)</f>
        <v>0</v>
      </c>
      <c r="AZ187" s="452">
        <f ca="1">IF(AND($D187="Serviço",AZ$12&lt;&gt;0,$H187&gt;0,OR(AUTOEVENTO&lt;&gt;"manual",$M187&lt;&gt;$A$15)),
        IF(Import.TipoArredondamento&lt;&gt;"TransfereGOV",
              ROUND(OFFSET($P187,0,AZ$13),15-13*ORÇAMENTO!$AF$7)/$H187*OFFSET(ORÇAMENTO!$X$15,ROW(AZ187)-ROW(AZ$15),0),
              ROUND(ROUND(OFFSET($P187,0,AZ$13),15-13*ORÇAMENTO!$AF$7)*OFFSET(ORÇAMENTO!$W$15,ROW(AZ187)-ROW(AZ$15),0),15-13*ORÇAMENTO!$AF$11)),
         0)</f>
        <v>0</v>
      </c>
      <c r="BA187" s="452">
        <f ca="1">IF(AND($D187="Serviço",BA$12&lt;&gt;0,$H187&gt;0,OR(AUTOEVENTO&lt;&gt;"manual",$M187&lt;&gt;$A$15)),
        IF(Import.TipoArredondamento&lt;&gt;"TransfereGOV",
              ROUND(OFFSET($P187,0,BA$13),15-13*ORÇAMENTO!$AF$7)/$H187*OFFSET(ORÇAMENTO!$X$15,ROW(BA187)-ROW(BA$15),0),
              ROUND(ROUND(OFFSET($P187,0,BA$13),15-13*ORÇAMENTO!$AF$7)*OFFSET(ORÇAMENTO!$W$15,ROW(BA187)-ROW(BA$15),0),15-13*ORÇAMENTO!$AF$11)),
         0)</f>
        <v>0</v>
      </c>
      <c r="BC187" s="171">
        <f ca="1">IF(OR($D187&lt;&gt;"Serviço",AND(AUTOEVENTO="Manual",$M187=$A$15)),0,
         IF(OFFSET(CRONOPLE!$F$15,$M187-$A$15,BC$13)=0,10^12,OFFSET(CRONOPLE!$F$15,$M187-$A$15,BC$13)))</f>
        <v>4</v>
      </c>
      <c r="BD187" s="171">
        <f ca="1">IF(OR($D187&lt;&gt;"Serviço",AND(AUTOEVENTO="Manual",$M187=$A$15)),0,
         IF(OFFSET(CRONOPLE!$F$15,$M187-$A$15,BD$13)=0,10^12,OFFSET(CRONOPLE!$F$15,$M187-$A$15,BD$13)))</f>
        <v>4</v>
      </c>
      <c r="BE187" s="171">
        <f ca="1">IF(OR($D187&lt;&gt;"Serviço",AND(AUTOEVENTO="Manual",$M187=$A$15)),0,
         IF(OFFSET(CRONOPLE!$F$15,$M187-$A$15,BE$13)=0,10^12,OFFSET(CRONOPLE!$F$15,$M187-$A$15,BE$13)))</f>
        <v>5</v>
      </c>
      <c r="BF187" s="171">
        <f ca="1">IF(OR($D187&lt;&gt;"Serviço",AND(AUTOEVENTO="Manual",$M187=$A$15)),0,
         IF(OFFSET(CRONOPLE!$F$15,$M187-$A$15,BF$13)=0,10^12,OFFSET(CRONOPLE!$F$15,$M187-$A$15,BF$13)))</f>
        <v>5</v>
      </c>
      <c r="BG187" s="171">
        <f ca="1">IF(OR($D187&lt;&gt;"Serviço",AND(AUTOEVENTO="Manual",$M187=$A$15)),0,
         IF(OFFSET(CRONOPLE!$F$15,$M187-$A$15,BG$13)=0,10^12,OFFSET(CRONOPLE!$F$15,$M187-$A$15,BG$13)))</f>
        <v>5</v>
      </c>
      <c r="BH187" s="171">
        <f ca="1">IF(OR($D187&lt;&gt;"Serviço",AND(AUTOEVENTO="Manual",$M187=$A$15)),0,
         IF(OFFSET(CRONOPLE!$F$15,$M187-$A$15,BH$13)=0,10^12,OFFSET(CRONOPLE!$F$15,$M187-$A$15,BH$13)))</f>
        <v>1000000000000</v>
      </c>
      <c r="BI187" s="171">
        <f ca="1">IF(OR($D187&lt;&gt;"Serviço",AND(AUTOEVENTO="Manual",$M187=$A$15)),0,
         IF(OFFSET(CRONOPLE!$F$15,$M187-$A$15,BI$13)=0,10^12,OFFSET(CRONOPLE!$F$15,$M187-$A$15,BI$13)))</f>
        <v>1000000000000</v>
      </c>
      <c r="BJ187" s="171">
        <f ca="1">IF(OR($D187&lt;&gt;"Serviço",AND(AUTOEVENTO="Manual",$M187=$A$15)),0,
         IF(OFFSET(CRONOPLE!$F$15,$M187-$A$15,BJ$13)=0,10^12,OFFSET(CRONOPLE!$F$15,$M187-$A$15,BJ$13)))</f>
        <v>1000000000000</v>
      </c>
      <c r="BK187" s="171">
        <f ca="1">IF(OR($D187&lt;&gt;"Serviço",AND(AUTOEVENTO="Manual",$M187=$A$15)),0,
         IF(OFFSET(CRONOPLE!$F$15,$M187-$A$15,BK$13)=0,10^12,OFFSET(CRONOPLE!$F$15,$M187-$A$15,BK$13)))</f>
        <v>1000000000000</v>
      </c>
      <c r="BL187" s="171">
        <f ca="1">IF(OR($D187&lt;&gt;"Serviço",AND(AUTOEVENTO="Manual",$M187=$A$15)),0,
         IF(OFFSET(CRONOPLE!$F$15,$M187-$A$15,BL$13)=0,10^12,OFFSET(CRONOPLE!$F$15,$M187-$A$15,BL$13)))</f>
        <v>1000000000000</v>
      </c>
      <c r="BM187" s="171">
        <f ca="1">IF(OR($D187&lt;&gt;"Serviço",AND(AUTOEVENTO="Manual",$M187=$A$15)),0,
         IF(OFFSET(CRONOPLE!$F$15,$M187-$A$15,BM$13)=0,10^12,OFFSET(CRONOPLE!$F$15,$M187-$A$15,BM$13)))</f>
        <v>1000000000000</v>
      </c>
      <c r="BN187" s="171">
        <f ca="1">IF(OR($D187&lt;&gt;"Serviço",AND(AUTOEVENTO="Manual",$M187=$A$15)),0,
         IF(OFFSET(CRONOPLE!$F$15,$M187-$A$15,BN$13)=0,10^12,OFFSET(CRONOPLE!$F$15,$M187-$A$15,BN$13)))</f>
        <v>1000000000000</v>
      </c>
      <c r="BO187" s="171">
        <f ca="1">IF(OR($D187&lt;&gt;"Serviço",AND(AUTOEVENTO="Manual",$M187=$A$15)),0,
         IF(OFFSET(CRONOPLE!$F$15,$M187-$A$15,BO$13)=0,10^12,OFFSET(CRONOPLE!$F$15,$M187-$A$15,BO$13)))</f>
        <v>1000000000000</v>
      </c>
      <c r="BP187" s="171">
        <f ca="1">IF(OR($D187&lt;&gt;"Serviço",AND(AUTOEVENTO="Manual",$M187=$A$15)),0,
         IF(OFFSET(CRONOPLE!$F$15,$M187-$A$15,BP$13)=0,10^12,OFFSET(CRONOPLE!$F$15,$M187-$A$15,BP$13)))</f>
        <v>1000000000000</v>
      </c>
      <c r="BQ187" s="171">
        <f ca="1">IF(OR($D187&lt;&gt;"Serviço",AND(AUTOEVENTO="Manual",$M187=$A$15)),0,
         IF(OFFSET(CRONOPLE!$F$15,$M187-$A$15,BQ$13)=0,10^12,OFFSET(CRONOPLE!$F$15,$M187-$A$15,BQ$13)))</f>
        <v>1000000000000</v>
      </c>
      <c r="BR187" s="171">
        <f ca="1">IF(OR($D187&lt;&gt;"Serviço",AND(AUTOEVENTO="Manual",$M187=$A$15)),0,
         IF(OFFSET(CRONOPLE!$F$15,$M187-$A$15,BR$13)=0,10^12,OFFSET(CRONOPLE!$F$15,$M187-$A$15,BR$13)))</f>
        <v>1000000000000</v>
      </c>
      <c r="BS187" s="171">
        <f ca="1">IF(OR($D187&lt;&gt;"Serviço",AND(AUTOEVENTO="Manual",$M187=$A$15)),0,
         IF(OFFSET(CRONOPLE!$F$15,$M187-$A$15,BS$13)=0,10^12,OFFSET(CRONOPLE!$F$15,$M187-$A$15,BS$13)))</f>
        <v>1000000000000</v>
      </c>
      <c r="BT187" s="171">
        <f ca="1">IF(OR($D187&lt;&gt;"Serviço",AND(AUTOEVENTO="Manual",$M187=$A$15)),0,
         IF(OFFSET(CRONOPLE!$F$15,$M187-$A$15,BT$13)=0,10^12,OFFSET(CRONOPLE!$F$15,$M187-$A$15,BT$13)))</f>
        <v>1000000000000</v>
      </c>
      <c r="BV187" s="172">
        <f t="array" aca="1" ref="BV187" ca="1">IF(OR($D187&lt;&gt;"Serviço",AND(AUTOEVENTO="Manual",$M187=$A$15),$M187&gt;(ROW(PLE.lastrow)-ROW(PLE.firstrow))),0,
           IF(OFFSET(PLE!$G$15,$M187-$A$15,BV$13)="",10^12,OFFSET(PLE!$G$15,$M187-$A$15,BV$13)))</f>
        <v>1000000000000</v>
      </c>
      <c r="BW187" s="172">
        <f t="array" aca="1" ref="BW187" ca="1">IF(OR($D187&lt;&gt;"Serviço",AND(AUTOEVENTO="Manual",$M187=$A$15),$M187&gt;(ROW(PLE.lastrow)-ROW(PLE.firstrow))),0,
           IF(OFFSET(PLE!$G$15,$M187-$A$15,BW$13)="",10^12,OFFSET(PLE!$G$15,$M187-$A$15,BW$13)))</f>
        <v>1000000000000</v>
      </c>
      <c r="BX187" s="172">
        <f t="array" aca="1" ref="BX187" ca="1">IF(OR($D187&lt;&gt;"Serviço",AND(AUTOEVENTO="Manual",$M187=$A$15),$M187&gt;(ROW(PLE.lastrow)-ROW(PLE.firstrow))),0,
           IF(OFFSET(PLE!$G$15,$M187-$A$15,BX$13)="",10^12,OFFSET(PLE!$G$15,$M187-$A$15,BX$13)))</f>
        <v>1000000000000</v>
      </c>
      <c r="BY187" s="172">
        <f t="array" aca="1" ref="BY187" ca="1">IF(OR($D187&lt;&gt;"Serviço",AND(AUTOEVENTO="Manual",$M187=$A$15),$M187&gt;(ROW(PLE.lastrow)-ROW(PLE.firstrow))),0,
           IF(OFFSET(PLE!$G$15,$M187-$A$15,BY$13)="",10^12,OFFSET(PLE!$G$15,$M187-$A$15,BY$13)))</f>
        <v>1000000000000</v>
      </c>
      <c r="BZ187" s="172">
        <f t="array" aca="1" ref="BZ187" ca="1">IF(OR($D187&lt;&gt;"Serviço",AND(AUTOEVENTO="Manual",$M187=$A$15),$M187&gt;(ROW(PLE.lastrow)-ROW(PLE.firstrow))),0,
           IF(OFFSET(PLE!$G$15,$M187-$A$15,BZ$13)="",10^12,OFFSET(PLE!$G$15,$M187-$A$15,BZ$13)))</f>
        <v>1000000000000</v>
      </c>
      <c r="CA187" s="172">
        <f t="array" aca="1" ref="CA187" ca="1">IF(OR($D187&lt;&gt;"Serviço",AND(AUTOEVENTO="Manual",$M187=$A$15),$M187&gt;(ROW(PLE.lastrow)-ROW(PLE.firstrow))),0,
           IF(OFFSET(PLE!$G$15,$M187-$A$15,CA$13)="",10^12,OFFSET(PLE!$G$15,$M187-$A$15,CA$13)))</f>
        <v>1000000000000</v>
      </c>
      <c r="CB187" s="172">
        <f t="array" aca="1" ref="CB187" ca="1">IF(OR($D187&lt;&gt;"Serviço",AND(AUTOEVENTO="Manual",$M187=$A$15),$M187&gt;(ROW(PLE.lastrow)-ROW(PLE.firstrow))),0,
           IF(OFFSET(PLE!$G$15,$M187-$A$15,CB$13)="",10^12,OFFSET(PLE!$G$15,$M187-$A$15,CB$13)))</f>
        <v>1000000000000</v>
      </c>
      <c r="CC187" s="172">
        <f t="array" aca="1" ref="CC187" ca="1">IF(OR($D187&lt;&gt;"Serviço",AND(AUTOEVENTO="Manual",$M187=$A$15),$M187&gt;(ROW(PLE.lastrow)-ROW(PLE.firstrow))),0,
           IF(OFFSET(PLE!$G$15,$M187-$A$15,CC$13)="",10^12,OFFSET(PLE!$G$15,$M187-$A$15,CC$13)))</f>
        <v>1000000000000</v>
      </c>
      <c r="CD187" s="172">
        <f t="array" aca="1" ref="CD187" ca="1">IF(OR($D187&lt;&gt;"Serviço",AND(AUTOEVENTO="Manual",$M187=$A$15),$M187&gt;(ROW(PLE.lastrow)-ROW(PLE.firstrow))),0,
           IF(OFFSET(PLE!$G$15,$M187-$A$15,CD$13)="",10^12,OFFSET(PLE!$G$15,$M187-$A$15,CD$13)))</f>
        <v>1000000000000</v>
      </c>
      <c r="CE187" s="172">
        <f t="array" aca="1" ref="CE187" ca="1">IF(OR($D187&lt;&gt;"Serviço",AND(AUTOEVENTO="Manual",$M187=$A$15),$M187&gt;(ROW(PLE.lastrow)-ROW(PLE.firstrow))),0,
           IF(OFFSET(PLE!$G$15,$M187-$A$15,CE$13)="",10^12,OFFSET(PLE!$G$15,$M187-$A$15,CE$13)))</f>
        <v>1000000000000</v>
      </c>
      <c r="CF187" s="172">
        <f t="array" aca="1" ref="CF187" ca="1">IF(OR($D187&lt;&gt;"Serviço",AND(AUTOEVENTO="Manual",$M187=$A$15),$M187&gt;(ROW(PLE.lastrow)-ROW(PLE.firstrow))),0,
           IF(OFFSET(PLE!$G$15,$M187-$A$15,CF$13)="",10^12,OFFSET(PLE!$G$15,$M187-$A$15,CF$13)))</f>
        <v>1000000000000</v>
      </c>
      <c r="CG187" s="172">
        <f t="array" aca="1" ref="CG187" ca="1">IF(OR($D187&lt;&gt;"Serviço",AND(AUTOEVENTO="Manual",$M187=$A$15),$M187&gt;(ROW(PLE.lastrow)-ROW(PLE.firstrow))),0,
           IF(OFFSET(PLE!$G$15,$M187-$A$15,CG$13)="",10^12,OFFSET(PLE!$G$15,$M187-$A$15,CG$13)))</f>
        <v>1000000000000</v>
      </c>
      <c r="CH187" s="172">
        <f t="array" aca="1" ref="CH187" ca="1">IF(OR($D187&lt;&gt;"Serviço",AND(AUTOEVENTO="Manual",$M187=$A$15),$M187&gt;(ROW(PLE.lastrow)-ROW(PLE.firstrow))),0,
           IF(OFFSET(PLE!$G$15,$M187-$A$15,CH$13)="",10^12,OFFSET(PLE!$G$15,$M187-$A$15,CH$13)))</f>
        <v>1000000000000</v>
      </c>
      <c r="CI187" s="172">
        <f t="array" aca="1" ref="CI187" ca="1">IF(OR($D187&lt;&gt;"Serviço",AND(AUTOEVENTO="Manual",$M187=$A$15),$M187&gt;(ROW(PLE.lastrow)-ROW(PLE.firstrow))),0,
           IF(OFFSET(PLE!$G$15,$M187-$A$15,CI$13)="",10^12,OFFSET(PLE!$G$15,$M187-$A$15,CI$13)))</f>
        <v>1000000000000</v>
      </c>
      <c r="CJ187" s="172">
        <f t="array" aca="1" ref="CJ187" ca="1">IF(OR($D187&lt;&gt;"Serviço",AND(AUTOEVENTO="Manual",$M187=$A$15),$M187&gt;(ROW(PLE.lastrow)-ROW(PLE.firstrow))),0,
           IF(OFFSET(PLE!$G$15,$M187-$A$15,CJ$13)="",10^12,OFFSET(PLE!$G$15,$M187-$A$15,CJ$13)))</f>
        <v>1000000000000</v>
      </c>
      <c r="CK187" s="172">
        <f t="array" aca="1" ref="CK187" ca="1">IF(OR($D187&lt;&gt;"Serviço",AND(AUTOEVENTO="Manual",$M187=$A$15),$M187&gt;(ROW(PLE.lastrow)-ROW(PLE.firstrow))),0,
           IF(OFFSET(PLE!$G$15,$M187-$A$15,CK$13)="",10^12,OFFSET(PLE!$G$15,$M187-$A$15,CK$13)))</f>
        <v>1000000000000</v>
      </c>
      <c r="CL187" s="172">
        <f t="array" aca="1" ref="CL187" ca="1">IF(OR($D187&lt;&gt;"Serviço",AND(AUTOEVENTO="Manual",$M187=$A$15),$M187&gt;(ROW(PLE.lastrow)-ROW(PLE.firstrow))),0,
           IF(OFFSET(PLE!$G$15,$M187-$A$15,CL$13)="",10^12,OFFSET(PLE!$G$15,$M187-$A$15,CL$13)))</f>
        <v>1000000000000</v>
      </c>
      <c r="CM187" s="172">
        <f t="array" aca="1" ref="CM187" ca="1">IF(OR($D187&lt;&gt;"Serviço",AND(AUTOEVENTO="Manual",$M187=$A$15),$M187&gt;(ROW(PLE.lastrow)-ROW(PLE.firstrow))),0,
           IF(OFFSET(PLE!$G$15,$M187-$A$15,CM$13)="",10^12,OFFSET(PLE!$G$15,$M187-$A$15,CM$13)))</f>
        <v>1000000000000</v>
      </c>
    </row>
    <row r="188" spans="1:91" s="696" customFormat="1" ht="63.75" x14ac:dyDescent="0.2">
      <c r="A188" s="694">
        <f t="shared" ca="1" si="82"/>
        <v>39</v>
      </c>
      <c r="B188" s="694" t="str">
        <f ca="1">OFFSET(ORÇAMENTO!C$15,$L188,0)</f>
        <v>S</v>
      </c>
      <c r="C188" s="694" t="str">
        <f ca="1">OFFSET(ORÇAMENTO!L$15,$L188,0)</f>
        <v>F</v>
      </c>
      <c r="D188" s="116" t="str">
        <f ca="1">OFFSET(ORÇAMENTO!N$15,$L188,0)</f>
        <v>Serviço</v>
      </c>
      <c r="E188" s="117" t="str">
        <f ca="1">OFFSET(ORÇAMENTO!O$15,$L188,0)</f>
        <v>1.29.7.</v>
      </c>
      <c r="F188" s="163" t="str">
        <f ca="1">OFFSET(ORÇAMENTO!R$15,$L188,0)</f>
        <v>JOELHO 90 GRAUS, PVC, SOLDÁVEL, DN 25MM, INSTALADO EM RAMAL DE DISTRIBUIÇÃO DE ÁGUA - FORNECIMENTO E INSTALAÇÃO. AF_06/2022</v>
      </c>
      <c r="G188" s="164" t="str">
        <f ca="1">IF($D188&lt;&gt;"Serviço","",OFFSET(ORÇAMENTO!S$15,$L188,0))</f>
        <v>UN</v>
      </c>
      <c r="H188" s="122">
        <f t="array" aca="1" ref="H188" ca="1">IF($D188&lt;&gt;"Serviço",0,IF(ACOMPANHAMENTO="BM",ROUND(OFFSET(ORÇAMENTO!AJ$15,$L188,0),15-13*ORÇAMENTO!$AF$7),IF(IFERROR(CÁLCULO.FrentesPreenchidas,0)=0,0,SUM(ROUND(OFFSET($P188,0,1,1,CÁLCULO.FrentesPreenchidas),15-13*ORÇAMENTO!$AF$7)))))</f>
        <v>160</v>
      </c>
      <c r="I188" s="467" t="s">
        <v>1312</v>
      </c>
      <c r="J188" s="653" t="str">
        <f t="array" aca="1" ref="J188" ca="1">IF(OR(B188&lt;&gt;"S",CÁLCULO.FrentesPreenchidas=0),"",IF(AND(ACOMPANHAMENTO="PLE",AUTOEVENTO="Manual",OR(H188&gt;0,ORÇAMENTO!AC188="QUANT."),OR(K188="",M188=0,N188="")),"►E",IF(AND(ACOMPANHAMENTO="PLE",ORÇAMENTO!AC188="QUANT."),"►Q",IF(AND(ACOMPANHAMENTO="PLE",H188&lt;&gt;SUMPRODUCT(($Q$1:$AI$1=1)*ROUND(Q188:AI188,15))),"►S",IF(AND(COUNTIF($P$11:$AI$11,"▼")=0,H188&gt;0,I188=""),"◄M","")))))</f>
        <v/>
      </c>
      <c r="K188" s="654" t="s">
        <v>1446</v>
      </c>
      <c r="L188" s="165">
        <f t="shared" ca="1" si="83"/>
        <v>173</v>
      </c>
      <c r="M188" s="166">
        <f ca="1">IF($D188&lt;&gt;"Serviço","",
          IF(AUTOEVENTO="manual",$A188,
                IF(ISERROR(MATCH($A188,$A$15:OFFSET($A188,-1,0),0)),MAX($M$15:OFFSET(M188,-1,0))+1,
                      INDEX($M$15:OFFSET(M188,-1,0),MATCH($A188,$A$15:OFFSET($A188,-1,0),0)))))</f>
        <v>39</v>
      </c>
      <c r="N188" s="167" t="str">
        <f ca="1">IF($D188&lt;&gt;"Serviço","",
         IF(AUTOEVENTO="Manual",
                IF($A188=0,"&lt;-- defina o número do agrupador",
                       OFFSET(EVENTOS!$D$15,$A188-$A$15,0)),
                OFFSET($F$15,$A188,0)))</f>
        <v>RESERVATÓRIO DE ÁGUA</v>
      </c>
      <c r="O188" s="168"/>
      <c r="Q188" s="169">
        <v>40</v>
      </c>
      <c r="R188" s="169">
        <v>40</v>
      </c>
      <c r="S188" s="169">
        <v>40</v>
      </c>
      <c r="T188" s="169">
        <v>40</v>
      </c>
      <c r="U188" s="169"/>
      <c r="V188" s="169"/>
      <c r="W188" s="169"/>
      <c r="X188" s="169"/>
      <c r="Y188" s="169"/>
      <c r="Z188" s="170"/>
      <c r="AA188" s="169"/>
      <c r="AB188" s="169"/>
      <c r="AC188" s="169"/>
      <c r="AD188" s="169"/>
      <c r="AE188" s="169"/>
      <c r="AF188" s="169"/>
      <c r="AG188" s="169"/>
      <c r="AH188" s="170"/>
      <c r="AJ188" s="452">
        <f ca="1">IF(AND($D188="Serviço",AJ$12&lt;&gt;0,$H188&gt;0,OR(AUTOEVENTO&lt;&gt;"manual",$M188&lt;&gt;$A$15)),
        IF(Import.TipoArredondamento&lt;&gt;"TransfereGOV",
              ROUND(OFFSET($P188,0,AJ$13),15-13*ORÇAMENTO!$AF$7)/$H188*OFFSET(ORÇAMENTO!$X$15,ROW(AJ188)-ROW(AJ$15),0),
              ROUND(ROUND(OFFSET($P188,0,AJ$13),15-13*ORÇAMENTO!$AF$7)*OFFSET(ORÇAMENTO!$W$15,ROW(AJ188)-ROW(AJ$15),0),15-13*ORÇAMENTO!$AF$11)),
         0)</f>
        <v>427.6</v>
      </c>
      <c r="AK188" s="452">
        <f ca="1">IF(AND($D188="Serviço",AK$12&lt;&gt;0,$H188&gt;0,OR(AUTOEVENTO&lt;&gt;"manual",$M188&lt;&gt;$A$15)),
        IF(Import.TipoArredondamento&lt;&gt;"TransfereGOV",
              ROUND(OFFSET($P188,0,AK$13),15-13*ORÇAMENTO!$AF$7)/$H188*OFFSET(ORÇAMENTO!$X$15,ROW(AK188)-ROW(AK$15),0),
              ROUND(ROUND(OFFSET($P188,0,AK$13),15-13*ORÇAMENTO!$AF$7)*OFFSET(ORÇAMENTO!$W$15,ROW(AK188)-ROW(AK$15),0),15-13*ORÇAMENTO!$AF$11)),
         0)</f>
        <v>427.6</v>
      </c>
      <c r="AL188" s="452">
        <f ca="1">IF(AND($D188="Serviço",AL$12&lt;&gt;0,$H188&gt;0,OR(AUTOEVENTO&lt;&gt;"manual",$M188&lt;&gt;$A$15)),
        IF(Import.TipoArredondamento&lt;&gt;"TransfereGOV",
              ROUND(OFFSET($P188,0,AL$13),15-13*ORÇAMENTO!$AF$7)/$H188*OFFSET(ORÇAMENTO!$X$15,ROW(AL188)-ROW(AL$15),0),
              ROUND(ROUND(OFFSET($P188,0,AL$13),15-13*ORÇAMENTO!$AF$7)*OFFSET(ORÇAMENTO!$W$15,ROW(AL188)-ROW(AL$15),0),15-13*ORÇAMENTO!$AF$11)),
         0)</f>
        <v>427.6</v>
      </c>
      <c r="AM188" s="452">
        <f ca="1">IF(AND($D188="Serviço",AM$12&lt;&gt;0,$H188&gt;0,OR(AUTOEVENTO&lt;&gt;"manual",$M188&lt;&gt;$A$15)),
        IF(Import.TipoArredondamento&lt;&gt;"TransfereGOV",
              ROUND(OFFSET($P188,0,AM$13),15-13*ORÇAMENTO!$AF$7)/$H188*OFFSET(ORÇAMENTO!$X$15,ROW(AM188)-ROW(AM$15),0),
              ROUND(ROUND(OFFSET($P188,0,AM$13),15-13*ORÇAMENTO!$AF$7)*OFFSET(ORÇAMENTO!$W$15,ROW(AM188)-ROW(AM$15),0),15-13*ORÇAMENTO!$AF$11)),
         0)</f>
        <v>427.6</v>
      </c>
      <c r="AN188" s="452">
        <f ca="1">IF(AND($D188="Serviço",AN$12&lt;&gt;0,$H188&gt;0,OR(AUTOEVENTO&lt;&gt;"manual",$M188&lt;&gt;$A$15)),
        IF(Import.TipoArredondamento&lt;&gt;"TransfereGOV",
              ROUND(OFFSET($P188,0,AN$13),15-13*ORÇAMENTO!$AF$7)/$H188*OFFSET(ORÇAMENTO!$X$15,ROW(AN188)-ROW(AN$15),0),
              ROUND(ROUND(OFFSET($P188,0,AN$13),15-13*ORÇAMENTO!$AF$7)*OFFSET(ORÇAMENTO!$W$15,ROW(AN188)-ROW(AN$15),0),15-13*ORÇAMENTO!$AF$11)),
         0)</f>
        <v>0</v>
      </c>
      <c r="AO188" s="452">
        <f ca="1">IF(AND($D188="Serviço",AO$12&lt;&gt;0,$H188&gt;0,OR(AUTOEVENTO&lt;&gt;"manual",$M188&lt;&gt;$A$15)),
        IF(Import.TipoArredondamento&lt;&gt;"TransfereGOV",
              ROUND(OFFSET($P188,0,AO$13),15-13*ORÇAMENTO!$AF$7)/$H188*OFFSET(ORÇAMENTO!$X$15,ROW(AO188)-ROW(AO$15),0),
              ROUND(ROUND(OFFSET($P188,0,AO$13),15-13*ORÇAMENTO!$AF$7)*OFFSET(ORÇAMENTO!$W$15,ROW(AO188)-ROW(AO$15),0),15-13*ORÇAMENTO!$AF$11)),
         0)</f>
        <v>0</v>
      </c>
      <c r="AP188" s="452">
        <f ca="1">IF(AND($D188="Serviço",AP$12&lt;&gt;0,$H188&gt;0,OR(AUTOEVENTO&lt;&gt;"manual",$M188&lt;&gt;$A$15)),
        IF(Import.TipoArredondamento&lt;&gt;"TransfereGOV",
              ROUND(OFFSET($P188,0,AP$13),15-13*ORÇAMENTO!$AF$7)/$H188*OFFSET(ORÇAMENTO!$X$15,ROW(AP188)-ROW(AP$15),0),
              ROUND(ROUND(OFFSET($P188,0,AP$13),15-13*ORÇAMENTO!$AF$7)*OFFSET(ORÇAMENTO!$W$15,ROW(AP188)-ROW(AP$15),0),15-13*ORÇAMENTO!$AF$11)),
         0)</f>
        <v>0</v>
      </c>
      <c r="AQ188" s="452">
        <f ca="1">IF(AND($D188="Serviço",AQ$12&lt;&gt;0,$H188&gt;0,OR(AUTOEVENTO&lt;&gt;"manual",$M188&lt;&gt;$A$15)),
        IF(Import.TipoArredondamento&lt;&gt;"TransfereGOV",
              ROUND(OFFSET($P188,0,AQ$13),15-13*ORÇAMENTO!$AF$7)/$H188*OFFSET(ORÇAMENTO!$X$15,ROW(AQ188)-ROW(AQ$15),0),
              ROUND(ROUND(OFFSET($P188,0,AQ$13),15-13*ORÇAMENTO!$AF$7)*OFFSET(ORÇAMENTO!$W$15,ROW(AQ188)-ROW(AQ$15),0),15-13*ORÇAMENTO!$AF$11)),
         0)</f>
        <v>0</v>
      </c>
      <c r="AR188" s="452">
        <f ca="1">IF(AND($D188="Serviço",AR$12&lt;&gt;0,$H188&gt;0,OR(AUTOEVENTO&lt;&gt;"manual",$M188&lt;&gt;$A$15)),
        IF(Import.TipoArredondamento&lt;&gt;"TransfereGOV",
              ROUND(OFFSET($P188,0,AR$13),15-13*ORÇAMENTO!$AF$7)/$H188*OFFSET(ORÇAMENTO!$X$15,ROW(AR188)-ROW(AR$15),0),
              ROUND(ROUND(OFFSET($P188,0,AR$13),15-13*ORÇAMENTO!$AF$7)*OFFSET(ORÇAMENTO!$W$15,ROW(AR188)-ROW(AR$15),0),15-13*ORÇAMENTO!$AF$11)),
         0)</f>
        <v>0</v>
      </c>
      <c r="AS188" s="452">
        <f ca="1">IF(AND($D188="Serviço",AS$12&lt;&gt;0,$H188&gt;0,OR(AUTOEVENTO&lt;&gt;"manual",$M188&lt;&gt;$A$15)),
        IF(Import.TipoArredondamento&lt;&gt;"TransfereGOV",
              ROUND(OFFSET($P188,0,AS$13),15-13*ORÇAMENTO!$AF$7)/$H188*OFFSET(ORÇAMENTO!$X$15,ROW(AS188)-ROW(AS$15),0),
              ROUND(ROUND(OFFSET($P188,0,AS$13),15-13*ORÇAMENTO!$AF$7)*OFFSET(ORÇAMENTO!$W$15,ROW(AS188)-ROW(AS$15),0),15-13*ORÇAMENTO!$AF$11)),
         0)</f>
        <v>0</v>
      </c>
      <c r="AT188" s="452">
        <f ca="1">IF(AND($D188="Serviço",AT$12&lt;&gt;0,$H188&gt;0,OR(AUTOEVENTO&lt;&gt;"manual",$M188&lt;&gt;$A$15)),
        IF(Import.TipoArredondamento&lt;&gt;"TransfereGOV",
              ROUND(OFFSET($P188,0,AT$13),15-13*ORÇAMENTO!$AF$7)/$H188*OFFSET(ORÇAMENTO!$X$15,ROW(AT188)-ROW(AT$15),0),
              ROUND(ROUND(OFFSET($P188,0,AT$13),15-13*ORÇAMENTO!$AF$7)*OFFSET(ORÇAMENTO!$W$15,ROW(AT188)-ROW(AT$15),0),15-13*ORÇAMENTO!$AF$11)),
         0)</f>
        <v>0</v>
      </c>
      <c r="AU188" s="452">
        <f ca="1">IF(AND($D188="Serviço",AU$12&lt;&gt;0,$H188&gt;0,OR(AUTOEVENTO&lt;&gt;"manual",$M188&lt;&gt;$A$15)),
        IF(Import.TipoArredondamento&lt;&gt;"TransfereGOV",
              ROUND(OFFSET($P188,0,AU$13),15-13*ORÇAMENTO!$AF$7)/$H188*OFFSET(ORÇAMENTO!$X$15,ROW(AU188)-ROW(AU$15),0),
              ROUND(ROUND(OFFSET($P188,0,AU$13),15-13*ORÇAMENTO!$AF$7)*OFFSET(ORÇAMENTO!$W$15,ROW(AU188)-ROW(AU$15),0),15-13*ORÇAMENTO!$AF$11)),
         0)</f>
        <v>0</v>
      </c>
      <c r="AV188" s="452">
        <f ca="1">IF(AND($D188="Serviço",AV$12&lt;&gt;0,$H188&gt;0,OR(AUTOEVENTO&lt;&gt;"manual",$M188&lt;&gt;$A$15)),
        IF(Import.TipoArredondamento&lt;&gt;"TransfereGOV",
              ROUND(OFFSET($P188,0,AV$13),15-13*ORÇAMENTO!$AF$7)/$H188*OFFSET(ORÇAMENTO!$X$15,ROW(AV188)-ROW(AV$15),0),
              ROUND(ROUND(OFFSET($P188,0,AV$13),15-13*ORÇAMENTO!$AF$7)*OFFSET(ORÇAMENTO!$W$15,ROW(AV188)-ROW(AV$15),0),15-13*ORÇAMENTO!$AF$11)),
         0)</f>
        <v>0</v>
      </c>
      <c r="AW188" s="452">
        <f ca="1">IF(AND($D188="Serviço",AW$12&lt;&gt;0,$H188&gt;0,OR(AUTOEVENTO&lt;&gt;"manual",$M188&lt;&gt;$A$15)),
        IF(Import.TipoArredondamento&lt;&gt;"TransfereGOV",
              ROUND(OFFSET($P188,0,AW$13),15-13*ORÇAMENTO!$AF$7)/$H188*OFFSET(ORÇAMENTO!$X$15,ROW(AW188)-ROW(AW$15),0),
              ROUND(ROUND(OFFSET($P188,0,AW$13),15-13*ORÇAMENTO!$AF$7)*OFFSET(ORÇAMENTO!$W$15,ROW(AW188)-ROW(AW$15),0),15-13*ORÇAMENTO!$AF$11)),
         0)</f>
        <v>0</v>
      </c>
      <c r="AX188" s="452">
        <f ca="1">IF(AND($D188="Serviço",AX$12&lt;&gt;0,$H188&gt;0,OR(AUTOEVENTO&lt;&gt;"manual",$M188&lt;&gt;$A$15)),
        IF(Import.TipoArredondamento&lt;&gt;"TransfereGOV",
              ROUND(OFFSET($P188,0,AX$13),15-13*ORÇAMENTO!$AF$7)/$H188*OFFSET(ORÇAMENTO!$X$15,ROW(AX188)-ROW(AX$15),0),
              ROUND(ROUND(OFFSET($P188,0,AX$13),15-13*ORÇAMENTO!$AF$7)*OFFSET(ORÇAMENTO!$W$15,ROW(AX188)-ROW(AX$15),0),15-13*ORÇAMENTO!$AF$11)),
         0)</f>
        <v>0</v>
      </c>
      <c r="AY188" s="452">
        <f ca="1">IF(AND($D188="Serviço",AY$12&lt;&gt;0,$H188&gt;0,OR(AUTOEVENTO&lt;&gt;"manual",$M188&lt;&gt;$A$15)),
        IF(Import.TipoArredondamento&lt;&gt;"TransfereGOV",
              ROUND(OFFSET($P188,0,AY$13),15-13*ORÇAMENTO!$AF$7)/$H188*OFFSET(ORÇAMENTO!$X$15,ROW(AY188)-ROW(AY$15),0),
              ROUND(ROUND(OFFSET($P188,0,AY$13),15-13*ORÇAMENTO!$AF$7)*OFFSET(ORÇAMENTO!$W$15,ROW(AY188)-ROW(AY$15),0),15-13*ORÇAMENTO!$AF$11)),
         0)</f>
        <v>0</v>
      </c>
      <c r="AZ188" s="452">
        <f ca="1">IF(AND($D188="Serviço",AZ$12&lt;&gt;0,$H188&gt;0,OR(AUTOEVENTO&lt;&gt;"manual",$M188&lt;&gt;$A$15)),
        IF(Import.TipoArredondamento&lt;&gt;"TransfereGOV",
              ROUND(OFFSET($P188,0,AZ$13),15-13*ORÇAMENTO!$AF$7)/$H188*OFFSET(ORÇAMENTO!$X$15,ROW(AZ188)-ROW(AZ$15),0),
              ROUND(ROUND(OFFSET($P188,0,AZ$13),15-13*ORÇAMENTO!$AF$7)*OFFSET(ORÇAMENTO!$W$15,ROW(AZ188)-ROW(AZ$15),0),15-13*ORÇAMENTO!$AF$11)),
         0)</f>
        <v>0</v>
      </c>
      <c r="BA188" s="452">
        <f ca="1">IF(AND($D188="Serviço",BA$12&lt;&gt;0,$H188&gt;0,OR(AUTOEVENTO&lt;&gt;"manual",$M188&lt;&gt;$A$15)),
        IF(Import.TipoArredondamento&lt;&gt;"TransfereGOV",
              ROUND(OFFSET($P188,0,BA$13),15-13*ORÇAMENTO!$AF$7)/$H188*OFFSET(ORÇAMENTO!$X$15,ROW(BA188)-ROW(BA$15),0),
              ROUND(ROUND(OFFSET($P188,0,BA$13),15-13*ORÇAMENTO!$AF$7)*OFFSET(ORÇAMENTO!$W$15,ROW(BA188)-ROW(BA$15),0),15-13*ORÇAMENTO!$AF$11)),
         0)</f>
        <v>0</v>
      </c>
      <c r="BC188" s="171">
        <f ca="1">IF(OR($D188&lt;&gt;"Serviço",AND(AUTOEVENTO="Manual",$M188=$A$15)),0,
         IF(OFFSET(CRONOPLE!$F$15,$M188-$A$15,BC$13)=0,10^12,OFFSET(CRONOPLE!$F$15,$M188-$A$15,BC$13)))</f>
        <v>4</v>
      </c>
      <c r="BD188" s="171">
        <f ca="1">IF(OR($D188&lt;&gt;"Serviço",AND(AUTOEVENTO="Manual",$M188=$A$15)),0,
         IF(OFFSET(CRONOPLE!$F$15,$M188-$A$15,BD$13)=0,10^12,OFFSET(CRONOPLE!$F$15,$M188-$A$15,BD$13)))</f>
        <v>4</v>
      </c>
      <c r="BE188" s="171">
        <f ca="1">IF(OR($D188&lt;&gt;"Serviço",AND(AUTOEVENTO="Manual",$M188=$A$15)),0,
         IF(OFFSET(CRONOPLE!$F$15,$M188-$A$15,BE$13)=0,10^12,OFFSET(CRONOPLE!$F$15,$M188-$A$15,BE$13)))</f>
        <v>5</v>
      </c>
      <c r="BF188" s="171">
        <f ca="1">IF(OR($D188&lt;&gt;"Serviço",AND(AUTOEVENTO="Manual",$M188=$A$15)),0,
         IF(OFFSET(CRONOPLE!$F$15,$M188-$A$15,BF$13)=0,10^12,OFFSET(CRONOPLE!$F$15,$M188-$A$15,BF$13)))</f>
        <v>5</v>
      </c>
      <c r="BG188" s="171">
        <f ca="1">IF(OR($D188&lt;&gt;"Serviço",AND(AUTOEVENTO="Manual",$M188=$A$15)),0,
         IF(OFFSET(CRONOPLE!$F$15,$M188-$A$15,BG$13)=0,10^12,OFFSET(CRONOPLE!$F$15,$M188-$A$15,BG$13)))</f>
        <v>5</v>
      </c>
      <c r="BH188" s="171">
        <f ca="1">IF(OR($D188&lt;&gt;"Serviço",AND(AUTOEVENTO="Manual",$M188=$A$15)),0,
         IF(OFFSET(CRONOPLE!$F$15,$M188-$A$15,BH$13)=0,10^12,OFFSET(CRONOPLE!$F$15,$M188-$A$15,BH$13)))</f>
        <v>1000000000000</v>
      </c>
      <c r="BI188" s="171">
        <f ca="1">IF(OR($D188&lt;&gt;"Serviço",AND(AUTOEVENTO="Manual",$M188=$A$15)),0,
         IF(OFFSET(CRONOPLE!$F$15,$M188-$A$15,BI$13)=0,10^12,OFFSET(CRONOPLE!$F$15,$M188-$A$15,BI$13)))</f>
        <v>1000000000000</v>
      </c>
      <c r="BJ188" s="171">
        <f ca="1">IF(OR($D188&lt;&gt;"Serviço",AND(AUTOEVENTO="Manual",$M188=$A$15)),0,
         IF(OFFSET(CRONOPLE!$F$15,$M188-$A$15,BJ$13)=0,10^12,OFFSET(CRONOPLE!$F$15,$M188-$A$15,BJ$13)))</f>
        <v>1000000000000</v>
      </c>
      <c r="BK188" s="171">
        <f ca="1">IF(OR($D188&lt;&gt;"Serviço",AND(AUTOEVENTO="Manual",$M188=$A$15)),0,
         IF(OFFSET(CRONOPLE!$F$15,$M188-$A$15,BK$13)=0,10^12,OFFSET(CRONOPLE!$F$15,$M188-$A$15,BK$13)))</f>
        <v>1000000000000</v>
      </c>
      <c r="BL188" s="171">
        <f ca="1">IF(OR($D188&lt;&gt;"Serviço",AND(AUTOEVENTO="Manual",$M188=$A$15)),0,
         IF(OFFSET(CRONOPLE!$F$15,$M188-$A$15,BL$13)=0,10^12,OFFSET(CRONOPLE!$F$15,$M188-$A$15,BL$13)))</f>
        <v>1000000000000</v>
      </c>
      <c r="BM188" s="171">
        <f ca="1">IF(OR($D188&lt;&gt;"Serviço",AND(AUTOEVENTO="Manual",$M188=$A$15)),0,
         IF(OFFSET(CRONOPLE!$F$15,$M188-$A$15,BM$13)=0,10^12,OFFSET(CRONOPLE!$F$15,$M188-$A$15,BM$13)))</f>
        <v>1000000000000</v>
      </c>
      <c r="BN188" s="171">
        <f ca="1">IF(OR($D188&lt;&gt;"Serviço",AND(AUTOEVENTO="Manual",$M188=$A$15)),0,
         IF(OFFSET(CRONOPLE!$F$15,$M188-$A$15,BN$13)=0,10^12,OFFSET(CRONOPLE!$F$15,$M188-$A$15,BN$13)))</f>
        <v>1000000000000</v>
      </c>
      <c r="BO188" s="171">
        <f ca="1">IF(OR($D188&lt;&gt;"Serviço",AND(AUTOEVENTO="Manual",$M188=$A$15)),0,
         IF(OFFSET(CRONOPLE!$F$15,$M188-$A$15,BO$13)=0,10^12,OFFSET(CRONOPLE!$F$15,$M188-$A$15,BO$13)))</f>
        <v>1000000000000</v>
      </c>
      <c r="BP188" s="171">
        <f ca="1">IF(OR($D188&lt;&gt;"Serviço",AND(AUTOEVENTO="Manual",$M188=$A$15)),0,
         IF(OFFSET(CRONOPLE!$F$15,$M188-$A$15,BP$13)=0,10^12,OFFSET(CRONOPLE!$F$15,$M188-$A$15,BP$13)))</f>
        <v>1000000000000</v>
      </c>
      <c r="BQ188" s="171">
        <f ca="1">IF(OR($D188&lt;&gt;"Serviço",AND(AUTOEVENTO="Manual",$M188=$A$15)),0,
         IF(OFFSET(CRONOPLE!$F$15,$M188-$A$15,BQ$13)=0,10^12,OFFSET(CRONOPLE!$F$15,$M188-$A$15,BQ$13)))</f>
        <v>1000000000000</v>
      </c>
      <c r="BR188" s="171">
        <f ca="1">IF(OR($D188&lt;&gt;"Serviço",AND(AUTOEVENTO="Manual",$M188=$A$15)),0,
         IF(OFFSET(CRONOPLE!$F$15,$M188-$A$15,BR$13)=0,10^12,OFFSET(CRONOPLE!$F$15,$M188-$A$15,BR$13)))</f>
        <v>1000000000000</v>
      </c>
      <c r="BS188" s="171">
        <f ca="1">IF(OR($D188&lt;&gt;"Serviço",AND(AUTOEVENTO="Manual",$M188=$A$15)),0,
         IF(OFFSET(CRONOPLE!$F$15,$M188-$A$15,BS$13)=0,10^12,OFFSET(CRONOPLE!$F$15,$M188-$A$15,BS$13)))</f>
        <v>1000000000000</v>
      </c>
      <c r="BT188" s="171">
        <f ca="1">IF(OR($D188&lt;&gt;"Serviço",AND(AUTOEVENTO="Manual",$M188=$A$15)),0,
         IF(OFFSET(CRONOPLE!$F$15,$M188-$A$15,BT$13)=0,10^12,OFFSET(CRONOPLE!$F$15,$M188-$A$15,BT$13)))</f>
        <v>1000000000000</v>
      </c>
      <c r="BV188" s="172">
        <f t="array" aca="1" ref="BV188" ca="1">IF(OR($D188&lt;&gt;"Serviço",AND(AUTOEVENTO="Manual",$M188=$A$15),$M188&gt;(ROW(PLE.lastrow)-ROW(PLE.firstrow))),0,
           IF(OFFSET(PLE!$G$15,$M188-$A$15,BV$13)="",10^12,OFFSET(PLE!$G$15,$M188-$A$15,BV$13)))</f>
        <v>1000000000000</v>
      </c>
      <c r="BW188" s="172">
        <f t="array" aca="1" ref="BW188" ca="1">IF(OR($D188&lt;&gt;"Serviço",AND(AUTOEVENTO="Manual",$M188=$A$15),$M188&gt;(ROW(PLE.lastrow)-ROW(PLE.firstrow))),0,
           IF(OFFSET(PLE!$G$15,$M188-$A$15,BW$13)="",10^12,OFFSET(PLE!$G$15,$M188-$A$15,BW$13)))</f>
        <v>1000000000000</v>
      </c>
      <c r="BX188" s="172">
        <f t="array" aca="1" ref="BX188" ca="1">IF(OR($D188&lt;&gt;"Serviço",AND(AUTOEVENTO="Manual",$M188=$A$15),$M188&gt;(ROW(PLE.lastrow)-ROW(PLE.firstrow))),0,
           IF(OFFSET(PLE!$G$15,$M188-$A$15,BX$13)="",10^12,OFFSET(PLE!$G$15,$M188-$A$15,BX$13)))</f>
        <v>1000000000000</v>
      </c>
      <c r="BY188" s="172">
        <f t="array" aca="1" ref="BY188" ca="1">IF(OR($D188&lt;&gt;"Serviço",AND(AUTOEVENTO="Manual",$M188=$A$15),$M188&gt;(ROW(PLE.lastrow)-ROW(PLE.firstrow))),0,
           IF(OFFSET(PLE!$G$15,$M188-$A$15,BY$13)="",10^12,OFFSET(PLE!$G$15,$M188-$A$15,BY$13)))</f>
        <v>1000000000000</v>
      </c>
      <c r="BZ188" s="172">
        <f t="array" aca="1" ref="BZ188" ca="1">IF(OR($D188&lt;&gt;"Serviço",AND(AUTOEVENTO="Manual",$M188=$A$15),$M188&gt;(ROW(PLE.lastrow)-ROW(PLE.firstrow))),0,
           IF(OFFSET(PLE!$G$15,$M188-$A$15,BZ$13)="",10^12,OFFSET(PLE!$G$15,$M188-$A$15,BZ$13)))</f>
        <v>1000000000000</v>
      </c>
      <c r="CA188" s="172">
        <f t="array" aca="1" ref="CA188" ca="1">IF(OR($D188&lt;&gt;"Serviço",AND(AUTOEVENTO="Manual",$M188=$A$15),$M188&gt;(ROW(PLE.lastrow)-ROW(PLE.firstrow))),0,
           IF(OFFSET(PLE!$G$15,$M188-$A$15,CA$13)="",10^12,OFFSET(PLE!$G$15,$M188-$A$15,CA$13)))</f>
        <v>1000000000000</v>
      </c>
      <c r="CB188" s="172">
        <f t="array" aca="1" ref="CB188" ca="1">IF(OR($D188&lt;&gt;"Serviço",AND(AUTOEVENTO="Manual",$M188=$A$15),$M188&gt;(ROW(PLE.lastrow)-ROW(PLE.firstrow))),0,
           IF(OFFSET(PLE!$G$15,$M188-$A$15,CB$13)="",10^12,OFFSET(PLE!$G$15,$M188-$A$15,CB$13)))</f>
        <v>1000000000000</v>
      </c>
      <c r="CC188" s="172">
        <f t="array" aca="1" ref="CC188" ca="1">IF(OR($D188&lt;&gt;"Serviço",AND(AUTOEVENTO="Manual",$M188=$A$15),$M188&gt;(ROW(PLE.lastrow)-ROW(PLE.firstrow))),0,
           IF(OFFSET(PLE!$G$15,$M188-$A$15,CC$13)="",10^12,OFFSET(PLE!$G$15,$M188-$A$15,CC$13)))</f>
        <v>1000000000000</v>
      </c>
      <c r="CD188" s="172">
        <f t="array" aca="1" ref="CD188" ca="1">IF(OR($D188&lt;&gt;"Serviço",AND(AUTOEVENTO="Manual",$M188=$A$15),$M188&gt;(ROW(PLE.lastrow)-ROW(PLE.firstrow))),0,
           IF(OFFSET(PLE!$G$15,$M188-$A$15,CD$13)="",10^12,OFFSET(PLE!$G$15,$M188-$A$15,CD$13)))</f>
        <v>1000000000000</v>
      </c>
      <c r="CE188" s="172">
        <f t="array" aca="1" ref="CE188" ca="1">IF(OR($D188&lt;&gt;"Serviço",AND(AUTOEVENTO="Manual",$M188=$A$15),$M188&gt;(ROW(PLE.lastrow)-ROW(PLE.firstrow))),0,
           IF(OFFSET(PLE!$G$15,$M188-$A$15,CE$13)="",10^12,OFFSET(PLE!$G$15,$M188-$A$15,CE$13)))</f>
        <v>1000000000000</v>
      </c>
      <c r="CF188" s="172">
        <f t="array" aca="1" ref="CF188" ca="1">IF(OR($D188&lt;&gt;"Serviço",AND(AUTOEVENTO="Manual",$M188=$A$15),$M188&gt;(ROW(PLE.lastrow)-ROW(PLE.firstrow))),0,
           IF(OFFSET(PLE!$G$15,$M188-$A$15,CF$13)="",10^12,OFFSET(PLE!$G$15,$M188-$A$15,CF$13)))</f>
        <v>1000000000000</v>
      </c>
      <c r="CG188" s="172">
        <f t="array" aca="1" ref="CG188" ca="1">IF(OR($D188&lt;&gt;"Serviço",AND(AUTOEVENTO="Manual",$M188=$A$15),$M188&gt;(ROW(PLE.lastrow)-ROW(PLE.firstrow))),0,
           IF(OFFSET(PLE!$G$15,$M188-$A$15,CG$13)="",10^12,OFFSET(PLE!$G$15,$M188-$A$15,CG$13)))</f>
        <v>1000000000000</v>
      </c>
      <c r="CH188" s="172">
        <f t="array" aca="1" ref="CH188" ca="1">IF(OR($D188&lt;&gt;"Serviço",AND(AUTOEVENTO="Manual",$M188=$A$15),$M188&gt;(ROW(PLE.lastrow)-ROW(PLE.firstrow))),0,
           IF(OFFSET(PLE!$G$15,$M188-$A$15,CH$13)="",10^12,OFFSET(PLE!$G$15,$M188-$A$15,CH$13)))</f>
        <v>1000000000000</v>
      </c>
      <c r="CI188" s="172">
        <f t="array" aca="1" ref="CI188" ca="1">IF(OR($D188&lt;&gt;"Serviço",AND(AUTOEVENTO="Manual",$M188=$A$15),$M188&gt;(ROW(PLE.lastrow)-ROW(PLE.firstrow))),0,
           IF(OFFSET(PLE!$G$15,$M188-$A$15,CI$13)="",10^12,OFFSET(PLE!$G$15,$M188-$A$15,CI$13)))</f>
        <v>1000000000000</v>
      </c>
      <c r="CJ188" s="172">
        <f t="array" aca="1" ref="CJ188" ca="1">IF(OR($D188&lt;&gt;"Serviço",AND(AUTOEVENTO="Manual",$M188=$A$15),$M188&gt;(ROW(PLE.lastrow)-ROW(PLE.firstrow))),0,
           IF(OFFSET(PLE!$G$15,$M188-$A$15,CJ$13)="",10^12,OFFSET(PLE!$G$15,$M188-$A$15,CJ$13)))</f>
        <v>1000000000000</v>
      </c>
      <c r="CK188" s="172">
        <f t="array" aca="1" ref="CK188" ca="1">IF(OR($D188&lt;&gt;"Serviço",AND(AUTOEVENTO="Manual",$M188=$A$15),$M188&gt;(ROW(PLE.lastrow)-ROW(PLE.firstrow))),0,
           IF(OFFSET(PLE!$G$15,$M188-$A$15,CK$13)="",10^12,OFFSET(PLE!$G$15,$M188-$A$15,CK$13)))</f>
        <v>1000000000000</v>
      </c>
      <c r="CL188" s="172">
        <f t="array" aca="1" ref="CL188" ca="1">IF(OR($D188&lt;&gt;"Serviço",AND(AUTOEVENTO="Manual",$M188=$A$15),$M188&gt;(ROW(PLE.lastrow)-ROW(PLE.firstrow))),0,
           IF(OFFSET(PLE!$G$15,$M188-$A$15,CL$13)="",10^12,OFFSET(PLE!$G$15,$M188-$A$15,CL$13)))</f>
        <v>1000000000000</v>
      </c>
      <c r="CM188" s="172">
        <f t="array" aca="1" ref="CM188" ca="1">IF(OR($D188&lt;&gt;"Serviço",AND(AUTOEVENTO="Manual",$M188=$A$15),$M188&gt;(ROW(PLE.lastrow)-ROW(PLE.firstrow))),0,
           IF(OFFSET(PLE!$G$15,$M188-$A$15,CM$13)="",10^12,OFFSET(PLE!$G$15,$M188-$A$15,CM$13)))</f>
        <v>1000000000000</v>
      </c>
    </row>
    <row r="189" spans="1:91" s="696" customFormat="1" ht="63.75" x14ac:dyDescent="0.2">
      <c r="A189" s="694">
        <f t="shared" ca="1" si="82"/>
        <v>39</v>
      </c>
      <c r="B189" s="694" t="str">
        <f ca="1">OFFSET(ORÇAMENTO!C$15,$L189,0)</f>
        <v>S</v>
      </c>
      <c r="C189" s="694" t="str">
        <f ca="1">OFFSET(ORÇAMENTO!L$15,$L189,0)</f>
        <v>F</v>
      </c>
      <c r="D189" s="116" t="str">
        <f ca="1">OFFSET(ORÇAMENTO!N$15,$L189,0)</f>
        <v>Serviço</v>
      </c>
      <c r="E189" s="117" t="str">
        <f ca="1">OFFSET(ORÇAMENTO!O$15,$L189,0)</f>
        <v>1.29.8.</v>
      </c>
      <c r="F189" s="163" t="str">
        <f ca="1">OFFSET(ORÇAMENTO!R$15,$L189,0)</f>
        <v>JOELHO 90 GRAUS, PVC, SOLDÁVEL, DN 32MM, INSTALADO EM RAMAL DE DISTRIBUIÇÃO DE ÁGUA - FORNECIMENTO E INSTALAÇÃO. AF_06/2022</v>
      </c>
      <c r="G189" s="164" t="str">
        <f ca="1">IF($D189&lt;&gt;"Serviço","",OFFSET(ORÇAMENTO!S$15,$L189,0))</f>
        <v>UN</v>
      </c>
      <c r="H189" s="122">
        <f t="array" aca="1" ref="H189" ca="1">IF($D189&lt;&gt;"Serviço",0,IF(ACOMPANHAMENTO="BM",ROUND(OFFSET(ORÇAMENTO!AJ$15,$L189,0),15-13*ORÇAMENTO!$AF$7),IF(IFERROR(CÁLCULO.FrentesPreenchidas,0)=0,0,SUM(ROUND(OFFSET($P189,0,1,1,CÁLCULO.FrentesPreenchidas),15-13*ORÇAMENTO!$AF$7)))))</f>
        <v>80</v>
      </c>
      <c r="I189" s="467" t="s">
        <v>1313</v>
      </c>
      <c r="J189" s="653" t="str">
        <f t="array" aca="1" ref="J189" ca="1">IF(OR(B189&lt;&gt;"S",CÁLCULO.FrentesPreenchidas=0),"",IF(AND(ACOMPANHAMENTO="PLE",AUTOEVENTO="Manual",OR(H189&gt;0,ORÇAMENTO!AC189="QUANT."),OR(K189="",M189=0,N189="")),"►E",IF(AND(ACOMPANHAMENTO="PLE",ORÇAMENTO!AC189="QUANT."),"►Q",IF(AND(ACOMPANHAMENTO="PLE",H189&lt;&gt;SUMPRODUCT(($Q$1:$AI$1=1)*ROUND(Q189:AI189,15))),"►S",IF(AND(COUNTIF($P$11:$AI$11,"▼")=0,H189&gt;0,I189=""),"◄M","")))))</f>
        <v/>
      </c>
      <c r="K189" s="654" t="s">
        <v>1446</v>
      </c>
      <c r="L189" s="165">
        <f t="shared" ca="1" si="83"/>
        <v>174</v>
      </c>
      <c r="M189" s="166">
        <f ca="1">IF($D189&lt;&gt;"Serviço","",
          IF(AUTOEVENTO="manual",$A189,
                IF(ISERROR(MATCH($A189,$A$15:OFFSET($A189,-1,0),0)),MAX($M$15:OFFSET(M189,-1,0))+1,
                      INDEX($M$15:OFFSET(M189,-1,0),MATCH($A189,$A$15:OFFSET($A189,-1,0),0)))))</f>
        <v>39</v>
      </c>
      <c r="N189" s="167" t="str">
        <f ca="1">IF($D189&lt;&gt;"Serviço","",
         IF(AUTOEVENTO="Manual",
                IF($A189=0,"&lt;-- defina o número do agrupador",
                       OFFSET(EVENTOS!$D$15,$A189-$A$15,0)),
                OFFSET($F$15,$A189,0)))</f>
        <v>RESERVATÓRIO DE ÁGUA</v>
      </c>
      <c r="O189" s="168"/>
      <c r="Q189" s="169">
        <v>20</v>
      </c>
      <c r="R189" s="169">
        <v>20</v>
      </c>
      <c r="S189" s="169">
        <v>20</v>
      </c>
      <c r="T189" s="169">
        <v>20</v>
      </c>
      <c r="U189" s="169"/>
      <c r="V189" s="169"/>
      <c r="W189" s="169"/>
      <c r="X189" s="169"/>
      <c r="Y189" s="169"/>
      <c r="Z189" s="170"/>
      <c r="AA189" s="169"/>
      <c r="AB189" s="169"/>
      <c r="AC189" s="169"/>
      <c r="AD189" s="169"/>
      <c r="AE189" s="169"/>
      <c r="AF189" s="169"/>
      <c r="AG189" s="169"/>
      <c r="AH189" s="170"/>
      <c r="AJ189" s="452">
        <f ca="1">IF(AND($D189="Serviço",AJ$12&lt;&gt;0,$H189&gt;0,OR(AUTOEVENTO&lt;&gt;"manual",$M189&lt;&gt;$A$15)),
        IF(Import.TipoArredondamento&lt;&gt;"TransfereGOV",
              ROUND(OFFSET($P189,0,AJ$13),15-13*ORÇAMENTO!$AF$7)/$H189*OFFSET(ORÇAMENTO!$X$15,ROW(AJ189)-ROW(AJ$15),0),
              ROUND(ROUND(OFFSET($P189,0,AJ$13),15-13*ORÇAMENTO!$AF$7)*OFFSET(ORÇAMENTO!$W$15,ROW(AJ189)-ROW(AJ$15),0),15-13*ORÇAMENTO!$AF$11)),
         0)</f>
        <v>295.8</v>
      </c>
      <c r="AK189" s="452">
        <f ca="1">IF(AND($D189="Serviço",AK$12&lt;&gt;0,$H189&gt;0,OR(AUTOEVENTO&lt;&gt;"manual",$M189&lt;&gt;$A$15)),
        IF(Import.TipoArredondamento&lt;&gt;"TransfereGOV",
              ROUND(OFFSET($P189,0,AK$13),15-13*ORÇAMENTO!$AF$7)/$H189*OFFSET(ORÇAMENTO!$X$15,ROW(AK189)-ROW(AK$15),0),
              ROUND(ROUND(OFFSET($P189,0,AK$13),15-13*ORÇAMENTO!$AF$7)*OFFSET(ORÇAMENTO!$W$15,ROW(AK189)-ROW(AK$15),0),15-13*ORÇAMENTO!$AF$11)),
         0)</f>
        <v>295.8</v>
      </c>
      <c r="AL189" s="452">
        <f ca="1">IF(AND($D189="Serviço",AL$12&lt;&gt;0,$H189&gt;0,OR(AUTOEVENTO&lt;&gt;"manual",$M189&lt;&gt;$A$15)),
        IF(Import.TipoArredondamento&lt;&gt;"TransfereGOV",
              ROUND(OFFSET($P189,0,AL$13),15-13*ORÇAMENTO!$AF$7)/$H189*OFFSET(ORÇAMENTO!$X$15,ROW(AL189)-ROW(AL$15),0),
              ROUND(ROUND(OFFSET($P189,0,AL$13),15-13*ORÇAMENTO!$AF$7)*OFFSET(ORÇAMENTO!$W$15,ROW(AL189)-ROW(AL$15),0),15-13*ORÇAMENTO!$AF$11)),
         0)</f>
        <v>295.8</v>
      </c>
      <c r="AM189" s="452">
        <f ca="1">IF(AND($D189="Serviço",AM$12&lt;&gt;0,$H189&gt;0,OR(AUTOEVENTO&lt;&gt;"manual",$M189&lt;&gt;$A$15)),
        IF(Import.TipoArredondamento&lt;&gt;"TransfereGOV",
              ROUND(OFFSET($P189,0,AM$13),15-13*ORÇAMENTO!$AF$7)/$H189*OFFSET(ORÇAMENTO!$X$15,ROW(AM189)-ROW(AM$15),0),
              ROUND(ROUND(OFFSET($P189,0,AM$13),15-13*ORÇAMENTO!$AF$7)*OFFSET(ORÇAMENTO!$W$15,ROW(AM189)-ROW(AM$15),0),15-13*ORÇAMENTO!$AF$11)),
         0)</f>
        <v>295.8</v>
      </c>
      <c r="AN189" s="452">
        <f ca="1">IF(AND($D189="Serviço",AN$12&lt;&gt;0,$H189&gt;0,OR(AUTOEVENTO&lt;&gt;"manual",$M189&lt;&gt;$A$15)),
        IF(Import.TipoArredondamento&lt;&gt;"TransfereGOV",
              ROUND(OFFSET($P189,0,AN$13),15-13*ORÇAMENTO!$AF$7)/$H189*OFFSET(ORÇAMENTO!$X$15,ROW(AN189)-ROW(AN$15),0),
              ROUND(ROUND(OFFSET($P189,0,AN$13),15-13*ORÇAMENTO!$AF$7)*OFFSET(ORÇAMENTO!$W$15,ROW(AN189)-ROW(AN$15),0),15-13*ORÇAMENTO!$AF$11)),
         0)</f>
        <v>0</v>
      </c>
      <c r="AO189" s="452">
        <f ca="1">IF(AND($D189="Serviço",AO$12&lt;&gt;0,$H189&gt;0,OR(AUTOEVENTO&lt;&gt;"manual",$M189&lt;&gt;$A$15)),
        IF(Import.TipoArredondamento&lt;&gt;"TransfereGOV",
              ROUND(OFFSET($P189,0,AO$13),15-13*ORÇAMENTO!$AF$7)/$H189*OFFSET(ORÇAMENTO!$X$15,ROW(AO189)-ROW(AO$15),0),
              ROUND(ROUND(OFFSET($P189,0,AO$13),15-13*ORÇAMENTO!$AF$7)*OFFSET(ORÇAMENTO!$W$15,ROW(AO189)-ROW(AO$15),0),15-13*ORÇAMENTO!$AF$11)),
         0)</f>
        <v>0</v>
      </c>
      <c r="AP189" s="452">
        <f ca="1">IF(AND($D189="Serviço",AP$12&lt;&gt;0,$H189&gt;0,OR(AUTOEVENTO&lt;&gt;"manual",$M189&lt;&gt;$A$15)),
        IF(Import.TipoArredondamento&lt;&gt;"TransfereGOV",
              ROUND(OFFSET($P189,0,AP$13),15-13*ORÇAMENTO!$AF$7)/$H189*OFFSET(ORÇAMENTO!$X$15,ROW(AP189)-ROW(AP$15),0),
              ROUND(ROUND(OFFSET($P189,0,AP$13),15-13*ORÇAMENTO!$AF$7)*OFFSET(ORÇAMENTO!$W$15,ROW(AP189)-ROW(AP$15),0),15-13*ORÇAMENTO!$AF$11)),
         0)</f>
        <v>0</v>
      </c>
      <c r="AQ189" s="452">
        <f ca="1">IF(AND($D189="Serviço",AQ$12&lt;&gt;0,$H189&gt;0,OR(AUTOEVENTO&lt;&gt;"manual",$M189&lt;&gt;$A$15)),
        IF(Import.TipoArredondamento&lt;&gt;"TransfereGOV",
              ROUND(OFFSET($P189,0,AQ$13),15-13*ORÇAMENTO!$AF$7)/$H189*OFFSET(ORÇAMENTO!$X$15,ROW(AQ189)-ROW(AQ$15),0),
              ROUND(ROUND(OFFSET($P189,0,AQ$13),15-13*ORÇAMENTO!$AF$7)*OFFSET(ORÇAMENTO!$W$15,ROW(AQ189)-ROW(AQ$15),0),15-13*ORÇAMENTO!$AF$11)),
         0)</f>
        <v>0</v>
      </c>
      <c r="AR189" s="452">
        <f ca="1">IF(AND($D189="Serviço",AR$12&lt;&gt;0,$H189&gt;0,OR(AUTOEVENTO&lt;&gt;"manual",$M189&lt;&gt;$A$15)),
        IF(Import.TipoArredondamento&lt;&gt;"TransfereGOV",
              ROUND(OFFSET($P189,0,AR$13),15-13*ORÇAMENTO!$AF$7)/$H189*OFFSET(ORÇAMENTO!$X$15,ROW(AR189)-ROW(AR$15),0),
              ROUND(ROUND(OFFSET($P189,0,AR$13),15-13*ORÇAMENTO!$AF$7)*OFFSET(ORÇAMENTO!$W$15,ROW(AR189)-ROW(AR$15),0),15-13*ORÇAMENTO!$AF$11)),
         0)</f>
        <v>0</v>
      </c>
      <c r="AS189" s="452">
        <f ca="1">IF(AND($D189="Serviço",AS$12&lt;&gt;0,$H189&gt;0,OR(AUTOEVENTO&lt;&gt;"manual",$M189&lt;&gt;$A$15)),
        IF(Import.TipoArredondamento&lt;&gt;"TransfereGOV",
              ROUND(OFFSET($P189,0,AS$13),15-13*ORÇAMENTO!$AF$7)/$H189*OFFSET(ORÇAMENTO!$X$15,ROW(AS189)-ROW(AS$15),0),
              ROUND(ROUND(OFFSET($P189,0,AS$13),15-13*ORÇAMENTO!$AF$7)*OFFSET(ORÇAMENTO!$W$15,ROW(AS189)-ROW(AS$15),0),15-13*ORÇAMENTO!$AF$11)),
         0)</f>
        <v>0</v>
      </c>
      <c r="AT189" s="452">
        <f ca="1">IF(AND($D189="Serviço",AT$12&lt;&gt;0,$H189&gt;0,OR(AUTOEVENTO&lt;&gt;"manual",$M189&lt;&gt;$A$15)),
        IF(Import.TipoArredondamento&lt;&gt;"TransfereGOV",
              ROUND(OFFSET($P189,0,AT$13),15-13*ORÇAMENTO!$AF$7)/$H189*OFFSET(ORÇAMENTO!$X$15,ROW(AT189)-ROW(AT$15),0),
              ROUND(ROUND(OFFSET($P189,0,AT$13),15-13*ORÇAMENTO!$AF$7)*OFFSET(ORÇAMENTO!$W$15,ROW(AT189)-ROW(AT$15),0),15-13*ORÇAMENTO!$AF$11)),
         0)</f>
        <v>0</v>
      </c>
      <c r="AU189" s="452">
        <f ca="1">IF(AND($D189="Serviço",AU$12&lt;&gt;0,$H189&gt;0,OR(AUTOEVENTO&lt;&gt;"manual",$M189&lt;&gt;$A$15)),
        IF(Import.TipoArredondamento&lt;&gt;"TransfereGOV",
              ROUND(OFFSET($P189,0,AU$13),15-13*ORÇAMENTO!$AF$7)/$H189*OFFSET(ORÇAMENTO!$X$15,ROW(AU189)-ROW(AU$15),0),
              ROUND(ROUND(OFFSET($P189,0,AU$13),15-13*ORÇAMENTO!$AF$7)*OFFSET(ORÇAMENTO!$W$15,ROW(AU189)-ROW(AU$15),0),15-13*ORÇAMENTO!$AF$11)),
         0)</f>
        <v>0</v>
      </c>
      <c r="AV189" s="452">
        <f ca="1">IF(AND($D189="Serviço",AV$12&lt;&gt;0,$H189&gt;0,OR(AUTOEVENTO&lt;&gt;"manual",$M189&lt;&gt;$A$15)),
        IF(Import.TipoArredondamento&lt;&gt;"TransfereGOV",
              ROUND(OFFSET($P189,0,AV$13),15-13*ORÇAMENTO!$AF$7)/$H189*OFFSET(ORÇAMENTO!$X$15,ROW(AV189)-ROW(AV$15),0),
              ROUND(ROUND(OFFSET($P189,0,AV$13),15-13*ORÇAMENTO!$AF$7)*OFFSET(ORÇAMENTO!$W$15,ROW(AV189)-ROW(AV$15),0),15-13*ORÇAMENTO!$AF$11)),
         0)</f>
        <v>0</v>
      </c>
      <c r="AW189" s="452">
        <f ca="1">IF(AND($D189="Serviço",AW$12&lt;&gt;0,$H189&gt;0,OR(AUTOEVENTO&lt;&gt;"manual",$M189&lt;&gt;$A$15)),
        IF(Import.TipoArredondamento&lt;&gt;"TransfereGOV",
              ROUND(OFFSET($P189,0,AW$13),15-13*ORÇAMENTO!$AF$7)/$H189*OFFSET(ORÇAMENTO!$X$15,ROW(AW189)-ROW(AW$15),0),
              ROUND(ROUND(OFFSET($P189,0,AW$13),15-13*ORÇAMENTO!$AF$7)*OFFSET(ORÇAMENTO!$W$15,ROW(AW189)-ROW(AW$15),0),15-13*ORÇAMENTO!$AF$11)),
         0)</f>
        <v>0</v>
      </c>
      <c r="AX189" s="452">
        <f ca="1">IF(AND($D189="Serviço",AX$12&lt;&gt;0,$H189&gt;0,OR(AUTOEVENTO&lt;&gt;"manual",$M189&lt;&gt;$A$15)),
        IF(Import.TipoArredondamento&lt;&gt;"TransfereGOV",
              ROUND(OFFSET($P189,0,AX$13),15-13*ORÇAMENTO!$AF$7)/$H189*OFFSET(ORÇAMENTO!$X$15,ROW(AX189)-ROW(AX$15),0),
              ROUND(ROUND(OFFSET($P189,0,AX$13),15-13*ORÇAMENTO!$AF$7)*OFFSET(ORÇAMENTO!$W$15,ROW(AX189)-ROW(AX$15),0),15-13*ORÇAMENTO!$AF$11)),
         0)</f>
        <v>0</v>
      </c>
      <c r="AY189" s="452">
        <f ca="1">IF(AND($D189="Serviço",AY$12&lt;&gt;0,$H189&gt;0,OR(AUTOEVENTO&lt;&gt;"manual",$M189&lt;&gt;$A$15)),
        IF(Import.TipoArredondamento&lt;&gt;"TransfereGOV",
              ROUND(OFFSET($P189,0,AY$13),15-13*ORÇAMENTO!$AF$7)/$H189*OFFSET(ORÇAMENTO!$X$15,ROW(AY189)-ROW(AY$15),0),
              ROUND(ROUND(OFFSET($P189,0,AY$13),15-13*ORÇAMENTO!$AF$7)*OFFSET(ORÇAMENTO!$W$15,ROW(AY189)-ROW(AY$15),0),15-13*ORÇAMENTO!$AF$11)),
         0)</f>
        <v>0</v>
      </c>
      <c r="AZ189" s="452">
        <f ca="1">IF(AND($D189="Serviço",AZ$12&lt;&gt;0,$H189&gt;0,OR(AUTOEVENTO&lt;&gt;"manual",$M189&lt;&gt;$A$15)),
        IF(Import.TipoArredondamento&lt;&gt;"TransfereGOV",
              ROUND(OFFSET($P189,0,AZ$13),15-13*ORÇAMENTO!$AF$7)/$H189*OFFSET(ORÇAMENTO!$X$15,ROW(AZ189)-ROW(AZ$15),0),
              ROUND(ROUND(OFFSET($P189,0,AZ$13),15-13*ORÇAMENTO!$AF$7)*OFFSET(ORÇAMENTO!$W$15,ROW(AZ189)-ROW(AZ$15),0),15-13*ORÇAMENTO!$AF$11)),
         0)</f>
        <v>0</v>
      </c>
      <c r="BA189" s="452">
        <f ca="1">IF(AND($D189="Serviço",BA$12&lt;&gt;0,$H189&gt;0,OR(AUTOEVENTO&lt;&gt;"manual",$M189&lt;&gt;$A$15)),
        IF(Import.TipoArredondamento&lt;&gt;"TransfereGOV",
              ROUND(OFFSET($P189,0,BA$13),15-13*ORÇAMENTO!$AF$7)/$H189*OFFSET(ORÇAMENTO!$X$15,ROW(BA189)-ROW(BA$15),0),
              ROUND(ROUND(OFFSET($P189,0,BA$13),15-13*ORÇAMENTO!$AF$7)*OFFSET(ORÇAMENTO!$W$15,ROW(BA189)-ROW(BA$15),0),15-13*ORÇAMENTO!$AF$11)),
         0)</f>
        <v>0</v>
      </c>
      <c r="BC189" s="171">
        <f ca="1">IF(OR($D189&lt;&gt;"Serviço",AND(AUTOEVENTO="Manual",$M189=$A$15)),0,
         IF(OFFSET(CRONOPLE!$F$15,$M189-$A$15,BC$13)=0,10^12,OFFSET(CRONOPLE!$F$15,$M189-$A$15,BC$13)))</f>
        <v>4</v>
      </c>
      <c r="BD189" s="171">
        <f ca="1">IF(OR($D189&lt;&gt;"Serviço",AND(AUTOEVENTO="Manual",$M189=$A$15)),0,
         IF(OFFSET(CRONOPLE!$F$15,$M189-$A$15,BD$13)=0,10^12,OFFSET(CRONOPLE!$F$15,$M189-$A$15,BD$13)))</f>
        <v>4</v>
      </c>
      <c r="BE189" s="171">
        <f ca="1">IF(OR($D189&lt;&gt;"Serviço",AND(AUTOEVENTO="Manual",$M189=$A$15)),0,
         IF(OFFSET(CRONOPLE!$F$15,$M189-$A$15,BE$13)=0,10^12,OFFSET(CRONOPLE!$F$15,$M189-$A$15,BE$13)))</f>
        <v>5</v>
      </c>
      <c r="BF189" s="171">
        <f ca="1">IF(OR($D189&lt;&gt;"Serviço",AND(AUTOEVENTO="Manual",$M189=$A$15)),0,
         IF(OFFSET(CRONOPLE!$F$15,$M189-$A$15,BF$13)=0,10^12,OFFSET(CRONOPLE!$F$15,$M189-$A$15,BF$13)))</f>
        <v>5</v>
      </c>
      <c r="BG189" s="171">
        <f ca="1">IF(OR($D189&lt;&gt;"Serviço",AND(AUTOEVENTO="Manual",$M189=$A$15)),0,
         IF(OFFSET(CRONOPLE!$F$15,$M189-$A$15,BG$13)=0,10^12,OFFSET(CRONOPLE!$F$15,$M189-$A$15,BG$13)))</f>
        <v>5</v>
      </c>
      <c r="BH189" s="171">
        <f ca="1">IF(OR($D189&lt;&gt;"Serviço",AND(AUTOEVENTO="Manual",$M189=$A$15)),0,
         IF(OFFSET(CRONOPLE!$F$15,$M189-$A$15,BH$13)=0,10^12,OFFSET(CRONOPLE!$F$15,$M189-$A$15,BH$13)))</f>
        <v>1000000000000</v>
      </c>
      <c r="BI189" s="171">
        <f ca="1">IF(OR($D189&lt;&gt;"Serviço",AND(AUTOEVENTO="Manual",$M189=$A$15)),0,
         IF(OFFSET(CRONOPLE!$F$15,$M189-$A$15,BI$13)=0,10^12,OFFSET(CRONOPLE!$F$15,$M189-$A$15,BI$13)))</f>
        <v>1000000000000</v>
      </c>
      <c r="BJ189" s="171">
        <f ca="1">IF(OR($D189&lt;&gt;"Serviço",AND(AUTOEVENTO="Manual",$M189=$A$15)),0,
         IF(OFFSET(CRONOPLE!$F$15,$M189-$A$15,BJ$13)=0,10^12,OFFSET(CRONOPLE!$F$15,$M189-$A$15,BJ$13)))</f>
        <v>1000000000000</v>
      </c>
      <c r="BK189" s="171">
        <f ca="1">IF(OR($D189&lt;&gt;"Serviço",AND(AUTOEVENTO="Manual",$M189=$A$15)),0,
         IF(OFFSET(CRONOPLE!$F$15,$M189-$A$15,BK$13)=0,10^12,OFFSET(CRONOPLE!$F$15,$M189-$A$15,BK$13)))</f>
        <v>1000000000000</v>
      </c>
      <c r="BL189" s="171">
        <f ca="1">IF(OR($D189&lt;&gt;"Serviço",AND(AUTOEVENTO="Manual",$M189=$A$15)),0,
         IF(OFFSET(CRONOPLE!$F$15,$M189-$A$15,BL$13)=0,10^12,OFFSET(CRONOPLE!$F$15,$M189-$A$15,BL$13)))</f>
        <v>1000000000000</v>
      </c>
      <c r="BM189" s="171">
        <f ca="1">IF(OR($D189&lt;&gt;"Serviço",AND(AUTOEVENTO="Manual",$M189=$A$15)),0,
         IF(OFFSET(CRONOPLE!$F$15,$M189-$A$15,BM$13)=0,10^12,OFFSET(CRONOPLE!$F$15,$M189-$A$15,BM$13)))</f>
        <v>1000000000000</v>
      </c>
      <c r="BN189" s="171">
        <f ca="1">IF(OR($D189&lt;&gt;"Serviço",AND(AUTOEVENTO="Manual",$M189=$A$15)),0,
         IF(OFFSET(CRONOPLE!$F$15,$M189-$A$15,BN$13)=0,10^12,OFFSET(CRONOPLE!$F$15,$M189-$A$15,BN$13)))</f>
        <v>1000000000000</v>
      </c>
      <c r="BO189" s="171">
        <f ca="1">IF(OR($D189&lt;&gt;"Serviço",AND(AUTOEVENTO="Manual",$M189=$A$15)),0,
         IF(OFFSET(CRONOPLE!$F$15,$M189-$A$15,BO$13)=0,10^12,OFFSET(CRONOPLE!$F$15,$M189-$A$15,BO$13)))</f>
        <v>1000000000000</v>
      </c>
      <c r="BP189" s="171">
        <f ca="1">IF(OR($D189&lt;&gt;"Serviço",AND(AUTOEVENTO="Manual",$M189=$A$15)),0,
         IF(OFFSET(CRONOPLE!$F$15,$M189-$A$15,BP$13)=0,10^12,OFFSET(CRONOPLE!$F$15,$M189-$A$15,BP$13)))</f>
        <v>1000000000000</v>
      </c>
      <c r="BQ189" s="171">
        <f ca="1">IF(OR($D189&lt;&gt;"Serviço",AND(AUTOEVENTO="Manual",$M189=$A$15)),0,
         IF(OFFSET(CRONOPLE!$F$15,$M189-$A$15,BQ$13)=0,10^12,OFFSET(CRONOPLE!$F$15,$M189-$A$15,BQ$13)))</f>
        <v>1000000000000</v>
      </c>
      <c r="BR189" s="171">
        <f ca="1">IF(OR($D189&lt;&gt;"Serviço",AND(AUTOEVENTO="Manual",$M189=$A$15)),0,
         IF(OFFSET(CRONOPLE!$F$15,$M189-$A$15,BR$13)=0,10^12,OFFSET(CRONOPLE!$F$15,$M189-$A$15,BR$13)))</f>
        <v>1000000000000</v>
      </c>
      <c r="BS189" s="171">
        <f ca="1">IF(OR($D189&lt;&gt;"Serviço",AND(AUTOEVENTO="Manual",$M189=$A$15)),0,
         IF(OFFSET(CRONOPLE!$F$15,$M189-$A$15,BS$13)=0,10^12,OFFSET(CRONOPLE!$F$15,$M189-$A$15,BS$13)))</f>
        <v>1000000000000</v>
      </c>
      <c r="BT189" s="171">
        <f ca="1">IF(OR($D189&lt;&gt;"Serviço",AND(AUTOEVENTO="Manual",$M189=$A$15)),0,
         IF(OFFSET(CRONOPLE!$F$15,$M189-$A$15,BT$13)=0,10^12,OFFSET(CRONOPLE!$F$15,$M189-$A$15,BT$13)))</f>
        <v>1000000000000</v>
      </c>
      <c r="BV189" s="172">
        <f t="array" aca="1" ref="BV189" ca="1">IF(OR($D189&lt;&gt;"Serviço",AND(AUTOEVENTO="Manual",$M189=$A$15),$M189&gt;(ROW(PLE.lastrow)-ROW(PLE.firstrow))),0,
           IF(OFFSET(PLE!$G$15,$M189-$A$15,BV$13)="",10^12,OFFSET(PLE!$G$15,$M189-$A$15,BV$13)))</f>
        <v>1000000000000</v>
      </c>
      <c r="BW189" s="172">
        <f t="array" aca="1" ref="BW189" ca="1">IF(OR($D189&lt;&gt;"Serviço",AND(AUTOEVENTO="Manual",$M189=$A$15),$M189&gt;(ROW(PLE.lastrow)-ROW(PLE.firstrow))),0,
           IF(OFFSET(PLE!$G$15,$M189-$A$15,BW$13)="",10^12,OFFSET(PLE!$G$15,$M189-$A$15,BW$13)))</f>
        <v>1000000000000</v>
      </c>
      <c r="BX189" s="172">
        <f t="array" aca="1" ref="BX189" ca="1">IF(OR($D189&lt;&gt;"Serviço",AND(AUTOEVENTO="Manual",$M189=$A$15),$M189&gt;(ROW(PLE.lastrow)-ROW(PLE.firstrow))),0,
           IF(OFFSET(PLE!$G$15,$M189-$A$15,BX$13)="",10^12,OFFSET(PLE!$G$15,$M189-$A$15,BX$13)))</f>
        <v>1000000000000</v>
      </c>
      <c r="BY189" s="172">
        <f t="array" aca="1" ref="BY189" ca="1">IF(OR($D189&lt;&gt;"Serviço",AND(AUTOEVENTO="Manual",$M189=$A$15),$M189&gt;(ROW(PLE.lastrow)-ROW(PLE.firstrow))),0,
           IF(OFFSET(PLE!$G$15,$M189-$A$15,BY$13)="",10^12,OFFSET(PLE!$G$15,$M189-$A$15,BY$13)))</f>
        <v>1000000000000</v>
      </c>
      <c r="BZ189" s="172">
        <f t="array" aca="1" ref="BZ189" ca="1">IF(OR($D189&lt;&gt;"Serviço",AND(AUTOEVENTO="Manual",$M189=$A$15),$M189&gt;(ROW(PLE.lastrow)-ROW(PLE.firstrow))),0,
           IF(OFFSET(PLE!$G$15,$M189-$A$15,BZ$13)="",10^12,OFFSET(PLE!$G$15,$M189-$A$15,BZ$13)))</f>
        <v>1000000000000</v>
      </c>
      <c r="CA189" s="172">
        <f t="array" aca="1" ref="CA189" ca="1">IF(OR($D189&lt;&gt;"Serviço",AND(AUTOEVENTO="Manual",$M189=$A$15),$M189&gt;(ROW(PLE.lastrow)-ROW(PLE.firstrow))),0,
           IF(OFFSET(PLE!$G$15,$M189-$A$15,CA$13)="",10^12,OFFSET(PLE!$G$15,$M189-$A$15,CA$13)))</f>
        <v>1000000000000</v>
      </c>
      <c r="CB189" s="172">
        <f t="array" aca="1" ref="CB189" ca="1">IF(OR($D189&lt;&gt;"Serviço",AND(AUTOEVENTO="Manual",$M189=$A$15),$M189&gt;(ROW(PLE.lastrow)-ROW(PLE.firstrow))),0,
           IF(OFFSET(PLE!$G$15,$M189-$A$15,CB$13)="",10^12,OFFSET(PLE!$G$15,$M189-$A$15,CB$13)))</f>
        <v>1000000000000</v>
      </c>
      <c r="CC189" s="172">
        <f t="array" aca="1" ref="CC189" ca="1">IF(OR($D189&lt;&gt;"Serviço",AND(AUTOEVENTO="Manual",$M189=$A$15),$M189&gt;(ROW(PLE.lastrow)-ROW(PLE.firstrow))),0,
           IF(OFFSET(PLE!$G$15,$M189-$A$15,CC$13)="",10^12,OFFSET(PLE!$G$15,$M189-$A$15,CC$13)))</f>
        <v>1000000000000</v>
      </c>
      <c r="CD189" s="172">
        <f t="array" aca="1" ref="CD189" ca="1">IF(OR($D189&lt;&gt;"Serviço",AND(AUTOEVENTO="Manual",$M189=$A$15),$M189&gt;(ROW(PLE.lastrow)-ROW(PLE.firstrow))),0,
           IF(OFFSET(PLE!$G$15,$M189-$A$15,CD$13)="",10^12,OFFSET(PLE!$G$15,$M189-$A$15,CD$13)))</f>
        <v>1000000000000</v>
      </c>
      <c r="CE189" s="172">
        <f t="array" aca="1" ref="CE189" ca="1">IF(OR($D189&lt;&gt;"Serviço",AND(AUTOEVENTO="Manual",$M189=$A$15),$M189&gt;(ROW(PLE.lastrow)-ROW(PLE.firstrow))),0,
           IF(OFFSET(PLE!$G$15,$M189-$A$15,CE$13)="",10^12,OFFSET(PLE!$G$15,$M189-$A$15,CE$13)))</f>
        <v>1000000000000</v>
      </c>
      <c r="CF189" s="172">
        <f t="array" aca="1" ref="CF189" ca="1">IF(OR($D189&lt;&gt;"Serviço",AND(AUTOEVENTO="Manual",$M189=$A$15),$M189&gt;(ROW(PLE.lastrow)-ROW(PLE.firstrow))),0,
           IF(OFFSET(PLE!$G$15,$M189-$A$15,CF$13)="",10^12,OFFSET(PLE!$G$15,$M189-$A$15,CF$13)))</f>
        <v>1000000000000</v>
      </c>
      <c r="CG189" s="172">
        <f t="array" aca="1" ref="CG189" ca="1">IF(OR($D189&lt;&gt;"Serviço",AND(AUTOEVENTO="Manual",$M189=$A$15),$M189&gt;(ROW(PLE.lastrow)-ROW(PLE.firstrow))),0,
           IF(OFFSET(PLE!$G$15,$M189-$A$15,CG$13)="",10^12,OFFSET(PLE!$G$15,$M189-$A$15,CG$13)))</f>
        <v>1000000000000</v>
      </c>
      <c r="CH189" s="172">
        <f t="array" aca="1" ref="CH189" ca="1">IF(OR($D189&lt;&gt;"Serviço",AND(AUTOEVENTO="Manual",$M189=$A$15),$M189&gt;(ROW(PLE.lastrow)-ROW(PLE.firstrow))),0,
           IF(OFFSET(PLE!$G$15,$M189-$A$15,CH$13)="",10^12,OFFSET(PLE!$G$15,$M189-$A$15,CH$13)))</f>
        <v>1000000000000</v>
      </c>
      <c r="CI189" s="172">
        <f t="array" aca="1" ref="CI189" ca="1">IF(OR($D189&lt;&gt;"Serviço",AND(AUTOEVENTO="Manual",$M189=$A$15),$M189&gt;(ROW(PLE.lastrow)-ROW(PLE.firstrow))),0,
           IF(OFFSET(PLE!$G$15,$M189-$A$15,CI$13)="",10^12,OFFSET(PLE!$G$15,$M189-$A$15,CI$13)))</f>
        <v>1000000000000</v>
      </c>
      <c r="CJ189" s="172">
        <f t="array" aca="1" ref="CJ189" ca="1">IF(OR($D189&lt;&gt;"Serviço",AND(AUTOEVENTO="Manual",$M189=$A$15),$M189&gt;(ROW(PLE.lastrow)-ROW(PLE.firstrow))),0,
           IF(OFFSET(PLE!$G$15,$M189-$A$15,CJ$13)="",10^12,OFFSET(PLE!$G$15,$M189-$A$15,CJ$13)))</f>
        <v>1000000000000</v>
      </c>
      <c r="CK189" s="172">
        <f t="array" aca="1" ref="CK189" ca="1">IF(OR($D189&lt;&gt;"Serviço",AND(AUTOEVENTO="Manual",$M189=$A$15),$M189&gt;(ROW(PLE.lastrow)-ROW(PLE.firstrow))),0,
           IF(OFFSET(PLE!$G$15,$M189-$A$15,CK$13)="",10^12,OFFSET(PLE!$G$15,$M189-$A$15,CK$13)))</f>
        <v>1000000000000</v>
      </c>
      <c r="CL189" s="172">
        <f t="array" aca="1" ref="CL189" ca="1">IF(OR($D189&lt;&gt;"Serviço",AND(AUTOEVENTO="Manual",$M189=$A$15),$M189&gt;(ROW(PLE.lastrow)-ROW(PLE.firstrow))),0,
           IF(OFFSET(PLE!$G$15,$M189-$A$15,CL$13)="",10^12,OFFSET(PLE!$G$15,$M189-$A$15,CL$13)))</f>
        <v>1000000000000</v>
      </c>
      <c r="CM189" s="172">
        <f t="array" aca="1" ref="CM189" ca="1">IF(OR($D189&lt;&gt;"Serviço",AND(AUTOEVENTO="Manual",$M189=$A$15),$M189&gt;(ROW(PLE.lastrow)-ROW(PLE.firstrow))),0,
           IF(OFFSET(PLE!$G$15,$M189-$A$15,CM$13)="",10^12,OFFSET(PLE!$G$15,$M189-$A$15,CM$13)))</f>
        <v>1000000000000</v>
      </c>
    </row>
    <row r="190" spans="1:91" s="696" customFormat="1" ht="63.75" x14ac:dyDescent="0.2">
      <c r="A190" s="694">
        <f t="shared" ca="1" si="82"/>
        <v>39</v>
      </c>
      <c r="B190" s="694" t="str">
        <f ca="1">OFFSET(ORÇAMENTO!C$15,$L190,0)</f>
        <v>S</v>
      </c>
      <c r="C190" s="694" t="str">
        <f ca="1">OFFSET(ORÇAMENTO!L$15,$L190,0)</f>
        <v>F</v>
      </c>
      <c r="D190" s="116" t="str">
        <f ca="1">OFFSET(ORÇAMENTO!N$15,$L190,0)</f>
        <v>Serviço</v>
      </c>
      <c r="E190" s="117" t="str">
        <f ca="1">OFFSET(ORÇAMENTO!O$15,$L190,0)</f>
        <v>1.29.9.</v>
      </c>
      <c r="F190" s="163" t="str">
        <f ca="1">OFFSET(ORÇAMENTO!R$15,$L190,0)</f>
        <v>JOELHO 45 GRAUS, PVC, SOLDÁVEL, DN 32MM, INSTALADO EM RAMAL DE DISTRIBUIÇÃO DE ÁGUA - FORNECIMENTO E INSTALAÇÃO. AF_06/2022</v>
      </c>
      <c r="G190" s="164" t="str">
        <f ca="1">IF($D190&lt;&gt;"Serviço","",OFFSET(ORÇAMENTO!S$15,$L190,0))</f>
        <v>UN</v>
      </c>
      <c r="H190" s="122">
        <f t="array" aca="1" ref="H190" ca="1">IF($D190&lt;&gt;"Serviço",0,IF(ACOMPANHAMENTO="BM",ROUND(OFFSET(ORÇAMENTO!AJ$15,$L190,0),15-13*ORÇAMENTO!$AF$7),IF(IFERROR(CÁLCULO.FrentesPreenchidas,0)=0,0,SUM(ROUND(OFFSET($P190,0,1,1,CÁLCULO.FrentesPreenchidas),15-13*ORÇAMENTO!$AF$7)))))</f>
        <v>20</v>
      </c>
      <c r="I190" s="467" t="s">
        <v>1324</v>
      </c>
      <c r="J190" s="653" t="str">
        <f t="array" aca="1" ref="J190" ca="1">IF(OR(B190&lt;&gt;"S",CÁLCULO.FrentesPreenchidas=0),"",IF(AND(ACOMPANHAMENTO="PLE",AUTOEVENTO="Manual",OR(H190&gt;0,ORÇAMENTO!AC190="QUANT."),OR(K190="",M190=0,N190="")),"►E",IF(AND(ACOMPANHAMENTO="PLE",ORÇAMENTO!AC190="QUANT."),"►Q",IF(AND(ACOMPANHAMENTO="PLE",H190&lt;&gt;SUMPRODUCT(($Q$1:$AI$1=1)*ROUND(Q190:AI190,15))),"►S",IF(AND(COUNTIF($P$11:$AI$11,"▼")=0,H190&gt;0,I190=""),"◄M","")))))</f>
        <v/>
      </c>
      <c r="K190" s="654" t="s">
        <v>1446</v>
      </c>
      <c r="L190" s="165">
        <f t="shared" ca="1" si="83"/>
        <v>175</v>
      </c>
      <c r="M190" s="166">
        <f ca="1">IF($D190&lt;&gt;"Serviço","",
          IF(AUTOEVENTO="manual",$A190,
                IF(ISERROR(MATCH($A190,$A$15:OFFSET($A190,-1,0),0)),MAX($M$15:OFFSET(M190,-1,0))+1,
                      INDEX($M$15:OFFSET(M190,-1,0),MATCH($A190,$A$15:OFFSET($A190,-1,0),0)))))</f>
        <v>39</v>
      </c>
      <c r="N190" s="167" t="str">
        <f ca="1">IF($D190&lt;&gt;"Serviço","",
         IF(AUTOEVENTO="Manual",
                IF($A190=0,"&lt;-- defina o número do agrupador",
                       OFFSET(EVENTOS!$D$15,$A190-$A$15,0)),
                OFFSET($F$15,$A190,0)))</f>
        <v>RESERVATÓRIO DE ÁGUA</v>
      </c>
      <c r="O190" s="168"/>
      <c r="Q190" s="169">
        <v>5</v>
      </c>
      <c r="R190" s="169">
        <v>5</v>
      </c>
      <c r="S190" s="169">
        <v>5</v>
      </c>
      <c r="T190" s="169">
        <v>5</v>
      </c>
      <c r="U190" s="169"/>
      <c r="V190" s="169"/>
      <c r="W190" s="169"/>
      <c r="X190" s="169"/>
      <c r="Y190" s="169"/>
      <c r="Z190" s="170"/>
      <c r="AA190" s="169"/>
      <c r="AB190" s="169"/>
      <c r="AC190" s="169"/>
      <c r="AD190" s="169"/>
      <c r="AE190" s="169"/>
      <c r="AF190" s="169"/>
      <c r="AG190" s="169"/>
      <c r="AH190" s="170"/>
      <c r="AJ190" s="452">
        <f ca="1">IF(AND($D190="Serviço",AJ$12&lt;&gt;0,$H190&gt;0,OR(AUTOEVENTO&lt;&gt;"manual",$M190&lt;&gt;$A$15)),
        IF(Import.TipoArredondamento&lt;&gt;"TransfereGOV",
              ROUND(OFFSET($P190,0,AJ$13),15-13*ORÇAMENTO!$AF$7)/$H190*OFFSET(ORÇAMENTO!$X$15,ROW(AJ190)-ROW(AJ$15),0),
              ROUND(ROUND(OFFSET($P190,0,AJ$13),15-13*ORÇAMENTO!$AF$7)*OFFSET(ORÇAMENTO!$W$15,ROW(AJ190)-ROW(AJ$15),0),15-13*ORÇAMENTO!$AF$11)),
         0)</f>
        <v>33.950000000000003</v>
      </c>
      <c r="AK190" s="452">
        <f ca="1">IF(AND($D190="Serviço",AK$12&lt;&gt;0,$H190&gt;0,OR(AUTOEVENTO&lt;&gt;"manual",$M190&lt;&gt;$A$15)),
        IF(Import.TipoArredondamento&lt;&gt;"TransfereGOV",
              ROUND(OFFSET($P190,0,AK$13),15-13*ORÇAMENTO!$AF$7)/$H190*OFFSET(ORÇAMENTO!$X$15,ROW(AK190)-ROW(AK$15),0),
              ROUND(ROUND(OFFSET($P190,0,AK$13),15-13*ORÇAMENTO!$AF$7)*OFFSET(ORÇAMENTO!$W$15,ROW(AK190)-ROW(AK$15),0),15-13*ORÇAMENTO!$AF$11)),
         0)</f>
        <v>33.950000000000003</v>
      </c>
      <c r="AL190" s="452">
        <f ca="1">IF(AND($D190="Serviço",AL$12&lt;&gt;0,$H190&gt;0,OR(AUTOEVENTO&lt;&gt;"manual",$M190&lt;&gt;$A$15)),
        IF(Import.TipoArredondamento&lt;&gt;"TransfereGOV",
              ROUND(OFFSET($P190,0,AL$13),15-13*ORÇAMENTO!$AF$7)/$H190*OFFSET(ORÇAMENTO!$X$15,ROW(AL190)-ROW(AL$15),0),
              ROUND(ROUND(OFFSET($P190,0,AL$13),15-13*ORÇAMENTO!$AF$7)*OFFSET(ORÇAMENTO!$W$15,ROW(AL190)-ROW(AL$15),0),15-13*ORÇAMENTO!$AF$11)),
         0)</f>
        <v>33.950000000000003</v>
      </c>
      <c r="AM190" s="452">
        <f ca="1">IF(AND($D190="Serviço",AM$12&lt;&gt;0,$H190&gt;0,OR(AUTOEVENTO&lt;&gt;"manual",$M190&lt;&gt;$A$15)),
        IF(Import.TipoArredondamento&lt;&gt;"TransfereGOV",
              ROUND(OFFSET($P190,0,AM$13),15-13*ORÇAMENTO!$AF$7)/$H190*OFFSET(ORÇAMENTO!$X$15,ROW(AM190)-ROW(AM$15),0),
              ROUND(ROUND(OFFSET($P190,0,AM$13),15-13*ORÇAMENTO!$AF$7)*OFFSET(ORÇAMENTO!$W$15,ROW(AM190)-ROW(AM$15),0),15-13*ORÇAMENTO!$AF$11)),
         0)</f>
        <v>33.950000000000003</v>
      </c>
      <c r="AN190" s="452">
        <f ca="1">IF(AND($D190="Serviço",AN$12&lt;&gt;0,$H190&gt;0,OR(AUTOEVENTO&lt;&gt;"manual",$M190&lt;&gt;$A$15)),
        IF(Import.TipoArredondamento&lt;&gt;"TransfereGOV",
              ROUND(OFFSET($P190,0,AN$13),15-13*ORÇAMENTO!$AF$7)/$H190*OFFSET(ORÇAMENTO!$X$15,ROW(AN190)-ROW(AN$15),0),
              ROUND(ROUND(OFFSET($P190,0,AN$13),15-13*ORÇAMENTO!$AF$7)*OFFSET(ORÇAMENTO!$W$15,ROW(AN190)-ROW(AN$15),0),15-13*ORÇAMENTO!$AF$11)),
         0)</f>
        <v>0</v>
      </c>
      <c r="AO190" s="452">
        <f ca="1">IF(AND($D190="Serviço",AO$12&lt;&gt;0,$H190&gt;0,OR(AUTOEVENTO&lt;&gt;"manual",$M190&lt;&gt;$A$15)),
        IF(Import.TipoArredondamento&lt;&gt;"TransfereGOV",
              ROUND(OFFSET($P190,0,AO$13),15-13*ORÇAMENTO!$AF$7)/$H190*OFFSET(ORÇAMENTO!$X$15,ROW(AO190)-ROW(AO$15),0),
              ROUND(ROUND(OFFSET($P190,0,AO$13),15-13*ORÇAMENTO!$AF$7)*OFFSET(ORÇAMENTO!$W$15,ROW(AO190)-ROW(AO$15),0),15-13*ORÇAMENTO!$AF$11)),
         0)</f>
        <v>0</v>
      </c>
      <c r="AP190" s="452">
        <f ca="1">IF(AND($D190="Serviço",AP$12&lt;&gt;0,$H190&gt;0,OR(AUTOEVENTO&lt;&gt;"manual",$M190&lt;&gt;$A$15)),
        IF(Import.TipoArredondamento&lt;&gt;"TransfereGOV",
              ROUND(OFFSET($P190,0,AP$13),15-13*ORÇAMENTO!$AF$7)/$H190*OFFSET(ORÇAMENTO!$X$15,ROW(AP190)-ROW(AP$15),0),
              ROUND(ROUND(OFFSET($P190,0,AP$13),15-13*ORÇAMENTO!$AF$7)*OFFSET(ORÇAMENTO!$W$15,ROW(AP190)-ROW(AP$15),0),15-13*ORÇAMENTO!$AF$11)),
         0)</f>
        <v>0</v>
      </c>
      <c r="AQ190" s="452">
        <f ca="1">IF(AND($D190="Serviço",AQ$12&lt;&gt;0,$H190&gt;0,OR(AUTOEVENTO&lt;&gt;"manual",$M190&lt;&gt;$A$15)),
        IF(Import.TipoArredondamento&lt;&gt;"TransfereGOV",
              ROUND(OFFSET($P190,0,AQ$13),15-13*ORÇAMENTO!$AF$7)/$H190*OFFSET(ORÇAMENTO!$X$15,ROW(AQ190)-ROW(AQ$15),0),
              ROUND(ROUND(OFFSET($P190,0,AQ$13),15-13*ORÇAMENTO!$AF$7)*OFFSET(ORÇAMENTO!$W$15,ROW(AQ190)-ROW(AQ$15),0),15-13*ORÇAMENTO!$AF$11)),
         0)</f>
        <v>0</v>
      </c>
      <c r="AR190" s="452">
        <f ca="1">IF(AND($D190="Serviço",AR$12&lt;&gt;0,$H190&gt;0,OR(AUTOEVENTO&lt;&gt;"manual",$M190&lt;&gt;$A$15)),
        IF(Import.TipoArredondamento&lt;&gt;"TransfereGOV",
              ROUND(OFFSET($P190,0,AR$13),15-13*ORÇAMENTO!$AF$7)/$H190*OFFSET(ORÇAMENTO!$X$15,ROW(AR190)-ROW(AR$15),0),
              ROUND(ROUND(OFFSET($P190,0,AR$13),15-13*ORÇAMENTO!$AF$7)*OFFSET(ORÇAMENTO!$W$15,ROW(AR190)-ROW(AR$15),0),15-13*ORÇAMENTO!$AF$11)),
         0)</f>
        <v>0</v>
      </c>
      <c r="AS190" s="452">
        <f ca="1">IF(AND($D190="Serviço",AS$12&lt;&gt;0,$H190&gt;0,OR(AUTOEVENTO&lt;&gt;"manual",$M190&lt;&gt;$A$15)),
        IF(Import.TipoArredondamento&lt;&gt;"TransfereGOV",
              ROUND(OFFSET($P190,0,AS$13),15-13*ORÇAMENTO!$AF$7)/$H190*OFFSET(ORÇAMENTO!$X$15,ROW(AS190)-ROW(AS$15),0),
              ROUND(ROUND(OFFSET($P190,0,AS$13),15-13*ORÇAMENTO!$AF$7)*OFFSET(ORÇAMENTO!$W$15,ROW(AS190)-ROW(AS$15),0),15-13*ORÇAMENTO!$AF$11)),
         0)</f>
        <v>0</v>
      </c>
      <c r="AT190" s="452">
        <f ca="1">IF(AND($D190="Serviço",AT$12&lt;&gt;0,$H190&gt;0,OR(AUTOEVENTO&lt;&gt;"manual",$M190&lt;&gt;$A$15)),
        IF(Import.TipoArredondamento&lt;&gt;"TransfereGOV",
              ROUND(OFFSET($P190,0,AT$13),15-13*ORÇAMENTO!$AF$7)/$H190*OFFSET(ORÇAMENTO!$X$15,ROW(AT190)-ROW(AT$15),0),
              ROUND(ROUND(OFFSET($P190,0,AT$13),15-13*ORÇAMENTO!$AF$7)*OFFSET(ORÇAMENTO!$W$15,ROW(AT190)-ROW(AT$15),0),15-13*ORÇAMENTO!$AF$11)),
         0)</f>
        <v>0</v>
      </c>
      <c r="AU190" s="452">
        <f ca="1">IF(AND($D190="Serviço",AU$12&lt;&gt;0,$H190&gt;0,OR(AUTOEVENTO&lt;&gt;"manual",$M190&lt;&gt;$A$15)),
        IF(Import.TipoArredondamento&lt;&gt;"TransfereGOV",
              ROUND(OFFSET($P190,0,AU$13),15-13*ORÇAMENTO!$AF$7)/$H190*OFFSET(ORÇAMENTO!$X$15,ROW(AU190)-ROW(AU$15),0),
              ROUND(ROUND(OFFSET($P190,0,AU$13),15-13*ORÇAMENTO!$AF$7)*OFFSET(ORÇAMENTO!$W$15,ROW(AU190)-ROW(AU$15),0),15-13*ORÇAMENTO!$AF$11)),
         0)</f>
        <v>0</v>
      </c>
      <c r="AV190" s="452">
        <f ca="1">IF(AND($D190="Serviço",AV$12&lt;&gt;0,$H190&gt;0,OR(AUTOEVENTO&lt;&gt;"manual",$M190&lt;&gt;$A$15)),
        IF(Import.TipoArredondamento&lt;&gt;"TransfereGOV",
              ROUND(OFFSET($P190,0,AV$13),15-13*ORÇAMENTO!$AF$7)/$H190*OFFSET(ORÇAMENTO!$X$15,ROW(AV190)-ROW(AV$15),0),
              ROUND(ROUND(OFFSET($P190,0,AV$13),15-13*ORÇAMENTO!$AF$7)*OFFSET(ORÇAMENTO!$W$15,ROW(AV190)-ROW(AV$15),0),15-13*ORÇAMENTO!$AF$11)),
         0)</f>
        <v>0</v>
      </c>
      <c r="AW190" s="452">
        <f ca="1">IF(AND($D190="Serviço",AW$12&lt;&gt;0,$H190&gt;0,OR(AUTOEVENTO&lt;&gt;"manual",$M190&lt;&gt;$A$15)),
        IF(Import.TipoArredondamento&lt;&gt;"TransfereGOV",
              ROUND(OFFSET($P190,0,AW$13),15-13*ORÇAMENTO!$AF$7)/$H190*OFFSET(ORÇAMENTO!$X$15,ROW(AW190)-ROW(AW$15),0),
              ROUND(ROUND(OFFSET($P190,0,AW$13),15-13*ORÇAMENTO!$AF$7)*OFFSET(ORÇAMENTO!$W$15,ROW(AW190)-ROW(AW$15),0),15-13*ORÇAMENTO!$AF$11)),
         0)</f>
        <v>0</v>
      </c>
      <c r="AX190" s="452">
        <f ca="1">IF(AND($D190="Serviço",AX$12&lt;&gt;0,$H190&gt;0,OR(AUTOEVENTO&lt;&gt;"manual",$M190&lt;&gt;$A$15)),
        IF(Import.TipoArredondamento&lt;&gt;"TransfereGOV",
              ROUND(OFFSET($P190,0,AX$13),15-13*ORÇAMENTO!$AF$7)/$H190*OFFSET(ORÇAMENTO!$X$15,ROW(AX190)-ROW(AX$15),0),
              ROUND(ROUND(OFFSET($P190,0,AX$13),15-13*ORÇAMENTO!$AF$7)*OFFSET(ORÇAMENTO!$W$15,ROW(AX190)-ROW(AX$15),0),15-13*ORÇAMENTO!$AF$11)),
         0)</f>
        <v>0</v>
      </c>
      <c r="AY190" s="452">
        <f ca="1">IF(AND($D190="Serviço",AY$12&lt;&gt;0,$H190&gt;0,OR(AUTOEVENTO&lt;&gt;"manual",$M190&lt;&gt;$A$15)),
        IF(Import.TipoArredondamento&lt;&gt;"TransfereGOV",
              ROUND(OFFSET($P190,0,AY$13),15-13*ORÇAMENTO!$AF$7)/$H190*OFFSET(ORÇAMENTO!$X$15,ROW(AY190)-ROW(AY$15),0),
              ROUND(ROUND(OFFSET($P190,0,AY$13),15-13*ORÇAMENTO!$AF$7)*OFFSET(ORÇAMENTO!$W$15,ROW(AY190)-ROW(AY$15),0),15-13*ORÇAMENTO!$AF$11)),
         0)</f>
        <v>0</v>
      </c>
      <c r="AZ190" s="452">
        <f ca="1">IF(AND($D190="Serviço",AZ$12&lt;&gt;0,$H190&gt;0,OR(AUTOEVENTO&lt;&gt;"manual",$M190&lt;&gt;$A$15)),
        IF(Import.TipoArredondamento&lt;&gt;"TransfereGOV",
              ROUND(OFFSET($P190,0,AZ$13),15-13*ORÇAMENTO!$AF$7)/$H190*OFFSET(ORÇAMENTO!$X$15,ROW(AZ190)-ROW(AZ$15),0),
              ROUND(ROUND(OFFSET($P190,0,AZ$13),15-13*ORÇAMENTO!$AF$7)*OFFSET(ORÇAMENTO!$W$15,ROW(AZ190)-ROW(AZ$15),0),15-13*ORÇAMENTO!$AF$11)),
         0)</f>
        <v>0</v>
      </c>
      <c r="BA190" s="452">
        <f ca="1">IF(AND($D190="Serviço",BA$12&lt;&gt;0,$H190&gt;0,OR(AUTOEVENTO&lt;&gt;"manual",$M190&lt;&gt;$A$15)),
        IF(Import.TipoArredondamento&lt;&gt;"TransfereGOV",
              ROUND(OFFSET($P190,0,BA$13),15-13*ORÇAMENTO!$AF$7)/$H190*OFFSET(ORÇAMENTO!$X$15,ROW(BA190)-ROW(BA$15),0),
              ROUND(ROUND(OFFSET($P190,0,BA$13),15-13*ORÇAMENTO!$AF$7)*OFFSET(ORÇAMENTO!$W$15,ROW(BA190)-ROW(BA$15),0),15-13*ORÇAMENTO!$AF$11)),
         0)</f>
        <v>0</v>
      </c>
      <c r="BC190" s="171">
        <f ca="1">IF(OR($D190&lt;&gt;"Serviço",AND(AUTOEVENTO="Manual",$M190=$A$15)),0,
         IF(OFFSET(CRONOPLE!$F$15,$M190-$A$15,BC$13)=0,10^12,OFFSET(CRONOPLE!$F$15,$M190-$A$15,BC$13)))</f>
        <v>4</v>
      </c>
      <c r="BD190" s="171">
        <f ca="1">IF(OR($D190&lt;&gt;"Serviço",AND(AUTOEVENTO="Manual",$M190=$A$15)),0,
         IF(OFFSET(CRONOPLE!$F$15,$M190-$A$15,BD$13)=0,10^12,OFFSET(CRONOPLE!$F$15,$M190-$A$15,BD$13)))</f>
        <v>4</v>
      </c>
      <c r="BE190" s="171">
        <f ca="1">IF(OR($D190&lt;&gt;"Serviço",AND(AUTOEVENTO="Manual",$M190=$A$15)),0,
         IF(OFFSET(CRONOPLE!$F$15,$M190-$A$15,BE$13)=0,10^12,OFFSET(CRONOPLE!$F$15,$M190-$A$15,BE$13)))</f>
        <v>5</v>
      </c>
      <c r="BF190" s="171">
        <f ca="1">IF(OR($D190&lt;&gt;"Serviço",AND(AUTOEVENTO="Manual",$M190=$A$15)),0,
         IF(OFFSET(CRONOPLE!$F$15,$M190-$A$15,BF$13)=0,10^12,OFFSET(CRONOPLE!$F$15,$M190-$A$15,BF$13)))</f>
        <v>5</v>
      </c>
      <c r="BG190" s="171">
        <f ca="1">IF(OR($D190&lt;&gt;"Serviço",AND(AUTOEVENTO="Manual",$M190=$A$15)),0,
         IF(OFFSET(CRONOPLE!$F$15,$M190-$A$15,BG$13)=0,10^12,OFFSET(CRONOPLE!$F$15,$M190-$A$15,BG$13)))</f>
        <v>5</v>
      </c>
      <c r="BH190" s="171">
        <f ca="1">IF(OR($D190&lt;&gt;"Serviço",AND(AUTOEVENTO="Manual",$M190=$A$15)),0,
         IF(OFFSET(CRONOPLE!$F$15,$M190-$A$15,BH$13)=0,10^12,OFFSET(CRONOPLE!$F$15,$M190-$A$15,BH$13)))</f>
        <v>1000000000000</v>
      </c>
      <c r="BI190" s="171">
        <f ca="1">IF(OR($D190&lt;&gt;"Serviço",AND(AUTOEVENTO="Manual",$M190=$A$15)),0,
         IF(OFFSET(CRONOPLE!$F$15,$M190-$A$15,BI$13)=0,10^12,OFFSET(CRONOPLE!$F$15,$M190-$A$15,BI$13)))</f>
        <v>1000000000000</v>
      </c>
      <c r="BJ190" s="171">
        <f ca="1">IF(OR($D190&lt;&gt;"Serviço",AND(AUTOEVENTO="Manual",$M190=$A$15)),0,
         IF(OFFSET(CRONOPLE!$F$15,$M190-$A$15,BJ$13)=0,10^12,OFFSET(CRONOPLE!$F$15,$M190-$A$15,BJ$13)))</f>
        <v>1000000000000</v>
      </c>
      <c r="BK190" s="171">
        <f ca="1">IF(OR($D190&lt;&gt;"Serviço",AND(AUTOEVENTO="Manual",$M190=$A$15)),0,
         IF(OFFSET(CRONOPLE!$F$15,$M190-$A$15,BK$13)=0,10^12,OFFSET(CRONOPLE!$F$15,$M190-$A$15,BK$13)))</f>
        <v>1000000000000</v>
      </c>
      <c r="BL190" s="171">
        <f ca="1">IF(OR($D190&lt;&gt;"Serviço",AND(AUTOEVENTO="Manual",$M190=$A$15)),0,
         IF(OFFSET(CRONOPLE!$F$15,$M190-$A$15,BL$13)=0,10^12,OFFSET(CRONOPLE!$F$15,$M190-$A$15,BL$13)))</f>
        <v>1000000000000</v>
      </c>
      <c r="BM190" s="171">
        <f ca="1">IF(OR($D190&lt;&gt;"Serviço",AND(AUTOEVENTO="Manual",$M190=$A$15)),0,
         IF(OFFSET(CRONOPLE!$F$15,$M190-$A$15,BM$13)=0,10^12,OFFSET(CRONOPLE!$F$15,$M190-$A$15,BM$13)))</f>
        <v>1000000000000</v>
      </c>
      <c r="BN190" s="171">
        <f ca="1">IF(OR($D190&lt;&gt;"Serviço",AND(AUTOEVENTO="Manual",$M190=$A$15)),0,
         IF(OFFSET(CRONOPLE!$F$15,$M190-$A$15,BN$13)=0,10^12,OFFSET(CRONOPLE!$F$15,$M190-$A$15,BN$13)))</f>
        <v>1000000000000</v>
      </c>
      <c r="BO190" s="171">
        <f ca="1">IF(OR($D190&lt;&gt;"Serviço",AND(AUTOEVENTO="Manual",$M190=$A$15)),0,
         IF(OFFSET(CRONOPLE!$F$15,$M190-$A$15,BO$13)=0,10^12,OFFSET(CRONOPLE!$F$15,$M190-$A$15,BO$13)))</f>
        <v>1000000000000</v>
      </c>
      <c r="BP190" s="171">
        <f ca="1">IF(OR($D190&lt;&gt;"Serviço",AND(AUTOEVENTO="Manual",$M190=$A$15)),0,
         IF(OFFSET(CRONOPLE!$F$15,$M190-$A$15,BP$13)=0,10^12,OFFSET(CRONOPLE!$F$15,$M190-$A$15,BP$13)))</f>
        <v>1000000000000</v>
      </c>
      <c r="BQ190" s="171">
        <f ca="1">IF(OR($D190&lt;&gt;"Serviço",AND(AUTOEVENTO="Manual",$M190=$A$15)),0,
         IF(OFFSET(CRONOPLE!$F$15,$M190-$A$15,BQ$13)=0,10^12,OFFSET(CRONOPLE!$F$15,$M190-$A$15,BQ$13)))</f>
        <v>1000000000000</v>
      </c>
      <c r="BR190" s="171">
        <f ca="1">IF(OR($D190&lt;&gt;"Serviço",AND(AUTOEVENTO="Manual",$M190=$A$15)),0,
         IF(OFFSET(CRONOPLE!$F$15,$M190-$A$15,BR$13)=0,10^12,OFFSET(CRONOPLE!$F$15,$M190-$A$15,BR$13)))</f>
        <v>1000000000000</v>
      </c>
      <c r="BS190" s="171">
        <f ca="1">IF(OR($D190&lt;&gt;"Serviço",AND(AUTOEVENTO="Manual",$M190=$A$15)),0,
         IF(OFFSET(CRONOPLE!$F$15,$M190-$A$15,BS$13)=0,10^12,OFFSET(CRONOPLE!$F$15,$M190-$A$15,BS$13)))</f>
        <v>1000000000000</v>
      </c>
      <c r="BT190" s="171">
        <f ca="1">IF(OR($D190&lt;&gt;"Serviço",AND(AUTOEVENTO="Manual",$M190=$A$15)),0,
         IF(OFFSET(CRONOPLE!$F$15,$M190-$A$15,BT$13)=0,10^12,OFFSET(CRONOPLE!$F$15,$M190-$A$15,BT$13)))</f>
        <v>1000000000000</v>
      </c>
      <c r="BV190" s="172">
        <f t="array" aca="1" ref="BV190" ca="1">IF(OR($D190&lt;&gt;"Serviço",AND(AUTOEVENTO="Manual",$M190=$A$15),$M190&gt;(ROW(PLE.lastrow)-ROW(PLE.firstrow))),0,
           IF(OFFSET(PLE!$G$15,$M190-$A$15,BV$13)="",10^12,OFFSET(PLE!$G$15,$M190-$A$15,BV$13)))</f>
        <v>1000000000000</v>
      </c>
      <c r="BW190" s="172">
        <f t="array" aca="1" ref="BW190" ca="1">IF(OR($D190&lt;&gt;"Serviço",AND(AUTOEVENTO="Manual",$M190=$A$15),$M190&gt;(ROW(PLE.lastrow)-ROW(PLE.firstrow))),0,
           IF(OFFSET(PLE!$G$15,$M190-$A$15,BW$13)="",10^12,OFFSET(PLE!$G$15,$M190-$A$15,BW$13)))</f>
        <v>1000000000000</v>
      </c>
      <c r="BX190" s="172">
        <f t="array" aca="1" ref="BX190" ca="1">IF(OR($D190&lt;&gt;"Serviço",AND(AUTOEVENTO="Manual",$M190=$A$15),$M190&gt;(ROW(PLE.lastrow)-ROW(PLE.firstrow))),0,
           IF(OFFSET(PLE!$G$15,$M190-$A$15,BX$13)="",10^12,OFFSET(PLE!$G$15,$M190-$A$15,BX$13)))</f>
        <v>1000000000000</v>
      </c>
      <c r="BY190" s="172">
        <f t="array" aca="1" ref="BY190" ca="1">IF(OR($D190&lt;&gt;"Serviço",AND(AUTOEVENTO="Manual",$M190=$A$15),$M190&gt;(ROW(PLE.lastrow)-ROW(PLE.firstrow))),0,
           IF(OFFSET(PLE!$G$15,$M190-$A$15,BY$13)="",10^12,OFFSET(PLE!$G$15,$M190-$A$15,BY$13)))</f>
        <v>1000000000000</v>
      </c>
      <c r="BZ190" s="172">
        <f t="array" aca="1" ref="BZ190" ca="1">IF(OR($D190&lt;&gt;"Serviço",AND(AUTOEVENTO="Manual",$M190=$A$15),$M190&gt;(ROW(PLE.lastrow)-ROW(PLE.firstrow))),0,
           IF(OFFSET(PLE!$G$15,$M190-$A$15,BZ$13)="",10^12,OFFSET(PLE!$G$15,$M190-$A$15,BZ$13)))</f>
        <v>1000000000000</v>
      </c>
      <c r="CA190" s="172">
        <f t="array" aca="1" ref="CA190" ca="1">IF(OR($D190&lt;&gt;"Serviço",AND(AUTOEVENTO="Manual",$M190=$A$15),$M190&gt;(ROW(PLE.lastrow)-ROW(PLE.firstrow))),0,
           IF(OFFSET(PLE!$G$15,$M190-$A$15,CA$13)="",10^12,OFFSET(PLE!$G$15,$M190-$A$15,CA$13)))</f>
        <v>1000000000000</v>
      </c>
      <c r="CB190" s="172">
        <f t="array" aca="1" ref="CB190" ca="1">IF(OR($D190&lt;&gt;"Serviço",AND(AUTOEVENTO="Manual",$M190=$A$15),$M190&gt;(ROW(PLE.lastrow)-ROW(PLE.firstrow))),0,
           IF(OFFSET(PLE!$G$15,$M190-$A$15,CB$13)="",10^12,OFFSET(PLE!$G$15,$M190-$A$15,CB$13)))</f>
        <v>1000000000000</v>
      </c>
      <c r="CC190" s="172">
        <f t="array" aca="1" ref="CC190" ca="1">IF(OR($D190&lt;&gt;"Serviço",AND(AUTOEVENTO="Manual",$M190=$A$15),$M190&gt;(ROW(PLE.lastrow)-ROW(PLE.firstrow))),0,
           IF(OFFSET(PLE!$G$15,$M190-$A$15,CC$13)="",10^12,OFFSET(PLE!$G$15,$M190-$A$15,CC$13)))</f>
        <v>1000000000000</v>
      </c>
      <c r="CD190" s="172">
        <f t="array" aca="1" ref="CD190" ca="1">IF(OR($D190&lt;&gt;"Serviço",AND(AUTOEVENTO="Manual",$M190=$A$15),$M190&gt;(ROW(PLE.lastrow)-ROW(PLE.firstrow))),0,
           IF(OFFSET(PLE!$G$15,$M190-$A$15,CD$13)="",10^12,OFFSET(PLE!$G$15,$M190-$A$15,CD$13)))</f>
        <v>1000000000000</v>
      </c>
      <c r="CE190" s="172">
        <f t="array" aca="1" ref="CE190" ca="1">IF(OR($D190&lt;&gt;"Serviço",AND(AUTOEVENTO="Manual",$M190=$A$15),$M190&gt;(ROW(PLE.lastrow)-ROW(PLE.firstrow))),0,
           IF(OFFSET(PLE!$G$15,$M190-$A$15,CE$13)="",10^12,OFFSET(PLE!$G$15,$M190-$A$15,CE$13)))</f>
        <v>1000000000000</v>
      </c>
      <c r="CF190" s="172">
        <f t="array" aca="1" ref="CF190" ca="1">IF(OR($D190&lt;&gt;"Serviço",AND(AUTOEVENTO="Manual",$M190=$A$15),$M190&gt;(ROW(PLE.lastrow)-ROW(PLE.firstrow))),0,
           IF(OFFSET(PLE!$G$15,$M190-$A$15,CF$13)="",10^12,OFFSET(PLE!$G$15,$M190-$A$15,CF$13)))</f>
        <v>1000000000000</v>
      </c>
      <c r="CG190" s="172">
        <f t="array" aca="1" ref="CG190" ca="1">IF(OR($D190&lt;&gt;"Serviço",AND(AUTOEVENTO="Manual",$M190=$A$15),$M190&gt;(ROW(PLE.lastrow)-ROW(PLE.firstrow))),0,
           IF(OFFSET(PLE!$G$15,$M190-$A$15,CG$13)="",10^12,OFFSET(PLE!$G$15,$M190-$A$15,CG$13)))</f>
        <v>1000000000000</v>
      </c>
      <c r="CH190" s="172">
        <f t="array" aca="1" ref="CH190" ca="1">IF(OR($D190&lt;&gt;"Serviço",AND(AUTOEVENTO="Manual",$M190=$A$15),$M190&gt;(ROW(PLE.lastrow)-ROW(PLE.firstrow))),0,
           IF(OFFSET(PLE!$G$15,$M190-$A$15,CH$13)="",10^12,OFFSET(PLE!$G$15,$M190-$A$15,CH$13)))</f>
        <v>1000000000000</v>
      </c>
      <c r="CI190" s="172">
        <f t="array" aca="1" ref="CI190" ca="1">IF(OR($D190&lt;&gt;"Serviço",AND(AUTOEVENTO="Manual",$M190=$A$15),$M190&gt;(ROW(PLE.lastrow)-ROW(PLE.firstrow))),0,
           IF(OFFSET(PLE!$G$15,$M190-$A$15,CI$13)="",10^12,OFFSET(PLE!$G$15,$M190-$A$15,CI$13)))</f>
        <v>1000000000000</v>
      </c>
      <c r="CJ190" s="172">
        <f t="array" aca="1" ref="CJ190" ca="1">IF(OR($D190&lt;&gt;"Serviço",AND(AUTOEVENTO="Manual",$M190=$A$15),$M190&gt;(ROW(PLE.lastrow)-ROW(PLE.firstrow))),0,
           IF(OFFSET(PLE!$G$15,$M190-$A$15,CJ$13)="",10^12,OFFSET(PLE!$G$15,$M190-$A$15,CJ$13)))</f>
        <v>1000000000000</v>
      </c>
      <c r="CK190" s="172">
        <f t="array" aca="1" ref="CK190" ca="1">IF(OR($D190&lt;&gt;"Serviço",AND(AUTOEVENTO="Manual",$M190=$A$15),$M190&gt;(ROW(PLE.lastrow)-ROW(PLE.firstrow))),0,
           IF(OFFSET(PLE!$G$15,$M190-$A$15,CK$13)="",10^12,OFFSET(PLE!$G$15,$M190-$A$15,CK$13)))</f>
        <v>1000000000000</v>
      </c>
      <c r="CL190" s="172">
        <f t="array" aca="1" ref="CL190" ca="1">IF(OR($D190&lt;&gt;"Serviço",AND(AUTOEVENTO="Manual",$M190=$A$15),$M190&gt;(ROW(PLE.lastrow)-ROW(PLE.firstrow))),0,
           IF(OFFSET(PLE!$G$15,$M190-$A$15,CL$13)="",10^12,OFFSET(PLE!$G$15,$M190-$A$15,CL$13)))</f>
        <v>1000000000000</v>
      </c>
      <c r="CM190" s="172">
        <f t="array" aca="1" ref="CM190" ca="1">IF(OR($D190&lt;&gt;"Serviço",AND(AUTOEVENTO="Manual",$M190=$A$15),$M190&gt;(ROW(PLE.lastrow)-ROW(PLE.firstrow))),0,
           IF(OFFSET(PLE!$G$15,$M190-$A$15,CM$13)="",10^12,OFFSET(PLE!$G$15,$M190-$A$15,CM$13)))</f>
        <v>1000000000000</v>
      </c>
    </row>
    <row r="191" spans="1:91" s="696" customFormat="1" ht="63.75" x14ac:dyDescent="0.2">
      <c r="A191" s="694">
        <f t="shared" ca="1" si="82"/>
        <v>39</v>
      </c>
      <c r="B191" s="694" t="str">
        <f ca="1">OFFSET(ORÇAMENTO!C$15,$L191,0)</f>
        <v>S</v>
      </c>
      <c r="C191" s="694" t="str">
        <f ca="1">OFFSET(ORÇAMENTO!L$15,$L191,0)</f>
        <v>F</v>
      </c>
      <c r="D191" s="116" t="str">
        <f ca="1">OFFSET(ORÇAMENTO!N$15,$L191,0)</f>
        <v>Serviço</v>
      </c>
      <c r="E191" s="117" t="str">
        <f ca="1">OFFSET(ORÇAMENTO!O$15,$L191,0)</f>
        <v>1.29.10.</v>
      </c>
      <c r="F191" s="163" t="str">
        <f ca="1">OFFSET(ORÇAMENTO!R$15,$L191,0)</f>
        <v>BUCHA DE REDUÇÃO, CURTA, PVC, SOLDÁVEL, DN 32 X 25 MM, INSTALADO EM RAMAL DE DISTRIBUIÇÃO DE ÁGUA - FORNECIMENTO E INSTALAÇÃO. AF_06/2022</v>
      </c>
      <c r="G191" s="164" t="str">
        <f ca="1">IF($D191&lt;&gt;"Serviço","",OFFSET(ORÇAMENTO!S$15,$L191,0))</f>
        <v>UN</v>
      </c>
      <c r="H191" s="122">
        <f t="array" aca="1" ref="H191" ca="1">IF($D191&lt;&gt;"Serviço",0,IF(ACOMPANHAMENTO="BM",ROUND(OFFSET(ORÇAMENTO!AJ$15,$L191,0),15-13*ORÇAMENTO!$AF$7),IF(IFERROR(CÁLCULO.FrentesPreenchidas,0)=0,0,SUM(ROUND(OFFSET($P191,0,1,1,CÁLCULO.FrentesPreenchidas),15-13*ORÇAMENTO!$AF$7)))))</f>
        <v>40</v>
      </c>
      <c r="I191" s="467" t="s">
        <v>1323</v>
      </c>
      <c r="J191" s="653" t="str">
        <f t="array" aca="1" ref="J191" ca="1">IF(OR(B191&lt;&gt;"S",CÁLCULO.FrentesPreenchidas=0),"",IF(AND(ACOMPANHAMENTO="PLE",AUTOEVENTO="Manual",OR(H191&gt;0,ORÇAMENTO!AC191="QUANT."),OR(K191="",M191=0,N191="")),"►E",IF(AND(ACOMPANHAMENTO="PLE",ORÇAMENTO!AC191="QUANT."),"►Q",IF(AND(ACOMPANHAMENTO="PLE",H191&lt;&gt;SUMPRODUCT(($Q$1:$AI$1=1)*ROUND(Q191:AI191,15))),"►S",IF(AND(COUNTIF($P$11:$AI$11,"▼")=0,H191&gt;0,I191=""),"◄M","")))))</f>
        <v/>
      </c>
      <c r="K191" s="654" t="s">
        <v>1446</v>
      </c>
      <c r="L191" s="165">
        <f t="shared" ca="1" si="83"/>
        <v>176</v>
      </c>
      <c r="M191" s="166">
        <f ca="1">IF($D191&lt;&gt;"Serviço","",
          IF(AUTOEVENTO="manual",$A191,
                IF(ISERROR(MATCH($A191,$A$15:OFFSET($A191,-1,0),0)),MAX($M$15:OFFSET(M191,-1,0))+1,
                      INDEX($M$15:OFFSET(M191,-1,0),MATCH($A191,$A$15:OFFSET($A191,-1,0),0)))))</f>
        <v>39</v>
      </c>
      <c r="N191" s="167" t="str">
        <f ca="1">IF($D191&lt;&gt;"Serviço","",
         IF(AUTOEVENTO="Manual",
                IF($A191=0,"&lt;-- defina o número do agrupador",
                       OFFSET(EVENTOS!$D$15,$A191-$A$15,0)),
                OFFSET($F$15,$A191,0)))</f>
        <v>RESERVATÓRIO DE ÁGUA</v>
      </c>
      <c r="O191" s="168"/>
      <c r="Q191" s="169">
        <v>10</v>
      </c>
      <c r="R191" s="169">
        <v>10</v>
      </c>
      <c r="S191" s="169">
        <v>10</v>
      </c>
      <c r="T191" s="169">
        <v>10</v>
      </c>
      <c r="U191" s="169"/>
      <c r="V191" s="169"/>
      <c r="W191" s="169"/>
      <c r="X191" s="169"/>
      <c r="Y191" s="169"/>
      <c r="Z191" s="170"/>
      <c r="AA191" s="169"/>
      <c r="AB191" s="169"/>
      <c r="AC191" s="169"/>
      <c r="AD191" s="169"/>
      <c r="AE191" s="169"/>
      <c r="AF191" s="169"/>
      <c r="AG191" s="169"/>
      <c r="AH191" s="170"/>
      <c r="AJ191" s="452">
        <f ca="1">IF(AND($D191="Serviço",AJ$12&lt;&gt;0,$H191&gt;0,OR(AUTOEVENTO&lt;&gt;"manual",$M191&lt;&gt;$A$15)),
        IF(Import.TipoArredondamento&lt;&gt;"TransfereGOV",
              ROUND(OFFSET($P191,0,AJ$13),15-13*ORÇAMENTO!$AF$7)/$H191*OFFSET(ORÇAMENTO!$X$15,ROW(AJ191)-ROW(AJ$15),0),
              ROUND(ROUND(OFFSET($P191,0,AJ$13),15-13*ORÇAMENTO!$AF$7)*OFFSET(ORÇAMENTO!$W$15,ROW(AJ191)-ROW(AJ$15),0),15-13*ORÇAMENTO!$AF$11)),
         0)</f>
        <v>89.4</v>
      </c>
      <c r="AK191" s="452">
        <f ca="1">IF(AND($D191="Serviço",AK$12&lt;&gt;0,$H191&gt;0,OR(AUTOEVENTO&lt;&gt;"manual",$M191&lt;&gt;$A$15)),
        IF(Import.TipoArredondamento&lt;&gt;"TransfereGOV",
              ROUND(OFFSET($P191,0,AK$13),15-13*ORÇAMENTO!$AF$7)/$H191*OFFSET(ORÇAMENTO!$X$15,ROW(AK191)-ROW(AK$15),0),
              ROUND(ROUND(OFFSET($P191,0,AK$13),15-13*ORÇAMENTO!$AF$7)*OFFSET(ORÇAMENTO!$W$15,ROW(AK191)-ROW(AK$15),0),15-13*ORÇAMENTO!$AF$11)),
         0)</f>
        <v>89.4</v>
      </c>
      <c r="AL191" s="452">
        <f ca="1">IF(AND($D191="Serviço",AL$12&lt;&gt;0,$H191&gt;0,OR(AUTOEVENTO&lt;&gt;"manual",$M191&lt;&gt;$A$15)),
        IF(Import.TipoArredondamento&lt;&gt;"TransfereGOV",
              ROUND(OFFSET($P191,0,AL$13),15-13*ORÇAMENTO!$AF$7)/$H191*OFFSET(ORÇAMENTO!$X$15,ROW(AL191)-ROW(AL$15),0),
              ROUND(ROUND(OFFSET($P191,0,AL$13),15-13*ORÇAMENTO!$AF$7)*OFFSET(ORÇAMENTO!$W$15,ROW(AL191)-ROW(AL$15),0),15-13*ORÇAMENTO!$AF$11)),
         0)</f>
        <v>89.4</v>
      </c>
      <c r="AM191" s="452">
        <f ca="1">IF(AND($D191="Serviço",AM$12&lt;&gt;0,$H191&gt;0,OR(AUTOEVENTO&lt;&gt;"manual",$M191&lt;&gt;$A$15)),
        IF(Import.TipoArredondamento&lt;&gt;"TransfereGOV",
              ROUND(OFFSET($P191,0,AM$13),15-13*ORÇAMENTO!$AF$7)/$H191*OFFSET(ORÇAMENTO!$X$15,ROW(AM191)-ROW(AM$15),0),
              ROUND(ROUND(OFFSET($P191,0,AM$13),15-13*ORÇAMENTO!$AF$7)*OFFSET(ORÇAMENTO!$W$15,ROW(AM191)-ROW(AM$15),0),15-13*ORÇAMENTO!$AF$11)),
         0)</f>
        <v>89.4</v>
      </c>
      <c r="AN191" s="452">
        <f ca="1">IF(AND($D191="Serviço",AN$12&lt;&gt;0,$H191&gt;0,OR(AUTOEVENTO&lt;&gt;"manual",$M191&lt;&gt;$A$15)),
        IF(Import.TipoArredondamento&lt;&gt;"TransfereGOV",
              ROUND(OFFSET($P191,0,AN$13),15-13*ORÇAMENTO!$AF$7)/$H191*OFFSET(ORÇAMENTO!$X$15,ROW(AN191)-ROW(AN$15),0),
              ROUND(ROUND(OFFSET($P191,0,AN$13),15-13*ORÇAMENTO!$AF$7)*OFFSET(ORÇAMENTO!$W$15,ROW(AN191)-ROW(AN$15),0),15-13*ORÇAMENTO!$AF$11)),
         0)</f>
        <v>0</v>
      </c>
      <c r="AO191" s="452">
        <f ca="1">IF(AND($D191="Serviço",AO$12&lt;&gt;0,$H191&gt;0,OR(AUTOEVENTO&lt;&gt;"manual",$M191&lt;&gt;$A$15)),
        IF(Import.TipoArredondamento&lt;&gt;"TransfereGOV",
              ROUND(OFFSET($P191,0,AO$13),15-13*ORÇAMENTO!$AF$7)/$H191*OFFSET(ORÇAMENTO!$X$15,ROW(AO191)-ROW(AO$15),0),
              ROUND(ROUND(OFFSET($P191,0,AO$13),15-13*ORÇAMENTO!$AF$7)*OFFSET(ORÇAMENTO!$W$15,ROW(AO191)-ROW(AO$15),0),15-13*ORÇAMENTO!$AF$11)),
         0)</f>
        <v>0</v>
      </c>
      <c r="AP191" s="452">
        <f ca="1">IF(AND($D191="Serviço",AP$12&lt;&gt;0,$H191&gt;0,OR(AUTOEVENTO&lt;&gt;"manual",$M191&lt;&gt;$A$15)),
        IF(Import.TipoArredondamento&lt;&gt;"TransfereGOV",
              ROUND(OFFSET($P191,0,AP$13),15-13*ORÇAMENTO!$AF$7)/$H191*OFFSET(ORÇAMENTO!$X$15,ROW(AP191)-ROW(AP$15),0),
              ROUND(ROUND(OFFSET($P191,0,AP$13),15-13*ORÇAMENTO!$AF$7)*OFFSET(ORÇAMENTO!$W$15,ROW(AP191)-ROW(AP$15),0),15-13*ORÇAMENTO!$AF$11)),
         0)</f>
        <v>0</v>
      </c>
      <c r="AQ191" s="452">
        <f ca="1">IF(AND($D191="Serviço",AQ$12&lt;&gt;0,$H191&gt;0,OR(AUTOEVENTO&lt;&gt;"manual",$M191&lt;&gt;$A$15)),
        IF(Import.TipoArredondamento&lt;&gt;"TransfereGOV",
              ROUND(OFFSET($P191,0,AQ$13),15-13*ORÇAMENTO!$AF$7)/$H191*OFFSET(ORÇAMENTO!$X$15,ROW(AQ191)-ROW(AQ$15),0),
              ROUND(ROUND(OFFSET($P191,0,AQ$13),15-13*ORÇAMENTO!$AF$7)*OFFSET(ORÇAMENTO!$W$15,ROW(AQ191)-ROW(AQ$15),0),15-13*ORÇAMENTO!$AF$11)),
         0)</f>
        <v>0</v>
      </c>
      <c r="AR191" s="452">
        <f ca="1">IF(AND($D191="Serviço",AR$12&lt;&gt;0,$H191&gt;0,OR(AUTOEVENTO&lt;&gt;"manual",$M191&lt;&gt;$A$15)),
        IF(Import.TipoArredondamento&lt;&gt;"TransfereGOV",
              ROUND(OFFSET($P191,0,AR$13),15-13*ORÇAMENTO!$AF$7)/$H191*OFFSET(ORÇAMENTO!$X$15,ROW(AR191)-ROW(AR$15),0),
              ROUND(ROUND(OFFSET($P191,0,AR$13),15-13*ORÇAMENTO!$AF$7)*OFFSET(ORÇAMENTO!$W$15,ROW(AR191)-ROW(AR$15),0),15-13*ORÇAMENTO!$AF$11)),
         0)</f>
        <v>0</v>
      </c>
      <c r="AS191" s="452">
        <f ca="1">IF(AND($D191="Serviço",AS$12&lt;&gt;0,$H191&gt;0,OR(AUTOEVENTO&lt;&gt;"manual",$M191&lt;&gt;$A$15)),
        IF(Import.TipoArredondamento&lt;&gt;"TransfereGOV",
              ROUND(OFFSET($P191,0,AS$13),15-13*ORÇAMENTO!$AF$7)/$H191*OFFSET(ORÇAMENTO!$X$15,ROW(AS191)-ROW(AS$15),0),
              ROUND(ROUND(OFFSET($P191,0,AS$13),15-13*ORÇAMENTO!$AF$7)*OFFSET(ORÇAMENTO!$W$15,ROW(AS191)-ROW(AS$15),0),15-13*ORÇAMENTO!$AF$11)),
         0)</f>
        <v>0</v>
      </c>
      <c r="AT191" s="452">
        <f ca="1">IF(AND($D191="Serviço",AT$12&lt;&gt;0,$H191&gt;0,OR(AUTOEVENTO&lt;&gt;"manual",$M191&lt;&gt;$A$15)),
        IF(Import.TipoArredondamento&lt;&gt;"TransfereGOV",
              ROUND(OFFSET($P191,0,AT$13),15-13*ORÇAMENTO!$AF$7)/$H191*OFFSET(ORÇAMENTO!$X$15,ROW(AT191)-ROW(AT$15),0),
              ROUND(ROUND(OFFSET($P191,0,AT$13),15-13*ORÇAMENTO!$AF$7)*OFFSET(ORÇAMENTO!$W$15,ROW(AT191)-ROW(AT$15),0),15-13*ORÇAMENTO!$AF$11)),
         0)</f>
        <v>0</v>
      </c>
      <c r="AU191" s="452">
        <f ca="1">IF(AND($D191="Serviço",AU$12&lt;&gt;0,$H191&gt;0,OR(AUTOEVENTO&lt;&gt;"manual",$M191&lt;&gt;$A$15)),
        IF(Import.TipoArredondamento&lt;&gt;"TransfereGOV",
              ROUND(OFFSET($P191,0,AU$13),15-13*ORÇAMENTO!$AF$7)/$H191*OFFSET(ORÇAMENTO!$X$15,ROW(AU191)-ROW(AU$15),0),
              ROUND(ROUND(OFFSET($P191,0,AU$13),15-13*ORÇAMENTO!$AF$7)*OFFSET(ORÇAMENTO!$W$15,ROW(AU191)-ROW(AU$15),0),15-13*ORÇAMENTO!$AF$11)),
         0)</f>
        <v>0</v>
      </c>
      <c r="AV191" s="452">
        <f ca="1">IF(AND($D191="Serviço",AV$12&lt;&gt;0,$H191&gt;0,OR(AUTOEVENTO&lt;&gt;"manual",$M191&lt;&gt;$A$15)),
        IF(Import.TipoArredondamento&lt;&gt;"TransfereGOV",
              ROUND(OFFSET($P191,0,AV$13),15-13*ORÇAMENTO!$AF$7)/$H191*OFFSET(ORÇAMENTO!$X$15,ROW(AV191)-ROW(AV$15),0),
              ROUND(ROUND(OFFSET($P191,0,AV$13),15-13*ORÇAMENTO!$AF$7)*OFFSET(ORÇAMENTO!$W$15,ROW(AV191)-ROW(AV$15),0),15-13*ORÇAMENTO!$AF$11)),
         0)</f>
        <v>0</v>
      </c>
      <c r="AW191" s="452">
        <f ca="1">IF(AND($D191="Serviço",AW$12&lt;&gt;0,$H191&gt;0,OR(AUTOEVENTO&lt;&gt;"manual",$M191&lt;&gt;$A$15)),
        IF(Import.TipoArredondamento&lt;&gt;"TransfereGOV",
              ROUND(OFFSET($P191,0,AW$13),15-13*ORÇAMENTO!$AF$7)/$H191*OFFSET(ORÇAMENTO!$X$15,ROW(AW191)-ROW(AW$15),0),
              ROUND(ROUND(OFFSET($P191,0,AW$13),15-13*ORÇAMENTO!$AF$7)*OFFSET(ORÇAMENTO!$W$15,ROW(AW191)-ROW(AW$15),0),15-13*ORÇAMENTO!$AF$11)),
         0)</f>
        <v>0</v>
      </c>
      <c r="AX191" s="452">
        <f ca="1">IF(AND($D191="Serviço",AX$12&lt;&gt;0,$H191&gt;0,OR(AUTOEVENTO&lt;&gt;"manual",$M191&lt;&gt;$A$15)),
        IF(Import.TipoArredondamento&lt;&gt;"TransfereGOV",
              ROUND(OFFSET($P191,0,AX$13),15-13*ORÇAMENTO!$AF$7)/$H191*OFFSET(ORÇAMENTO!$X$15,ROW(AX191)-ROW(AX$15),0),
              ROUND(ROUND(OFFSET($P191,0,AX$13),15-13*ORÇAMENTO!$AF$7)*OFFSET(ORÇAMENTO!$W$15,ROW(AX191)-ROW(AX$15),0),15-13*ORÇAMENTO!$AF$11)),
         0)</f>
        <v>0</v>
      </c>
      <c r="AY191" s="452">
        <f ca="1">IF(AND($D191="Serviço",AY$12&lt;&gt;0,$H191&gt;0,OR(AUTOEVENTO&lt;&gt;"manual",$M191&lt;&gt;$A$15)),
        IF(Import.TipoArredondamento&lt;&gt;"TransfereGOV",
              ROUND(OFFSET($P191,0,AY$13),15-13*ORÇAMENTO!$AF$7)/$H191*OFFSET(ORÇAMENTO!$X$15,ROW(AY191)-ROW(AY$15),0),
              ROUND(ROUND(OFFSET($P191,0,AY$13),15-13*ORÇAMENTO!$AF$7)*OFFSET(ORÇAMENTO!$W$15,ROW(AY191)-ROW(AY$15),0),15-13*ORÇAMENTO!$AF$11)),
         0)</f>
        <v>0</v>
      </c>
      <c r="AZ191" s="452">
        <f ca="1">IF(AND($D191="Serviço",AZ$12&lt;&gt;0,$H191&gt;0,OR(AUTOEVENTO&lt;&gt;"manual",$M191&lt;&gt;$A$15)),
        IF(Import.TipoArredondamento&lt;&gt;"TransfereGOV",
              ROUND(OFFSET($P191,0,AZ$13),15-13*ORÇAMENTO!$AF$7)/$H191*OFFSET(ORÇAMENTO!$X$15,ROW(AZ191)-ROW(AZ$15),0),
              ROUND(ROUND(OFFSET($P191,0,AZ$13),15-13*ORÇAMENTO!$AF$7)*OFFSET(ORÇAMENTO!$W$15,ROW(AZ191)-ROW(AZ$15),0),15-13*ORÇAMENTO!$AF$11)),
         0)</f>
        <v>0</v>
      </c>
      <c r="BA191" s="452">
        <f ca="1">IF(AND($D191="Serviço",BA$12&lt;&gt;0,$H191&gt;0,OR(AUTOEVENTO&lt;&gt;"manual",$M191&lt;&gt;$A$15)),
        IF(Import.TipoArredondamento&lt;&gt;"TransfereGOV",
              ROUND(OFFSET($P191,0,BA$13),15-13*ORÇAMENTO!$AF$7)/$H191*OFFSET(ORÇAMENTO!$X$15,ROW(BA191)-ROW(BA$15),0),
              ROUND(ROUND(OFFSET($P191,0,BA$13),15-13*ORÇAMENTO!$AF$7)*OFFSET(ORÇAMENTO!$W$15,ROW(BA191)-ROW(BA$15),0),15-13*ORÇAMENTO!$AF$11)),
         0)</f>
        <v>0</v>
      </c>
      <c r="BC191" s="171">
        <f ca="1">IF(OR($D191&lt;&gt;"Serviço",AND(AUTOEVENTO="Manual",$M191=$A$15)),0,
         IF(OFFSET(CRONOPLE!$F$15,$M191-$A$15,BC$13)=0,10^12,OFFSET(CRONOPLE!$F$15,$M191-$A$15,BC$13)))</f>
        <v>4</v>
      </c>
      <c r="BD191" s="171">
        <f ca="1">IF(OR($D191&lt;&gt;"Serviço",AND(AUTOEVENTO="Manual",$M191=$A$15)),0,
         IF(OFFSET(CRONOPLE!$F$15,$M191-$A$15,BD$13)=0,10^12,OFFSET(CRONOPLE!$F$15,$M191-$A$15,BD$13)))</f>
        <v>4</v>
      </c>
      <c r="BE191" s="171">
        <f ca="1">IF(OR($D191&lt;&gt;"Serviço",AND(AUTOEVENTO="Manual",$M191=$A$15)),0,
         IF(OFFSET(CRONOPLE!$F$15,$M191-$A$15,BE$13)=0,10^12,OFFSET(CRONOPLE!$F$15,$M191-$A$15,BE$13)))</f>
        <v>5</v>
      </c>
      <c r="BF191" s="171">
        <f ca="1">IF(OR($D191&lt;&gt;"Serviço",AND(AUTOEVENTO="Manual",$M191=$A$15)),0,
         IF(OFFSET(CRONOPLE!$F$15,$M191-$A$15,BF$13)=0,10^12,OFFSET(CRONOPLE!$F$15,$M191-$A$15,BF$13)))</f>
        <v>5</v>
      </c>
      <c r="BG191" s="171">
        <f ca="1">IF(OR($D191&lt;&gt;"Serviço",AND(AUTOEVENTO="Manual",$M191=$A$15)),0,
         IF(OFFSET(CRONOPLE!$F$15,$M191-$A$15,BG$13)=0,10^12,OFFSET(CRONOPLE!$F$15,$M191-$A$15,BG$13)))</f>
        <v>5</v>
      </c>
      <c r="BH191" s="171">
        <f ca="1">IF(OR($D191&lt;&gt;"Serviço",AND(AUTOEVENTO="Manual",$M191=$A$15)),0,
         IF(OFFSET(CRONOPLE!$F$15,$M191-$A$15,BH$13)=0,10^12,OFFSET(CRONOPLE!$F$15,$M191-$A$15,BH$13)))</f>
        <v>1000000000000</v>
      </c>
      <c r="BI191" s="171">
        <f ca="1">IF(OR($D191&lt;&gt;"Serviço",AND(AUTOEVENTO="Manual",$M191=$A$15)),0,
         IF(OFFSET(CRONOPLE!$F$15,$M191-$A$15,BI$13)=0,10^12,OFFSET(CRONOPLE!$F$15,$M191-$A$15,BI$13)))</f>
        <v>1000000000000</v>
      </c>
      <c r="BJ191" s="171">
        <f ca="1">IF(OR($D191&lt;&gt;"Serviço",AND(AUTOEVENTO="Manual",$M191=$A$15)),0,
         IF(OFFSET(CRONOPLE!$F$15,$M191-$A$15,BJ$13)=0,10^12,OFFSET(CRONOPLE!$F$15,$M191-$A$15,BJ$13)))</f>
        <v>1000000000000</v>
      </c>
      <c r="BK191" s="171">
        <f ca="1">IF(OR($D191&lt;&gt;"Serviço",AND(AUTOEVENTO="Manual",$M191=$A$15)),0,
         IF(OFFSET(CRONOPLE!$F$15,$M191-$A$15,BK$13)=0,10^12,OFFSET(CRONOPLE!$F$15,$M191-$A$15,BK$13)))</f>
        <v>1000000000000</v>
      </c>
      <c r="BL191" s="171">
        <f ca="1">IF(OR($D191&lt;&gt;"Serviço",AND(AUTOEVENTO="Manual",$M191=$A$15)),0,
         IF(OFFSET(CRONOPLE!$F$15,$M191-$A$15,BL$13)=0,10^12,OFFSET(CRONOPLE!$F$15,$M191-$A$15,BL$13)))</f>
        <v>1000000000000</v>
      </c>
      <c r="BM191" s="171">
        <f ca="1">IF(OR($D191&lt;&gt;"Serviço",AND(AUTOEVENTO="Manual",$M191=$A$15)),0,
         IF(OFFSET(CRONOPLE!$F$15,$M191-$A$15,BM$13)=0,10^12,OFFSET(CRONOPLE!$F$15,$M191-$A$15,BM$13)))</f>
        <v>1000000000000</v>
      </c>
      <c r="BN191" s="171">
        <f ca="1">IF(OR($D191&lt;&gt;"Serviço",AND(AUTOEVENTO="Manual",$M191=$A$15)),0,
         IF(OFFSET(CRONOPLE!$F$15,$M191-$A$15,BN$13)=0,10^12,OFFSET(CRONOPLE!$F$15,$M191-$A$15,BN$13)))</f>
        <v>1000000000000</v>
      </c>
      <c r="BO191" s="171">
        <f ca="1">IF(OR($D191&lt;&gt;"Serviço",AND(AUTOEVENTO="Manual",$M191=$A$15)),0,
         IF(OFFSET(CRONOPLE!$F$15,$M191-$A$15,BO$13)=0,10^12,OFFSET(CRONOPLE!$F$15,$M191-$A$15,BO$13)))</f>
        <v>1000000000000</v>
      </c>
      <c r="BP191" s="171">
        <f ca="1">IF(OR($D191&lt;&gt;"Serviço",AND(AUTOEVENTO="Manual",$M191=$A$15)),0,
         IF(OFFSET(CRONOPLE!$F$15,$M191-$A$15,BP$13)=0,10^12,OFFSET(CRONOPLE!$F$15,$M191-$A$15,BP$13)))</f>
        <v>1000000000000</v>
      </c>
      <c r="BQ191" s="171">
        <f ca="1">IF(OR($D191&lt;&gt;"Serviço",AND(AUTOEVENTO="Manual",$M191=$A$15)),0,
         IF(OFFSET(CRONOPLE!$F$15,$M191-$A$15,BQ$13)=0,10^12,OFFSET(CRONOPLE!$F$15,$M191-$A$15,BQ$13)))</f>
        <v>1000000000000</v>
      </c>
      <c r="BR191" s="171">
        <f ca="1">IF(OR($D191&lt;&gt;"Serviço",AND(AUTOEVENTO="Manual",$M191=$A$15)),0,
         IF(OFFSET(CRONOPLE!$F$15,$M191-$A$15,BR$13)=0,10^12,OFFSET(CRONOPLE!$F$15,$M191-$A$15,BR$13)))</f>
        <v>1000000000000</v>
      </c>
      <c r="BS191" s="171">
        <f ca="1">IF(OR($D191&lt;&gt;"Serviço",AND(AUTOEVENTO="Manual",$M191=$A$15)),0,
         IF(OFFSET(CRONOPLE!$F$15,$M191-$A$15,BS$13)=0,10^12,OFFSET(CRONOPLE!$F$15,$M191-$A$15,BS$13)))</f>
        <v>1000000000000</v>
      </c>
      <c r="BT191" s="171">
        <f ca="1">IF(OR($D191&lt;&gt;"Serviço",AND(AUTOEVENTO="Manual",$M191=$A$15)),0,
         IF(OFFSET(CRONOPLE!$F$15,$M191-$A$15,BT$13)=0,10^12,OFFSET(CRONOPLE!$F$15,$M191-$A$15,BT$13)))</f>
        <v>1000000000000</v>
      </c>
      <c r="BV191" s="172">
        <f t="array" aca="1" ref="BV191" ca="1">IF(OR($D191&lt;&gt;"Serviço",AND(AUTOEVENTO="Manual",$M191=$A$15),$M191&gt;(ROW(PLE.lastrow)-ROW(PLE.firstrow))),0,
           IF(OFFSET(PLE!$G$15,$M191-$A$15,BV$13)="",10^12,OFFSET(PLE!$G$15,$M191-$A$15,BV$13)))</f>
        <v>1000000000000</v>
      </c>
      <c r="BW191" s="172">
        <f t="array" aca="1" ref="BW191" ca="1">IF(OR($D191&lt;&gt;"Serviço",AND(AUTOEVENTO="Manual",$M191=$A$15),$M191&gt;(ROW(PLE.lastrow)-ROW(PLE.firstrow))),0,
           IF(OFFSET(PLE!$G$15,$M191-$A$15,BW$13)="",10^12,OFFSET(PLE!$G$15,$M191-$A$15,BW$13)))</f>
        <v>1000000000000</v>
      </c>
      <c r="BX191" s="172">
        <f t="array" aca="1" ref="BX191" ca="1">IF(OR($D191&lt;&gt;"Serviço",AND(AUTOEVENTO="Manual",$M191=$A$15),$M191&gt;(ROW(PLE.lastrow)-ROW(PLE.firstrow))),0,
           IF(OFFSET(PLE!$G$15,$M191-$A$15,BX$13)="",10^12,OFFSET(PLE!$G$15,$M191-$A$15,BX$13)))</f>
        <v>1000000000000</v>
      </c>
      <c r="BY191" s="172">
        <f t="array" aca="1" ref="BY191" ca="1">IF(OR($D191&lt;&gt;"Serviço",AND(AUTOEVENTO="Manual",$M191=$A$15),$M191&gt;(ROW(PLE.lastrow)-ROW(PLE.firstrow))),0,
           IF(OFFSET(PLE!$G$15,$M191-$A$15,BY$13)="",10^12,OFFSET(PLE!$G$15,$M191-$A$15,BY$13)))</f>
        <v>1000000000000</v>
      </c>
      <c r="BZ191" s="172">
        <f t="array" aca="1" ref="BZ191" ca="1">IF(OR($D191&lt;&gt;"Serviço",AND(AUTOEVENTO="Manual",$M191=$A$15),$M191&gt;(ROW(PLE.lastrow)-ROW(PLE.firstrow))),0,
           IF(OFFSET(PLE!$G$15,$M191-$A$15,BZ$13)="",10^12,OFFSET(PLE!$G$15,$M191-$A$15,BZ$13)))</f>
        <v>1000000000000</v>
      </c>
      <c r="CA191" s="172">
        <f t="array" aca="1" ref="CA191" ca="1">IF(OR($D191&lt;&gt;"Serviço",AND(AUTOEVENTO="Manual",$M191=$A$15),$M191&gt;(ROW(PLE.lastrow)-ROW(PLE.firstrow))),0,
           IF(OFFSET(PLE!$G$15,$M191-$A$15,CA$13)="",10^12,OFFSET(PLE!$G$15,$M191-$A$15,CA$13)))</f>
        <v>1000000000000</v>
      </c>
      <c r="CB191" s="172">
        <f t="array" aca="1" ref="CB191" ca="1">IF(OR($D191&lt;&gt;"Serviço",AND(AUTOEVENTO="Manual",$M191=$A$15),$M191&gt;(ROW(PLE.lastrow)-ROW(PLE.firstrow))),0,
           IF(OFFSET(PLE!$G$15,$M191-$A$15,CB$13)="",10^12,OFFSET(PLE!$G$15,$M191-$A$15,CB$13)))</f>
        <v>1000000000000</v>
      </c>
      <c r="CC191" s="172">
        <f t="array" aca="1" ref="CC191" ca="1">IF(OR($D191&lt;&gt;"Serviço",AND(AUTOEVENTO="Manual",$M191=$A$15),$M191&gt;(ROW(PLE.lastrow)-ROW(PLE.firstrow))),0,
           IF(OFFSET(PLE!$G$15,$M191-$A$15,CC$13)="",10^12,OFFSET(PLE!$G$15,$M191-$A$15,CC$13)))</f>
        <v>1000000000000</v>
      </c>
      <c r="CD191" s="172">
        <f t="array" aca="1" ref="CD191" ca="1">IF(OR($D191&lt;&gt;"Serviço",AND(AUTOEVENTO="Manual",$M191=$A$15),$M191&gt;(ROW(PLE.lastrow)-ROW(PLE.firstrow))),0,
           IF(OFFSET(PLE!$G$15,$M191-$A$15,CD$13)="",10^12,OFFSET(PLE!$G$15,$M191-$A$15,CD$13)))</f>
        <v>1000000000000</v>
      </c>
      <c r="CE191" s="172">
        <f t="array" aca="1" ref="CE191" ca="1">IF(OR($D191&lt;&gt;"Serviço",AND(AUTOEVENTO="Manual",$M191=$A$15),$M191&gt;(ROW(PLE.lastrow)-ROW(PLE.firstrow))),0,
           IF(OFFSET(PLE!$G$15,$M191-$A$15,CE$13)="",10^12,OFFSET(PLE!$G$15,$M191-$A$15,CE$13)))</f>
        <v>1000000000000</v>
      </c>
      <c r="CF191" s="172">
        <f t="array" aca="1" ref="CF191" ca="1">IF(OR($D191&lt;&gt;"Serviço",AND(AUTOEVENTO="Manual",$M191=$A$15),$M191&gt;(ROW(PLE.lastrow)-ROW(PLE.firstrow))),0,
           IF(OFFSET(PLE!$G$15,$M191-$A$15,CF$13)="",10^12,OFFSET(PLE!$G$15,$M191-$A$15,CF$13)))</f>
        <v>1000000000000</v>
      </c>
      <c r="CG191" s="172">
        <f t="array" aca="1" ref="CG191" ca="1">IF(OR($D191&lt;&gt;"Serviço",AND(AUTOEVENTO="Manual",$M191=$A$15),$M191&gt;(ROW(PLE.lastrow)-ROW(PLE.firstrow))),0,
           IF(OFFSET(PLE!$G$15,$M191-$A$15,CG$13)="",10^12,OFFSET(PLE!$G$15,$M191-$A$15,CG$13)))</f>
        <v>1000000000000</v>
      </c>
      <c r="CH191" s="172">
        <f t="array" aca="1" ref="CH191" ca="1">IF(OR($D191&lt;&gt;"Serviço",AND(AUTOEVENTO="Manual",$M191=$A$15),$M191&gt;(ROW(PLE.lastrow)-ROW(PLE.firstrow))),0,
           IF(OFFSET(PLE!$G$15,$M191-$A$15,CH$13)="",10^12,OFFSET(PLE!$G$15,$M191-$A$15,CH$13)))</f>
        <v>1000000000000</v>
      </c>
      <c r="CI191" s="172">
        <f t="array" aca="1" ref="CI191" ca="1">IF(OR($D191&lt;&gt;"Serviço",AND(AUTOEVENTO="Manual",$M191=$A$15),$M191&gt;(ROW(PLE.lastrow)-ROW(PLE.firstrow))),0,
           IF(OFFSET(PLE!$G$15,$M191-$A$15,CI$13)="",10^12,OFFSET(PLE!$G$15,$M191-$A$15,CI$13)))</f>
        <v>1000000000000</v>
      </c>
      <c r="CJ191" s="172">
        <f t="array" aca="1" ref="CJ191" ca="1">IF(OR($D191&lt;&gt;"Serviço",AND(AUTOEVENTO="Manual",$M191=$A$15),$M191&gt;(ROW(PLE.lastrow)-ROW(PLE.firstrow))),0,
           IF(OFFSET(PLE!$G$15,$M191-$A$15,CJ$13)="",10^12,OFFSET(PLE!$G$15,$M191-$A$15,CJ$13)))</f>
        <v>1000000000000</v>
      </c>
      <c r="CK191" s="172">
        <f t="array" aca="1" ref="CK191" ca="1">IF(OR($D191&lt;&gt;"Serviço",AND(AUTOEVENTO="Manual",$M191=$A$15),$M191&gt;(ROW(PLE.lastrow)-ROW(PLE.firstrow))),0,
           IF(OFFSET(PLE!$G$15,$M191-$A$15,CK$13)="",10^12,OFFSET(PLE!$G$15,$M191-$A$15,CK$13)))</f>
        <v>1000000000000</v>
      </c>
      <c r="CL191" s="172">
        <f t="array" aca="1" ref="CL191" ca="1">IF(OR($D191&lt;&gt;"Serviço",AND(AUTOEVENTO="Manual",$M191=$A$15),$M191&gt;(ROW(PLE.lastrow)-ROW(PLE.firstrow))),0,
           IF(OFFSET(PLE!$G$15,$M191-$A$15,CL$13)="",10^12,OFFSET(PLE!$G$15,$M191-$A$15,CL$13)))</f>
        <v>1000000000000</v>
      </c>
      <c r="CM191" s="172">
        <f t="array" aca="1" ref="CM191" ca="1">IF(OR($D191&lt;&gt;"Serviço",AND(AUTOEVENTO="Manual",$M191=$A$15),$M191&gt;(ROW(PLE.lastrow)-ROW(PLE.firstrow))),0,
           IF(OFFSET(PLE!$G$15,$M191-$A$15,CM$13)="",10^12,OFFSET(PLE!$G$15,$M191-$A$15,CM$13)))</f>
        <v>1000000000000</v>
      </c>
    </row>
    <row r="192" spans="1:91" s="696" customFormat="1" ht="63.75" x14ac:dyDescent="0.2">
      <c r="A192" s="694">
        <f t="shared" ca="1" si="82"/>
        <v>39</v>
      </c>
      <c r="B192" s="694" t="str">
        <f ca="1">OFFSET(ORÇAMENTO!C$15,$L192,0)</f>
        <v>S</v>
      </c>
      <c r="C192" s="694" t="str">
        <f ca="1">OFFSET(ORÇAMENTO!L$15,$L192,0)</f>
        <v>F</v>
      </c>
      <c r="D192" s="116" t="str">
        <f ca="1">OFFSET(ORÇAMENTO!N$15,$L192,0)</f>
        <v>Serviço</v>
      </c>
      <c r="E192" s="117" t="str">
        <f ca="1">OFFSET(ORÇAMENTO!O$15,$L192,0)</f>
        <v>1.29.11.</v>
      </c>
      <c r="F192" s="163" t="str">
        <f ca="1">OFFSET(ORÇAMENTO!R$15,$L192,0)</f>
        <v>TE, PVC, SOLDÁVEL, DN 32MM, INSTALADO EM RAMAL DE DISTRIBUIÇÃO DE ÁGUA - FORNECIMENTO E INSTALAÇÃO. AF_06/2022</v>
      </c>
      <c r="G192" s="164" t="str">
        <f ca="1">IF($D192&lt;&gt;"Serviço","",OFFSET(ORÇAMENTO!S$15,$L192,0))</f>
        <v>UN</v>
      </c>
      <c r="H192" s="122">
        <f t="array" aca="1" ref="H192" ca="1">IF($D192&lt;&gt;"Serviço",0,IF(ACOMPANHAMENTO="BM",ROUND(OFFSET(ORÇAMENTO!AJ$15,$L192,0),15-13*ORÇAMENTO!$AF$7),IF(IFERROR(CÁLCULO.FrentesPreenchidas,0)=0,0,SUM(ROUND(OFFSET($P192,0,1,1,CÁLCULO.FrentesPreenchidas),15-13*ORÇAMENTO!$AF$7)))))</f>
        <v>60</v>
      </c>
      <c r="I192" s="467" t="s">
        <v>1329</v>
      </c>
      <c r="J192" s="653" t="str">
        <f t="array" aca="1" ref="J192" ca="1">IF(OR(B192&lt;&gt;"S",CÁLCULO.FrentesPreenchidas=0),"",IF(AND(ACOMPANHAMENTO="PLE",AUTOEVENTO="Manual",OR(H192&gt;0,ORÇAMENTO!AC192="QUANT."),OR(K192="",M192=0,N192="")),"►E",IF(AND(ACOMPANHAMENTO="PLE",ORÇAMENTO!AC192="QUANT."),"►Q",IF(AND(ACOMPANHAMENTO="PLE",H192&lt;&gt;SUMPRODUCT(($Q$1:$AI$1=1)*ROUND(Q192:AI192,15))),"►S",IF(AND(COUNTIF($P$11:$AI$11,"▼")=0,H192&gt;0,I192=""),"◄M","")))))</f>
        <v/>
      </c>
      <c r="K192" s="654" t="s">
        <v>1446</v>
      </c>
      <c r="L192" s="165">
        <f t="shared" ca="1" si="83"/>
        <v>177</v>
      </c>
      <c r="M192" s="166">
        <f ca="1">IF($D192&lt;&gt;"Serviço","",
          IF(AUTOEVENTO="manual",$A192,
                IF(ISERROR(MATCH($A192,$A$15:OFFSET($A192,-1,0),0)),MAX($M$15:OFFSET(M192,-1,0))+1,
                      INDEX($M$15:OFFSET(M192,-1,0),MATCH($A192,$A$15:OFFSET($A192,-1,0),0)))))</f>
        <v>39</v>
      </c>
      <c r="N192" s="167" t="str">
        <f ca="1">IF($D192&lt;&gt;"Serviço","",
         IF(AUTOEVENTO="Manual",
                IF($A192=0,"&lt;-- defina o número do agrupador",
                       OFFSET(EVENTOS!$D$15,$A192-$A$15,0)),
                OFFSET($F$15,$A192,0)))</f>
        <v>RESERVATÓRIO DE ÁGUA</v>
      </c>
      <c r="O192" s="168"/>
      <c r="Q192" s="169">
        <v>15</v>
      </c>
      <c r="R192" s="169">
        <v>15</v>
      </c>
      <c r="S192" s="169">
        <v>15</v>
      </c>
      <c r="T192" s="169">
        <v>15</v>
      </c>
      <c r="U192" s="169"/>
      <c r="V192" s="169"/>
      <c r="W192" s="169"/>
      <c r="X192" s="169"/>
      <c r="Y192" s="169"/>
      <c r="Z192" s="170"/>
      <c r="AA192" s="169"/>
      <c r="AB192" s="169"/>
      <c r="AC192" s="169"/>
      <c r="AD192" s="169"/>
      <c r="AE192" s="169"/>
      <c r="AF192" s="169"/>
      <c r="AG192" s="169"/>
      <c r="AH192" s="170"/>
      <c r="AJ192" s="452">
        <f ca="1">IF(AND($D192="Serviço",AJ$12&lt;&gt;0,$H192&gt;0,OR(AUTOEVENTO&lt;&gt;"manual",$M192&lt;&gt;$A$15)),
        IF(Import.TipoArredondamento&lt;&gt;"TransfereGOV",
              ROUND(OFFSET($P192,0,AJ$13),15-13*ORÇAMENTO!$AF$7)/$H192*OFFSET(ORÇAMENTO!$X$15,ROW(AJ192)-ROW(AJ$15),0),
              ROUND(ROUND(OFFSET($P192,0,AJ$13),15-13*ORÇAMENTO!$AF$7)*OFFSET(ORÇAMENTO!$W$15,ROW(AJ192)-ROW(AJ$15),0),15-13*ORÇAMENTO!$AF$11)),
         0)</f>
        <v>309.75</v>
      </c>
      <c r="AK192" s="452">
        <f ca="1">IF(AND($D192="Serviço",AK$12&lt;&gt;0,$H192&gt;0,OR(AUTOEVENTO&lt;&gt;"manual",$M192&lt;&gt;$A$15)),
        IF(Import.TipoArredondamento&lt;&gt;"TransfereGOV",
              ROUND(OFFSET($P192,0,AK$13),15-13*ORÇAMENTO!$AF$7)/$H192*OFFSET(ORÇAMENTO!$X$15,ROW(AK192)-ROW(AK$15),0),
              ROUND(ROUND(OFFSET($P192,0,AK$13),15-13*ORÇAMENTO!$AF$7)*OFFSET(ORÇAMENTO!$W$15,ROW(AK192)-ROW(AK$15),0),15-13*ORÇAMENTO!$AF$11)),
         0)</f>
        <v>309.75</v>
      </c>
      <c r="AL192" s="452">
        <f ca="1">IF(AND($D192="Serviço",AL$12&lt;&gt;0,$H192&gt;0,OR(AUTOEVENTO&lt;&gt;"manual",$M192&lt;&gt;$A$15)),
        IF(Import.TipoArredondamento&lt;&gt;"TransfereGOV",
              ROUND(OFFSET($P192,0,AL$13),15-13*ORÇAMENTO!$AF$7)/$H192*OFFSET(ORÇAMENTO!$X$15,ROW(AL192)-ROW(AL$15),0),
              ROUND(ROUND(OFFSET($P192,0,AL$13),15-13*ORÇAMENTO!$AF$7)*OFFSET(ORÇAMENTO!$W$15,ROW(AL192)-ROW(AL$15),0),15-13*ORÇAMENTO!$AF$11)),
         0)</f>
        <v>309.75</v>
      </c>
      <c r="AM192" s="452">
        <f ca="1">IF(AND($D192="Serviço",AM$12&lt;&gt;0,$H192&gt;0,OR(AUTOEVENTO&lt;&gt;"manual",$M192&lt;&gt;$A$15)),
        IF(Import.TipoArredondamento&lt;&gt;"TransfereGOV",
              ROUND(OFFSET($P192,0,AM$13),15-13*ORÇAMENTO!$AF$7)/$H192*OFFSET(ORÇAMENTO!$X$15,ROW(AM192)-ROW(AM$15),0),
              ROUND(ROUND(OFFSET($P192,0,AM$13),15-13*ORÇAMENTO!$AF$7)*OFFSET(ORÇAMENTO!$W$15,ROW(AM192)-ROW(AM$15),0),15-13*ORÇAMENTO!$AF$11)),
         0)</f>
        <v>309.75</v>
      </c>
      <c r="AN192" s="452">
        <f ca="1">IF(AND($D192="Serviço",AN$12&lt;&gt;0,$H192&gt;0,OR(AUTOEVENTO&lt;&gt;"manual",$M192&lt;&gt;$A$15)),
        IF(Import.TipoArredondamento&lt;&gt;"TransfereGOV",
              ROUND(OFFSET($P192,0,AN$13),15-13*ORÇAMENTO!$AF$7)/$H192*OFFSET(ORÇAMENTO!$X$15,ROW(AN192)-ROW(AN$15),0),
              ROUND(ROUND(OFFSET($P192,0,AN$13),15-13*ORÇAMENTO!$AF$7)*OFFSET(ORÇAMENTO!$W$15,ROW(AN192)-ROW(AN$15),0),15-13*ORÇAMENTO!$AF$11)),
         0)</f>
        <v>0</v>
      </c>
      <c r="AO192" s="452">
        <f ca="1">IF(AND($D192="Serviço",AO$12&lt;&gt;0,$H192&gt;0,OR(AUTOEVENTO&lt;&gt;"manual",$M192&lt;&gt;$A$15)),
        IF(Import.TipoArredondamento&lt;&gt;"TransfereGOV",
              ROUND(OFFSET($P192,0,AO$13),15-13*ORÇAMENTO!$AF$7)/$H192*OFFSET(ORÇAMENTO!$X$15,ROW(AO192)-ROW(AO$15),0),
              ROUND(ROUND(OFFSET($P192,0,AO$13),15-13*ORÇAMENTO!$AF$7)*OFFSET(ORÇAMENTO!$W$15,ROW(AO192)-ROW(AO$15),0),15-13*ORÇAMENTO!$AF$11)),
         0)</f>
        <v>0</v>
      </c>
      <c r="AP192" s="452">
        <f ca="1">IF(AND($D192="Serviço",AP$12&lt;&gt;0,$H192&gt;0,OR(AUTOEVENTO&lt;&gt;"manual",$M192&lt;&gt;$A$15)),
        IF(Import.TipoArredondamento&lt;&gt;"TransfereGOV",
              ROUND(OFFSET($P192,0,AP$13),15-13*ORÇAMENTO!$AF$7)/$H192*OFFSET(ORÇAMENTO!$X$15,ROW(AP192)-ROW(AP$15),0),
              ROUND(ROUND(OFFSET($P192,0,AP$13),15-13*ORÇAMENTO!$AF$7)*OFFSET(ORÇAMENTO!$W$15,ROW(AP192)-ROW(AP$15),0),15-13*ORÇAMENTO!$AF$11)),
         0)</f>
        <v>0</v>
      </c>
      <c r="AQ192" s="452">
        <f ca="1">IF(AND($D192="Serviço",AQ$12&lt;&gt;0,$H192&gt;0,OR(AUTOEVENTO&lt;&gt;"manual",$M192&lt;&gt;$A$15)),
        IF(Import.TipoArredondamento&lt;&gt;"TransfereGOV",
              ROUND(OFFSET($P192,0,AQ$13),15-13*ORÇAMENTO!$AF$7)/$H192*OFFSET(ORÇAMENTO!$X$15,ROW(AQ192)-ROW(AQ$15),0),
              ROUND(ROUND(OFFSET($P192,0,AQ$13),15-13*ORÇAMENTO!$AF$7)*OFFSET(ORÇAMENTO!$W$15,ROW(AQ192)-ROW(AQ$15),0),15-13*ORÇAMENTO!$AF$11)),
         0)</f>
        <v>0</v>
      </c>
      <c r="AR192" s="452">
        <f ca="1">IF(AND($D192="Serviço",AR$12&lt;&gt;0,$H192&gt;0,OR(AUTOEVENTO&lt;&gt;"manual",$M192&lt;&gt;$A$15)),
        IF(Import.TipoArredondamento&lt;&gt;"TransfereGOV",
              ROUND(OFFSET($P192,0,AR$13),15-13*ORÇAMENTO!$AF$7)/$H192*OFFSET(ORÇAMENTO!$X$15,ROW(AR192)-ROW(AR$15),0),
              ROUND(ROUND(OFFSET($P192,0,AR$13),15-13*ORÇAMENTO!$AF$7)*OFFSET(ORÇAMENTO!$W$15,ROW(AR192)-ROW(AR$15),0),15-13*ORÇAMENTO!$AF$11)),
         0)</f>
        <v>0</v>
      </c>
      <c r="AS192" s="452">
        <f ca="1">IF(AND($D192="Serviço",AS$12&lt;&gt;0,$H192&gt;0,OR(AUTOEVENTO&lt;&gt;"manual",$M192&lt;&gt;$A$15)),
        IF(Import.TipoArredondamento&lt;&gt;"TransfereGOV",
              ROUND(OFFSET($P192,0,AS$13),15-13*ORÇAMENTO!$AF$7)/$H192*OFFSET(ORÇAMENTO!$X$15,ROW(AS192)-ROW(AS$15),0),
              ROUND(ROUND(OFFSET($P192,0,AS$13),15-13*ORÇAMENTO!$AF$7)*OFFSET(ORÇAMENTO!$W$15,ROW(AS192)-ROW(AS$15),0),15-13*ORÇAMENTO!$AF$11)),
         0)</f>
        <v>0</v>
      </c>
      <c r="AT192" s="452">
        <f ca="1">IF(AND($D192="Serviço",AT$12&lt;&gt;0,$H192&gt;0,OR(AUTOEVENTO&lt;&gt;"manual",$M192&lt;&gt;$A$15)),
        IF(Import.TipoArredondamento&lt;&gt;"TransfereGOV",
              ROUND(OFFSET($P192,0,AT$13),15-13*ORÇAMENTO!$AF$7)/$H192*OFFSET(ORÇAMENTO!$X$15,ROW(AT192)-ROW(AT$15),0),
              ROUND(ROUND(OFFSET($P192,0,AT$13),15-13*ORÇAMENTO!$AF$7)*OFFSET(ORÇAMENTO!$W$15,ROW(AT192)-ROW(AT$15),0),15-13*ORÇAMENTO!$AF$11)),
         0)</f>
        <v>0</v>
      </c>
      <c r="AU192" s="452">
        <f ca="1">IF(AND($D192="Serviço",AU$12&lt;&gt;0,$H192&gt;0,OR(AUTOEVENTO&lt;&gt;"manual",$M192&lt;&gt;$A$15)),
        IF(Import.TipoArredondamento&lt;&gt;"TransfereGOV",
              ROUND(OFFSET($P192,0,AU$13),15-13*ORÇAMENTO!$AF$7)/$H192*OFFSET(ORÇAMENTO!$X$15,ROW(AU192)-ROW(AU$15),0),
              ROUND(ROUND(OFFSET($P192,0,AU$13),15-13*ORÇAMENTO!$AF$7)*OFFSET(ORÇAMENTO!$W$15,ROW(AU192)-ROW(AU$15),0),15-13*ORÇAMENTO!$AF$11)),
         0)</f>
        <v>0</v>
      </c>
      <c r="AV192" s="452">
        <f ca="1">IF(AND($D192="Serviço",AV$12&lt;&gt;0,$H192&gt;0,OR(AUTOEVENTO&lt;&gt;"manual",$M192&lt;&gt;$A$15)),
        IF(Import.TipoArredondamento&lt;&gt;"TransfereGOV",
              ROUND(OFFSET($P192,0,AV$13),15-13*ORÇAMENTO!$AF$7)/$H192*OFFSET(ORÇAMENTO!$X$15,ROW(AV192)-ROW(AV$15),0),
              ROUND(ROUND(OFFSET($P192,0,AV$13),15-13*ORÇAMENTO!$AF$7)*OFFSET(ORÇAMENTO!$W$15,ROW(AV192)-ROW(AV$15),0),15-13*ORÇAMENTO!$AF$11)),
         0)</f>
        <v>0</v>
      </c>
      <c r="AW192" s="452">
        <f ca="1">IF(AND($D192="Serviço",AW$12&lt;&gt;0,$H192&gt;0,OR(AUTOEVENTO&lt;&gt;"manual",$M192&lt;&gt;$A$15)),
        IF(Import.TipoArredondamento&lt;&gt;"TransfereGOV",
              ROUND(OFFSET($P192,0,AW$13),15-13*ORÇAMENTO!$AF$7)/$H192*OFFSET(ORÇAMENTO!$X$15,ROW(AW192)-ROW(AW$15),0),
              ROUND(ROUND(OFFSET($P192,0,AW$13),15-13*ORÇAMENTO!$AF$7)*OFFSET(ORÇAMENTO!$W$15,ROW(AW192)-ROW(AW$15),0),15-13*ORÇAMENTO!$AF$11)),
         0)</f>
        <v>0</v>
      </c>
      <c r="AX192" s="452">
        <f ca="1">IF(AND($D192="Serviço",AX$12&lt;&gt;0,$H192&gt;0,OR(AUTOEVENTO&lt;&gt;"manual",$M192&lt;&gt;$A$15)),
        IF(Import.TipoArredondamento&lt;&gt;"TransfereGOV",
              ROUND(OFFSET($P192,0,AX$13),15-13*ORÇAMENTO!$AF$7)/$H192*OFFSET(ORÇAMENTO!$X$15,ROW(AX192)-ROW(AX$15),0),
              ROUND(ROUND(OFFSET($P192,0,AX$13),15-13*ORÇAMENTO!$AF$7)*OFFSET(ORÇAMENTO!$W$15,ROW(AX192)-ROW(AX$15),0),15-13*ORÇAMENTO!$AF$11)),
         0)</f>
        <v>0</v>
      </c>
      <c r="AY192" s="452">
        <f ca="1">IF(AND($D192="Serviço",AY$12&lt;&gt;0,$H192&gt;0,OR(AUTOEVENTO&lt;&gt;"manual",$M192&lt;&gt;$A$15)),
        IF(Import.TipoArredondamento&lt;&gt;"TransfereGOV",
              ROUND(OFFSET($P192,0,AY$13),15-13*ORÇAMENTO!$AF$7)/$H192*OFFSET(ORÇAMENTO!$X$15,ROW(AY192)-ROW(AY$15),0),
              ROUND(ROUND(OFFSET($P192,0,AY$13),15-13*ORÇAMENTO!$AF$7)*OFFSET(ORÇAMENTO!$W$15,ROW(AY192)-ROW(AY$15),0),15-13*ORÇAMENTO!$AF$11)),
         0)</f>
        <v>0</v>
      </c>
      <c r="AZ192" s="452">
        <f ca="1">IF(AND($D192="Serviço",AZ$12&lt;&gt;0,$H192&gt;0,OR(AUTOEVENTO&lt;&gt;"manual",$M192&lt;&gt;$A$15)),
        IF(Import.TipoArredondamento&lt;&gt;"TransfereGOV",
              ROUND(OFFSET($P192,0,AZ$13),15-13*ORÇAMENTO!$AF$7)/$H192*OFFSET(ORÇAMENTO!$X$15,ROW(AZ192)-ROW(AZ$15),0),
              ROUND(ROUND(OFFSET($P192,0,AZ$13),15-13*ORÇAMENTO!$AF$7)*OFFSET(ORÇAMENTO!$W$15,ROW(AZ192)-ROW(AZ$15),0),15-13*ORÇAMENTO!$AF$11)),
         0)</f>
        <v>0</v>
      </c>
      <c r="BA192" s="452">
        <f ca="1">IF(AND($D192="Serviço",BA$12&lt;&gt;0,$H192&gt;0,OR(AUTOEVENTO&lt;&gt;"manual",$M192&lt;&gt;$A$15)),
        IF(Import.TipoArredondamento&lt;&gt;"TransfereGOV",
              ROUND(OFFSET($P192,0,BA$13),15-13*ORÇAMENTO!$AF$7)/$H192*OFFSET(ORÇAMENTO!$X$15,ROW(BA192)-ROW(BA$15),0),
              ROUND(ROUND(OFFSET($P192,0,BA$13),15-13*ORÇAMENTO!$AF$7)*OFFSET(ORÇAMENTO!$W$15,ROW(BA192)-ROW(BA$15),0),15-13*ORÇAMENTO!$AF$11)),
         0)</f>
        <v>0</v>
      </c>
      <c r="BC192" s="171">
        <f ca="1">IF(OR($D192&lt;&gt;"Serviço",AND(AUTOEVENTO="Manual",$M192=$A$15)),0,
         IF(OFFSET(CRONOPLE!$F$15,$M192-$A$15,BC$13)=0,10^12,OFFSET(CRONOPLE!$F$15,$M192-$A$15,BC$13)))</f>
        <v>4</v>
      </c>
      <c r="BD192" s="171">
        <f ca="1">IF(OR($D192&lt;&gt;"Serviço",AND(AUTOEVENTO="Manual",$M192=$A$15)),0,
         IF(OFFSET(CRONOPLE!$F$15,$M192-$A$15,BD$13)=0,10^12,OFFSET(CRONOPLE!$F$15,$M192-$A$15,BD$13)))</f>
        <v>4</v>
      </c>
      <c r="BE192" s="171">
        <f ca="1">IF(OR($D192&lt;&gt;"Serviço",AND(AUTOEVENTO="Manual",$M192=$A$15)),0,
         IF(OFFSET(CRONOPLE!$F$15,$M192-$A$15,BE$13)=0,10^12,OFFSET(CRONOPLE!$F$15,$M192-$A$15,BE$13)))</f>
        <v>5</v>
      </c>
      <c r="BF192" s="171">
        <f ca="1">IF(OR($D192&lt;&gt;"Serviço",AND(AUTOEVENTO="Manual",$M192=$A$15)),0,
         IF(OFFSET(CRONOPLE!$F$15,$M192-$A$15,BF$13)=0,10^12,OFFSET(CRONOPLE!$F$15,$M192-$A$15,BF$13)))</f>
        <v>5</v>
      </c>
      <c r="BG192" s="171">
        <f ca="1">IF(OR($D192&lt;&gt;"Serviço",AND(AUTOEVENTO="Manual",$M192=$A$15)),0,
         IF(OFFSET(CRONOPLE!$F$15,$M192-$A$15,BG$13)=0,10^12,OFFSET(CRONOPLE!$F$15,$M192-$A$15,BG$13)))</f>
        <v>5</v>
      </c>
      <c r="BH192" s="171">
        <f ca="1">IF(OR($D192&lt;&gt;"Serviço",AND(AUTOEVENTO="Manual",$M192=$A$15)),0,
         IF(OFFSET(CRONOPLE!$F$15,$M192-$A$15,BH$13)=0,10^12,OFFSET(CRONOPLE!$F$15,$M192-$A$15,BH$13)))</f>
        <v>1000000000000</v>
      </c>
      <c r="BI192" s="171">
        <f ca="1">IF(OR($D192&lt;&gt;"Serviço",AND(AUTOEVENTO="Manual",$M192=$A$15)),0,
         IF(OFFSET(CRONOPLE!$F$15,$M192-$A$15,BI$13)=0,10^12,OFFSET(CRONOPLE!$F$15,$M192-$A$15,BI$13)))</f>
        <v>1000000000000</v>
      </c>
      <c r="BJ192" s="171">
        <f ca="1">IF(OR($D192&lt;&gt;"Serviço",AND(AUTOEVENTO="Manual",$M192=$A$15)),0,
         IF(OFFSET(CRONOPLE!$F$15,$M192-$A$15,BJ$13)=0,10^12,OFFSET(CRONOPLE!$F$15,$M192-$A$15,BJ$13)))</f>
        <v>1000000000000</v>
      </c>
      <c r="BK192" s="171">
        <f ca="1">IF(OR($D192&lt;&gt;"Serviço",AND(AUTOEVENTO="Manual",$M192=$A$15)),0,
         IF(OFFSET(CRONOPLE!$F$15,$M192-$A$15,BK$13)=0,10^12,OFFSET(CRONOPLE!$F$15,$M192-$A$15,BK$13)))</f>
        <v>1000000000000</v>
      </c>
      <c r="BL192" s="171">
        <f ca="1">IF(OR($D192&lt;&gt;"Serviço",AND(AUTOEVENTO="Manual",$M192=$A$15)),0,
         IF(OFFSET(CRONOPLE!$F$15,$M192-$A$15,BL$13)=0,10^12,OFFSET(CRONOPLE!$F$15,$M192-$A$15,BL$13)))</f>
        <v>1000000000000</v>
      </c>
      <c r="BM192" s="171">
        <f ca="1">IF(OR($D192&lt;&gt;"Serviço",AND(AUTOEVENTO="Manual",$M192=$A$15)),0,
         IF(OFFSET(CRONOPLE!$F$15,$M192-$A$15,BM$13)=0,10^12,OFFSET(CRONOPLE!$F$15,$M192-$A$15,BM$13)))</f>
        <v>1000000000000</v>
      </c>
      <c r="BN192" s="171">
        <f ca="1">IF(OR($D192&lt;&gt;"Serviço",AND(AUTOEVENTO="Manual",$M192=$A$15)),0,
         IF(OFFSET(CRONOPLE!$F$15,$M192-$A$15,BN$13)=0,10^12,OFFSET(CRONOPLE!$F$15,$M192-$A$15,BN$13)))</f>
        <v>1000000000000</v>
      </c>
      <c r="BO192" s="171">
        <f ca="1">IF(OR($D192&lt;&gt;"Serviço",AND(AUTOEVENTO="Manual",$M192=$A$15)),0,
         IF(OFFSET(CRONOPLE!$F$15,$M192-$A$15,BO$13)=0,10^12,OFFSET(CRONOPLE!$F$15,$M192-$A$15,BO$13)))</f>
        <v>1000000000000</v>
      </c>
      <c r="BP192" s="171">
        <f ca="1">IF(OR($D192&lt;&gt;"Serviço",AND(AUTOEVENTO="Manual",$M192=$A$15)),0,
         IF(OFFSET(CRONOPLE!$F$15,$M192-$A$15,BP$13)=0,10^12,OFFSET(CRONOPLE!$F$15,$M192-$A$15,BP$13)))</f>
        <v>1000000000000</v>
      </c>
      <c r="BQ192" s="171">
        <f ca="1">IF(OR($D192&lt;&gt;"Serviço",AND(AUTOEVENTO="Manual",$M192=$A$15)),0,
         IF(OFFSET(CRONOPLE!$F$15,$M192-$A$15,BQ$13)=0,10^12,OFFSET(CRONOPLE!$F$15,$M192-$A$15,BQ$13)))</f>
        <v>1000000000000</v>
      </c>
      <c r="BR192" s="171">
        <f ca="1">IF(OR($D192&lt;&gt;"Serviço",AND(AUTOEVENTO="Manual",$M192=$A$15)),0,
         IF(OFFSET(CRONOPLE!$F$15,$M192-$A$15,BR$13)=0,10^12,OFFSET(CRONOPLE!$F$15,$M192-$A$15,BR$13)))</f>
        <v>1000000000000</v>
      </c>
      <c r="BS192" s="171">
        <f ca="1">IF(OR($D192&lt;&gt;"Serviço",AND(AUTOEVENTO="Manual",$M192=$A$15)),0,
         IF(OFFSET(CRONOPLE!$F$15,$M192-$A$15,BS$13)=0,10^12,OFFSET(CRONOPLE!$F$15,$M192-$A$15,BS$13)))</f>
        <v>1000000000000</v>
      </c>
      <c r="BT192" s="171">
        <f ca="1">IF(OR($D192&lt;&gt;"Serviço",AND(AUTOEVENTO="Manual",$M192=$A$15)),0,
         IF(OFFSET(CRONOPLE!$F$15,$M192-$A$15,BT$13)=0,10^12,OFFSET(CRONOPLE!$F$15,$M192-$A$15,BT$13)))</f>
        <v>1000000000000</v>
      </c>
      <c r="BV192" s="172">
        <f t="array" aca="1" ref="BV192" ca="1">IF(OR($D192&lt;&gt;"Serviço",AND(AUTOEVENTO="Manual",$M192=$A$15),$M192&gt;(ROW(PLE.lastrow)-ROW(PLE.firstrow))),0,
           IF(OFFSET(PLE!$G$15,$M192-$A$15,BV$13)="",10^12,OFFSET(PLE!$G$15,$M192-$A$15,BV$13)))</f>
        <v>1000000000000</v>
      </c>
      <c r="BW192" s="172">
        <f t="array" aca="1" ref="BW192" ca="1">IF(OR($D192&lt;&gt;"Serviço",AND(AUTOEVENTO="Manual",$M192=$A$15),$M192&gt;(ROW(PLE.lastrow)-ROW(PLE.firstrow))),0,
           IF(OFFSET(PLE!$G$15,$M192-$A$15,BW$13)="",10^12,OFFSET(PLE!$G$15,$M192-$A$15,BW$13)))</f>
        <v>1000000000000</v>
      </c>
      <c r="BX192" s="172">
        <f t="array" aca="1" ref="BX192" ca="1">IF(OR($D192&lt;&gt;"Serviço",AND(AUTOEVENTO="Manual",$M192=$A$15),$M192&gt;(ROW(PLE.lastrow)-ROW(PLE.firstrow))),0,
           IF(OFFSET(PLE!$G$15,$M192-$A$15,BX$13)="",10^12,OFFSET(PLE!$G$15,$M192-$A$15,BX$13)))</f>
        <v>1000000000000</v>
      </c>
      <c r="BY192" s="172">
        <f t="array" aca="1" ref="BY192" ca="1">IF(OR($D192&lt;&gt;"Serviço",AND(AUTOEVENTO="Manual",$M192=$A$15),$M192&gt;(ROW(PLE.lastrow)-ROW(PLE.firstrow))),0,
           IF(OFFSET(PLE!$G$15,$M192-$A$15,BY$13)="",10^12,OFFSET(PLE!$G$15,$M192-$A$15,BY$13)))</f>
        <v>1000000000000</v>
      </c>
      <c r="BZ192" s="172">
        <f t="array" aca="1" ref="BZ192" ca="1">IF(OR($D192&lt;&gt;"Serviço",AND(AUTOEVENTO="Manual",$M192=$A$15),$M192&gt;(ROW(PLE.lastrow)-ROW(PLE.firstrow))),0,
           IF(OFFSET(PLE!$G$15,$M192-$A$15,BZ$13)="",10^12,OFFSET(PLE!$G$15,$M192-$A$15,BZ$13)))</f>
        <v>1000000000000</v>
      </c>
      <c r="CA192" s="172">
        <f t="array" aca="1" ref="CA192" ca="1">IF(OR($D192&lt;&gt;"Serviço",AND(AUTOEVENTO="Manual",$M192=$A$15),$M192&gt;(ROW(PLE.lastrow)-ROW(PLE.firstrow))),0,
           IF(OFFSET(PLE!$G$15,$M192-$A$15,CA$13)="",10^12,OFFSET(PLE!$G$15,$M192-$A$15,CA$13)))</f>
        <v>1000000000000</v>
      </c>
      <c r="CB192" s="172">
        <f t="array" aca="1" ref="CB192" ca="1">IF(OR($D192&lt;&gt;"Serviço",AND(AUTOEVENTO="Manual",$M192=$A$15),$M192&gt;(ROW(PLE.lastrow)-ROW(PLE.firstrow))),0,
           IF(OFFSET(PLE!$G$15,$M192-$A$15,CB$13)="",10^12,OFFSET(PLE!$G$15,$M192-$A$15,CB$13)))</f>
        <v>1000000000000</v>
      </c>
      <c r="CC192" s="172">
        <f t="array" aca="1" ref="CC192" ca="1">IF(OR($D192&lt;&gt;"Serviço",AND(AUTOEVENTO="Manual",$M192=$A$15),$M192&gt;(ROW(PLE.lastrow)-ROW(PLE.firstrow))),0,
           IF(OFFSET(PLE!$G$15,$M192-$A$15,CC$13)="",10^12,OFFSET(PLE!$G$15,$M192-$A$15,CC$13)))</f>
        <v>1000000000000</v>
      </c>
      <c r="CD192" s="172">
        <f t="array" aca="1" ref="CD192" ca="1">IF(OR($D192&lt;&gt;"Serviço",AND(AUTOEVENTO="Manual",$M192=$A$15),$M192&gt;(ROW(PLE.lastrow)-ROW(PLE.firstrow))),0,
           IF(OFFSET(PLE!$G$15,$M192-$A$15,CD$13)="",10^12,OFFSET(PLE!$G$15,$M192-$A$15,CD$13)))</f>
        <v>1000000000000</v>
      </c>
      <c r="CE192" s="172">
        <f t="array" aca="1" ref="CE192" ca="1">IF(OR($D192&lt;&gt;"Serviço",AND(AUTOEVENTO="Manual",$M192=$A$15),$M192&gt;(ROW(PLE.lastrow)-ROW(PLE.firstrow))),0,
           IF(OFFSET(PLE!$G$15,$M192-$A$15,CE$13)="",10^12,OFFSET(PLE!$G$15,$M192-$A$15,CE$13)))</f>
        <v>1000000000000</v>
      </c>
      <c r="CF192" s="172">
        <f t="array" aca="1" ref="CF192" ca="1">IF(OR($D192&lt;&gt;"Serviço",AND(AUTOEVENTO="Manual",$M192=$A$15),$M192&gt;(ROW(PLE.lastrow)-ROW(PLE.firstrow))),0,
           IF(OFFSET(PLE!$G$15,$M192-$A$15,CF$13)="",10^12,OFFSET(PLE!$G$15,$M192-$A$15,CF$13)))</f>
        <v>1000000000000</v>
      </c>
      <c r="CG192" s="172">
        <f t="array" aca="1" ref="CG192" ca="1">IF(OR($D192&lt;&gt;"Serviço",AND(AUTOEVENTO="Manual",$M192=$A$15),$M192&gt;(ROW(PLE.lastrow)-ROW(PLE.firstrow))),0,
           IF(OFFSET(PLE!$G$15,$M192-$A$15,CG$13)="",10^12,OFFSET(PLE!$G$15,$M192-$A$15,CG$13)))</f>
        <v>1000000000000</v>
      </c>
      <c r="CH192" s="172">
        <f t="array" aca="1" ref="CH192" ca="1">IF(OR($D192&lt;&gt;"Serviço",AND(AUTOEVENTO="Manual",$M192=$A$15),$M192&gt;(ROW(PLE.lastrow)-ROW(PLE.firstrow))),0,
           IF(OFFSET(PLE!$G$15,$M192-$A$15,CH$13)="",10^12,OFFSET(PLE!$G$15,$M192-$A$15,CH$13)))</f>
        <v>1000000000000</v>
      </c>
      <c r="CI192" s="172">
        <f t="array" aca="1" ref="CI192" ca="1">IF(OR($D192&lt;&gt;"Serviço",AND(AUTOEVENTO="Manual",$M192=$A$15),$M192&gt;(ROW(PLE.lastrow)-ROW(PLE.firstrow))),0,
           IF(OFFSET(PLE!$G$15,$M192-$A$15,CI$13)="",10^12,OFFSET(PLE!$G$15,$M192-$A$15,CI$13)))</f>
        <v>1000000000000</v>
      </c>
      <c r="CJ192" s="172">
        <f t="array" aca="1" ref="CJ192" ca="1">IF(OR($D192&lt;&gt;"Serviço",AND(AUTOEVENTO="Manual",$M192=$A$15),$M192&gt;(ROW(PLE.lastrow)-ROW(PLE.firstrow))),0,
           IF(OFFSET(PLE!$G$15,$M192-$A$15,CJ$13)="",10^12,OFFSET(PLE!$G$15,$M192-$A$15,CJ$13)))</f>
        <v>1000000000000</v>
      </c>
      <c r="CK192" s="172">
        <f t="array" aca="1" ref="CK192" ca="1">IF(OR($D192&lt;&gt;"Serviço",AND(AUTOEVENTO="Manual",$M192=$A$15),$M192&gt;(ROW(PLE.lastrow)-ROW(PLE.firstrow))),0,
           IF(OFFSET(PLE!$G$15,$M192-$A$15,CK$13)="",10^12,OFFSET(PLE!$G$15,$M192-$A$15,CK$13)))</f>
        <v>1000000000000</v>
      </c>
      <c r="CL192" s="172">
        <f t="array" aca="1" ref="CL192" ca="1">IF(OR($D192&lt;&gt;"Serviço",AND(AUTOEVENTO="Manual",$M192=$A$15),$M192&gt;(ROW(PLE.lastrow)-ROW(PLE.firstrow))),0,
           IF(OFFSET(PLE!$G$15,$M192-$A$15,CL$13)="",10^12,OFFSET(PLE!$G$15,$M192-$A$15,CL$13)))</f>
        <v>1000000000000</v>
      </c>
      <c r="CM192" s="172">
        <f t="array" aca="1" ref="CM192" ca="1">IF(OR($D192&lt;&gt;"Serviço",AND(AUTOEVENTO="Manual",$M192=$A$15),$M192&gt;(ROW(PLE.lastrow)-ROW(PLE.firstrow))),0,
           IF(OFFSET(PLE!$G$15,$M192-$A$15,CM$13)="",10^12,OFFSET(PLE!$G$15,$M192-$A$15,CM$13)))</f>
        <v>1000000000000</v>
      </c>
    </row>
    <row r="193" spans="1:91" s="696" customFormat="1" ht="63.75" x14ac:dyDescent="0.2">
      <c r="A193" s="694">
        <f t="shared" ca="1" si="82"/>
        <v>39</v>
      </c>
      <c r="B193" s="694" t="str">
        <f ca="1">OFFSET(ORÇAMENTO!C$15,$L193,0)</f>
        <v>S</v>
      </c>
      <c r="C193" s="694" t="str">
        <f ca="1">OFFSET(ORÇAMENTO!L$15,$L193,0)</f>
        <v>F</v>
      </c>
      <c r="D193" s="116" t="str">
        <f ca="1">OFFSET(ORÇAMENTO!N$15,$L193,0)</f>
        <v>Serviço</v>
      </c>
      <c r="E193" s="117" t="str">
        <f ca="1">OFFSET(ORÇAMENTO!O$15,$L193,0)</f>
        <v>1.29.12.</v>
      </c>
      <c r="F193" s="163" t="str">
        <f ca="1">OFFSET(ORÇAMENTO!R$15,$L193,0)</f>
        <v>TÊ DE REDUÇÃO, PVC, SOLDÁVEL, DN 32MM X 25MM, INSTALADO EM RAMAL DE DISTRIBUIÇÃO DE ÁGUA - FORNECIMENTO E INSTALAÇÃO. AF_06/2022</v>
      </c>
      <c r="G193" s="164" t="str">
        <f ca="1">IF($D193&lt;&gt;"Serviço","",OFFSET(ORÇAMENTO!S$15,$L193,0))</f>
        <v>UN</v>
      </c>
      <c r="H193" s="122">
        <f t="array" aca="1" ref="H193" ca="1">IF($D193&lt;&gt;"Serviço",0,IF(ACOMPANHAMENTO="BM",ROUND(OFFSET(ORÇAMENTO!AJ$15,$L193,0),15-13*ORÇAMENTO!$AF$7),IF(IFERROR(CÁLCULO.FrentesPreenchidas,0)=0,0,SUM(ROUND(OFFSET($P193,0,1,1,CÁLCULO.FrentesPreenchidas),15-13*ORÇAMENTO!$AF$7)))))</f>
        <v>20</v>
      </c>
      <c r="I193" s="467" t="s">
        <v>1324</v>
      </c>
      <c r="J193" s="653" t="str">
        <f t="array" aca="1" ref="J193" ca="1">IF(OR(B193&lt;&gt;"S",CÁLCULO.FrentesPreenchidas=0),"",IF(AND(ACOMPANHAMENTO="PLE",AUTOEVENTO="Manual",OR(H193&gt;0,ORÇAMENTO!AC193="QUANT."),OR(K193="",M193=0,N193="")),"►E",IF(AND(ACOMPANHAMENTO="PLE",ORÇAMENTO!AC193="QUANT."),"►Q",IF(AND(ACOMPANHAMENTO="PLE",H193&lt;&gt;SUMPRODUCT(($Q$1:$AI$1=1)*ROUND(Q193:AI193,15))),"►S",IF(AND(COUNTIF($P$11:$AI$11,"▼")=0,H193&gt;0,I193=""),"◄M","")))))</f>
        <v/>
      </c>
      <c r="K193" s="654" t="s">
        <v>1446</v>
      </c>
      <c r="L193" s="165">
        <f t="shared" ca="1" si="83"/>
        <v>178</v>
      </c>
      <c r="M193" s="166">
        <f ca="1">IF($D193&lt;&gt;"Serviço","",
          IF(AUTOEVENTO="manual",$A193,
                IF(ISERROR(MATCH($A193,$A$15:OFFSET($A193,-1,0),0)),MAX($M$15:OFFSET(M193,-1,0))+1,
                      INDEX($M$15:OFFSET(M193,-1,0),MATCH($A193,$A$15:OFFSET($A193,-1,0),0)))))</f>
        <v>39</v>
      </c>
      <c r="N193" s="167" t="str">
        <f ca="1">IF($D193&lt;&gt;"Serviço","",
         IF(AUTOEVENTO="Manual",
                IF($A193=0,"&lt;-- defina o número do agrupador",
                       OFFSET(EVENTOS!$D$15,$A193-$A$15,0)),
                OFFSET($F$15,$A193,0)))</f>
        <v>RESERVATÓRIO DE ÁGUA</v>
      </c>
      <c r="O193" s="168"/>
      <c r="Q193" s="169">
        <v>5</v>
      </c>
      <c r="R193" s="169">
        <v>5</v>
      </c>
      <c r="S193" s="169">
        <v>5</v>
      </c>
      <c r="T193" s="169">
        <v>5</v>
      </c>
      <c r="U193" s="169"/>
      <c r="V193" s="169"/>
      <c r="W193" s="169"/>
      <c r="X193" s="169"/>
      <c r="Y193" s="169"/>
      <c r="Z193" s="170"/>
      <c r="AA193" s="169"/>
      <c r="AB193" s="169"/>
      <c r="AC193" s="169"/>
      <c r="AD193" s="169"/>
      <c r="AE193" s="169"/>
      <c r="AF193" s="169"/>
      <c r="AG193" s="169"/>
      <c r="AH193" s="170"/>
      <c r="AJ193" s="452">
        <f ca="1">IF(AND($D193="Serviço",AJ$12&lt;&gt;0,$H193&gt;0,OR(AUTOEVENTO&lt;&gt;"manual",$M193&lt;&gt;$A$15)),
        IF(Import.TipoArredondamento&lt;&gt;"TransfereGOV",
              ROUND(OFFSET($P193,0,AJ$13),15-13*ORÇAMENTO!$AF$7)/$H193*OFFSET(ORÇAMENTO!$X$15,ROW(AJ193)-ROW(AJ$15),0),
              ROUND(ROUND(OFFSET($P193,0,AJ$13),15-13*ORÇAMENTO!$AF$7)*OFFSET(ORÇAMENTO!$W$15,ROW(AJ193)-ROW(AJ$15),0),15-13*ORÇAMENTO!$AF$11)),
         0)</f>
        <v>113</v>
      </c>
      <c r="AK193" s="452">
        <f ca="1">IF(AND($D193="Serviço",AK$12&lt;&gt;0,$H193&gt;0,OR(AUTOEVENTO&lt;&gt;"manual",$M193&lt;&gt;$A$15)),
        IF(Import.TipoArredondamento&lt;&gt;"TransfereGOV",
              ROUND(OFFSET($P193,0,AK$13),15-13*ORÇAMENTO!$AF$7)/$H193*OFFSET(ORÇAMENTO!$X$15,ROW(AK193)-ROW(AK$15),0),
              ROUND(ROUND(OFFSET($P193,0,AK$13),15-13*ORÇAMENTO!$AF$7)*OFFSET(ORÇAMENTO!$W$15,ROW(AK193)-ROW(AK$15),0),15-13*ORÇAMENTO!$AF$11)),
         0)</f>
        <v>113</v>
      </c>
      <c r="AL193" s="452">
        <f ca="1">IF(AND($D193="Serviço",AL$12&lt;&gt;0,$H193&gt;0,OR(AUTOEVENTO&lt;&gt;"manual",$M193&lt;&gt;$A$15)),
        IF(Import.TipoArredondamento&lt;&gt;"TransfereGOV",
              ROUND(OFFSET($P193,0,AL$13),15-13*ORÇAMENTO!$AF$7)/$H193*OFFSET(ORÇAMENTO!$X$15,ROW(AL193)-ROW(AL$15),0),
              ROUND(ROUND(OFFSET($P193,0,AL$13),15-13*ORÇAMENTO!$AF$7)*OFFSET(ORÇAMENTO!$W$15,ROW(AL193)-ROW(AL$15),0),15-13*ORÇAMENTO!$AF$11)),
         0)</f>
        <v>113</v>
      </c>
      <c r="AM193" s="452">
        <f ca="1">IF(AND($D193="Serviço",AM$12&lt;&gt;0,$H193&gt;0,OR(AUTOEVENTO&lt;&gt;"manual",$M193&lt;&gt;$A$15)),
        IF(Import.TipoArredondamento&lt;&gt;"TransfereGOV",
              ROUND(OFFSET($P193,0,AM$13),15-13*ORÇAMENTO!$AF$7)/$H193*OFFSET(ORÇAMENTO!$X$15,ROW(AM193)-ROW(AM$15),0),
              ROUND(ROUND(OFFSET($P193,0,AM$13),15-13*ORÇAMENTO!$AF$7)*OFFSET(ORÇAMENTO!$W$15,ROW(AM193)-ROW(AM$15),0),15-13*ORÇAMENTO!$AF$11)),
         0)</f>
        <v>113</v>
      </c>
      <c r="AN193" s="452">
        <f ca="1">IF(AND($D193="Serviço",AN$12&lt;&gt;0,$H193&gt;0,OR(AUTOEVENTO&lt;&gt;"manual",$M193&lt;&gt;$A$15)),
        IF(Import.TipoArredondamento&lt;&gt;"TransfereGOV",
              ROUND(OFFSET($P193,0,AN$13),15-13*ORÇAMENTO!$AF$7)/$H193*OFFSET(ORÇAMENTO!$X$15,ROW(AN193)-ROW(AN$15),0),
              ROUND(ROUND(OFFSET($P193,0,AN$13),15-13*ORÇAMENTO!$AF$7)*OFFSET(ORÇAMENTO!$W$15,ROW(AN193)-ROW(AN$15),0),15-13*ORÇAMENTO!$AF$11)),
         0)</f>
        <v>0</v>
      </c>
      <c r="AO193" s="452">
        <f ca="1">IF(AND($D193="Serviço",AO$12&lt;&gt;0,$H193&gt;0,OR(AUTOEVENTO&lt;&gt;"manual",$M193&lt;&gt;$A$15)),
        IF(Import.TipoArredondamento&lt;&gt;"TransfereGOV",
              ROUND(OFFSET($P193,0,AO$13),15-13*ORÇAMENTO!$AF$7)/$H193*OFFSET(ORÇAMENTO!$X$15,ROW(AO193)-ROW(AO$15),0),
              ROUND(ROUND(OFFSET($P193,0,AO$13),15-13*ORÇAMENTO!$AF$7)*OFFSET(ORÇAMENTO!$W$15,ROW(AO193)-ROW(AO$15),0),15-13*ORÇAMENTO!$AF$11)),
         0)</f>
        <v>0</v>
      </c>
      <c r="AP193" s="452">
        <f ca="1">IF(AND($D193="Serviço",AP$12&lt;&gt;0,$H193&gt;0,OR(AUTOEVENTO&lt;&gt;"manual",$M193&lt;&gt;$A$15)),
        IF(Import.TipoArredondamento&lt;&gt;"TransfereGOV",
              ROUND(OFFSET($P193,0,AP$13),15-13*ORÇAMENTO!$AF$7)/$H193*OFFSET(ORÇAMENTO!$X$15,ROW(AP193)-ROW(AP$15),0),
              ROUND(ROUND(OFFSET($P193,0,AP$13),15-13*ORÇAMENTO!$AF$7)*OFFSET(ORÇAMENTO!$W$15,ROW(AP193)-ROW(AP$15),0),15-13*ORÇAMENTO!$AF$11)),
         0)</f>
        <v>0</v>
      </c>
      <c r="AQ193" s="452">
        <f ca="1">IF(AND($D193="Serviço",AQ$12&lt;&gt;0,$H193&gt;0,OR(AUTOEVENTO&lt;&gt;"manual",$M193&lt;&gt;$A$15)),
        IF(Import.TipoArredondamento&lt;&gt;"TransfereGOV",
              ROUND(OFFSET($P193,0,AQ$13),15-13*ORÇAMENTO!$AF$7)/$H193*OFFSET(ORÇAMENTO!$X$15,ROW(AQ193)-ROW(AQ$15),0),
              ROUND(ROUND(OFFSET($P193,0,AQ$13),15-13*ORÇAMENTO!$AF$7)*OFFSET(ORÇAMENTO!$W$15,ROW(AQ193)-ROW(AQ$15),0),15-13*ORÇAMENTO!$AF$11)),
         0)</f>
        <v>0</v>
      </c>
      <c r="AR193" s="452">
        <f ca="1">IF(AND($D193="Serviço",AR$12&lt;&gt;0,$H193&gt;0,OR(AUTOEVENTO&lt;&gt;"manual",$M193&lt;&gt;$A$15)),
        IF(Import.TipoArredondamento&lt;&gt;"TransfereGOV",
              ROUND(OFFSET($P193,0,AR$13),15-13*ORÇAMENTO!$AF$7)/$H193*OFFSET(ORÇAMENTO!$X$15,ROW(AR193)-ROW(AR$15),0),
              ROUND(ROUND(OFFSET($P193,0,AR$13),15-13*ORÇAMENTO!$AF$7)*OFFSET(ORÇAMENTO!$W$15,ROW(AR193)-ROW(AR$15),0),15-13*ORÇAMENTO!$AF$11)),
         0)</f>
        <v>0</v>
      </c>
      <c r="AS193" s="452">
        <f ca="1">IF(AND($D193="Serviço",AS$12&lt;&gt;0,$H193&gt;0,OR(AUTOEVENTO&lt;&gt;"manual",$M193&lt;&gt;$A$15)),
        IF(Import.TipoArredondamento&lt;&gt;"TransfereGOV",
              ROUND(OFFSET($P193,0,AS$13),15-13*ORÇAMENTO!$AF$7)/$H193*OFFSET(ORÇAMENTO!$X$15,ROW(AS193)-ROW(AS$15),0),
              ROUND(ROUND(OFFSET($P193,0,AS$13),15-13*ORÇAMENTO!$AF$7)*OFFSET(ORÇAMENTO!$W$15,ROW(AS193)-ROW(AS$15),0),15-13*ORÇAMENTO!$AF$11)),
         0)</f>
        <v>0</v>
      </c>
      <c r="AT193" s="452">
        <f ca="1">IF(AND($D193="Serviço",AT$12&lt;&gt;0,$H193&gt;0,OR(AUTOEVENTO&lt;&gt;"manual",$M193&lt;&gt;$A$15)),
        IF(Import.TipoArredondamento&lt;&gt;"TransfereGOV",
              ROUND(OFFSET($P193,0,AT$13),15-13*ORÇAMENTO!$AF$7)/$H193*OFFSET(ORÇAMENTO!$X$15,ROW(AT193)-ROW(AT$15),0),
              ROUND(ROUND(OFFSET($P193,0,AT$13),15-13*ORÇAMENTO!$AF$7)*OFFSET(ORÇAMENTO!$W$15,ROW(AT193)-ROW(AT$15),0),15-13*ORÇAMENTO!$AF$11)),
         0)</f>
        <v>0</v>
      </c>
      <c r="AU193" s="452">
        <f ca="1">IF(AND($D193="Serviço",AU$12&lt;&gt;0,$H193&gt;0,OR(AUTOEVENTO&lt;&gt;"manual",$M193&lt;&gt;$A$15)),
        IF(Import.TipoArredondamento&lt;&gt;"TransfereGOV",
              ROUND(OFFSET($P193,0,AU$13),15-13*ORÇAMENTO!$AF$7)/$H193*OFFSET(ORÇAMENTO!$X$15,ROW(AU193)-ROW(AU$15),0),
              ROUND(ROUND(OFFSET($P193,0,AU$13),15-13*ORÇAMENTO!$AF$7)*OFFSET(ORÇAMENTO!$W$15,ROW(AU193)-ROW(AU$15),0),15-13*ORÇAMENTO!$AF$11)),
         0)</f>
        <v>0</v>
      </c>
      <c r="AV193" s="452">
        <f ca="1">IF(AND($D193="Serviço",AV$12&lt;&gt;0,$H193&gt;0,OR(AUTOEVENTO&lt;&gt;"manual",$M193&lt;&gt;$A$15)),
        IF(Import.TipoArredondamento&lt;&gt;"TransfereGOV",
              ROUND(OFFSET($P193,0,AV$13),15-13*ORÇAMENTO!$AF$7)/$H193*OFFSET(ORÇAMENTO!$X$15,ROW(AV193)-ROW(AV$15),0),
              ROUND(ROUND(OFFSET($P193,0,AV$13),15-13*ORÇAMENTO!$AF$7)*OFFSET(ORÇAMENTO!$W$15,ROW(AV193)-ROW(AV$15),0),15-13*ORÇAMENTO!$AF$11)),
         0)</f>
        <v>0</v>
      </c>
      <c r="AW193" s="452">
        <f ca="1">IF(AND($D193="Serviço",AW$12&lt;&gt;0,$H193&gt;0,OR(AUTOEVENTO&lt;&gt;"manual",$M193&lt;&gt;$A$15)),
        IF(Import.TipoArredondamento&lt;&gt;"TransfereGOV",
              ROUND(OFFSET($P193,0,AW$13),15-13*ORÇAMENTO!$AF$7)/$H193*OFFSET(ORÇAMENTO!$X$15,ROW(AW193)-ROW(AW$15),0),
              ROUND(ROUND(OFFSET($P193,0,AW$13),15-13*ORÇAMENTO!$AF$7)*OFFSET(ORÇAMENTO!$W$15,ROW(AW193)-ROW(AW$15),0),15-13*ORÇAMENTO!$AF$11)),
         0)</f>
        <v>0</v>
      </c>
      <c r="AX193" s="452">
        <f ca="1">IF(AND($D193="Serviço",AX$12&lt;&gt;0,$H193&gt;0,OR(AUTOEVENTO&lt;&gt;"manual",$M193&lt;&gt;$A$15)),
        IF(Import.TipoArredondamento&lt;&gt;"TransfereGOV",
              ROUND(OFFSET($P193,0,AX$13),15-13*ORÇAMENTO!$AF$7)/$H193*OFFSET(ORÇAMENTO!$X$15,ROW(AX193)-ROW(AX$15),0),
              ROUND(ROUND(OFFSET($P193,0,AX$13),15-13*ORÇAMENTO!$AF$7)*OFFSET(ORÇAMENTO!$W$15,ROW(AX193)-ROW(AX$15),0),15-13*ORÇAMENTO!$AF$11)),
         0)</f>
        <v>0</v>
      </c>
      <c r="AY193" s="452">
        <f ca="1">IF(AND($D193="Serviço",AY$12&lt;&gt;0,$H193&gt;0,OR(AUTOEVENTO&lt;&gt;"manual",$M193&lt;&gt;$A$15)),
        IF(Import.TipoArredondamento&lt;&gt;"TransfereGOV",
              ROUND(OFFSET($P193,0,AY$13),15-13*ORÇAMENTO!$AF$7)/$H193*OFFSET(ORÇAMENTO!$X$15,ROW(AY193)-ROW(AY$15),0),
              ROUND(ROUND(OFFSET($P193,0,AY$13),15-13*ORÇAMENTO!$AF$7)*OFFSET(ORÇAMENTO!$W$15,ROW(AY193)-ROW(AY$15),0),15-13*ORÇAMENTO!$AF$11)),
         0)</f>
        <v>0</v>
      </c>
      <c r="AZ193" s="452">
        <f ca="1">IF(AND($D193="Serviço",AZ$12&lt;&gt;0,$H193&gt;0,OR(AUTOEVENTO&lt;&gt;"manual",$M193&lt;&gt;$A$15)),
        IF(Import.TipoArredondamento&lt;&gt;"TransfereGOV",
              ROUND(OFFSET($P193,0,AZ$13),15-13*ORÇAMENTO!$AF$7)/$H193*OFFSET(ORÇAMENTO!$X$15,ROW(AZ193)-ROW(AZ$15),0),
              ROUND(ROUND(OFFSET($P193,0,AZ$13),15-13*ORÇAMENTO!$AF$7)*OFFSET(ORÇAMENTO!$W$15,ROW(AZ193)-ROW(AZ$15),0),15-13*ORÇAMENTO!$AF$11)),
         0)</f>
        <v>0</v>
      </c>
      <c r="BA193" s="452">
        <f ca="1">IF(AND($D193="Serviço",BA$12&lt;&gt;0,$H193&gt;0,OR(AUTOEVENTO&lt;&gt;"manual",$M193&lt;&gt;$A$15)),
        IF(Import.TipoArredondamento&lt;&gt;"TransfereGOV",
              ROUND(OFFSET($P193,0,BA$13),15-13*ORÇAMENTO!$AF$7)/$H193*OFFSET(ORÇAMENTO!$X$15,ROW(BA193)-ROW(BA$15),0),
              ROUND(ROUND(OFFSET($P193,0,BA$13),15-13*ORÇAMENTO!$AF$7)*OFFSET(ORÇAMENTO!$W$15,ROW(BA193)-ROW(BA$15),0),15-13*ORÇAMENTO!$AF$11)),
         0)</f>
        <v>0</v>
      </c>
      <c r="BC193" s="171">
        <f ca="1">IF(OR($D193&lt;&gt;"Serviço",AND(AUTOEVENTO="Manual",$M193=$A$15)),0,
         IF(OFFSET(CRONOPLE!$F$15,$M193-$A$15,BC$13)=0,10^12,OFFSET(CRONOPLE!$F$15,$M193-$A$15,BC$13)))</f>
        <v>4</v>
      </c>
      <c r="BD193" s="171">
        <f ca="1">IF(OR($D193&lt;&gt;"Serviço",AND(AUTOEVENTO="Manual",$M193=$A$15)),0,
         IF(OFFSET(CRONOPLE!$F$15,$M193-$A$15,BD$13)=0,10^12,OFFSET(CRONOPLE!$F$15,$M193-$A$15,BD$13)))</f>
        <v>4</v>
      </c>
      <c r="BE193" s="171">
        <f ca="1">IF(OR($D193&lt;&gt;"Serviço",AND(AUTOEVENTO="Manual",$M193=$A$15)),0,
         IF(OFFSET(CRONOPLE!$F$15,$M193-$A$15,BE$13)=0,10^12,OFFSET(CRONOPLE!$F$15,$M193-$A$15,BE$13)))</f>
        <v>5</v>
      </c>
      <c r="BF193" s="171">
        <f ca="1">IF(OR($D193&lt;&gt;"Serviço",AND(AUTOEVENTO="Manual",$M193=$A$15)),0,
         IF(OFFSET(CRONOPLE!$F$15,$M193-$A$15,BF$13)=0,10^12,OFFSET(CRONOPLE!$F$15,$M193-$A$15,BF$13)))</f>
        <v>5</v>
      </c>
      <c r="BG193" s="171">
        <f ca="1">IF(OR($D193&lt;&gt;"Serviço",AND(AUTOEVENTO="Manual",$M193=$A$15)),0,
         IF(OFFSET(CRONOPLE!$F$15,$M193-$A$15,BG$13)=0,10^12,OFFSET(CRONOPLE!$F$15,$M193-$A$15,BG$13)))</f>
        <v>5</v>
      </c>
      <c r="BH193" s="171">
        <f ca="1">IF(OR($D193&lt;&gt;"Serviço",AND(AUTOEVENTO="Manual",$M193=$A$15)),0,
         IF(OFFSET(CRONOPLE!$F$15,$M193-$A$15,BH$13)=0,10^12,OFFSET(CRONOPLE!$F$15,$M193-$A$15,BH$13)))</f>
        <v>1000000000000</v>
      </c>
      <c r="BI193" s="171">
        <f ca="1">IF(OR($D193&lt;&gt;"Serviço",AND(AUTOEVENTO="Manual",$M193=$A$15)),0,
         IF(OFFSET(CRONOPLE!$F$15,$M193-$A$15,BI$13)=0,10^12,OFFSET(CRONOPLE!$F$15,$M193-$A$15,BI$13)))</f>
        <v>1000000000000</v>
      </c>
      <c r="BJ193" s="171">
        <f ca="1">IF(OR($D193&lt;&gt;"Serviço",AND(AUTOEVENTO="Manual",$M193=$A$15)),0,
         IF(OFFSET(CRONOPLE!$F$15,$M193-$A$15,BJ$13)=0,10^12,OFFSET(CRONOPLE!$F$15,$M193-$A$15,BJ$13)))</f>
        <v>1000000000000</v>
      </c>
      <c r="BK193" s="171">
        <f ca="1">IF(OR($D193&lt;&gt;"Serviço",AND(AUTOEVENTO="Manual",$M193=$A$15)),0,
         IF(OFFSET(CRONOPLE!$F$15,$M193-$A$15,BK$13)=0,10^12,OFFSET(CRONOPLE!$F$15,$M193-$A$15,BK$13)))</f>
        <v>1000000000000</v>
      </c>
      <c r="BL193" s="171">
        <f ca="1">IF(OR($D193&lt;&gt;"Serviço",AND(AUTOEVENTO="Manual",$M193=$A$15)),0,
         IF(OFFSET(CRONOPLE!$F$15,$M193-$A$15,BL$13)=0,10^12,OFFSET(CRONOPLE!$F$15,$M193-$A$15,BL$13)))</f>
        <v>1000000000000</v>
      </c>
      <c r="BM193" s="171">
        <f ca="1">IF(OR($D193&lt;&gt;"Serviço",AND(AUTOEVENTO="Manual",$M193=$A$15)),0,
         IF(OFFSET(CRONOPLE!$F$15,$M193-$A$15,BM$13)=0,10^12,OFFSET(CRONOPLE!$F$15,$M193-$A$15,BM$13)))</f>
        <v>1000000000000</v>
      </c>
      <c r="BN193" s="171">
        <f ca="1">IF(OR($D193&lt;&gt;"Serviço",AND(AUTOEVENTO="Manual",$M193=$A$15)),0,
         IF(OFFSET(CRONOPLE!$F$15,$M193-$A$15,BN$13)=0,10^12,OFFSET(CRONOPLE!$F$15,$M193-$A$15,BN$13)))</f>
        <v>1000000000000</v>
      </c>
      <c r="BO193" s="171">
        <f ca="1">IF(OR($D193&lt;&gt;"Serviço",AND(AUTOEVENTO="Manual",$M193=$A$15)),0,
         IF(OFFSET(CRONOPLE!$F$15,$M193-$A$15,BO$13)=0,10^12,OFFSET(CRONOPLE!$F$15,$M193-$A$15,BO$13)))</f>
        <v>1000000000000</v>
      </c>
      <c r="BP193" s="171">
        <f ca="1">IF(OR($D193&lt;&gt;"Serviço",AND(AUTOEVENTO="Manual",$M193=$A$15)),0,
         IF(OFFSET(CRONOPLE!$F$15,$M193-$A$15,BP$13)=0,10^12,OFFSET(CRONOPLE!$F$15,$M193-$A$15,BP$13)))</f>
        <v>1000000000000</v>
      </c>
      <c r="BQ193" s="171">
        <f ca="1">IF(OR($D193&lt;&gt;"Serviço",AND(AUTOEVENTO="Manual",$M193=$A$15)),0,
         IF(OFFSET(CRONOPLE!$F$15,$M193-$A$15,BQ$13)=0,10^12,OFFSET(CRONOPLE!$F$15,$M193-$A$15,BQ$13)))</f>
        <v>1000000000000</v>
      </c>
      <c r="BR193" s="171">
        <f ca="1">IF(OR($D193&lt;&gt;"Serviço",AND(AUTOEVENTO="Manual",$M193=$A$15)),0,
         IF(OFFSET(CRONOPLE!$F$15,$M193-$A$15,BR$13)=0,10^12,OFFSET(CRONOPLE!$F$15,$M193-$A$15,BR$13)))</f>
        <v>1000000000000</v>
      </c>
      <c r="BS193" s="171">
        <f ca="1">IF(OR($D193&lt;&gt;"Serviço",AND(AUTOEVENTO="Manual",$M193=$A$15)),0,
         IF(OFFSET(CRONOPLE!$F$15,$M193-$A$15,BS$13)=0,10^12,OFFSET(CRONOPLE!$F$15,$M193-$A$15,BS$13)))</f>
        <v>1000000000000</v>
      </c>
      <c r="BT193" s="171">
        <f ca="1">IF(OR($D193&lt;&gt;"Serviço",AND(AUTOEVENTO="Manual",$M193=$A$15)),0,
         IF(OFFSET(CRONOPLE!$F$15,$M193-$A$15,BT$13)=0,10^12,OFFSET(CRONOPLE!$F$15,$M193-$A$15,BT$13)))</f>
        <v>1000000000000</v>
      </c>
      <c r="BV193" s="172">
        <f t="array" aca="1" ref="BV193" ca="1">IF(OR($D193&lt;&gt;"Serviço",AND(AUTOEVENTO="Manual",$M193=$A$15),$M193&gt;(ROW(PLE.lastrow)-ROW(PLE.firstrow))),0,
           IF(OFFSET(PLE!$G$15,$M193-$A$15,BV$13)="",10^12,OFFSET(PLE!$G$15,$M193-$A$15,BV$13)))</f>
        <v>1000000000000</v>
      </c>
      <c r="BW193" s="172">
        <f t="array" aca="1" ref="BW193" ca="1">IF(OR($D193&lt;&gt;"Serviço",AND(AUTOEVENTO="Manual",$M193=$A$15),$M193&gt;(ROW(PLE.lastrow)-ROW(PLE.firstrow))),0,
           IF(OFFSET(PLE!$G$15,$M193-$A$15,BW$13)="",10^12,OFFSET(PLE!$G$15,$M193-$A$15,BW$13)))</f>
        <v>1000000000000</v>
      </c>
      <c r="BX193" s="172">
        <f t="array" aca="1" ref="BX193" ca="1">IF(OR($D193&lt;&gt;"Serviço",AND(AUTOEVENTO="Manual",$M193=$A$15),$M193&gt;(ROW(PLE.lastrow)-ROW(PLE.firstrow))),0,
           IF(OFFSET(PLE!$G$15,$M193-$A$15,BX$13)="",10^12,OFFSET(PLE!$G$15,$M193-$A$15,BX$13)))</f>
        <v>1000000000000</v>
      </c>
      <c r="BY193" s="172">
        <f t="array" aca="1" ref="BY193" ca="1">IF(OR($D193&lt;&gt;"Serviço",AND(AUTOEVENTO="Manual",$M193=$A$15),$M193&gt;(ROW(PLE.lastrow)-ROW(PLE.firstrow))),0,
           IF(OFFSET(PLE!$G$15,$M193-$A$15,BY$13)="",10^12,OFFSET(PLE!$G$15,$M193-$A$15,BY$13)))</f>
        <v>1000000000000</v>
      </c>
      <c r="BZ193" s="172">
        <f t="array" aca="1" ref="BZ193" ca="1">IF(OR($D193&lt;&gt;"Serviço",AND(AUTOEVENTO="Manual",$M193=$A$15),$M193&gt;(ROW(PLE.lastrow)-ROW(PLE.firstrow))),0,
           IF(OFFSET(PLE!$G$15,$M193-$A$15,BZ$13)="",10^12,OFFSET(PLE!$G$15,$M193-$A$15,BZ$13)))</f>
        <v>1000000000000</v>
      </c>
      <c r="CA193" s="172">
        <f t="array" aca="1" ref="CA193" ca="1">IF(OR($D193&lt;&gt;"Serviço",AND(AUTOEVENTO="Manual",$M193=$A$15),$M193&gt;(ROW(PLE.lastrow)-ROW(PLE.firstrow))),0,
           IF(OFFSET(PLE!$G$15,$M193-$A$15,CA$13)="",10^12,OFFSET(PLE!$G$15,$M193-$A$15,CA$13)))</f>
        <v>1000000000000</v>
      </c>
      <c r="CB193" s="172">
        <f t="array" aca="1" ref="CB193" ca="1">IF(OR($D193&lt;&gt;"Serviço",AND(AUTOEVENTO="Manual",$M193=$A$15),$M193&gt;(ROW(PLE.lastrow)-ROW(PLE.firstrow))),0,
           IF(OFFSET(PLE!$G$15,$M193-$A$15,CB$13)="",10^12,OFFSET(PLE!$G$15,$M193-$A$15,CB$13)))</f>
        <v>1000000000000</v>
      </c>
      <c r="CC193" s="172">
        <f t="array" aca="1" ref="CC193" ca="1">IF(OR($D193&lt;&gt;"Serviço",AND(AUTOEVENTO="Manual",$M193=$A$15),$M193&gt;(ROW(PLE.lastrow)-ROW(PLE.firstrow))),0,
           IF(OFFSET(PLE!$G$15,$M193-$A$15,CC$13)="",10^12,OFFSET(PLE!$G$15,$M193-$A$15,CC$13)))</f>
        <v>1000000000000</v>
      </c>
      <c r="CD193" s="172">
        <f t="array" aca="1" ref="CD193" ca="1">IF(OR($D193&lt;&gt;"Serviço",AND(AUTOEVENTO="Manual",$M193=$A$15),$M193&gt;(ROW(PLE.lastrow)-ROW(PLE.firstrow))),0,
           IF(OFFSET(PLE!$G$15,$M193-$A$15,CD$13)="",10^12,OFFSET(PLE!$G$15,$M193-$A$15,CD$13)))</f>
        <v>1000000000000</v>
      </c>
      <c r="CE193" s="172">
        <f t="array" aca="1" ref="CE193" ca="1">IF(OR($D193&lt;&gt;"Serviço",AND(AUTOEVENTO="Manual",$M193=$A$15),$M193&gt;(ROW(PLE.lastrow)-ROW(PLE.firstrow))),0,
           IF(OFFSET(PLE!$G$15,$M193-$A$15,CE$13)="",10^12,OFFSET(PLE!$G$15,$M193-$A$15,CE$13)))</f>
        <v>1000000000000</v>
      </c>
      <c r="CF193" s="172">
        <f t="array" aca="1" ref="CF193" ca="1">IF(OR($D193&lt;&gt;"Serviço",AND(AUTOEVENTO="Manual",$M193=$A$15),$M193&gt;(ROW(PLE.lastrow)-ROW(PLE.firstrow))),0,
           IF(OFFSET(PLE!$G$15,$M193-$A$15,CF$13)="",10^12,OFFSET(PLE!$G$15,$M193-$A$15,CF$13)))</f>
        <v>1000000000000</v>
      </c>
      <c r="CG193" s="172">
        <f t="array" aca="1" ref="CG193" ca="1">IF(OR($D193&lt;&gt;"Serviço",AND(AUTOEVENTO="Manual",$M193=$A$15),$M193&gt;(ROW(PLE.lastrow)-ROW(PLE.firstrow))),0,
           IF(OFFSET(PLE!$G$15,$M193-$A$15,CG$13)="",10^12,OFFSET(PLE!$G$15,$M193-$A$15,CG$13)))</f>
        <v>1000000000000</v>
      </c>
      <c r="CH193" s="172">
        <f t="array" aca="1" ref="CH193" ca="1">IF(OR($D193&lt;&gt;"Serviço",AND(AUTOEVENTO="Manual",$M193=$A$15),$M193&gt;(ROW(PLE.lastrow)-ROW(PLE.firstrow))),0,
           IF(OFFSET(PLE!$G$15,$M193-$A$15,CH$13)="",10^12,OFFSET(PLE!$G$15,$M193-$A$15,CH$13)))</f>
        <v>1000000000000</v>
      </c>
      <c r="CI193" s="172">
        <f t="array" aca="1" ref="CI193" ca="1">IF(OR($D193&lt;&gt;"Serviço",AND(AUTOEVENTO="Manual",$M193=$A$15),$M193&gt;(ROW(PLE.lastrow)-ROW(PLE.firstrow))),0,
           IF(OFFSET(PLE!$G$15,$M193-$A$15,CI$13)="",10^12,OFFSET(PLE!$G$15,$M193-$A$15,CI$13)))</f>
        <v>1000000000000</v>
      </c>
      <c r="CJ193" s="172">
        <f t="array" aca="1" ref="CJ193" ca="1">IF(OR($D193&lt;&gt;"Serviço",AND(AUTOEVENTO="Manual",$M193=$A$15),$M193&gt;(ROW(PLE.lastrow)-ROW(PLE.firstrow))),0,
           IF(OFFSET(PLE!$G$15,$M193-$A$15,CJ$13)="",10^12,OFFSET(PLE!$G$15,$M193-$A$15,CJ$13)))</f>
        <v>1000000000000</v>
      </c>
      <c r="CK193" s="172">
        <f t="array" aca="1" ref="CK193" ca="1">IF(OR($D193&lt;&gt;"Serviço",AND(AUTOEVENTO="Manual",$M193=$A$15),$M193&gt;(ROW(PLE.lastrow)-ROW(PLE.firstrow))),0,
           IF(OFFSET(PLE!$G$15,$M193-$A$15,CK$13)="",10^12,OFFSET(PLE!$G$15,$M193-$A$15,CK$13)))</f>
        <v>1000000000000</v>
      </c>
      <c r="CL193" s="172">
        <f t="array" aca="1" ref="CL193" ca="1">IF(OR($D193&lt;&gt;"Serviço",AND(AUTOEVENTO="Manual",$M193=$A$15),$M193&gt;(ROW(PLE.lastrow)-ROW(PLE.firstrow))),0,
           IF(OFFSET(PLE!$G$15,$M193-$A$15,CL$13)="",10^12,OFFSET(PLE!$G$15,$M193-$A$15,CL$13)))</f>
        <v>1000000000000</v>
      </c>
      <c r="CM193" s="172">
        <f t="array" aca="1" ref="CM193" ca="1">IF(OR($D193&lt;&gt;"Serviço",AND(AUTOEVENTO="Manual",$M193=$A$15),$M193&gt;(ROW(PLE.lastrow)-ROW(PLE.firstrow))),0,
           IF(OFFSET(PLE!$G$15,$M193-$A$15,CM$13)="",10^12,OFFSET(PLE!$G$15,$M193-$A$15,CM$13)))</f>
        <v>1000000000000</v>
      </c>
    </row>
    <row r="194" spans="1:91" s="696" customFormat="1" ht="38.25" x14ac:dyDescent="0.2">
      <c r="A194" s="694">
        <f t="shared" ca="1" si="82"/>
        <v>39</v>
      </c>
      <c r="B194" s="694" t="str">
        <f ca="1">OFFSET(ORÇAMENTO!C$15,$L194,0)</f>
        <v>S</v>
      </c>
      <c r="C194" s="694" t="str">
        <f ca="1">OFFSET(ORÇAMENTO!L$15,$L194,0)</f>
        <v>F</v>
      </c>
      <c r="D194" s="116" t="str">
        <f ca="1">OFFSET(ORÇAMENTO!N$15,$L194,0)</f>
        <v>Serviço</v>
      </c>
      <c r="E194" s="117" t="str">
        <f ca="1">OFFSET(ORÇAMENTO!O$15,$L194,0)</f>
        <v>1.29.13.</v>
      </c>
      <c r="F194" s="163" t="str">
        <f ca="1">OFFSET(ORÇAMENTO!R$15,$L194,0)</f>
        <v>TUBO, PVC, SOLDÁVEL, DE 25MM, INSTALADO EM RAMAL DE DISTRIBUIÇÃO DE ÁGUA - FORNECIMENTO E INSTALAÇÃO. AF_06/2022</v>
      </c>
      <c r="G194" s="164" t="str">
        <f ca="1">IF($D194&lt;&gt;"Serviço","",OFFSET(ORÇAMENTO!S$15,$L194,0))</f>
        <v>M</v>
      </c>
      <c r="H194" s="122">
        <f t="array" aca="1" ref="H194" ca="1">IF($D194&lt;&gt;"Serviço",0,IF(ACOMPANHAMENTO="BM",ROUND(OFFSET(ORÇAMENTO!AJ$15,$L194,0),15-13*ORÇAMENTO!$AF$7),IF(IFERROR(CÁLCULO.FrentesPreenchidas,0)=0,0,SUM(ROUND(OFFSET($P194,0,1,1,CÁLCULO.FrentesPreenchidas),15-13*ORÇAMENTO!$AF$7)))))</f>
        <v>88</v>
      </c>
      <c r="I194" s="467" t="s">
        <v>1330</v>
      </c>
      <c r="J194" s="653" t="str">
        <f t="array" aca="1" ref="J194" ca="1">IF(OR(B194&lt;&gt;"S",CÁLCULO.FrentesPreenchidas=0),"",IF(AND(ACOMPANHAMENTO="PLE",AUTOEVENTO="Manual",OR(H194&gt;0,ORÇAMENTO!AC194="QUANT."),OR(K194="",M194=0,N194="")),"►E",IF(AND(ACOMPANHAMENTO="PLE",ORÇAMENTO!AC194="QUANT."),"►Q",IF(AND(ACOMPANHAMENTO="PLE",H194&lt;&gt;SUMPRODUCT(($Q$1:$AI$1=1)*ROUND(Q194:AI194,15))),"►S",IF(AND(COUNTIF($P$11:$AI$11,"▼")=0,H194&gt;0,I194=""),"◄M","")))))</f>
        <v/>
      </c>
      <c r="K194" s="654" t="s">
        <v>1446</v>
      </c>
      <c r="L194" s="165">
        <f t="shared" ca="1" si="83"/>
        <v>179</v>
      </c>
      <c r="M194" s="166">
        <f ca="1">IF($D194&lt;&gt;"Serviço","",
          IF(AUTOEVENTO="manual",$A194,
                IF(ISERROR(MATCH($A194,$A$15:OFFSET($A194,-1,0),0)),MAX($M$15:OFFSET(M194,-1,0))+1,
                      INDEX($M$15:OFFSET(M194,-1,0),MATCH($A194,$A$15:OFFSET($A194,-1,0),0)))))</f>
        <v>39</v>
      </c>
      <c r="N194" s="167" t="str">
        <f ca="1">IF($D194&lt;&gt;"Serviço","",
         IF(AUTOEVENTO="Manual",
                IF($A194=0,"&lt;-- defina o número do agrupador",
                       OFFSET(EVENTOS!$D$15,$A194-$A$15,0)),
                OFFSET($F$15,$A194,0)))</f>
        <v>RESERVATÓRIO DE ÁGUA</v>
      </c>
      <c r="O194" s="168"/>
      <c r="Q194" s="169">
        <f>4.4*5</f>
        <v>22</v>
      </c>
      <c r="R194" s="169">
        <f t="shared" ref="R194:T194" si="96">4.4*5</f>
        <v>22</v>
      </c>
      <c r="S194" s="169">
        <f t="shared" si="96"/>
        <v>22</v>
      </c>
      <c r="T194" s="169">
        <f t="shared" si="96"/>
        <v>22</v>
      </c>
      <c r="U194" s="169"/>
      <c r="V194" s="169"/>
      <c r="W194" s="169"/>
      <c r="X194" s="169"/>
      <c r="Y194" s="169"/>
      <c r="Z194" s="170"/>
      <c r="AA194" s="169"/>
      <c r="AB194" s="169"/>
      <c r="AC194" s="169"/>
      <c r="AD194" s="169"/>
      <c r="AE194" s="169"/>
      <c r="AF194" s="169"/>
      <c r="AG194" s="169"/>
      <c r="AH194" s="170"/>
      <c r="AJ194" s="452">
        <f ca="1">IF(AND($D194="Serviço",AJ$12&lt;&gt;0,$H194&gt;0,OR(AUTOEVENTO&lt;&gt;"manual",$M194&lt;&gt;$A$15)),
        IF(Import.TipoArredondamento&lt;&gt;"TransfereGOV",
              ROUND(OFFSET($P194,0,AJ$13),15-13*ORÇAMENTO!$AF$7)/$H194*OFFSET(ORÇAMENTO!$X$15,ROW(AJ194)-ROW(AJ$15),0),
              ROUND(ROUND(OFFSET($P194,0,AJ$13),15-13*ORÇAMENTO!$AF$7)*OFFSET(ORÇAMENTO!$W$15,ROW(AJ194)-ROW(AJ$15),0),15-13*ORÇAMENTO!$AF$11)),
         0)</f>
        <v>329.78</v>
      </c>
      <c r="AK194" s="452">
        <f ca="1">IF(AND($D194="Serviço",AK$12&lt;&gt;0,$H194&gt;0,OR(AUTOEVENTO&lt;&gt;"manual",$M194&lt;&gt;$A$15)),
        IF(Import.TipoArredondamento&lt;&gt;"TransfereGOV",
              ROUND(OFFSET($P194,0,AK$13),15-13*ORÇAMENTO!$AF$7)/$H194*OFFSET(ORÇAMENTO!$X$15,ROW(AK194)-ROW(AK$15),0),
              ROUND(ROUND(OFFSET($P194,0,AK$13),15-13*ORÇAMENTO!$AF$7)*OFFSET(ORÇAMENTO!$W$15,ROW(AK194)-ROW(AK$15),0),15-13*ORÇAMENTO!$AF$11)),
         0)</f>
        <v>329.78</v>
      </c>
      <c r="AL194" s="452">
        <f ca="1">IF(AND($D194="Serviço",AL$12&lt;&gt;0,$H194&gt;0,OR(AUTOEVENTO&lt;&gt;"manual",$M194&lt;&gt;$A$15)),
        IF(Import.TipoArredondamento&lt;&gt;"TransfereGOV",
              ROUND(OFFSET($P194,0,AL$13),15-13*ORÇAMENTO!$AF$7)/$H194*OFFSET(ORÇAMENTO!$X$15,ROW(AL194)-ROW(AL$15),0),
              ROUND(ROUND(OFFSET($P194,0,AL$13),15-13*ORÇAMENTO!$AF$7)*OFFSET(ORÇAMENTO!$W$15,ROW(AL194)-ROW(AL$15),0),15-13*ORÇAMENTO!$AF$11)),
         0)</f>
        <v>329.78</v>
      </c>
      <c r="AM194" s="452">
        <f ca="1">IF(AND($D194="Serviço",AM$12&lt;&gt;0,$H194&gt;0,OR(AUTOEVENTO&lt;&gt;"manual",$M194&lt;&gt;$A$15)),
        IF(Import.TipoArredondamento&lt;&gt;"TransfereGOV",
              ROUND(OFFSET($P194,0,AM$13),15-13*ORÇAMENTO!$AF$7)/$H194*OFFSET(ORÇAMENTO!$X$15,ROW(AM194)-ROW(AM$15),0),
              ROUND(ROUND(OFFSET($P194,0,AM$13),15-13*ORÇAMENTO!$AF$7)*OFFSET(ORÇAMENTO!$W$15,ROW(AM194)-ROW(AM$15),0),15-13*ORÇAMENTO!$AF$11)),
         0)</f>
        <v>329.78</v>
      </c>
      <c r="AN194" s="452">
        <f ca="1">IF(AND($D194="Serviço",AN$12&lt;&gt;0,$H194&gt;0,OR(AUTOEVENTO&lt;&gt;"manual",$M194&lt;&gt;$A$15)),
        IF(Import.TipoArredondamento&lt;&gt;"TransfereGOV",
              ROUND(OFFSET($P194,0,AN$13),15-13*ORÇAMENTO!$AF$7)/$H194*OFFSET(ORÇAMENTO!$X$15,ROW(AN194)-ROW(AN$15),0),
              ROUND(ROUND(OFFSET($P194,0,AN$13),15-13*ORÇAMENTO!$AF$7)*OFFSET(ORÇAMENTO!$W$15,ROW(AN194)-ROW(AN$15),0),15-13*ORÇAMENTO!$AF$11)),
         0)</f>
        <v>0</v>
      </c>
      <c r="AO194" s="452">
        <f ca="1">IF(AND($D194="Serviço",AO$12&lt;&gt;0,$H194&gt;0,OR(AUTOEVENTO&lt;&gt;"manual",$M194&lt;&gt;$A$15)),
        IF(Import.TipoArredondamento&lt;&gt;"TransfereGOV",
              ROUND(OFFSET($P194,0,AO$13),15-13*ORÇAMENTO!$AF$7)/$H194*OFFSET(ORÇAMENTO!$X$15,ROW(AO194)-ROW(AO$15),0),
              ROUND(ROUND(OFFSET($P194,0,AO$13),15-13*ORÇAMENTO!$AF$7)*OFFSET(ORÇAMENTO!$W$15,ROW(AO194)-ROW(AO$15),0),15-13*ORÇAMENTO!$AF$11)),
         0)</f>
        <v>0</v>
      </c>
      <c r="AP194" s="452">
        <f ca="1">IF(AND($D194="Serviço",AP$12&lt;&gt;0,$H194&gt;0,OR(AUTOEVENTO&lt;&gt;"manual",$M194&lt;&gt;$A$15)),
        IF(Import.TipoArredondamento&lt;&gt;"TransfereGOV",
              ROUND(OFFSET($P194,0,AP$13),15-13*ORÇAMENTO!$AF$7)/$H194*OFFSET(ORÇAMENTO!$X$15,ROW(AP194)-ROW(AP$15),0),
              ROUND(ROUND(OFFSET($P194,0,AP$13),15-13*ORÇAMENTO!$AF$7)*OFFSET(ORÇAMENTO!$W$15,ROW(AP194)-ROW(AP$15),0),15-13*ORÇAMENTO!$AF$11)),
         0)</f>
        <v>0</v>
      </c>
      <c r="AQ194" s="452">
        <f ca="1">IF(AND($D194="Serviço",AQ$12&lt;&gt;0,$H194&gt;0,OR(AUTOEVENTO&lt;&gt;"manual",$M194&lt;&gt;$A$15)),
        IF(Import.TipoArredondamento&lt;&gt;"TransfereGOV",
              ROUND(OFFSET($P194,0,AQ$13),15-13*ORÇAMENTO!$AF$7)/$H194*OFFSET(ORÇAMENTO!$X$15,ROW(AQ194)-ROW(AQ$15),0),
              ROUND(ROUND(OFFSET($P194,0,AQ$13),15-13*ORÇAMENTO!$AF$7)*OFFSET(ORÇAMENTO!$W$15,ROW(AQ194)-ROW(AQ$15),0),15-13*ORÇAMENTO!$AF$11)),
         0)</f>
        <v>0</v>
      </c>
      <c r="AR194" s="452">
        <f ca="1">IF(AND($D194="Serviço",AR$12&lt;&gt;0,$H194&gt;0,OR(AUTOEVENTO&lt;&gt;"manual",$M194&lt;&gt;$A$15)),
        IF(Import.TipoArredondamento&lt;&gt;"TransfereGOV",
              ROUND(OFFSET($P194,0,AR$13),15-13*ORÇAMENTO!$AF$7)/$H194*OFFSET(ORÇAMENTO!$X$15,ROW(AR194)-ROW(AR$15),0),
              ROUND(ROUND(OFFSET($P194,0,AR$13),15-13*ORÇAMENTO!$AF$7)*OFFSET(ORÇAMENTO!$W$15,ROW(AR194)-ROW(AR$15),0),15-13*ORÇAMENTO!$AF$11)),
         0)</f>
        <v>0</v>
      </c>
      <c r="AS194" s="452">
        <f ca="1">IF(AND($D194="Serviço",AS$12&lt;&gt;0,$H194&gt;0,OR(AUTOEVENTO&lt;&gt;"manual",$M194&lt;&gt;$A$15)),
        IF(Import.TipoArredondamento&lt;&gt;"TransfereGOV",
              ROUND(OFFSET($P194,0,AS$13),15-13*ORÇAMENTO!$AF$7)/$H194*OFFSET(ORÇAMENTO!$X$15,ROW(AS194)-ROW(AS$15),0),
              ROUND(ROUND(OFFSET($P194,0,AS$13),15-13*ORÇAMENTO!$AF$7)*OFFSET(ORÇAMENTO!$W$15,ROW(AS194)-ROW(AS$15),0),15-13*ORÇAMENTO!$AF$11)),
         0)</f>
        <v>0</v>
      </c>
      <c r="AT194" s="452">
        <f ca="1">IF(AND($D194="Serviço",AT$12&lt;&gt;0,$H194&gt;0,OR(AUTOEVENTO&lt;&gt;"manual",$M194&lt;&gt;$A$15)),
        IF(Import.TipoArredondamento&lt;&gt;"TransfereGOV",
              ROUND(OFFSET($P194,0,AT$13),15-13*ORÇAMENTO!$AF$7)/$H194*OFFSET(ORÇAMENTO!$X$15,ROW(AT194)-ROW(AT$15),0),
              ROUND(ROUND(OFFSET($P194,0,AT$13),15-13*ORÇAMENTO!$AF$7)*OFFSET(ORÇAMENTO!$W$15,ROW(AT194)-ROW(AT$15),0),15-13*ORÇAMENTO!$AF$11)),
         0)</f>
        <v>0</v>
      </c>
      <c r="AU194" s="452">
        <f ca="1">IF(AND($D194="Serviço",AU$12&lt;&gt;0,$H194&gt;0,OR(AUTOEVENTO&lt;&gt;"manual",$M194&lt;&gt;$A$15)),
        IF(Import.TipoArredondamento&lt;&gt;"TransfereGOV",
              ROUND(OFFSET($P194,0,AU$13),15-13*ORÇAMENTO!$AF$7)/$H194*OFFSET(ORÇAMENTO!$X$15,ROW(AU194)-ROW(AU$15),0),
              ROUND(ROUND(OFFSET($P194,0,AU$13),15-13*ORÇAMENTO!$AF$7)*OFFSET(ORÇAMENTO!$W$15,ROW(AU194)-ROW(AU$15),0),15-13*ORÇAMENTO!$AF$11)),
         0)</f>
        <v>0</v>
      </c>
      <c r="AV194" s="452">
        <f ca="1">IF(AND($D194="Serviço",AV$12&lt;&gt;0,$H194&gt;0,OR(AUTOEVENTO&lt;&gt;"manual",$M194&lt;&gt;$A$15)),
        IF(Import.TipoArredondamento&lt;&gt;"TransfereGOV",
              ROUND(OFFSET($P194,0,AV$13),15-13*ORÇAMENTO!$AF$7)/$H194*OFFSET(ORÇAMENTO!$X$15,ROW(AV194)-ROW(AV$15),0),
              ROUND(ROUND(OFFSET($P194,0,AV$13),15-13*ORÇAMENTO!$AF$7)*OFFSET(ORÇAMENTO!$W$15,ROW(AV194)-ROW(AV$15),0),15-13*ORÇAMENTO!$AF$11)),
         0)</f>
        <v>0</v>
      </c>
      <c r="AW194" s="452">
        <f ca="1">IF(AND($D194="Serviço",AW$12&lt;&gt;0,$H194&gt;0,OR(AUTOEVENTO&lt;&gt;"manual",$M194&lt;&gt;$A$15)),
        IF(Import.TipoArredondamento&lt;&gt;"TransfereGOV",
              ROUND(OFFSET($P194,0,AW$13),15-13*ORÇAMENTO!$AF$7)/$H194*OFFSET(ORÇAMENTO!$X$15,ROW(AW194)-ROW(AW$15),0),
              ROUND(ROUND(OFFSET($P194,0,AW$13),15-13*ORÇAMENTO!$AF$7)*OFFSET(ORÇAMENTO!$W$15,ROW(AW194)-ROW(AW$15),0),15-13*ORÇAMENTO!$AF$11)),
         0)</f>
        <v>0</v>
      </c>
      <c r="AX194" s="452">
        <f ca="1">IF(AND($D194="Serviço",AX$12&lt;&gt;0,$H194&gt;0,OR(AUTOEVENTO&lt;&gt;"manual",$M194&lt;&gt;$A$15)),
        IF(Import.TipoArredondamento&lt;&gt;"TransfereGOV",
              ROUND(OFFSET($P194,0,AX$13),15-13*ORÇAMENTO!$AF$7)/$H194*OFFSET(ORÇAMENTO!$X$15,ROW(AX194)-ROW(AX$15),0),
              ROUND(ROUND(OFFSET($P194,0,AX$13),15-13*ORÇAMENTO!$AF$7)*OFFSET(ORÇAMENTO!$W$15,ROW(AX194)-ROW(AX$15),0),15-13*ORÇAMENTO!$AF$11)),
         0)</f>
        <v>0</v>
      </c>
      <c r="AY194" s="452">
        <f ca="1">IF(AND($D194="Serviço",AY$12&lt;&gt;0,$H194&gt;0,OR(AUTOEVENTO&lt;&gt;"manual",$M194&lt;&gt;$A$15)),
        IF(Import.TipoArredondamento&lt;&gt;"TransfereGOV",
              ROUND(OFFSET($P194,0,AY$13),15-13*ORÇAMENTO!$AF$7)/$H194*OFFSET(ORÇAMENTO!$X$15,ROW(AY194)-ROW(AY$15),0),
              ROUND(ROUND(OFFSET($P194,0,AY$13),15-13*ORÇAMENTO!$AF$7)*OFFSET(ORÇAMENTO!$W$15,ROW(AY194)-ROW(AY$15),0),15-13*ORÇAMENTO!$AF$11)),
         0)</f>
        <v>0</v>
      </c>
      <c r="AZ194" s="452">
        <f ca="1">IF(AND($D194="Serviço",AZ$12&lt;&gt;0,$H194&gt;0,OR(AUTOEVENTO&lt;&gt;"manual",$M194&lt;&gt;$A$15)),
        IF(Import.TipoArredondamento&lt;&gt;"TransfereGOV",
              ROUND(OFFSET($P194,0,AZ$13),15-13*ORÇAMENTO!$AF$7)/$H194*OFFSET(ORÇAMENTO!$X$15,ROW(AZ194)-ROW(AZ$15),0),
              ROUND(ROUND(OFFSET($P194,0,AZ$13),15-13*ORÇAMENTO!$AF$7)*OFFSET(ORÇAMENTO!$W$15,ROW(AZ194)-ROW(AZ$15),0),15-13*ORÇAMENTO!$AF$11)),
         0)</f>
        <v>0</v>
      </c>
      <c r="BA194" s="452">
        <f ca="1">IF(AND($D194="Serviço",BA$12&lt;&gt;0,$H194&gt;0,OR(AUTOEVENTO&lt;&gt;"manual",$M194&lt;&gt;$A$15)),
        IF(Import.TipoArredondamento&lt;&gt;"TransfereGOV",
              ROUND(OFFSET($P194,0,BA$13),15-13*ORÇAMENTO!$AF$7)/$H194*OFFSET(ORÇAMENTO!$X$15,ROW(BA194)-ROW(BA$15),0),
              ROUND(ROUND(OFFSET($P194,0,BA$13),15-13*ORÇAMENTO!$AF$7)*OFFSET(ORÇAMENTO!$W$15,ROW(BA194)-ROW(BA$15),0),15-13*ORÇAMENTO!$AF$11)),
         0)</f>
        <v>0</v>
      </c>
      <c r="BC194" s="171">
        <f ca="1">IF(OR($D194&lt;&gt;"Serviço",AND(AUTOEVENTO="Manual",$M194=$A$15)),0,
         IF(OFFSET(CRONOPLE!$F$15,$M194-$A$15,BC$13)=0,10^12,OFFSET(CRONOPLE!$F$15,$M194-$A$15,BC$13)))</f>
        <v>4</v>
      </c>
      <c r="BD194" s="171">
        <f ca="1">IF(OR($D194&lt;&gt;"Serviço",AND(AUTOEVENTO="Manual",$M194=$A$15)),0,
         IF(OFFSET(CRONOPLE!$F$15,$M194-$A$15,BD$13)=0,10^12,OFFSET(CRONOPLE!$F$15,$M194-$A$15,BD$13)))</f>
        <v>4</v>
      </c>
      <c r="BE194" s="171">
        <f ca="1">IF(OR($D194&lt;&gt;"Serviço",AND(AUTOEVENTO="Manual",$M194=$A$15)),0,
         IF(OFFSET(CRONOPLE!$F$15,$M194-$A$15,BE$13)=0,10^12,OFFSET(CRONOPLE!$F$15,$M194-$A$15,BE$13)))</f>
        <v>5</v>
      </c>
      <c r="BF194" s="171">
        <f ca="1">IF(OR($D194&lt;&gt;"Serviço",AND(AUTOEVENTO="Manual",$M194=$A$15)),0,
         IF(OFFSET(CRONOPLE!$F$15,$M194-$A$15,BF$13)=0,10^12,OFFSET(CRONOPLE!$F$15,$M194-$A$15,BF$13)))</f>
        <v>5</v>
      </c>
      <c r="BG194" s="171">
        <f ca="1">IF(OR($D194&lt;&gt;"Serviço",AND(AUTOEVENTO="Manual",$M194=$A$15)),0,
         IF(OFFSET(CRONOPLE!$F$15,$M194-$A$15,BG$13)=0,10^12,OFFSET(CRONOPLE!$F$15,$M194-$A$15,BG$13)))</f>
        <v>5</v>
      </c>
      <c r="BH194" s="171">
        <f ca="1">IF(OR($D194&lt;&gt;"Serviço",AND(AUTOEVENTO="Manual",$M194=$A$15)),0,
         IF(OFFSET(CRONOPLE!$F$15,$M194-$A$15,BH$13)=0,10^12,OFFSET(CRONOPLE!$F$15,$M194-$A$15,BH$13)))</f>
        <v>1000000000000</v>
      </c>
      <c r="BI194" s="171">
        <f ca="1">IF(OR($D194&lt;&gt;"Serviço",AND(AUTOEVENTO="Manual",$M194=$A$15)),0,
         IF(OFFSET(CRONOPLE!$F$15,$M194-$A$15,BI$13)=0,10^12,OFFSET(CRONOPLE!$F$15,$M194-$A$15,BI$13)))</f>
        <v>1000000000000</v>
      </c>
      <c r="BJ194" s="171">
        <f ca="1">IF(OR($D194&lt;&gt;"Serviço",AND(AUTOEVENTO="Manual",$M194=$A$15)),0,
         IF(OFFSET(CRONOPLE!$F$15,$M194-$A$15,BJ$13)=0,10^12,OFFSET(CRONOPLE!$F$15,$M194-$A$15,BJ$13)))</f>
        <v>1000000000000</v>
      </c>
      <c r="BK194" s="171">
        <f ca="1">IF(OR($D194&lt;&gt;"Serviço",AND(AUTOEVENTO="Manual",$M194=$A$15)),0,
         IF(OFFSET(CRONOPLE!$F$15,$M194-$A$15,BK$13)=0,10^12,OFFSET(CRONOPLE!$F$15,$M194-$A$15,BK$13)))</f>
        <v>1000000000000</v>
      </c>
      <c r="BL194" s="171">
        <f ca="1">IF(OR($D194&lt;&gt;"Serviço",AND(AUTOEVENTO="Manual",$M194=$A$15)),0,
         IF(OFFSET(CRONOPLE!$F$15,$M194-$A$15,BL$13)=0,10^12,OFFSET(CRONOPLE!$F$15,$M194-$A$15,BL$13)))</f>
        <v>1000000000000</v>
      </c>
      <c r="BM194" s="171">
        <f ca="1">IF(OR($D194&lt;&gt;"Serviço",AND(AUTOEVENTO="Manual",$M194=$A$15)),0,
         IF(OFFSET(CRONOPLE!$F$15,$M194-$A$15,BM$13)=0,10^12,OFFSET(CRONOPLE!$F$15,$M194-$A$15,BM$13)))</f>
        <v>1000000000000</v>
      </c>
      <c r="BN194" s="171">
        <f ca="1">IF(OR($D194&lt;&gt;"Serviço",AND(AUTOEVENTO="Manual",$M194=$A$15)),0,
         IF(OFFSET(CRONOPLE!$F$15,$M194-$A$15,BN$13)=0,10^12,OFFSET(CRONOPLE!$F$15,$M194-$A$15,BN$13)))</f>
        <v>1000000000000</v>
      </c>
      <c r="BO194" s="171">
        <f ca="1">IF(OR($D194&lt;&gt;"Serviço",AND(AUTOEVENTO="Manual",$M194=$A$15)),0,
         IF(OFFSET(CRONOPLE!$F$15,$M194-$A$15,BO$13)=0,10^12,OFFSET(CRONOPLE!$F$15,$M194-$A$15,BO$13)))</f>
        <v>1000000000000</v>
      </c>
      <c r="BP194" s="171">
        <f ca="1">IF(OR($D194&lt;&gt;"Serviço",AND(AUTOEVENTO="Manual",$M194=$A$15)),0,
         IF(OFFSET(CRONOPLE!$F$15,$M194-$A$15,BP$13)=0,10^12,OFFSET(CRONOPLE!$F$15,$M194-$A$15,BP$13)))</f>
        <v>1000000000000</v>
      </c>
      <c r="BQ194" s="171">
        <f ca="1">IF(OR($D194&lt;&gt;"Serviço",AND(AUTOEVENTO="Manual",$M194=$A$15)),0,
         IF(OFFSET(CRONOPLE!$F$15,$M194-$A$15,BQ$13)=0,10^12,OFFSET(CRONOPLE!$F$15,$M194-$A$15,BQ$13)))</f>
        <v>1000000000000</v>
      </c>
      <c r="BR194" s="171">
        <f ca="1">IF(OR($D194&lt;&gt;"Serviço",AND(AUTOEVENTO="Manual",$M194=$A$15)),0,
         IF(OFFSET(CRONOPLE!$F$15,$M194-$A$15,BR$13)=0,10^12,OFFSET(CRONOPLE!$F$15,$M194-$A$15,BR$13)))</f>
        <v>1000000000000</v>
      </c>
      <c r="BS194" s="171">
        <f ca="1">IF(OR($D194&lt;&gt;"Serviço",AND(AUTOEVENTO="Manual",$M194=$A$15)),0,
         IF(OFFSET(CRONOPLE!$F$15,$M194-$A$15,BS$13)=0,10^12,OFFSET(CRONOPLE!$F$15,$M194-$A$15,BS$13)))</f>
        <v>1000000000000</v>
      </c>
      <c r="BT194" s="171">
        <f ca="1">IF(OR($D194&lt;&gt;"Serviço",AND(AUTOEVENTO="Manual",$M194=$A$15)),0,
         IF(OFFSET(CRONOPLE!$F$15,$M194-$A$15,BT$13)=0,10^12,OFFSET(CRONOPLE!$F$15,$M194-$A$15,BT$13)))</f>
        <v>1000000000000</v>
      </c>
      <c r="BV194" s="172">
        <f t="array" aca="1" ref="BV194" ca="1">IF(OR($D194&lt;&gt;"Serviço",AND(AUTOEVENTO="Manual",$M194=$A$15),$M194&gt;(ROW(PLE.lastrow)-ROW(PLE.firstrow))),0,
           IF(OFFSET(PLE!$G$15,$M194-$A$15,BV$13)="",10^12,OFFSET(PLE!$G$15,$M194-$A$15,BV$13)))</f>
        <v>1000000000000</v>
      </c>
      <c r="BW194" s="172">
        <f t="array" aca="1" ref="BW194" ca="1">IF(OR($D194&lt;&gt;"Serviço",AND(AUTOEVENTO="Manual",$M194=$A$15),$M194&gt;(ROW(PLE.lastrow)-ROW(PLE.firstrow))),0,
           IF(OFFSET(PLE!$G$15,$M194-$A$15,BW$13)="",10^12,OFFSET(PLE!$G$15,$M194-$A$15,BW$13)))</f>
        <v>1000000000000</v>
      </c>
      <c r="BX194" s="172">
        <f t="array" aca="1" ref="BX194" ca="1">IF(OR($D194&lt;&gt;"Serviço",AND(AUTOEVENTO="Manual",$M194=$A$15),$M194&gt;(ROW(PLE.lastrow)-ROW(PLE.firstrow))),0,
           IF(OFFSET(PLE!$G$15,$M194-$A$15,BX$13)="",10^12,OFFSET(PLE!$G$15,$M194-$A$15,BX$13)))</f>
        <v>1000000000000</v>
      </c>
      <c r="BY194" s="172">
        <f t="array" aca="1" ref="BY194" ca="1">IF(OR($D194&lt;&gt;"Serviço",AND(AUTOEVENTO="Manual",$M194=$A$15),$M194&gt;(ROW(PLE.lastrow)-ROW(PLE.firstrow))),0,
           IF(OFFSET(PLE!$G$15,$M194-$A$15,BY$13)="",10^12,OFFSET(PLE!$G$15,$M194-$A$15,BY$13)))</f>
        <v>1000000000000</v>
      </c>
      <c r="BZ194" s="172">
        <f t="array" aca="1" ref="BZ194" ca="1">IF(OR($D194&lt;&gt;"Serviço",AND(AUTOEVENTO="Manual",$M194=$A$15),$M194&gt;(ROW(PLE.lastrow)-ROW(PLE.firstrow))),0,
           IF(OFFSET(PLE!$G$15,$M194-$A$15,BZ$13)="",10^12,OFFSET(PLE!$G$15,$M194-$A$15,BZ$13)))</f>
        <v>1000000000000</v>
      </c>
      <c r="CA194" s="172">
        <f t="array" aca="1" ref="CA194" ca="1">IF(OR($D194&lt;&gt;"Serviço",AND(AUTOEVENTO="Manual",$M194=$A$15),$M194&gt;(ROW(PLE.lastrow)-ROW(PLE.firstrow))),0,
           IF(OFFSET(PLE!$G$15,$M194-$A$15,CA$13)="",10^12,OFFSET(PLE!$G$15,$M194-$A$15,CA$13)))</f>
        <v>1000000000000</v>
      </c>
      <c r="CB194" s="172">
        <f t="array" aca="1" ref="CB194" ca="1">IF(OR($D194&lt;&gt;"Serviço",AND(AUTOEVENTO="Manual",$M194=$A$15),$M194&gt;(ROW(PLE.lastrow)-ROW(PLE.firstrow))),0,
           IF(OFFSET(PLE!$G$15,$M194-$A$15,CB$13)="",10^12,OFFSET(PLE!$G$15,$M194-$A$15,CB$13)))</f>
        <v>1000000000000</v>
      </c>
      <c r="CC194" s="172">
        <f t="array" aca="1" ref="CC194" ca="1">IF(OR($D194&lt;&gt;"Serviço",AND(AUTOEVENTO="Manual",$M194=$A$15),$M194&gt;(ROW(PLE.lastrow)-ROW(PLE.firstrow))),0,
           IF(OFFSET(PLE!$G$15,$M194-$A$15,CC$13)="",10^12,OFFSET(PLE!$G$15,$M194-$A$15,CC$13)))</f>
        <v>1000000000000</v>
      </c>
      <c r="CD194" s="172">
        <f t="array" aca="1" ref="CD194" ca="1">IF(OR($D194&lt;&gt;"Serviço",AND(AUTOEVENTO="Manual",$M194=$A$15),$M194&gt;(ROW(PLE.lastrow)-ROW(PLE.firstrow))),0,
           IF(OFFSET(PLE!$G$15,$M194-$A$15,CD$13)="",10^12,OFFSET(PLE!$G$15,$M194-$A$15,CD$13)))</f>
        <v>1000000000000</v>
      </c>
      <c r="CE194" s="172">
        <f t="array" aca="1" ref="CE194" ca="1">IF(OR($D194&lt;&gt;"Serviço",AND(AUTOEVENTO="Manual",$M194=$A$15),$M194&gt;(ROW(PLE.lastrow)-ROW(PLE.firstrow))),0,
           IF(OFFSET(PLE!$G$15,$M194-$A$15,CE$13)="",10^12,OFFSET(PLE!$G$15,$M194-$A$15,CE$13)))</f>
        <v>1000000000000</v>
      </c>
      <c r="CF194" s="172">
        <f t="array" aca="1" ref="CF194" ca="1">IF(OR($D194&lt;&gt;"Serviço",AND(AUTOEVENTO="Manual",$M194=$A$15),$M194&gt;(ROW(PLE.lastrow)-ROW(PLE.firstrow))),0,
           IF(OFFSET(PLE!$G$15,$M194-$A$15,CF$13)="",10^12,OFFSET(PLE!$G$15,$M194-$A$15,CF$13)))</f>
        <v>1000000000000</v>
      </c>
      <c r="CG194" s="172">
        <f t="array" aca="1" ref="CG194" ca="1">IF(OR($D194&lt;&gt;"Serviço",AND(AUTOEVENTO="Manual",$M194=$A$15),$M194&gt;(ROW(PLE.lastrow)-ROW(PLE.firstrow))),0,
           IF(OFFSET(PLE!$G$15,$M194-$A$15,CG$13)="",10^12,OFFSET(PLE!$G$15,$M194-$A$15,CG$13)))</f>
        <v>1000000000000</v>
      </c>
      <c r="CH194" s="172">
        <f t="array" aca="1" ref="CH194" ca="1">IF(OR($D194&lt;&gt;"Serviço",AND(AUTOEVENTO="Manual",$M194=$A$15),$M194&gt;(ROW(PLE.lastrow)-ROW(PLE.firstrow))),0,
           IF(OFFSET(PLE!$G$15,$M194-$A$15,CH$13)="",10^12,OFFSET(PLE!$G$15,$M194-$A$15,CH$13)))</f>
        <v>1000000000000</v>
      </c>
      <c r="CI194" s="172">
        <f t="array" aca="1" ref="CI194" ca="1">IF(OR($D194&lt;&gt;"Serviço",AND(AUTOEVENTO="Manual",$M194=$A$15),$M194&gt;(ROW(PLE.lastrow)-ROW(PLE.firstrow))),0,
           IF(OFFSET(PLE!$G$15,$M194-$A$15,CI$13)="",10^12,OFFSET(PLE!$G$15,$M194-$A$15,CI$13)))</f>
        <v>1000000000000</v>
      </c>
      <c r="CJ194" s="172">
        <f t="array" aca="1" ref="CJ194" ca="1">IF(OR($D194&lt;&gt;"Serviço",AND(AUTOEVENTO="Manual",$M194=$A$15),$M194&gt;(ROW(PLE.lastrow)-ROW(PLE.firstrow))),0,
           IF(OFFSET(PLE!$G$15,$M194-$A$15,CJ$13)="",10^12,OFFSET(PLE!$G$15,$M194-$A$15,CJ$13)))</f>
        <v>1000000000000</v>
      </c>
      <c r="CK194" s="172">
        <f t="array" aca="1" ref="CK194" ca="1">IF(OR($D194&lt;&gt;"Serviço",AND(AUTOEVENTO="Manual",$M194=$A$15),$M194&gt;(ROW(PLE.lastrow)-ROW(PLE.firstrow))),0,
           IF(OFFSET(PLE!$G$15,$M194-$A$15,CK$13)="",10^12,OFFSET(PLE!$G$15,$M194-$A$15,CK$13)))</f>
        <v>1000000000000</v>
      </c>
      <c r="CL194" s="172">
        <f t="array" aca="1" ref="CL194" ca="1">IF(OR($D194&lt;&gt;"Serviço",AND(AUTOEVENTO="Manual",$M194=$A$15),$M194&gt;(ROW(PLE.lastrow)-ROW(PLE.firstrow))),0,
           IF(OFFSET(PLE!$G$15,$M194-$A$15,CL$13)="",10^12,OFFSET(PLE!$G$15,$M194-$A$15,CL$13)))</f>
        <v>1000000000000</v>
      </c>
      <c r="CM194" s="172">
        <f t="array" aca="1" ref="CM194" ca="1">IF(OR($D194&lt;&gt;"Serviço",AND(AUTOEVENTO="Manual",$M194=$A$15),$M194&gt;(ROW(PLE.lastrow)-ROW(PLE.firstrow))),0,
           IF(OFFSET(PLE!$G$15,$M194-$A$15,CM$13)="",10^12,OFFSET(PLE!$G$15,$M194-$A$15,CM$13)))</f>
        <v>1000000000000</v>
      </c>
    </row>
    <row r="195" spans="1:91" s="696" customFormat="1" ht="38.25" x14ac:dyDescent="0.2">
      <c r="A195" s="694">
        <f t="shared" ca="1" si="82"/>
        <v>39</v>
      </c>
      <c r="B195" s="694" t="str">
        <f ca="1">OFFSET(ORÇAMENTO!C$15,$L195,0)</f>
        <v>S</v>
      </c>
      <c r="C195" s="694" t="str">
        <f ca="1">OFFSET(ORÇAMENTO!L$15,$L195,0)</f>
        <v>F</v>
      </c>
      <c r="D195" s="116" t="str">
        <f ca="1">OFFSET(ORÇAMENTO!N$15,$L195,0)</f>
        <v>Serviço</v>
      </c>
      <c r="E195" s="117" t="str">
        <f ca="1">OFFSET(ORÇAMENTO!O$15,$L195,0)</f>
        <v>1.29.14.</v>
      </c>
      <c r="F195" s="163" t="str">
        <f ca="1">OFFSET(ORÇAMENTO!R$15,$L195,0)</f>
        <v>TUBO, PVC, SOLDÁVEL, DE 32MM, INSTALADO EM RAMAL DE DISTRIBUIÇÃO DE ÁGUA - FORNECIMENTO E INSTALAÇÃO. AF_06/2022</v>
      </c>
      <c r="G195" s="164" t="str">
        <f ca="1">IF($D195&lt;&gt;"Serviço","",OFFSET(ORÇAMENTO!S$15,$L195,0))</f>
        <v>M</v>
      </c>
      <c r="H195" s="122">
        <f t="array" aca="1" ref="H195" ca="1">IF($D195&lt;&gt;"Serviço",0,IF(ACOMPANHAMENTO="BM",ROUND(OFFSET(ORÇAMENTO!AJ$15,$L195,0),15-13*ORÇAMENTO!$AF$7),IF(IFERROR(CÁLCULO.FrentesPreenchidas,0)=0,0,SUM(ROUND(OFFSET($P195,0,1,1,CÁLCULO.FrentesPreenchidas),15-13*ORÇAMENTO!$AF$7)))))</f>
        <v>211</v>
      </c>
      <c r="I195" s="467" t="s">
        <v>1331</v>
      </c>
      <c r="J195" s="653" t="str">
        <f t="array" aca="1" ref="J195" ca="1">IF(OR(B195&lt;&gt;"S",CÁLCULO.FrentesPreenchidas=0),"",IF(AND(ACOMPANHAMENTO="PLE",AUTOEVENTO="Manual",OR(H195&gt;0,ORÇAMENTO!AC195="QUANT."),OR(K195="",M195=0,N195="")),"►E",IF(AND(ACOMPANHAMENTO="PLE",ORÇAMENTO!AC195="QUANT."),"►Q",IF(AND(ACOMPANHAMENTO="PLE",H195&lt;&gt;SUMPRODUCT(($Q$1:$AI$1=1)*ROUND(Q195:AI195,15))),"►S",IF(AND(COUNTIF($P$11:$AI$11,"▼")=0,H195&gt;0,I195=""),"◄M","")))))</f>
        <v/>
      </c>
      <c r="K195" s="654" t="s">
        <v>1446</v>
      </c>
      <c r="L195" s="165">
        <f t="shared" ca="1" si="83"/>
        <v>180</v>
      </c>
      <c r="M195" s="166">
        <f ca="1">IF($D195&lt;&gt;"Serviço","",
          IF(AUTOEVENTO="manual",$A195,
                IF(ISERROR(MATCH($A195,$A$15:OFFSET($A195,-1,0),0)),MAX($M$15:OFFSET(M195,-1,0))+1,
                      INDEX($M$15:OFFSET(M195,-1,0),MATCH($A195,$A$15:OFFSET($A195,-1,0),0)))))</f>
        <v>39</v>
      </c>
      <c r="N195" s="167" t="str">
        <f ca="1">IF($D195&lt;&gt;"Serviço","",
         IF(AUTOEVENTO="Manual",
                IF($A195=0,"&lt;-- defina o número do agrupador",
                       OFFSET(EVENTOS!$D$15,$A195-$A$15,0)),
                OFFSET($F$15,$A195,0)))</f>
        <v>RESERVATÓRIO DE ÁGUA</v>
      </c>
      <c r="O195" s="168"/>
      <c r="Q195" s="169">
        <f>10.55*5</f>
        <v>52.75</v>
      </c>
      <c r="R195" s="169">
        <f t="shared" ref="R195:T195" si="97">10.55*5</f>
        <v>52.75</v>
      </c>
      <c r="S195" s="169">
        <f t="shared" si="97"/>
        <v>52.75</v>
      </c>
      <c r="T195" s="169">
        <f t="shared" si="97"/>
        <v>52.75</v>
      </c>
      <c r="U195" s="169"/>
      <c r="V195" s="169"/>
      <c r="W195" s="169"/>
      <c r="X195" s="169"/>
      <c r="Y195" s="169"/>
      <c r="Z195" s="170"/>
      <c r="AA195" s="169"/>
      <c r="AB195" s="169"/>
      <c r="AC195" s="169"/>
      <c r="AD195" s="169"/>
      <c r="AE195" s="169"/>
      <c r="AF195" s="169"/>
      <c r="AG195" s="169"/>
      <c r="AH195" s="170"/>
      <c r="AJ195" s="452">
        <f ca="1">IF(AND($D195="Serviço",AJ$12&lt;&gt;0,$H195&gt;0,OR(AUTOEVENTO&lt;&gt;"manual",$M195&lt;&gt;$A$15)),
        IF(Import.TipoArredondamento&lt;&gt;"TransfereGOV",
              ROUND(OFFSET($P195,0,AJ$13),15-13*ORÇAMENTO!$AF$7)/$H195*OFFSET(ORÇAMENTO!$X$15,ROW(AJ195)-ROW(AJ$15),0),
              ROUND(ROUND(OFFSET($P195,0,AJ$13),15-13*ORÇAMENTO!$AF$7)*OFFSET(ORÇAMENTO!$W$15,ROW(AJ195)-ROW(AJ$15),0),15-13*ORÇAMENTO!$AF$11)),
         0)</f>
        <v>1199.54</v>
      </c>
      <c r="AK195" s="452">
        <f ca="1">IF(AND($D195="Serviço",AK$12&lt;&gt;0,$H195&gt;0,OR(AUTOEVENTO&lt;&gt;"manual",$M195&lt;&gt;$A$15)),
        IF(Import.TipoArredondamento&lt;&gt;"TransfereGOV",
              ROUND(OFFSET($P195,0,AK$13),15-13*ORÇAMENTO!$AF$7)/$H195*OFFSET(ORÇAMENTO!$X$15,ROW(AK195)-ROW(AK$15),0),
              ROUND(ROUND(OFFSET($P195,0,AK$13),15-13*ORÇAMENTO!$AF$7)*OFFSET(ORÇAMENTO!$W$15,ROW(AK195)-ROW(AK$15),0),15-13*ORÇAMENTO!$AF$11)),
         0)</f>
        <v>1199.54</v>
      </c>
      <c r="AL195" s="452">
        <f ca="1">IF(AND($D195="Serviço",AL$12&lt;&gt;0,$H195&gt;0,OR(AUTOEVENTO&lt;&gt;"manual",$M195&lt;&gt;$A$15)),
        IF(Import.TipoArredondamento&lt;&gt;"TransfereGOV",
              ROUND(OFFSET($P195,0,AL$13),15-13*ORÇAMENTO!$AF$7)/$H195*OFFSET(ORÇAMENTO!$X$15,ROW(AL195)-ROW(AL$15),0),
              ROUND(ROUND(OFFSET($P195,0,AL$13),15-13*ORÇAMENTO!$AF$7)*OFFSET(ORÇAMENTO!$W$15,ROW(AL195)-ROW(AL$15),0),15-13*ORÇAMENTO!$AF$11)),
         0)</f>
        <v>1199.54</v>
      </c>
      <c r="AM195" s="452">
        <f ca="1">IF(AND($D195="Serviço",AM$12&lt;&gt;0,$H195&gt;0,OR(AUTOEVENTO&lt;&gt;"manual",$M195&lt;&gt;$A$15)),
        IF(Import.TipoArredondamento&lt;&gt;"TransfereGOV",
              ROUND(OFFSET($P195,0,AM$13),15-13*ORÇAMENTO!$AF$7)/$H195*OFFSET(ORÇAMENTO!$X$15,ROW(AM195)-ROW(AM$15),0),
              ROUND(ROUND(OFFSET($P195,0,AM$13),15-13*ORÇAMENTO!$AF$7)*OFFSET(ORÇAMENTO!$W$15,ROW(AM195)-ROW(AM$15),0),15-13*ORÇAMENTO!$AF$11)),
         0)</f>
        <v>1199.54</v>
      </c>
      <c r="AN195" s="452">
        <f ca="1">IF(AND($D195="Serviço",AN$12&lt;&gt;0,$H195&gt;0,OR(AUTOEVENTO&lt;&gt;"manual",$M195&lt;&gt;$A$15)),
        IF(Import.TipoArredondamento&lt;&gt;"TransfereGOV",
              ROUND(OFFSET($P195,0,AN$13),15-13*ORÇAMENTO!$AF$7)/$H195*OFFSET(ORÇAMENTO!$X$15,ROW(AN195)-ROW(AN$15),0),
              ROUND(ROUND(OFFSET($P195,0,AN$13),15-13*ORÇAMENTO!$AF$7)*OFFSET(ORÇAMENTO!$W$15,ROW(AN195)-ROW(AN$15),0),15-13*ORÇAMENTO!$AF$11)),
         0)</f>
        <v>0</v>
      </c>
      <c r="AO195" s="452">
        <f ca="1">IF(AND($D195="Serviço",AO$12&lt;&gt;0,$H195&gt;0,OR(AUTOEVENTO&lt;&gt;"manual",$M195&lt;&gt;$A$15)),
        IF(Import.TipoArredondamento&lt;&gt;"TransfereGOV",
              ROUND(OFFSET($P195,0,AO$13),15-13*ORÇAMENTO!$AF$7)/$H195*OFFSET(ORÇAMENTO!$X$15,ROW(AO195)-ROW(AO$15),0),
              ROUND(ROUND(OFFSET($P195,0,AO$13),15-13*ORÇAMENTO!$AF$7)*OFFSET(ORÇAMENTO!$W$15,ROW(AO195)-ROW(AO$15),0),15-13*ORÇAMENTO!$AF$11)),
         0)</f>
        <v>0</v>
      </c>
      <c r="AP195" s="452">
        <f ca="1">IF(AND($D195="Serviço",AP$12&lt;&gt;0,$H195&gt;0,OR(AUTOEVENTO&lt;&gt;"manual",$M195&lt;&gt;$A$15)),
        IF(Import.TipoArredondamento&lt;&gt;"TransfereGOV",
              ROUND(OFFSET($P195,0,AP$13),15-13*ORÇAMENTO!$AF$7)/$H195*OFFSET(ORÇAMENTO!$X$15,ROW(AP195)-ROW(AP$15),0),
              ROUND(ROUND(OFFSET($P195,0,AP$13),15-13*ORÇAMENTO!$AF$7)*OFFSET(ORÇAMENTO!$W$15,ROW(AP195)-ROW(AP$15),0),15-13*ORÇAMENTO!$AF$11)),
         0)</f>
        <v>0</v>
      </c>
      <c r="AQ195" s="452">
        <f ca="1">IF(AND($D195="Serviço",AQ$12&lt;&gt;0,$H195&gt;0,OR(AUTOEVENTO&lt;&gt;"manual",$M195&lt;&gt;$A$15)),
        IF(Import.TipoArredondamento&lt;&gt;"TransfereGOV",
              ROUND(OFFSET($P195,0,AQ$13),15-13*ORÇAMENTO!$AF$7)/$H195*OFFSET(ORÇAMENTO!$X$15,ROW(AQ195)-ROW(AQ$15),0),
              ROUND(ROUND(OFFSET($P195,0,AQ$13),15-13*ORÇAMENTO!$AF$7)*OFFSET(ORÇAMENTO!$W$15,ROW(AQ195)-ROW(AQ$15),0),15-13*ORÇAMENTO!$AF$11)),
         0)</f>
        <v>0</v>
      </c>
      <c r="AR195" s="452">
        <f ca="1">IF(AND($D195="Serviço",AR$12&lt;&gt;0,$H195&gt;0,OR(AUTOEVENTO&lt;&gt;"manual",$M195&lt;&gt;$A$15)),
        IF(Import.TipoArredondamento&lt;&gt;"TransfereGOV",
              ROUND(OFFSET($P195,0,AR$13),15-13*ORÇAMENTO!$AF$7)/$H195*OFFSET(ORÇAMENTO!$X$15,ROW(AR195)-ROW(AR$15),0),
              ROUND(ROUND(OFFSET($P195,0,AR$13),15-13*ORÇAMENTO!$AF$7)*OFFSET(ORÇAMENTO!$W$15,ROW(AR195)-ROW(AR$15),0),15-13*ORÇAMENTO!$AF$11)),
         0)</f>
        <v>0</v>
      </c>
      <c r="AS195" s="452">
        <f ca="1">IF(AND($D195="Serviço",AS$12&lt;&gt;0,$H195&gt;0,OR(AUTOEVENTO&lt;&gt;"manual",$M195&lt;&gt;$A$15)),
        IF(Import.TipoArredondamento&lt;&gt;"TransfereGOV",
              ROUND(OFFSET($P195,0,AS$13),15-13*ORÇAMENTO!$AF$7)/$H195*OFFSET(ORÇAMENTO!$X$15,ROW(AS195)-ROW(AS$15),0),
              ROUND(ROUND(OFFSET($P195,0,AS$13),15-13*ORÇAMENTO!$AF$7)*OFFSET(ORÇAMENTO!$W$15,ROW(AS195)-ROW(AS$15),0),15-13*ORÇAMENTO!$AF$11)),
         0)</f>
        <v>0</v>
      </c>
      <c r="AT195" s="452">
        <f ca="1">IF(AND($D195="Serviço",AT$12&lt;&gt;0,$H195&gt;0,OR(AUTOEVENTO&lt;&gt;"manual",$M195&lt;&gt;$A$15)),
        IF(Import.TipoArredondamento&lt;&gt;"TransfereGOV",
              ROUND(OFFSET($P195,0,AT$13),15-13*ORÇAMENTO!$AF$7)/$H195*OFFSET(ORÇAMENTO!$X$15,ROW(AT195)-ROW(AT$15),0),
              ROUND(ROUND(OFFSET($P195,0,AT$13),15-13*ORÇAMENTO!$AF$7)*OFFSET(ORÇAMENTO!$W$15,ROW(AT195)-ROW(AT$15),0),15-13*ORÇAMENTO!$AF$11)),
         0)</f>
        <v>0</v>
      </c>
      <c r="AU195" s="452">
        <f ca="1">IF(AND($D195="Serviço",AU$12&lt;&gt;0,$H195&gt;0,OR(AUTOEVENTO&lt;&gt;"manual",$M195&lt;&gt;$A$15)),
        IF(Import.TipoArredondamento&lt;&gt;"TransfereGOV",
              ROUND(OFFSET($P195,0,AU$13),15-13*ORÇAMENTO!$AF$7)/$H195*OFFSET(ORÇAMENTO!$X$15,ROW(AU195)-ROW(AU$15),0),
              ROUND(ROUND(OFFSET($P195,0,AU$13),15-13*ORÇAMENTO!$AF$7)*OFFSET(ORÇAMENTO!$W$15,ROW(AU195)-ROW(AU$15),0),15-13*ORÇAMENTO!$AF$11)),
         0)</f>
        <v>0</v>
      </c>
      <c r="AV195" s="452">
        <f ca="1">IF(AND($D195="Serviço",AV$12&lt;&gt;0,$H195&gt;0,OR(AUTOEVENTO&lt;&gt;"manual",$M195&lt;&gt;$A$15)),
        IF(Import.TipoArredondamento&lt;&gt;"TransfereGOV",
              ROUND(OFFSET($P195,0,AV$13),15-13*ORÇAMENTO!$AF$7)/$H195*OFFSET(ORÇAMENTO!$X$15,ROW(AV195)-ROW(AV$15),0),
              ROUND(ROUND(OFFSET($P195,0,AV$13),15-13*ORÇAMENTO!$AF$7)*OFFSET(ORÇAMENTO!$W$15,ROW(AV195)-ROW(AV$15),0),15-13*ORÇAMENTO!$AF$11)),
         0)</f>
        <v>0</v>
      </c>
      <c r="AW195" s="452">
        <f ca="1">IF(AND($D195="Serviço",AW$12&lt;&gt;0,$H195&gt;0,OR(AUTOEVENTO&lt;&gt;"manual",$M195&lt;&gt;$A$15)),
        IF(Import.TipoArredondamento&lt;&gt;"TransfereGOV",
              ROUND(OFFSET($P195,0,AW$13),15-13*ORÇAMENTO!$AF$7)/$H195*OFFSET(ORÇAMENTO!$X$15,ROW(AW195)-ROW(AW$15),0),
              ROUND(ROUND(OFFSET($P195,0,AW$13),15-13*ORÇAMENTO!$AF$7)*OFFSET(ORÇAMENTO!$W$15,ROW(AW195)-ROW(AW$15),0),15-13*ORÇAMENTO!$AF$11)),
         0)</f>
        <v>0</v>
      </c>
      <c r="AX195" s="452">
        <f ca="1">IF(AND($D195="Serviço",AX$12&lt;&gt;0,$H195&gt;0,OR(AUTOEVENTO&lt;&gt;"manual",$M195&lt;&gt;$A$15)),
        IF(Import.TipoArredondamento&lt;&gt;"TransfereGOV",
              ROUND(OFFSET($P195,0,AX$13),15-13*ORÇAMENTO!$AF$7)/$H195*OFFSET(ORÇAMENTO!$X$15,ROW(AX195)-ROW(AX$15),0),
              ROUND(ROUND(OFFSET($P195,0,AX$13),15-13*ORÇAMENTO!$AF$7)*OFFSET(ORÇAMENTO!$W$15,ROW(AX195)-ROW(AX$15),0),15-13*ORÇAMENTO!$AF$11)),
         0)</f>
        <v>0</v>
      </c>
      <c r="AY195" s="452">
        <f ca="1">IF(AND($D195="Serviço",AY$12&lt;&gt;0,$H195&gt;0,OR(AUTOEVENTO&lt;&gt;"manual",$M195&lt;&gt;$A$15)),
        IF(Import.TipoArredondamento&lt;&gt;"TransfereGOV",
              ROUND(OFFSET($P195,0,AY$13),15-13*ORÇAMENTO!$AF$7)/$H195*OFFSET(ORÇAMENTO!$X$15,ROW(AY195)-ROW(AY$15),0),
              ROUND(ROUND(OFFSET($P195,0,AY$13),15-13*ORÇAMENTO!$AF$7)*OFFSET(ORÇAMENTO!$W$15,ROW(AY195)-ROW(AY$15),0),15-13*ORÇAMENTO!$AF$11)),
         0)</f>
        <v>0</v>
      </c>
      <c r="AZ195" s="452">
        <f ca="1">IF(AND($D195="Serviço",AZ$12&lt;&gt;0,$H195&gt;0,OR(AUTOEVENTO&lt;&gt;"manual",$M195&lt;&gt;$A$15)),
        IF(Import.TipoArredondamento&lt;&gt;"TransfereGOV",
              ROUND(OFFSET($P195,0,AZ$13),15-13*ORÇAMENTO!$AF$7)/$H195*OFFSET(ORÇAMENTO!$X$15,ROW(AZ195)-ROW(AZ$15),0),
              ROUND(ROUND(OFFSET($P195,0,AZ$13),15-13*ORÇAMENTO!$AF$7)*OFFSET(ORÇAMENTO!$W$15,ROW(AZ195)-ROW(AZ$15),0),15-13*ORÇAMENTO!$AF$11)),
         0)</f>
        <v>0</v>
      </c>
      <c r="BA195" s="452">
        <f ca="1">IF(AND($D195="Serviço",BA$12&lt;&gt;0,$H195&gt;0,OR(AUTOEVENTO&lt;&gt;"manual",$M195&lt;&gt;$A$15)),
        IF(Import.TipoArredondamento&lt;&gt;"TransfereGOV",
              ROUND(OFFSET($P195,0,BA$13),15-13*ORÇAMENTO!$AF$7)/$H195*OFFSET(ORÇAMENTO!$X$15,ROW(BA195)-ROW(BA$15),0),
              ROUND(ROUND(OFFSET($P195,0,BA$13),15-13*ORÇAMENTO!$AF$7)*OFFSET(ORÇAMENTO!$W$15,ROW(BA195)-ROW(BA$15),0),15-13*ORÇAMENTO!$AF$11)),
         0)</f>
        <v>0</v>
      </c>
      <c r="BC195" s="171">
        <f ca="1">IF(OR($D195&lt;&gt;"Serviço",AND(AUTOEVENTO="Manual",$M195=$A$15)),0,
         IF(OFFSET(CRONOPLE!$F$15,$M195-$A$15,BC$13)=0,10^12,OFFSET(CRONOPLE!$F$15,$M195-$A$15,BC$13)))</f>
        <v>4</v>
      </c>
      <c r="BD195" s="171">
        <f ca="1">IF(OR($D195&lt;&gt;"Serviço",AND(AUTOEVENTO="Manual",$M195=$A$15)),0,
         IF(OFFSET(CRONOPLE!$F$15,$M195-$A$15,BD$13)=0,10^12,OFFSET(CRONOPLE!$F$15,$M195-$A$15,BD$13)))</f>
        <v>4</v>
      </c>
      <c r="BE195" s="171">
        <f ca="1">IF(OR($D195&lt;&gt;"Serviço",AND(AUTOEVENTO="Manual",$M195=$A$15)),0,
         IF(OFFSET(CRONOPLE!$F$15,$M195-$A$15,BE$13)=0,10^12,OFFSET(CRONOPLE!$F$15,$M195-$A$15,BE$13)))</f>
        <v>5</v>
      </c>
      <c r="BF195" s="171">
        <f ca="1">IF(OR($D195&lt;&gt;"Serviço",AND(AUTOEVENTO="Manual",$M195=$A$15)),0,
         IF(OFFSET(CRONOPLE!$F$15,$M195-$A$15,BF$13)=0,10^12,OFFSET(CRONOPLE!$F$15,$M195-$A$15,BF$13)))</f>
        <v>5</v>
      </c>
      <c r="BG195" s="171">
        <f ca="1">IF(OR($D195&lt;&gt;"Serviço",AND(AUTOEVENTO="Manual",$M195=$A$15)),0,
         IF(OFFSET(CRONOPLE!$F$15,$M195-$A$15,BG$13)=0,10^12,OFFSET(CRONOPLE!$F$15,$M195-$A$15,BG$13)))</f>
        <v>5</v>
      </c>
      <c r="BH195" s="171">
        <f ca="1">IF(OR($D195&lt;&gt;"Serviço",AND(AUTOEVENTO="Manual",$M195=$A$15)),0,
         IF(OFFSET(CRONOPLE!$F$15,$M195-$A$15,BH$13)=0,10^12,OFFSET(CRONOPLE!$F$15,$M195-$A$15,BH$13)))</f>
        <v>1000000000000</v>
      </c>
      <c r="BI195" s="171">
        <f ca="1">IF(OR($D195&lt;&gt;"Serviço",AND(AUTOEVENTO="Manual",$M195=$A$15)),0,
         IF(OFFSET(CRONOPLE!$F$15,$M195-$A$15,BI$13)=0,10^12,OFFSET(CRONOPLE!$F$15,$M195-$A$15,BI$13)))</f>
        <v>1000000000000</v>
      </c>
      <c r="BJ195" s="171">
        <f ca="1">IF(OR($D195&lt;&gt;"Serviço",AND(AUTOEVENTO="Manual",$M195=$A$15)),0,
         IF(OFFSET(CRONOPLE!$F$15,$M195-$A$15,BJ$13)=0,10^12,OFFSET(CRONOPLE!$F$15,$M195-$A$15,BJ$13)))</f>
        <v>1000000000000</v>
      </c>
      <c r="BK195" s="171">
        <f ca="1">IF(OR($D195&lt;&gt;"Serviço",AND(AUTOEVENTO="Manual",$M195=$A$15)),0,
         IF(OFFSET(CRONOPLE!$F$15,$M195-$A$15,BK$13)=0,10^12,OFFSET(CRONOPLE!$F$15,$M195-$A$15,BK$13)))</f>
        <v>1000000000000</v>
      </c>
      <c r="BL195" s="171">
        <f ca="1">IF(OR($D195&lt;&gt;"Serviço",AND(AUTOEVENTO="Manual",$M195=$A$15)),0,
         IF(OFFSET(CRONOPLE!$F$15,$M195-$A$15,BL$13)=0,10^12,OFFSET(CRONOPLE!$F$15,$M195-$A$15,BL$13)))</f>
        <v>1000000000000</v>
      </c>
      <c r="BM195" s="171">
        <f ca="1">IF(OR($D195&lt;&gt;"Serviço",AND(AUTOEVENTO="Manual",$M195=$A$15)),0,
         IF(OFFSET(CRONOPLE!$F$15,$M195-$A$15,BM$13)=0,10^12,OFFSET(CRONOPLE!$F$15,$M195-$A$15,BM$13)))</f>
        <v>1000000000000</v>
      </c>
      <c r="BN195" s="171">
        <f ca="1">IF(OR($D195&lt;&gt;"Serviço",AND(AUTOEVENTO="Manual",$M195=$A$15)),0,
         IF(OFFSET(CRONOPLE!$F$15,$M195-$A$15,BN$13)=0,10^12,OFFSET(CRONOPLE!$F$15,$M195-$A$15,BN$13)))</f>
        <v>1000000000000</v>
      </c>
      <c r="BO195" s="171">
        <f ca="1">IF(OR($D195&lt;&gt;"Serviço",AND(AUTOEVENTO="Manual",$M195=$A$15)),0,
         IF(OFFSET(CRONOPLE!$F$15,$M195-$A$15,BO$13)=0,10^12,OFFSET(CRONOPLE!$F$15,$M195-$A$15,BO$13)))</f>
        <v>1000000000000</v>
      </c>
      <c r="BP195" s="171">
        <f ca="1">IF(OR($D195&lt;&gt;"Serviço",AND(AUTOEVENTO="Manual",$M195=$A$15)),0,
         IF(OFFSET(CRONOPLE!$F$15,$M195-$A$15,BP$13)=0,10^12,OFFSET(CRONOPLE!$F$15,$M195-$A$15,BP$13)))</f>
        <v>1000000000000</v>
      </c>
      <c r="BQ195" s="171">
        <f ca="1">IF(OR($D195&lt;&gt;"Serviço",AND(AUTOEVENTO="Manual",$M195=$A$15)),0,
         IF(OFFSET(CRONOPLE!$F$15,$M195-$A$15,BQ$13)=0,10^12,OFFSET(CRONOPLE!$F$15,$M195-$A$15,BQ$13)))</f>
        <v>1000000000000</v>
      </c>
      <c r="BR195" s="171">
        <f ca="1">IF(OR($D195&lt;&gt;"Serviço",AND(AUTOEVENTO="Manual",$M195=$A$15)),0,
         IF(OFFSET(CRONOPLE!$F$15,$M195-$A$15,BR$13)=0,10^12,OFFSET(CRONOPLE!$F$15,$M195-$A$15,BR$13)))</f>
        <v>1000000000000</v>
      </c>
      <c r="BS195" s="171">
        <f ca="1">IF(OR($D195&lt;&gt;"Serviço",AND(AUTOEVENTO="Manual",$M195=$A$15)),0,
         IF(OFFSET(CRONOPLE!$F$15,$M195-$A$15,BS$13)=0,10^12,OFFSET(CRONOPLE!$F$15,$M195-$A$15,BS$13)))</f>
        <v>1000000000000</v>
      </c>
      <c r="BT195" s="171">
        <f ca="1">IF(OR($D195&lt;&gt;"Serviço",AND(AUTOEVENTO="Manual",$M195=$A$15)),0,
         IF(OFFSET(CRONOPLE!$F$15,$M195-$A$15,BT$13)=0,10^12,OFFSET(CRONOPLE!$F$15,$M195-$A$15,BT$13)))</f>
        <v>1000000000000</v>
      </c>
      <c r="BV195" s="172">
        <f t="array" aca="1" ref="BV195" ca="1">IF(OR($D195&lt;&gt;"Serviço",AND(AUTOEVENTO="Manual",$M195=$A$15),$M195&gt;(ROW(PLE.lastrow)-ROW(PLE.firstrow))),0,
           IF(OFFSET(PLE!$G$15,$M195-$A$15,BV$13)="",10^12,OFFSET(PLE!$G$15,$M195-$A$15,BV$13)))</f>
        <v>1000000000000</v>
      </c>
      <c r="BW195" s="172">
        <f t="array" aca="1" ref="BW195" ca="1">IF(OR($D195&lt;&gt;"Serviço",AND(AUTOEVENTO="Manual",$M195=$A$15),$M195&gt;(ROW(PLE.lastrow)-ROW(PLE.firstrow))),0,
           IF(OFFSET(PLE!$G$15,$M195-$A$15,BW$13)="",10^12,OFFSET(PLE!$G$15,$M195-$A$15,BW$13)))</f>
        <v>1000000000000</v>
      </c>
      <c r="BX195" s="172">
        <f t="array" aca="1" ref="BX195" ca="1">IF(OR($D195&lt;&gt;"Serviço",AND(AUTOEVENTO="Manual",$M195=$A$15),$M195&gt;(ROW(PLE.lastrow)-ROW(PLE.firstrow))),0,
           IF(OFFSET(PLE!$G$15,$M195-$A$15,BX$13)="",10^12,OFFSET(PLE!$G$15,$M195-$A$15,BX$13)))</f>
        <v>1000000000000</v>
      </c>
      <c r="BY195" s="172">
        <f t="array" aca="1" ref="BY195" ca="1">IF(OR($D195&lt;&gt;"Serviço",AND(AUTOEVENTO="Manual",$M195=$A$15),$M195&gt;(ROW(PLE.lastrow)-ROW(PLE.firstrow))),0,
           IF(OFFSET(PLE!$G$15,$M195-$A$15,BY$13)="",10^12,OFFSET(PLE!$G$15,$M195-$A$15,BY$13)))</f>
        <v>1000000000000</v>
      </c>
      <c r="BZ195" s="172">
        <f t="array" aca="1" ref="BZ195" ca="1">IF(OR($D195&lt;&gt;"Serviço",AND(AUTOEVENTO="Manual",$M195=$A$15),$M195&gt;(ROW(PLE.lastrow)-ROW(PLE.firstrow))),0,
           IF(OFFSET(PLE!$G$15,$M195-$A$15,BZ$13)="",10^12,OFFSET(PLE!$G$15,$M195-$A$15,BZ$13)))</f>
        <v>1000000000000</v>
      </c>
      <c r="CA195" s="172">
        <f t="array" aca="1" ref="CA195" ca="1">IF(OR($D195&lt;&gt;"Serviço",AND(AUTOEVENTO="Manual",$M195=$A$15),$M195&gt;(ROW(PLE.lastrow)-ROW(PLE.firstrow))),0,
           IF(OFFSET(PLE!$G$15,$M195-$A$15,CA$13)="",10^12,OFFSET(PLE!$G$15,$M195-$A$15,CA$13)))</f>
        <v>1000000000000</v>
      </c>
      <c r="CB195" s="172">
        <f t="array" aca="1" ref="CB195" ca="1">IF(OR($D195&lt;&gt;"Serviço",AND(AUTOEVENTO="Manual",$M195=$A$15),$M195&gt;(ROW(PLE.lastrow)-ROW(PLE.firstrow))),0,
           IF(OFFSET(PLE!$G$15,$M195-$A$15,CB$13)="",10^12,OFFSET(PLE!$G$15,$M195-$A$15,CB$13)))</f>
        <v>1000000000000</v>
      </c>
      <c r="CC195" s="172">
        <f t="array" aca="1" ref="CC195" ca="1">IF(OR($D195&lt;&gt;"Serviço",AND(AUTOEVENTO="Manual",$M195=$A$15),$M195&gt;(ROW(PLE.lastrow)-ROW(PLE.firstrow))),0,
           IF(OFFSET(PLE!$G$15,$M195-$A$15,CC$13)="",10^12,OFFSET(PLE!$G$15,$M195-$A$15,CC$13)))</f>
        <v>1000000000000</v>
      </c>
      <c r="CD195" s="172">
        <f t="array" aca="1" ref="CD195" ca="1">IF(OR($D195&lt;&gt;"Serviço",AND(AUTOEVENTO="Manual",$M195=$A$15),$M195&gt;(ROW(PLE.lastrow)-ROW(PLE.firstrow))),0,
           IF(OFFSET(PLE!$G$15,$M195-$A$15,CD$13)="",10^12,OFFSET(PLE!$G$15,$M195-$A$15,CD$13)))</f>
        <v>1000000000000</v>
      </c>
      <c r="CE195" s="172">
        <f t="array" aca="1" ref="CE195" ca="1">IF(OR($D195&lt;&gt;"Serviço",AND(AUTOEVENTO="Manual",$M195=$A$15),$M195&gt;(ROW(PLE.lastrow)-ROW(PLE.firstrow))),0,
           IF(OFFSET(PLE!$G$15,$M195-$A$15,CE$13)="",10^12,OFFSET(PLE!$G$15,$M195-$A$15,CE$13)))</f>
        <v>1000000000000</v>
      </c>
      <c r="CF195" s="172">
        <f t="array" aca="1" ref="CF195" ca="1">IF(OR($D195&lt;&gt;"Serviço",AND(AUTOEVENTO="Manual",$M195=$A$15),$M195&gt;(ROW(PLE.lastrow)-ROW(PLE.firstrow))),0,
           IF(OFFSET(PLE!$G$15,$M195-$A$15,CF$13)="",10^12,OFFSET(PLE!$G$15,$M195-$A$15,CF$13)))</f>
        <v>1000000000000</v>
      </c>
      <c r="CG195" s="172">
        <f t="array" aca="1" ref="CG195" ca="1">IF(OR($D195&lt;&gt;"Serviço",AND(AUTOEVENTO="Manual",$M195=$A$15),$M195&gt;(ROW(PLE.lastrow)-ROW(PLE.firstrow))),0,
           IF(OFFSET(PLE!$G$15,$M195-$A$15,CG$13)="",10^12,OFFSET(PLE!$G$15,$M195-$A$15,CG$13)))</f>
        <v>1000000000000</v>
      </c>
      <c r="CH195" s="172">
        <f t="array" aca="1" ref="CH195" ca="1">IF(OR($D195&lt;&gt;"Serviço",AND(AUTOEVENTO="Manual",$M195=$A$15),$M195&gt;(ROW(PLE.lastrow)-ROW(PLE.firstrow))),0,
           IF(OFFSET(PLE!$G$15,$M195-$A$15,CH$13)="",10^12,OFFSET(PLE!$G$15,$M195-$A$15,CH$13)))</f>
        <v>1000000000000</v>
      </c>
      <c r="CI195" s="172">
        <f t="array" aca="1" ref="CI195" ca="1">IF(OR($D195&lt;&gt;"Serviço",AND(AUTOEVENTO="Manual",$M195=$A$15),$M195&gt;(ROW(PLE.lastrow)-ROW(PLE.firstrow))),0,
           IF(OFFSET(PLE!$G$15,$M195-$A$15,CI$13)="",10^12,OFFSET(PLE!$G$15,$M195-$A$15,CI$13)))</f>
        <v>1000000000000</v>
      </c>
      <c r="CJ195" s="172">
        <f t="array" aca="1" ref="CJ195" ca="1">IF(OR($D195&lt;&gt;"Serviço",AND(AUTOEVENTO="Manual",$M195=$A$15),$M195&gt;(ROW(PLE.lastrow)-ROW(PLE.firstrow))),0,
           IF(OFFSET(PLE!$G$15,$M195-$A$15,CJ$13)="",10^12,OFFSET(PLE!$G$15,$M195-$A$15,CJ$13)))</f>
        <v>1000000000000</v>
      </c>
      <c r="CK195" s="172">
        <f t="array" aca="1" ref="CK195" ca="1">IF(OR($D195&lt;&gt;"Serviço",AND(AUTOEVENTO="Manual",$M195=$A$15),$M195&gt;(ROW(PLE.lastrow)-ROW(PLE.firstrow))),0,
           IF(OFFSET(PLE!$G$15,$M195-$A$15,CK$13)="",10^12,OFFSET(PLE!$G$15,$M195-$A$15,CK$13)))</f>
        <v>1000000000000</v>
      </c>
      <c r="CL195" s="172">
        <f t="array" aca="1" ref="CL195" ca="1">IF(OR($D195&lt;&gt;"Serviço",AND(AUTOEVENTO="Manual",$M195=$A$15),$M195&gt;(ROW(PLE.lastrow)-ROW(PLE.firstrow))),0,
           IF(OFFSET(PLE!$G$15,$M195-$A$15,CL$13)="",10^12,OFFSET(PLE!$G$15,$M195-$A$15,CL$13)))</f>
        <v>1000000000000</v>
      </c>
      <c r="CM195" s="172">
        <f t="array" aca="1" ref="CM195" ca="1">IF(OR($D195&lt;&gt;"Serviço",AND(AUTOEVENTO="Manual",$M195=$A$15),$M195&gt;(ROW(PLE.lastrow)-ROW(PLE.firstrow))),0,
           IF(OFFSET(PLE!$G$15,$M195-$A$15,CM$13)="",10^12,OFFSET(PLE!$G$15,$M195-$A$15,CM$13)))</f>
        <v>1000000000000</v>
      </c>
    </row>
    <row r="196" spans="1:91" s="696" customFormat="1" ht="12.75" x14ac:dyDescent="0.2">
      <c r="A196" s="694">
        <f t="shared" ref="A196:A234" ca="1" si="98">IFERROR(IF(AUTOEVENTO="Manual",IF(K196&lt;&gt;"",MIN(VALUE(LEFT(K196,FIND(".",K196)-1)),COUNTA(EVENTOS.Lista)),0),IF(OR($B196&gt;AUTOEVENTO,$B196="S",$B196=0),SUBSTITUTE(OFFSET($A196,-1,0),IF($D196="Serviço",".",""),""),$L196&amp;".")),0)</f>
        <v>0</v>
      </c>
      <c r="B196" s="694">
        <f ca="1">OFFSET(ORÇAMENTO!C$15,$L196,0)</f>
        <v>2</v>
      </c>
      <c r="C196" s="694" t="str">
        <f ca="1">OFFSET(ORÇAMENTO!L$15,$L196,0)</f>
        <v>F</v>
      </c>
      <c r="D196" s="116" t="str">
        <f ca="1">OFFSET(ORÇAMENTO!N$15,$L196,0)</f>
        <v>Nível 2</v>
      </c>
      <c r="E196" s="117" t="str">
        <f ca="1">OFFSET(ORÇAMENTO!O$15,$L196,0)</f>
        <v>1.30.</v>
      </c>
      <c r="F196" s="163" t="str">
        <f ca="1">OFFSET(ORÇAMENTO!R$15,$L196,0)</f>
        <v>SANITÁRIAS E PLUVIAIS</v>
      </c>
      <c r="G196" s="164" t="str">
        <f ca="1">IF($D196&lt;&gt;"Serviço","",OFFSET(ORÇAMENTO!S$15,$L196,0))</f>
        <v/>
      </c>
      <c r="H196" s="122">
        <f t="array" aca="1" ref="H196" ca="1">IF($D196&lt;&gt;"Serviço",0,IF(ACOMPANHAMENTO="BM",ROUND(OFFSET(ORÇAMENTO!AJ$15,$L196,0),15-13*ORÇAMENTO!$AF$7),IF(IFERROR(CÁLCULO.FrentesPreenchidas,0)=0,0,SUM(ROUND(OFFSET($P196,0,1,1,CÁLCULO.FrentesPreenchidas),15-13*ORÇAMENTO!$AF$7)))))</f>
        <v>0</v>
      </c>
      <c r="I196" s="467"/>
      <c r="J196" s="653" t="str">
        <f t="array" aca="1" ref="J196" ca="1">IF(OR(B196&lt;&gt;"S",CÁLCULO.FrentesPreenchidas=0),"",IF(AND(ACOMPANHAMENTO="PLE",AUTOEVENTO="Manual",OR(H196&gt;0,ORÇAMENTO!AC196="QUANT."),OR(K196="",M196=0,N196="")),"►E",IF(AND(ACOMPANHAMENTO="PLE",ORÇAMENTO!AC196="QUANT."),"►Q",IF(AND(ACOMPANHAMENTO="PLE",H196&lt;&gt;SUMPRODUCT(($Q$1:$AI$1=1)*ROUND(Q196:AI196,15))),"►S",IF(AND(COUNTIF($P$11:$AI$11,"▼")=0,H196&gt;0,I196=""),"◄M","")))))</f>
        <v/>
      </c>
      <c r="K196" s="654"/>
      <c r="L196" s="165">
        <f t="shared" ref="L196:L234" ca="1" si="99">OFFSET(L196,-1,0)+1</f>
        <v>181</v>
      </c>
      <c r="M196" s="166" t="str">
        <f ca="1">IF($D196&lt;&gt;"Serviço","",
          IF(AUTOEVENTO="manual",$A196,
                IF(ISERROR(MATCH($A196,$A$15:OFFSET($A196,-1,0),0)),MAX($M$15:OFFSET(M196,-1,0))+1,
                      INDEX($M$15:OFFSET(M196,-1,0),MATCH($A196,$A$15:OFFSET($A196,-1,0),0)))))</f>
        <v/>
      </c>
      <c r="N196" s="167" t="str">
        <f ca="1">IF($D196&lt;&gt;"Serviço","",
         IF(AUTOEVENTO="Manual",
                IF($A196=0,"&lt;-- defina o número do agrupador",
                       OFFSET(EVENTOS!$D$15,$A196-$A$15,0)),
                OFFSET($F$15,$A196,0)))</f>
        <v/>
      </c>
      <c r="O196" s="168"/>
      <c r="Q196" s="169"/>
      <c r="R196" s="169"/>
      <c r="S196" s="169"/>
      <c r="T196" s="169"/>
      <c r="U196" s="169"/>
      <c r="V196" s="169"/>
      <c r="W196" s="169"/>
      <c r="X196" s="169"/>
      <c r="Y196" s="169"/>
      <c r="Z196" s="170"/>
      <c r="AA196" s="169"/>
      <c r="AB196" s="169"/>
      <c r="AC196" s="169"/>
      <c r="AD196" s="169"/>
      <c r="AE196" s="169"/>
      <c r="AF196" s="169"/>
      <c r="AG196" s="169"/>
      <c r="AH196" s="170"/>
      <c r="AJ196" s="452">
        <f ca="1">IF(AND($D196="Serviço",AJ$12&lt;&gt;0,$H196&gt;0,OR(AUTOEVENTO&lt;&gt;"manual",$M196&lt;&gt;$A$15)),
        IF(Import.TipoArredondamento&lt;&gt;"TransfereGOV",
              ROUND(OFFSET($P196,0,AJ$13),15-13*ORÇAMENTO!$AF$7)/$H196*OFFSET(ORÇAMENTO!$X$15,ROW(AJ196)-ROW(AJ$15),0),
              ROUND(ROUND(OFFSET($P196,0,AJ$13),15-13*ORÇAMENTO!$AF$7)*OFFSET(ORÇAMENTO!$W$15,ROW(AJ196)-ROW(AJ$15),0),15-13*ORÇAMENTO!$AF$11)),
         0)</f>
        <v>0</v>
      </c>
      <c r="AK196" s="452">
        <f ca="1">IF(AND($D196="Serviço",AK$12&lt;&gt;0,$H196&gt;0,OR(AUTOEVENTO&lt;&gt;"manual",$M196&lt;&gt;$A$15)),
        IF(Import.TipoArredondamento&lt;&gt;"TransfereGOV",
              ROUND(OFFSET($P196,0,AK$13),15-13*ORÇAMENTO!$AF$7)/$H196*OFFSET(ORÇAMENTO!$X$15,ROW(AK196)-ROW(AK$15),0),
              ROUND(ROUND(OFFSET($P196,0,AK$13),15-13*ORÇAMENTO!$AF$7)*OFFSET(ORÇAMENTO!$W$15,ROW(AK196)-ROW(AK$15),0),15-13*ORÇAMENTO!$AF$11)),
         0)</f>
        <v>0</v>
      </c>
      <c r="AL196" s="452">
        <f ca="1">IF(AND($D196="Serviço",AL$12&lt;&gt;0,$H196&gt;0,OR(AUTOEVENTO&lt;&gt;"manual",$M196&lt;&gt;$A$15)),
        IF(Import.TipoArredondamento&lt;&gt;"TransfereGOV",
              ROUND(OFFSET($P196,0,AL$13),15-13*ORÇAMENTO!$AF$7)/$H196*OFFSET(ORÇAMENTO!$X$15,ROW(AL196)-ROW(AL$15),0),
              ROUND(ROUND(OFFSET($P196,0,AL$13),15-13*ORÇAMENTO!$AF$7)*OFFSET(ORÇAMENTO!$W$15,ROW(AL196)-ROW(AL$15),0),15-13*ORÇAMENTO!$AF$11)),
         0)</f>
        <v>0</v>
      </c>
      <c r="AM196" s="452">
        <f ca="1">IF(AND($D196="Serviço",AM$12&lt;&gt;0,$H196&gt;0,OR(AUTOEVENTO&lt;&gt;"manual",$M196&lt;&gt;$A$15)),
        IF(Import.TipoArredondamento&lt;&gt;"TransfereGOV",
              ROUND(OFFSET($P196,0,AM$13),15-13*ORÇAMENTO!$AF$7)/$H196*OFFSET(ORÇAMENTO!$X$15,ROW(AM196)-ROW(AM$15),0),
              ROUND(ROUND(OFFSET($P196,0,AM$13),15-13*ORÇAMENTO!$AF$7)*OFFSET(ORÇAMENTO!$W$15,ROW(AM196)-ROW(AM$15),0),15-13*ORÇAMENTO!$AF$11)),
         0)</f>
        <v>0</v>
      </c>
      <c r="AN196" s="452">
        <f ca="1">IF(AND($D196="Serviço",AN$12&lt;&gt;0,$H196&gt;0,OR(AUTOEVENTO&lt;&gt;"manual",$M196&lt;&gt;$A$15)),
        IF(Import.TipoArredondamento&lt;&gt;"TransfereGOV",
              ROUND(OFFSET($P196,0,AN$13),15-13*ORÇAMENTO!$AF$7)/$H196*OFFSET(ORÇAMENTO!$X$15,ROW(AN196)-ROW(AN$15),0),
              ROUND(ROUND(OFFSET($P196,0,AN$13),15-13*ORÇAMENTO!$AF$7)*OFFSET(ORÇAMENTO!$W$15,ROW(AN196)-ROW(AN$15),0),15-13*ORÇAMENTO!$AF$11)),
         0)</f>
        <v>0</v>
      </c>
      <c r="AO196" s="452">
        <f ca="1">IF(AND($D196="Serviço",AO$12&lt;&gt;0,$H196&gt;0,OR(AUTOEVENTO&lt;&gt;"manual",$M196&lt;&gt;$A$15)),
        IF(Import.TipoArredondamento&lt;&gt;"TransfereGOV",
              ROUND(OFFSET($P196,0,AO$13),15-13*ORÇAMENTO!$AF$7)/$H196*OFFSET(ORÇAMENTO!$X$15,ROW(AO196)-ROW(AO$15),0),
              ROUND(ROUND(OFFSET($P196,0,AO$13),15-13*ORÇAMENTO!$AF$7)*OFFSET(ORÇAMENTO!$W$15,ROW(AO196)-ROW(AO$15),0),15-13*ORÇAMENTO!$AF$11)),
         0)</f>
        <v>0</v>
      </c>
      <c r="AP196" s="452">
        <f ca="1">IF(AND($D196="Serviço",AP$12&lt;&gt;0,$H196&gt;0,OR(AUTOEVENTO&lt;&gt;"manual",$M196&lt;&gt;$A$15)),
        IF(Import.TipoArredondamento&lt;&gt;"TransfereGOV",
              ROUND(OFFSET($P196,0,AP$13),15-13*ORÇAMENTO!$AF$7)/$H196*OFFSET(ORÇAMENTO!$X$15,ROW(AP196)-ROW(AP$15),0),
              ROUND(ROUND(OFFSET($P196,0,AP$13),15-13*ORÇAMENTO!$AF$7)*OFFSET(ORÇAMENTO!$W$15,ROW(AP196)-ROW(AP$15),0),15-13*ORÇAMENTO!$AF$11)),
         0)</f>
        <v>0</v>
      </c>
      <c r="AQ196" s="452">
        <f ca="1">IF(AND($D196="Serviço",AQ$12&lt;&gt;0,$H196&gt;0,OR(AUTOEVENTO&lt;&gt;"manual",$M196&lt;&gt;$A$15)),
        IF(Import.TipoArredondamento&lt;&gt;"TransfereGOV",
              ROUND(OFFSET($P196,0,AQ$13),15-13*ORÇAMENTO!$AF$7)/$H196*OFFSET(ORÇAMENTO!$X$15,ROW(AQ196)-ROW(AQ$15),0),
              ROUND(ROUND(OFFSET($P196,0,AQ$13),15-13*ORÇAMENTO!$AF$7)*OFFSET(ORÇAMENTO!$W$15,ROW(AQ196)-ROW(AQ$15),0),15-13*ORÇAMENTO!$AF$11)),
         0)</f>
        <v>0</v>
      </c>
      <c r="AR196" s="452">
        <f ca="1">IF(AND($D196="Serviço",AR$12&lt;&gt;0,$H196&gt;0,OR(AUTOEVENTO&lt;&gt;"manual",$M196&lt;&gt;$A$15)),
        IF(Import.TipoArredondamento&lt;&gt;"TransfereGOV",
              ROUND(OFFSET($P196,0,AR$13),15-13*ORÇAMENTO!$AF$7)/$H196*OFFSET(ORÇAMENTO!$X$15,ROW(AR196)-ROW(AR$15),0),
              ROUND(ROUND(OFFSET($P196,0,AR$13),15-13*ORÇAMENTO!$AF$7)*OFFSET(ORÇAMENTO!$W$15,ROW(AR196)-ROW(AR$15),0),15-13*ORÇAMENTO!$AF$11)),
         0)</f>
        <v>0</v>
      </c>
      <c r="AS196" s="452">
        <f ca="1">IF(AND($D196="Serviço",AS$12&lt;&gt;0,$H196&gt;0,OR(AUTOEVENTO&lt;&gt;"manual",$M196&lt;&gt;$A$15)),
        IF(Import.TipoArredondamento&lt;&gt;"TransfereGOV",
              ROUND(OFFSET($P196,0,AS$13),15-13*ORÇAMENTO!$AF$7)/$H196*OFFSET(ORÇAMENTO!$X$15,ROW(AS196)-ROW(AS$15),0),
              ROUND(ROUND(OFFSET($P196,0,AS$13),15-13*ORÇAMENTO!$AF$7)*OFFSET(ORÇAMENTO!$W$15,ROW(AS196)-ROW(AS$15),0),15-13*ORÇAMENTO!$AF$11)),
         0)</f>
        <v>0</v>
      </c>
      <c r="AT196" s="452">
        <f ca="1">IF(AND($D196="Serviço",AT$12&lt;&gt;0,$H196&gt;0,OR(AUTOEVENTO&lt;&gt;"manual",$M196&lt;&gt;$A$15)),
        IF(Import.TipoArredondamento&lt;&gt;"TransfereGOV",
              ROUND(OFFSET($P196,0,AT$13),15-13*ORÇAMENTO!$AF$7)/$H196*OFFSET(ORÇAMENTO!$X$15,ROW(AT196)-ROW(AT$15),0),
              ROUND(ROUND(OFFSET($P196,0,AT$13),15-13*ORÇAMENTO!$AF$7)*OFFSET(ORÇAMENTO!$W$15,ROW(AT196)-ROW(AT$15),0),15-13*ORÇAMENTO!$AF$11)),
         0)</f>
        <v>0</v>
      </c>
      <c r="AU196" s="452">
        <f ca="1">IF(AND($D196="Serviço",AU$12&lt;&gt;0,$H196&gt;0,OR(AUTOEVENTO&lt;&gt;"manual",$M196&lt;&gt;$A$15)),
        IF(Import.TipoArredondamento&lt;&gt;"TransfereGOV",
              ROUND(OFFSET($P196,0,AU$13),15-13*ORÇAMENTO!$AF$7)/$H196*OFFSET(ORÇAMENTO!$X$15,ROW(AU196)-ROW(AU$15),0),
              ROUND(ROUND(OFFSET($P196,0,AU$13),15-13*ORÇAMENTO!$AF$7)*OFFSET(ORÇAMENTO!$W$15,ROW(AU196)-ROW(AU$15),0),15-13*ORÇAMENTO!$AF$11)),
         0)</f>
        <v>0</v>
      </c>
      <c r="AV196" s="452">
        <f ca="1">IF(AND($D196="Serviço",AV$12&lt;&gt;0,$H196&gt;0,OR(AUTOEVENTO&lt;&gt;"manual",$M196&lt;&gt;$A$15)),
        IF(Import.TipoArredondamento&lt;&gt;"TransfereGOV",
              ROUND(OFFSET($P196,0,AV$13),15-13*ORÇAMENTO!$AF$7)/$H196*OFFSET(ORÇAMENTO!$X$15,ROW(AV196)-ROW(AV$15),0),
              ROUND(ROUND(OFFSET($P196,0,AV$13),15-13*ORÇAMENTO!$AF$7)*OFFSET(ORÇAMENTO!$W$15,ROW(AV196)-ROW(AV$15),0),15-13*ORÇAMENTO!$AF$11)),
         0)</f>
        <v>0</v>
      </c>
      <c r="AW196" s="452">
        <f ca="1">IF(AND($D196="Serviço",AW$12&lt;&gt;0,$H196&gt;0,OR(AUTOEVENTO&lt;&gt;"manual",$M196&lt;&gt;$A$15)),
        IF(Import.TipoArredondamento&lt;&gt;"TransfereGOV",
              ROUND(OFFSET($P196,0,AW$13),15-13*ORÇAMENTO!$AF$7)/$H196*OFFSET(ORÇAMENTO!$X$15,ROW(AW196)-ROW(AW$15),0),
              ROUND(ROUND(OFFSET($P196,0,AW$13),15-13*ORÇAMENTO!$AF$7)*OFFSET(ORÇAMENTO!$W$15,ROW(AW196)-ROW(AW$15),0),15-13*ORÇAMENTO!$AF$11)),
         0)</f>
        <v>0</v>
      </c>
      <c r="AX196" s="452">
        <f ca="1">IF(AND($D196="Serviço",AX$12&lt;&gt;0,$H196&gt;0,OR(AUTOEVENTO&lt;&gt;"manual",$M196&lt;&gt;$A$15)),
        IF(Import.TipoArredondamento&lt;&gt;"TransfereGOV",
              ROUND(OFFSET($P196,0,AX$13),15-13*ORÇAMENTO!$AF$7)/$H196*OFFSET(ORÇAMENTO!$X$15,ROW(AX196)-ROW(AX$15),0),
              ROUND(ROUND(OFFSET($P196,0,AX$13),15-13*ORÇAMENTO!$AF$7)*OFFSET(ORÇAMENTO!$W$15,ROW(AX196)-ROW(AX$15),0),15-13*ORÇAMENTO!$AF$11)),
         0)</f>
        <v>0</v>
      </c>
      <c r="AY196" s="452">
        <f ca="1">IF(AND($D196="Serviço",AY$12&lt;&gt;0,$H196&gt;0,OR(AUTOEVENTO&lt;&gt;"manual",$M196&lt;&gt;$A$15)),
        IF(Import.TipoArredondamento&lt;&gt;"TransfereGOV",
              ROUND(OFFSET($P196,0,AY$13),15-13*ORÇAMENTO!$AF$7)/$H196*OFFSET(ORÇAMENTO!$X$15,ROW(AY196)-ROW(AY$15),0),
              ROUND(ROUND(OFFSET($P196,0,AY$13),15-13*ORÇAMENTO!$AF$7)*OFFSET(ORÇAMENTO!$W$15,ROW(AY196)-ROW(AY$15),0),15-13*ORÇAMENTO!$AF$11)),
         0)</f>
        <v>0</v>
      </c>
      <c r="AZ196" s="452">
        <f ca="1">IF(AND($D196="Serviço",AZ$12&lt;&gt;0,$H196&gt;0,OR(AUTOEVENTO&lt;&gt;"manual",$M196&lt;&gt;$A$15)),
        IF(Import.TipoArredondamento&lt;&gt;"TransfereGOV",
              ROUND(OFFSET($P196,0,AZ$13),15-13*ORÇAMENTO!$AF$7)/$H196*OFFSET(ORÇAMENTO!$X$15,ROW(AZ196)-ROW(AZ$15),0),
              ROUND(ROUND(OFFSET($P196,0,AZ$13),15-13*ORÇAMENTO!$AF$7)*OFFSET(ORÇAMENTO!$W$15,ROW(AZ196)-ROW(AZ$15),0),15-13*ORÇAMENTO!$AF$11)),
         0)</f>
        <v>0</v>
      </c>
      <c r="BA196" s="452">
        <f ca="1">IF(AND($D196="Serviço",BA$12&lt;&gt;0,$H196&gt;0,OR(AUTOEVENTO&lt;&gt;"manual",$M196&lt;&gt;$A$15)),
        IF(Import.TipoArredondamento&lt;&gt;"TransfereGOV",
              ROUND(OFFSET($P196,0,BA$13),15-13*ORÇAMENTO!$AF$7)/$H196*OFFSET(ORÇAMENTO!$X$15,ROW(BA196)-ROW(BA$15),0),
              ROUND(ROUND(OFFSET($P196,0,BA$13),15-13*ORÇAMENTO!$AF$7)*OFFSET(ORÇAMENTO!$W$15,ROW(BA196)-ROW(BA$15),0),15-13*ORÇAMENTO!$AF$11)),
         0)</f>
        <v>0</v>
      </c>
      <c r="BC196" s="171">
        <f ca="1">IF(OR($D196&lt;&gt;"Serviço",AND(AUTOEVENTO="Manual",$M196=$A$15)),0,
         IF(OFFSET(CRONOPLE!$F$15,$M196-$A$15,BC$13)=0,10^12,OFFSET(CRONOPLE!$F$15,$M196-$A$15,BC$13)))</f>
        <v>0</v>
      </c>
      <c r="BD196" s="171">
        <f ca="1">IF(OR($D196&lt;&gt;"Serviço",AND(AUTOEVENTO="Manual",$M196=$A$15)),0,
         IF(OFFSET(CRONOPLE!$F$15,$M196-$A$15,BD$13)=0,10^12,OFFSET(CRONOPLE!$F$15,$M196-$A$15,BD$13)))</f>
        <v>0</v>
      </c>
      <c r="BE196" s="171">
        <f ca="1">IF(OR($D196&lt;&gt;"Serviço",AND(AUTOEVENTO="Manual",$M196=$A$15)),0,
         IF(OFFSET(CRONOPLE!$F$15,$M196-$A$15,BE$13)=0,10^12,OFFSET(CRONOPLE!$F$15,$M196-$A$15,BE$13)))</f>
        <v>0</v>
      </c>
      <c r="BF196" s="171">
        <f ca="1">IF(OR($D196&lt;&gt;"Serviço",AND(AUTOEVENTO="Manual",$M196=$A$15)),0,
         IF(OFFSET(CRONOPLE!$F$15,$M196-$A$15,BF$13)=0,10^12,OFFSET(CRONOPLE!$F$15,$M196-$A$15,BF$13)))</f>
        <v>0</v>
      </c>
      <c r="BG196" s="171">
        <f ca="1">IF(OR($D196&lt;&gt;"Serviço",AND(AUTOEVENTO="Manual",$M196=$A$15)),0,
         IF(OFFSET(CRONOPLE!$F$15,$M196-$A$15,BG$13)=0,10^12,OFFSET(CRONOPLE!$F$15,$M196-$A$15,BG$13)))</f>
        <v>0</v>
      </c>
      <c r="BH196" s="171">
        <f ca="1">IF(OR($D196&lt;&gt;"Serviço",AND(AUTOEVENTO="Manual",$M196=$A$15)),0,
         IF(OFFSET(CRONOPLE!$F$15,$M196-$A$15,BH$13)=0,10^12,OFFSET(CRONOPLE!$F$15,$M196-$A$15,BH$13)))</f>
        <v>0</v>
      </c>
      <c r="BI196" s="171">
        <f ca="1">IF(OR($D196&lt;&gt;"Serviço",AND(AUTOEVENTO="Manual",$M196=$A$15)),0,
         IF(OFFSET(CRONOPLE!$F$15,$M196-$A$15,BI$13)=0,10^12,OFFSET(CRONOPLE!$F$15,$M196-$A$15,BI$13)))</f>
        <v>0</v>
      </c>
      <c r="BJ196" s="171">
        <f ca="1">IF(OR($D196&lt;&gt;"Serviço",AND(AUTOEVENTO="Manual",$M196=$A$15)),0,
         IF(OFFSET(CRONOPLE!$F$15,$M196-$A$15,BJ$13)=0,10^12,OFFSET(CRONOPLE!$F$15,$M196-$A$15,BJ$13)))</f>
        <v>0</v>
      </c>
      <c r="BK196" s="171">
        <f ca="1">IF(OR($D196&lt;&gt;"Serviço",AND(AUTOEVENTO="Manual",$M196=$A$15)),0,
         IF(OFFSET(CRONOPLE!$F$15,$M196-$A$15,BK$13)=0,10^12,OFFSET(CRONOPLE!$F$15,$M196-$A$15,BK$13)))</f>
        <v>0</v>
      </c>
      <c r="BL196" s="171">
        <f ca="1">IF(OR($D196&lt;&gt;"Serviço",AND(AUTOEVENTO="Manual",$M196=$A$15)),0,
         IF(OFFSET(CRONOPLE!$F$15,$M196-$A$15,BL$13)=0,10^12,OFFSET(CRONOPLE!$F$15,$M196-$A$15,BL$13)))</f>
        <v>0</v>
      </c>
      <c r="BM196" s="171">
        <f ca="1">IF(OR($D196&lt;&gt;"Serviço",AND(AUTOEVENTO="Manual",$M196=$A$15)),0,
         IF(OFFSET(CRONOPLE!$F$15,$M196-$A$15,BM$13)=0,10^12,OFFSET(CRONOPLE!$F$15,$M196-$A$15,BM$13)))</f>
        <v>0</v>
      </c>
      <c r="BN196" s="171">
        <f ca="1">IF(OR($D196&lt;&gt;"Serviço",AND(AUTOEVENTO="Manual",$M196=$A$15)),0,
         IF(OFFSET(CRONOPLE!$F$15,$M196-$A$15,BN$13)=0,10^12,OFFSET(CRONOPLE!$F$15,$M196-$A$15,BN$13)))</f>
        <v>0</v>
      </c>
      <c r="BO196" s="171">
        <f ca="1">IF(OR($D196&lt;&gt;"Serviço",AND(AUTOEVENTO="Manual",$M196=$A$15)),0,
         IF(OFFSET(CRONOPLE!$F$15,$M196-$A$15,BO$13)=0,10^12,OFFSET(CRONOPLE!$F$15,$M196-$A$15,BO$13)))</f>
        <v>0</v>
      </c>
      <c r="BP196" s="171">
        <f ca="1">IF(OR($D196&lt;&gt;"Serviço",AND(AUTOEVENTO="Manual",$M196=$A$15)),0,
         IF(OFFSET(CRONOPLE!$F$15,$M196-$A$15,BP$13)=0,10^12,OFFSET(CRONOPLE!$F$15,$M196-$A$15,BP$13)))</f>
        <v>0</v>
      </c>
      <c r="BQ196" s="171">
        <f ca="1">IF(OR($D196&lt;&gt;"Serviço",AND(AUTOEVENTO="Manual",$M196=$A$15)),0,
         IF(OFFSET(CRONOPLE!$F$15,$M196-$A$15,BQ$13)=0,10^12,OFFSET(CRONOPLE!$F$15,$M196-$A$15,BQ$13)))</f>
        <v>0</v>
      </c>
      <c r="BR196" s="171">
        <f ca="1">IF(OR($D196&lt;&gt;"Serviço",AND(AUTOEVENTO="Manual",$M196=$A$15)),0,
         IF(OFFSET(CRONOPLE!$F$15,$M196-$A$15,BR$13)=0,10^12,OFFSET(CRONOPLE!$F$15,$M196-$A$15,BR$13)))</f>
        <v>0</v>
      </c>
      <c r="BS196" s="171">
        <f ca="1">IF(OR($D196&lt;&gt;"Serviço",AND(AUTOEVENTO="Manual",$M196=$A$15)),0,
         IF(OFFSET(CRONOPLE!$F$15,$M196-$A$15,BS$13)=0,10^12,OFFSET(CRONOPLE!$F$15,$M196-$A$15,BS$13)))</f>
        <v>0</v>
      </c>
      <c r="BT196" s="171">
        <f ca="1">IF(OR($D196&lt;&gt;"Serviço",AND(AUTOEVENTO="Manual",$M196=$A$15)),0,
         IF(OFFSET(CRONOPLE!$F$15,$M196-$A$15,BT$13)=0,10^12,OFFSET(CRONOPLE!$F$15,$M196-$A$15,BT$13)))</f>
        <v>0</v>
      </c>
      <c r="BV196" s="172">
        <f t="array" aca="1" ref="BV196" ca="1">IF(OR($D196&lt;&gt;"Serviço",AND(AUTOEVENTO="Manual",$M196=$A$15),$M196&gt;(ROW(PLE.lastrow)-ROW(PLE.firstrow))),0,
           IF(OFFSET(PLE!$G$15,$M196-$A$15,BV$13)="",10^12,OFFSET(PLE!$G$15,$M196-$A$15,BV$13)))</f>
        <v>0</v>
      </c>
      <c r="BW196" s="172">
        <f t="array" aca="1" ref="BW196" ca="1">IF(OR($D196&lt;&gt;"Serviço",AND(AUTOEVENTO="Manual",$M196=$A$15),$M196&gt;(ROW(PLE.lastrow)-ROW(PLE.firstrow))),0,
           IF(OFFSET(PLE!$G$15,$M196-$A$15,BW$13)="",10^12,OFFSET(PLE!$G$15,$M196-$A$15,BW$13)))</f>
        <v>0</v>
      </c>
      <c r="BX196" s="172">
        <f t="array" aca="1" ref="BX196" ca="1">IF(OR($D196&lt;&gt;"Serviço",AND(AUTOEVENTO="Manual",$M196=$A$15),$M196&gt;(ROW(PLE.lastrow)-ROW(PLE.firstrow))),0,
           IF(OFFSET(PLE!$G$15,$M196-$A$15,BX$13)="",10^12,OFFSET(PLE!$G$15,$M196-$A$15,BX$13)))</f>
        <v>0</v>
      </c>
      <c r="BY196" s="172">
        <f t="array" aca="1" ref="BY196" ca="1">IF(OR($D196&lt;&gt;"Serviço",AND(AUTOEVENTO="Manual",$M196=$A$15),$M196&gt;(ROW(PLE.lastrow)-ROW(PLE.firstrow))),0,
           IF(OFFSET(PLE!$G$15,$M196-$A$15,BY$13)="",10^12,OFFSET(PLE!$G$15,$M196-$A$15,BY$13)))</f>
        <v>0</v>
      </c>
      <c r="BZ196" s="172">
        <f t="array" aca="1" ref="BZ196" ca="1">IF(OR($D196&lt;&gt;"Serviço",AND(AUTOEVENTO="Manual",$M196=$A$15),$M196&gt;(ROW(PLE.lastrow)-ROW(PLE.firstrow))),0,
           IF(OFFSET(PLE!$G$15,$M196-$A$15,BZ$13)="",10^12,OFFSET(PLE!$G$15,$M196-$A$15,BZ$13)))</f>
        <v>0</v>
      </c>
      <c r="CA196" s="172">
        <f t="array" aca="1" ref="CA196" ca="1">IF(OR($D196&lt;&gt;"Serviço",AND(AUTOEVENTO="Manual",$M196=$A$15),$M196&gt;(ROW(PLE.lastrow)-ROW(PLE.firstrow))),0,
           IF(OFFSET(PLE!$G$15,$M196-$A$15,CA$13)="",10^12,OFFSET(PLE!$G$15,$M196-$A$15,CA$13)))</f>
        <v>0</v>
      </c>
      <c r="CB196" s="172">
        <f t="array" aca="1" ref="CB196" ca="1">IF(OR($D196&lt;&gt;"Serviço",AND(AUTOEVENTO="Manual",$M196=$A$15),$M196&gt;(ROW(PLE.lastrow)-ROW(PLE.firstrow))),0,
           IF(OFFSET(PLE!$G$15,$M196-$A$15,CB$13)="",10^12,OFFSET(PLE!$G$15,$M196-$A$15,CB$13)))</f>
        <v>0</v>
      </c>
      <c r="CC196" s="172">
        <f t="array" aca="1" ref="CC196" ca="1">IF(OR($D196&lt;&gt;"Serviço",AND(AUTOEVENTO="Manual",$M196=$A$15),$M196&gt;(ROW(PLE.lastrow)-ROW(PLE.firstrow))),0,
           IF(OFFSET(PLE!$G$15,$M196-$A$15,CC$13)="",10^12,OFFSET(PLE!$G$15,$M196-$A$15,CC$13)))</f>
        <v>0</v>
      </c>
      <c r="CD196" s="172">
        <f t="array" aca="1" ref="CD196" ca="1">IF(OR($D196&lt;&gt;"Serviço",AND(AUTOEVENTO="Manual",$M196=$A$15),$M196&gt;(ROW(PLE.lastrow)-ROW(PLE.firstrow))),0,
           IF(OFFSET(PLE!$G$15,$M196-$A$15,CD$13)="",10^12,OFFSET(PLE!$G$15,$M196-$A$15,CD$13)))</f>
        <v>0</v>
      </c>
      <c r="CE196" s="172">
        <f t="array" aca="1" ref="CE196" ca="1">IF(OR($D196&lt;&gt;"Serviço",AND(AUTOEVENTO="Manual",$M196=$A$15),$M196&gt;(ROW(PLE.lastrow)-ROW(PLE.firstrow))),0,
           IF(OFFSET(PLE!$G$15,$M196-$A$15,CE$13)="",10^12,OFFSET(PLE!$G$15,$M196-$A$15,CE$13)))</f>
        <v>0</v>
      </c>
      <c r="CF196" s="172">
        <f t="array" aca="1" ref="CF196" ca="1">IF(OR($D196&lt;&gt;"Serviço",AND(AUTOEVENTO="Manual",$M196=$A$15),$M196&gt;(ROW(PLE.lastrow)-ROW(PLE.firstrow))),0,
           IF(OFFSET(PLE!$G$15,$M196-$A$15,CF$13)="",10^12,OFFSET(PLE!$G$15,$M196-$A$15,CF$13)))</f>
        <v>0</v>
      </c>
      <c r="CG196" s="172">
        <f t="array" aca="1" ref="CG196" ca="1">IF(OR($D196&lt;&gt;"Serviço",AND(AUTOEVENTO="Manual",$M196=$A$15),$M196&gt;(ROW(PLE.lastrow)-ROW(PLE.firstrow))),0,
           IF(OFFSET(PLE!$G$15,$M196-$A$15,CG$13)="",10^12,OFFSET(PLE!$G$15,$M196-$A$15,CG$13)))</f>
        <v>0</v>
      </c>
      <c r="CH196" s="172">
        <f t="array" aca="1" ref="CH196" ca="1">IF(OR($D196&lt;&gt;"Serviço",AND(AUTOEVENTO="Manual",$M196=$A$15),$M196&gt;(ROW(PLE.lastrow)-ROW(PLE.firstrow))),0,
           IF(OFFSET(PLE!$G$15,$M196-$A$15,CH$13)="",10^12,OFFSET(PLE!$G$15,$M196-$A$15,CH$13)))</f>
        <v>0</v>
      </c>
      <c r="CI196" s="172">
        <f t="array" aca="1" ref="CI196" ca="1">IF(OR($D196&lt;&gt;"Serviço",AND(AUTOEVENTO="Manual",$M196=$A$15),$M196&gt;(ROW(PLE.lastrow)-ROW(PLE.firstrow))),0,
           IF(OFFSET(PLE!$G$15,$M196-$A$15,CI$13)="",10^12,OFFSET(PLE!$G$15,$M196-$A$15,CI$13)))</f>
        <v>0</v>
      </c>
      <c r="CJ196" s="172">
        <f t="array" aca="1" ref="CJ196" ca="1">IF(OR($D196&lt;&gt;"Serviço",AND(AUTOEVENTO="Manual",$M196=$A$15),$M196&gt;(ROW(PLE.lastrow)-ROW(PLE.firstrow))),0,
           IF(OFFSET(PLE!$G$15,$M196-$A$15,CJ$13)="",10^12,OFFSET(PLE!$G$15,$M196-$A$15,CJ$13)))</f>
        <v>0</v>
      </c>
      <c r="CK196" s="172">
        <f t="array" aca="1" ref="CK196" ca="1">IF(OR($D196&lt;&gt;"Serviço",AND(AUTOEVENTO="Manual",$M196=$A$15),$M196&gt;(ROW(PLE.lastrow)-ROW(PLE.firstrow))),0,
           IF(OFFSET(PLE!$G$15,$M196-$A$15,CK$13)="",10^12,OFFSET(PLE!$G$15,$M196-$A$15,CK$13)))</f>
        <v>0</v>
      </c>
      <c r="CL196" s="172">
        <f t="array" aca="1" ref="CL196" ca="1">IF(OR($D196&lt;&gt;"Serviço",AND(AUTOEVENTO="Manual",$M196=$A$15),$M196&gt;(ROW(PLE.lastrow)-ROW(PLE.firstrow))),0,
           IF(OFFSET(PLE!$G$15,$M196-$A$15,CL$13)="",10^12,OFFSET(PLE!$G$15,$M196-$A$15,CL$13)))</f>
        <v>0</v>
      </c>
      <c r="CM196" s="172">
        <f t="array" aca="1" ref="CM196" ca="1">IF(OR($D196&lt;&gt;"Serviço",AND(AUTOEVENTO="Manual",$M196=$A$15),$M196&gt;(ROW(PLE.lastrow)-ROW(PLE.firstrow))),0,
           IF(OFFSET(PLE!$G$15,$M196-$A$15,CM$13)="",10^12,OFFSET(PLE!$G$15,$M196-$A$15,CM$13)))</f>
        <v>0</v>
      </c>
    </row>
    <row r="197" spans="1:91" s="696" customFormat="1" ht="63.75" x14ac:dyDescent="0.2">
      <c r="A197" s="694">
        <f t="shared" ca="1" si="98"/>
        <v>31</v>
      </c>
      <c r="B197" s="694" t="str">
        <f ca="1">OFFSET(ORÇAMENTO!C$15,$L197,0)</f>
        <v>S</v>
      </c>
      <c r="C197" s="694" t="str">
        <f ca="1">OFFSET(ORÇAMENTO!L$15,$L197,0)</f>
        <v>F</v>
      </c>
      <c r="D197" s="116" t="str">
        <f ca="1">OFFSET(ORÇAMENTO!N$15,$L197,0)</f>
        <v>Serviço</v>
      </c>
      <c r="E197" s="117" t="str">
        <f ca="1">OFFSET(ORÇAMENTO!O$15,$L197,0)</f>
        <v>1.30.1.</v>
      </c>
      <c r="F197" s="163" t="str">
        <f ca="1">OFFSET(ORÇAMENTO!R$15,$L197,0)</f>
        <v>JOELHO 45 GRAUS, PVC, SERIE NORMAL, ESGOTO PREDIAL, DN 40 MM, JUNTA SOLDÁVEL, FORNECIDO E INSTALADO EM RAMAL DE DESCARGA OU RAMAL DE ESGOTO SANITÁRIO. AF_08/2022</v>
      </c>
      <c r="G197" s="164" t="str">
        <f ca="1">IF($D197&lt;&gt;"Serviço","",OFFSET(ORÇAMENTO!S$15,$L197,0))</f>
        <v>UN</v>
      </c>
      <c r="H197" s="122">
        <f t="array" aca="1" ref="H197" ca="1">IF($D197&lt;&gt;"Serviço",0,IF(ACOMPANHAMENTO="BM",ROUND(OFFSET(ORÇAMENTO!AJ$15,$L197,0),15-13*ORÇAMENTO!$AF$7),IF(IFERROR(CÁLCULO.FrentesPreenchidas,0)=0,0,SUM(ROUND(OFFSET($P197,0,1,1,CÁLCULO.FrentesPreenchidas),15-13*ORÇAMENTO!$AF$7)))))</f>
        <v>60</v>
      </c>
      <c r="I197" s="467" t="s">
        <v>1329</v>
      </c>
      <c r="J197" s="653" t="str">
        <f t="array" aca="1" ref="J197" ca="1">IF(OR(B197&lt;&gt;"S",CÁLCULO.FrentesPreenchidas=0),"",IF(AND(ACOMPANHAMENTO="PLE",AUTOEVENTO="Manual",OR(H197&gt;0,ORÇAMENTO!AC197="QUANT."),OR(K197="",M197=0,N197="")),"►E",IF(AND(ACOMPANHAMENTO="PLE",ORÇAMENTO!AC197="QUANT."),"►Q",IF(AND(ACOMPANHAMENTO="PLE",H197&lt;&gt;SUMPRODUCT(($Q$1:$AI$1=1)*ROUND(Q197:AI197,15))),"►S",IF(AND(COUNTIF($P$11:$AI$11,"▼")=0,H197&gt;0,I197=""),"◄M","")))))</f>
        <v/>
      </c>
      <c r="K197" s="654" t="s">
        <v>1447</v>
      </c>
      <c r="L197" s="165">
        <f t="shared" ca="1" si="99"/>
        <v>182</v>
      </c>
      <c r="M197" s="166">
        <f ca="1">IF($D197&lt;&gt;"Serviço","",
          IF(AUTOEVENTO="manual",$A197,
                IF(ISERROR(MATCH($A197,$A$15:OFFSET($A197,-1,0),0)),MAX($M$15:OFFSET(M197,-1,0))+1,
                      INDEX($M$15:OFFSET(M197,-1,0),MATCH($A197,$A$15:OFFSET($A197,-1,0),0)))))</f>
        <v>31</v>
      </c>
      <c r="N197" s="167" t="str">
        <f ca="1">IF($D197&lt;&gt;"Serviço","",
         IF(AUTOEVENTO="Manual",
                IF($A197=0,"&lt;-- defina o número do agrupador",
                       OFFSET(EVENTOS!$D$15,$A197-$A$15,0)),
                OFFSET($F$15,$A197,0)))</f>
        <v>REDE PLUVIAL E ESGOTO</v>
      </c>
      <c r="O197" s="168"/>
      <c r="Q197" s="169">
        <v>15</v>
      </c>
      <c r="R197" s="169">
        <v>15</v>
      </c>
      <c r="S197" s="169">
        <v>15</v>
      </c>
      <c r="T197" s="169">
        <v>15</v>
      </c>
      <c r="U197" s="169"/>
      <c r="V197" s="169"/>
      <c r="W197" s="169"/>
      <c r="X197" s="169"/>
      <c r="Y197" s="169"/>
      <c r="Z197" s="170"/>
      <c r="AA197" s="169"/>
      <c r="AB197" s="169"/>
      <c r="AC197" s="169"/>
      <c r="AD197" s="169"/>
      <c r="AE197" s="169"/>
      <c r="AF197" s="169"/>
      <c r="AG197" s="169"/>
      <c r="AH197" s="170"/>
      <c r="AJ197" s="452">
        <f ca="1">IF(AND($D197="Serviço",AJ$12&lt;&gt;0,$H197&gt;0,OR(AUTOEVENTO&lt;&gt;"manual",$M197&lt;&gt;$A$15)),
        IF(Import.TipoArredondamento&lt;&gt;"TransfereGOV",
              ROUND(OFFSET($P197,0,AJ$13),15-13*ORÇAMENTO!$AF$7)/$H197*OFFSET(ORÇAMENTO!$X$15,ROW(AJ197)-ROW(AJ$15),0),
              ROUND(ROUND(OFFSET($P197,0,AJ$13),15-13*ORÇAMENTO!$AF$7)*OFFSET(ORÇAMENTO!$W$15,ROW(AJ197)-ROW(AJ$15),0),15-13*ORÇAMENTO!$AF$11)),
         0)</f>
        <v>193.65</v>
      </c>
      <c r="AK197" s="452">
        <f ca="1">IF(AND($D197="Serviço",AK$12&lt;&gt;0,$H197&gt;0,OR(AUTOEVENTO&lt;&gt;"manual",$M197&lt;&gt;$A$15)),
        IF(Import.TipoArredondamento&lt;&gt;"TransfereGOV",
              ROUND(OFFSET($P197,0,AK$13),15-13*ORÇAMENTO!$AF$7)/$H197*OFFSET(ORÇAMENTO!$X$15,ROW(AK197)-ROW(AK$15),0),
              ROUND(ROUND(OFFSET($P197,0,AK$13),15-13*ORÇAMENTO!$AF$7)*OFFSET(ORÇAMENTO!$W$15,ROW(AK197)-ROW(AK$15),0),15-13*ORÇAMENTO!$AF$11)),
         0)</f>
        <v>193.65</v>
      </c>
      <c r="AL197" s="452">
        <f ca="1">IF(AND($D197="Serviço",AL$12&lt;&gt;0,$H197&gt;0,OR(AUTOEVENTO&lt;&gt;"manual",$M197&lt;&gt;$A$15)),
        IF(Import.TipoArredondamento&lt;&gt;"TransfereGOV",
              ROUND(OFFSET($P197,0,AL$13),15-13*ORÇAMENTO!$AF$7)/$H197*OFFSET(ORÇAMENTO!$X$15,ROW(AL197)-ROW(AL$15),0),
              ROUND(ROUND(OFFSET($P197,0,AL$13),15-13*ORÇAMENTO!$AF$7)*OFFSET(ORÇAMENTO!$W$15,ROW(AL197)-ROW(AL$15),0),15-13*ORÇAMENTO!$AF$11)),
         0)</f>
        <v>193.65</v>
      </c>
      <c r="AM197" s="452">
        <f ca="1">IF(AND($D197="Serviço",AM$12&lt;&gt;0,$H197&gt;0,OR(AUTOEVENTO&lt;&gt;"manual",$M197&lt;&gt;$A$15)),
        IF(Import.TipoArredondamento&lt;&gt;"TransfereGOV",
              ROUND(OFFSET($P197,0,AM$13),15-13*ORÇAMENTO!$AF$7)/$H197*OFFSET(ORÇAMENTO!$X$15,ROW(AM197)-ROW(AM$15),0),
              ROUND(ROUND(OFFSET($P197,0,AM$13),15-13*ORÇAMENTO!$AF$7)*OFFSET(ORÇAMENTO!$W$15,ROW(AM197)-ROW(AM$15),0),15-13*ORÇAMENTO!$AF$11)),
         0)</f>
        <v>193.65</v>
      </c>
      <c r="AN197" s="452">
        <f ca="1">IF(AND($D197="Serviço",AN$12&lt;&gt;0,$H197&gt;0,OR(AUTOEVENTO&lt;&gt;"manual",$M197&lt;&gt;$A$15)),
        IF(Import.TipoArredondamento&lt;&gt;"TransfereGOV",
              ROUND(OFFSET($P197,0,AN$13),15-13*ORÇAMENTO!$AF$7)/$H197*OFFSET(ORÇAMENTO!$X$15,ROW(AN197)-ROW(AN$15),0),
              ROUND(ROUND(OFFSET($P197,0,AN$13),15-13*ORÇAMENTO!$AF$7)*OFFSET(ORÇAMENTO!$W$15,ROW(AN197)-ROW(AN$15),0),15-13*ORÇAMENTO!$AF$11)),
         0)</f>
        <v>0</v>
      </c>
      <c r="AO197" s="452">
        <f ca="1">IF(AND($D197="Serviço",AO$12&lt;&gt;0,$H197&gt;0,OR(AUTOEVENTO&lt;&gt;"manual",$M197&lt;&gt;$A$15)),
        IF(Import.TipoArredondamento&lt;&gt;"TransfereGOV",
              ROUND(OFFSET($P197,0,AO$13),15-13*ORÇAMENTO!$AF$7)/$H197*OFFSET(ORÇAMENTO!$X$15,ROW(AO197)-ROW(AO$15),0),
              ROUND(ROUND(OFFSET($P197,0,AO$13),15-13*ORÇAMENTO!$AF$7)*OFFSET(ORÇAMENTO!$W$15,ROW(AO197)-ROW(AO$15),0),15-13*ORÇAMENTO!$AF$11)),
         0)</f>
        <v>0</v>
      </c>
      <c r="AP197" s="452">
        <f ca="1">IF(AND($D197="Serviço",AP$12&lt;&gt;0,$H197&gt;0,OR(AUTOEVENTO&lt;&gt;"manual",$M197&lt;&gt;$A$15)),
        IF(Import.TipoArredondamento&lt;&gt;"TransfereGOV",
              ROUND(OFFSET($P197,0,AP$13),15-13*ORÇAMENTO!$AF$7)/$H197*OFFSET(ORÇAMENTO!$X$15,ROW(AP197)-ROW(AP$15),0),
              ROUND(ROUND(OFFSET($P197,0,AP$13),15-13*ORÇAMENTO!$AF$7)*OFFSET(ORÇAMENTO!$W$15,ROW(AP197)-ROW(AP$15),0),15-13*ORÇAMENTO!$AF$11)),
         0)</f>
        <v>0</v>
      </c>
      <c r="AQ197" s="452">
        <f ca="1">IF(AND($D197="Serviço",AQ$12&lt;&gt;0,$H197&gt;0,OR(AUTOEVENTO&lt;&gt;"manual",$M197&lt;&gt;$A$15)),
        IF(Import.TipoArredondamento&lt;&gt;"TransfereGOV",
              ROUND(OFFSET($P197,0,AQ$13),15-13*ORÇAMENTO!$AF$7)/$H197*OFFSET(ORÇAMENTO!$X$15,ROW(AQ197)-ROW(AQ$15),0),
              ROUND(ROUND(OFFSET($P197,0,AQ$13),15-13*ORÇAMENTO!$AF$7)*OFFSET(ORÇAMENTO!$W$15,ROW(AQ197)-ROW(AQ$15),0),15-13*ORÇAMENTO!$AF$11)),
         0)</f>
        <v>0</v>
      </c>
      <c r="AR197" s="452">
        <f ca="1">IF(AND($D197="Serviço",AR$12&lt;&gt;0,$H197&gt;0,OR(AUTOEVENTO&lt;&gt;"manual",$M197&lt;&gt;$A$15)),
        IF(Import.TipoArredondamento&lt;&gt;"TransfereGOV",
              ROUND(OFFSET($P197,0,AR$13),15-13*ORÇAMENTO!$AF$7)/$H197*OFFSET(ORÇAMENTO!$X$15,ROW(AR197)-ROW(AR$15),0),
              ROUND(ROUND(OFFSET($P197,0,AR$13),15-13*ORÇAMENTO!$AF$7)*OFFSET(ORÇAMENTO!$W$15,ROW(AR197)-ROW(AR$15),0),15-13*ORÇAMENTO!$AF$11)),
         0)</f>
        <v>0</v>
      </c>
      <c r="AS197" s="452">
        <f ca="1">IF(AND($D197="Serviço",AS$12&lt;&gt;0,$H197&gt;0,OR(AUTOEVENTO&lt;&gt;"manual",$M197&lt;&gt;$A$15)),
        IF(Import.TipoArredondamento&lt;&gt;"TransfereGOV",
              ROUND(OFFSET($P197,0,AS$13),15-13*ORÇAMENTO!$AF$7)/$H197*OFFSET(ORÇAMENTO!$X$15,ROW(AS197)-ROW(AS$15),0),
              ROUND(ROUND(OFFSET($P197,0,AS$13),15-13*ORÇAMENTO!$AF$7)*OFFSET(ORÇAMENTO!$W$15,ROW(AS197)-ROW(AS$15),0),15-13*ORÇAMENTO!$AF$11)),
         0)</f>
        <v>0</v>
      </c>
      <c r="AT197" s="452">
        <f ca="1">IF(AND($D197="Serviço",AT$12&lt;&gt;0,$H197&gt;0,OR(AUTOEVENTO&lt;&gt;"manual",$M197&lt;&gt;$A$15)),
        IF(Import.TipoArredondamento&lt;&gt;"TransfereGOV",
              ROUND(OFFSET($P197,0,AT$13),15-13*ORÇAMENTO!$AF$7)/$H197*OFFSET(ORÇAMENTO!$X$15,ROW(AT197)-ROW(AT$15),0),
              ROUND(ROUND(OFFSET($P197,0,AT$13),15-13*ORÇAMENTO!$AF$7)*OFFSET(ORÇAMENTO!$W$15,ROW(AT197)-ROW(AT$15),0),15-13*ORÇAMENTO!$AF$11)),
         0)</f>
        <v>0</v>
      </c>
      <c r="AU197" s="452">
        <f ca="1">IF(AND($D197="Serviço",AU$12&lt;&gt;0,$H197&gt;0,OR(AUTOEVENTO&lt;&gt;"manual",$M197&lt;&gt;$A$15)),
        IF(Import.TipoArredondamento&lt;&gt;"TransfereGOV",
              ROUND(OFFSET($P197,0,AU$13),15-13*ORÇAMENTO!$AF$7)/$H197*OFFSET(ORÇAMENTO!$X$15,ROW(AU197)-ROW(AU$15),0),
              ROUND(ROUND(OFFSET($P197,0,AU$13),15-13*ORÇAMENTO!$AF$7)*OFFSET(ORÇAMENTO!$W$15,ROW(AU197)-ROW(AU$15),0),15-13*ORÇAMENTO!$AF$11)),
         0)</f>
        <v>0</v>
      </c>
      <c r="AV197" s="452">
        <f ca="1">IF(AND($D197="Serviço",AV$12&lt;&gt;0,$H197&gt;0,OR(AUTOEVENTO&lt;&gt;"manual",$M197&lt;&gt;$A$15)),
        IF(Import.TipoArredondamento&lt;&gt;"TransfereGOV",
              ROUND(OFFSET($P197,0,AV$13),15-13*ORÇAMENTO!$AF$7)/$H197*OFFSET(ORÇAMENTO!$X$15,ROW(AV197)-ROW(AV$15),0),
              ROUND(ROUND(OFFSET($P197,0,AV$13),15-13*ORÇAMENTO!$AF$7)*OFFSET(ORÇAMENTO!$W$15,ROW(AV197)-ROW(AV$15),0),15-13*ORÇAMENTO!$AF$11)),
         0)</f>
        <v>0</v>
      </c>
      <c r="AW197" s="452">
        <f ca="1">IF(AND($D197="Serviço",AW$12&lt;&gt;0,$H197&gt;0,OR(AUTOEVENTO&lt;&gt;"manual",$M197&lt;&gt;$A$15)),
        IF(Import.TipoArredondamento&lt;&gt;"TransfereGOV",
              ROUND(OFFSET($P197,0,AW$13),15-13*ORÇAMENTO!$AF$7)/$H197*OFFSET(ORÇAMENTO!$X$15,ROW(AW197)-ROW(AW$15),0),
              ROUND(ROUND(OFFSET($P197,0,AW$13),15-13*ORÇAMENTO!$AF$7)*OFFSET(ORÇAMENTO!$W$15,ROW(AW197)-ROW(AW$15),0),15-13*ORÇAMENTO!$AF$11)),
         0)</f>
        <v>0</v>
      </c>
      <c r="AX197" s="452">
        <f ca="1">IF(AND($D197="Serviço",AX$12&lt;&gt;0,$H197&gt;0,OR(AUTOEVENTO&lt;&gt;"manual",$M197&lt;&gt;$A$15)),
        IF(Import.TipoArredondamento&lt;&gt;"TransfereGOV",
              ROUND(OFFSET($P197,0,AX$13),15-13*ORÇAMENTO!$AF$7)/$H197*OFFSET(ORÇAMENTO!$X$15,ROW(AX197)-ROW(AX$15),0),
              ROUND(ROUND(OFFSET($P197,0,AX$13),15-13*ORÇAMENTO!$AF$7)*OFFSET(ORÇAMENTO!$W$15,ROW(AX197)-ROW(AX$15),0),15-13*ORÇAMENTO!$AF$11)),
         0)</f>
        <v>0</v>
      </c>
      <c r="AY197" s="452">
        <f ca="1">IF(AND($D197="Serviço",AY$12&lt;&gt;0,$H197&gt;0,OR(AUTOEVENTO&lt;&gt;"manual",$M197&lt;&gt;$A$15)),
        IF(Import.TipoArredondamento&lt;&gt;"TransfereGOV",
              ROUND(OFFSET($P197,0,AY$13),15-13*ORÇAMENTO!$AF$7)/$H197*OFFSET(ORÇAMENTO!$X$15,ROW(AY197)-ROW(AY$15),0),
              ROUND(ROUND(OFFSET($P197,0,AY$13),15-13*ORÇAMENTO!$AF$7)*OFFSET(ORÇAMENTO!$W$15,ROW(AY197)-ROW(AY$15),0),15-13*ORÇAMENTO!$AF$11)),
         0)</f>
        <v>0</v>
      </c>
      <c r="AZ197" s="452">
        <f ca="1">IF(AND($D197="Serviço",AZ$12&lt;&gt;0,$H197&gt;0,OR(AUTOEVENTO&lt;&gt;"manual",$M197&lt;&gt;$A$15)),
        IF(Import.TipoArredondamento&lt;&gt;"TransfereGOV",
              ROUND(OFFSET($P197,0,AZ$13),15-13*ORÇAMENTO!$AF$7)/$H197*OFFSET(ORÇAMENTO!$X$15,ROW(AZ197)-ROW(AZ$15),0),
              ROUND(ROUND(OFFSET($P197,0,AZ$13),15-13*ORÇAMENTO!$AF$7)*OFFSET(ORÇAMENTO!$W$15,ROW(AZ197)-ROW(AZ$15),0),15-13*ORÇAMENTO!$AF$11)),
         0)</f>
        <v>0</v>
      </c>
      <c r="BA197" s="452">
        <f ca="1">IF(AND($D197="Serviço",BA$12&lt;&gt;0,$H197&gt;0,OR(AUTOEVENTO&lt;&gt;"manual",$M197&lt;&gt;$A$15)),
        IF(Import.TipoArredondamento&lt;&gt;"TransfereGOV",
              ROUND(OFFSET($P197,0,BA$13),15-13*ORÇAMENTO!$AF$7)/$H197*OFFSET(ORÇAMENTO!$X$15,ROW(BA197)-ROW(BA$15),0),
              ROUND(ROUND(OFFSET($P197,0,BA$13),15-13*ORÇAMENTO!$AF$7)*OFFSET(ORÇAMENTO!$W$15,ROW(BA197)-ROW(BA$15),0),15-13*ORÇAMENTO!$AF$11)),
         0)</f>
        <v>0</v>
      </c>
      <c r="BC197" s="171">
        <f ca="1">IF(OR($D197&lt;&gt;"Serviço",AND(AUTOEVENTO="Manual",$M197=$A$15)),0,
         IF(OFFSET(CRONOPLE!$F$15,$M197-$A$15,BC$13)=0,10^12,OFFSET(CRONOPLE!$F$15,$M197-$A$15,BC$13)))</f>
        <v>5</v>
      </c>
      <c r="BD197" s="171">
        <f ca="1">IF(OR($D197&lt;&gt;"Serviço",AND(AUTOEVENTO="Manual",$M197=$A$15)),0,
         IF(OFFSET(CRONOPLE!$F$15,$M197-$A$15,BD$13)=0,10^12,OFFSET(CRONOPLE!$F$15,$M197-$A$15,BD$13)))</f>
        <v>5</v>
      </c>
      <c r="BE197" s="171">
        <f ca="1">IF(OR($D197&lt;&gt;"Serviço",AND(AUTOEVENTO="Manual",$M197=$A$15)),0,
         IF(OFFSET(CRONOPLE!$F$15,$M197-$A$15,BE$13)=0,10^12,OFFSET(CRONOPLE!$F$15,$M197-$A$15,BE$13)))</f>
        <v>6</v>
      </c>
      <c r="BF197" s="171">
        <f ca="1">IF(OR($D197&lt;&gt;"Serviço",AND(AUTOEVENTO="Manual",$M197=$A$15)),0,
         IF(OFFSET(CRONOPLE!$F$15,$M197-$A$15,BF$13)=0,10^12,OFFSET(CRONOPLE!$F$15,$M197-$A$15,BF$13)))</f>
        <v>6</v>
      </c>
      <c r="BG197" s="171">
        <f ca="1">IF(OR($D197&lt;&gt;"Serviço",AND(AUTOEVENTO="Manual",$M197=$A$15)),0,
         IF(OFFSET(CRONOPLE!$F$15,$M197-$A$15,BG$13)=0,10^12,OFFSET(CRONOPLE!$F$15,$M197-$A$15,BG$13)))</f>
        <v>6</v>
      </c>
      <c r="BH197" s="171">
        <f ca="1">IF(OR($D197&lt;&gt;"Serviço",AND(AUTOEVENTO="Manual",$M197=$A$15)),0,
         IF(OFFSET(CRONOPLE!$F$15,$M197-$A$15,BH$13)=0,10^12,OFFSET(CRONOPLE!$F$15,$M197-$A$15,BH$13)))</f>
        <v>1000000000000</v>
      </c>
      <c r="BI197" s="171">
        <f ca="1">IF(OR($D197&lt;&gt;"Serviço",AND(AUTOEVENTO="Manual",$M197=$A$15)),0,
         IF(OFFSET(CRONOPLE!$F$15,$M197-$A$15,BI$13)=0,10^12,OFFSET(CRONOPLE!$F$15,$M197-$A$15,BI$13)))</f>
        <v>1000000000000</v>
      </c>
      <c r="BJ197" s="171">
        <f ca="1">IF(OR($D197&lt;&gt;"Serviço",AND(AUTOEVENTO="Manual",$M197=$A$15)),0,
         IF(OFFSET(CRONOPLE!$F$15,$M197-$A$15,BJ$13)=0,10^12,OFFSET(CRONOPLE!$F$15,$M197-$A$15,BJ$13)))</f>
        <v>1000000000000</v>
      </c>
      <c r="BK197" s="171">
        <f ca="1">IF(OR($D197&lt;&gt;"Serviço",AND(AUTOEVENTO="Manual",$M197=$A$15)),0,
         IF(OFFSET(CRONOPLE!$F$15,$M197-$A$15,BK$13)=0,10^12,OFFSET(CRONOPLE!$F$15,$M197-$A$15,BK$13)))</f>
        <v>9</v>
      </c>
      <c r="BL197" s="171">
        <f ca="1">IF(OR($D197&lt;&gt;"Serviço",AND(AUTOEVENTO="Manual",$M197=$A$15)),0,
         IF(OFFSET(CRONOPLE!$F$15,$M197-$A$15,BL$13)=0,10^12,OFFSET(CRONOPLE!$F$15,$M197-$A$15,BL$13)))</f>
        <v>1000000000000</v>
      </c>
      <c r="BM197" s="171">
        <f ca="1">IF(OR($D197&lt;&gt;"Serviço",AND(AUTOEVENTO="Manual",$M197=$A$15)),0,
         IF(OFFSET(CRONOPLE!$F$15,$M197-$A$15,BM$13)=0,10^12,OFFSET(CRONOPLE!$F$15,$M197-$A$15,BM$13)))</f>
        <v>1000000000000</v>
      </c>
      <c r="BN197" s="171">
        <f ca="1">IF(OR($D197&lt;&gt;"Serviço",AND(AUTOEVENTO="Manual",$M197=$A$15)),0,
         IF(OFFSET(CRONOPLE!$F$15,$M197-$A$15,BN$13)=0,10^12,OFFSET(CRONOPLE!$F$15,$M197-$A$15,BN$13)))</f>
        <v>1000000000000</v>
      </c>
      <c r="BO197" s="171">
        <f ca="1">IF(OR($D197&lt;&gt;"Serviço",AND(AUTOEVENTO="Manual",$M197=$A$15)),0,
         IF(OFFSET(CRONOPLE!$F$15,$M197-$A$15,BO$13)=0,10^12,OFFSET(CRONOPLE!$F$15,$M197-$A$15,BO$13)))</f>
        <v>1000000000000</v>
      </c>
      <c r="BP197" s="171">
        <f ca="1">IF(OR($D197&lt;&gt;"Serviço",AND(AUTOEVENTO="Manual",$M197=$A$15)),0,
         IF(OFFSET(CRONOPLE!$F$15,$M197-$A$15,BP$13)=0,10^12,OFFSET(CRONOPLE!$F$15,$M197-$A$15,BP$13)))</f>
        <v>1000000000000</v>
      </c>
      <c r="BQ197" s="171">
        <f ca="1">IF(OR($D197&lt;&gt;"Serviço",AND(AUTOEVENTO="Manual",$M197=$A$15)),0,
         IF(OFFSET(CRONOPLE!$F$15,$M197-$A$15,BQ$13)=0,10^12,OFFSET(CRONOPLE!$F$15,$M197-$A$15,BQ$13)))</f>
        <v>1000000000000</v>
      </c>
      <c r="BR197" s="171">
        <f ca="1">IF(OR($D197&lt;&gt;"Serviço",AND(AUTOEVENTO="Manual",$M197=$A$15)),0,
         IF(OFFSET(CRONOPLE!$F$15,$M197-$A$15,BR$13)=0,10^12,OFFSET(CRONOPLE!$F$15,$M197-$A$15,BR$13)))</f>
        <v>1000000000000</v>
      </c>
      <c r="BS197" s="171">
        <f ca="1">IF(OR($D197&lt;&gt;"Serviço",AND(AUTOEVENTO="Manual",$M197=$A$15)),0,
         IF(OFFSET(CRONOPLE!$F$15,$M197-$A$15,BS$13)=0,10^12,OFFSET(CRONOPLE!$F$15,$M197-$A$15,BS$13)))</f>
        <v>1000000000000</v>
      </c>
      <c r="BT197" s="171">
        <f ca="1">IF(OR($D197&lt;&gt;"Serviço",AND(AUTOEVENTO="Manual",$M197=$A$15)),0,
         IF(OFFSET(CRONOPLE!$F$15,$M197-$A$15,BT$13)=0,10^12,OFFSET(CRONOPLE!$F$15,$M197-$A$15,BT$13)))</f>
        <v>1000000000000</v>
      </c>
      <c r="BV197" s="172">
        <f t="array" aca="1" ref="BV197" ca="1">IF(OR($D197&lt;&gt;"Serviço",AND(AUTOEVENTO="Manual",$M197=$A$15),$M197&gt;(ROW(PLE.lastrow)-ROW(PLE.firstrow))),0,
           IF(OFFSET(PLE!$G$15,$M197-$A$15,BV$13)="",10^12,OFFSET(PLE!$G$15,$M197-$A$15,BV$13)))</f>
        <v>1000000000000</v>
      </c>
      <c r="BW197" s="172">
        <f t="array" aca="1" ref="BW197" ca="1">IF(OR($D197&lt;&gt;"Serviço",AND(AUTOEVENTO="Manual",$M197=$A$15),$M197&gt;(ROW(PLE.lastrow)-ROW(PLE.firstrow))),0,
           IF(OFFSET(PLE!$G$15,$M197-$A$15,BW$13)="",10^12,OFFSET(PLE!$G$15,$M197-$A$15,BW$13)))</f>
        <v>1000000000000</v>
      </c>
      <c r="BX197" s="172">
        <f t="array" aca="1" ref="BX197" ca="1">IF(OR($D197&lt;&gt;"Serviço",AND(AUTOEVENTO="Manual",$M197=$A$15),$M197&gt;(ROW(PLE.lastrow)-ROW(PLE.firstrow))),0,
           IF(OFFSET(PLE!$G$15,$M197-$A$15,BX$13)="",10^12,OFFSET(PLE!$G$15,$M197-$A$15,BX$13)))</f>
        <v>1000000000000</v>
      </c>
      <c r="BY197" s="172">
        <f t="array" aca="1" ref="BY197" ca="1">IF(OR($D197&lt;&gt;"Serviço",AND(AUTOEVENTO="Manual",$M197=$A$15),$M197&gt;(ROW(PLE.lastrow)-ROW(PLE.firstrow))),0,
           IF(OFFSET(PLE!$G$15,$M197-$A$15,BY$13)="",10^12,OFFSET(PLE!$G$15,$M197-$A$15,BY$13)))</f>
        <v>1000000000000</v>
      </c>
      <c r="BZ197" s="172">
        <f t="array" aca="1" ref="BZ197" ca="1">IF(OR($D197&lt;&gt;"Serviço",AND(AUTOEVENTO="Manual",$M197=$A$15),$M197&gt;(ROW(PLE.lastrow)-ROW(PLE.firstrow))),0,
           IF(OFFSET(PLE!$G$15,$M197-$A$15,BZ$13)="",10^12,OFFSET(PLE!$G$15,$M197-$A$15,BZ$13)))</f>
        <v>1000000000000</v>
      </c>
      <c r="CA197" s="172">
        <f t="array" aca="1" ref="CA197" ca="1">IF(OR($D197&lt;&gt;"Serviço",AND(AUTOEVENTO="Manual",$M197=$A$15),$M197&gt;(ROW(PLE.lastrow)-ROW(PLE.firstrow))),0,
           IF(OFFSET(PLE!$G$15,$M197-$A$15,CA$13)="",10^12,OFFSET(PLE!$G$15,$M197-$A$15,CA$13)))</f>
        <v>1000000000000</v>
      </c>
      <c r="CB197" s="172">
        <f t="array" aca="1" ref="CB197" ca="1">IF(OR($D197&lt;&gt;"Serviço",AND(AUTOEVENTO="Manual",$M197=$A$15),$M197&gt;(ROW(PLE.lastrow)-ROW(PLE.firstrow))),0,
           IF(OFFSET(PLE!$G$15,$M197-$A$15,CB$13)="",10^12,OFFSET(PLE!$G$15,$M197-$A$15,CB$13)))</f>
        <v>1000000000000</v>
      </c>
      <c r="CC197" s="172">
        <f t="array" aca="1" ref="CC197" ca="1">IF(OR($D197&lt;&gt;"Serviço",AND(AUTOEVENTO="Manual",$M197=$A$15),$M197&gt;(ROW(PLE.lastrow)-ROW(PLE.firstrow))),0,
           IF(OFFSET(PLE!$G$15,$M197-$A$15,CC$13)="",10^12,OFFSET(PLE!$G$15,$M197-$A$15,CC$13)))</f>
        <v>1000000000000</v>
      </c>
      <c r="CD197" s="172">
        <f t="array" aca="1" ref="CD197" ca="1">IF(OR($D197&lt;&gt;"Serviço",AND(AUTOEVENTO="Manual",$M197=$A$15),$M197&gt;(ROW(PLE.lastrow)-ROW(PLE.firstrow))),0,
           IF(OFFSET(PLE!$G$15,$M197-$A$15,CD$13)="",10^12,OFFSET(PLE!$G$15,$M197-$A$15,CD$13)))</f>
        <v>1000000000000</v>
      </c>
      <c r="CE197" s="172">
        <f t="array" aca="1" ref="CE197" ca="1">IF(OR($D197&lt;&gt;"Serviço",AND(AUTOEVENTO="Manual",$M197=$A$15),$M197&gt;(ROW(PLE.lastrow)-ROW(PLE.firstrow))),0,
           IF(OFFSET(PLE!$G$15,$M197-$A$15,CE$13)="",10^12,OFFSET(PLE!$G$15,$M197-$A$15,CE$13)))</f>
        <v>1000000000000</v>
      </c>
      <c r="CF197" s="172">
        <f t="array" aca="1" ref="CF197" ca="1">IF(OR($D197&lt;&gt;"Serviço",AND(AUTOEVENTO="Manual",$M197=$A$15),$M197&gt;(ROW(PLE.lastrow)-ROW(PLE.firstrow))),0,
           IF(OFFSET(PLE!$G$15,$M197-$A$15,CF$13)="",10^12,OFFSET(PLE!$G$15,$M197-$A$15,CF$13)))</f>
        <v>1000000000000</v>
      </c>
      <c r="CG197" s="172">
        <f t="array" aca="1" ref="CG197" ca="1">IF(OR($D197&lt;&gt;"Serviço",AND(AUTOEVENTO="Manual",$M197=$A$15),$M197&gt;(ROW(PLE.lastrow)-ROW(PLE.firstrow))),0,
           IF(OFFSET(PLE!$G$15,$M197-$A$15,CG$13)="",10^12,OFFSET(PLE!$G$15,$M197-$A$15,CG$13)))</f>
        <v>1000000000000</v>
      </c>
      <c r="CH197" s="172">
        <f t="array" aca="1" ref="CH197" ca="1">IF(OR($D197&lt;&gt;"Serviço",AND(AUTOEVENTO="Manual",$M197=$A$15),$M197&gt;(ROW(PLE.lastrow)-ROW(PLE.firstrow))),0,
           IF(OFFSET(PLE!$G$15,$M197-$A$15,CH$13)="",10^12,OFFSET(PLE!$G$15,$M197-$A$15,CH$13)))</f>
        <v>1000000000000</v>
      </c>
      <c r="CI197" s="172">
        <f t="array" aca="1" ref="CI197" ca="1">IF(OR($D197&lt;&gt;"Serviço",AND(AUTOEVENTO="Manual",$M197=$A$15),$M197&gt;(ROW(PLE.lastrow)-ROW(PLE.firstrow))),0,
           IF(OFFSET(PLE!$G$15,$M197-$A$15,CI$13)="",10^12,OFFSET(PLE!$G$15,$M197-$A$15,CI$13)))</f>
        <v>1000000000000</v>
      </c>
      <c r="CJ197" s="172">
        <f t="array" aca="1" ref="CJ197" ca="1">IF(OR($D197&lt;&gt;"Serviço",AND(AUTOEVENTO="Manual",$M197=$A$15),$M197&gt;(ROW(PLE.lastrow)-ROW(PLE.firstrow))),0,
           IF(OFFSET(PLE!$G$15,$M197-$A$15,CJ$13)="",10^12,OFFSET(PLE!$G$15,$M197-$A$15,CJ$13)))</f>
        <v>1000000000000</v>
      </c>
      <c r="CK197" s="172">
        <f t="array" aca="1" ref="CK197" ca="1">IF(OR($D197&lt;&gt;"Serviço",AND(AUTOEVENTO="Manual",$M197=$A$15),$M197&gt;(ROW(PLE.lastrow)-ROW(PLE.firstrow))),0,
           IF(OFFSET(PLE!$G$15,$M197-$A$15,CK$13)="",10^12,OFFSET(PLE!$G$15,$M197-$A$15,CK$13)))</f>
        <v>1000000000000</v>
      </c>
      <c r="CL197" s="172">
        <f t="array" aca="1" ref="CL197" ca="1">IF(OR($D197&lt;&gt;"Serviço",AND(AUTOEVENTO="Manual",$M197=$A$15),$M197&gt;(ROW(PLE.lastrow)-ROW(PLE.firstrow))),0,
           IF(OFFSET(PLE!$G$15,$M197-$A$15,CL$13)="",10^12,OFFSET(PLE!$G$15,$M197-$A$15,CL$13)))</f>
        <v>1000000000000</v>
      </c>
      <c r="CM197" s="172">
        <f t="array" aca="1" ref="CM197" ca="1">IF(OR($D197&lt;&gt;"Serviço",AND(AUTOEVENTO="Manual",$M197=$A$15),$M197&gt;(ROW(PLE.lastrow)-ROW(PLE.firstrow))),0,
           IF(OFFSET(PLE!$G$15,$M197-$A$15,CM$13)="",10^12,OFFSET(PLE!$G$15,$M197-$A$15,CM$13)))</f>
        <v>1000000000000</v>
      </c>
    </row>
    <row r="198" spans="1:91" s="696" customFormat="1" ht="63.75" x14ac:dyDescent="0.2">
      <c r="A198" s="694">
        <f t="shared" ca="1" si="98"/>
        <v>31</v>
      </c>
      <c r="B198" s="694" t="str">
        <f ca="1">OFFSET(ORÇAMENTO!C$15,$L198,0)</f>
        <v>S</v>
      </c>
      <c r="C198" s="694" t="str">
        <f ca="1">OFFSET(ORÇAMENTO!L$15,$L198,0)</f>
        <v>F</v>
      </c>
      <c r="D198" s="116" t="str">
        <f ca="1">OFFSET(ORÇAMENTO!N$15,$L198,0)</f>
        <v>Serviço</v>
      </c>
      <c r="E198" s="117" t="str">
        <f ca="1">OFFSET(ORÇAMENTO!O$15,$L198,0)</f>
        <v>1.30.2.</v>
      </c>
      <c r="F198" s="163" t="str">
        <f ca="1">OFFSET(ORÇAMENTO!R$15,$L198,0)</f>
        <v>JOELHO 45 GRAUS, PVC, SERIE NORMAL, ESGOTO PREDIAL, DN 50 MM, JUNTA ELÁSTICA, FORNECIDO E INSTALADO EM RAMAL DE DESCARGA OU RAMAL DE ESGOTO SANITÁRIO. AF_08/2022</v>
      </c>
      <c r="G198" s="164" t="str">
        <f ca="1">IF($D198&lt;&gt;"Serviço","",OFFSET(ORÇAMENTO!S$15,$L198,0))</f>
        <v>UN</v>
      </c>
      <c r="H198" s="122">
        <f t="array" aca="1" ref="H198" ca="1">IF($D198&lt;&gt;"Serviço",0,IF(ACOMPANHAMENTO="BM",ROUND(OFFSET(ORÇAMENTO!AJ$15,$L198,0),15-13*ORÇAMENTO!$AF$7),IF(IFERROR(CÁLCULO.FrentesPreenchidas,0)=0,0,SUM(ROUND(OFFSET($P198,0,1,1,CÁLCULO.FrentesPreenchidas),15-13*ORÇAMENTO!$AF$7)))))</f>
        <v>40</v>
      </c>
      <c r="I198" s="467" t="s">
        <v>1323</v>
      </c>
      <c r="J198" s="653" t="str">
        <f t="array" aca="1" ref="J198" ca="1">IF(OR(B198&lt;&gt;"S",CÁLCULO.FrentesPreenchidas=0),"",IF(AND(ACOMPANHAMENTO="PLE",AUTOEVENTO="Manual",OR(H198&gt;0,ORÇAMENTO!AC198="QUANT."),OR(K198="",M198=0,N198="")),"►E",IF(AND(ACOMPANHAMENTO="PLE",ORÇAMENTO!AC198="QUANT."),"►Q",IF(AND(ACOMPANHAMENTO="PLE",H198&lt;&gt;SUMPRODUCT(($Q$1:$AI$1=1)*ROUND(Q198:AI198,15))),"►S",IF(AND(COUNTIF($P$11:$AI$11,"▼")=0,H198&gt;0,I198=""),"◄M","")))))</f>
        <v/>
      </c>
      <c r="K198" s="654" t="s">
        <v>1447</v>
      </c>
      <c r="L198" s="165">
        <f t="shared" ca="1" si="99"/>
        <v>183</v>
      </c>
      <c r="M198" s="166">
        <f ca="1">IF($D198&lt;&gt;"Serviço","",
          IF(AUTOEVENTO="manual",$A198,
                IF(ISERROR(MATCH($A198,$A$15:OFFSET($A198,-1,0),0)),MAX($M$15:OFFSET(M198,-1,0))+1,
                      INDEX($M$15:OFFSET(M198,-1,0),MATCH($A198,$A$15:OFFSET($A198,-1,0),0)))))</f>
        <v>31</v>
      </c>
      <c r="N198" s="167" t="str">
        <f ca="1">IF($D198&lt;&gt;"Serviço","",
         IF(AUTOEVENTO="Manual",
                IF($A198=0,"&lt;-- defina o número do agrupador",
                       OFFSET(EVENTOS!$D$15,$A198-$A$15,0)),
                OFFSET($F$15,$A198,0)))</f>
        <v>REDE PLUVIAL E ESGOTO</v>
      </c>
      <c r="O198" s="168"/>
      <c r="Q198" s="169">
        <v>10</v>
      </c>
      <c r="R198" s="169">
        <v>10</v>
      </c>
      <c r="S198" s="169">
        <v>10</v>
      </c>
      <c r="T198" s="169">
        <v>10</v>
      </c>
      <c r="U198" s="169"/>
      <c r="V198" s="169"/>
      <c r="W198" s="169"/>
      <c r="X198" s="169"/>
      <c r="Y198" s="169"/>
      <c r="Z198" s="170"/>
      <c r="AA198" s="169"/>
      <c r="AB198" s="169"/>
      <c r="AC198" s="169"/>
      <c r="AD198" s="169"/>
      <c r="AE198" s="169"/>
      <c r="AF198" s="169"/>
      <c r="AG198" s="169"/>
      <c r="AH198" s="170"/>
      <c r="AJ198" s="452">
        <f ca="1">IF(AND($D198="Serviço",AJ$12&lt;&gt;0,$H198&gt;0,OR(AUTOEVENTO&lt;&gt;"manual",$M198&lt;&gt;$A$15)),
        IF(Import.TipoArredondamento&lt;&gt;"TransfereGOV",
              ROUND(OFFSET($P198,0,AJ$13),15-13*ORÇAMENTO!$AF$7)/$H198*OFFSET(ORÇAMENTO!$X$15,ROW(AJ198)-ROW(AJ$15),0),
              ROUND(ROUND(OFFSET($P198,0,AJ$13),15-13*ORÇAMENTO!$AF$7)*OFFSET(ORÇAMENTO!$W$15,ROW(AJ198)-ROW(AJ$15),0),15-13*ORÇAMENTO!$AF$11)),
         0)</f>
        <v>186</v>
      </c>
      <c r="AK198" s="452">
        <f ca="1">IF(AND($D198="Serviço",AK$12&lt;&gt;0,$H198&gt;0,OR(AUTOEVENTO&lt;&gt;"manual",$M198&lt;&gt;$A$15)),
        IF(Import.TipoArredondamento&lt;&gt;"TransfereGOV",
              ROUND(OFFSET($P198,0,AK$13),15-13*ORÇAMENTO!$AF$7)/$H198*OFFSET(ORÇAMENTO!$X$15,ROW(AK198)-ROW(AK$15),0),
              ROUND(ROUND(OFFSET($P198,0,AK$13),15-13*ORÇAMENTO!$AF$7)*OFFSET(ORÇAMENTO!$W$15,ROW(AK198)-ROW(AK$15),0),15-13*ORÇAMENTO!$AF$11)),
         0)</f>
        <v>186</v>
      </c>
      <c r="AL198" s="452">
        <f ca="1">IF(AND($D198="Serviço",AL$12&lt;&gt;0,$H198&gt;0,OR(AUTOEVENTO&lt;&gt;"manual",$M198&lt;&gt;$A$15)),
        IF(Import.TipoArredondamento&lt;&gt;"TransfereGOV",
              ROUND(OFFSET($P198,0,AL$13),15-13*ORÇAMENTO!$AF$7)/$H198*OFFSET(ORÇAMENTO!$X$15,ROW(AL198)-ROW(AL$15),0),
              ROUND(ROUND(OFFSET($P198,0,AL$13),15-13*ORÇAMENTO!$AF$7)*OFFSET(ORÇAMENTO!$W$15,ROW(AL198)-ROW(AL$15),0),15-13*ORÇAMENTO!$AF$11)),
         0)</f>
        <v>186</v>
      </c>
      <c r="AM198" s="452">
        <f ca="1">IF(AND($D198="Serviço",AM$12&lt;&gt;0,$H198&gt;0,OR(AUTOEVENTO&lt;&gt;"manual",$M198&lt;&gt;$A$15)),
        IF(Import.TipoArredondamento&lt;&gt;"TransfereGOV",
              ROUND(OFFSET($P198,0,AM$13),15-13*ORÇAMENTO!$AF$7)/$H198*OFFSET(ORÇAMENTO!$X$15,ROW(AM198)-ROW(AM$15),0),
              ROUND(ROUND(OFFSET($P198,0,AM$13),15-13*ORÇAMENTO!$AF$7)*OFFSET(ORÇAMENTO!$W$15,ROW(AM198)-ROW(AM$15),0),15-13*ORÇAMENTO!$AF$11)),
         0)</f>
        <v>186</v>
      </c>
      <c r="AN198" s="452">
        <f ca="1">IF(AND($D198="Serviço",AN$12&lt;&gt;0,$H198&gt;0,OR(AUTOEVENTO&lt;&gt;"manual",$M198&lt;&gt;$A$15)),
        IF(Import.TipoArredondamento&lt;&gt;"TransfereGOV",
              ROUND(OFFSET($P198,0,AN$13),15-13*ORÇAMENTO!$AF$7)/$H198*OFFSET(ORÇAMENTO!$X$15,ROW(AN198)-ROW(AN$15),0),
              ROUND(ROUND(OFFSET($P198,0,AN$13),15-13*ORÇAMENTO!$AF$7)*OFFSET(ORÇAMENTO!$W$15,ROW(AN198)-ROW(AN$15),0),15-13*ORÇAMENTO!$AF$11)),
         0)</f>
        <v>0</v>
      </c>
      <c r="AO198" s="452">
        <f ca="1">IF(AND($D198="Serviço",AO$12&lt;&gt;0,$H198&gt;0,OR(AUTOEVENTO&lt;&gt;"manual",$M198&lt;&gt;$A$15)),
        IF(Import.TipoArredondamento&lt;&gt;"TransfereGOV",
              ROUND(OFFSET($P198,0,AO$13),15-13*ORÇAMENTO!$AF$7)/$H198*OFFSET(ORÇAMENTO!$X$15,ROW(AO198)-ROW(AO$15),0),
              ROUND(ROUND(OFFSET($P198,0,AO$13),15-13*ORÇAMENTO!$AF$7)*OFFSET(ORÇAMENTO!$W$15,ROW(AO198)-ROW(AO$15),0),15-13*ORÇAMENTO!$AF$11)),
         0)</f>
        <v>0</v>
      </c>
      <c r="AP198" s="452">
        <f ca="1">IF(AND($D198="Serviço",AP$12&lt;&gt;0,$H198&gt;0,OR(AUTOEVENTO&lt;&gt;"manual",$M198&lt;&gt;$A$15)),
        IF(Import.TipoArredondamento&lt;&gt;"TransfereGOV",
              ROUND(OFFSET($P198,0,AP$13),15-13*ORÇAMENTO!$AF$7)/$H198*OFFSET(ORÇAMENTO!$X$15,ROW(AP198)-ROW(AP$15),0),
              ROUND(ROUND(OFFSET($P198,0,AP$13),15-13*ORÇAMENTO!$AF$7)*OFFSET(ORÇAMENTO!$W$15,ROW(AP198)-ROW(AP$15),0),15-13*ORÇAMENTO!$AF$11)),
         0)</f>
        <v>0</v>
      </c>
      <c r="AQ198" s="452">
        <f ca="1">IF(AND($D198="Serviço",AQ$12&lt;&gt;0,$H198&gt;0,OR(AUTOEVENTO&lt;&gt;"manual",$M198&lt;&gt;$A$15)),
        IF(Import.TipoArredondamento&lt;&gt;"TransfereGOV",
              ROUND(OFFSET($P198,0,AQ$13),15-13*ORÇAMENTO!$AF$7)/$H198*OFFSET(ORÇAMENTO!$X$15,ROW(AQ198)-ROW(AQ$15),0),
              ROUND(ROUND(OFFSET($P198,0,AQ$13),15-13*ORÇAMENTO!$AF$7)*OFFSET(ORÇAMENTO!$W$15,ROW(AQ198)-ROW(AQ$15),0),15-13*ORÇAMENTO!$AF$11)),
         0)</f>
        <v>0</v>
      </c>
      <c r="AR198" s="452">
        <f ca="1">IF(AND($D198="Serviço",AR$12&lt;&gt;0,$H198&gt;0,OR(AUTOEVENTO&lt;&gt;"manual",$M198&lt;&gt;$A$15)),
        IF(Import.TipoArredondamento&lt;&gt;"TransfereGOV",
              ROUND(OFFSET($P198,0,AR$13),15-13*ORÇAMENTO!$AF$7)/$H198*OFFSET(ORÇAMENTO!$X$15,ROW(AR198)-ROW(AR$15),0),
              ROUND(ROUND(OFFSET($P198,0,AR$13),15-13*ORÇAMENTO!$AF$7)*OFFSET(ORÇAMENTO!$W$15,ROW(AR198)-ROW(AR$15),0),15-13*ORÇAMENTO!$AF$11)),
         0)</f>
        <v>0</v>
      </c>
      <c r="AS198" s="452">
        <f ca="1">IF(AND($D198="Serviço",AS$12&lt;&gt;0,$H198&gt;0,OR(AUTOEVENTO&lt;&gt;"manual",$M198&lt;&gt;$A$15)),
        IF(Import.TipoArredondamento&lt;&gt;"TransfereGOV",
              ROUND(OFFSET($P198,0,AS$13),15-13*ORÇAMENTO!$AF$7)/$H198*OFFSET(ORÇAMENTO!$X$15,ROW(AS198)-ROW(AS$15),0),
              ROUND(ROUND(OFFSET($P198,0,AS$13),15-13*ORÇAMENTO!$AF$7)*OFFSET(ORÇAMENTO!$W$15,ROW(AS198)-ROW(AS$15),0),15-13*ORÇAMENTO!$AF$11)),
         0)</f>
        <v>0</v>
      </c>
      <c r="AT198" s="452">
        <f ca="1">IF(AND($D198="Serviço",AT$12&lt;&gt;0,$H198&gt;0,OR(AUTOEVENTO&lt;&gt;"manual",$M198&lt;&gt;$A$15)),
        IF(Import.TipoArredondamento&lt;&gt;"TransfereGOV",
              ROUND(OFFSET($P198,0,AT$13),15-13*ORÇAMENTO!$AF$7)/$H198*OFFSET(ORÇAMENTO!$X$15,ROW(AT198)-ROW(AT$15),0),
              ROUND(ROUND(OFFSET($P198,0,AT$13),15-13*ORÇAMENTO!$AF$7)*OFFSET(ORÇAMENTO!$W$15,ROW(AT198)-ROW(AT$15),0),15-13*ORÇAMENTO!$AF$11)),
         0)</f>
        <v>0</v>
      </c>
      <c r="AU198" s="452">
        <f ca="1">IF(AND($D198="Serviço",AU$12&lt;&gt;0,$H198&gt;0,OR(AUTOEVENTO&lt;&gt;"manual",$M198&lt;&gt;$A$15)),
        IF(Import.TipoArredondamento&lt;&gt;"TransfereGOV",
              ROUND(OFFSET($P198,0,AU$13),15-13*ORÇAMENTO!$AF$7)/$H198*OFFSET(ORÇAMENTO!$X$15,ROW(AU198)-ROW(AU$15),0),
              ROUND(ROUND(OFFSET($P198,0,AU$13),15-13*ORÇAMENTO!$AF$7)*OFFSET(ORÇAMENTO!$W$15,ROW(AU198)-ROW(AU$15),0),15-13*ORÇAMENTO!$AF$11)),
         0)</f>
        <v>0</v>
      </c>
      <c r="AV198" s="452">
        <f ca="1">IF(AND($D198="Serviço",AV$12&lt;&gt;0,$H198&gt;0,OR(AUTOEVENTO&lt;&gt;"manual",$M198&lt;&gt;$A$15)),
        IF(Import.TipoArredondamento&lt;&gt;"TransfereGOV",
              ROUND(OFFSET($P198,0,AV$13),15-13*ORÇAMENTO!$AF$7)/$H198*OFFSET(ORÇAMENTO!$X$15,ROW(AV198)-ROW(AV$15),0),
              ROUND(ROUND(OFFSET($P198,0,AV$13),15-13*ORÇAMENTO!$AF$7)*OFFSET(ORÇAMENTO!$W$15,ROW(AV198)-ROW(AV$15),0),15-13*ORÇAMENTO!$AF$11)),
         0)</f>
        <v>0</v>
      </c>
      <c r="AW198" s="452">
        <f ca="1">IF(AND($D198="Serviço",AW$12&lt;&gt;0,$H198&gt;0,OR(AUTOEVENTO&lt;&gt;"manual",$M198&lt;&gt;$A$15)),
        IF(Import.TipoArredondamento&lt;&gt;"TransfereGOV",
              ROUND(OFFSET($P198,0,AW$13),15-13*ORÇAMENTO!$AF$7)/$H198*OFFSET(ORÇAMENTO!$X$15,ROW(AW198)-ROW(AW$15),0),
              ROUND(ROUND(OFFSET($P198,0,AW$13),15-13*ORÇAMENTO!$AF$7)*OFFSET(ORÇAMENTO!$W$15,ROW(AW198)-ROW(AW$15),0),15-13*ORÇAMENTO!$AF$11)),
         0)</f>
        <v>0</v>
      </c>
      <c r="AX198" s="452">
        <f ca="1">IF(AND($D198="Serviço",AX$12&lt;&gt;0,$H198&gt;0,OR(AUTOEVENTO&lt;&gt;"manual",$M198&lt;&gt;$A$15)),
        IF(Import.TipoArredondamento&lt;&gt;"TransfereGOV",
              ROUND(OFFSET($P198,0,AX$13),15-13*ORÇAMENTO!$AF$7)/$H198*OFFSET(ORÇAMENTO!$X$15,ROW(AX198)-ROW(AX$15),0),
              ROUND(ROUND(OFFSET($P198,0,AX$13),15-13*ORÇAMENTO!$AF$7)*OFFSET(ORÇAMENTO!$W$15,ROW(AX198)-ROW(AX$15),0),15-13*ORÇAMENTO!$AF$11)),
         0)</f>
        <v>0</v>
      </c>
      <c r="AY198" s="452">
        <f ca="1">IF(AND($D198="Serviço",AY$12&lt;&gt;0,$H198&gt;0,OR(AUTOEVENTO&lt;&gt;"manual",$M198&lt;&gt;$A$15)),
        IF(Import.TipoArredondamento&lt;&gt;"TransfereGOV",
              ROUND(OFFSET($P198,0,AY$13),15-13*ORÇAMENTO!$AF$7)/$H198*OFFSET(ORÇAMENTO!$X$15,ROW(AY198)-ROW(AY$15),0),
              ROUND(ROUND(OFFSET($P198,0,AY$13),15-13*ORÇAMENTO!$AF$7)*OFFSET(ORÇAMENTO!$W$15,ROW(AY198)-ROW(AY$15),0),15-13*ORÇAMENTO!$AF$11)),
         0)</f>
        <v>0</v>
      </c>
      <c r="AZ198" s="452">
        <f ca="1">IF(AND($D198="Serviço",AZ$12&lt;&gt;0,$H198&gt;0,OR(AUTOEVENTO&lt;&gt;"manual",$M198&lt;&gt;$A$15)),
        IF(Import.TipoArredondamento&lt;&gt;"TransfereGOV",
              ROUND(OFFSET($P198,0,AZ$13),15-13*ORÇAMENTO!$AF$7)/$H198*OFFSET(ORÇAMENTO!$X$15,ROW(AZ198)-ROW(AZ$15),0),
              ROUND(ROUND(OFFSET($P198,0,AZ$13),15-13*ORÇAMENTO!$AF$7)*OFFSET(ORÇAMENTO!$W$15,ROW(AZ198)-ROW(AZ$15),0),15-13*ORÇAMENTO!$AF$11)),
         0)</f>
        <v>0</v>
      </c>
      <c r="BA198" s="452">
        <f ca="1">IF(AND($D198="Serviço",BA$12&lt;&gt;0,$H198&gt;0,OR(AUTOEVENTO&lt;&gt;"manual",$M198&lt;&gt;$A$15)),
        IF(Import.TipoArredondamento&lt;&gt;"TransfereGOV",
              ROUND(OFFSET($P198,0,BA$13),15-13*ORÇAMENTO!$AF$7)/$H198*OFFSET(ORÇAMENTO!$X$15,ROW(BA198)-ROW(BA$15),0),
              ROUND(ROUND(OFFSET($P198,0,BA$13),15-13*ORÇAMENTO!$AF$7)*OFFSET(ORÇAMENTO!$W$15,ROW(BA198)-ROW(BA$15),0),15-13*ORÇAMENTO!$AF$11)),
         0)</f>
        <v>0</v>
      </c>
      <c r="BC198" s="171">
        <f ca="1">IF(OR($D198&lt;&gt;"Serviço",AND(AUTOEVENTO="Manual",$M198=$A$15)),0,
         IF(OFFSET(CRONOPLE!$F$15,$M198-$A$15,BC$13)=0,10^12,OFFSET(CRONOPLE!$F$15,$M198-$A$15,BC$13)))</f>
        <v>5</v>
      </c>
      <c r="BD198" s="171">
        <f ca="1">IF(OR($D198&lt;&gt;"Serviço",AND(AUTOEVENTO="Manual",$M198=$A$15)),0,
         IF(OFFSET(CRONOPLE!$F$15,$M198-$A$15,BD$13)=0,10^12,OFFSET(CRONOPLE!$F$15,$M198-$A$15,BD$13)))</f>
        <v>5</v>
      </c>
      <c r="BE198" s="171">
        <f ca="1">IF(OR($D198&lt;&gt;"Serviço",AND(AUTOEVENTO="Manual",$M198=$A$15)),0,
         IF(OFFSET(CRONOPLE!$F$15,$M198-$A$15,BE$13)=0,10^12,OFFSET(CRONOPLE!$F$15,$M198-$A$15,BE$13)))</f>
        <v>6</v>
      </c>
      <c r="BF198" s="171">
        <f ca="1">IF(OR($D198&lt;&gt;"Serviço",AND(AUTOEVENTO="Manual",$M198=$A$15)),0,
         IF(OFFSET(CRONOPLE!$F$15,$M198-$A$15,BF$13)=0,10^12,OFFSET(CRONOPLE!$F$15,$M198-$A$15,BF$13)))</f>
        <v>6</v>
      </c>
      <c r="BG198" s="171">
        <f ca="1">IF(OR($D198&lt;&gt;"Serviço",AND(AUTOEVENTO="Manual",$M198=$A$15)),0,
         IF(OFFSET(CRONOPLE!$F$15,$M198-$A$15,BG$13)=0,10^12,OFFSET(CRONOPLE!$F$15,$M198-$A$15,BG$13)))</f>
        <v>6</v>
      </c>
      <c r="BH198" s="171">
        <f ca="1">IF(OR($D198&lt;&gt;"Serviço",AND(AUTOEVENTO="Manual",$M198=$A$15)),0,
         IF(OFFSET(CRONOPLE!$F$15,$M198-$A$15,BH$13)=0,10^12,OFFSET(CRONOPLE!$F$15,$M198-$A$15,BH$13)))</f>
        <v>1000000000000</v>
      </c>
      <c r="BI198" s="171">
        <f ca="1">IF(OR($D198&lt;&gt;"Serviço",AND(AUTOEVENTO="Manual",$M198=$A$15)),0,
         IF(OFFSET(CRONOPLE!$F$15,$M198-$A$15,BI$13)=0,10^12,OFFSET(CRONOPLE!$F$15,$M198-$A$15,BI$13)))</f>
        <v>1000000000000</v>
      </c>
      <c r="BJ198" s="171">
        <f ca="1">IF(OR($D198&lt;&gt;"Serviço",AND(AUTOEVENTO="Manual",$M198=$A$15)),0,
         IF(OFFSET(CRONOPLE!$F$15,$M198-$A$15,BJ$13)=0,10^12,OFFSET(CRONOPLE!$F$15,$M198-$A$15,BJ$13)))</f>
        <v>1000000000000</v>
      </c>
      <c r="BK198" s="171">
        <f ca="1">IF(OR($D198&lt;&gt;"Serviço",AND(AUTOEVENTO="Manual",$M198=$A$15)),0,
         IF(OFFSET(CRONOPLE!$F$15,$M198-$A$15,BK$13)=0,10^12,OFFSET(CRONOPLE!$F$15,$M198-$A$15,BK$13)))</f>
        <v>9</v>
      </c>
      <c r="BL198" s="171">
        <f ca="1">IF(OR($D198&lt;&gt;"Serviço",AND(AUTOEVENTO="Manual",$M198=$A$15)),0,
         IF(OFFSET(CRONOPLE!$F$15,$M198-$A$15,BL$13)=0,10^12,OFFSET(CRONOPLE!$F$15,$M198-$A$15,BL$13)))</f>
        <v>1000000000000</v>
      </c>
      <c r="BM198" s="171">
        <f ca="1">IF(OR($D198&lt;&gt;"Serviço",AND(AUTOEVENTO="Manual",$M198=$A$15)),0,
         IF(OFFSET(CRONOPLE!$F$15,$M198-$A$15,BM$13)=0,10^12,OFFSET(CRONOPLE!$F$15,$M198-$A$15,BM$13)))</f>
        <v>1000000000000</v>
      </c>
      <c r="BN198" s="171">
        <f ca="1">IF(OR($D198&lt;&gt;"Serviço",AND(AUTOEVENTO="Manual",$M198=$A$15)),0,
         IF(OFFSET(CRONOPLE!$F$15,$M198-$A$15,BN$13)=0,10^12,OFFSET(CRONOPLE!$F$15,$M198-$A$15,BN$13)))</f>
        <v>1000000000000</v>
      </c>
      <c r="BO198" s="171">
        <f ca="1">IF(OR($D198&lt;&gt;"Serviço",AND(AUTOEVENTO="Manual",$M198=$A$15)),0,
         IF(OFFSET(CRONOPLE!$F$15,$M198-$A$15,BO$13)=0,10^12,OFFSET(CRONOPLE!$F$15,$M198-$A$15,BO$13)))</f>
        <v>1000000000000</v>
      </c>
      <c r="BP198" s="171">
        <f ca="1">IF(OR($D198&lt;&gt;"Serviço",AND(AUTOEVENTO="Manual",$M198=$A$15)),0,
         IF(OFFSET(CRONOPLE!$F$15,$M198-$A$15,BP$13)=0,10^12,OFFSET(CRONOPLE!$F$15,$M198-$A$15,BP$13)))</f>
        <v>1000000000000</v>
      </c>
      <c r="BQ198" s="171">
        <f ca="1">IF(OR($D198&lt;&gt;"Serviço",AND(AUTOEVENTO="Manual",$M198=$A$15)),0,
         IF(OFFSET(CRONOPLE!$F$15,$M198-$A$15,BQ$13)=0,10^12,OFFSET(CRONOPLE!$F$15,$M198-$A$15,BQ$13)))</f>
        <v>1000000000000</v>
      </c>
      <c r="BR198" s="171">
        <f ca="1">IF(OR($D198&lt;&gt;"Serviço",AND(AUTOEVENTO="Manual",$M198=$A$15)),0,
         IF(OFFSET(CRONOPLE!$F$15,$M198-$A$15,BR$13)=0,10^12,OFFSET(CRONOPLE!$F$15,$M198-$A$15,BR$13)))</f>
        <v>1000000000000</v>
      </c>
      <c r="BS198" s="171">
        <f ca="1">IF(OR($D198&lt;&gt;"Serviço",AND(AUTOEVENTO="Manual",$M198=$A$15)),0,
         IF(OFFSET(CRONOPLE!$F$15,$M198-$A$15,BS$13)=0,10^12,OFFSET(CRONOPLE!$F$15,$M198-$A$15,BS$13)))</f>
        <v>1000000000000</v>
      </c>
      <c r="BT198" s="171">
        <f ca="1">IF(OR($D198&lt;&gt;"Serviço",AND(AUTOEVENTO="Manual",$M198=$A$15)),0,
         IF(OFFSET(CRONOPLE!$F$15,$M198-$A$15,BT$13)=0,10^12,OFFSET(CRONOPLE!$F$15,$M198-$A$15,BT$13)))</f>
        <v>1000000000000</v>
      </c>
      <c r="BV198" s="172">
        <f t="array" aca="1" ref="BV198" ca="1">IF(OR($D198&lt;&gt;"Serviço",AND(AUTOEVENTO="Manual",$M198=$A$15),$M198&gt;(ROW(PLE.lastrow)-ROW(PLE.firstrow))),0,
           IF(OFFSET(PLE!$G$15,$M198-$A$15,BV$13)="",10^12,OFFSET(PLE!$G$15,$M198-$A$15,BV$13)))</f>
        <v>1000000000000</v>
      </c>
      <c r="BW198" s="172">
        <f t="array" aca="1" ref="BW198" ca="1">IF(OR($D198&lt;&gt;"Serviço",AND(AUTOEVENTO="Manual",$M198=$A$15),$M198&gt;(ROW(PLE.lastrow)-ROW(PLE.firstrow))),0,
           IF(OFFSET(PLE!$G$15,$M198-$A$15,BW$13)="",10^12,OFFSET(PLE!$G$15,$M198-$A$15,BW$13)))</f>
        <v>1000000000000</v>
      </c>
      <c r="BX198" s="172">
        <f t="array" aca="1" ref="BX198" ca="1">IF(OR($D198&lt;&gt;"Serviço",AND(AUTOEVENTO="Manual",$M198=$A$15),$M198&gt;(ROW(PLE.lastrow)-ROW(PLE.firstrow))),0,
           IF(OFFSET(PLE!$G$15,$M198-$A$15,BX$13)="",10^12,OFFSET(PLE!$G$15,$M198-$A$15,BX$13)))</f>
        <v>1000000000000</v>
      </c>
      <c r="BY198" s="172">
        <f t="array" aca="1" ref="BY198" ca="1">IF(OR($D198&lt;&gt;"Serviço",AND(AUTOEVENTO="Manual",$M198=$A$15),$M198&gt;(ROW(PLE.lastrow)-ROW(PLE.firstrow))),0,
           IF(OFFSET(PLE!$G$15,$M198-$A$15,BY$13)="",10^12,OFFSET(PLE!$G$15,$M198-$A$15,BY$13)))</f>
        <v>1000000000000</v>
      </c>
      <c r="BZ198" s="172">
        <f t="array" aca="1" ref="BZ198" ca="1">IF(OR($D198&lt;&gt;"Serviço",AND(AUTOEVENTO="Manual",$M198=$A$15),$M198&gt;(ROW(PLE.lastrow)-ROW(PLE.firstrow))),0,
           IF(OFFSET(PLE!$G$15,$M198-$A$15,BZ$13)="",10^12,OFFSET(PLE!$G$15,$M198-$A$15,BZ$13)))</f>
        <v>1000000000000</v>
      </c>
      <c r="CA198" s="172">
        <f t="array" aca="1" ref="CA198" ca="1">IF(OR($D198&lt;&gt;"Serviço",AND(AUTOEVENTO="Manual",$M198=$A$15),$M198&gt;(ROW(PLE.lastrow)-ROW(PLE.firstrow))),0,
           IF(OFFSET(PLE!$G$15,$M198-$A$15,CA$13)="",10^12,OFFSET(PLE!$G$15,$M198-$A$15,CA$13)))</f>
        <v>1000000000000</v>
      </c>
      <c r="CB198" s="172">
        <f t="array" aca="1" ref="CB198" ca="1">IF(OR($D198&lt;&gt;"Serviço",AND(AUTOEVENTO="Manual",$M198=$A$15),$M198&gt;(ROW(PLE.lastrow)-ROW(PLE.firstrow))),0,
           IF(OFFSET(PLE!$G$15,$M198-$A$15,CB$13)="",10^12,OFFSET(PLE!$G$15,$M198-$A$15,CB$13)))</f>
        <v>1000000000000</v>
      </c>
      <c r="CC198" s="172">
        <f t="array" aca="1" ref="CC198" ca="1">IF(OR($D198&lt;&gt;"Serviço",AND(AUTOEVENTO="Manual",$M198=$A$15),$M198&gt;(ROW(PLE.lastrow)-ROW(PLE.firstrow))),0,
           IF(OFFSET(PLE!$G$15,$M198-$A$15,CC$13)="",10^12,OFFSET(PLE!$G$15,$M198-$A$15,CC$13)))</f>
        <v>1000000000000</v>
      </c>
      <c r="CD198" s="172">
        <f t="array" aca="1" ref="CD198" ca="1">IF(OR($D198&lt;&gt;"Serviço",AND(AUTOEVENTO="Manual",$M198=$A$15),$M198&gt;(ROW(PLE.lastrow)-ROW(PLE.firstrow))),0,
           IF(OFFSET(PLE!$G$15,$M198-$A$15,CD$13)="",10^12,OFFSET(PLE!$G$15,$M198-$A$15,CD$13)))</f>
        <v>1000000000000</v>
      </c>
      <c r="CE198" s="172">
        <f t="array" aca="1" ref="CE198" ca="1">IF(OR($D198&lt;&gt;"Serviço",AND(AUTOEVENTO="Manual",$M198=$A$15),$M198&gt;(ROW(PLE.lastrow)-ROW(PLE.firstrow))),0,
           IF(OFFSET(PLE!$G$15,$M198-$A$15,CE$13)="",10^12,OFFSET(PLE!$G$15,$M198-$A$15,CE$13)))</f>
        <v>1000000000000</v>
      </c>
      <c r="CF198" s="172">
        <f t="array" aca="1" ref="CF198" ca="1">IF(OR($D198&lt;&gt;"Serviço",AND(AUTOEVENTO="Manual",$M198=$A$15),$M198&gt;(ROW(PLE.lastrow)-ROW(PLE.firstrow))),0,
           IF(OFFSET(PLE!$G$15,$M198-$A$15,CF$13)="",10^12,OFFSET(PLE!$G$15,$M198-$A$15,CF$13)))</f>
        <v>1000000000000</v>
      </c>
      <c r="CG198" s="172">
        <f t="array" aca="1" ref="CG198" ca="1">IF(OR($D198&lt;&gt;"Serviço",AND(AUTOEVENTO="Manual",$M198=$A$15),$M198&gt;(ROW(PLE.lastrow)-ROW(PLE.firstrow))),0,
           IF(OFFSET(PLE!$G$15,$M198-$A$15,CG$13)="",10^12,OFFSET(PLE!$G$15,$M198-$A$15,CG$13)))</f>
        <v>1000000000000</v>
      </c>
      <c r="CH198" s="172">
        <f t="array" aca="1" ref="CH198" ca="1">IF(OR($D198&lt;&gt;"Serviço",AND(AUTOEVENTO="Manual",$M198=$A$15),$M198&gt;(ROW(PLE.lastrow)-ROW(PLE.firstrow))),0,
           IF(OFFSET(PLE!$G$15,$M198-$A$15,CH$13)="",10^12,OFFSET(PLE!$G$15,$M198-$A$15,CH$13)))</f>
        <v>1000000000000</v>
      </c>
      <c r="CI198" s="172">
        <f t="array" aca="1" ref="CI198" ca="1">IF(OR($D198&lt;&gt;"Serviço",AND(AUTOEVENTO="Manual",$M198=$A$15),$M198&gt;(ROW(PLE.lastrow)-ROW(PLE.firstrow))),0,
           IF(OFFSET(PLE!$G$15,$M198-$A$15,CI$13)="",10^12,OFFSET(PLE!$G$15,$M198-$A$15,CI$13)))</f>
        <v>1000000000000</v>
      </c>
      <c r="CJ198" s="172">
        <f t="array" aca="1" ref="CJ198" ca="1">IF(OR($D198&lt;&gt;"Serviço",AND(AUTOEVENTO="Manual",$M198=$A$15),$M198&gt;(ROW(PLE.lastrow)-ROW(PLE.firstrow))),0,
           IF(OFFSET(PLE!$G$15,$M198-$A$15,CJ$13)="",10^12,OFFSET(PLE!$G$15,$M198-$A$15,CJ$13)))</f>
        <v>1000000000000</v>
      </c>
      <c r="CK198" s="172">
        <f t="array" aca="1" ref="CK198" ca="1">IF(OR($D198&lt;&gt;"Serviço",AND(AUTOEVENTO="Manual",$M198=$A$15),$M198&gt;(ROW(PLE.lastrow)-ROW(PLE.firstrow))),0,
           IF(OFFSET(PLE!$G$15,$M198-$A$15,CK$13)="",10^12,OFFSET(PLE!$G$15,$M198-$A$15,CK$13)))</f>
        <v>1000000000000</v>
      </c>
      <c r="CL198" s="172">
        <f t="array" aca="1" ref="CL198" ca="1">IF(OR($D198&lt;&gt;"Serviço",AND(AUTOEVENTO="Manual",$M198=$A$15),$M198&gt;(ROW(PLE.lastrow)-ROW(PLE.firstrow))),0,
           IF(OFFSET(PLE!$G$15,$M198-$A$15,CL$13)="",10^12,OFFSET(PLE!$G$15,$M198-$A$15,CL$13)))</f>
        <v>1000000000000</v>
      </c>
      <c r="CM198" s="172">
        <f t="array" aca="1" ref="CM198" ca="1">IF(OR($D198&lt;&gt;"Serviço",AND(AUTOEVENTO="Manual",$M198=$A$15),$M198&gt;(ROW(PLE.lastrow)-ROW(PLE.firstrow))),0,
           IF(OFFSET(PLE!$G$15,$M198-$A$15,CM$13)="",10^12,OFFSET(PLE!$G$15,$M198-$A$15,CM$13)))</f>
        <v>1000000000000</v>
      </c>
    </row>
    <row r="199" spans="1:91" s="696" customFormat="1" ht="63.75" x14ac:dyDescent="0.2">
      <c r="A199" s="694">
        <f t="shared" ca="1" si="98"/>
        <v>31</v>
      </c>
      <c r="B199" s="694" t="str">
        <f ca="1">OFFSET(ORÇAMENTO!C$15,$L199,0)</f>
        <v>S</v>
      </c>
      <c r="C199" s="694" t="str">
        <f ca="1">OFFSET(ORÇAMENTO!L$15,$L199,0)</f>
        <v>F</v>
      </c>
      <c r="D199" s="116" t="str">
        <f ca="1">OFFSET(ORÇAMENTO!N$15,$L199,0)</f>
        <v>Serviço</v>
      </c>
      <c r="E199" s="117" t="str">
        <f ca="1">OFFSET(ORÇAMENTO!O$15,$L199,0)</f>
        <v>1.30.3.</v>
      </c>
      <c r="F199" s="163" t="str">
        <f ca="1">OFFSET(ORÇAMENTO!R$15,$L199,0)</f>
        <v>JOELHO 90 GRAUS, PVC, SERIE NORMAL, ESGOTO PREDIAL, DN 40 MM, JUNTA SOLDÁVEL, FORNECIDO E INSTALADO EM RAMAL DE DESCARGA OU RAMAL DE ESGOTO SANITÁRIO. AF_08/2022</v>
      </c>
      <c r="G199" s="164" t="str">
        <f ca="1">IF($D199&lt;&gt;"Serviço","",OFFSET(ORÇAMENTO!S$15,$L199,0))</f>
        <v>UN</v>
      </c>
      <c r="H199" s="122">
        <f t="array" aca="1" ref="H199" ca="1">IF($D199&lt;&gt;"Serviço",0,IF(ACOMPANHAMENTO="BM",ROUND(OFFSET(ORÇAMENTO!AJ$15,$L199,0),15-13*ORÇAMENTO!$AF$7),IF(IFERROR(CÁLCULO.FrentesPreenchidas,0)=0,0,SUM(ROUND(OFFSET($P199,0,1,1,CÁLCULO.FrentesPreenchidas),15-13*ORÇAMENTO!$AF$7)))))</f>
        <v>40</v>
      </c>
      <c r="I199" s="467" t="s">
        <v>1323</v>
      </c>
      <c r="J199" s="653" t="str">
        <f t="array" aca="1" ref="J199" ca="1">IF(OR(B199&lt;&gt;"S",CÁLCULO.FrentesPreenchidas=0),"",IF(AND(ACOMPANHAMENTO="PLE",AUTOEVENTO="Manual",OR(H199&gt;0,ORÇAMENTO!AC199="QUANT."),OR(K199="",M199=0,N199="")),"►E",IF(AND(ACOMPANHAMENTO="PLE",ORÇAMENTO!AC199="QUANT."),"►Q",IF(AND(ACOMPANHAMENTO="PLE",H199&lt;&gt;SUMPRODUCT(($Q$1:$AI$1=1)*ROUND(Q199:AI199,15))),"►S",IF(AND(COUNTIF($P$11:$AI$11,"▼")=0,H199&gt;0,I199=""),"◄M","")))))</f>
        <v/>
      </c>
      <c r="K199" s="654" t="s">
        <v>1447</v>
      </c>
      <c r="L199" s="165">
        <f t="shared" ca="1" si="99"/>
        <v>184</v>
      </c>
      <c r="M199" s="166">
        <f ca="1">IF($D199&lt;&gt;"Serviço","",
          IF(AUTOEVENTO="manual",$A199,
                IF(ISERROR(MATCH($A199,$A$15:OFFSET($A199,-1,0),0)),MAX($M$15:OFFSET(M199,-1,0))+1,
                      INDEX($M$15:OFFSET(M199,-1,0),MATCH($A199,$A$15:OFFSET($A199,-1,0),0)))))</f>
        <v>31</v>
      </c>
      <c r="N199" s="167" t="str">
        <f ca="1">IF($D199&lt;&gt;"Serviço","",
         IF(AUTOEVENTO="Manual",
                IF($A199=0,"&lt;-- defina o número do agrupador",
                       OFFSET(EVENTOS!$D$15,$A199-$A$15,0)),
                OFFSET($F$15,$A199,0)))</f>
        <v>REDE PLUVIAL E ESGOTO</v>
      </c>
      <c r="O199" s="168"/>
      <c r="Q199" s="169">
        <v>10</v>
      </c>
      <c r="R199" s="169">
        <v>10</v>
      </c>
      <c r="S199" s="169">
        <v>10</v>
      </c>
      <c r="T199" s="169">
        <v>10</v>
      </c>
      <c r="U199" s="169"/>
      <c r="V199" s="169"/>
      <c r="W199" s="169"/>
      <c r="X199" s="169"/>
      <c r="Y199" s="169"/>
      <c r="Z199" s="170"/>
      <c r="AA199" s="169"/>
      <c r="AB199" s="169"/>
      <c r="AC199" s="169"/>
      <c r="AD199" s="169"/>
      <c r="AE199" s="169"/>
      <c r="AF199" s="169"/>
      <c r="AG199" s="169"/>
      <c r="AH199" s="170"/>
      <c r="AJ199" s="452">
        <f ca="1">IF(AND($D199="Serviço",AJ$12&lt;&gt;0,$H199&gt;0,OR(AUTOEVENTO&lt;&gt;"manual",$M199&lt;&gt;$A$15)),
        IF(Import.TipoArredondamento&lt;&gt;"TransfereGOV",
              ROUND(OFFSET($P199,0,AJ$13),15-13*ORÇAMENTO!$AF$7)/$H199*OFFSET(ORÇAMENTO!$X$15,ROW(AJ199)-ROW(AJ$15),0),
              ROUND(ROUND(OFFSET($P199,0,AJ$13),15-13*ORÇAMENTO!$AF$7)*OFFSET(ORÇAMENTO!$W$15,ROW(AJ199)-ROW(AJ$15),0),15-13*ORÇAMENTO!$AF$11)),
         0)</f>
        <v>126.4</v>
      </c>
      <c r="AK199" s="452">
        <f ca="1">IF(AND($D199="Serviço",AK$12&lt;&gt;0,$H199&gt;0,OR(AUTOEVENTO&lt;&gt;"manual",$M199&lt;&gt;$A$15)),
        IF(Import.TipoArredondamento&lt;&gt;"TransfereGOV",
              ROUND(OFFSET($P199,0,AK$13),15-13*ORÇAMENTO!$AF$7)/$H199*OFFSET(ORÇAMENTO!$X$15,ROW(AK199)-ROW(AK$15),0),
              ROUND(ROUND(OFFSET($P199,0,AK$13),15-13*ORÇAMENTO!$AF$7)*OFFSET(ORÇAMENTO!$W$15,ROW(AK199)-ROW(AK$15),0),15-13*ORÇAMENTO!$AF$11)),
         0)</f>
        <v>126.4</v>
      </c>
      <c r="AL199" s="452">
        <f ca="1">IF(AND($D199="Serviço",AL$12&lt;&gt;0,$H199&gt;0,OR(AUTOEVENTO&lt;&gt;"manual",$M199&lt;&gt;$A$15)),
        IF(Import.TipoArredondamento&lt;&gt;"TransfereGOV",
              ROUND(OFFSET($P199,0,AL$13),15-13*ORÇAMENTO!$AF$7)/$H199*OFFSET(ORÇAMENTO!$X$15,ROW(AL199)-ROW(AL$15),0),
              ROUND(ROUND(OFFSET($P199,0,AL$13),15-13*ORÇAMENTO!$AF$7)*OFFSET(ORÇAMENTO!$W$15,ROW(AL199)-ROW(AL$15),0),15-13*ORÇAMENTO!$AF$11)),
         0)</f>
        <v>126.4</v>
      </c>
      <c r="AM199" s="452">
        <f ca="1">IF(AND($D199="Serviço",AM$12&lt;&gt;0,$H199&gt;0,OR(AUTOEVENTO&lt;&gt;"manual",$M199&lt;&gt;$A$15)),
        IF(Import.TipoArredondamento&lt;&gt;"TransfereGOV",
              ROUND(OFFSET($P199,0,AM$13),15-13*ORÇAMENTO!$AF$7)/$H199*OFFSET(ORÇAMENTO!$X$15,ROW(AM199)-ROW(AM$15),0),
              ROUND(ROUND(OFFSET($P199,0,AM$13),15-13*ORÇAMENTO!$AF$7)*OFFSET(ORÇAMENTO!$W$15,ROW(AM199)-ROW(AM$15),0),15-13*ORÇAMENTO!$AF$11)),
         0)</f>
        <v>126.4</v>
      </c>
      <c r="AN199" s="452">
        <f ca="1">IF(AND($D199="Serviço",AN$12&lt;&gt;0,$H199&gt;0,OR(AUTOEVENTO&lt;&gt;"manual",$M199&lt;&gt;$A$15)),
        IF(Import.TipoArredondamento&lt;&gt;"TransfereGOV",
              ROUND(OFFSET($P199,0,AN$13),15-13*ORÇAMENTO!$AF$7)/$H199*OFFSET(ORÇAMENTO!$X$15,ROW(AN199)-ROW(AN$15),0),
              ROUND(ROUND(OFFSET($P199,0,AN$13),15-13*ORÇAMENTO!$AF$7)*OFFSET(ORÇAMENTO!$W$15,ROW(AN199)-ROW(AN$15),0),15-13*ORÇAMENTO!$AF$11)),
         0)</f>
        <v>0</v>
      </c>
      <c r="AO199" s="452">
        <f ca="1">IF(AND($D199="Serviço",AO$12&lt;&gt;0,$H199&gt;0,OR(AUTOEVENTO&lt;&gt;"manual",$M199&lt;&gt;$A$15)),
        IF(Import.TipoArredondamento&lt;&gt;"TransfereGOV",
              ROUND(OFFSET($P199,0,AO$13),15-13*ORÇAMENTO!$AF$7)/$H199*OFFSET(ORÇAMENTO!$X$15,ROW(AO199)-ROW(AO$15),0),
              ROUND(ROUND(OFFSET($P199,0,AO$13),15-13*ORÇAMENTO!$AF$7)*OFFSET(ORÇAMENTO!$W$15,ROW(AO199)-ROW(AO$15),0),15-13*ORÇAMENTO!$AF$11)),
         0)</f>
        <v>0</v>
      </c>
      <c r="AP199" s="452">
        <f ca="1">IF(AND($D199="Serviço",AP$12&lt;&gt;0,$H199&gt;0,OR(AUTOEVENTO&lt;&gt;"manual",$M199&lt;&gt;$A$15)),
        IF(Import.TipoArredondamento&lt;&gt;"TransfereGOV",
              ROUND(OFFSET($P199,0,AP$13),15-13*ORÇAMENTO!$AF$7)/$H199*OFFSET(ORÇAMENTO!$X$15,ROW(AP199)-ROW(AP$15),0),
              ROUND(ROUND(OFFSET($P199,0,AP$13),15-13*ORÇAMENTO!$AF$7)*OFFSET(ORÇAMENTO!$W$15,ROW(AP199)-ROW(AP$15),0),15-13*ORÇAMENTO!$AF$11)),
         0)</f>
        <v>0</v>
      </c>
      <c r="AQ199" s="452">
        <f ca="1">IF(AND($D199="Serviço",AQ$12&lt;&gt;0,$H199&gt;0,OR(AUTOEVENTO&lt;&gt;"manual",$M199&lt;&gt;$A$15)),
        IF(Import.TipoArredondamento&lt;&gt;"TransfereGOV",
              ROUND(OFFSET($P199,0,AQ$13),15-13*ORÇAMENTO!$AF$7)/$H199*OFFSET(ORÇAMENTO!$X$15,ROW(AQ199)-ROW(AQ$15),0),
              ROUND(ROUND(OFFSET($P199,0,AQ$13),15-13*ORÇAMENTO!$AF$7)*OFFSET(ORÇAMENTO!$W$15,ROW(AQ199)-ROW(AQ$15),0),15-13*ORÇAMENTO!$AF$11)),
         0)</f>
        <v>0</v>
      </c>
      <c r="AR199" s="452">
        <f ca="1">IF(AND($D199="Serviço",AR$12&lt;&gt;0,$H199&gt;0,OR(AUTOEVENTO&lt;&gt;"manual",$M199&lt;&gt;$A$15)),
        IF(Import.TipoArredondamento&lt;&gt;"TransfereGOV",
              ROUND(OFFSET($P199,0,AR$13),15-13*ORÇAMENTO!$AF$7)/$H199*OFFSET(ORÇAMENTO!$X$15,ROW(AR199)-ROW(AR$15),0),
              ROUND(ROUND(OFFSET($P199,0,AR$13),15-13*ORÇAMENTO!$AF$7)*OFFSET(ORÇAMENTO!$W$15,ROW(AR199)-ROW(AR$15),0),15-13*ORÇAMENTO!$AF$11)),
         0)</f>
        <v>0</v>
      </c>
      <c r="AS199" s="452">
        <f ca="1">IF(AND($D199="Serviço",AS$12&lt;&gt;0,$H199&gt;0,OR(AUTOEVENTO&lt;&gt;"manual",$M199&lt;&gt;$A$15)),
        IF(Import.TipoArredondamento&lt;&gt;"TransfereGOV",
              ROUND(OFFSET($P199,0,AS$13),15-13*ORÇAMENTO!$AF$7)/$H199*OFFSET(ORÇAMENTO!$X$15,ROW(AS199)-ROW(AS$15),0),
              ROUND(ROUND(OFFSET($P199,0,AS$13),15-13*ORÇAMENTO!$AF$7)*OFFSET(ORÇAMENTO!$W$15,ROW(AS199)-ROW(AS$15),0),15-13*ORÇAMENTO!$AF$11)),
         0)</f>
        <v>0</v>
      </c>
      <c r="AT199" s="452">
        <f ca="1">IF(AND($D199="Serviço",AT$12&lt;&gt;0,$H199&gt;0,OR(AUTOEVENTO&lt;&gt;"manual",$M199&lt;&gt;$A$15)),
        IF(Import.TipoArredondamento&lt;&gt;"TransfereGOV",
              ROUND(OFFSET($P199,0,AT$13),15-13*ORÇAMENTO!$AF$7)/$H199*OFFSET(ORÇAMENTO!$X$15,ROW(AT199)-ROW(AT$15),0),
              ROUND(ROUND(OFFSET($P199,0,AT$13),15-13*ORÇAMENTO!$AF$7)*OFFSET(ORÇAMENTO!$W$15,ROW(AT199)-ROW(AT$15),0),15-13*ORÇAMENTO!$AF$11)),
         0)</f>
        <v>0</v>
      </c>
      <c r="AU199" s="452">
        <f ca="1">IF(AND($D199="Serviço",AU$12&lt;&gt;0,$H199&gt;0,OR(AUTOEVENTO&lt;&gt;"manual",$M199&lt;&gt;$A$15)),
        IF(Import.TipoArredondamento&lt;&gt;"TransfereGOV",
              ROUND(OFFSET($P199,0,AU$13),15-13*ORÇAMENTO!$AF$7)/$H199*OFFSET(ORÇAMENTO!$X$15,ROW(AU199)-ROW(AU$15),0),
              ROUND(ROUND(OFFSET($P199,0,AU$13),15-13*ORÇAMENTO!$AF$7)*OFFSET(ORÇAMENTO!$W$15,ROW(AU199)-ROW(AU$15),0),15-13*ORÇAMENTO!$AF$11)),
         0)</f>
        <v>0</v>
      </c>
      <c r="AV199" s="452">
        <f ca="1">IF(AND($D199="Serviço",AV$12&lt;&gt;0,$H199&gt;0,OR(AUTOEVENTO&lt;&gt;"manual",$M199&lt;&gt;$A$15)),
        IF(Import.TipoArredondamento&lt;&gt;"TransfereGOV",
              ROUND(OFFSET($P199,0,AV$13),15-13*ORÇAMENTO!$AF$7)/$H199*OFFSET(ORÇAMENTO!$X$15,ROW(AV199)-ROW(AV$15),0),
              ROUND(ROUND(OFFSET($P199,0,AV$13),15-13*ORÇAMENTO!$AF$7)*OFFSET(ORÇAMENTO!$W$15,ROW(AV199)-ROW(AV$15),0),15-13*ORÇAMENTO!$AF$11)),
         0)</f>
        <v>0</v>
      </c>
      <c r="AW199" s="452">
        <f ca="1">IF(AND($D199="Serviço",AW$12&lt;&gt;0,$H199&gt;0,OR(AUTOEVENTO&lt;&gt;"manual",$M199&lt;&gt;$A$15)),
        IF(Import.TipoArredondamento&lt;&gt;"TransfereGOV",
              ROUND(OFFSET($P199,0,AW$13),15-13*ORÇAMENTO!$AF$7)/$H199*OFFSET(ORÇAMENTO!$X$15,ROW(AW199)-ROW(AW$15),0),
              ROUND(ROUND(OFFSET($P199,0,AW$13),15-13*ORÇAMENTO!$AF$7)*OFFSET(ORÇAMENTO!$W$15,ROW(AW199)-ROW(AW$15),0),15-13*ORÇAMENTO!$AF$11)),
         0)</f>
        <v>0</v>
      </c>
      <c r="AX199" s="452">
        <f ca="1">IF(AND($D199="Serviço",AX$12&lt;&gt;0,$H199&gt;0,OR(AUTOEVENTO&lt;&gt;"manual",$M199&lt;&gt;$A$15)),
        IF(Import.TipoArredondamento&lt;&gt;"TransfereGOV",
              ROUND(OFFSET($P199,0,AX$13),15-13*ORÇAMENTO!$AF$7)/$H199*OFFSET(ORÇAMENTO!$X$15,ROW(AX199)-ROW(AX$15),0),
              ROUND(ROUND(OFFSET($P199,0,AX$13),15-13*ORÇAMENTO!$AF$7)*OFFSET(ORÇAMENTO!$W$15,ROW(AX199)-ROW(AX$15),0),15-13*ORÇAMENTO!$AF$11)),
         0)</f>
        <v>0</v>
      </c>
      <c r="AY199" s="452">
        <f ca="1">IF(AND($D199="Serviço",AY$12&lt;&gt;0,$H199&gt;0,OR(AUTOEVENTO&lt;&gt;"manual",$M199&lt;&gt;$A$15)),
        IF(Import.TipoArredondamento&lt;&gt;"TransfereGOV",
              ROUND(OFFSET($P199,0,AY$13),15-13*ORÇAMENTO!$AF$7)/$H199*OFFSET(ORÇAMENTO!$X$15,ROW(AY199)-ROW(AY$15),0),
              ROUND(ROUND(OFFSET($P199,0,AY$13),15-13*ORÇAMENTO!$AF$7)*OFFSET(ORÇAMENTO!$W$15,ROW(AY199)-ROW(AY$15),0),15-13*ORÇAMENTO!$AF$11)),
         0)</f>
        <v>0</v>
      </c>
      <c r="AZ199" s="452">
        <f ca="1">IF(AND($D199="Serviço",AZ$12&lt;&gt;0,$H199&gt;0,OR(AUTOEVENTO&lt;&gt;"manual",$M199&lt;&gt;$A$15)),
        IF(Import.TipoArredondamento&lt;&gt;"TransfereGOV",
              ROUND(OFFSET($P199,0,AZ$13),15-13*ORÇAMENTO!$AF$7)/$H199*OFFSET(ORÇAMENTO!$X$15,ROW(AZ199)-ROW(AZ$15),0),
              ROUND(ROUND(OFFSET($P199,0,AZ$13),15-13*ORÇAMENTO!$AF$7)*OFFSET(ORÇAMENTO!$W$15,ROW(AZ199)-ROW(AZ$15),0),15-13*ORÇAMENTO!$AF$11)),
         0)</f>
        <v>0</v>
      </c>
      <c r="BA199" s="452">
        <f ca="1">IF(AND($D199="Serviço",BA$12&lt;&gt;0,$H199&gt;0,OR(AUTOEVENTO&lt;&gt;"manual",$M199&lt;&gt;$A$15)),
        IF(Import.TipoArredondamento&lt;&gt;"TransfereGOV",
              ROUND(OFFSET($P199,0,BA$13),15-13*ORÇAMENTO!$AF$7)/$H199*OFFSET(ORÇAMENTO!$X$15,ROW(BA199)-ROW(BA$15),0),
              ROUND(ROUND(OFFSET($P199,0,BA$13),15-13*ORÇAMENTO!$AF$7)*OFFSET(ORÇAMENTO!$W$15,ROW(BA199)-ROW(BA$15),0),15-13*ORÇAMENTO!$AF$11)),
         0)</f>
        <v>0</v>
      </c>
      <c r="BC199" s="171">
        <f ca="1">IF(OR($D199&lt;&gt;"Serviço",AND(AUTOEVENTO="Manual",$M199=$A$15)),0,
         IF(OFFSET(CRONOPLE!$F$15,$M199-$A$15,BC$13)=0,10^12,OFFSET(CRONOPLE!$F$15,$M199-$A$15,BC$13)))</f>
        <v>5</v>
      </c>
      <c r="BD199" s="171">
        <f ca="1">IF(OR($D199&lt;&gt;"Serviço",AND(AUTOEVENTO="Manual",$M199=$A$15)),0,
         IF(OFFSET(CRONOPLE!$F$15,$M199-$A$15,BD$13)=0,10^12,OFFSET(CRONOPLE!$F$15,$M199-$A$15,BD$13)))</f>
        <v>5</v>
      </c>
      <c r="BE199" s="171">
        <f ca="1">IF(OR($D199&lt;&gt;"Serviço",AND(AUTOEVENTO="Manual",$M199=$A$15)),0,
         IF(OFFSET(CRONOPLE!$F$15,$M199-$A$15,BE$13)=0,10^12,OFFSET(CRONOPLE!$F$15,$M199-$A$15,BE$13)))</f>
        <v>6</v>
      </c>
      <c r="BF199" s="171">
        <f ca="1">IF(OR($D199&lt;&gt;"Serviço",AND(AUTOEVENTO="Manual",$M199=$A$15)),0,
         IF(OFFSET(CRONOPLE!$F$15,$M199-$A$15,BF$13)=0,10^12,OFFSET(CRONOPLE!$F$15,$M199-$A$15,BF$13)))</f>
        <v>6</v>
      </c>
      <c r="BG199" s="171">
        <f ca="1">IF(OR($D199&lt;&gt;"Serviço",AND(AUTOEVENTO="Manual",$M199=$A$15)),0,
         IF(OFFSET(CRONOPLE!$F$15,$M199-$A$15,BG$13)=0,10^12,OFFSET(CRONOPLE!$F$15,$M199-$A$15,BG$13)))</f>
        <v>6</v>
      </c>
      <c r="BH199" s="171">
        <f ca="1">IF(OR($D199&lt;&gt;"Serviço",AND(AUTOEVENTO="Manual",$M199=$A$15)),0,
         IF(OFFSET(CRONOPLE!$F$15,$M199-$A$15,BH$13)=0,10^12,OFFSET(CRONOPLE!$F$15,$M199-$A$15,BH$13)))</f>
        <v>1000000000000</v>
      </c>
      <c r="BI199" s="171">
        <f ca="1">IF(OR($D199&lt;&gt;"Serviço",AND(AUTOEVENTO="Manual",$M199=$A$15)),0,
         IF(OFFSET(CRONOPLE!$F$15,$M199-$A$15,BI$13)=0,10^12,OFFSET(CRONOPLE!$F$15,$M199-$A$15,BI$13)))</f>
        <v>1000000000000</v>
      </c>
      <c r="BJ199" s="171">
        <f ca="1">IF(OR($D199&lt;&gt;"Serviço",AND(AUTOEVENTO="Manual",$M199=$A$15)),0,
         IF(OFFSET(CRONOPLE!$F$15,$M199-$A$15,BJ$13)=0,10^12,OFFSET(CRONOPLE!$F$15,$M199-$A$15,BJ$13)))</f>
        <v>1000000000000</v>
      </c>
      <c r="BK199" s="171">
        <f ca="1">IF(OR($D199&lt;&gt;"Serviço",AND(AUTOEVENTO="Manual",$M199=$A$15)),0,
         IF(OFFSET(CRONOPLE!$F$15,$M199-$A$15,BK$13)=0,10^12,OFFSET(CRONOPLE!$F$15,$M199-$A$15,BK$13)))</f>
        <v>9</v>
      </c>
      <c r="BL199" s="171">
        <f ca="1">IF(OR($D199&lt;&gt;"Serviço",AND(AUTOEVENTO="Manual",$M199=$A$15)),0,
         IF(OFFSET(CRONOPLE!$F$15,$M199-$A$15,BL$13)=0,10^12,OFFSET(CRONOPLE!$F$15,$M199-$A$15,BL$13)))</f>
        <v>1000000000000</v>
      </c>
      <c r="BM199" s="171">
        <f ca="1">IF(OR($D199&lt;&gt;"Serviço",AND(AUTOEVENTO="Manual",$M199=$A$15)),0,
         IF(OFFSET(CRONOPLE!$F$15,$M199-$A$15,BM$13)=0,10^12,OFFSET(CRONOPLE!$F$15,$M199-$A$15,BM$13)))</f>
        <v>1000000000000</v>
      </c>
      <c r="BN199" s="171">
        <f ca="1">IF(OR($D199&lt;&gt;"Serviço",AND(AUTOEVENTO="Manual",$M199=$A$15)),0,
         IF(OFFSET(CRONOPLE!$F$15,$M199-$A$15,BN$13)=0,10^12,OFFSET(CRONOPLE!$F$15,$M199-$A$15,BN$13)))</f>
        <v>1000000000000</v>
      </c>
      <c r="BO199" s="171">
        <f ca="1">IF(OR($D199&lt;&gt;"Serviço",AND(AUTOEVENTO="Manual",$M199=$A$15)),0,
         IF(OFFSET(CRONOPLE!$F$15,$M199-$A$15,BO$13)=0,10^12,OFFSET(CRONOPLE!$F$15,$M199-$A$15,BO$13)))</f>
        <v>1000000000000</v>
      </c>
      <c r="BP199" s="171">
        <f ca="1">IF(OR($D199&lt;&gt;"Serviço",AND(AUTOEVENTO="Manual",$M199=$A$15)),0,
         IF(OFFSET(CRONOPLE!$F$15,$M199-$A$15,BP$13)=0,10^12,OFFSET(CRONOPLE!$F$15,$M199-$A$15,BP$13)))</f>
        <v>1000000000000</v>
      </c>
      <c r="BQ199" s="171">
        <f ca="1">IF(OR($D199&lt;&gt;"Serviço",AND(AUTOEVENTO="Manual",$M199=$A$15)),0,
         IF(OFFSET(CRONOPLE!$F$15,$M199-$A$15,BQ$13)=0,10^12,OFFSET(CRONOPLE!$F$15,$M199-$A$15,BQ$13)))</f>
        <v>1000000000000</v>
      </c>
      <c r="BR199" s="171">
        <f ca="1">IF(OR($D199&lt;&gt;"Serviço",AND(AUTOEVENTO="Manual",$M199=$A$15)),0,
         IF(OFFSET(CRONOPLE!$F$15,$M199-$A$15,BR$13)=0,10^12,OFFSET(CRONOPLE!$F$15,$M199-$A$15,BR$13)))</f>
        <v>1000000000000</v>
      </c>
      <c r="BS199" s="171">
        <f ca="1">IF(OR($D199&lt;&gt;"Serviço",AND(AUTOEVENTO="Manual",$M199=$A$15)),0,
         IF(OFFSET(CRONOPLE!$F$15,$M199-$A$15,BS$13)=0,10^12,OFFSET(CRONOPLE!$F$15,$M199-$A$15,BS$13)))</f>
        <v>1000000000000</v>
      </c>
      <c r="BT199" s="171">
        <f ca="1">IF(OR($D199&lt;&gt;"Serviço",AND(AUTOEVENTO="Manual",$M199=$A$15)),0,
         IF(OFFSET(CRONOPLE!$F$15,$M199-$A$15,BT$13)=0,10^12,OFFSET(CRONOPLE!$F$15,$M199-$A$15,BT$13)))</f>
        <v>1000000000000</v>
      </c>
      <c r="BV199" s="172">
        <f t="array" aca="1" ref="BV199" ca="1">IF(OR($D199&lt;&gt;"Serviço",AND(AUTOEVENTO="Manual",$M199=$A$15),$M199&gt;(ROW(PLE.lastrow)-ROW(PLE.firstrow))),0,
           IF(OFFSET(PLE!$G$15,$M199-$A$15,BV$13)="",10^12,OFFSET(PLE!$G$15,$M199-$A$15,BV$13)))</f>
        <v>1000000000000</v>
      </c>
      <c r="BW199" s="172">
        <f t="array" aca="1" ref="BW199" ca="1">IF(OR($D199&lt;&gt;"Serviço",AND(AUTOEVENTO="Manual",$M199=$A$15),$M199&gt;(ROW(PLE.lastrow)-ROW(PLE.firstrow))),0,
           IF(OFFSET(PLE!$G$15,$M199-$A$15,BW$13)="",10^12,OFFSET(PLE!$G$15,$M199-$A$15,BW$13)))</f>
        <v>1000000000000</v>
      </c>
      <c r="BX199" s="172">
        <f t="array" aca="1" ref="BX199" ca="1">IF(OR($D199&lt;&gt;"Serviço",AND(AUTOEVENTO="Manual",$M199=$A$15),$M199&gt;(ROW(PLE.lastrow)-ROW(PLE.firstrow))),0,
           IF(OFFSET(PLE!$G$15,$M199-$A$15,BX$13)="",10^12,OFFSET(PLE!$G$15,$M199-$A$15,BX$13)))</f>
        <v>1000000000000</v>
      </c>
      <c r="BY199" s="172">
        <f t="array" aca="1" ref="BY199" ca="1">IF(OR($D199&lt;&gt;"Serviço",AND(AUTOEVENTO="Manual",$M199=$A$15),$M199&gt;(ROW(PLE.lastrow)-ROW(PLE.firstrow))),0,
           IF(OFFSET(PLE!$G$15,$M199-$A$15,BY$13)="",10^12,OFFSET(PLE!$G$15,$M199-$A$15,BY$13)))</f>
        <v>1000000000000</v>
      </c>
      <c r="BZ199" s="172">
        <f t="array" aca="1" ref="BZ199" ca="1">IF(OR($D199&lt;&gt;"Serviço",AND(AUTOEVENTO="Manual",$M199=$A$15),$M199&gt;(ROW(PLE.lastrow)-ROW(PLE.firstrow))),0,
           IF(OFFSET(PLE!$G$15,$M199-$A$15,BZ$13)="",10^12,OFFSET(PLE!$G$15,$M199-$A$15,BZ$13)))</f>
        <v>1000000000000</v>
      </c>
      <c r="CA199" s="172">
        <f t="array" aca="1" ref="CA199" ca="1">IF(OR($D199&lt;&gt;"Serviço",AND(AUTOEVENTO="Manual",$M199=$A$15),$M199&gt;(ROW(PLE.lastrow)-ROW(PLE.firstrow))),0,
           IF(OFFSET(PLE!$G$15,$M199-$A$15,CA$13)="",10^12,OFFSET(PLE!$G$15,$M199-$A$15,CA$13)))</f>
        <v>1000000000000</v>
      </c>
      <c r="CB199" s="172">
        <f t="array" aca="1" ref="CB199" ca="1">IF(OR($D199&lt;&gt;"Serviço",AND(AUTOEVENTO="Manual",$M199=$A$15),$M199&gt;(ROW(PLE.lastrow)-ROW(PLE.firstrow))),0,
           IF(OFFSET(PLE!$G$15,$M199-$A$15,CB$13)="",10^12,OFFSET(PLE!$G$15,$M199-$A$15,CB$13)))</f>
        <v>1000000000000</v>
      </c>
      <c r="CC199" s="172">
        <f t="array" aca="1" ref="CC199" ca="1">IF(OR($D199&lt;&gt;"Serviço",AND(AUTOEVENTO="Manual",$M199=$A$15),$M199&gt;(ROW(PLE.lastrow)-ROW(PLE.firstrow))),0,
           IF(OFFSET(PLE!$G$15,$M199-$A$15,CC$13)="",10^12,OFFSET(PLE!$G$15,$M199-$A$15,CC$13)))</f>
        <v>1000000000000</v>
      </c>
      <c r="CD199" s="172">
        <f t="array" aca="1" ref="CD199" ca="1">IF(OR($D199&lt;&gt;"Serviço",AND(AUTOEVENTO="Manual",$M199=$A$15),$M199&gt;(ROW(PLE.lastrow)-ROW(PLE.firstrow))),0,
           IF(OFFSET(PLE!$G$15,$M199-$A$15,CD$13)="",10^12,OFFSET(PLE!$G$15,$M199-$A$15,CD$13)))</f>
        <v>1000000000000</v>
      </c>
      <c r="CE199" s="172">
        <f t="array" aca="1" ref="CE199" ca="1">IF(OR($D199&lt;&gt;"Serviço",AND(AUTOEVENTO="Manual",$M199=$A$15),$M199&gt;(ROW(PLE.lastrow)-ROW(PLE.firstrow))),0,
           IF(OFFSET(PLE!$G$15,$M199-$A$15,CE$13)="",10^12,OFFSET(PLE!$G$15,$M199-$A$15,CE$13)))</f>
        <v>1000000000000</v>
      </c>
      <c r="CF199" s="172">
        <f t="array" aca="1" ref="CF199" ca="1">IF(OR($D199&lt;&gt;"Serviço",AND(AUTOEVENTO="Manual",$M199=$A$15),$M199&gt;(ROW(PLE.lastrow)-ROW(PLE.firstrow))),0,
           IF(OFFSET(PLE!$G$15,$M199-$A$15,CF$13)="",10^12,OFFSET(PLE!$G$15,$M199-$A$15,CF$13)))</f>
        <v>1000000000000</v>
      </c>
      <c r="CG199" s="172">
        <f t="array" aca="1" ref="CG199" ca="1">IF(OR($D199&lt;&gt;"Serviço",AND(AUTOEVENTO="Manual",$M199=$A$15),$M199&gt;(ROW(PLE.lastrow)-ROW(PLE.firstrow))),0,
           IF(OFFSET(PLE!$G$15,$M199-$A$15,CG$13)="",10^12,OFFSET(PLE!$G$15,$M199-$A$15,CG$13)))</f>
        <v>1000000000000</v>
      </c>
      <c r="CH199" s="172">
        <f t="array" aca="1" ref="CH199" ca="1">IF(OR($D199&lt;&gt;"Serviço",AND(AUTOEVENTO="Manual",$M199=$A$15),$M199&gt;(ROW(PLE.lastrow)-ROW(PLE.firstrow))),0,
           IF(OFFSET(PLE!$G$15,$M199-$A$15,CH$13)="",10^12,OFFSET(PLE!$G$15,$M199-$A$15,CH$13)))</f>
        <v>1000000000000</v>
      </c>
      <c r="CI199" s="172">
        <f t="array" aca="1" ref="CI199" ca="1">IF(OR($D199&lt;&gt;"Serviço",AND(AUTOEVENTO="Manual",$M199=$A$15),$M199&gt;(ROW(PLE.lastrow)-ROW(PLE.firstrow))),0,
           IF(OFFSET(PLE!$G$15,$M199-$A$15,CI$13)="",10^12,OFFSET(PLE!$G$15,$M199-$A$15,CI$13)))</f>
        <v>1000000000000</v>
      </c>
      <c r="CJ199" s="172">
        <f t="array" aca="1" ref="CJ199" ca="1">IF(OR($D199&lt;&gt;"Serviço",AND(AUTOEVENTO="Manual",$M199=$A$15),$M199&gt;(ROW(PLE.lastrow)-ROW(PLE.firstrow))),0,
           IF(OFFSET(PLE!$G$15,$M199-$A$15,CJ$13)="",10^12,OFFSET(PLE!$G$15,$M199-$A$15,CJ$13)))</f>
        <v>1000000000000</v>
      </c>
      <c r="CK199" s="172">
        <f t="array" aca="1" ref="CK199" ca="1">IF(OR($D199&lt;&gt;"Serviço",AND(AUTOEVENTO="Manual",$M199=$A$15),$M199&gt;(ROW(PLE.lastrow)-ROW(PLE.firstrow))),0,
           IF(OFFSET(PLE!$G$15,$M199-$A$15,CK$13)="",10^12,OFFSET(PLE!$G$15,$M199-$A$15,CK$13)))</f>
        <v>1000000000000</v>
      </c>
      <c r="CL199" s="172">
        <f t="array" aca="1" ref="CL199" ca="1">IF(OR($D199&lt;&gt;"Serviço",AND(AUTOEVENTO="Manual",$M199=$A$15),$M199&gt;(ROW(PLE.lastrow)-ROW(PLE.firstrow))),0,
           IF(OFFSET(PLE!$G$15,$M199-$A$15,CL$13)="",10^12,OFFSET(PLE!$G$15,$M199-$A$15,CL$13)))</f>
        <v>1000000000000</v>
      </c>
      <c r="CM199" s="172">
        <f t="array" aca="1" ref="CM199" ca="1">IF(OR($D199&lt;&gt;"Serviço",AND(AUTOEVENTO="Manual",$M199=$A$15),$M199&gt;(ROW(PLE.lastrow)-ROW(PLE.firstrow))),0,
           IF(OFFSET(PLE!$G$15,$M199-$A$15,CM$13)="",10^12,OFFSET(PLE!$G$15,$M199-$A$15,CM$13)))</f>
        <v>1000000000000</v>
      </c>
    </row>
    <row r="200" spans="1:91" s="696" customFormat="1" ht="63.75" x14ac:dyDescent="0.2">
      <c r="A200" s="694">
        <f t="shared" ca="1" si="98"/>
        <v>31</v>
      </c>
      <c r="B200" s="694" t="str">
        <f ca="1">OFFSET(ORÇAMENTO!C$15,$L200,0)</f>
        <v>S</v>
      </c>
      <c r="C200" s="694" t="str">
        <f ca="1">OFFSET(ORÇAMENTO!L$15,$L200,0)</f>
        <v>F</v>
      </c>
      <c r="D200" s="116" t="str">
        <f ca="1">OFFSET(ORÇAMENTO!N$15,$L200,0)</f>
        <v>Serviço</v>
      </c>
      <c r="E200" s="117" t="str">
        <f ca="1">OFFSET(ORÇAMENTO!O$15,$L200,0)</f>
        <v>1.30.4.</v>
      </c>
      <c r="F200" s="163" t="str">
        <f ca="1">OFFSET(ORÇAMENTO!R$15,$L200,0)</f>
        <v>JOELHO 90 GRAUS, PVC, SERIE NORMAL, ESGOTO PREDIAL, DN 50 MM, JUNTA ELÁSTICA, FORNECIDO E INSTALADO EM RAMAL DE DESCARGA OU RAMAL DE ESGOTO SANITÁRIO. AF_08/2022</v>
      </c>
      <c r="G200" s="164" t="str">
        <f ca="1">IF($D200&lt;&gt;"Serviço","",OFFSET(ORÇAMENTO!S$15,$L200,0))</f>
        <v>UN</v>
      </c>
      <c r="H200" s="122">
        <f t="array" aca="1" ref="H200" ca="1">IF($D200&lt;&gt;"Serviço",0,IF(ACOMPANHAMENTO="BM",ROUND(OFFSET(ORÇAMENTO!AJ$15,$L200,0),15-13*ORÇAMENTO!$AF$7),IF(IFERROR(CÁLCULO.FrentesPreenchidas,0)=0,0,SUM(ROUND(OFFSET($P200,0,1,1,CÁLCULO.FrentesPreenchidas),15-13*ORÇAMENTO!$AF$7)))))</f>
        <v>180</v>
      </c>
      <c r="I200" s="467" t="s">
        <v>1332</v>
      </c>
      <c r="J200" s="653" t="str">
        <f t="array" aca="1" ref="J200" ca="1">IF(OR(B200&lt;&gt;"S",CÁLCULO.FrentesPreenchidas=0),"",IF(AND(ACOMPANHAMENTO="PLE",AUTOEVENTO="Manual",OR(H200&gt;0,ORÇAMENTO!AC200="QUANT."),OR(K200="",M200=0,N200="")),"►E",IF(AND(ACOMPANHAMENTO="PLE",ORÇAMENTO!AC200="QUANT."),"►Q",IF(AND(ACOMPANHAMENTO="PLE",H200&lt;&gt;SUMPRODUCT(($Q$1:$AI$1=1)*ROUND(Q200:AI200,15))),"►S",IF(AND(COUNTIF($P$11:$AI$11,"▼")=0,H200&gt;0,I200=""),"◄M","")))))</f>
        <v/>
      </c>
      <c r="K200" s="654" t="s">
        <v>1447</v>
      </c>
      <c r="L200" s="165">
        <f t="shared" ca="1" si="99"/>
        <v>185</v>
      </c>
      <c r="M200" s="166">
        <f ca="1">IF($D200&lt;&gt;"Serviço","",
          IF(AUTOEVENTO="manual",$A200,
                IF(ISERROR(MATCH($A200,$A$15:OFFSET($A200,-1,0),0)),MAX($M$15:OFFSET(M200,-1,0))+1,
                      INDEX($M$15:OFFSET(M200,-1,0),MATCH($A200,$A$15:OFFSET($A200,-1,0),0)))))</f>
        <v>31</v>
      </c>
      <c r="N200" s="167" t="str">
        <f ca="1">IF($D200&lt;&gt;"Serviço","",
         IF(AUTOEVENTO="Manual",
                IF($A200=0,"&lt;-- defina o número do agrupador",
                       OFFSET(EVENTOS!$D$15,$A200-$A$15,0)),
                OFFSET($F$15,$A200,0)))</f>
        <v>REDE PLUVIAL E ESGOTO</v>
      </c>
      <c r="O200" s="168"/>
      <c r="Q200" s="169">
        <v>45</v>
      </c>
      <c r="R200" s="169">
        <v>45</v>
      </c>
      <c r="S200" s="169">
        <v>45</v>
      </c>
      <c r="T200" s="169">
        <v>45</v>
      </c>
      <c r="U200" s="169"/>
      <c r="V200" s="169"/>
      <c r="W200" s="169"/>
      <c r="X200" s="169"/>
      <c r="Y200" s="169"/>
      <c r="Z200" s="170"/>
      <c r="AA200" s="169"/>
      <c r="AB200" s="169"/>
      <c r="AC200" s="169"/>
      <c r="AD200" s="169"/>
      <c r="AE200" s="169"/>
      <c r="AF200" s="169"/>
      <c r="AG200" s="169"/>
      <c r="AH200" s="170"/>
      <c r="AJ200" s="452">
        <f ca="1">IF(AND($D200="Serviço",AJ$12&lt;&gt;0,$H200&gt;0,OR(AUTOEVENTO&lt;&gt;"manual",$M200&lt;&gt;$A$15)),
        IF(Import.TipoArredondamento&lt;&gt;"TransfereGOV",
              ROUND(OFFSET($P200,0,AJ$13),15-13*ORÇAMENTO!$AF$7)/$H200*OFFSET(ORÇAMENTO!$X$15,ROW(AJ200)-ROW(AJ$15),0),
              ROUND(ROUND(OFFSET($P200,0,AJ$13),15-13*ORÇAMENTO!$AF$7)*OFFSET(ORÇAMENTO!$W$15,ROW(AJ200)-ROW(AJ$15),0),15-13*ORÇAMENTO!$AF$11)),
         0)</f>
        <v>798.3</v>
      </c>
      <c r="AK200" s="452">
        <f ca="1">IF(AND($D200="Serviço",AK$12&lt;&gt;0,$H200&gt;0,OR(AUTOEVENTO&lt;&gt;"manual",$M200&lt;&gt;$A$15)),
        IF(Import.TipoArredondamento&lt;&gt;"TransfereGOV",
              ROUND(OFFSET($P200,0,AK$13),15-13*ORÇAMENTO!$AF$7)/$H200*OFFSET(ORÇAMENTO!$X$15,ROW(AK200)-ROW(AK$15),0),
              ROUND(ROUND(OFFSET($P200,0,AK$13),15-13*ORÇAMENTO!$AF$7)*OFFSET(ORÇAMENTO!$W$15,ROW(AK200)-ROW(AK$15),0),15-13*ORÇAMENTO!$AF$11)),
         0)</f>
        <v>798.3</v>
      </c>
      <c r="AL200" s="452">
        <f ca="1">IF(AND($D200="Serviço",AL$12&lt;&gt;0,$H200&gt;0,OR(AUTOEVENTO&lt;&gt;"manual",$M200&lt;&gt;$A$15)),
        IF(Import.TipoArredondamento&lt;&gt;"TransfereGOV",
              ROUND(OFFSET($P200,0,AL$13),15-13*ORÇAMENTO!$AF$7)/$H200*OFFSET(ORÇAMENTO!$X$15,ROW(AL200)-ROW(AL$15),0),
              ROUND(ROUND(OFFSET($P200,0,AL$13),15-13*ORÇAMENTO!$AF$7)*OFFSET(ORÇAMENTO!$W$15,ROW(AL200)-ROW(AL$15),0),15-13*ORÇAMENTO!$AF$11)),
         0)</f>
        <v>798.3</v>
      </c>
      <c r="AM200" s="452">
        <f ca="1">IF(AND($D200="Serviço",AM$12&lt;&gt;0,$H200&gt;0,OR(AUTOEVENTO&lt;&gt;"manual",$M200&lt;&gt;$A$15)),
        IF(Import.TipoArredondamento&lt;&gt;"TransfereGOV",
              ROUND(OFFSET($P200,0,AM$13),15-13*ORÇAMENTO!$AF$7)/$H200*OFFSET(ORÇAMENTO!$X$15,ROW(AM200)-ROW(AM$15),0),
              ROUND(ROUND(OFFSET($P200,0,AM$13),15-13*ORÇAMENTO!$AF$7)*OFFSET(ORÇAMENTO!$W$15,ROW(AM200)-ROW(AM$15),0),15-13*ORÇAMENTO!$AF$11)),
         0)</f>
        <v>798.3</v>
      </c>
      <c r="AN200" s="452">
        <f ca="1">IF(AND($D200="Serviço",AN$12&lt;&gt;0,$H200&gt;0,OR(AUTOEVENTO&lt;&gt;"manual",$M200&lt;&gt;$A$15)),
        IF(Import.TipoArredondamento&lt;&gt;"TransfereGOV",
              ROUND(OFFSET($P200,0,AN$13),15-13*ORÇAMENTO!$AF$7)/$H200*OFFSET(ORÇAMENTO!$X$15,ROW(AN200)-ROW(AN$15),0),
              ROUND(ROUND(OFFSET($P200,0,AN$13),15-13*ORÇAMENTO!$AF$7)*OFFSET(ORÇAMENTO!$W$15,ROW(AN200)-ROW(AN$15),0),15-13*ORÇAMENTO!$AF$11)),
         0)</f>
        <v>0</v>
      </c>
      <c r="AO200" s="452">
        <f ca="1">IF(AND($D200="Serviço",AO$12&lt;&gt;0,$H200&gt;0,OR(AUTOEVENTO&lt;&gt;"manual",$M200&lt;&gt;$A$15)),
        IF(Import.TipoArredondamento&lt;&gt;"TransfereGOV",
              ROUND(OFFSET($P200,0,AO$13),15-13*ORÇAMENTO!$AF$7)/$H200*OFFSET(ORÇAMENTO!$X$15,ROW(AO200)-ROW(AO$15),0),
              ROUND(ROUND(OFFSET($P200,0,AO$13),15-13*ORÇAMENTO!$AF$7)*OFFSET(ORÇAMENTO!$W$15,ROW(AO200)-ROW(AO$15),0),15-13*ORÇAMENTO!$AF$11)),
         0)</f>
        <v>0</v>
      </c>
      <c r="AP200" s="452">
        <f ca="1">IF(AND($D200="Serviço",AP$12&lt;&gt;0,$H200&gt;0,OR(AUTOEVENTO&lt;&gt;"manual",$M200&lt;&gt;$A$15)),
        IF(Import.TipoArredondamento&lt;&gt;"TransfereGOV",
              ROUND(OFFSET($P200,0,AP$13),15-13*ORÇAMENTO!$AF$7)/$H200*OFFSET(ORÇAMENTO!$X$15,ROW(AP200)-ROW(AP$15),0),
              ROUND(ROUND(OFFSET($P200,0,AP$13),15-13*ORÇAMENTO!$AF$7)*OFFSET(ORÇAMENTO!$W$15,ROW(AP200)-ROW(AP$15),0),15-13*ORÇAMENTO!$AF$11)),
         0)</f>
        <v>0</v>
      </c>
      <c r="AQ200" s="452">
        <f ca="1">IF(AND($D200="Serviço",AQ$12&lt;&gt;0,$H200&gt;0,OR(AUTOEVENTO&lt;&gt;"manual",$M200&lt;&gt;$A$15)),
        IF(Import.TipoArredondamento&lt;&gt;"TransfereGOV",
              ROUND(OFFSET($P200,0,AQ$13),15-13*ORÇAMENTO!$AF$7)/$H200*OFFSET(ORÇAMENTO!$X$15,ROW(AQ200)-ROW(AQ$15),0),
              ROUND(ROUND(OFFSET($P200,0,AQ$13),15-13*ORÇAMENTO!$AF$7)*OFFSET(ORÇAMENTO!$W$15,ROW(AQ200)-ROW(AQ$15),0),15-13*ORÇAMENTO!$AF$11)),
         0)</f>
        <v>0</v>
      </c>
      <c r="AR200" s="452">
        <f ca="1">IF(AND($D200="Serviço",AR$12&lt;&gt;0,$H200&gt;0,OR(AUTOEVENTO&lt;&gt;"manual",$M200&lt;&gt;$A$15)),
        IF(Import.TipoArredondamento&lt;&gt;"TransfereGOV",
              ROUND(OFFSET($P200,0,AR$13),15-13*ORÇAMENTO!$AF$7)/$H200*OFFSET(ORÇAMENTO!$X$15,ROW(AR200)-ROW(AR$15),0),
              ROUND(ROUND(OFFSET($P200,0,AR$13),15-13*ORÇAMENTO!$AF$7)*OFFSET(ORÇAMENTO!$W$15,ROW(AR200)-ROW(AR$15),0),15-13*ORÇAMENTO!$AF$11)),
         0)</f>
        <v>0</v>
      </c>
      <c r="AS200" s="452">
        <f ca="1">IF(AND($D200="Serviço",AS$12&lt;&gt;0,$H200&gt;0,OR(AUTOEVENTO&lt;&gt;"manual",$M200&lt;&gt;$A$15)),
        IF(Import.TipoArredondamento&lt;&gt;"TransfereGOV",
              ROUND(OFFSET($P200,0,AS$13),15-13*ORÇAMENTO!$AF$7)/$H200*OFFSET(ORÇAMENTO!$X$15,ROW(AS200)-ROW(AS$15),0),
              ROUND(ROUND(OFFSET($P200,0,AS$13),15-13*ORÇAMENTO!$AF$7)*OFFSET(ORÇAMENTO!$W$15,ROW(AS200)-ROW(AS$15),0),15-13*ORÇAMENTO!$AF$11)),
         0)</f>
        <v>0</v>
      </c>
      <c r="AT200" s="452">
        <f ca="1">IF(AND($D200="Serviço",AT$12&lt;&gt;0,$H200&gt;0,OR(AUTOEVENTO&lt;&gt;"manual",$M200&lt;&gt;$A$15)),
        IF(Import.TipoArredondamento&lt;&gt;"TransfereGOV",
              ROUND(OFFSET($P200,0,AT$13),15-13*ORÇAMENTO!$AF$7)/$H200*OFFSET(ORÇAMENTO!$X$15,ROW(AT200)-ROW(AT$15),0),
              ROUND(ROUND(OFFSET($P200,0,AT$13),15-13*ORÇAMENTO!$AF$7)*OFFSET(ORÇAMENTO!$W$15,ROW(AT200)-ROW(AT$15),0),15-13*ORÇAMENTO!$AF$11)),
         0)</f>
        <v>0</v>
      </c>
      <c r="AU200" s="452">
        <f ca="1">IF(AND($D200="Serviço",AU$12&lt;&gt;0,$H200&gt;0,OR(AUTOEVENTO&lt;&gt;"manual",$M200&lt;&gt;$A$15)),
        IF(Import.TipoArredondamento&lt;&gt;"TransfereGOV",
              ROUND(OFFSET($P200,0,AU$13),15-13*ORÇAMENTO!$AF$7)/$H200*OFFSET(ORÇAMENTO!$X$15,ROW(AU200)-ROW(AU$15),0),
              ROUND(ROUND(OFFSET($P200,0,AU$13),15-13*ORÇAMENTO!$AF$7)*OFFSET(ORÇAMENTO!$W$15,ROW(AU200)-ROW(AU$15),0),15-13*ORÇAMENTO!$AF$11)),
         0)</f>
        <v>0</v>
      </c>
      <c r="AV200" s="452">
        <f ca="1">IF(AND($D200="Serviço",AV$12&lt;&gt;0,$H200&gt;0,OR(AUTOEVENTO&lt;&gt;"manual",$M200&lt;&gt;$A$15)),
        IF(Import.TipoArredondamento&lt;&gt;"TransfereGOV",
              ROUND(OFFSET($P200,0,AV$13),15-13*ORÇAMENTO!$AF$7)/$H200*OFFSET(ORÇAMENTO!$X$15,ROW(AV200)-ROW(AV$15),0),
              ROUND(ROUND(OFFSET($P200,0,AV$13),15-13*ORÇAMENTO!$AF$7)*OFFSET(ORÇAMENTO!$W$15,ROW(AV200)-ROW(AV$15),0),15-13*ORÇAMENTO!$AF$11)),
         0)</f>
        <v>0</v>
      </c>
      <c r="AW200" s="452">
        <f ca="1">IF(AND($D200="Serviço",AW$12&lt;&gt;0,$H200&gt;0,OR(AUTOEVENTO&lt;&gt;"manual",$M200&lt;&gt;$A$15)),
        IF(Import.TipoArredondamento&lt;&gt;"TransfereGOV",
              ROUND(OFFSET($P200,0,AW$13),15-13*ORÇAMENTO!$AF$7)/$H200*OFFSET(ORÇAMENTO!$X$15,ROW(AW200)-ROW(AW$15),0),
              ROUND(ROUND(OFFSET($P200,0,AW$13),15-13*ORÇAMENTO!$AF$7)*OFFSET(ORÇAMENTO!$W$15,ROW(AW200)-ROW(AW$15),0),15-13*ORÇAMENTO!$AF$11)),
         0)</f>
        <v>0</v>
      </c>
      <c r="AX200" s="452">
        <f ca="1">IF(AND($D200="Serviço",AX$12&lt;&gt;0,$H200&gt;0,OR(AUTOEVENTO&lt;&gt;"manual",$M200&lt;&gt;$A$15)),
        IF(Import.TipoArredondamento&lt;&gt;"TransfereGOV",
              ROUND(OFFSET($P200,0,AX$13),15-13*ORÇAMENTO!$AF$7)/$H200*OFFSET(ORÇAMENTO!$X$15,ROW(AX200)-ROW(AX$15),0),
              ROUND(ROUND(OFFSET($P200,0,AX$13),15-13*ORÇAMENTO!$AF$7)*OFFSET(ORÇAMENTO!$W$15,ROW(AX200)-ROW(AX$15),0),15-13*ORÇAMENTO!$AF$11)),
         0)</f>
        <v>0</v>
      </c>
      <c r="AY200" s="452">
        <f ca="1">IF(AND($D200="Serviço",AY$12&lt;&gt;0,$H200&gt;0,OR(AUTOEVENTO&lt;&gt;"manual",$M200&lt;&gt;$A$15)),
        IF(Import.TipoArredondamento&lt;&gt;"TransfereGOV",
              ROUND(OFFSET($P200,0,AY$13),15-13*ORÇAMENTO!$AF$7)/$H200*OFFSET(ORÇAMENTO!$X$15,ROW(AY200)-ROW(AY$15),0),
              ROUND(ROUND(OFFSET($P200,0,AY$13),15-13*ORÇAMENTO!$AF$7)*OFFSET(ORÇAMENTO!$W$15,ROW(AY200)-ROW(AY$15),0),15-13*ORÇAMENTO!$AF$11)),
         0)</f>
        <v>0</v>
      </c>
      <c r="AZ200" s="452">
        <f ca="1">IF(AND($D200="Serviço",AZ$12&lt;&gt;0,$H200&gt;0,OR(AUTOEVENTO&lt;&gt;"manual",$M200&lt;&gt;$A$15)),
        IF(Import.TipoArredondamento&lt;&gt;"TransfereGOV",
              ROUND(OFFSET($P200,0,AZ$13),15-13*ORÇAMENTO!$AF$7)/$H200*OFFSET(ORÇAMENTO!$X$15,ROW(AZ200)-ROW(AZ$15),0),
              ROUND(ROUND(OFFSET($P200,0,AZ$13),15-13*ORÇAMENTO!$AF$7)*OFFSET(ORÇAMENTO!$W$15,ROW(AZ200)-ROW(AZ$15),0),15-13*ORÇAMENTO!$AF$11)),
         0)</f>
        <v>0</v>
      </c>
      <c r="BA200" s="452">
        <f ca="1">IF(AND($D200="Serviço",BA$12&lt;&gt;0,$H200&gt;0,OR(AUTOEVENTO&lt;&gt;"manual",$M200&lt;&gt;$A$15)),
        IF(Import.TipoArredondamento&lt;&gt;"TransfereGOV",
              ROUND(OFFSET($P200,0,BA$13),15-13*ORÇAMENTO!$AF$7)/$H200*OFFSET(ORÇAMENTO!$X$15,ROW(BA200)-ROW(BA$15),0),
              ROUND(ROUND(OFFSET($P200,0,BA$13),15-13*ORÇAMENTO!$AF$7)*OFFSET(ORÇAMENTO!$W$15,ROW(BA200)-ROW(BA$15),0),15-13*ORÇAMENTO!$AF$11)),
         0)</f>
        <v>0</v>
      </c>
      <c r="BC200" s="171">
        <f ca="1">IF(OR($D200&lt;&gt;"Serviço",AND(AUTOEVENTO="Manual",$M200=$A$15)),0,
         IF(OFFSET(CRONOPLE!$F$15,$M200-$A$15,BC$13)=0,10^12,OFFSET(CRONOPLE!$F$15,$M200-$A$15,BC$13)))</f>
        <v>5</v>
      </c>
      <c r="BD200" s="171">
        <f ca="1">IF(OR($D200&lt;&gt;"Serviço",AND(AUTOEVENTO="Manual",$M200=$A$15)),0,
         IF(OFFSET(CRONOPLE!$F$15,$M200-$A$15,BD$13)=0,10^12,OFFSET(CRONOPLE!$F$15,$M200-$A$15,BD$13)))</f>
        <v>5</v>
      </c>
      <c r="BE200" s="171">
        <f ca="1">IF(OR($D200&lt;&gt;"Serviço",AND(AUTOEVENTO="Manual",$M200=$A$15)),0,
         IF(OFFSET(CRONOPLE!$F$15,$M200-$A$15,BE$13)=0,10^12,OFFSET(CRONOPLE!$F$15,$M200-$A$15,BE$13)))</f>
        <v>6</v>
      </c>
      <c r="BF200" s="171">
        <f ca="1">IF(OR($D200&lt;&gt;"Serviço",AND(AUTOEVENTO="Manual",$M200=$A$15)),0,
         IF(OFFSET(CRONOPLE!$F$15,$M200-$A$15,BF$13)=0,10^12,OFFSET(CRONOPLE!$F$15,$M200-$A$15,BF$13)))</f>
        <v>6</v>
      </c>
      <c r="BG200" s="171">
        <f ca="1">IF(OR($D200&lt;&gt;"Serviço",AND(AUTOEVENTO="Manual",$M200=$A$15)),0,
         IF(OFFSET(CRONOPLE!$F$15,$M200-$A$15,BG$13)=0,10^12,OFFSET(CRONOPLE!$F$15,$M200-$A$15,BG$13)))</f>
        <v>6</v>
      </c>
      <c r="BH200" s="171">
        <f ca="1">IF(OR($D200&lt;&gt;"Serviço",AND(AUTOEVENTO="Manual",$M200=$A$15)),0,
         IF(OFFSET(CRONOPLE!$F$15,$M200-$A$15,BH$13)=0,10^12,OFFSET(CRONOPLE!$F$15,$M200-$A$15,BH$13)))</f>
        <v>1000000000000</v>
      </c>
      <c r="BI200" s="171">
        <f ca="1">IF(OR($D200&lt;&gt;"Serviço",AND(AUTOEVENTO="Manual",$M200=$A$15)),0,
         IF(OFFSET(CRONOPLE!$F$15,$M200-$A$15,BI$13)=0,10^12,OFFSET(CRONOPLE!$F$15,$M200-$A$15,BI$13)))</f>
        <v>1000000000000</v>
      </c>
      <c r="BJ200" s="171">
        <f ca="1">IF(OR($D200&lt;&gt;"Serviço",AND(AUTOEVENTO="Manual",$M200=$A$15)),0,
         IF(OFFSET(CRONOPLE!$F$15,$M200-$A$15,BJ$13)=0,10^12,OFFSET(CRONOPLE!$F$15,$M200-$A$15,BJ$13)))</f>
        <v>1000000000000</v>
      </c>
      <c r="BK200" s="171">
        <f ca="1">IF(OR($D200&lt;&gt;"Serviço",AND(AUTOEVENTO="Manual",$M200=$A$15)),0,
         IF(OFFSET(CRONOPLE!$F$15,$M200-$A$15,BK$13)=0,10^12,OFFSET(CRONOPLE!$F$15,$M200-$A$15,BK$13)))</f>
        <v>9</v>
      </c>
      <c r="BL200" s="171">
        <f ca="1">IF(OR($D200&lt;&gt;"Serviço",AND(AUTOEVENTO="Manual",$M200=$A$15)),0,
         IF(OFFSET(CRONOPLE!$F$15,$M200-$A$15,BL$13)=0,10^12,OFFSET(CRONOPLE!$F$15,$M200-$A$15,BL$13)))</f>
        <v>1000000000000</v>
      </c>
      <c r="BM200" s="171">
        <f ca="1">IF(OR($D200&lt;&gt;"Serviço",AND(AUTOEVENTO="Manual",$M200=$A$15)),0,
         IF(OFFSET(CRONOPLE!$F$15,$M200-$A$15,BM$13)=0,10^12,OFFSET(CRONOPLE!$F$15,$M200-$A$15,BM$13)))</f>
        <v>1000000000000</v>
      </c>
      <c r="BN200" s="171">
        <f ca="1">IF(OR($D200&lt;&gt;"Serviço",AND(AUTOEVENTO="Manual",$M200=$A$15)),0,
         IF(OFFSET(CRONOPLE!$F$15,$M200-$A$15,BN$13)=0,10^12,OFFSET(CRONOPLE!$F$15,$M200-$A$15,BN$13)))</f>
        <v>1000000000000</v>
      </c>
      <c r="BO200" s="171">
        <f ca="1">IF(OR($D200&lt;&gt;"Serviço",AND(AUTOEVENTO="Manual",$M200=$A$15)),0,
         IF(OFFSET(CRONOPLE!$F$15,$M200-$A$15,BO$13)=0,10^12,OFFSET(CRONOPLE!$F$15,$M200-$A$15,BO$13)))</f>
        <v>1000000000000</v>
      </c>
      <c r="BP200" s="171">
        <f ca="1">IF(OR($D200&lt;&gt;"Serviço",AND(AUTOEVENTO="Manual",$M200=$A$15)),0,
         IF(OFFSET(CRONOPLE!$F$15,$M200-$A$15,BP$13)=0,10^12,OFFSET(CRONOPLE!$F$15,$M200-$A$15,BP$13)))</f>
        <v>1000000000000</v>
      </c>
      <c r="BQ200" s="171">
        <f ca="1">IF(OR($D200&lt;&gt;"Serviço",AND(AUTOEVENTO="Manual",$M200=$A$15)),0,
         IF(OFFSET(CRONOPLE!$F$15,$M200-$A$15,BQ$13)=0,10^12,OFFSET(CRONOPLE!$F$15,$M200-$A$15,BQ$13)))</f>
        <v>1000000000000</v>
      </c>
      <c r="BR200" s="171">
        <f ca="1">IF(OR($D200&lt;&gt;"Serviço",AND(AUTOEVENTO="Manual",$M200=$A$15)),0,
         IF(OFFSET(CRONOPLE!$F$15,$M200-$A$15,BR$13)=0,10^12,OFFSET(CRONOPLE!$F$15,$M200-$A$15,BR$13)))</f>
        <v>1000000000000</v>
      </c>
      <c r="BS200" s="171">
        <f ca="1">IF(OR($D200&lt;&gt;"Serviço",AND(AUTOEVENTO="Manual",$M200=$A$15)),0,
         IF(OFFSET(CRONOPLE!$F$15,$M200-$A$15,BS$13)=0,10^12,OFFSET(CRONOPLE!$F$15,$M200-$A$15,BS$13)))</f>
        <v>1000000000000</v>
      </c>
      <c r="BT200" s="171">
        <f ca="1">IF(OR($D200&lt;&gt;"Serviço",AND(AUTOEVENTO="Manual",$M200=$A$15)),0,
         IF(OFFSET(CRONOPLE!$F$15,$M200-$A$15,BT$13)=0,10^12,OFFSET(CRONOPLE!$F$15,$M200-$A$15,BT$13)))</f>
        <v>1000000000000</v>
      </c>
      <c r="BV200" s="172">
        <f t="array" aca="1" ref="BV200" ca="1">IF(OR($D200&lt;&gt;"Serviço",AND(AUTOEVENTO="Manual",$M200=$A$15),$M200&gt;(ROW(PLE.lastrow)-ROW(PLE.firstrow))),0,
           IF(OFFSET(PLE!$G$15,$M200-$A$15,BV$13)="",10^12,OFFSET(PLE!$G$15,$M200-$A$15,BV$13)))</f>
        <v>1000000000000</v>
      </c>
      <c r="BW200" s="172">
        <f t="array" aca="1" ref="BW200" ca="1">IF(OR($D200&lt;&gt;"Serviço",AND(AUTOEVENTO="Manual",$M200=$A$15),$M200&gt;(ROW(PLE.lastrow)-ROW(PLE.firstrow))),0,
           IF(OFFSET(PLE!$G$15,$M200-$A$15,BW$13)="",10^12,OFFSET(PLE!$G$15,$M200-$A$15,BW$13)))</f>
        <v>1000000000000</v>
      </c>
      <c r="BX200" s="172">
        <f t="array" aca="1" ref="BX200" ca="1">IF(OR($D200&lt;&gt;"Serviço",AND(AUTOEVENTO="Manual",$M200=$A$15),$M200&gt;(ROW(PLE.lastrow)-ROW(PLE.firstrow))),0,
           IF(OFFSET(PLE!$G$15,$M200-$A$15,BX$13)="",10^12,OFFSET(PLE!$G$15,$M200-$A$15,BX$13)))</f>
        <v>1000000000000</v>
      </c>
      <c r="BY200" s="172">
        <f t="array" aca="1" ref="BY200" ca="1">IF(OR($D200&lt;&gt;"Serviço",AND(AUTOEVENTO="Manual",$M200=$A$15),$M200&gt;(ROW(PLE.lastrow)-ROW(PLE.firstrow))),0,
           IF(OFFSET(PLE!$G$15,$M200-$A$15,BY$13)="",10^12,OFFSET(PLE!$G$15,$M200-$A$15,BY$13)))</f>
        <v>1000000000000</v>
      </c>
      <c r="BZ200" s="172">
        <f t="array" aca="1" ref="BZ200" ca="1">IF(OR($D200&lt;&gt;"Serviço",AND(AUTOEVENTO="Manual",$M200=$A$15),$M200&gt;(ROW(PLE.lastrow)-ROW(PLE.firstrow))),0,
           IF(OFFSET(PLE!$G$15,$M200-$A$15,BZ$13)="",10^12,OFFSET(PLE!$G$15,$M200-$A$15,BZ$13)))</f>
        <v>1000000000000</v>
      </c>
      <c r="CA200" s="172">
        <f t="array" aca="1" ref="CA200" ca="1">IF(OR($D200&lt;&gt;"Serviço",AND(AUTOEVENTO="Manual",$M200=$A$15),$M200&gt;(ROW(PLE.lastrow)-ROW(PLE.firstrow))),0,
           IF(OFFSET(PLE!$G$15,$M200-$A$15,CA$13)="",10^12,OFFSET(PLE!$G$15,$M200-$A$15,CA$13)))</f>
        <v>1000000000000</v>
      </c>
      <c r="CB200" s="172">
        <f t="array" aca="1" ref="CB200" ca="1">IF(OR($D200&lt;&gt;"Serviço",AND(AUTOEVENTO="Manual",$M200=$A$15),$M200&gt;(ROW(PLE.lastrow)-ROW(PLE.firstrow))),0,
           IF(OFFSET(PLE!$G$15,$M200-$A$15,CB$13)="",10^12,OFFSET(PLE!$G$15,$M200-$A$15,CB$13)))</f>
        <v>1000000000000</v>
      </c>
      <c r="CC200" s="172">
        <f t="array" aca="1" ref="CC200" ca="1">IF(OR($D200&lt;&gt;"Serviço",AND(AUTOEVENTO="Manual",$M200=$A$15),$M200&gt;(ROW(PLE.lastrow)-ROW(PLE.firstrow))),0,
           IF(OFFSET(PLE!$G$15,$M200-$A$15,CC$13)="",10^12,OFFSET(PLE!$G$15,$M200-$A$15,CC$13)))</f>
        <v>1000000000000</v>
      </c>
      <c r="CD200" s="172">
        <f t="array" aca="1" ref="CD200" ca="1">IF(OR($D200&lt;&gt;"Serviço",AND(AUTOEVENTO="Manual",$M200=$A$15),$M200&gt;(ROW(PLE.lastrow)-ROW(PLE.firstrow))),0,
           IF(OFFSET(PLE!$G$15,$M200-$A$15,CD$13)="",10^12,OFFSET(PLE!$G$15,$M200-$A$15,CD$13)))</f>
        <v>1000000000000</v>
      </c>
      <c r="CE200" s="172">
        <f t="array" aca="1" ref="CE200" ca="1">IF(OR($D200&lt;&gt;"Serviço",AND(AUTOEVENTO="Manual",$M200=$A$15),$M200&gt;(ROW(PLE.lastrow)-ROW(PLE.firstrow))),0,
           IF(OFFSET(PLE!$G$15,$M200-$A$15,CE$13)="",10^12,OFFSET(PLE!$G$15,$M200-$A$15,CE$13)))</f>
        <v>1000000000000</v>
      </c>
      <c r="CF200" s="172">
        <f t="array" aca="1" ref="CF200" ca="1">IF(OR($D200&lt;&gt;"Serviço",AND(AUTOEVENTO="Manual",$M200=$A$15),$M200&gt;(ROW(PLE.lastrow)-ROW(PLE.firstrow))),0,
           IF(OFFSET(PLE!$G$15,$M200-$A$15,CF$13)="",10^12,OFFSET(PLE!$G$15,$M200-$A$15,CF$13)))</f>
        <v>1000000000000</v>
      </c>
      <c r="CG200" s="172">
        <f t="array" aca="1" ref="CG200" ca="1">IF(OR($D200&lt;&gt;"Serviço",AND(AUTOEVENTO="Manual",$M200=$A$15),$M200&gt;(ROW(PLE.lastrow)-ROW(PLE.firstrow))),0,
           IF(OFFSET(PLE!$G$15,$M200-$A$15,CG$13)="",10^12,OFFSET(PLE!$G$15,$M200-$A$15,CG$13)))</f>
        <v>1000000000000</v>
      </c>
      <c r="CH200" s="172">
        <f t="array" aca="1" ref="CH200" ca="1">IF(OR($D200&lt;&gt;"Serviço",AND(AUTOEVENTO="Manual",$M200=$A$15),$M200&gt;(ROW(PLE.lastrow)-ROW(PLE.firstrow))),0,
           IF(OFFSET(PLE!$G$15,$M200-$A$15,CH$13)="",10^12,OFFSET(PLE!$G$15,$M200-$A$15,CH$13)))</f>
        <v>1000000000000</v>
      </c>
      <c r="CI200" s="172">
        <f t="array" aca="1" ref="CI200" ca="1">IF(OR($D200&lt;&gt;"Serviço",AND(AUTOEVENTO="Manual",$M200=$A$15),$M200&gt;(ROW(PLE.lastrow)-ROW(PLE.firstrow))),0,
           IF(OFFSET(PLE!$G$15,$M200-$A$15,CI$13)="",10^12,OFFSET(PLE!$G$15,$M200-$A$15,CI$13)))</f>
        <v>1000000000000</v>
      </c>
      <c r="CJ200" s="172">
        <f t="array" aca="1" ref="CJ200" ca="1">IF(OR($D200&lt;&gt;"Serviço",AND(AUTOEVENTO="Manual",$M200=$A$15),$M200&gt;(ROW(PLE.lastrow)-ROW(PLE.firstrow))),0,
           IF(OFFSET(PLE!$G$15,$M200-$A$15,CJ$13)="",10^12,OFFSET(PLE!$G$15,$M200-$A$15,CJ$13)))</f>
        <v>1000000000000</v>
      </c>
      <c r="CK200" s="172">
        <f t="array" aca="1" ref="CK200" ca="1">IF(OR($D200&lt;&gt;"Serviço",AND(AUTOEVENTO="Manual",$M200=$A$15),$M200&gt;(ROW(PLE.lastrow)-ROW(PLE.firstrow))),0,
           IF(OFFSET(PLE!$G$15,$M200-$A$15,CK$13)="",10^12,OFFSET(PLE!$G$15,$M200-$A$15,CK$13)))</f>
        <v>1000000000000</v>
      </c>
      <c r="CL200" s="172">
        <f t="array" aca="1" ref="CL200" ca="1">IF(OR($D200&lt;&gt;"Serviço",AND(AUTOEVENTO="Manual",$M200=$A$15),$M200&gt;(ROW(PLE.lastrow)-ROW(PLE.firstrow))),0,
           IF(OFFSET(PLE!$G$15,$M200-$A$15,CL$13)="",10^12,OFFSET(PLE!$G$15,$M200-$A$15,CL$13)))</f>
        <v>1000000000000</v>
      </c>
      <c r="CM200" s="172">
        <f t="array" aca="1" ref="CM200" ca="1">IF(OR($D200&lt;&gt;"Serviço",AND(AUTOEVENTO="Manual",$M200=$A$15),$M200&gt;(ROW(PLE.lastrow)-ROW(PLE.firstrow))),0,
           IF(OFFSET(PLE!$G$15,$M200-$A$15,CM$13)="",10^12,OFFSET(PLE!$G$15,$M200-$A$15,CM$13)))</f>
        <v>1000000000000</v>
      </c>
    </row>
    <row r="201" spans="1:91" s="696" customFormat="1" ht="63.75" x14ac:dyDescent="0.2">
      <c r="A201" s="694">
        <f t="shared" ca="1" si="98"/>
        <v>31</v>
      </c>
      <c r="B201" s="694" t="str">
        <f ca="1">OFFSET(ORÇAMENTO!C$15,$L201,0)</f>
        <v>S</v>
      </c>
      <c r="C201" s="694" t="str">
        <f ca="1">OFFSET(ORÇAMENTO!L$15,$L201,0)</f>
        <v>F</v>
      </c>
      <c r="D201" s="116" t="str">
        <f ca="1">OFFSET(ORÇAMENTO!N$15,$L201,0)</f>
        <v>Serviço</v>
      </c>
      <c r="E201" s="117" t="str">
        <f ca="1">OFFSET(ORÇAMENTO!O$15,$L201,0)</f>
        <v>1.30.5.</v>
      </c>
      <c r="F201" s="163" t="str">
        <f ca="1">OFFSET(ORÇAMENTO!R$15,$L201,0)</f>
        <v>JOELHO 90 GRAUS, PVC, SERIE NORMAL, ESGOTO PREDIAL, DN 100 MM, JUNTA ELÁSTICA, FORNECIDO E INSTALADO EM RAMAL DE DESCARGA OU RAMAL DE ESGOTO SANITÁRIO. AF_08/2022</v>
      </c>
      <c r="G201" s="164" t="str">
        <f ca="1">IF($D201&lt;&gt;"Serviço","",OFFSET(ORÇAMENTO!S$15,$L201,0))</f>
        <v>UN</v>
      </c>
      <c r="H201" s="122">
        <f t="array" aca="1" ref="H201" ca="1">IF($D201&lt;&gt;"Serviço",0,IF(ACOMPANHAMENTO="BM",ROUND(OFFSET(ORÇAMENTO!AJ$15,$L201,0),15-13*ORÇAMENTO!$AF$7),IF(IFERROR(CÁLCULO.FrentesPreenchidas,0)=0,0,SUM(ROUND(OFFSET($P201,0,1,1,CÁLCULO.FrentesPreenchidas),15-13*ORÇAMENTO!$AF$7)))))</f>
        <v>20</v>
      </c>
      <c r="I201" s="467" t="s">
        <v>1324</v>
      </c>
      <c r="J201" s="653" t="str">
        <f t="array" aca="1" ref="J201" ca="1">IF(OR(B201&lt;&gt;"S",CÁLCULO.FrentesPreenchidas=0),"",IF(AND(ACOMPANHAMENTO="PLE",AUTOEVENTO="Manual",OR(H201&gt;0,ORÇAMENTO!AC201="QUANT."),OR(K201="",M201=0,N201="")),"►E",IF(AND(ACOMPANHAMENTO="PLE",ORÇAMENTO!AC201="QUANT."),"►Q",IF(AND(ACOMPANHAMENTO="PLE",H201&lt;&gt;SUMPRODUCT(($Q$1:$AI$1=1)*ROUND(Q201:AI201,15))),"►S",IF(AND(COUNTIF($P$11:$AI$11,"▼")=0,H201&gt;0,I201=""),"◄M","")))))</f>
        <v/>
      </c>
      <c r="K201" s="654" t="s">
        <v>1447</v>
      </c>
      <c r="L201" s="165">
        <f t="shared" ca="1" si="99"/>
        <v>186</v>
      </c>
      <c r="M201" s="166">
        <f ca="1">IF($D201&lt;&gt;"Serviço","",
          IF(AUTOEVENTO="manual",$A201,
                IF(ISERROR(MATCH($A201,$A$15:OFFSET($A201,-1,0),0)),MAX($M$15:OFFSET(M201,-1,0))+1,
                      INDEX($M$15:OFFSET(M201,-1,0),MATCH($A201,$A$15:OFFSET($A201,-1,0),0)))))</f>
        <v>31</v>
      </c>
      <c r="N201" s="167" t="str">
        <f ca="1">IF($D201&lt;&gt;"Serviço","",
         IF(AUTOEVENTO="Manual",
                IF($A201=0,"&lt;-- defina o número do agrupador",
                       OFFSET(EVENTOS!$D$15,$A201-$A$15,0)),
                OFFSET($F$15,$A201,0)))</f>
        <v>REDE PLUVIAL E ESGOTO</v>
      </c>
      <c r="O201" s="168"/>
      <c r="Q201" s="169">
        <v>5</v>
      </c>
      <c r="R201" s="169">
        <v>5</v>
      </c>
      <c r="S201" s="169">
        <v>5</v>
      </c>
      <c r="T201" s="169">
        <v>5</v>
      </c>
      <c r="U201" s="169"/>
      <c r="V201" s="169"/>
      <c r="W201" s="169"/>
      <c r="X201" s="169"/>
      <c r="Y201" s="169"/>
      <c r="Z201" s="170"/>
      <c r="AA201" s="169"/>
      <c r="AB201" s="169"/>
      <c r="AC201" s="169"/>
      <c r="AD201" s="169"/>
      <c r="AE201" s="169"/>
      <c r="AF201" s="169"/>
      <c r="AG201" s="169"/>
      <c r="AH201" s="170"/>
      <c r="AJ201" s="452">
        <f ca="1">IF(AND($D201="Serviço",AJ$12&lt;&gt;0,$H201&gt;0,OR(AUTOEVENTO&lt;&gt;"manual",$M201&lt;&gt;$A$15)),
        IF(Import.TipoArredondamento&lt;&gt;"TransfereGOV",
              ROUND(OFFSET($P201,0,AJ$13),15-13*ORÇAMENTO!$AF$7)/$H201*OFFSET(ORÇAMENTO!$X$15,ROW(AJ201)-ROW(AJ$15),0),
              ROUND(ROUND(OFFSET($P201,0,AJ$13),15-13*ORÇAMENTO!$AF$7)*OFFSET(ORÇAMENTO!$W$15,ROW(AJ201)-ROW(AJ$15),0),15-13*ORÇAMENTO!$AF$11)),
         0)</f>
        <v>162.80000000000001</v>
      </c>
      <c r="AK201" s="452">
        <f ca="1">IF(AND($D201="Serviço",AK$12&lt;&gt;0,$H201&gt;0,OR(AUTOEVENTO&lt;&gt;"manual",$M201&lt;&gt;$A$15)),
        IF(Import.TipoArredondamento&lt;&gt;"TransfereGOV",
              ROUND(OFFSET($P201,0,AK$13),15-13*ORÇAMENTO!$AF$7)/$H201*OFFSET(ORÇAMENTO!$X$15,ROW(AK201)-ROW(AK$15),0),
              ROUND(ROUND(OFFSET($P201,0,AK$13),15-13*ORÇAMENTO!$AF$7)*OFFSET(ORÇAMENTO!$W$15,ROW(AK201)-ROW(AK$15),0),15-13*ORÇAMENTO!$AF$11)),
         0)</f>
        <v>162.80000000000001</v>
      </c>
      <c r="AL201" s="452">
        <f ca="1">IF(AND($D201="Serviço",AL$12&lt;&gt;0,$H201&gt;0,OR(AUTOEVENTO&lt;&gt;"manual",$M201&lt;&gt;$A$15)),
        IF(Import.TipoArredondamento&lt;&gt;"TransfereGOV",
              ROUND(OFFSET($P201,0,AL$13),15-13*ORÇAMENTO!$AF$7)/$H201*OFFSET(ORÇAMENTO!$X$15,ROW(AL201)-ROW(AL$15),0),
              ROUND(ROUND(OFFSET($P201,0,AL$13),15-13*ORÇAMENTO!$AF$7)*OFFSET(ORÇAMENTO!$W$15,ROW(AL201)-ROW(AL$15),0),15-13*ORÇAMENTO!$AF$11)),
         0)</f>
        <v>162.80000000000001</v>
      </c>
      <c r="AM201" s="452">
        <f ca="1">IF(AND($D201="Serviço",AM$12&lt;&gt;0,$H201&gt;0,OR(AUTOEVENTO&lt;&gt;"manual",$M201&lt;&gt;$A$15)),
        IF(Import.TipoArredondamento&lt;&gt;"TransfereGOV",
              ROUND(OFFSET($P201,0,AM$13),15-13*ORÇAMENTO!$AF$7)/$H201*OFFSET(ORÇAMENTO!$X$15,ROW(AM201)-ROW(AM$15),0),
              ROUND(ROUND(OFFSET($P201,0,AM$13),15-13*ORÇAMENTO!$AF$7)*OFFSET(ORÇAMENTO!$W$15,ROW(AM201)-ROW(AM$15),0),15-13*ORÇAMENTO!$AF$11)),
         0)</f>
        <v>162.80000000000001</v>
      </c>
      <c r="AN201" s="452">
        <f ca="1">IF(AND($D201="Serviço",AN$12&lt;&gt;0,$H201&gt;0,OR(AUTOEVENTO&lt;&gt;"manual",$M201&lt;&gt;$A$15)),
        IF(Import.TipoArredondamento&lt;&gt;"TransfereGOV",
              ROUND(OFFSET($P201,0,AN$13),15-13*ORÇAMENTO!$AF$7)/$H201*OFFSET(ORÇAMENTO!$X$15,ROW(AN201)-ROW(AN$15),0),
              ROUND(ROUND(OFFSET($P201,0,AN$13),15-13*ORÇAMENTO!$AF$7)*OFFSET(ORÇAMENTO!$W$15,ROW(AN201)-ROW(AN$15),0),15-13*ORÇAMENTO!$AF$11)),
         0)</f>
        <v>0</v>
      </c>
      <c r="AO201" s="452">
        <f ca="1">IF(AND($D201="Serviço",AO$12&lt;&gt;0,$H201&gt;0,OR(AUTOEVENTO&lt;&gt;"manual",$M201&lt;&gt;$A$15)),
        IF(Import.TipoArredondamento&lt;&gt;"TransfereGOV",
              ROUND(OFFSET($P201,0,AO$13),15-13*ORÇAMENTO!$AF$7)/$H201*OFFSET(ORÇAMENTO!$X$15,ROW(AO201)-ROW(AO$15),0),
              ROUND(ROUND(OFFSET($P201,0,AO$13),15-13*ORÇAMENTO!$AF$7)*OFFSET(ORÇAMENTO!$W$15,ROW(AO201)-ROW(AO$15),0),15-13*ORÇAMENTO!$AF$11)),
         0)</f>
        <v>0</v>
      </c>
      <c r="AP201" s="452">
        <f ca="1">IF(AND($D201="Serviço",AP$12&lt;&gt;0,$H201&gt;0,OR(AUTOEVENTO&lt;&gt;"manual",$M201&lt;&gt;$A$15)),
        IF(Import.TipoArredondamento&lt;&gt;"TransfereGOV",
              ROUND(OFFSET($P201,0,AP$13),15-13*ORÇAMENTO!$AF$7)/$H201*OFFSET(ORÇAMENTO!$X$15,ROW(AP201)-ROW(AP$15),0),
              ROUND(ROUND(OFFSET($P201,0,AP$13),15-13*ORÇAMENTO!$AF$7)*OFFSET(ORÇAMENTO!$W$15,ROW(AP201)-ROW(AP$15),0),15-13*ORÇAMENTO!$AF$11)),
         0)</f>
        <v>0</v>
      </c>
      <c r="AQ201" s="452">
        <f ca="1">IF(AND($D201="Serviço",AQ$12&lt;&gt;0,$H201&gt;0,OR(AUTOEVENTO&lt;&gt;"manual",$M201&lt;&gt;$A$15)),
        IF(Import.TipoArredondamento&lt;&gt;"TransfereGOV",
              ROUND(OFFSET($P201,0,AQ$13),15-13*ORÇAMENTO!$AF$7)/$H201*OFFSET(ORÇAMENTO!$X$15,ROW(AQ201)-ROW(AQ$15),0),
              ROUND(ROUND(OFFSET($P201,0,AQ$13),15-13*ORÇAMENTO!$AF$7)*OFFSET(ORÇAMENTO!$W$15,ROW(AQ201)-ROW(AQ$15),0),15-13*ORÇAMENTO!$AF$11)),
         0)</f>
        <v>0</v>
      </c>
      <c r="AR201" s="452">
        <f ca="1">IF(AND($D201="Serviço",AR$12&lt;&gt;0,$H201&gt;0,OR(AUTOEVENTO&lt;&gt;"manual",$M201&lt;&gt;$A$15)),
        IF(Import.TipoArredondamento&lt;&gt;"TransfereGOV",
              ROUND(OFFSET($P201,0,AR$13),15-13*ORÇAMENTO!$AF$7)/$H201*OFFSET(ORÇAMENTO!$X$15,ROW(AR201)-ROW(AR$15),0),
              ROUND(ROUND(OFFSET($P201,0,AR$13),15-13*ORÇAMENTO!$AF$7)*OFFSET(ORÇAMENTO!$W$15,ROW(AR201)-ROW(AR$15),0),15-13*ORÇAMENTO!$AF$11)),
         0)</f>
        <v>0</v>
      </c>
      <c r="AS201" s="452">
        <f ca="1">IF(AND($D201="Serviço",AS$12&lt;&gt;0,$H201&gt;0,OR(AUTOEVENTO&lt;&gt;"manual",$M201&lt;&gt;$A$15)),
        IF(Import.TipoArredondamento&lt;&gt;"TransfereGOV",
              ROUND(OFFSET($P201,0,AS$13),15-13*ORÇAMENTO!$AF$7)/$H201*OFFSET(ORÇAMENTO!$X$15,ROW(AS201)-ROW(AS$15),0),
              ROUND(ROUND(OFFSET($P201,0,AS$13),15-13*ORÇAMENTO!$AF$7)*OFFSET(ORÇAMENTO!$W$15,ROW(AS201)-ROW(AS$15),0),15-13*ORÇAMENTO!$AF$11)),
         0)</f>
        <v>0</v>
      </c>
      <c r="AT201" s="452">
        <f ca="1">IF(AND($D201="Serviço",AT$12&lt;&gt;0,$H201&gt;0,OR(AUTOEVENTO&lt;&gt;"manual",$M201&lt;&gt;$A$15)),
        IF(Import.TipoArredondamento&lt;&gt;"TransfereGOV",
              ROUND(OFFSET($P201,0,AT$13),15-13*ORÇAMENTO!$AF$7)/$H201*OFFSET(ORÇAMENTO!$X$15,ROW(AT201)-ROW(AT$15),0),
              ROUND(ROUND(OFFSET($P201,0,AT$13),15-13*ORÇAMENTO!$AF$7)*OFFSET(ORÇAMENTO!$W$15,ROW(AT201)-ROW(AT$15),0),15-13*ORÇAMENTO!$AF$11)),
         0)</f>
        <v>0</v>
      </c>
      <c r="AU201" s="452">
        <f ca="1">IF(AND($D201="Serviço",AU$12&lt;&gt;0,$H201&gt;0,OR(AUTOEVENTO&lt;&gt;"manual",$M201&lt;&gt;$A$15)),
        IF(Import.TipoArredondamento&lt;&gt;"TransfereGOV",
              ROUND(OFFSET($P201,0,AU$13),15-13*ORÇAMENTO!$AF$7)/$H201*OFFSET(ORÇAMENTO!$X$15,ROW(AU201)-ROW(AU$15),0),
              ROUND(ROUND(OFFSET($P201,0,AU$13),15-13*ORÇAMENTO!$AF$7)*OFFSET(ORÇAMENTO!$W$15,ROW(AU201)-ROW(AU$15),0),15-13*ORÇAMENTO!$AF$11)),
         0)</f>
        <v>0</v>
      </c>
      <c r="AV201" s="452">
        <f ca="1">IF(AND($D201="Serviço",AV$12&lt;&gt;0,$H201&gt;0,OR(AUTOEVENTO&lt;&gt;"manual",$M201&lt;&gt;$A$15)),
        IF(Import.TipoArredondamento&lt;&gt;"TransfereGOV",
              ROUND(OFFSET($P201,0,AV$13),15-13*ORÇAMENTO!$AF$7)/$H201*OFFSET(ORÇAMENTO!$X$15,ROW(AV201)-ROW(AV$15),0),
              ROUND(ROUND(OFFSET($P201,0,AV$13),15-13*ORÇAMENTO!$AF$7)*OFFSET(ORÇAMENTO!$W$15,ROW(AV201)-ROW(AV$15),0),15-13*ORÇAMENTO!$AF$11)),
         0)</f>
        <v>0</v>
      </c>
      <c r="AW201" s="452">
        <f ca="1">IF(AND($D201="Serviço",AW$12&lt;&gt;0,$H201&gt;0,OR(AUTOEVENTO&lt;&gt;"manual",$M201&lt;&gt;$A$15)),
        IF(Import.TipoArredondamento&lt;&gt;"TransfereGOV",
              ROUND(OFFSET($P201,0,AW$13),15-13*ORÇAMENTO!$AF$7)/$H201*OFFSET(ORÇAMENTO!$X$15,ROW(AW201)-ROW(AW$15),0),
              ROUND(ROUND(OFFSET($P201,0,AW$13),15-13*ORÇAMENTO!$AF$7)*OFFSET(ORÇAMENTO!$W$15,ROW(AW201)-ROW(AW$15),0),15-13*ORÇAMENTO!$AF$11)),
         0)</f>
        <v>0</v>
      </c>
      <c r="AX201" s="452">
        <f ca="1">IF(AND($D201="Serviço",AX$12&lt;&gt;0,$H201&gt;0,OR(AUTOEVENTO&lt;&gt;"manual",$M201&lt;&gt;$A$15)),
        IF(Import.TipoArredondamento&lt;&gt;"TransfereGOV",
              ROUND(OFFSET($P201,0,AX$13),15-13*ORÇAMENTO!$AF$7)/$H201*OFFSET(ORÇAMENTO!$X$15,ROW(AX201)-ROW(AX$15),0),
              ROUND(ROUND(OFFSET($P201,0,AX$13),15-13*ORÇAMENTO!$AF$7)*OFFSET(ORÇAMENTO!$W$15,ROW(AX201)-ROW(AX$15),0),15-13*ORÇAMENTO!$AF$11)),
         0)</f>
        <v>0</v>
      </c>
      <c r="AY201" s="452">
        <f ca="1">IF(AND($D201="Serviço",AY$12&lt;&gt;0,$H201&gt;0,OR(AUTOEVENTO&lt;&gt;"manual",$M201&lt;&gt;$A$15)),
        IF(Import.TipoArredondamento&lt;&gt;"TransfereGOV",
              ROUND(OFFSET($P201,0,AY$13),15-13*ORÇAMENTO!$AF$7)/$H201*OFFSET(ORÇAMENTO!$X$15,ROW(AY201)-ROW(AY$15),0),
              ROUND(ROUND(OFFSET($P201,0,AY$13),15-13*ORÇAMENTO!$AF$7)*OFFSET(ORÇAMENTO!$W$15,ROW(AY201)-ROW(AY$15),0),15-13*ORÇAMENTO!$AF$11)),
         0)</f>
        <v>0</v>
      </c>
      <c r="AZ201" s="452">
        <f ca="1">IF(AND($D201="Serviço",AZ$12&lt;&gt;0,$H201&gt;0,OR(AUTOEVENTO&lt;&gt;"manual",$M201&lt;&gt;$A$15)),
        IF(Import.TipoArredondamento&lt;&gt;"TransfereGOV",
              ROUND(OFFSET($P201,0,AZ$13),15-13*ORÇAMENTO!$AF$7)/$H201*OFFSET(ORÇAMENTO!$X$15,ROW(AZ201)-ROW(AZ$15),0),
              ROUND(ROUND(OFFSET($P201,0,AZ$13),15-13*ORÇAMENTO!$AF$7)*OFFSET(ORÇAMENTO!$W$15,ROW(AZ201)-ROW(AZ$15),0),15-13*ORÇAMENTO!$AF$11)),
         0)</f>
        <v>0</v>
      </c>
      <c r="BA201" s="452">
        <f ca="1">IF(AND($D201="Serviço",BA$12&lt;&gt;0,$H201&gt;0,OR(AUTOEVENTO&lt;&gt;"manual",$M201&lt;&gt;$A$15)),
        IF(Import.TipoArredondamento&lt;&gt;"TransfereGOV",
              ROUND(OFFSET($P201,0,BA$13),15-13*ORÇAMENTO!$AF$7)/$H201*OFFSET(ORÇAMENTO!$X$15,ROW(BA201)-ROW(BA$15),0),
              ROUND(ROUND(OFFSET($P201,0,BA$13),15-13*ORÇAMENTO!$AF$7)*OFFSET(ORÇAMENTO!$W$15,ROW(BA201)-ROW(BA$15),0),15-13*ORÇAMENTO!$AF$11)),
         0)</f>
        <v>0</v>
      </c>
      <c r="BC201" s="171">
        <f ca="1">IF(OR($D201&lt;&gt;"Serviço",AND(AUTOEVENTO="Manual",$M201=$A$15)),0,
         IF(OFFSET(CRONOPLE!$F$15,$M201-$A$15,BC$13)=0,10^12,OFFSET(CRONOPLE!$F$15,$M201-$A$15,BC$13)))</f>
        <v>5</v>
      </c>
      <c r="BD201" s="171">
        <f ca="1">IF(OR($D201&lt;&gt;"Serviço",AND(AUTOEVENTO="Manual",$M201=$A$15)),0,
         IF(OFFSET(CRONOPLE!$F$15,$M201-$A$15,BD$13)=0,10^12,OFFSET(CRONOPLE!$F$15,$M201-$A$15,BD$13)))</f>
        <v>5</v>
      </c>
      <c r="BE201" s="171">
        <f ca="1">IF(OR($D201&lt;&gt;"Serviço",AND(AUTOEVENTO="Manual",$M201=$A$15)),0,
         IF(OFFSET(CRONOPLE!$F$15,$M201-$A$15,BE$13)=0,10^12,OFFSET(CRONOPLE!$F$15,$M201-$A$15,BE$13)))</f>
        <v>6</v>
      </c>
      <c r="BF201" s="171">
        <f ca="1">IF(OR($D201&lt;&gt;"Serviço",AND(AUTOEVENTO="Manual",$M201=$A$15)),0,
         IF(OFFSET(CRONOPLE!$F$15,$M201-$A$15,BF$13)=0,10^12,OFFSET(CRONOPLE!$F$15,$M201-$A$15,BF$13)))</f>
        <v>6</v>
      </c>
      <c r="BG201" s="171">
        <f ca="1">IF(OR($D201&lt;&gt;"Serviço",AND(AUTOEVENTO="Manual",$M201=$A$15)),0,
         IF(OFFSET(CRONOPLE!$F$15,$M201-$A$15,BG$13)=0,10^12,OFFSET(CRONOPLE!$F$15,$M201-$A$15,BG$13)))</f>
        <v>6</v>
      </c>
      <c r="BH201" s="171">
        <f ca="1">IF(OR($D201&lt;&gt;"Serviço",AND(AUTOEVENTO="Manual",$M201=$A$15)),0,
         IF(OFFSET(CRONOPLE!$F$15,$M201-$A$15,BH$13)=0,10^12,OFFSET(CRONOPLE!$F$15,$M201-$A$15,BH$13)))</f>
        <v>1000000000000</v>
      </c>
      <c r="BI201" s="171">
        <f ca="1">IF(OR($D201&lt;&gt;"Serviço",AND(AUTOEVENTO="Manual",$M201=$A$15)),0,
         IF(OFFSET(CRONOPLE!$F$15,$M201-$A$15,BI$13)=0,10^12,OFFSET(CRONOPLE!$F$15,$M201-$A$15,BI$13)))</f>
        <v>1000000000000</v>
      </c>
      <c r="BJ201" s="171">
        <f ca="1">IF(OR($D201&lt;&gt;"Serviço",AND(AUTOEVENTO="Manual",$M201=$A$15)),0,
         IF(OFFSET(CRONOPLE!$F$15,$M201-$A$15,BJ$13)=0,10^12,OFFSET(CRONOPLE!$F$15,$M201-$A$15,BJ$13)))</f>
        <v>1000000000000</v>
      </c>
      <c r="BK201" s="171">
        <f ca="1">IF(OR($D201&lt;&gt;"Serviço",AND(AUTOEVENTO="Manual",$M201=$A$15)),0,
         IF(OFFSET(CRONOPLE!$F$15,$M201-$A$15,BK$13)=0,10^12,OFFSET(CRONOPLE!$F$15,$M201-$A$15,BK$13)))</f>
        <v>9</v>
      </c>
      <c r="BL201" s="171">
        <f ca="1">IF(OR($D201&lt;&gt;"Serviço",AND(AUTOEVENTO="Manual",$M201=$A$15)),0,
         IF(OFFSET(CRONOPLE!$F$15,$M201-$A$15,BL$13)=0,10^12,OFFSET(CRONOPLE!$F$15,$M201-$A$15,BL$13)))</f>
        <v>1000000000000</v>
      </c>
      <c r="BM201" s="171">
        <f ca="1">IF(OR($D201&lt;&gt;"Serviço",AND(AUTOEVENTO="Manual",$M201=$A$15)),0,
         IF(OFFSET(CRONOPLE!$F$15,$M201-$A$15,BM$13)=0,10^12,OFFSET(CRONOPLE!$F$15,$M201-$A$15,BM$13)))</f>
        <v>1000000000000</v>
      </c>
      <c r="BN201" s="171">
        <f ca="1">IF(OR($D201&lt;&gt;"Serviço",AND(AUTOEVENTO="Manual",$M201=$A$15)),0,
         IF(OFFSET(CRONOPLE!$F$15,$M201-$A$15,BN$13)=0,10^12,OFFSET(CRONOPLE!$F$15,$M201-$A$15,BN$13)))</f>
        <v>1000000000000</v>
      </c>
      <c r="BO201" s="171">
        <f ca="1">IF(OR($D201&lt;&gt;"Serviço",AND(AUTOEVENTO="Manual",$M201=$A$15)),0,
         IF(OFFSET(CRONOPLE!$F$15,$M201-$A$15,BO$13)=0,10^12,OFFSET(CRONOPLE!$F$15,$M201-$A$15,BO$13)))</f>
        <v>1000000000000</v>
      </c>
      <c r="BP201" s="171">
        <f ca="1">IF(OR($D201&lt;&gt;"Serviço",AND(AUTOEVENTO="Manual",$M201=$A$15)),0,
         IF(OFFSET(CRONOPLE!$F$15,$M201-$A$15,BP$13)=0,10^12,OFFSET(CRONOPLE!$F$15,$M201-$A$15,BP$13)))</f>
        <v>1000000000000</v>
      </c>
      <c r="BQ201" s="171">
        <f ca="1">IF(OR($D201&lt;&gt;"Serviço",AND(AUTOEVENTO="Manual",$M201=$A$15)),0,
         IF(OFFSET(CRONOPLE!$F$15,$M201-$A$15,BQ$13)=0,10^12,OFFSET(CRONOPLE!$F$15,$M201-$A$15,BQ$13)))</f>
        <v>1000000000000</v>
      </c>
      <c r="BR201" s="171">
        <f ca="1">IF(OR($D201&lt;&gt;"Serviço",AND(AUTOEVENTO="Manual",$M201=$A$15)),0,
         IF(OFFSET(CRONOPLE!$F$15,$M201-$A$15,BR$13)=0,10^12,OFFSET(CRONOPLE!$F$15,$M201-$A$15,BR$13)))</f>
        <v>1000000000000</v>
      </c>
      <c r="BS201" s="171">
        <f ca="1">IF(OR($D201&lt;&gt;"Serviço",AND(AUTOEVENTO="Manual",$M201=$A$15)),0,
         IF(OFFSET(CRONOPLE!$F$15,$M201-$A$15,BS$13)=0,10^12,OFFSET(CRONOPLE!$F$15,$M201-$A$15,BS$13)))</f>
        <v>1000000000000</v>
      </c>
      <c r="BT201" s="171">
        <f ca="1">IF(OR($D201&lt;&gt;"Serviço",AND(AUTOEVENTO="Manual",$M201=$A$15)),0,
         IF(OFFSET(CRONOPLE!$F$15,$M201-$A$15,BT$13)=0,10^12,OFFSET(CRONOPLE!$F$15,$M201-$A$15,BT$13)))</f>
        <v>1000000000000</v>
      </c>
      <c r="BV201" s="172">
        <f t="array" aca="1" ref="BV201" ca="1">IF(OR($D201&lt;&gt;"Serviço",AND(AUTOEVENTO="Manual",$M201=$A$15),$M201&gt;(ROW(PLE.lastrow)-ROW(PLE.firstrow))),0,
           IF(OFFSET(PLE!$G$15,$M201-$A$15,BV$13)="",10^12,OFFSET(PLE!$G$15,$M201-$A$15,BV$13)))</f>
        <v>1000000000000</v>
      </c>
      <c r="BW201" s="172">
        <f t="array" aca="1" ref="BW201" ca="1">IF(OR($D201&lt;&gt;"Serviço",AND(AUTOEVENTO="Manual",$M201=$A$15),$M201&gt;(ROW(PLE.lastrow)-ROW(PLE.firstrow))),0,
           IF(OFFSET(PLE!$G$15,$M201-$A$15,BW$13)="",10^12,OFFSET(PLE!$G$15,$M201-$A$15,BW$13)))</f>
        <v>1000000000000</v>
      </c>
      <c r="BX201" s="172">
        <f t="array" aca="1" ref="BX201" ca="1">IF(OR($D201&lt;&gt;"Serviço",AND(AUTOEVENTO="Manual",$M201=$A$15),$M201&gt;(ROW(PLE.lastrow)-ROW(PLE.firstrow))),0,
           IF(OFFSET(PLE!$G$15,$M201-$A$15,BX$13)="",10^12,OFFSET(PLE!$G$15,$M201-$A$15,BX$13)))</f>
        <v>1000000000000</v>
      </c>
      <c r="BY201" s="172">
        <f t="array" aca="1" ref="BY201" ca="1">IF(OR($D201&lt;&gt;"Serviço",AND(AUTOEVENTO="Manual",$M201=$A$15),$M201&gt;(ROW(PLE.lastrow)-ROW(PLE.firstrow))),0,
           IF(OFFSET(PLE!$G$15,$M201-$A$15,BY$13)="",10^12,OFFSET(PLE!$G$15,$M201-$A$15,BY$13)))</f>
        <v>1000000000000</v>
      </c>
      <c r="BZ201" s="172">
        <f t="array" aca="1" ref="BZ201" ca="1">IF(OR($D201&lt;&gt;"Serviço",AND(AUTOEVENTO="Manual",$M201=$A$15),$M201&gt;(ROW(PLE.lastrow)-ROW(PLE.firstrow))),0,
           IF(OFFSET(PLE!$G$15,$M201-$A$15,BZ$13)="",10^12,OFFSET(PLE!$G$15,$M201-$A$15,BZ$13)))</f>
        <v>1000000000000</v>
      </c>
      <c r="CA201" s="172">
        <f t="array" aca="1" ref="CA201" ca="1">IF(OR($D201&lt;&gt;"Serviço",AND(AUTOEVENTO="Manual",$M201=$A$15),$M201&gt;(ROW(PLE.lastrow)-ROW(PLE.firstrow))),0,
           IF(OFFSET(PLE!$G$15,$M201-$A$15,CA$13)="",10^12,OFFSET(PLE!$G$15,$M201-$A$15,CA$13)))</f>
        <v>1000000000000</v>
      </c>
      <c r="CB201" s="172">
        <f t="array" aca="1" ref="CB201" ca="1">IF(OR($D201&lt;&gt;"Serviço",AND(AUTOEVENTO="Manual",$M201=$A$15),$M201&gt;(ROW(PLE.lastrow)-ROW(PLE.firstrow))),0,
           IF(OFFSET(PLE!$G$15,$M201-$A$15,CB$13)="",10^12,OFFSET(PLE!$G$15,$M201-$A$15,CB$13)))</f>
        <v>1000000000000</v>
      </c>
      <c r="CC201" s="172">
        <f t="array" aca="1" ref="CC201" ca="1">IF(OR($D201&lt;&gt;"Serviço",AND(AUTOEVENTO="Manual",$M201=$A$15),$M201&gt;(ROW(PLE.lastrow)-ROW(PLE.firstrow))),0,
           IF(OFFSET(PLE!$G$15,$M201-$A$15,CC$13)="",10^12,OFFSET(PLE!$G$15,$M201-$A$15,CC$13)))</f>
        <v>1000000000000</v>
      </c>
      <c r="CD201" s="172">
        <f t="array" aca="1" ref="CD201" ca="1">IF(OR($D201&lt;&gt;"Serviço",AND(AUTOEVENTO="Manual",$M201=$A$15),$M201&gt;(ROW(PLE.lastrow)-ROW(PLE.firstrow))),0,
           IF(OFFSET(PLE!$G$15,$M201-$A$15,CD$13)="",10^12,OFFSET(PLE!$G$15,$M201-$A$15,CD$13)))</f>
        <v>1000000000000</v>
      </c>
      <c r="CE201" s="172">
        <f t="array" aca="1" ref="CE201" ca="1">IF(OR($D201&lt;&gt;"Serviço",AND(AUTOEVENTO="Manual",$M201=$A$15),$M201&gt;(ROW(PLE.lastrow)-ROW(PLE.firstrow))),0,
           IF(OFFSET(PLE!$G$15,$M201-$A$15,CE$13)="",10^12,OFFSET(PLE!$G$15,$M201-$A$15,CE$13)))</f>
        <v>1000000000000</v>
      </c>
      <c r="CF201" s="172">
        <f t="array" aca="1" ref="CF201" ca="1">IF(OR($D201&lt;&gt;"Serviço",AND(AUTOEVENTO="Manual",$M201=$A$15),$M201&gt;(ROW(PLE.lastrow)-ROW(PLE.firstrow))),0,
           IF(OFFSET(PLE!$G$15,$M201-$A$15,CF$13)="",10^12,OFFSET(PLE!$G$15,$M201-$A$15,CF$13)))</f>
        <v>1000000000000</v>
      </c>
      <c r="CG201" s="172">
        <f t="array" aca="1" ref="CG201" ca="1">IF(OR($D201&lt;&gt;"Serviço",AND(AUTOEVENTO="Manual",$M201=$A$15),$M201&gt;(ROW(PLE.lastrow)-ROW(PLE.firstrow))),0,
           IF(OFFSET(PLE!$G$15,$M201-$A$15,CG$13)="",10^12,OFFSET(PLE!$G$15,$M201-$A$15,CG$13)))</f>
        <v>1000000000000</v>
      </c>
      <c r="CH201" s="172">
        <f t="array" aca="1" ref="CH201" ca="1">IF(OR($D201&lt;&gt;"Serviço",AND(AUTOEVENTO="Manual",$M201=$A$15),$M201&gt;(ROW(PLE.lastrow)-ROW(PLE.firstrow))),0,
           IF(OFFSET(PLE!$G$15,$M201-$A$15,CH$13)="",10^12,OFFSET(PLE!$G$15,$M201-$A$15,CH$13)))</f>
        <v>1000000000000</v>
      </c>
      <c r="CI201" s="172">
        <f t="array" aca="1" ref="CI201" ca="1">IF(OR($D201&lt;&gt;"Serviço",AND(AUTOEVENTO="Manual",$M201=$A$15),$M201&gt;(ROW(PLE.lastrow)-ROW(PLE.firstrow))),0,
           IF(OFFSET(PLE!$G$15,$M201-$A$15,CI$13)="",10^12,OFFSET(PLE!$G$15,$M201-$A$15,CI$13)))</f>
        <v>1000000000000</v>
      </c>
      <c r="CJ201" s="172">
        <f t="array" aca="1" ref="CJ201" ca="1">IF(OR($D201&lt;&gt;"Serviço",AND(AUTOEVENTO="Manual",$M201=$A$15),$M201&gt;(ROW(PLE.lastrow)-ROW(PLE.firstrow))),0,
           IF(OFFSET(PLE!$G$15,$M201-$A$15,CJ$13)="",10^12,OFFSET(PLE!$G$15,$M201-$A$15,CJ$13)))</f>
        <v>1000000000000</v>
      </c>
      <c r="CK201" s="172">
        <f t="array" aca="1" ref="CK201" ca="1">IF(OR($D201&lt;&gt;"Serviço",AND(AUTOEVENTO="Manual",$M201=$A$15),$M201&gt;(ROW(PLE.lastrow)-ROW(PLE.firstrow))),0,
           IF(OFFSET(PLE!$G$15,$M201-$A$15,CK$13)="",10^12,OFFSET(PLE!$G$15,$M201-$A$15,CK$13)))</f>
        <v>1000000000000</v>
      </c>
      <c r="CL201" s="172">
        <f t="array" aca="1" ref="CL201" ca="1">IF(OR($D201&lt;&gt;"Serviço",AND(AUTOEVENTO="Manual",$M201=$A$15),$M201&gt;(ROW(PLE.lastrow)-ROW(PLE.firstrow))),0,
           IF(OFFSET(PLE!$G$15,$M201-$A$15,CL$13)="",10^12,OFFSET(PLE!$G$15,$M201-$A$15,CL$13)))</f>
        <v>1000000000000</v>
      </c>
      <c r="CM201" s="172">
        <f t="array" aca="1" ref="CM201" ca="1">IF(OR($D201&lt;&gt;"Serviço",AND(AUTOEVENTO="Manual",$M201=$A$15),$M201&gt;(ROW(PLE.lastrow)-ROW(PLE.firstrow))),0,
           IF(OFFSET(PLE!$G$15,$M201-$A$15,CM$13)="",10^12,OFFSET(PLE!$G$15,$M201-$A$15,CM$13)))</f>
        <v>1000000000000</v>
      </c>
    </row>
    <row r="202" spans="1:91" s="696" customFormat="1" ht="63.75" x14ac:dyDescent="0.2">
      <c r="A202" s="694">
        <f t="shared" ca="1" si="98"/>
        <v>31</v>
      </c>
      <c r="B202" s="694" t="str">
        <f ca="1">OFFSET(ORÇAMENTO!C$15,$L202,0)</f>
        <v>S</v>
      </c>
      <c r="C202" s="694" t="str">
        <f ca="1">OFFSET(ORÇAMENTO!L$15,$L202,0)</f>
        <v>F</v>
      </c>
      <c r="D202" s="116" t="str">
        <f ca="1">OFFSET(ORÇAMENTO!N$15,$L202,0)</f>
        <v>Serviço</v>
      </c>
      <c r="E202" s="117" t="str">
        <f ca="1">OFFSET(ORÇAMENTO!O$15,$L202,0)</f>
        <v>1.30.6.</v>
      </c>
      <c r="F202" s="163" t="str">
        <f ca="1">OFFSET(ORÇAMENTO!R$15,$L202,0)</f>
        <v>TE, PVC, SERIE NORMAL, ESGOTO PREDIAL, DN 50 X 50 MM, JUNTA ELÁSTICA, FORNECIDO E INSTALADO EM RAMAL DE DESCARGA OU RAMAL DE ESGOTO SANITÁRIO. AF_08/2022</v>
      </c>
      <c r="G202" s="164" t="str">
        <f ca="1">IF($D202&lt;&gt;"Serviço","",OFFSET(ORÇAMENTO!S$15,$L202,0))</f>
        <v>UN</v>
      </c>
      <c r="H202" s="122">
        <f t="array" aca="1" ref="H202" ca="1">IF($D202&lt;&gt;"Serviço",0,IF(ACOMPANHAMENTO="BM",ROUND(OFFSET(ORÇAMENTO!AJ$15,$L202,0),15-13*ORÇAMENTO!$AF$7),IF(IFERROR(CÁLCULO.FrentesPreenchidas,0)=0,0,SUM(ROUND(OFFSET($P202,0,1,1,CÁLCULO.FrentesPreenchidas),15-13*ORÇAMENTO!$AF$7)))))</f>
        <v>20</v>
      </c>
      <c r="I202" s="467" t="s">
        <v>1324</v>
      </c>
      <c r="J202" s="653" t="str">
        <f t="array" aca="1" ref="J202" ca="1">IF(OR(B202&lt;&gt;"S",CÁLCULO.FrentesPreenchidas=0),"",IF(AND(ACOMPANHAMENTO="PLE",AUTOEVENTO="Manual",OR(H202&gt;0,ORÇAMENTO!AC202="QUANT."),OR(K202="",M202=0,N202="")),"►E",IF(AND(ACOMPANHAMENTO="PLE",ORÇAMENTO!AC202="QUANT."),"►Q",IF(AND(ACOMPANHAMENTO="PLE",H202&lt;&gt;SUMPRODUCT(($Q$1:$AI$1=1)*ROUND(Q202:AI202,15))),"►S",IF(AND(COUNTIF($P$11:$AI$11,"▼")=0,H202&gt;0,I202=""),"◄M","")))))</f>
        <v/>
      </c>
      <c r="K202" s="654" t="s">
        <v>1447</v>
      </c>
      <c r="L202" s="165">
        <f t="shared" ca="1" si="99"/>
        <v>187</v>
      </c>
      <c r="M202" s="166">
        <f ca="1">IF($D202&lt;&gt;"Serviço","",
          IF(AUTOEVENTO="manual",$A202,
                IF(ISERROR(MATCH($A202,$A$15:OFFSET($A202,-1,0),0)),MAX($M$15:OFFSET(M202,-1,0))+1,
                      INDEX($M$15:OFFSET(M202,-1,0),MATCH($A202,$A$15:OFFSET($A202,-1,0),0)))))</f>
        <v>31</v>
      </c>
      <c r="N202" s="167" t="str">
        <f ca="1">IF($D202&lt;&gt;"Serviço","",
         IF(AUTOEVENTO="Manual",
                IF($A202=0,"&lt;-- defina o número do agrupador",
                       OFFSET(EVENTOS!$D$15,$A202-$A$15,0)),
                OFFSET($F$15,$A202,0)))</f>
        <v>REDE PLUVIAL E ESGOTO</v>
      </c>
      <c r="O202" s="168"/>
      <c r="Q202" s="169">
        <v>5</v>
      </c>
      <c r="R202" s="169">
        <v>5</v>
      </c>
      <c r="S202" s="169">
        <v>5</v>
      </c>
      <c r="T202" s="169">
        <v>5</v>
      </c>
      <c r="U202" s="169"/>
      <c r="V202" s="169"/>
      <c r="W202" s="169"/>
      <c r="X202" s="169"/>
      <c r="Y202" s="169"/>
      <c r="Z202" s="170"/>
      <c r="AA202" s="169"/>
      <c r="AB202" s="169"/>
      <c r="AC202" s="169"/>
      <c r="AD202" s="169"/>
      <c r="AE202" s="169"/>
      <c r="AF202" s="169"/>
      <c r="AG202" s="169"/>
      <c r="AH202" s="170"/>
      <c r="AJ202" s="452">
        <f ca="1">IF(AND($D202="Serviço",AJ$12&lt;&gt;0,$H202&gt;0,OR(AUTOEVENTO&lt;&gt;"manual",$M202&lt;&gt;$A$15)),
        IF(Import.TipoArredondamento&lt;&gt;"TransfereGOV",
              ROUND(OFFSET($P202,0,AJ$13),15-13*ORÇAMENTO!$AF$7)/$H202*OFFSET(ORÇAMENTO!$X$15,ROW(AJ202)-ROW(AJ$15),0),
              ROUND(ROUND(OFFSET($P202,0,AJ$13),15-13*ORÇAMENTO!$AF$7)*OFFSET(ORÇAMENTO!$W$15,ROW(AJ202)-ROW(AJ$15),0),15-13*ORÇAMENTO!$AF$11)),
         0)</f>
        <v>143.30000000000001</v>
      </c>
      <c r="AK202" s="452">
        <f ca="1">IF(AND($D202="Serviço",AK$12&lt;&gt;0,$H202&gt;0,OR(AUTOEVENTO&lt;&gt;"manual",$M202&lt;&gt;$A$15)),
        IF(Import.TipoArredondamento&lt;&gt;"TransfereGOV",
              ROUND(OFFSET($P202,0,AK$13),15-13*ORÇAMENTO!$AF$7)/$H202*OFFSET(ORÇAMENTO!$X$15,ROW(AK202)-ROW(AK$15),0),
              ROUND(ROUND(OFFSET($P202,0,AK$13),15-13*ORÇAMENTO!$AF$7)*OFFSET(ORÇAMENTO!$W$15,ROW(AK202)-ROW(AK$15),0),15-13*ORÇAMENTO!$AF$11)),
         0)</f>
        <v>143.30000000000001</v>
      </c>
      <c r="AL202" s="452">
        <f ca="1">IF(AND($D202="Serviço",AL$12&lt;&gt;0,$H202&gt;0,OR(AUTOEVENTO&lt;&gt;"manual",$M202&lt;&gt;$A$15)),
        IF(Import.TipoArredondamento&lt;&gt;"TransfereGOV",
              ROUND(OFFSET($P202,0,AL$13),15-13*ORÇAMENTO!$AF$7)/$H202*OFFSET(ORÇAMENTO!$X$15,ROW(AL202)-ROW(AL$15),0),
              ROUND(ROUND(OFFSET($P202,0,AL$13),15-13*ORÇAMENTO!$AF$7)*OFFSET(ORÇAMENTO!$W$15,ROW(AL202)-ROW(AL$15),0),15-13*ORÇAMENTO!$AF$11)),
         0)</f>
        <v>143.30000000000001</v>
      </c>
      <c r="AM202" s="452">
        <f ca="1">IF(AND($D202="Serviço",AM$12&lt;&gt;0,$H202&gt;0,OR(AUTOEVENTO&lt;&gt;"manual",$M202&lt;&gt;$A$15)),
        IF(Import.TipoArredondamento&lt;&gt;"TransfereGOV",
              ROUND(OFFSET($P202,0,AM$13),15-13*ORÇAMENTO!$AF$7)/$H202*OFFSET(ORÇAMENTO!$X$15,ROW(AM202)-ROW(AM$15),0),
              ROUND(ROUND(OFFSET($P202,0,AM$13),15-13*ORÇAMENTO!$AF$7)*OFFSET(ORÇAMENTO!$W$15,ROW(AM202)-ROW(AM$15),0),15-13*ORÇAMENTO!$AF$11)),
         0)</f>
        <v>143.30000000000001</v>
      </c>
      <c r="AN202" s="452">
        <f ca="1">IF(AND($D202="Serviço",AN$12&lt;&gt;0,$H202&gt;0,OR(AUTOEVENTO&lt;&gt;"manual",$M202&lt;&gt;$A$15)),
        IF(Import.TipoArredondamento&lt;&gt;"TransfereGOV",
              ROUND(OFFSET($P202,0,AN$13),15-13*ORÇAMENTO!$AF$7)/$H202*OFFSET(ORÇAMENTO!$X$15,ROW(AN202)-ROW(AN$15),0),
              ROUND(ROUND(OFFSET($P202,0,AN$13),15-13*ORÇAMENTO!$AF$7)*OFFSET(ORÇAMENTO!$W$15,ROW(AN202)-ROW(AN$15),0),15-13*ORÇAMENTO!$AF$11)),
         0)</f>
        <v>0</v>
      </c>
      <c r="AO202" s="452">
        <f ca="1">IF(AND($D202="Serviço",AO$12&lt;&gt;0,$H202&gt;0,OR(AUTOEVENTO&lt;&gt;"manual",$M202&lt;&gt;$A$15)),
        IF(Import.TipoArredondamento&lt;&gt;"TransfereGOV",
              ROUND(OFFSET($P202,0,AO$13),15-13*ORÇAMENTO!$AF$7)/$H202*OFFSET(ORÇAMENTO!$X$15,ROW(AO202)-ROW(AO$15),0),
              ROUND(ROUND(OFFSET($P202,0,AO$13),15-13*ORÇAMENTO!$AF$7)*OFFSET(ORÇAMENTO!$W$15,ROW(AO202)-ROW(AO$15),0),15-13*ORÇAMENTO!$AF$11)),
         0)</f>
        <v>0</v>
      </c>
      <c r="AP202" s="452">
        <f ca="1">IF(AND($D202="Serviço",AP$12&lt;&gt;0,$H202&gt;0,OR(AUTOEVENTO&lt;&gt;"manual",$M202&lt;&gt;$A$15)),
        IF(Import.TipoArredondamento&lt;&gt;"TransfereGOV",
              ROUND(OFFSET($P202,0,AP$13),15-13*ORÇAMENTO!$AF$7)/$H202*OFFSET(ORÇAMENTO!$X$15,ROW(AP202)-ROW(AP$15),0),
              ROUND(ROUND(OFFSET($P202,0,AP$13),15-13*ORÇAMENTO!$AF$7)*OFFSET(ORÇAMENTO!$W$15,ROW(AP202)-ROW(AP$15),0),15-13*ORÇAMENTO!$AF$11)),
         0)</f>
        <v>0</v>
      </c>
      <c r="AQ202" s="452">
        <f ca="1">IF(AND($D202="Serviço",AQ$12&lt;&gt;0,$H202&gt;0,OR(AUTOEVENTO&lt;&gt;"manual",$M202&lt;&gt;$A$15)),
        IF(Import.TipoArredondamento&lt;&gt;"TransfereGOV",
              ROUND(OFFSET($P202,0,AQ$13),15-13*ORÇAMENTO!$AF$7)/$H202*OFFSET(ORÇAMENTO!$X$15,ROW(AQ202)-ROW(AQ$15),0),
              ROUND(ROUND(OFFSET($P202,0,AQ$13),15-13*ORÇAMENTO!$AF$7)*OFFSET(ORÇAMENTO!$W$15,ROW(AQ202)-ROW(AQ$15),0),15-13*ORÇAMENTO!$AF$11)),
         0)</f>
        <v>0</v>
      </c>
      <c r="AR202" s="452">
        <f ca="1">IF(AND($D202="Serviço",AR$12&lt;&gt;0,$H202&gt;0,OR(AUTOEVENTO&lt;&gt;"manual",$M202&lt;&gt;$A$15)),
        IF(Import.TipoArredondamento&lt;&gt;"TransfereGOV",
              ROUND(OFFSET($P202,0,AR$13),15-13*ORÇAMENTO!$AF$7)/$H202*OFFSET(ORÇAMENTO!$X$15,ROW(AR202)-ROW(AR$15),0),
              ROUND(ROUND(OFFSET($P202,0,AR$13),15-13*ORÇAMENTO!$AF$7)*OFFSET(ORÇAMENTO!$W$15,ROW(AR202)-ROW(AR$15),0),15-13*ORÇAMENTO!$AF$11)),
         0)</f>
        <v>0</v>
      </c>
      <c r="AS202" s="452">
        <f ca="1">IF(AND($D202="Serviço",AS$12&lt;&gt;0,$H202&gt;0,OR(AUTOEVENTO&lt;&gt;"manual",$M202&lt;&gt;$A$15)),
        IF(Import.TipoArredondamento&lt;&gt;"TransfereGOV",
              ROUND(OFFSET($P202,0,AS$13),15-13*ORÇAMENTO!$AF$7)/$H202*OFFSET(ORÇAMENTO!$X$15,ROW(AS202)-ROW(AS$15),0),
              ROUND(ROUND(OFFSET($P202,0,AS$13),15-13*ORÇAMENTO!$AF$7)*OFFSET(ORÇAMENTO!$W$15,ROW(AS202)-ROW(AS$15),0),15-13*ORÇAMENTO!$AF$11)),
         0)</f>
        <v>0</v>
      </c>
      <c r="AT202" s="452">
        <f ca="1">IF(AND($D202="Serviço",AT$12&lt;&gt;0,$H202&gt;0,OR(AUTOEVENTO&lt;&gt;"manual",$M202&lt;&gt;$A$15)),
        IF(Import.TipoArredondamento&lt;&gt;"TransfereGOV",
              ROUND(OFFSET($P202,0,AT$13),15-13*ORÇAMENTO!$AF$7)/$H202*OFFSET(ORÇAMENTO!$X$15,ROW(AT202)-ROW(AT$15),0),
              ROUND(ROUND(OFFSET($P202,0,AT$13),15-13*ORÇAMENTO!$AF$7)*OFFSET(ORÇAMENTO!$W$15,ROW(AT202)-ROW(AT$15),0),15-13*ORÇAMENTO!$AF$11)),
         0)</f>
        <v>0</v>
      </c>
      <c r="AU202" s="452">
        <f ca="1">IF(AND($D202="Serviço",AU$12&lt;&gt;0,$H202&gt;0,OR(AUTOEVENTO&lt;&gt;"manual",$M202&lt;&gt;$A$15)),
        IF(Import.TipoArredondamento&lt;&gt;"TransfereGOV",
              ROUND(OFFSET($P202,0,AU$13),15-13*ORÇAMENTO!$AF$7)/$H202*OFFSET(ORÇAMENTO!$X$15,ROW(AU202)-ROW(AU$15),0),
              ROUND(ROUND(OFFSET($P202,0,AU$13),15-13*ORÇAMENTO!$AF$7)*OFFSET(ORÇAMENTO!$W$15,ROW(AU202)-ROW(AU$15),0),15-13*ORÇAMENTO!$AF$11)),
         0)</f>
        <v>0</v>
      </c>
      <c r="AV202" s="452">
        <f ca="1">IF(AND($D202="Serviço",AV$12&lt;&gt;0,$H202&gt;0,OR(AUTOEVENTO&lt;&gt;"manual",$M202&lt;&gt;$A$15)),
        IF(Import.TipoArredondamento&lt;&gt;"TransfereGOV",
              ROUND(OFFSET($P202,0,AV$13),15-13*ORÇAMENTO!$AF$7)/$H202*OFFSET(ORÇAMENTO!$X$15,ROW(AV202)-ROW(AV$15),0),
              ROUND(ROUND(OFFSET($P202,0,AV$13),15-13*ORÇAMENTO!$AF$7)*OFFSET(ORÇAMENTO!$W$15,ROW(AV202)-ROW(AV$15),0),15-13*ORÇAMENTO!$AF$11)),
         0)</f>
        <v>0</v>
      </c>
      <c r="AW202" s="452">
        <f ca="1">IF(AND($D202="Serviço",AW$12&lt;&gt;0,$H202&gt;0,OR(AUTOEVENTO&lt;&gt;"manual",$M202&lt;&gt;$A$15)),
        IF(Import.TipoArredondamento&lt;&gt;"TransfereGOV",
              ROUND(OFFSET($P202,0,AW$13),15-13*ORÇAMENTO!$AF$7)/$H202*OFFSET(ORÇAMENTO!$X$15,ROW(AW202)-ROW(AW$15),0),
              ROUND(ROUND(OFFSET($P202,0,AW$13),15-13*ORÇAMENTO!$AF$7)*OFFSET(ORÇAMENTO!$W$15,ROW(AW202)-ROW(AW$15),0),15-13*ORÇAMENTO!$AF$11)),
         0)</f>
        <v>0</v>
      </c>
      <c r="AX202" s="452">
        <f ca="1">IF(AND($D202="Serviço",AX$12&lt;&gt;0,$H202&gt;0,OR(AUTOEVENTO&lt;&gt;"manual",$M202&lt;&gt;$A$15)),
        IF(Import.TipoArredondamento&lt;&gt;"TransfereGOV",
              ROUND(OFFSET($P202,0,AX$13),15-13*ORÇAMENTO!$AF$7)/$H202*OFFSET(ORÇAMENTO!$X$15,ROW(AX202)-ROW(AX$15),0),
              ROUND(ROUND(OFFSET($P202,0,AX$13),15-13*ORÇAMENTO!$AF$7)*OFFSET(ORÇAMENTO!$W$15,ROW(AX202)-ROW(AX$15),0),15-13*ORÇAMENTO!$AF$11)),
         0)</f>
        <v>0</v>
      </c>
      <c r="AY202" s="452">
        <f ca="1">IF(AND($D202="Serviço",AY$12&lt;&gt;0,$H202&gt;0,OR(AUTOEVENTO&lt;&gt;"manual",$M202&lt;&gt;$A$15)),
        IF(Import.TipoArredondamento&lt;&gt;"TransfereGOV",
              ROUND(OFFSET($P202,0,AY$13),15-13*ORÇAMENTO!$AF$7)/$H202*OFFSET(ORÇAMENTO!$X$15,ROW(AY202)-ROW(AY$15),0),
              ROUND(ROUND(OFFSET($P202,0,AY$13),15-13*ORÇAMENTO!$AF$7)*OFFSET(ORÇAMENTO!$W$15,ROW(AY202)-ROW(AY$15),0),15-13*ORÇAMENTO!$AF$11)),
         0)</f>
        <v>0</v>
      </c>
      <c r="AZ202" s="452">
        <f ca="1">IF(AND($D202="Serviço",AZ$12&lt;&gt;0,$H202&gt;0,OR(AUTOEVENTO&lt;&gt;"manual",$M202&lt;&gt;$A$15)),
        IF(Import.TipoArredondamento&lt;&gt;"TransfereGOV",
              ROUND(OFFSET($P202,0,AZ$13),15-13*ORÇAMENTO!$AF$7)/$H202*OFFSET(ORÇAMENTO!$X$15,ROW(AZ202)-ROW(AZ$15),0),
              ROUND(ROUND(OFFSET($P202,0,AZ$13),15-13*ORÇAMENTO!$AF$7)*OFFSET(ORÇAMENTO!$W$15,ROW(AZ202)-ROW(AZ$15),0),15-13*ORÇAMENTO!$AF$11)),
         0)</f>
        <v>0</v>
      </c>
      <c r="BA202" s="452">
        <f ca="1">IF(AND($D202="Serviço",BA$12&lt;&gt;0,$H202&gt;0,OR(AUTOEVENTO&lt;&gt;"manual",$M202&lt;&gt;$A$15)),
        IF(Import.TipoArredondamento&lt;&gt;"TransfereGOV",
              ROUND(OFFSET($P202,0,BA$13),15-13*ORÇAMENTO!$AF$7)/$H202*OFFSET(ORÇAMENTO!$X$15,ROW(BA202)-ROW(BA$15),0),
              ROUND(ROUND(OFFSET($P202,0,BA$13),15-13*ORÇAMENTO!$AF$7)*OFFSET(ORÇAMENTO!$W$15,ROW(BA202)-ROW(BA$15),0),15-13*ORÇAMENTO!$AF$11)),
         0)</f>
        <v>0</v>
      </c>
      <c r="BC202" s="171">
        <f ca="1">IF(OR($D202&lt;&gt;"Serviço",AND(AUTOEVENTO="Manual",$M202=$A$15)),0,
         IF(OFFSET(CRONOPLE!$F$15,$M202-$A$15,BC$13)=0,10^12,OFFSET(CRONOPLE!$F$15,$M202-$A$15,BC$13)))</f>
        <v>5</v>
      </c>
      <c r="BD202" s="171">
        <f ca="1">IF(OR($D202&lt;&gt;"Serviço",AND(AUTOEVENTO="Manual",$M202=$A$15)),0,
         IF(OFFSET(CRONOPLE!$F$15,$M202-$A$15,BD$13)=0,10^12,OFFSET(CRONOPLE!$F$15,$M202-$A$15,BD$13)))</f>
        <v>5</v>
      </c>
      <c r="BE202" s="171">
        <f ca="1">IF(OR($D202&lt;&gt;"Serviço",AND(AUTOEVENTO="Manual",$M202=$A$15)),0,
         IF(OFFSET(CRONOPLE!$F$15,$M202-$A$15,BE$13)=0,10^12,OFFSET(CRONOPLE!$F$15,$M202-$A$15,BE$13)))</f>
        <v>6</v>
      </c>
      <c r="BF202" s="171">
        <f ca="1">IF(OR($D202&lt;&gt;"Serviço",AND(AUTOEVENTO="Manual",$M202=$A$15)),0,
         IF(OFFSET(CRONOPLE!$F$15,$M202-$A$15,BF$13)=0,10^12,OFFSET(CRONOPLE!$F$15,$M202-$A$15,BF$13)))</f>
        <v>6</v>
      </c>
      <c r="BG202" s="171">
        <f ca="1">IF(OR($D202&lt;&gt;"Serviço",AND(AUTOEVENTO="Manual",$M202=$A$15)),0,
         IF(OFFSET(CRONOPLE!$F$15,$M202-$A$15,BG$13)=0,10^12,OFFSET(CRONOPLE!$F$15,$M202-$A$15,BG$13)))</f>
        <v>6</v>
      </c>
      <c r="BH202" s="171">
        <f ca="1">IF(OR($D202&lt;&gt;"Serviço",AND(AUTOEVENTO="Manual",$M202=$A$15)),0,
         IF(OFFSET(CRONOPLE!$F$15,$M202-$A$15,BH$13)=0,10^12,OFFSET(CRONOPLE!$F$15,$M202-$A$15,BH$13)))</f>
        <v>1000000000000</v>
      </c>
      <c r="BI202" s="171">
        <f ca="1">IF(OR($D202&lt;&gt;"Serviço",AND(AUTOEVENTO="Manual",$M202=$A$15)),0,
         IF(OFFSET(CRONOPLE!$F$15,$M202-$A$15,BI$13)=0,10^12,OFFSET(CRONOPLE!$F$15,$M202-$A$15,BI$13)))</f>
        <v>1000000000000</v>
      </c>
      <c r="BJ202" s="171">
        <f ca="1">IF(OR($D202&lt;&gt;"Serviço",AND(AUTOEVENTO="Manual",$M202=$A$15)),0,
         IF(OFFSET(CRONOPLE!$F$15,$M202-$A$15,BJ$13)=0,10^12,OFFSET(CRONOPLE!$F$15,$M202-$A$15,BJ$13)))</f>
        <v>1000000000000</v>
      </c>
      <c r="BK202" s="171">
        <f ca="1">IF(OR($D202&lt;&gt;"Serviço",AND(AUTOEVENTO="Manual",$M202=$A$15)),0,
         IF(OFFSET(CRONOPLE!$F$15,$M202-$A$15,BK$13)=0,10^12,OFFSET(CRONOPLE!$F$15,$M202-$A$15,BK$13)))</f>
        <v>9</v>
      </c>
      <c r="BL202" s="171">
        <f ca="1">IF(OR($D202&lt;&gt;"Serviço",AND(AUTOEVENTO="Manual",$M202=$A$15)),0,
         IF(OFFSET(CRONOPLE!$F$15,$M202-$A$15,BL$13)=0,10^12,OFFSET(CRONOPLE!$F$15,$M202-$A$15,BL$13)))</f>
        <v>1000000000000</v>
      </c>
      <c r="BM202" s="171">
        <f ca="1">IF(OR($D202&lt;&gt;"Serviço",AND(AUTOEVENTO="Manual",$M202=$A$15)),0,
         IF(OFFSET(CRONOPLE!$F$15,$M202-$A$15,BM$13)=0,10^12,OFFSET(CRONOPLE!$F$15,$M202-$A$15,BM$13)))</f>
        <v>1000000000000</v>
      </c>
      <c r="BN202" s="171">
        <f ca="1">IF(OR($D202&lt;&gt;"Serviço",AND(AUTOEVENTO="Manual",$M202=$A$15)),0,
         IF(OFFSET(CRONOPLE!$F$15,$M202-$A$15,BN$13)=0,10^12,OFFSET(CRONOPLE!$F$15,$M202-$A$15,BN$13)))</f>
        <v>1000000000000</v>
      </c>
      <c r="BO202" s="171">
        <f ca="1">IF(OR($D202&lt;&gt;"Serviço",AND(AUTOEVENTO="Manual",$M202=$A$15)),0,
         IF(OFFSET(CRONOPLE!$F$15,$M202-$A$15,BO$13)=0,10^12,OFFSET(CRONOPLE!$F$15,$M202-$A$15,BO$13)))</f>
        <v>1000000000000</v>
      </c>
      <c r="BP202" s="171">
        <f ca="1">IF(OR($D202&lt;&gt;"Serviço",AND(AUTOEVENTO="Manual",$M202=$A$15)),0,
         IF(OFFSET(CRONOPLE!$F$15,$M202-$A$15,BP$13)=0,10^12,OFFSET(CRONOPLE!$F$15,$M202-$A$15,BP$13)))</f>
        <v>1000000000000</v>
      </c>
      <c r="BQ202" s="171">
        <f ca="1">IF(OR($D202&lt;&gt;"Serviço",AND(AUTOEVENTO="Manual",$M202=$A$15)),0,
         IF(OFFSET(CRONOPLE!$F$15,$M202-$A$15,BQ$13)=0,10^12,OFFSET(CRONOPLE!$F$15,$M202-$A$15,BQ$13)))</f>
        <v>1000000000000</v>
      </c>
      <c r="BR202" s="171">
        <f ca="1">IF(OR($D202&lt;&gt;"Serviço",AND(AUTOEVENTO="Manual",$M202=$A$15)),0,
         IF(OFFSET(CRONOPLE!$F$15,$M202-$A$15,BR$13)=0,10^12,OFFSET(CRONOPLE!$F$15,$M202-$A$15,BR$13)))</f>
        <v>1000000000000</v>
      </c>
      <c r="BS202" s="171">
        <f ca="1">IF(OR($D202&lt;&gt;"Serviço",AND(AUTOEVENTO="Manual",$M202=$A$15)),0,
         IF(OFFSET(CRONOPLE!$F$15,$M202-$A$15,BS$13)=0,10^12,OFFSET(CRONOPLE!$F$15,$M202-$A$15,BS$13)))</f>
        <v>1000000000000</v>
      </c>
      <c r="BT202" s="171">
        <f ca="1">IF(OR($D202&lt;&gt;"Serviço",AND(AUTOEVENTO="Manual",$M202=$A$15)),0,
         IF(OFFSET(CRONOPLE!$F$15,$M202-$A$15,BT$13)=0,10^12,OFFSET(CRONOPLE!$F$15,$M202-$A$15,BT$13)))</f>
        <v>1000000000000</v>
      </c>
      <c r="BV202" s="172">
        <f t="array" aca="1" ref="BV202" ca="1">IF(OR($D202&lt;&gt;"Serviço",AND(AUTOEVENTO="Manual",$M202=$A$15),$M202&gt;(ROW(PLE.lastrow)-ROW(PLE.firstrow))),0,
           IF(OFFSET(PLE!$G$15,$M202-$A$15,BV$13)="",10^12,OFFSET(PLE!$G$15,$M202-$A$15,BV$13)))</f>
        <v>1000000000000</v>
      </c>
      <c r="BW202" s="172">
        <f t="array" aca="1" ref="BW202" ca="1">IF(OR($D202&lt;&gt;"Serviço",AND(AUTOEVENTO="Manual",$M202=$A$15),$M202&gt;(ROW(PLE.lastrow)-ROW(PLE.firstrow))),0,
           IF(OFFSET(PLE!$G$15,$M202-$A$15,BW$13)="",10^12,OFFSET(PLE!$G$15,$M202-$A$15,BW$13)))</f>
        <v>1000000000000</v>
      </c>
      <c r="BX202" s="172">
        <f t="array" aca="1" ref="BX202" ca="1">IF(OR($D202&lt;&gt;"Serviço",AND(AUTOEVENTO="Manual",$M202=$A$15),$M202&gt;(ROW(PLE.lastrow)-ROW(PLE.firstrow))),0,
           IF(OFFSET(PLE!$G$15,$M202-$A$15,BX$13)="",10^12,OFFSET(PLE!$G$15,$M202-$A$15,BX$13)))</f>
        <v>1000000000000</v>
      </c>
      <c r="BY202" s="172">
        <f t="array" aca="1" ref="BY202" ca="1">IF(OR($D202&lt;&gt;"Serviço",AND(AUTOEVENTO="Manual",$M202=$A$15),$M202&gt;(ROW(PLE.lastrow)-ROW(PLE.firstrow))),0,
           IF(OFFSET(PLE!$G$15,$M202-$A$15,BY$13)="",10^12,OFFSET(PLE!$G$15,$M202-$A$15,BY$13)))</f>
        <v>1000000000000</v>
      </c>
      <c r="BZ202" s="172">
        <f t="array" aca="1" ref="BZ202" ca="1">IF(OR($D202&lt;&gt;"Serviço",AND(AUTOEVENTO="Manual",$M202=$A$15),$M202&gt;(ROW(PLE.lastrow)-ROW(PLE.firstrow))),0,
           IF(OFFSET(PLE!$G$15,$M202-$A$15,BZ$13)="",10^12,OFFSET(PLE!$G$15,$M202-$A$15,BZ$13)))</f>
        <v>1000000000000</v>
      </c>
      <c r="CA202" s="172">
        <f t="array" aca="1" ref="CA202" ca="1">IF(OR($D202&lt;&gt;"Serviço",AND(AUTOEVENTO="Manual",$M202=$A$15),$M202&gt;(ROW(PLE.lastrow)-ROW(PLE.firstrow))),0,
           IF(OFFSET(PLE!$G$15,$M202-$A$15,CA$13)="",10^12,OFFSET(PLE!$G$15,$M202-$A$15,CA$13)))</f>
        <v>1000000000000</v>
      </c>
      <c r="CB202" s="172">
        <f t="array" aca="1" ref="CB202" ca="1">IF(OR($D202&lt;&gt;"Serviço",AND(AUTOEVENTO="Manual",$M202=$A$15),$M202&gt;(ROW(PLE.lastrow)-ROW(PLE.firstrow))),0,
           IF(OFFSET(PLE!$G$15,$M202-$A$15,CB$13)="",10^12,OFFSET(PLE!$G$15,$M202-$A$15,CB$13)))</f>
        <v>1000000000000</v>
      </c>
      <c r="CC202" s="172">
        <f t="array" aca="1" ref="CC202" ca="1">IF(OR($D202&lt;&gt;"Serviço",AND(AUTOEVENTO="Manual",$M202=$A$15),$M202&gt;(ROW(PLE.lastrow)-ROW(PLE.firstrow))),0,
           IF(OFFSET(PLE!$G$15,$M202-$A$15,CC$13)="",10^12,OFFSET(PLE!$G$15,$M202-$A$15,CC$13)))</f>
        <v>1000000000000</v>
      </c>
      <c r="CD202" s="172">
        <f t="array" aca="1" ref="CD202" ca="1">IF(OR($D202&lt;&gt;"Serviço",AND(AUTOEVENTO="Manual",$M202=$A$15),$M202&gt;(ROW(PLE.lastrow)-ROW(PLE.firstrow))),0,
           IF(OFFSET(PLE!$G$15,$M202-$A$15,CD$13)="",10^12,OFFSET(PLE!$G$15,$M202-$A$15,CD$13)))</f>
        <v>1000000000000</v>
      </c>
      <c r="CE202" s="172">
        <f t="array" aca="1" ref="CE202" ca="1">IF(OR($D202&lt;&gt;"Serviço",AND(AUTOEVENTO="Manual",$M202=$A$15),$M202&gt;(ROW(PLE.lastrow)-ROW(PLE.firstrow))),0,
           IF(OFFSET(PLE!$G$15,$M202-$A$15,CE$13)="",10^12,OFFSET(PLE!$G$15,$M202-$A$15,CE$13)))</f>
        <v>1000000000000</v>
      </c>
      <c r="CF202" s="172">
        <f t="array" aca="1" ref="CF202" ca="1">IF(OR($D202&lt;&gt;"Serviço",AND(AUTOEVENTO="Manual",$M202=$A$15),$M202&gt;(ROW(PLE.lastrow)-ROW(PLE.firstrow))),0,
           IF(OFFSET(PLE!$G$15,$M202-$A$15,CF$13)="",10^12,OFFSET(PLE!$G$15,$M202-$A$15,CF$13)))</f>
        <v>1000000000000</v>
      </c>
      <c r="CG202" s="172">
        <f t="array" aca="1" ref="CG202" ca="1">IF(OR($D202&lt;&gt;"Serviço",AND(AUTOEVENTO="Manual",$M202=$A$15),$M202&gt;(ROW(PLE.lastrow)-ROW(PLE.firstrow))),0,
           IF(OFFSET(PLE!$G$15,$M202-$A$15,CG$13)="",10^12,OFFSET(PLE!$G$15,$M202-$A$15,CG$13)))</f>
        <v>1000000000000</v>
      </c>
      <c r="CH202" s="172">
        <f t="array" aca="1" ref="CH202" ca="1">IF(OR($D202&lt;&gt;"Serviço",AND(AUTOEVENTO="Manual",$M202=$A$15),$M202&gt;(ROW(PLE.lastrow)-ROW(PLE.firstrow))),0,
           IF(OFFSET(PLE!$G$15,$M202-$A$15,CH$13)="",10^12,OFFSET(PLE!$G$15,$M202-$A$15,CH$13)))</f>
        <v>1000000000000</v>
      </c>
      <c r="CI202" s="172">
        <f t="array" aca="1" ref="CI202" ca="1">IF(OR($D202&lt;&gt;"Serviço",AND(AUTOEVENTO="Manual",$M202=$A$15),$M202&gt;(ROW(PLE.lastrow)-ROW(PLE.firstrow))),0,
           IF(OFFSET(PLE!$G$15,$M202-$A$15,CI$13)="",10^12,OFFSET(PLE!$G$15,$M202-$A$15,CI$13)))</f>
        <v>1000000000000</v>
      </c>
      <c r="CJ202" s="172">
        <f t="array" aca="1" ref="CJ202" ca="1">IF(OR($D202&lt;&gt;"Serviço",AND(AUTOEVENTO="Manual",$M202=$A$15),$M202&gt;(ROW(PLE.lastrow)-ROW(PLE.firstrow))),0,
           IF(OFFSET(PLE!$G$15,$M202-$A$15,CJ$13)="",10^12,OFFSET(PLE!$G$15,$M202-$A$15,CJ$13)))</f>
        <v>1000000000000</v>
      </c>
      <c r="CK202" s="172">
        <f t="array" aca="1" ref="CK202" ca="1">IF(OR($D202&lt;&gt;"Serviço",AND(AUTOEVENTO="Manual",$M202=$A$15),$M202&gt;(ROW(PLE.lastrow)-ROW(PLE.firstrow))),0,
           IF(OFFSET(PLE!$G$15,$M202-$A$15,CK$13)="",10^12,OFFSET(PLE!$G$15,$M202-$A$15,CK$13)))</f>
        <v>1000000000000</v>
      </c>
      <c r="CL202" s="172">
        <f t="array" aca="1" ref="CL202" ca="1">IF(OR($D202&lt;&gt;"Serviço",AND(AUTOEVENTO="Manual",$M202=$A$15),$M202&gt;(ROW(PLE.lastrow)-ROW(PLE.firstrow))),0,
           IF(OFFSET(PLE!$G$15,$M202-$A$15,CL$13)="",10^12,OFFSET(PLE!$G$15,$M202-$A$15,CL$13)))</f>
        <v>1000000000000</v>
      </c>
      <c r="CM202" s="172">
        <f t="array" aca="1" ref="CM202" ca="1">IF(OR($D202&lt;&gt;"Serviço",AND(AUTOEVENTO="Manual",$M202=$A$15),$M202&gt;(ROW(PLE.lastrow)-ROW(PLE.firstrow))),0,
           IF(OFFSET(PLE!$G$15,$M202-$A$15,CM$13)="",10^12,OFFSET(PLE!$G$15,$M202-$A$15,CM$13)))</f>
        <v>1000000000000</v>
      </c>
    </row>
    <row r="203" spans="1:91" s="696" customFormat="1" ht="63.75" x14ac:dyDescent="0.2">
      <c r="A203" s="694">
        <f t="shared" ca="1" si="98"/>
        <v>31</v>
      </c>
      <c r="B203" s="694" t="str">
        <f ca="1">OFFSET(ORÇAMENTO!C$15,$L203,0)</f>
        <v>S</v>
      </c>
      <c r="C203" s="694" t="str">
        <f ca="1">OFFSET(ORÇAMENTO!L$15,$L203,0)</f>
        <v>F</v>
      </c>
      <c r="D203" s="116" t="str">
        <f ca="1">OFFSET(ORÇAMENTO!N$15,$L203,0)</f>
        <v>Serviço</v>
      </c>
      <c r="E203" s="117" t="str">
        <f ca="1">OFFSET(ORÇAMENTO!O$15,$L203,0)</f>
        <v>1.30.7.</v>
      </c>
      <c r="F203" s="163" t="str">
        <f ca="1">OFFSET(ORÇAMENTO!R$15,$L203,0)</f>
        <v>JUNÇÃO DE REDUÇÃO INVERTIDA, PVC, SÉRIE NORMAL, ESGOTO PREDIAL, DN 100 X 50 MM, JUNTA ELÁSTICA, FORNECIDO E INSTALADO EM RAMAL DE DESCARGA OU RAMAL DE ESGOTO SANITÁRIO. AF_08/2022</v>
      </c>
      <c r="G203" s="164" t="str">
        <f ca="1">IF($D203&lt;&gt;"Serviço","",OFFSET(ORÇAMENTO!S$15,$L203,0))</f>
        <v>UN</v>
      </c>
      <c r="H203" s="122">
        <f t="array" aca="1" ref="H203" ca="1">IF($D203&lt;&gt;"Serviço",0,IF(ACOMPANHAMENTO="BM",ROUND(OFFSET(ORÇAMENTO!AJ$15,$L203,0),15-13*ORÇAMENTO!$AF$7),IF(IFERROR(CÁLCULO.FrentesPreenchidas,0)=0,0,SUM(ROUND(OFFSET($P203,0,1,1,CÁLCULO.FrentesPreenchidas),15-13*ORÇAMENTO!$AF$7)))))</f>
        <v>20</v>
      </c>
      <c r="I203" s="467" t="s">
        <v>1324</v>
      </c>
      <c r="J203" s="653" t="str">
        <f t="array" aca="1" ref="J203" ca="1">IF(OR(B203&lt;&gt;"S",CÁLCULO.FrentesPreenchidas=0),"",IF(AND(ACOMPANHAMENTO="PLE",AUTOEVENTO="Manual",OR(H203&gt;0,ORÇAMENTO!AC203="QUANT."),OR(K203="",M203=0,N203="")),"►E",IF(AND(ACOMPANHAMENTO="PLE",ORÇAMENTO!AC203="QUANT."),"►Q",IF(AND(ACOMPANHAMENTO="PLE",H203&lt;&gt;SUMPRODUCT(($Q$1:$AI$1=1)*ROUND(Q203:AI203,15))),"►S",IF(AND(COUNTIF($P$11:$AI$11,"▼")=0,H203&gt;0,I203=""),"◄M","")))))</f>
        <v/>
      </c>
      <c r="K203" s="654" t="s">
        <v>1447</v>
      </c>
      <c r="L203" s="165">
        <f t="shared" ca="1" si="99"/>
        <v>188</v>
      </c>
      <c r="M203" s="166">
        <f ca="1">IF($D203&lt;&gt;"Serviço","",
          IF(AUTOEVENTO="manual",$A203,
                IF(ISERROR(MATCH($A203,$A$15:OFFSET($A203,-1,0),0)),MAX($M$15:OFFSET(M203,-1,0))+1,
                      INDEX($M$15:OFFSET(M203,-1,0),MATCH($A203,$A$15:OFFSET($A203,-1,0),0)))))</f>
        <v>31</v>
      </c>
      <c r="N203" s="167" t="str">
        <f ca="1">IF($D203&lt;&gt;"Serviço","",
         IF(AUTOEVENTO="Manual",
                IF($A203=0,"&lt;-- defina o número do agrupador",
                       OFFSET(EVENTOS!$D$15,$A203-$A$15,0)),
                OFFSET($F$15,$A203,0)))</f>
        <v>REDE PLUVIAL E ESGOTO</v>
      </c>
      <c r="O203" s="168"/>
      <c r="Q203" s="169">
        <v>5</v>
      </c>
      <c r="R203" s="169">
        <v>5</v>
      </c>
      <c r="S203" s="169">
        <v>5</v>
      </c>
      <c r="T203" s="169">
        <v>5</v>
      </c>
      <c r="U203" s="169"/>
      <c r="V203" s="169"/>
      <c r="W203" s="169"/>
      <c r="X203" s="169"/>
      <c r="Y203" s="169"/>
      <c r="Z203" s="170"/>
      <c r="AA203" s="169"/>
      <c r="AB203" s="169"/>
      <c r="AC203" s="169"/>
      <c r="AD203" s="169"/>
      <c r="AE203" s="169"/>
      <c r="AF203" s="169"/>
      <c r="AG203" s="169"/>
      <c r="AH203" s="170"/>
      <c r="AJ203" s="452">
        <f ca="1">IF(AND($D203="Serviço",AJ$12&lt;&gt;0,$H203&gt;0,OR(AUTOEVENTO&lt;&gt;"manual",$M203&lt;&gt;$A$15)),
        IF(Import.TipoArredondamento&lt;&gt;"TransfereGOV",
              ROUND(OFFSET($P203,0,AJ$13),15-13*ORÇAMENTO!$AF$7)/$H203*OFFSET(ORÇAMENTO!$X$15,ROW(AJ203)-ROW(AJ$15),0),
              ROUND(ROUND(OFFSET($P203,0,AJ$13),15-13*ORÇAMENTO!$AF$7)*OFFSET(ORÇAMENTO!$W$15,ROW(AJ203)-ROW(AJ$15),0),15-13*ORÇAMENTO!$AF$11)),
         0)</f>
        <v>253.1</v>
      </c>
      <c r="AK203" s="452">
        <f ca="1">IF(AND($D203="Serviço",AK$12&lt;&gt;0,$H203&gt;0,OR(AUTOEVENTO&lt;&gt;"manual",$M203&lt;&gt;$A$15)),
        IF(Import.TipoArredondamento&lt;&gt;"TransfereGOV",
              ROUND(OFFSET($P203,0,AK$13),15-13*ORÇAMENTO!$AF$7)/$H203*OFFSET(ORÇAMENTO!$X$15,ROW(AK203)-ROW(AK$15),0),
              ROUND(ROUND(OFFSET($P203,0,AK$13),15-13*ORÇAMENTO!$AF$7)*OFFSET(ORÇAMENTO!$W$15,ROW(AK203)-ROW(AK$15),0),15-13*ORÇAMENTO!$AF$11)),
         0)</f>
        <v>253.1</v>
      </c>
      <c r="AL203" s="452">
        <f ca="1">IF(AND($D203="Serviço",AL$12&lt;&gt;0,$H203&gt;0,OR(AUTOEVENTO&lt;&gt;"manual",$M203&lt;&gt;$A$15)),
        IF(Import.TipoArredondamento&lt;&gt;"TransfereGOV",
              ROUND(OFFSET($P203,0,AL$13),15-13*ORÇAMENTO!$AF$7)/$H203*OFFSET(ORÇAMENTO!$X$15,ROW(AL203)-ROW(AL$15),0),
              ROUND(ROUND(OFFSET($P203,0,AL$13),15-13*ORÇAMENTO!$AF$7)*OFFSET(ORÇAMENTO!$W$15,ROW(AL203)-ROW(AL$15),0),15-13*ORÇAMENTO!$AF$11)),
         0)</f>
        <v>253.1</v>
      </c>
      <c r="AM203" s="452">
        <f ca="1">IF(AND($D203="Serviço",AM$12&lt;&gt;0,$H203&gt;0,OR(AUTOEVENTO&lt;&gt;"manual",$M203&lt;&gt;$A$15)),
        IF(Import.TipoArredondamento&lt;&gt;"TransfereGOV",
              ROUND(OFFSET($P203,0,AM$13),15-13*ORÇAMENTO!$AF$7)/$H203*OFFSET(ORÇAMENTO!$X$15,ROW(AM203)-ROW(AM$15),0),
              ROUND(ROUND(OFFSET($P203,0,AM$13),15-13*ORÇAMENTO!$AF$7)*OFFSET(ORÇAMENTO!$W$15,ROW(AM203)-ROW(AM$15),0),15-13*ORÇAMENTO!$AF$11)),
         0)</f>
        <v>253.1</v>
      </c>
      <c r="AN203" s="452">
        <f ca="1">IF(AND($D203="Serviço",AN$12&lt;&gt;0,$H203&gt;0,OR(AUTOEVENTO&lt;&gt;"manual",$M203&lt;&gt;$A$15)),
        IF(Import.TipoArredondamento&lt;&gt;"TransfereGOV",
              ROUND(OFFSET($P203,0,AN$13),15-13*ORÇAMENTO!$AF$7)/$H203*OFFSET(ORÇAMENTO!$X$15,ROW(AN203)-ROW(AN$15),0),
              ROUND(ROUND(OFFSET($P203,0,AN$13),15-13*ORÇAMENTO!$AF$7)*OFFSET(ORÇAMENTO!$W$15,ROW(AN203)-ROW(AN$15),0),15-13*ORÇAMENTO!$AF$11)),
         0)</f>
        <v>0</v>
      </c>
      <c r="AO203" s="452">
        <f ca="1">IF(AND($D203="Serviço",AO$12&lt;&gt;0,$H203&gt;0,OR(AUTOEVENTO&lt;&gt;"manual",$M203&lt;&gt;$A$15)),
        IF(Import.TipoArredondamento&lt;&gt;"TransfereGOV",
              ROUND(OFFSET($P203,0,AO$13),15-13*ORÇAMENTO!$AF$7)/$H203*OFFSET(ORÇAMENTO!$X$15,ROW(AO203)-ROW(AO$15),0),
              ROUND(ROUND(OFFSET($P203,0,AO$13),15-13*ORÇAMENTO!$AF$7)*OFFSET(ORÇAMENTO!$W$15,ROW(AO203)-ROW(AO$15),0),15-13*ORÇAMENTO!$AF$11)),
         0)</f>
        <v>0</v>
      </c>
      <c r="AP203" s="452">
        <f ca="1">IF(AND($D203="Serviço",AP$12&lt;&gt;0,$H203&gt;0,OR(AUTOEVENTO&lt;&gt;"manual",$M203&lt;&gt;$A$15)),
        IF(Import.TipoArredondamento&lt;&gt;"TransfereGOV",
              ROUND(OFFSET($P203,0,AP$13),15-13*ORÇAMENTO!$AF$7)/$H203*OFFSET(ORÇAMENTO!$X$15,ROW(AP203)-ROW(AP$15),0),
              ROUND(ROUND(OFFSET($P203,0,AP$13),15-13*ORÇAMENTO!$AF$7)*OFFSET(ORÇAMENTO!$W$15,ROW(AP203)-ROW(AP$15),0),15-13*ORÇAMENTO!$AF$11)),
         0)</f>
        <v>0</v>
      </c>
      <c r="AQ203" s="452">
        <f ca="1">IF(AND($D203="Serviço",AQ$12&lt;&gt;0,$H203&gt;0,OR(AUTOEVENTO&lt;&gt;"manual",$M203&lt;&gt;$A$15)),
        IF(Import.TipoArredondamento&lt;&gt;"TransfereGOV",
              ROUND(OFFSET($P203,0,AQ$13),15-13*ORÇAMENTO!$AF$7)/$H203*OFFSET(ORÇAMENTO!$X$15,ROW(AQ203)-ROW(AQ$15),0),
              ROUND(ROUND(OFFSET($P203,0,AQ$13),15-13*ORÇAMENTO!$AF$7)*OFFSET(ORÇAMENTO!$W$15,ROW(AQ203)-ROW(AQ$15),0),15-13*ORÇAMENTO!$AF$11)),
         0)</f>
        <v>0</v>
      </c>
      <c r="AR203" s="452">
        <f ca="1">IF(AND($D203="Serviço",AR$12&lt;&gt;0,$H203&gt;0,OR(AUTOEVENTO&lt;&gt;"manual",$M203&lt;&gt;$A$15)),
        IF(Import.TipoArredondamento&lt;&gt;"TransfereGOV",
              ROUND(OFFSET($P203,0,AR$13),15-13*ORÇAMENTO!$AF$7)/$H203*OFFSET(ORÇAMENTO!$X$15,ROW(AR203)-ROW(AR$15),0),
              ROUND(ROUND(OFFSET($P203,0,AR$13),15-13*ORÇAMENTO!$AF$7)*OFFSET(ORÇAMENTO!$W$15,ROW(AR203)-ROW(AR$15),0),15-13*ORÇAMENTO!$AF$11)),
         0)</f>
        <v>0</v>
      </c>
      <c r="AS203" s="452">
        <f ca="1">IF(AND($D203="Serviço",AS$12&lt;&gt;0,$H203&gt;0,OR(AUTOEVENTO&lt;&gt;"manual",$M203&lt;&gt;$A$15)),
        IF(Import.TipoArredondamento&lt;&gt;"TransfereGOV",
              ROUND(OFFSET($P203,0,AS$13),15-13*ORÇAMENTO!$AF$7)/$H203*OFFSET(ORÇAMENTO!$X$15,ROW(AS203)-ROW(AS$15),0),
              ROUND(ROUND(OFFSET($P203,0,AS$13),15-13*ORÇAMENTO!$AF$7)*OFFSET(ORÇAMENTO!$W$15,ROW(AS203)-ROW(AS$15),0),15-13*ORÇAMENTO!$AF$11)),
         0)</f>
        <v>0</v>
      </c>
      <c r="AT203" s="452">
        <f ca="1">IF(AND($D203="Serviço",AT$12&lt;&gt;0,$H203&gt;0,OR(AUTOEVENTO&lt;&gt;"manual",$M203&lt;&gt;$A$15)),
        IF(Import.TipoArredondamento&lt;&gt;"TransfereGOV",
              ROUND(OFFSET($P203,0,AT$13),15-13*ORÇAMENTO!$AF$7)/$H203*OFFSET(ORÇAMENTO!$X$15,ROW(AT203)-ROW(AT$15),0),
              ROUND(ROUND(OFFSET($P203,0,AT$13),15-13*ORÇAMENTO!$AF$7)*OFFSET(ORÇAMENTO!$W$15,ROW(AT203)-ROW(AT$15),0),15-13*ORÇAMENTO!$AF$11)),
         0)</f>
        <v>0</v>
      </c>
      <c r="AU203" s="452">
        <f ca="1">IF(AND($D203="Serviço",AU$12&lt;&gt;0,$H203&gt;0,OR(AUTOEVENTO&lt;&gt;"manual",$M203&lt;&gt;$A$15)),
        IF(Import.TipoArredondamento&lt;&gt;"TransfereGOV",
              ROUND(OFFSET($P203,0,AU$13),15-13*ORÇAMENTO!$AF$7)/$H203*OFFSET(ORÇAMENTO!$X$15,ROW(AU203)-ROW(AU$15),0),
              ROUND(ROUND(OFFSET($P203,0,AU$13),15-13*ORÇAMENTO!$AF$7)*OFFSET(ORÇAMENTO!$W$15,ROW(AU203)-ROW(AU$15),0),15-13*ORÇAMENTO!$AF$11)),
         0)</f>
        <v>0</v>
      </c>
      <c r="AV203" s="452">
        <f ca="1">IF(AND($D203="Serviço",AV$12&lt;&gt;0,$H203&gt;0,OR(AUTOEVENTO&lt;&gt;"manual",$M203&lt;&gt;$A$15)),
        IF(Import.TipoArredondamento&lt;&gt;"TransfereGOV",
              ROUND(OFFSET($P203,0,AV$13),15-13*ORÇAMENTO!$AF$7)/$H203*OFFSET(ORÇAMENTO!$X$15,ROW(AV203)-ROW(AV$15),0),
              ROUND(ROUND(OFFSET($P203,0,AV$13),15-13*ORÇAMENTO!$AF$7)*OFFSET(ORÇAMENTO!$W$15,ROW(AV203)-ROW(AV$15),0),15-13*ORÇAMENTO!$AF$11)),
         0)</f>
        <v>0</v>
      </c>
      <c r="AW203" s="452">
        <f ca="1">IF(AND($D203="Serviço",AW$12&lt;&gt;0,$H203&gt;0,OR(AUTOEVENTO&lt;&gt;"manual",$M203&lt;&gt;$A$15)),
        IF(Import.TipoArredondamento&lt;&gt;"TransfereGOV",
              ROUND(OFFSET($P203,0,AW$13),15-13*ORÇAMENTO!$AF$7)/$H203*OFFSET(ORÇAMENTO!$X$15,ROW(AW203)-ROW(AW$15),0),
              ROUND(ROUND(OFFSET($P203,0,AW$13),15-13*ORÇAMENTO!$AF$7)*OFFSET(ORÇAMENTO!$W$15,ROW(AW203)-ROW(AW$15),0),15-13*ORÇAMENTO!$AF$11)),
         0)</f>
        <v>0</v>
      </c>
      <c r="AX203" s="452">
        <f ca="1">IF(AND($D203="Serviço",AX$12&lt;&gt;0,$H203&gt;0,OR(AUTOEVENTO&lt;&gt;"manual",$M203&lt;&gt;$A$15)),
        IF(Import.TipoArredondamento&lt;&gt;"TransfereGOV",
              ROUND(OFFSET($P203,0,AX$13),15-13*ORÇAMENTO!$AF$7)/$H203*OFFSET(ORÇAMENTO!$X$15,ROW(AX203)-ROW(AX$15),0),
              ROUND(ROUND(OFFSET($P203,0,AX$13),15-13*ORÇAMENTO!$AF$7)*OFFSET(ORÇAMENTO!$W$15,ROW(AX203)-ROW(AX$15),0),15-13*ORÇAMENTO!$AF$11)),
         0)</f>
        <v>0</v>
      </c>
      <c r="AY203" s="452">
        <f ca="1">IF(AND($D203="Serviço",AY$12&lt;&gt;0,$H203&gt;0,OR(AUTOEVENTO&lt;&gt;"manual",$M203&lt;&gt;$A$15)),
        IF(Import.TipoArredondamento&lt;&gt;"TransfereGOV",
              ROUND(OFFSET($P203,0,AY$13),15-13*ORÇAMENTO!$AF$7)/$H203*OFFSET(ORÇAMENTO!$X$15,ROW(AY203)-ROW(AY$15),0),
              ROUND(ROUND(OFFSET($P203,0,AY$13),15-13*ORÇAMENTO!$AF$7)*OFFSET(ORÇAMENTO!$W$15,ROW(AY203)-ROW(AY$15),0),15-13*ORÇAMENTO!$AF$11)),
         0)</f>
        <v>0</v>
      </c>
      <c r="AZ203" s="452">
        <f ca="1">IF(AND($D203="Serviço",AZ$12&lt;&gt;0,$H203&gt;0,OR(AUTOEVENTO&lt;&gt;"manual",$M203&lt;&gt;$A$15)),
        IF(Import.TipoArredondamento&lt;&gt;"TransfereGOV",
              ROUND(OFFSET($P203,0,AZ$13),15-13*ORÇAMENTO!$AF$7)/$H203*OFFSET(ORÇAMENTO!$X$15,ROW(AZ203)-ROW(AZ$15),0),
              ROUND(ROUND(OFFSET($P203,0,AZ$13),15-13*ORÇAMENTO!$AF$7)*OFFSET(ORÇAMENTO!$W$15,ROW(AZ203)-ROW(AZ$15),0),15-13*ORÇAMENTO!$AF$11)),
         0)</f>
        <v>0</v>
      </c>
      <c r="BA203" s="452">
        <f ca="1">IF(AND($D203="Serviço",BA$12&lt;&gt;0,$H203&gt;0,OR(AUTOEVENTO&lt;&gt;"manual",$M203&lt;&gt;$A$15)),
        IF(Import.TipoArredondamento&lt;&gt;"TransfereGOV",
              ROUND(OFFSET($P203,0,BA$13),15-13*ORÇAMENTO!$AF$7)/$H203*OFFSET(ORÇAMENTO!$X$15,ROW(BA203)-ROW(BA$15),0),
              ROUND(ROUND(OFFSET($P203,0,BA$13),15-13*ORÇAMENTO!$AF$7)*OFFSET(ORÇAMENTO!$W$15,ROW(BA203)-ROW(BA$15),0),15-13*ORÇAMENTO!$AF$11)),
         0)</f>
        <v>0</v>
      </c>
      <c r="BC203" s="171">
        <f ca="1">IF(OR($D203&lt;&gt;"Serviço",AND(AUTOEVENTO="Manual",$M203=$A$15)),0,
         IF(OFFSET(CRONOPLE!$F$15,$M203-$A$15,BC$13)=0,10^12,OFFSET(CRONOPLE!$F$15,$M203-$A$15,BC$13)))</f>
        <v>5</v>
      </c>
      <c r="BD203" s="171">
        <f ca="1">IF(OR($D203&lt;&gt;"Serviço",AND(AUTOEVENTO="Manual",$M203=$A$15)),0,
         IF(OFFSET(CRONOPLE!$F$15,$M203-$A$15,BD$13)=0,10^12,OFFSET(CRONOPLE!$F$15,$M203-$A$15,BD$13)))</f>
        <v>5</v>
      </c>
      <c r="BE203" s="171">
        <f ca="1">IF(OR($D203&lt;&gt;"Serviço",AND(AUTOEVENTO="Manual",$M203=$A$15)),0,
         IF(OFFSET(CRONOPLE!$F$15,$M203-$A$15,BE$13)=0,10^12,OFFSET(CRONOPLE!$F$15,$M203-$A$15,BE$13)))</f>
        <v>6</v>
      </c>
      <c r="BF203" s="171">
        <f ca="1">IF(OR($D203&lt;&gt;"Serviço",AND(AUTOEVENTO="Manual",$M203=$A$15)),0,
         IF(OFFSET(CRONOPLE!$F$15,$M203-$A$15,BF$13)=0,10^12,OFFSET(CRONOPLE!$F$15,$M203-$A$15,BF$13)))</f>
        <v>6</v>
      </c>
      <c r="BG203" s="171">
        <f ca="1">IF(OR($D203&lt;&gt;"Serviço",AND(AUTOEVENTO="Manual",$M203=$A$15)),0,
         IF(OFFSET(CRONOPLE!$F$15,$M203-$A$15,BG$13)=0,10^12,OFFSET(CRONOPLE!$F$15,$M203-$A$15,BG$13)))</f>
        <v>6</v>
      </c>
      <c r="BH203" s="171">
        <f ca="1">IF(OR($D203&lt;&gt;"Serviço",AND(AUTOEVENTO="Manual",$M203=$A$15)),0,
         IF(OFFSET(CRONOPLE!$F$15,$M203-$A$15,BH$13)=0,10^12,OFFSET(CRONOPLE!$F$15,$M203-$A$15,BH$13)))</f>
        <v>1000000000000</v>
      </c>
      <c r="BI203" s="171">
        <f ca="1">IF(OR($D203&lt;&gt;"Serviço",AND(AUTOEVENTO="Manual",$M203=$A$15)),0,
         IF(OFFSET(CRONOPLE!$F$15,$M203-$A$15,BI$13)=0,10^12,OFFSET(CRONOPLE!$F$15,$M203-$A$15,BI$13)))</f>
        <v>1000000000000</v>
      </c>
      <c r="BJ203" s="171">
        <f ca="1">IF(OR($D203&lt;&gt;"Serviço",AND(AUTOEVENTO="Manual",$M203=$A$15)),0,
         IF(OFFSET(CRONOPLE!$F$15,$M203-$A$15,BJ$13)=0,10^12,OFFSET(CRONOPLE!$F$15,$M203-$A$15,BJ$13)))</f>
        <v>1000000000000</v>
      </c>
      <c r="BK203" s="171">
        <f ca="1">IF(OR($D203&lt;&gt;"Serviço",AND(AUTOEVENTO="Manual",$M203=$A$15)),0,
         IF(OFFSET(CRONOPLE!$F$15,$M203-$A$15,BK$13)=0,10^12,OFFSET(CRONOPLE!$F$15,$M203-$A$15,BK$13)))</f>
        <v>9</v>
      </c>
      <c r="BL203" s="171">
        <f ca="1">IF(OR($D203&lt;&gt;"Serviço",AND(AUTOEVENTO="Manual",$M203=$A$15)),0,
         IF(OFFSET(CRONOPLE!$F$15,$M203-$A$15,BL$13)=0,10^12,OFFSET(CRONOPLE!$F$15,$M203-$A$15,BL$13)))</f>
        <v>1000000000000</v>
      </c>
      <c r="BM203" s="171">
        <f ca="1">IF(OR($D203&lt;&gt;"Serviço",AND(AUTOEVENTO="Manual",$M203=$A$15)),0,
         IF(OFFSET(CRONOPLE!$F$15,$M203-$A$15,BM$13)=0,10^12,OFFSET(CRONOPLE!$F$15,$M203-$A$15,BM$13)))</f>
        <v>1000000000000</v>
      </c>
      <c r="BN203" s="171">
        <f ca="1">IF(OR($D203&lt;&gt;"Serviço",AND(AUTOEVENTO="Manual",$M203=$A$15)),0,
         IF(OFFSET(CRONOPLE!$F$15,$M203-$A$15,BN$13)=0,10^12,OFFSET(CRONOPLE!$F$15,$M203-$A$15,BN$13)))</f>
        <v>1000000000000</v>
      </c>
      <c r="BO203" s="171">
        <f ca="1">IF(OR($D203&lt;&gt;"Serviço",AND(AUTOEVENTO="Manual",$M203=$A$15)),0,
         IF(OFFSET(CRONOPLE!$F$15,$M203-$A$15,BO$13)=0,10^12,OFFSET(CRONOPLE!$F$15,$M203-$A$15,BO$13)))</f>
        <v>1000000000000</v>
      </c>
      <c r="BP203" s="171">
        <f ca="1">IF(OR($D203&lt;&gt;"Serviço",AND(AUTOEVENTO="Manual",$M203=$A$15)),0,
         IF(OFFSET(CRONOPLE!$F$15,$M203-$A$15,BP$13)=0,10^12,OFFSET(CRONOPLE!$F$15,$M203-$A$15,BP$13)))</f>
        <v>1000000000000</v>
      </c>
      <c r="BQ203" s="171">
        <f ca="1">IF(OR($D203&lt;&gt;"Serviço",AND(AUTOEVENTO="Manual",$M203=$A$15)),0,
         IF(OFFSET(CRONOPLE!$F$15,$M203-$A$15,BQ$13)=0,10^12,OFFSET(CRONOPLE!$F$15,$M203-$A$15,BQ$13)))</f>
        <v>1000000000000</v>
      </c>
      <c r="BR203" s="171">
        <f ca="1">IF(OR($D203&lt;&gt;"Serviço",AND(AUTOEVENTO="Manual",$M203=$A$15)),0,
         IF(OFFSET(CRONOPLE!$F$15,$M203-$A$15,BR$13)=0,10^12,OFFSET(CRONOPLE!$F$15,$M203-$A$15,BR$13)))</f>
        <v>1000000000000</v>
      </c>
      <c r="BS203" s="171">
        <f ca="1">IF(OR($D203&lt;&gt;"Serviço",AND(AUTOEVENTO="Manual",$M203=$A$15)),0,
         IF(OFFSET(CRONOPLE!$F$15,$M203-$A$15,BS$13)=0,10^12,OFFSET(CRONOPLE!$F$15,$M203-$A$15,BS$13)))</f>
        <v>1000000000000</v>
      </c>
      <c r="BT203" s="171">
        <f ca="1">IF(OR($D203&lt;&gt;"Serviço",AND(AUTOEVENTO="Manual",$M203=$A$15)),0,
         IF(OFFSET(CRONOPLE!$F$15,$M203-$A$15,BT$13)=0,10^12,OFFSET(CRONOPLE!$F$15,$M203-$A$15,BT$13)))</f>
        <v>1000000000000</v>
      </c>
      <c r="BV203" s="172">
        <f t="array" aca="1" ref="BV203" ca="1">IF(OR($D203&lt;&gt;"Serviço",AND(AUTOEVENTO="Manual",$M203=$A$15),$M203&gt;(ROW(PLE.lastrow)-ROW(PLE.firstrow))),0,
           IF(OFFSET(PLE!$G$15,$M203-$A$15,BV$13)="",10^12,OFFSET(PLE!$G$15,$M203-$A$15,BV$13)))</f>
        <v>1000000000000</v>
      </c>
      <c r="BW203" s="172">
        <f t="array" aca="1" ref="BW203" ca="1">IF(OR($D203&lt;&gt;"Serviço",AND(AUTOEVENTO="Manual",$M203=$A$15),$M203&gt;(ROW(PLE.lastrow)-ROW(PLE.firstrow))),0,
           IF(OFFSET(PLE!$G$15,$M203-$A$15,BW$13)="",10^12,OFFSET(PLE!$G$15,$M203-$A$15,BW$13)))</f>
        <v>1000000000000</v>
      </c>
      <c r="BX203" s="172">
        <f t="array" aca="1" ref="BX203" ca="1">IF(OR($D203&lt;&gt;"Serviço",AND(AUTOEVENTO="Manual",$M203=$A$15),$M203&gt;(ROW(PLE.lastrow)-ROW(PLE.firstrow))),0,
           IF(OFFSET(PLE!$G$15,$M203-$A$15,BX$13)="",10^12,OFFSET(PLE!$G$15,$M203-$A$15,BX$13)))</f>
        <v>1000000000000</v>
      </c>
      <c r="BY203" s="172">
        <f t="array" aca="1" ref="BY203" ca="1">IF(OR($D203&lt;&gt;"Serviço",AND(AUTOEVENTO="Manual",$M203=$A$15),$M203&gt;(ROW(PLE.lastrow)-ROW(PLE.firstrow))),0,
           IF(OFFSET(PLE!$G$15,$M203-$A$15,BY$13)="",10^12,OFFSET(PLE!$G$15,$M203-$A$15,BY$13)))</f>
        <v>1000000000000</v>
      </c>
      <c r="BZ203" s="172">
        <f t="array" aca="1" ref="BZ203" ca="1">IF(OR($D203&lt;&gt;"Serviço",AND(AUTOEVENTO="Manual",$M203=$A$15),$M203&gt;(ROW(PLE.lastrow)-ROW(PLE.firstrow))),0,
           IF(OFFSET(PLE!$G$15,$M203-$A$15,BZ$13)="",10^12,OFFSET(PLE!$G$15,$M203-$A$15,BZ$13)))</f>
        <v>1000000000000</v>
      </c>
      <c r="CA203" s="172">
        <f t="array" aca="1" ref="CA203" ca="1">IF(OR($D203&lt;&gt;"Serviço",AND(AUTOEVENTO="Manual",$M203=$A$15),$M203&gt;(ROW(PLE.lastrow)-ROW(PLE.firstrow))),0,
           IF(OFFSET(PLE!$G$15,$M203-$A$15,CA$13)="",10^12,OFFSET(PLE!$G$15,$M203-$A$15,CA$13)))</f>
        <v>1000000000000</v>
      </c>
      <c r="CB203" s="172">
        <f t="array" aca="1" ref="CB203" ca="1">IF(OR($D203&lt;&gt;"Serviço",AND(AUTOEVENTO="Manual",$M203=$A$15),$M203&gt;(ROW(PLE.lastrow)-ROW(PLE.firstrow))),0,
           IF(OFFSET(PLE!$G$15,$M203-$A$15,CB$13)="",10^12,OFFSET(PLE!$G$15,$M203-$A$15,CB$13)))</f>
        <v>1000000000000</v>
      </c>
      <c r="CC203" s="172">
        <f t="array" aca="1" ref="CC203" ca="1">IF(OR($D203&lt;&gt;"Serviço",AND(AUTOEVENTO="Manual",$M203=$A$15),$M203&gt;(ROW(PLE.lastrow)-ROW(PLE.firstrow))),0,
           IF(OFFSET(PLE!$G$15,$M203-$A$15,CC$13)="",10^12,OFFSET(PLE!$G$15,$M203-$A$15,CC$13)))</f>
        <v>1000000000000</v>
      </c>
      <c r="CD203" s="172">
        <f t="array" aca="1" ref="CD203" ca="1">IF(OR($D203&lt;&gt;"Serviço",AND(AUTOEVENTO="Manual",$M203=$A$15),$M203&gt;(ROW(PLE.lastrow)-ROW(PLE.firstrow))),0,
           IF(OFFSET(PLE!$G$15,$M203-$A$15,CD$13)="",10^12,OFFSET(PLE!$G$15,$M203-$A$15,CD$13)))</f>
        <v>1000000000000</v>
      </c>
      <c r="CE203" s="172">
        <f t="array" aca="1" ref="CE203" ca="1">IF(OR($D203&lt;&gt;"Serviço",AND(AUTOEVENTO="Manual",$M203=$A$15),$M203&gt;(ROW(PLE.lastrow)-ROW(PLE.firstrow))),0,
           IF(OFFSET(PLE!$G$15,$M203-$A$15,CE$13)="",10^12,OFFSET(PLE!$G$15,$M203-$A$15,CE$13)))</f>
        <v>1000000000000</v>
      </c>
      <c r="CF203" s="172">
        <f t="array" aca="1" ref="CF203" ca="1">IF(OR($D203&lt;&gt;"Serviço",AND(AUTOEVENTO="Manual",$M203=$A$15),$M203&gt;(ROW(PLE.lastrow)-ROW(PLE.firstrow))),0,
           IF(OFFSET(PLE!$G$15,$M203-$A$15,CF$13)="",10^12,OFFSET(PLE!$G$15,$M203-$A$15,CF$13)))</f>
        <v>1000000000000</v>
      </c>
      <c r="CG203" s="172">
        <f t="array" aca="1" ref="CG203" ca="1">IF(OR($D203&lt;&gt;"Serviço",AND(AUTOEVENTO="Manual",$M203=$A$15),$M203&gt;(ROW(PLE.lastrow)-ROW(PLE.firstrow))),0,
           IF(OFFSET(PLE!$G$15,$M203-$A$15,CG$13)="",10^12,OFFSET(PLE!$G$15,$M203-$A$15,CG$13)))</f>
        <v>1000000000000</v>
      </c>
      <c r="CH203" s="172">
        <f t="array" aca="1" ref="CH203" ca="1">IF(OR($D203&lt;&gt;"Serviço",AND(AUTOEVENTO="Manual",$M203=$A$15),$M203&gt;(ROW(PLE.lastrow)-ROW(PLE.firstrow))),0,
           IF(OFFSET(PLE!$G$15,$M203-$A$15,CH$13)="",10^12,OFFSET(PLE!$G$15,$M203-$A$15,CH$13)))</f>
        <v>1000000000000</v>
      </c>
      <c r="CI203" s="172">
        <f t="array" aca="1" ref="CI203" ca="1">IF(OR($D203&lt;&gt;"Serviço",AND(AUTOEVENTO="Manual",$M203=$A$15),$M203&gt;(ROW(PLE.lastrow)-ROW(PLE.firstrow))),0,
           IF(OFFSET(PLE!$G$15,$M203-$A$15,CI$13)="",10^12,OFFSET(PLE!$G$15,$M203-$A$15,CI$13)))</f>
        <v>1000000000000</v>
      </c>
      <c r="CJ203" s="172">
        <f t="array" aca="1" ref="CJ203" ca="1">IF(OR($D203&lt;&gt;"Serviço",AND(AUTOEVENTO="Manual",$M203=$A$15),$M203&gt;(ROW(PLE.lastrow)-ROW(PLE.firstrow))),0,
           IF(OFFSET(PLE!$G$15,$M203-$A$15,CJ$13)="",10^12,OFFSET(PLE!$G$15,$M203-$A$15,CJ$13)))</f>
        <v>1000000000000</v>
      </c>
      <c r="CK203" s="172">
        <f t="array" aca="1" ref="CK203" ca="1">IF(OR($D203&lt;&gt;"Serviço",AND(AUTOEVENTO="Manual",$M203=$A$15),$M203&gt;(ROW(PLE.lastrow)-ROW(PLE.firstrow))),0,
           IF(OFFSET(PLE!$G$15,$M203-$A$15,CK$13)="",10^12,OFFSET(PLE!$G$15,$M203-$A$15,CK$13)))</f>
        <v>1000000000000</v>
      </c>
      <c r="CL203" s="172">
        <f t="array" aca="1" ref="CL203" ca="1">IF(OR($D203&lt;&gt;"Serviço",AND(AUTOEVENTO="Manual",$M203=$A$15),$M203&gt;(ROW(PLE.lastrow)-ROW(PLE.firstrow))),0,
           IF(OFFSET(PLE!$G$15,$M203-$A$15,CL$13)="",10^12,OFFSET(PLE!$G$15,$M203-$A$15,CL$13)))</f>
        <v>1000000000000</v>
      </c>
      <c r="CM203" s="172">
        <f t="array" aca="1" ref="CM203" ca="1">IF(OR($D203&lt;&gt;"Serviço",AND(AUTOEVENTO="Manual",$M203=$A$15),$M203&gt;(ROW(PLE.lastrow)-ROW(PLE.firstrow))),0,
           IF(OFFSET(PLE!$G$15,$M203-$A$15,CM$13)="",10^12,OFFSET(PLE!$G$15,$M203-$A$15,CM$13)))</f>
        <v>1000000000000</v>
      </c>
    </row>
    <row r="204" spans="1:91" s="696" customFormat="1" ht="63.75" x14ac:dyDescent="0.2">
      <c r="A204" s="694">
        <f t="shared" ca="1" si="98"/>
        <v>31</v>
      </c>
      <c r="B204" s="694" t="str">
        <f ca="1">OFFSET(ORÇAMENTO!C$15,$L204,0)</f>
        <v>S</v>
      </c>
      <c r="C204" s="694" t="str">
        <f ca="1">OFFSET(ORÇAMENTO!L$15,$L204,0)</f>
        <v>F</v>
      </c>
      <c r="D204" s="116" t="str">
        <f ca="1">OFFSET(ORÇAMENTO!N$15,$L204,0)</f>
        <v>Serviço</v>
      </c>
      <c r="E204" s="117" t="str">
        <f ca="1">OFFSET(ORÇAMENTO!O$15,$L204,0)</f>
        <v>1.30.8.</v>
      </c>
      <c r="F204" s="163" t="str">
        <f ca="1">OFFSET(ORÇAMENTO!R$15,$L204,0)</f>
        <v>TERMINAL DE VENTILAÇÃO, PVC, SÉRIE NORMAL, ESGOTO PREDIAL, DN 50 MM, JUNTA SOLDÁVEL, FORNECIDO E INSTALADO EM PRUMADA DE ESGOTO SANITÁRIO OU VENTILAÇÃO. AF_08/2022</v>
      </c>
      <c r="G204" s="164" t="str">
        <f ca="1">IF($D204&lt;&gt;"Serviço","",OFFSET(ORÇAMENTO!S$15,$L204,0))</f>
        <v>UN</v>
      </c>
      <c r="H204" s="122">
        <f t="array" aca="1" ref="H204" ca="1">IF($D204&lt;&gt;"Serviço",0,IF(ACOMPANHAMENTO="BM",ROUND(OFFSET(ORÇAMENTO!AJ$15,$L204,0),15-13*ORÇAMENTO!$AF$7),IF(IFERROR(CÁLCULO.FrentesPreenchidas,0)=0,0,SUM(ROUND(OFFSET($P204,0,1,1,CÁLCULO.FrentesPreenchidas),15-13*ORÇAMENTO!$AF$7)))))</f>
        <v>20</v>
      </c>
      <c r="I204" s="467" t="s">
        <v>1324</v>
      </c>
      <c r="J204" s="653" t="str">
        <f t="array" aca="1" ref="J204" ca="1">IF(OR(B204&lt;&gt;"S",CÁLCULO.FrentesPreenchidas=0),"",IF(AND(ACOMPANHAMENTO="PLE",AUTOEVENTO="Manual",OR(H204&gt;0,ORÇAMENTO!AC204="QUANT."),OR(K204="",M204=0,N204="")),"►E",IF(AND(ACOMPANHAMENTO="PLE",ORÇAMENTO!AC204="QUANT."),"►Q",IF(AND(ACOMPANHAMENTO="PLE",H204&lt;&gt;SUMPRODUCT(($Q$1:$AI$1=1)*ROUND(Q204:AI204,15))),"►S",IF(AND(COUNTIF($P$11:$AI$11,"▼")=0,H204&gt;0,I204=""),"◄M","")))))</f>
        <v/>
      </c>
      <c r="K204" s="654" t="s">
        <v>1447</v>
      </c>
      <c r="L204" s="165">
        <f t="shared" ca="1" si="99"/>
        <v>189</v>
      </c>
      <c r="M204" s="166">
        <f ca="1">IF($D204&lt;&gt;"Serviço","",
          IF(AUTOEVENTO="manual",$A204,
                IF(ISERROR(MATCH($A204,$A$15:OFFSET($A204,-1,0),0)),MAX($M$15:OFFSET(M204,-1,0))+1,
                      INDEX($M$15:OFFSET(M204,-1,0),MATCH($A204,$A$15:OFFSET($A204,-1,0),0)))))</f>
        <v>31</v>
      </c>
      <c r="N204" s="167" t="str">
        <f ca="1">IF($D204&lt;&gt;"Serviço","",
         IF(AUTOEVENTO="Manual",
                IF($A204=0,"&lt;-- defina o número do agrupador",
                       OFFSET(EVENTOS!$D$15,$A204-$A$15,0)),
                OFFSET($F$15,$A204,0)))</f>
        <v>REDE PLUVIAL E ESGOTO</v>
      </c>
      <c r="O204" s="168"/>
      <c r="Q204" s="169">
        <v>5</v>
      </c>
      <c r="R204" s="169">
        <v>5</v>
      </c>
      <c r="S204" s="169">
        <v>5</v>
      </c>
      <c r="T204" s="169">
        <v>5</v>
      </c>
      <c r="U204" s="169"/>
      <c r="V204" s="169"/>
      <c r="W204" s="169"/>
      <c r="X204" s="169"/>
      <c r="Y204" s="169"/>
      <c r="Z204" s="170"/>
      <c r="AA204" s="169"/>
      <c r="AB204" s="169"/>
      <c r="AC204" s="169"/>
      <c r="AD204" s="169"/>
      <c r="AE204" s="169"/>
      <c r="AF204" s="169"/>
      <c r="AG204" s="169"/>
      <c r="AH204" s="170"/>
      <c r="AJ204" s="452">
        <f ca="1">IF(AND($D204="Serviço",AJ$12&lt;&gt;0,$H204&gt;0,OR(AUTOEVENTO&lt;&gt;"manual",$M204&lt;&gt;$A$15)),
        IF(Import.TipoArredondamento&lt;&gt;"TransfereGOV",
              ROUND(OFFSET($P204,0,AJ$13),15-13*ORÇAMENTO!$AF$7)/$H204*OFFSET(ORÇAMENTO!$X$15,ROW(AJ204)-ROW(AJ$15),0),
              ROUND(ROUND(OFFSET($P204,0,AJ$13),15-13*ORÇAMENTO!$AF$7)*OFFSET(ORÇAMENTO!$W$15,ROW(AJ204)-ROW(AJ$15),0),15-13*ORÇAMENTO!$AF$11)),
         0)</f>
        <v>65.900000000000006</v>
      </c>
      <c r="AK204" s="452">
        <f ca="1">IF(AND($D204="Serviço",AK$12&lt;&gt;0,$H204&gt;0,OR(AUTOEVENTO&lt;&gt;"manual",$M204&lt;&gt;$A$15)),
        IF(Import.TipoArredondamento&lt;&gt;"TransfereGOV",
              ROUND(OFFSET($P204,0,AK$13),15-13*ORÇAMENTO!$AF$7)/$H204*OFFSET(ORÇAMENTO!$X$15,ROW(AK204)-ROW(AK$15),0),
              ROUND(ROUND(OFFSET($P204,0,AK$13),15-13*ORÇAMENTO!$AF$7)*OFFSET(ORÇAMENTO!$W$15,ROW(AK204)-ROW(AK$15),0),15-13*ORÇAMENTO!$AF$11)),
         0)</f>
        <v>65.900000000000006</v>
      </c>
      <c r="AL204" s="452">
        <f ca="1">IF(AND($D204="Serviço",AL$12&lt;&gt;0,$H204&gt;0,OR(AUTOEVENTO&lt;&gt;"manual",$M204&lt;&gt;$A$15)),
        IF(Import.TipoArredondamento&lt;&gt;"TransfereGOV",
              ROUND(OFFSET($P204,0,AL$13),15-13*ORÇAMENTO!$AF$7)/$H204*OFFSET(ORÇAMENTO!$X$15,ROW(AL204)-ROW(AL$15),0),
              ROUND(ROUND(OFFSET($P204,0,AL$13),15-13*ORÇAMENTO!$AF$7)*OFFSET(ORÇAMENTO!$W$15,ROW(AL204)-ROW(AL$15),0),15-13*ORÇAMENTO!$AF$11)),
         0)</f>
        <v>65.900000000000006</v>
      </c>
      <c r="AM204" s="452">
        <f ca="1">IF(AND($D204="Serviço",AM$12&lt;&gt;0,$H204&gt;0,OR(AUTOEVENTO&lt;&gt;"manual",$M204&lt;&gt;$A$15)),
        IF(Import.TipoArredondamento&lt;&gt;"TransfereGOV",
              ROUND(OFFSET($P204,0,AM$13),15-13*ORÇAMENTO!$AF$7)/$H204*OFFSET(ORÇAMENTO!$X$15,ROW(AM204)-ROW(AM$15),0),
              ROUND(ROUND(OFFSET($P204,0,AM$13),15-13*ORÇAMENTO!$AF$7)*OFFSET(ORÇAMENTO!$W$15,ROW(AM204)-ROW(AM$15),0),15-13*ORÇAMENTO!$AF$11)),
         0)</f>
        <v>65.900000000000006</v>
      </c>
      <c r="AN204" s="452">
        <f ca="1">IF(AND($D204="Serviço",AN$12&lt;&gt;0,$H204&gt;0,OR(AUTOEVENTO&lt;&gt;"manual",$M204&lt;&gt;$A$15)),
        IF(Import.TipoArredondamento&lt;&gt;"TransfereGOV",
              ROUND(OFFSET($P204,0,AN$13),15-13*ORÇAMENTO!$AF$7)/$H204*OFFSET(ORÇAMENTO!$X$15,ROW(AN204)-ROW(AN$15),0),
              ROUND(ROUND(OFFSET($P204,0,AN$13),15-13*ORÇAMENTO!$AF$7)*OFFSET(ORÇAMENTO!$W$15,ROW(AN204)-ROW(AN$15),0),15-13*ORÇAMENTO!$AF$11)),
         0)</f>
        <v>0</v>
      </c>
      <c r="AO204" s="452">
        <f ca="1">IF(AND($D204="Serviço",AO$12&lt;&gt;0,$H204&gt;0,OR(AUTOEVENTO&lt;&gt;"manual",$M204&lt;&gt;$A$15)),
        IF(Import.TipoArredondamento&lt;&gt;"TransfereGOV",
              ROUND(OFFSET($P204,0,AO$13),15-13*ORÇAMENTO!$AF$7)/$H204*OFFSET(ORÇAMENTO!$X$15,ROW(AO204)-ROW(AO$15),0),
              ROUND(ROUND(OFFSET($P204,0,AO$13),15-13*ORÇAMENTO!$AF$7)*OFFSET(ORÇAMENTO!$W$15,ROW(AO204)-ROW(AO$15),0),15-13*ORÇAMENTO!$AF$11)),
         0)</f>
        <v>0</v>
      </c>
      <c r="AP204" s="452">
        <f ca="1">IF(AND($D204="Serviço",AP$12&lt;&gt;0,$H204&gt;0,OR(AUTOEVENTO&lt;&gt;"manual",$M204&lt;&gt;$A$15)),
        IF(Import.TipoArredondamento&lt;&gt;"TransfereGOV",
              ROUND(OFFSET($P204,0,AP$13),15-13*ORÇAMENTO!$AF$7)/$H204*OFFSET(ORÇAMENTO!$X$15,ROW(AP204)-ROW(AP$15),0),
              ROUND(ROUND(OFFSET($P204,0,AP$13),15-13*ORÇAMENTO!$AF$7)*OFFSET(ORÇAMENTO!$W$15,ROW(AP204)-ROW(AP$15),0),15-13*ORÇAMENTO!$AF$11)),
         0)</f>
        <v>0</v>
      </c>
      <c r="AQ204" s="452">
        <f ca="1">IF(AND($D204="Serviço",AQ$12&lt;&gt;0,$H204&gt;0,OR(AUTOEVENTO&lt;&gt;"manual",$M204&lt;&gt;$A$15)),
        IF(Import.TipoArredondamento&lt;&gt;"TransfereGOV",
              ROUND(OFFSET($P204,0,AQ$13),15-13*ORÇAMENTO!$AF$7)/$H204*OFFSET(ORÇAMENTO!$X$15,ROW(AQ204)-ROW(AQ$15),0),
              ROUND(ROUND(OFFSET($P204,0,AQ$13),15-13*ORÇAMENTO!$AF$7)*OFFSET(ORÇAMENTO!$W$15,ROW(AQ204)-ROW(AQ$15),0),15-13*ORÇAMENTO!$AF$11)),
         0)</f>
        <v>0</v>
      </c>
      <c r="AR204" s="452">
        <f ca="1">IF(AND($D204="Serviço",AR$12&lt;&gt;0,$H204&gt;0,OR(AUTOEVENTO&lt;&gt;"manual",$M204&lt;&gt;$A$15)),
        IF(Import.TipoArredondamento&lt;&gt;"TransfereGOV",
              ROUND(OFFSET($P204,0,AR$13),15-13*ORÇAMENTO!$AF$7)/$H204*OFFSET(ORÇAMENTO!$X$15,ROW(AR204)-ROW(AR$15),0),
              ROUND(ROUND(OFFSET($P204,0,AR$13),15-13*ORÇAMENTO!$AF$7)*OFFSET(ORÇAMENTO!$W$15,ROW(AR204)-ROW(AR$15),0),15-13*ORÇAMENTO!$AF$11)),
         0)</f>
        <v>0</v>
      </c>
      <c r="AS204" s="452">
        <f ca="1">IF(AND($D204="Serviço",AS$12&lt;&gt;0,$H204&gt;0,OR(AUTOEVENTO&lt;&gt;"manual",$M204&lt;&gt;$A$15)),
        IF(Import.TipoArredondamento&lt;&gt;"TransfereGOV",
              ROUND(OFFSET($P204,0,AS$13),15-13*ORÇAMENTO!$AF$7)/$H204*OFFSET(ORÇAMENTO!$X$15,ROW(AS204)-ROW(AS$15),0),
              ROUND(ROUND(OFFSET($P204,0,AS$13),15-13*ORÇAMENTO!$AF$7)*OFFSET(ORÇAMENTO!$W$15,ROW(AS204)-ROW(AS$15),0),15-13*ORÇAMENTO!$AF$11)),
         0)</f>
        <v>0</v>
      </c>
      <c r="AT204" s="452">
        <f ca="1">IF(AND($D204="Serviço",AT$12&lt;&gt;0,$H204&gt;0,OR(AUTOEVENTO&lt;&gt;"manual",$M204&lt;&gt;$A$15)),
        IF(Import.TipoArredondamento&lt;&gt;"TransfereGOV",
              ROUND(OFFSET($P204,0,AT$13),15-13*ORÇAMENTO!$AF$7)/$H204*OFFSET(ORÇAMENTO!$X$15,ROW(AT204)-ROW(AT$15),0),
              ROUND(ROUND(OFFSET($P204,0,AT$13),15-13*ORÇAMENTO!$AF$7)*OFFSET(ORÇAMENTO!$W$15,ROW(AT204)-ROW(AT$15),0),15-13*ORÇAMENTO!$AF$11)),
         0)</f>
        <v>0</v>
      </c>
      <c r="AU204" s="452">
        <f ca="1">IF(AND($D204="Serviço",AU$12&lt;&gt;0,$H204&gt;0,OR(AUTOEVENTO&lt;&gt;"manual",$M204&lt;&gt;$A$15)),
        IF(Import.TipoArredondamento&lt;&gt;"TransfereGOV",
              ROUND(OFFSET($P204,0,AU$13),15-13*ORÇAMENTO!$AF$7)/$H204*OFFSET(ORÇAMENTO!$X$15,ROW(AU204)-ROW(AU$15),0),
              ROUND(ROUND(OFFSET($P204,0,AU$13),15-13*ORÇAMENTO!$AF$7)*OFFSET(ORÇAMENTO!$W$15,ROW(AU204)-ROW(AU$15),0),15-13*ORÇAMENTO!$AF$11)),
         0)</f>
        <v>0</v>
      </c>
      <c r="AV204" s="452">
        <f ca="1">IF(AND($D204="Serviço",AV$12&lt;&gt;0,$H204&gt;0,OR(AUTOEVENTO&lt;&gt;"manual",$M204&lt;&gt;$A$15)),
        IF(Import.TipoArredondamento&lt;&gt;"TransfereGOV",
              ROUND(OFFSET($P204,0,AV$13),15-13*ORÇAMENTO!$AF$7)/$H204*OFFSET(ORÇAMENTO!$X$15,ROW(AV204)-ROW(AV$15),0),
              ROUND(ROUND(OFFSET($P204,0,AV$13),15-13*ORÇAMENTO!$AF$7)*OFFSET(ORÇAMENTO!$W$15,ROW(AV204)-ROW(AV$15),0),15-13*ORÇAMENTO!$AF$11)),
         0)</f>
        <v>0</v>
      </c>
      <c r="AW204" s="452">
        <f ca="1">IF(AND($D204="Serviço",AW$12&lt;&gt;0,$H204&gt;0,OR(AUTOEVENTO&lt;&gt;"manual",$M204&lt;&gt;$A$15)),
        IF(Import.TipoArredondamento&lt;&gt;"TransfereGOV",
              ROUND(OFFSET($P204,0,AW$13),15-13*ORÇAMENTO!$AF$7)/$H204*OFFSET(ORÇAMENTO!$X$15,ROW(AW204)-ROW(AW$15),0),
              ROUND(ROUND(OFFSET($P204,0,AW$13),15-13*ORÇAMENTO!$AF$7)*OFFSET(ORÇAMENTO!$W$15,ROW(AW204)-ROW(AW$15),0),15-13*ORÇAMENTO!$AF$11)),
         0)</f>
        <v>0</v>
      </c>
      <c r="AX204" s="452">
        <f ca="1">IF(AND($D204="Serviço",AX$12&lt;&gt;0,$H204&gt;0,OR(AUTOEVENTO&lt;&gt;"manual",$M204&lt;&gt;$A$15)),
        IF(Import.TipoArredondamento&lt;&gt;"TransfereGOV",
              ROUND(OFFSET($P204,0,AX$13),15-13*ORÇAMENTO!$AF$7)/$H204*OFFSET(ORÇAMENTO!$X$15,ROW(AX204)-ROW(AX$15),0),
              ROUND(ROUND(OFFSET($P204,0,AX$13),15-13*ORÇAMENTO!$AF$7)*OFFSET(ORÇAMENTO!$W$15,ROW(AX204)-ROW(AX$15),0),15-13*ORÇAMENTO!$AF$11)),
         0)</f>
        <v>0</v>
      </c>
      <c r="AY204" s="452">
        <f ca="1">IF(AND($D204="Serviço",AY$12&lt;&gt;0,$H204&gt;0,OR(AUTOEVENTO&lt;&gt;"manual",$M204&lt;&gt;$A$15)),
        IF(Import.TipoArredondamento&lt;&gt;"TransfereGOV",
              ROUND(OFFSET($P204,0,AY$13),15-13*ORÇAMENTO!$AF$7)/$H204*OFFSET(ORÇAMENTO!$X$15,ROW(AY204)-ROW(AY$15),0),
              ROUND(ROUND(OFFSET($P204,0,AY$13),15-13*ORÇAMENTO!$AF$7)*OFFSET(ORÇAMENTO!$W$15,ROW(AY204)-ROW(AY$15),0),15-13*ORÇAMENTO!$AF$11)),
         0)</f>
        <v>0</v>
      </c>
      <c r="AZ204" s="452">
        <f ca="1">IF(AND($D204="Serviço",AZ$12&lt;&gt;0,$H204&gt;0,OR(AUTOEVENTO&lt;&gt;"manual",$M204&lt;&gt;$A$15)),
        IF(Import.TipoArredondamento&lt;&gt;"TransfereGOV",
              ROUND(OFFSET($P204,0,AZ$13),15-13*ORÇAMENTO!$AF$7)/$H204*OFFSET(ORÇAMENTO!$X$15,ROW(AZ204)-ROW(AZ$15),0),
              ROUND(ROUND(OFFSET($P204,0,AZ$13),15-13*ORÇAMENTO!$AF$7)*OFFSET(ORÇAMENTO!$W$15,ROW(AZ204)-ROW(AZ$15),0),15-13*ORÇAMENTO!$AF$11)),
         0)</f>
        <v>0</v>
      </c>
      <c r="BA204" s="452">
        <f ca="1">IF(AND($D204="Serviço",BA$12&lt;&gt;0,$H204&gt;0,OR(AUTOEVENTO&lt;&gt;"manual",$M204&lt;&gt;$A$15)),
        IF(Import.TipoArredondamento&lt;&gt;"TransfereGOV",
              ROUND(OFFSET($P204,0,BA$13),15-13*ORÇAMENTO!$AF$7)/$H204*OFFSET(ORÇAMENTO!$X$15,ROW(BA204)-ROW(BA$15),0),
              ROUND(ROUND(OFFSET($P204,0,BA$13),15-13*ORÇAMENTO!$AF$7)*OFFSET(ORÇAMENTO!$W$15,ROW(BA204)-ROW(BA$15),0),15-13*ORÇAMENTO!$AF$11)),
         0)</f>
        <v>0</v>
      </c>
      <c r="BC204" s="171">
        <f ca="1">IF(OR($D204&lt;&gt;"Serviço",AND(AUTOEVENTO="Manual",$M204=$A$15)),0,
         IF(OFFSET(CRONOPLE!$F$15,$M204-$A$15,BC$13)=0,10^12,OFFSET(CRONOPLE!$F$15,$M204-$A$15,BC$13)))</f>
        <v>5</v>
      </c>
      <c r="BD204" s="171">
        <f ca="1">IF(OR($D204&lt;&gt;"Serviço",AND(AUTOEVENTO="Manual",$M204=$A$15)),0,
         IF(OFFSET(CRONOPLE!$F$15,$M204-$A$15,BD$13)=0,10^12,OFFSET(CRONOPLE!$F$15,$M204-$A$15,BD$13)))</f>
        <v>5</v>
      </c>
      <c r="BE204" s="171">
        <f ca="1">IF(OR($D204&lt;&gt;"Serviço",AND(AUTOEVENTO="Manual",$M204=$A$15)),0,
         IF(OFFSET(CRONOPLE!$F$15,$M204-$A$15,BE$13)=0,10^12,OFFSET(CRONOPLE!$F$15,$M204-$A$15,BE$13)))</f>
        <v>6</v>
      </c>
      <c r="BF204" s="171">
        <f ca="1">IF(OR($D204&lt;&gt;"Serviço",AND(AUTOEVENTO="Manual",$M204=$A$15)),0,
         IF(OFFSET(CRONOPLE!$F$15,$M204-$A$15,BF$13)=0,10^12,OFFSET(CRONOPLE!$F$15,$M204-$A$15,BF$13)))</f>
        <v>6</v>
      </c>
      <c r="BG204" s="171">
        <f ca="1">IF(OR($D204&lt;&gt;"Serviço",AND(AUTOEVENTO="Manual",$M204=$A$15)),0,
         IF(OFFSET(CRONOPLE!$F$15,$M204-$A$15,BG$13)=0,10^12,OFFSET(CRONOPLE!$F$15,$M204-$A$15,BG$13)))</f>
        <v>6</v>
      </c>
      <c r="BH204" s="171">
        <f ca="1">IF(OR($D204&lt;&gt;"Serviço",AND(AUTOEVENTO="Manual",$M204=$A$15)),0,
         IF(OFFSET(CRONOPLE!$F$15,$M204-$A$15,BH$13)=0,10^12,OFFSET(CRONOPLE!$F$15,$M204-$A$15,BH$13)))</f>
        <v>1000000000000</v>
      </c>
      <c r="BI204" s="171">
        <f ca="1">IF(OR($D204&lt;&gt;"Serviço",AND(AUTOEVENTO="Manual",$M204=$A$15)),0,
         IF(OFFSET(CRONOPLE!$F$15,$M204-$A$15,BI$13)=0,10^12,OFFSET(CRONOPLE!$F$15,$M204-$A$15,BI$13)))</f>
        <v>1000000000000</v>
      </c>
      <c r="BJ204" s="171">
        <f ca="1">IF(OR($D204&lt;&gt;"Serviço",AND(AUTOEVENTO="Manual",$M204=$A$15)),0,
         IF(OFFSET(CRONOPLE!$F$15,$M204-$A$15,BJ$13)=0,10^12,OFFSET(CRONOPLE!$F$15,$M204-$A$15,BJ$13)))</f>
        <v>1000000000000</v>
      </c>
      <c r="BK204" s="171">
        <f ca="1">IF(OR($D204&lt;&gt;"Serviço",AND(AUTOEVENTO="Manual",$M204=$A$15)),0,
         IF(OFFSET(CRONOPLE!$F$15,$M204-$A$15,BK$13)=0,10^12,OFFSET(CRONOPLE!$F$15,$M204-$A$15,BK$13)))</f>
        <v>9</v>
      </c>
      <c r="BL204" s="171">
        <f ca="1">IF(OR($D204&lt;&gt;"Serviço",AND(AUTOEVENTO="Manual",$M204=$A$15)),0,
         IF(OFFSET(CRONOPLE!$F$15,$M204-$A$15,BL$13)=0,10^12,OFFSET(CRONOPLE!$F$15,$M204-$A$15,BL$13)))</f>
        <v>1000000000000</v>
      </c>
      <c r="BM204" s="171">
        <f ca="1">IF(OR($D204&lt;&gt;"Serviço",AND(AUTOEVENTO="Manual",$M204=$A$15)),0,
         IF(OFFSET(CRONOPLE!$F$15,$M204-$A$15,BM$13)=0,10^12,OFFSET(CRONOPLE!$F$15,$M204-$A$15,BM$13)))</f>
        <v>1000000000000</v>
      </c>
      <c r="BN204" s="171">
        <f ca="1">IF(OR($D204&lt;&gt;"Serviço",AND(AUTOEVENTO="Manual",$M204=$A$15)),0,
         IF(OFFSET(CRONOPLE!$F$15,$M204-$A$15,BN$13)=0,10^12,OFFSET(CRONOPLE!$F$15,$M204-$A$15,BN$13)))</f>
        <v>1000000000000</v>
      </c>
      <c r="BO204" s="171">
        <f ca="1">IF(OR($D204&lt;&gt;"Serviço",AND(AUTOEVENTO="Manual",$M204=$A$15)),0,
         IF(OFFSET(CRONOPLE!$F$15,$M204-$A$15,BO$13)=0,10^12,OFFSET(CRONOPLE!$F$15,$M204-$A$15,BO$13)))</f>
        <v>1000000000000</v>
      </c>
      <c r="BP204" s="171">
        <f ca="1">IF(OR($D204&lt;&gt;"Serviço",AND(AUTOEVENTO="Manual",$M204=$A$15)),0,
         IF(OFFSET(CRONOPLE!$F$15,$M204-$A$15,BP$13)=0,10^12,OFFSET(CRONOPLE!$F$15,$M204-$A$15,BP$13)))</f>
        <v>1000000000000</v>
      </c>
      <c r="BQ204" s="171">
        <f ca="1">IF(OR($D204&lt;&gt;"Serviço",AND(AUTOEVENTO="Manual",$M204=$A$15)),0,
         IF(OFFSET(CRONOPLE!$F$15,$M204-$A$15,BQ$13)=0,10^12,OFFSET(CRONOPLE!$F$15,$M204-$A$15,BQ$13)))</f>
        <v>1000000000000</v>
      </c>
      <c r="BR204" s="171">
        <f ca="1">IF(OR($D204&lt;&gt;"Serviço",AND(AUTOEVENTO="Manual",$M204=$A$15)),0,
         IF(OFFSET(CRONOPLE!$F$15,$M204-$A$15,BR$13)=0,10^12,OFFSET(CRONOPLE!$F$15,$M204-$A$15,BR$13)))</f>
        <v>1000000000000</v>
      </c>
      <c r="BS204" s="171">
        <f ca="1">IF(OR($D204&lt;&gt;"Serviço",AND(AUTOEVENTO="Manual",$M204=$A$15)),0,
         IF(OFFSET(CRONOPLE!$F$15,$M204-$A$15,BS$13)=0,10^12,OFFSET(CRONOPLE!$F$15,$M204-$A$15,BS$13)))</f>
        <v>1000000000000</v>
      </c>
      <c r="BT204" s="171">
        <f ca="1">IF(OR($D204&lt;&gt;"Serviço",AND(AUTOEVENTO="Manual",$M204=$A$15)),0,
         IF(OFFSET(CRONOPLE!$F$15,$M204-$A$15,BT$13)=0,10^12,OFFSET(CRONOPLE!$F$15,$M204-$A$15,BT$13)))</f>
        <v>1000000000000</v>
      </c>
      <c r="BV204" s="172">
        <f t="array" aca="1" ref="BV204" ca="1">IF(OR($D204&lt;&gt;"Serviço",AND(AUTOEVENTO="Manual",$M204=$A$15),$M204&gt;(ROW(PLE.lastrow)-ROW(PLE.firstrow))),0,
           IF(OFFSET(PLE!$G$15,$M204-$A$15,BV$13)="",10^12,OFFSET(PLE!$G$15,$M204-$A$15,BV$13)))</f>
        <v>1000000000000</v>
      </c>
      <c r="BW204" s="172">
        <f t="array" aca="1" ref="BW204" ca="1">IF(OR($D204&lt;&gt;"Serviço",AND(AUTOEVENTO="Manual",$M204=$A$15),$M204&gt;(ROW(PLE.lastrow)-ROW(PLE.firstrow))),0,
           IF(OFFSET(PLE!$G$15,$M204-$A$15,BW$13)="",10^12,OFFSET(PLE!$G$15,$M204-$A$15,BW$13)))</f>
        <v>1000000000000</v>
      </c>
      <c r="BX204" s="172">
        <f t="array" aca="1" ref="BX204" ca="1">IF(OR($D204&lt;&gt;"Serviço",AND(AUTOEVENTO="Manual",$M204=$A$15),$M204&gt;(ROW(PLE.lastrow)-ROW(PLE.firstrow))),0,
           IF(OFFSET(PLE!$G$15,$M204-$A$15,BX$13)="",10^12,OFFSET(PLE!$G$15,$M204-$A$15,BX$13)))</f>
        <v>1000000000000</v>
      </c>
      <c r="BY204" s="172">
        <f t="array" aca="1" ref="BY204" ca="1">IF(OR($D204&lt;&gt;"Serviço",AND(AUTOEVENTO="Manual",$M204=$A$15),$M204&gt;(ROW(PLE.lastrow)-ROW(PLE.firstrow))),0,
           IF(OFFSET(PLE!$G$15,$M204-$A$15,BY$13)="",10^12,OFFSET(PLE!$G$15,$M204-$A$15,BY$13)))</f>
        <v>1000000000000</v>
      </c>
      <c r="BZ204" s="172">
        <f t="array" aca="1" ref="BZ204" ca="1">IF(OR($D204&lt;&gt;"Serviço",AND(AUTOEVENTO="Manual",$M204=$A$15),$M204&gt;(ROW(PLE.lastrow)-ROW(PLE.firstrow))),0,
           IF(OFFSET(PLE!$G$15,$M204-$A$15,BZ$13)="",10^12,OFFSET(PLE!$G$15,$M204-$A$15,BZ$13)))</f>
        <v>1000000000000</v>
      </c>
      <c r="CA204" s="172">
        <f t="array" aca="1" ref="CA204" ca="1">IF(OR($D204&lt;&gt;"Serviço",AND(AUTOEVENTO="Manual",$M204=$A$15),$M204&gt;(ROW(PLE.lastrow)-ROW(PLE.firstrow))),0,
           IF(OFFSET(PLE!$G$15,$M204-$A$15,CA$13)="",10^12,OFFSET(PLE!$G$15,$M204-$A$15,CA$13)))</f>
        <v>1000000000000</v>
      </c>
      <c r="CB204" s="172">
        <f t="array" aca="1" ref="CB204" ca="1">IF(OR($D204&lt;&gt;"Serviço",AND(AUTOEVENTO="Manual",$M204=$A$15),$M204&gt;(ROW(PLE.lastrow)-ROW(PLE.firstrow))),0,
           IF(OFFSET(PLE!$G$15,$M204-$A$15,CB$13)="",10^12,OFFSET(PLE!$G$15,$M204-$A$15,CB$13)))</f>
        <v>1000000000000</v>
      </c>
      <c r="CC204" s="172">
        <f t="array" aca="1" ref="CC204" ca="1">IF(OR($D204&lt;&gt;"Serviço",AND(AUTOEVENTO="Manual",$M204=$A$15),$M204&gt;(ROW(PLE.lastrow)-ROW(PLE.firstrow))),0,
           IF(OFFSET(PLE!$G$15,$M204-$A$15,CC$13)="",10^12,OFFSET(PLE!$G$15,$M204-$A$15,CC$13)))</f>
        <v>1000000000000</v>
      </c>
      <c r="CD204" s="172">
        <f t="array" aca="1" ref="CD204" ca="1">IF(OR($D204&lt;&gt;"Serviço",AND(AUTOEVENTO="Manual",$M204=$A$15),$M204&gt;(ROW(PLE.lastrow)-ROW(PLE.firstrow))),0,
           IF(OFFSET(PLE!$G$15,$M204-$A$15,CD$13)="",10^12,OFFSET(PLE!$G$15,$M204-$A$15,CD$13)))</f>
        <v>1000000000000</v>
      </c>
      <c r="CE204" s="172">
        <f t="array" aca="1" ref="CE204" ca="1">IF(OR($D204&lt;&gt;"Serviço",AND(AUTOEVENTO="Manual",$M204=$A$15),$M204&gt;(ROW(PLE.lastrow)-ROW(PLE.firstrow))),0,
           IF(OFFSET(PLE!$G$15,$M204-$A$15,CE$13)="",10^12,OFFSET(PLE!$G$15,$M204-$A$15,CE$13)))</f>
        <v>1000000000000</v>
      </c>
      <c r="CF204" s="172">
        <f t="array" aca="1" ref="CF204" ca="1">IF(OR($D204&lt;&gt;"Serviço",AND(AUTOEVENTO="Manual",$M204=$A$15),$M204&gt;(ROW(PLE.lastrow)-ROW(PLE.firstrow))),0,
           IF(OFFSET(PLE!$G$15,$M204-$A$15,CF$13)="",10^12,OFFSET(PLE!$G$15,$M204-$A$15,CF$13)))</f>
        <v>1000000000000</v>
      </c>
      <c r="CG204" s="172">
        <f t="array" aca="1" ref="CG204" ca="1">IF(OR($D204&lt;&gt;"Serviço",AND(AUTOEVENTO="Manual",$M204=$A$15),$M204&gt;(ROW(PLE.lastrow)-ROW(PLE.firstrow))),0,
           IF(OFFSET(PLE!$G$15,$M204-$A$15,CG$13)="",10^12,OFFSET(PLE!$G$15,$M204-$A$15,CG$13)))</f>
        <v>1000000000000</v>
      </c>
      <c r="CH204" s="172">
        <f t="array" aca="1" ref="CH204" ca="1">IF(OR($D204&lt;&gt;"Serviço",AND(AUTOEVENTO="Manual",$M204=$A$15),$M204&gt;(ROW(PLE.lastrow)-ROW(PLE.firstrow))),0,
           IF(OFFSET(PLE!$G$15,$M204-$A$15,CH$13)="",10^12,OFFSET(PLE!$G$15,$M204-$A$15,CH$13)))</f>
        <v>1000000000000</v>
      </c>
      <c r="CI204" s="172">
        <f t="array" aca="1" ref="CI204" ca="1">IF(OR($D204&lt;&gt;"Serviço",AND(AUTOEVENTO="Manual",$M204=$A$15),$M204&gt;(ROW(PLE.lastrow)-ROW(PLE.firstrow))),0,
           IF(OFFSET(PLE!$G$15,$M204-$A$15,CI$13)="",10^12,OFFSET(PLE!$G$15,$M204-$A$15,CI$13)))</f>
        <v>1000000000000</v>
      </c>
      <c r="CJ204" s="172">
        <f t="array" aca="1" ref="CJ204" ca="1">IF(OR($D204&lt;&gt;"Serviço",AND(AUTOEVENTO="Manual",$M204=$A$15),$M204&gt;(ROW(PLE.lastrow)-ROW(PLE.firstrow))),0,
           IF(OFFSET(PLE!$G$15,$M204-$A$15,CJ$13)="",10^12,OFFSET(PLE!$G$15,$M204-$A$15,CJ$13)))</f>
        <v>1000000000000</v>
      </c>
      <c r="CK204" s="172">
        <f t="array" aca="1" ref="CK204" ca="1">IF(OR($D204&lt;&gt;"Serviço",AND(AUTOEVENTO="Manual",$M204=$A$15),$M204&gt;(ROW(PLE.lastrow)-ROW(PLE.firstrow))),0,
           IF(OFFSET(PLE!$G$15,$M204-$A$15,CK$13)="",10^12,OFFSET(PLE!$G$15,$M204-$A$15,CK$13)))</f>
        <v>1000000000000</v>
      </c>
      <c r="CL204" s="172">
        <f t="array" aca="1" ref="CL204" ca="1">IF(OR($D204&lt;&gt;"Serviço",AND(AUTOEVENTO="Manual",$M204=$A$15),$M204&gt;(ROW(PLE.lastrow)-ROW(PLE.firstrow))),0,
           IF(OFFSET(PLE!$G$15,$M204-$A$15,CL$13)="",10^12,OFFSET(PLE!$G$15,$M204-$A$15,CL$13)))</f>
        <v>1000000000000</v>
      </c>
      <c r="CM204" s="172">
        <f t="array" aca="1" ref="CM204" ca="1">IF(OR($D204&lt;&gt;"Serviço",AND(AUTOEVENTO="Manual",$M204=$A$15),$M204&gt;(ROW(PLE.lastrow)-ROW(PLE.firstrow))),0,
           IF(OFFSET(PLE!$G$15,$M204-$A$15,CM$13)="",10^12,OFFSET(PLE!$G$15,$M204-$A$15,CM$13)))</f>
        <v>1000000000000</v>
      </c>
    </row>
    <row r="205" spans="1:91" s="696" customFormat="1" ht="51" x14ac:dyDescent="0.2">
      <c r="A205" s="694">
        <f t="shared" ca="1" si="98"/>
        <v>31</v>
      </c>
      <c r="B205" s="694" t="str">
        <f ca="1">OFFSET(ORÇAMENTO!C$15,$L205,0)</f>
        <v>S</v>
      </c>
      <c r="C205" s="694" t="str">
        <f ca="1">OFFSET(ORÇAMENTO!L$15,$L205,0)</f>
        <v>F</v>
      </c>
      <c r="D205" s="116" t="str">
        <f ca="1">OFFSET(ORÇAMENTO!N$15,$L205,0)</f>
        <v>Serviço</v>
      </c>
      <c r="E205" s="117" t="str">
        <f ca="1">OFFSET(ORÇAMENTO!O$15,$L205,0)</f>
        <v>1.30.9.</v>
      </c>
      <c r="F205" s="163" t="str">
        <f ca="1">OFFSET(ORÇAMENTO!R$15,$L205,0)</f>
        <v>TUBO PVC, SERIE NORMAL, ESGOTO PREDIAL, DN 40 MM, FORNECIDO E INSTALADO EM RAMAL DE DESCARGA OU RAMAL DE ESGOTO SANITÁRIO. AF_08/2022</v>
      </c>
      <c r="G205" s="164" t="str">
        <f ca="1">IF($D205&lt;&gt;"Serviço","",OFFSET(ORÇAMENTO!S$15,$L205,0))</f>
        <v>M</v>
      </c>
      <c r="H205" s="122">
        <f t="array" aca="1" ref="H205" ca="1">IF($D205&lt;&gt;"Serviço",0,IF(ACOMPANHAMENTO="BM",ROUND(OFFSET(ORÇAMENTO!AJ$15,$L205,0),15-13*ORÇAMENTO!$AF$7),IF(IFERROR(CÁLCULO.FrentesPreenchidas,0)=0,0,SUM(ROUND(OFFSET($P205,0,1,1,CÁLCULO.FrentesPreenchidas),15-13*ORÇAMENTO!$AF$7)))))</f>
        <v>67</v>
      </c>
      <c r="I205" s="467" t="s">
        <v>1335</v>
      </c>
      <c r="J205" s="653" t="str">
        <f t="array" aca="1" ref="J205" ca="1">IF(OR(B205&lt;&gt;"S",CÁLCULO.FrentesPreenchidas=0),"",IF(AND(ACOMPANHAMENTO="PLE",AUTOEVENTO="Manual",OR(H205&gt;0,ORÇAMENTO!AC205="QUANT."),OR(K205="",M205=0,N205="")),"►E",IF(AND(ACOMPANHAMENTO="PLE",ORÇAMENTO!AC205="QUANT."),"►Q",IF(AND(ACOMPANHAMENTO="PLE",H205&lt;&gt;SUMPRODUCT(($Q$1:$AI$1=1)*ROUND(Q205:AI205,15))),"►S",IF(AND(COUNTIF($P$11:$AI$11,"▼")=0,H205&gt;0,I205=""),"◄M","")))))</f>
        <v/>
      </c>
      <c r="K205" s="654" t="s">
        <v>1447</v>
      </c>
      <c r="L205" s="165">
        <f t="shared" ca="1" si="99"/>
        <v>190</v>
      </c>
      <c r="M205" s="166">
        <f ca="1">IF($D205&lt;&gt;"Serviço","",
          IF(AUTOEVENTO="manual",$A205,
                IF(ISERROR(MATCH($A205,$A$15:OFFSET($A205,-1,0),0)),MAX($M$15:OFFSET(M205,-1,0))+1,
                      INDEX($M$15:OFFSET(M205,-1,0),MATCH($A205,$A$15:OFFSET($A205,-1,0),0)))))</f>
        <v>31</v>
      </c>
      <c r="N205" s="167" t="str">
        <f ca="1">IF($D205&lt;&gt;"Serviço","",
         IF(AUTOEVENTO="Manual",
                IF($A205=0,"&lt;-- defina o número do agrupador",
                       OFFSET(EVENTOS!$D$15,$A205-$A$15,0)),
                OFFSET($F$15,$A205,0)))</f>
        <v>REDE PLUVIAL E ESGOTO</v>
      </c>
      <c r="O205" s="168"/>
      <c r="Q205" s="169">
        <f>3.35*5</f>
        <v>16.75</v>
      </c>
      <c r="R205" s="169">
        <f t="shared" ref="R205:T205" si="100">3.35*5</f>
        <v>16.75</v>
      </c>
      <c r="S205" s="169">
        <f t="shared" si="100"/>
        <v>16.75</v>
      </c>
      <c r="T205" s="169">
        <f t="shared" si="100"/>
        <v>16.75</v>
      </c>
      <c r="U205" s="169"/>
      <c r="V205" s="169"/>
      <c r="W205" s="169"/>
      <c r="X205" s="169"/>
      <c r="Y205" s="169"/>
      <c r="Z205" s="170"/>
      <c r="AA205" s="169"/>
      <c r="AB205" s="169"/>
      <c r="AC205" s="169"/>
      <c r="AD205" s="169"/>
      <c r="AE205" s="169"/>
      <c r="AF205" s="169"/>
      <c r="AG205" s="169"/>
      <c r="AH205" s="170"/>
      <c r="AJ205" s="452">
        <f ca="1">IF(AND($D205="Serviço",AJ$12&lt;&gt;0,$H205&gt;0,OR(AUTOEVENTO&lt;&gt;"manual",$M205&lt;&gt;$A$15)),
        IF(Import.TipoArredondamento&lt;&gt;"TransfereGOV",
              ROUND(OFFSET($P205,0,AJ$13),15-13*ORÇAMENTO!$AF$7)/$H205*OFFSET(ORÇAMENTO!$X$15,ROW(AJ205)-ROW(AJ$15),0),
              ROUND(ROUND(OFFSET($P205,0,AJ$13),15-13*ORÇAMENTO!$AF$7)*OFFSET(ORÇAMENTO!$W$15,ROW(AJ205)-ROW(AJ$15),0),15-13*ORÇAMENTO!$AF$11)),
         0)</f>
        <v>442.37</v>
      </c>
      <c r="AK205" s="452">
        <f ca="1">IF(AND($D205="Serviço",AK$12&lt;&gt;0,$H205&gt;0,OR(AUTOEVENTO&lt;&gt;"manual",$M205&lt;&gt;$A$15)),
        IF(Import.TipoArredondamento&lt;&gt;"TransfereGOV",
              ROUND(OFFSET($P205,0,AK$13),15-13*ORÇAMENTO!$AF$7)/$H205*OFFSET(ORÇAMENTO!$X$15,ROW(AK205)-ROW(AK$15),0),
              ROUND(ROUND(OFFSET($P205,0,AK$13),15-13*ORÇAMENTO!$AF$7)*OFFSET(ORÇAMENTO!$W$15,ROW(AK205)-ROW(AK$15),0),15-13*ORÇAMENTO!$AF$11)),
         0)</f>
        <v>442.37</v>
      </c>
      <c r="AL205" s="452">
        <f ca="1">IF(AND($D205="Serviço",AL$12&lt;&gt;0,$H205&gt;0,OR(AUTOEVENTO&lt;&gt;"manual",$M205&lt;&gt;$A$15)),
        IF(Import.TipoArredondamento&lt;&gt;"TransfereGOV",
              ROUND(OFFSET($P205,0,AL$13),15-13*ORÇAMENTO!$AF$7)/$H205*OFFSET(ORÇAMENTO!$X$15,ROW(AL205)-ROW(AL$15),0),
              ROUND(ROUND(OFFSET($P205,0,AL$13),15-13*ORÇAMENTO!$AF$7)*OFFSET(ORÇAMENTO!$W$15,ROW(AL205)-ROW(AL$15),0),15-13*ORÇAMENTO!$AF$11)),
         0)</f>
        <v>442.37</v>
      </c>
      <c r="AM205" s="452">
        <f ca="1">IF(AND($D205="Serviço",AM$12&lt;&gt;0,$H205&gt;0,OR(AUTOEVENTO&lt;&gt;"manual",$M205&lt;&gt;$A$15)),
        IF(Import.TipoArredondamento&lt;&gt;"TransfereGOV",
              ROUND(OFFSET($P205,0,AM$13),15-13*ORÇAMENTO!$AF$7)/$H205*OFFSET(ORÇAMENTO!$X$15,ROW(AM205)-ROW(AM$15),0),
              ROUND(ROUND(OFFSET($P205,0,AM$13),15-13*ORÇAMENTO!$AF$7)*OFFSET(ORÇAMENTO!$W$15,ROW(AM205)-ROW(AM$15),0),15-13*ORÇAMENTO!$AF$11)),
         0)</f>
        <v>442.37</v>
      </c>
      <c r="AN205" s="452">
        <f ca="1">IF(AND($D205="Serviço",AN$12&lt;&gt;0,$H205&gt;0,OR(AUTOEVENTO&lt;&gt;"manual",$M205&lt;&gt;$A$15)),
        IF(Import.TipoArredondamento&lt;&gt;"TransfereGOV",
              ROUND(OFFSET($P205,0,AN$13),15-13*ORÇAMENTO!$AF$7)/$H205*OFFSET(ORÇAMENTO!$X$15,ROW(AN205)-ROW(AN$15),0),
              ROUND(ROUND(OFFSET($P205,0,AN$13),15-13*ORÇAMENTO!$AF$7)*OFFSET(ORÇAMENTO!$W$15,ROW(AN205)-ROW(AN$15),0),15-13*ORÇAMENTO!$AF$11)),
         0)</f>
        <v>0</v>
      </c>
      <c r="AO205" s="452">
        <f ca="1">IF(AND($D205="Serviço",AO$12&lt;&gt;0,$H205&gt;0,OR(AUTOEVENTO&lt;&gt;"manual",$M205&lt;&gt;$A$15)),
        IF(Import.TipoArredondamento&lt;&gt;"TransfereGOV",
              ROUND(OFFSET($P205,0,AO$13),15-13*ORÇAMENTO!$AF$7)/$H205*OFFSET(ORÇAMENTO!$X$15,ROW(AO205)-ROW(AO$15),0),
              ROUND(ROUND(OFFSET($P205,0,AO$13),15-13*ORÇAMENTO!$AF$7)*OFFSET(ORÇAMENTO!$W$15,ROW(AO205)-ROW(AO$15),0),15-13*ORÇAMENTO!$AF$11)),
         0)</f>
        <v>0</v>
      </c>
      <c r="AP205" s="452">
        <f ca="1">IF(AND($D205="Serviço",AP$12&lt;&gt;0,$H205&gt;0,OR(AUTOEVENTO&lt;&gt;"manual",$M205&lt;&gt;$A$15)),
        IF(Import.TipoArredondamento&lt;&gt;"TransfereGOV",
              ROUND(OFFSET($P205,0,AP$13),15-13*ORÇAMENTO!$AF$7)/$H205*OFFSET(ORÇAMENTO!$X$15,ROW(AP205)-ROW(AP$15),0),
              ROUND(ROUND(OFFSET($P205,0,AP$13),15-13*ORÇAMENTO!$AF$7)*OFFSET(ORÇAMENTO!$W$15,ROW(AP205)-ROW(AP$15),0),15-13*ORÇAMENTO!$AF$11)),
         0)</f>
        <v>0</v>
      </c>
      <c r="AQ205" s="452">
        <f ca="1">IF(AND($D205="Serviço",AQ$12&lt;&gt;0,$H205&gt;0,OR(AUTOEVENTO&lt;&gt;"manual",$M205&lt;&gt;$A$15)),
        IF(Import.TipoArredondamento&lt;&gt;"TransfereGOV",
              ROUND(OFFSET($P205,0,AQ$13),15-13*ORÇAMENTO!$AF$7)/$H205*OFFSET(ORÇAMENTO!$X$15,ROW(AQ205)-ROW(AQ$15),0),
              ROUND(ROUND(OFFSET($P205,0,AQ$13),15-13*ORÇAMENTO!$AF$7)*OFFSET(ORÇAMENTO!$W$15,ROW(AQ205)-ROW(AQ$15),0),15-13*ORÇAMENTO!$AF$11)),
         0)</f>
        <v>0</v>
      </c>
      <c r="AR205" s="452">
        <f ca="1">IF(AND($D205="Serviço",AR$12&lt;&gt;0,$H205&gt;0,OR(AUTOEVENTO&lt;&gt;"manual",$M205&lt;&gt;$A$15)),
        IF(Import.TipoArredondamento&lt;&gt;"TransfereGOV",
              ROUND(OFFSET($P205,0,AR$13),15-13*ORÇAMENTO!$AF$7)/$H205*OFFSET(ORÇAMENTO!$X$15,ROW(AR205)-ROW(AR$15),0),
              ROUND(ROUND(OFFSET($P205,0,AR$13),15-13*ORÇAMENTO!$AF$7)*OFFSET(ORÇAMENTO!$W$15,ROW(AR205)-ROW(AR$15),0),15-13*ORÇAMENTO!$AF$11)),
         0)</f>
        <v>0</v>
      </c>
      <c r="AS205" s="452">
        <f ca="1">IF(AND($D205="Serviço",AS$12&lt;&gt;0,$H205&gt;0,OR(AUTOEVENTO&lt;&gt;"manual",$M205&lt;&gt;$A$15)),
        IF(Import.TipoArredondamento&lt;&gt;"TransfereGOV",
              ROUND(OFFSET($P205,0,AS$13),15-13*ORÇAMENTO!$AF$7)/$H205*OFFSET(ORÇAMENTO!$X$15,ROW(AS205)-ROW(AS$15),0),
              ROUND(ROUND(OFFSET($P205,0,AS$13),15-13*ORÇAMENTO!$AF$7)*OFFSET(ORÇAMENTO!$W$15,ROW(AS205)-ROW(AS$15),0),15-13*ORÇAMENTO!$AF$11)),
         0)</f>
        <v>0</v>
      </c>
      <c r="AT205" s="452">
        <f ca="1">IF(AND($D205="Serviço",AT$12&lt;&gt;0,$H205&gt;0,OR(AUTOEVENTO&lt;&gt;"manual",$M205&lt;&gt;$A$15)),
        IF(Import.TipoArredondamento&lt;&gt;"TransfereGOV",
              ROUND(OFFSET($P205,0,AT$13),15-13*ORÇAMENTO!$AF$7)/$H205*OFFSET(ORÇAMENTO!$X$15,ROW(AT205)-ROW(AT$15),0),
              ROUND(ROUND(OFFSET($P205,0,AT$13),15-13*ORÇAMENTO!$AF$7)*OFFSET(ORÇAMENTO!$W$15,ROW(AT205)-ROW(AT$15),0),15-13*ORÇAMENTO!$AF$11)),
         0)</f>
        <v>0</v>
      </c>
      <c r="AU205" s="452">
        <f ca="1">IF(AND($D205="Serviço",AU$12&lt;&gt;0,$H205&gt;0,OR(AUTOEVENTO&lt;&gt;"manual",$M205&lt;&gt;$A$15)),
        IF(Import.TipoArredondamento&lt;&gt;"TransfereGOV",
              ROUND(OFFSET($P205,0,AU$13),15-13*ORÇAMENTO!$AF$7)/$H205*OFFSET(ORÇAMENTO!$X$15,ROW(AU205)-ROW(AU$15),0),
              ROUND(ROUND(OFFSET($P205,0,AU$13),15-13*ORÇAMENTO!$AF$7)*OFFSET(ORÇAMENTO!$W$15,ROW(AU205)-ROW(AU$15),0),15-13*ORÇAMENTO!$AF$11)),
         0)</f>
        <v>0</v>
      </c>
      <c r="AV205" s="452">
        <f ca="1">IF(AND($D205="Serviço",AV$12&lt;&gt;0,$H205&gt;0,OR(AUTOEVENTO&lt;&gt;"manual",$M205&lt;&gt;$A$15)),
        IF(Import.TipoArredondamento&lt;&gt;"TransfereGOV",
              ROUND(OFFSET($P205,0,AV$13),15-13*ORÇAMENTO!$AF$7)/$H205*OFFSET(ORÇAMENTO!$X$15,ROW(AV205)-ROW(AV$15),0),
              ROUND(ROUND(OFFSET($P205,0,AV$13),15-13*ORÇAMENTO!$AF$7)*OFFSET(ORÇAMENTO!$W$15,ROW(AV205)-ROW(AV$15),0),15-13*ORÇAMENTO!$AF$11)),
         0)</f>
        <v>0</v>
      </c>
      <c r="AW205" s="452">
        <f ca="1">IF(AND($D205="Serviço",AW$12&lt;&gt;0,$H205&gt;0,OR(AUTOEVENTO&lt;&gt;"manual",$M205&lt;&gt;$A$15)),
        IF(Import.TipoArredondamento&lt;&gt;"TransfereGOV",
              ROUND(OFFSET($P205,0,AW$13),15-13*ORÇAMENTO!$AF$7)/$H205*OFFSET(ORÇAMENTO!$X$15,ROW(AW205)-ROW(AW$15),0),
              ROUND(ROUND(OFFSET($P205,0,AW$13),15-13*ORÇAMENTO!$AF$7)*OFFSET(ORÇAMENTO!$W$15,ROW(AW205)-ROW(AW$15),0),15-13*ORÇAMENTO!$AF$11)),
         0)</f>
        <v>0</v>
      </c>
      <c r="AX205" s="452">
        <f ca="1">IF(AND($D205="Serviço",AX$12&lt;&gt;0,$H205&gt;0,OR(AUTOEVENTO&lt;&gt;"manual",$M205&lt;&gt;$A$15)),
        IF(Import.TipoArredondamento&lt;&gt;"TransfereGOV",
              ROUND(OFFSET($P205,0,AX$13),15-13*ORÇAMENTO!$AF$7)/$H205*OFFSET(ORÇAMENTO!$X$15,ROW(AX205)-ROW(AX$15),0),
              ROUND(ROUND(OFFSET($P205,0,AX$13),15-13*ORÇAMENTO!$AF$7)*OFFSET(ORÇAMENTO!$W$15,ROW(AX205)-ROW(AX$15),0),15-13*ORÇAMENTO!$AF$11)),
         0)</f>
        <v>0</v>
      </c>
      <c r="AY205" s="452">
        <f ca="1">IF(AND($D205="Serviço",AY$12&lt;&gt;0,$H205&gt;0,OR(AUTOEVENTO&lt;&gt;"manual",$M205&lt;&gt;$A$15)),
        IF(Import.TipoArredondamento&lt;&gt;"TransfereGOV",
              ROUND(OFFSET($P205,0,AY$13),15-13*ORÇAMENTO!$AF$7)/$H205*OFFSET(ORÇAMENTO!$X$15,ROW(AY205)-ROW(AY$15),0),
              ROUND(ROUND(OFFSET($P205,0,AY$13),15-13*ORÇAMENTO!$AF$7)*OFFSET(ORÇAMENTO!$W$15,ROW(AY205)-ROW(AY$15),0),15-13*ORÇAMENTO!$AF$11)),
         0)</f>
        <v>0</v>
      </c>
      <c r="AZ205" s="452">
        <f ca="1">IF(AND($D205="Serviço",AZ$12&lt;&gt;0,$H205&gt;0,OR(AUTOEVENTO&lt;&gt;"manual",$M205&lt;&gt;$A$15)),
        IF(Import.TipoArredondamento&lt;&gt;"TransfereGOV",
              ROUND(OFFSET($P205,0,AZ$13),15-13*ORÇAMENTO!$AF$7)/$H205*OFFSET(ORÇAMENTO!$X$15,ROW(AZ205)-ROW(AZ$15),0),
              ROUND(ROUND(OFFSET($P205,0,AZ$13),15-13*ORÇAMENTO!$AF$7)*OFFSET(ORÇAMENTO!$W$15,ROW(AZ205)-ROW(AZ$15),0),15-13*ORÇAMENTO!$AF$11)),
         0)</f>
        <v>0</v>
      </c>
      <c r="BA205" s="452">
        <f ca="1">IF(AND($D205="Serviço",BA$12&lt;&gt;0,$H205&gt;0,OR(AUTOEVENTO&lt;&gt;"manual",$M205&lt;&gt;$A$15)),
        IF(Import.TipoArredondamento&lt;&gt;"TransfereGOV",
              ROUND(OFFSET($P205,0,BA$13),15-13*ORÇAMENTO!$AF$7)/$H205*OFFSET(ORÇAMENTO!$X$15,ROW(BA205)-ROW(BA$15),0),
              ROUND(ROUND(OFFSET($P205,0,BA$13),15-13*ORÇAMENTO!$AF$7)*OFFSET(ORÇAMENTO!$W$15,ROW(BA205)-ROW(BA$15),0),15-13*ORÇAMENTO!$AF$11)),
         0)</f>
        <v>0</v>
      </c>
      <c r="BC205" s="171">
        <f ca="1">IF(OR($D205&lt;&gt;"Serviço",AND(AUTOEVENTO="Manual",$M205=$A$15)),0,
         IF(OFFSET(CRONOPLE!$F$15,$M205-$A$15,BC$13)=0,10^12,OFFSET(CRONOPLE!$F$15,$M205-$A$15,BC$13)))</f>
        <v>5</v>
      </c>
      <c r="BD205" s="171">
        <f ca="1">IF(OR($D205&lt;&gt;"Serviço",AND(AUTOEVENTO="Manual",$M205=$A$15)),0,
         IF(OFFSET(CRONOPLE!$F$15,$M205-$A$15,BD$13)=0,10^12,OFFSET(CRONOPLE!$F$15,$M205-$A$15,BD$13)))</f>
        <v>5</v>
      </c>
      <c r="BE205" s="171">
        <f ca="1">IF(OR($D205&lt;&gt;"Serviço",AND(AUTOEVENTO="Manual",$M205=$A$15)),0,
         IF(OFFSET(CRONOPLE!$F$15,$M205-$A$15,BE$13)=0,10^12,OFFSET(CRONOPLE!$F$15,$M205-$A$15,BE$13)))</f>
        <v>6</v>
      </c>
      <c r="BF205" s="171">
        <f ca="1">IF(OR($D205&lt;&gt;"Serviço",AND(AUTOEVENTO="Manual",$M205=$A$15)),0,
         IF(OFFSET(CRONOPLE!$F$15,$M205-$A$15,BF$13)=0,10^12,OFFSET(CRONOPLE!$F$15,$M205-$A$15,BF$13)))</f>
        <v>6</v>
      </c>
      <c r="BG205" s="171">
        <f ca="1">IF(OR($D205&lt;&gt;"Serviço",AND(AUTOEVENTO="Manual",$M205=$A$15)),0,
         IF(OFFSET(CRONOPLE!$F$15,$M205-$A$15,BG$13)=0,10^12,OFFSET(CRONOPLE!$F$15,$M205-$A$15,BG$13)))</f>
        <v>6</v>
      </c>
      <c r="BH205" s="171">
        <f ca="1">IF(OR($D205&lt;&gt;"Serviço",AND(AUTOEVENTO="Manual",$M205=$A$15)),0,
         IF(OFFSET(CRONOPLE!$F$15,$M205-$A$15,BH$13)=0,10^12,OFFSET(CRONOPLE!$F$15,$M205-$A$15,BH$13)))</f>
        <v>1000000000000</v>
      </c>
      <c r="BI205" s="171">
        <f ca="1">IF(OR($D205&lt;&gt;"Serviço",AND(AUTOEVENTO="Manual",$M205=$A$15)),0,
         IF(OFFSET(CRONOPLE!$F$15,$M205-$A$15,BI$13)=0,10^12,OFFSET(CRONOPLE!$F$15,$M205-$A$15,BI$13)))</f>
        <v>1000000000000</v>
      </c>
      <c r="BJ205" s="171">
        <f ca="1">IF(OR($D205&lt;&gt;"Serviço",AND(AUTOEVENTO="Manual",$M205=$A$15)),0,
         IF(OFFSET(CRONOPLE!$F$15,$M205-$A$15,BJ$13)=0,10^12,OFFSET(CRONOPLE!$F$15,$M205-$A$15,BJ$13)))</f>
        <v>1000000000000</v>
      </c>
      <c r="BK205" s="171">
        <f ca="1">IF(OR($D205&lt;&gt;"Serviço",AND(AUTOEVENTO="Manual",$M205=$A$15)),0,
         IF(OFFSET(CRONOPLE!$F$15,$M205-$A$15,BK$13)=0,10^12,OFFSET(CRONOPLE!$F$15,$M205-$A$15,BK$13)))</f>
        <v>9</v>
      </c>
      <c r="BL205" s="171">
        <f ca="1">IF(OR($D205&lt;&gt;"Serviço",AND(AUTOEVENTO="Manual",$M205=$A$15)),0,
         IF(OFFSET(CRONOPLE!$F$15,$M205-$A$15,BL$13)=0,10^12,OFFSET(CRONOPLE!$F$15,$M205-$A$15,BL$13)))</f>
        <v>1000000000000</v>
      </c>
      <c r="BM205" s="171">
        <f ca="1">IF(OR($D205&lt;&gt;"Serviço",AND(AUTOEVENTO="Manual",$M205=$A$15)),0,
         IF(OFFSET(CRONOPLE!$F$15,$M205-$A$15,BM$13)=0,10^12,OFFSET(CRONOPLE!$F$15,$M205-$A$15,BM$13)))</f>
        <v>1000000000000</v>
      </c>
      <c r="BN205" s="171">
        <f ca="1">IF(OR($D205&lt;&gt;"Serviço",AND(AUTOEVENTO="Manual",$M205=$A$15)),0,
         IF(OFFSET(CRONOPLE!$F$15,$M205-$A$15,BN$13)=0,10^12,OFFSET(CRONOPLE!$F$15,$M205-$A$15,BN$13)))</f>
        <v>1000000000000</v>
      </c>
      <c r="BO205" s="171">
        <f ca="1">IF(OR($D205&lt;&gt;"Serviço",AND(AUTOEVENTO="Manual",$M205=$A$15)),0,
         IF(OFFSET(CRONOPLE!$F$15,$M205-$A$15,BO$13)=0,10^12,OFFSET(CRONOPLE!$F$15,$M205-$A$15,BO$13)))</f>
        <v>1000000000000</v>
      </c>
      <c r="BP205" s="171">
        <f ca="1">IF(OR($D205&lt;&gt;"Serviço",AND(AUTOEVENTO="Manual",$M205=$A$15)),0,
         IF(OFFSET(CRONOPLE!$F$15,$M205-$A$15,BP$13)=0,10^12,OFFSET(CRONOPLE!$F$15,$M205-$A$15,BP$13)))</f>
        <v>1000000000000</v>
      </c>
      <c r="BQ205" s="171">
        <f ca="1">IF(OR($D205&lt;&gt;"Serviço",AND(AUTOEVENTO="Manual",$M205=$A$15)),0,
         IF(OFFSET(CRONOPLE!$F$15,$M205-$A$15,BQ$13)=0,10^12,OFFSET(CRONOPLE!$F$15,$M205-$A$15,BQ$13)))</f>
        <v>1000000000000</v>
      </c>
      <c r="BR205" s="171">
        <f ca="1">IF(OR($D205&lt;&gt;"Serviço",AND(AUTOEVENTO="Manual",$M205=$A$15)),0,
         IF(OFFSET(CRONOPLE!$F$15,$M205-$A$15,BR$13)=0,10^12,OFFSET(CRONOPLE!$F$15,$M205-$A$15,BR$13)))</f>
        <v>1000000000000</v>
      </c>
      <c r="BS205" s="171">
        <f ca="1">IF(OR($D205&lt;&gt;"Serviço",AND(AUTOEVENTO="Manual",$M205=$A$15)),0,
         IF(OFFSET(CRONOPLE!$F$15,$M205-$A$15,BS$13)=0,10^12,OFFSET(CRONOPLE!$F$15,$M205-$A$15,BS$13)))</f>
        <v>1000000000000</v>
      </c>
      <c r="BT205" s="171">
        <f ca="1">IF(OR($D205&lt;&gt;"Serviço",AND(AUTOEVENTO="Manual",$M205=$A$15)),0,
         IF(OFFSET(CRONOPLE!$F$15,$M205-$A$15,BT$13)=0,10^12,OFFSET(CRONOPLE!$F$15,$M205-$A$15,BT$13)))</f>
        <v>1000000000000</v>
      </c>
      <c r="BV205" s="172">
        <f t="array" aca="1" ref="BV205" ca="1">IF(OR($D205&lt;&gt;"Serviço",AND(AUTOEVENTO="Manual",$M205=$A$15),$M205&gt;(ROW(PLE.lastrow)-ROW(PLE.firstrow))),0,
           IF(OFFSET(PLE!$G$15,$M205-$A$15,BV$13)="",10^12,OFFSET(PLE!$G$15,$M205-$A$15,BV$13)))</f>
        <v>1000000000000</v>
      </c>
      <c r="BW205" s="172">
        <f t="array" aca="1" ref="BW205" ca="1">IF(OR($D205&lt;&gt;"Serviço",AND(AUTOEVENTO="Manual",$M205=$A$15),$M205&gt;(ROW(PLE.lastrow)-ROW(PLE.firstrow))),0,
           IF(OFFSET(PLE!$G$15,$M205-$A$15,BW$13)="",10^12,OFFSET(PLE!$G$15,$M205-$A$15,BW$13)))</f>
        <v>1000000000000</v>
      </c>
      <c r="BX205" s="172">
        <f t="array" aca="1" ref="BX205" ca="1">IF(OR($D205&lt;&gt;"Serviço",AND(AUTOEVENTO="Manual",$M205=$A$15),$M205&gt;(ROW(PLE.lastrow)-ROW(PLE.firstrow))),0,
           IF(OFFSET(PLE!$G$15,$M205-$A$15,BX$13)="",10^12,OFFSET(PLE!$G$15,$M205-$A$15,BX$13)))</f>
        <v>1000000000000</v>
      </c>
      <c r="BY205" s="172">
        <f t="array" aca="1" ref="BY205" ca="1">IF(OR($D205&lt;&gt;"Serviço",AND(AUTOEVENTO="Manual",$M205=$A$15),$M205&gt;(ROW(PLE.lastrow)-ROW(PLE.firstrow))),0,
           IF(OFFSET(PLE!$G$15,$M205-$A$15,BY$13)="",10^12,OFFSET(PLE!$G$15,$M205-$A$15,BY$13)))</f>
        <v>1000000000000</v>
      </c>
      <c r="BZ205" s="172">
        <f t="array" aca="1" ref="BZ205" ca="1">IF(OR($D205&lt;&gt;"Serviço",AND(AUTOEVENTO="Manual",$M205=$A$15),$M205&gt;(ROW(PLE.lastrow)-ROW(PLE.firstrow))),0,
           IF(OFFSET(PLE!$G$15,$M205-$A$15,BZ$13)="",10^12,OFFSET(PLE!$G$15,$M205-$A$15,BZ$13)))</f>
        <v>1000000000000</v>
      </c>
      <c r="CA205" s="172">
        <f t="array" aca="1" ref="CA205" ca="1">IF(OR($D205&lt;&gt;"Serviço",AND(AUTOEVENTO="Manual",$M205=$A$15),$M205&gt;(ROW(PLE.lastrow)-ROW(PLE.firstrow))),0,
           IF(OFFSET(PLE!$G$15,$M205-$A$15,CA$13)="",10^12,OFFSET(PLE!$G$15,$M205-$A$15,CA$13)))</f>
        <v>1000000000000</v>
      </c>
      <c r="CB205" s="172">
        <f t="array" aca="1" ref="CB205" ca="1">IF(OR($D205&lt;&gt;"Serviço",AND(AUTOEVENTO="Manual",$M205=$A$15),$M205&gt;(ROW(PLE.lastrow)-ROW(PLE.firstrow))),0,
           IF(OFFSET(PLE!$G$15,$M205-$A$15,CB$13)="",10^12,OFFSET(PLE!$G$15,$M205-$A$15,CB$13)))</f>
        <v>1000000000000</v>
      </c>
      <c r="CC205" s="172">
        <f t="array" aca="1" ref="CC205" ca="1">IF(OR($D205&lt;&gt;"Serviço",AND(AUTOEVENTO="Manual",$M205=$A$15),$M205&gt;(ROW(PLE.lastrow)-ROW(PLE.firstrow))),0,
           IF(OFFSET(PLE!$G$15,$M205-$A$15,CC$13)="",10^12,OFFSET(PLE!$G$15,$M205-$A$15,CC$13)))</f>
        <v>1000000000000</v>
      </c>
      <c r="CD205" s="172">
        <f t="array" aca="1" ref="CD205" ca="1">IF(OR($D205&lt;&gt;"Serviço",AND(AUTOEVENTO="Manual",$M205=$A$15),$M205&gt;(ROW(PLE.lastrow)-ROW(PLE.firstrow))),0,
           IF(OFFSET(PLE!$G$15,$M205-$A$15,CD$13)="",10^12,OFFSET(PLE!$G$15,$M205-$A$15,CD$13)))</f>
        <v>1000000000000</v>
      </c>
      <c r="CE205" s="172">
        <f t="array" aca="1" ref="CE205" ca="1">IF(OR($D205&lt;&gt;"Serviço",AND(AUTOEVENTO="Manual",$M205=$A$15),$M205&gt;(ROW(PLE.lastrow)-ROW(PLE.firstrow))),0,
           IF(OFFSET(PLE!$G$15,$M205-$A$15,CE$13)="",10^12,OFFSET(PLE!$G$15,$M205-$A$15,CE$13)))</f>
        <v>1000000000000</v>
      </c>
      <c r="CF205" s="172">
        <f t="array" aca="1" ref="CF205" ca="1">IF(OR($D205&lt;&gt;"Serviço",AND(AUTOEVENTO="Manual",$M205=$A$15),$M205&gt;(ROW(PLE.lastrow)-ROW(PLE.firstrow))),0,
           IF(OFFSET(PLE!$G$15,$M205-$A$15,CF$13)="",10^12,OFFSET(PLE!$G$15,$M205-$A$15,CF$13)))</f>
        <v>1000000000000</v>
      </c>
      <c r="CG205" s="172">
        <f t="array" aca="1" ref="CG205" ca="1">IF(OR($D205&lt;&gt;"Serviço",AND(AUTOEVENTO="Manual",$M205=$A$15),$M205&gt;(ROW(PLE.lastrow)-ROW(PLE.firstrow))),0,
           IF(OFFSET(PLE!$G$15,$M205-$A$15,CG$13)="",10^12,OFFSET(PLE!$G$15,$M205-$A$15,CG$13)))</f>
        <v>1000000000000</v>
      </c>
      <c r="CH205" s="172">
        <f t="array" aca="1" ref="CH205" ca="1">IF(OR($D205&lt;&gt;"Serviço",AND(AUTOEVENTO="Manual",$M205=$A$15),$M205&gt;(ROW(PLE.lastrow)-ROW(PLE.firstrow))),0,
           IF(OFFSET(PLE!$G$15,$M205-$A$15,CH$13)="",10^12,OFFSET(PLE!$G$15,$M205-$A$15,CH$13)))</f>
        <v>1000000000000</v>
      </c>
      <c r="CI205" s="172">
        <f t="array" aca="1" ref="CI205" ca="1">IF(OR($D205&lt;&gt;"Serviço",AND(AUTOEVENTO="Manual",$M205=$A$15),$M205&gt;(ROW(PLE.lastrow)-ROW(PLE.firstrow))),0,
           IF(OFFSET(PLE!$G$15,$M205-$A$15,CI$13)="",10^12,OFFSET(PLE!$G$15,$M205-$A$15,CI$13)))</f>
        <v>1000000000000</v>
      </c>
      <c r="CJ205" s="172">
        <f t="array" aca="1" ref="CJ205" ca="1">IF(OR($D205&lt;&gt;"Serviço",AND(AUTOEVENTO="Manual",$M205=$A$15),$M205&gt;(ROW(PLE.lastrow)-ROW(PLE.firstrow))),0,
           IF(OFFSET(PLE!$G$15,$M205-$A$15,CJ$13)="",10^12,OFFSET(PLE!$G$15,$M205-$A$15,CJ$13)))</f>
        <v>1000000000000</v>
      </c>
      <c r="CK205" s="172">
        <f t="array" aca="1" ref="CK205" ca="1">IF(OR($D205&lt;&gt;"Serviço",AND(AUTOEVENTO="Manual",$M205=$A$15),$M205&gt;(ROW(PLE.lastrow)-ROW(PLE.firstrow))),0,
           IF(OFFSET(PLE!$G$15,$M205-$A$15,CK$13)="",10^12,OFFSET(PLE!$G$15,$M205-$A$15,CK$13)))</f>
        <v>1000000000000</v>
      </c>
      <c r="CL205" s="172">
        <f t="array" aca="1" ref="CL205" ca="1">IF(OR($D205&lt;&gt;"Serviço",AND(AUTOEVENTO="Manual",$M205=$A$15),$M205&gt;(ROW(PLE.lastrow)-ROW(PLE.firstrow))),0,
           IF(OFFSET(PLE!$G$15,$M205-$A$15,CL$13)="",10^12,OFFSET(PLE!$G$15,$M205-$A$15,CL$13)))</f>
        <v>1000000000000</v>
      </c>
      <c r="CM205" s="172">
        <f t="array" aca="1" ref="CM205" ca="1">IF(OR($D205&lt;&gt;"Serviço",AND(AUTOEVENTO="Manual",$M205=$A$15),$M205&gt;(ROW(PLE.lastrow)-ROW(PLE.firstrow))),0,
           IF(OFFSET(PLE!$G$15,$M205-$A$15,CM$13)="",10^12,OFFSET(PLE!$G$15,$M205-$A$15,CM$13)))</f>
        <v>1000000000000</v>
      </c>
    </row>
    <row r="206" spans="1:91" s="696" customFormat="1" ht="63.75" x14ac:dyDescent="0.2">
      <c r="A206" s="694">
        <f t="shared" ca="1" si="98"/>
        <v>31</v>
      </c>
      <c r="B206" s="694" t="str">
        <f ca="1">OFFSET(ORÇAMENTO!C$15,$L206,0)</f>
        <v>S</v>
      </c>
      <c r="C206" s="694" t="str">
        <f ca="1">OFFSET(ORÇAMENTO!L$15,$L206,0)</f>
        <v>F</v>
      </c>
      <c r="D206" s="116" t="str">
        <f ca="1">OFFSET(ORÇAMENTO!N$15,$L206,0)</f>
        <v>Serviço</v>
      </c>
      <c r="E206" s="117" t="str">
        <f ca="1">OFFSET(ORÇAMENTO!O$15,$L206,0)</f>
        <v>1.30.10.</v>
      </c>
      <c r="F206" s="163" t="str">
        <f ca="1">OFFSET(ORÇAMENTO!R$15,$L206,0)</f>
        <v>TUBO PVC, SERIE NORMAL, ESGOTO PREDIAL, DN 50 MM, FORNECIDO E INSTALADO EM RAMAL DE DESCARGA OU RAMAL DE ESGOTO SANITÁRIO. AF_08/2022</v>
      </c>
      <c r="G206" s="164" t="str">
        <f ca="1">IF($D206&lt;&gt;"Serviço","",OFFSET(ORÇAMENTO!S$15,$L206,0))</f>
        <v>M</v>
      </c>
      <c r="H206" s="122">
        <f t="array" aca="1" ref="H206" ca="1">IF($D206&lt;&gt;"Serviço",0,IF(ACOMPANHAMENTO="BM",ROUND(OFFSET(ORÇAMENTO!AJ$15,$L206,0),15-13*ORÇAMENTO!$AF$7),IF(IFERROR(CÁLCULO.FrentesPreenchidas,0)=0,0,SUM(ROUND(OFFSET($P206,0,1,1,CÁLCULO.FrentesPreenchidas),15-13*ORÇAMENTO!$AF$7)))))</f>
        <v>204.2</v>
      </c>
      <c r="I206" s="467" t="s">
        <v>1334</v>
      </c>
      <c r="J206" s="653" t="str">
        <f t="array" aca="1" ref="J206" ca="1">IF(OR(B206&lt;&gt;"S",CÁLCULO.FrentesPreenchidas=0),"",IF(AND(ACOMPANHAMENTO="PLE",AUTOEVENTO="Manual",OR(H206&gt;0,ORÇAMENTO!AC206="QUANT."),OR(K206="",M206=0,N206="")),"►E",IF(AND(ACOMPANHAMENTO="PLE",ORÇAMENTO!AC206="QUANT."),"►Q",IF(AND(ACOMPANHAMENTO="PLE",H206&lt;&gt;SUMPRODUCT(($Q$1:$AI$1=1)*ROUND(Q206:AI206,15))),"►S",IF(AND(COUNTIF($P$11:$AI$11,"▼")=0,H206&gt;0,I206=""),"◄M","")))))</f>
        <v/>
      </c>
      <c r="K206" s="654" t="s">
        <v>1447</v>
      </c>
      <c r="L206" s="165">
        <f t="shared" ca="1" si="99"/>
        <v>191</v>
      </c>
      <c r="M206" s="166">
        <f ca="1">IF($D206&lt;&gt;"Serviço","",
          IF(AUTOEVENTO="manual",$A206,
                IF(ISERROR(MATCH($A206,$A$15:OFFSET($A206,-1,0),0)),MAX($M$15:OFFSET(M206,-1,0))+1,
                      INDEX($M$15:OFFSET(M206,-1,0),MATCH($A206,$A$15:OFFSET($A206,-1,0),0)))))</f>
        <v>31</v>
      </c>
      <c r="N206" s="167" t="str">
        <f ca="1">IF($D206&lt;&gt;"Serviço","",
         IF(AUTOEVENTO="Manual",
                IF($A206=0,"&lt;-- defina o número do agrupador",
                       OFFSET(EVENTOS!$D$15,$A206-$A$15,0)),
                OFFSET($F$15,$A206,0)))</f>
        <v>REDE PLUVIAL E ESGOTO</v>
      </c>
      <c r="O206" s="168"/>
      <c r="Q206" s="169">
        <f>10.21*5</f>
        <v>51.050000000000004</v>
      </c>
      <c r="R206" s="169">
        <f t="shared" ref="R206:T206" si="101">10.21*5</f>
        <v>51.050000000000004</v>
      </c>
      <c r="S206" s="169">
        <f t="shared" si="101"/>
        <v>51.050000000000004</v>
      </c>
      <c r="T206" s="169">
        <f t="shared" si="101"/>
        <v>51.050000000000004</v>
      </c>
      <c r="U206" s="169"/>
      <c r="V206" s="169"/>
      <c r="W206" s="169"/>
      <c r="X206" s="169"/>
      <c r="Y206" s="169"/>
      <c r="Z206" s="170"/>
      <c r="AA206" s="169"/>
      <c r="AB206" s="169"/>
      <c r="AC206" s="169"/>
      <c r="AD206" s="169"/>
      <c r="AE206" s="169"/>
      <c r="AF206" s="169"/>
      <c r="AG206" s="169"/>
      <c r="AH206" s="170"/>
      <c r="AJ206" s="452">
        <f ca="1">IF(AND($D206="Serviço",AJ$12&lt;&gt;0,$H206&gt;0,OR(AUTOEVENTO&lt;&gt;"manual",$M206&lt;&gt;$A$15)),
        IF(Import.TipoArredondamento&lt;&gt;"TransfereGOV",
              ROUND(OFFSET($P206,0,AJ$13),15-13*ORÇAMENTO!$AF$7)/$H206*OFFSET(ORÇAMENTO!$X$15,ROW(AJ206)-ROW(AJ$15),0),
              ROUND(ROUND(OFFSET($P206,0,AJ$13),15-13*ORÇAMENTO!$AF$7)*OFFSET(ORÇAMENTO!$W$15,ROW(AJ206)-ROW(AJ$15),0),15-13*ORÇAMENTO!$AF$11)),
         0)</f>
        <v>1698.43</v>
      </c>
      <c r="AK206" s="452">
        <f ca="1">IF(AND($D206="Serviço",AK$12&lt;&gt;0,$H206&gt;0,OR(AUTOEVENTO&lt;&gt;"manual",$M206&lt;&gt;$A$15)),
        IF(Import.TipoArredondamento&lt;&gt;"TransfereGOV",
              ROUND(OFFSET($P206,0,AK$13),15-13*ORÇAMENTO!$AF$7)/$H206*OFFSET(ORÇAMENTO!$X$15,ROW(AK206)-ROW(AK$15),0),
              ROUND(ROUND(OFFSET($P206,0,AK$13),15-13*ORÇAMENTO!$AF$7)*OFFSET(ORÇAMENTO!$W$15,ROW(AK206)-ROW(AK$15),0),15-13*ORÇAMENTO!$AF$11)),
         0)</f>
        <v>1698.43</v>
      </c>
      <c r="AL206" s="452">
        <f ca="1">IF(AND($D206="Serviço",AL$12&lt;&gt;0,$H206&gt;0,OR(AUTOEVENTO&lt;&gt;"manual",$M206&lt;&gt;$A$15)),
        IF(Import.TipoArredondamento&lt;&gt;"TransfereGOV",
              ROUND(OFFSET($P206,0,AL$13),15-13*ORÇAMENTO!$AF$7)/$H206*OFFSET(ORÇAMENTO!$X$15,ROW(AL206)-ROW(AL$15),0),
              ROUND(ROUND(OFFSET($P206,0,AL$13),15-13*ORÇAMENTO!$AF$7)*OFFSET(ORÇAMENTO!$W$15,ROW(AL206)-ROW(AL$15),0),15-13*ORÇAMENTO!$AF$11)),
         0)</f>
        <v>1698.43</v>
      </c>
      <c r="AM206" s="452">
        <f ca="1">IF(AND($D206="Serviço",AM$12&lt;&gt;0,$H206&gt;0,OR(AUTOEVENTO&lt;&gt;"manual",$M206&lt;&gt;$A$15)),
        IF(Import.TipoArredondamento&lt;&gt;"TransfereGOV",
              ROUND(OFFSET($P206,0,AM$13),15-13*ORÇAMENTO!$AF$7)/$H206*OFFSET(ORÇAMENTO!$X$15,ROW(AM206)-ROW(AM$15),0),
              ROUND(ROUND(OFFSET($P206,0,AM$13),15-13*ORÇAMENTO!$AF$7)*OFFSET(ORÇAMENTO!$W$15,ROW(AM206)-ROW(AM$15),0),15-13*ORÇAMENTO!$AF$11)),
         0)</f>
        <v>1698.43</v>
      </c>
      <c r="AN206" s="452">
        <f ca="1">IF(AND($D206="Serviço",AN$12&lt;&gt;0,$H206&gt;0,OR(AUTOEVENTO&lt;&gt;"manual",$M206&lt;&gt;$A$15)),
        IF(Import.TipoArredondamento&lt;&gt;"TransfereGOV",
              ROUND(OFFSET($P206,0,AN$13),15-13*ORÇAMENTO!$AF$7)/$H206*OFFSET(ORÇAMENTO!$X$15,ROW(AN206)-ROW(AN$15),0),
              ROUND(ROUND(OFFSET($P206,0,AN$13),15-13*ORÇAMENTO!$AF$7)*OFFSET(ORÇAMENTO!$W$15,ROW(AN206)-ROW(AN$15),0),15-13*ORÇAMENTO!$AF$11)),
         0)</f>
        <v>0</v>
      </c>
      <c r="AO206" s="452">
        <f ca="1">IF(AND($D206="Serviço",AO$12&lt;&gt;0,$H206&gt;0,OR(AUTOEVENTO&lt;&gt;"manual",$M206&lt;&gt;$A$15)),
        IF(Import.TipoArredondamento&lt;&gt;"TransfereGOV",
              ROUND(OFFSET($P206,0,AO$13),15-13*ORÇAMENTO!$AF$7)/$H206*OFFSET(ORÇAMENTO!$X$15,ROW(AO206)-ROW(AO$15),0),
              ROUND(ROUND(OFFSET($P206,0,AO$13),15-13*ORÇAMENTO!$AF$7)*OFFSET(ORÇAMENTO!$W$15,ROW(AO206)-ROW(AO$15),0),15-13*ORÇAMENTO!$AF$11)),
         0)</f>
        <v>0</v>
      </c>
      <c r="AP206" s="452">
        <f ca="1">IF(AND($D206="Serviço",AP$12&lt;&gt;0,$H206&gt;0,OR(AUTOEVENTO&lt;&gt;"manual",$M206&lt;&gt;$A$15)),
        IF(Import.TipoArredondamento&lt;&gt;"TransfereGOV",
              ROUND(OFFSET($P206,0,AP$13),15-13*ORÇAMENTO!$AF$7)/$H206*OFFSET(ORÇAMENTO!$X$15,ROW(AP206)-ROW(AP$15),0),
              ROUND(ROUND(OFFSET($P206,0,AP$13),15-13*ORÇAMENTO!$AF$7)*OFFSET(ORÇAMENTO!$W$15,ROW(AP206)-ROW(AP$15),0),15-13*ORÇAMENTO!$AF$11)),
         0)</f>
        <v>0</v>
      </c>
      <c r="AQ206" s="452">
        <f ca="1">IF(AND($D206="Serviço",AQ$12&lt;&gt;0,$H206&gt;0,OR(AUTOEVENTO&lt;&gt;"manual",$M206&lt;&gt;$A$15)),
        IF(Import.TipoArredondamento&lt;&gt;"TransfereGOV",
              ROUND(OFFSET($P206,0,AQ$13),15-13*ORÇAMENTO!$AF$7)/$H206*OFFSET(ORÇAMENTO!$X$15,ROW(AQ206)-ROW(AQ$15),0),
              ROUND(ROUND(OFFSET($P206,0,AQ$13),15-13*ORÇAMENTO!$AF$7)*OFFSET(ORÇAMENTO!$W$15,ROW(AQ206)-ROW(AQ$15),0),15-13*ORÇAMENTO!$AF$11)),
         0)</f>
        <v>0</v>
      </c>
      <c r="AR206" s="452">
        <f ca="1">IF(AND($D206="Serviço",AR$12&lt;&gt;0,$H206&gt;0,OR(AUTOEVENTO&lt;&gt;"manual",$M206&lt;&gt;$A$15)),
        IF(Import.TipoArredondamento&lt;&gt;"TransfereGOV",
              ROUND(OFFSET($P206,0,AR$13),15-13*ORÇAMENTO!$AF$7)/$H206*OFFSET(ORÇAMENTO!$X$15,ROW(AR206)-ROW(AR$15),0),
              ROUND(ROUND(OFFSET($P206,0,AR$13),15-13*ORÇAMENTO!$AF$7)*OFFSET(ORÇAMENTO!$W$15,ROW(AR206)-ROW(AR$15),0),15-13*ORÇAMENTO!$AF$11)),
         0)</f>
        <v>0</v>
      </c>
      <c r="AS206" s="452">
        <f ca="1">IF(AND($D206="Serviço",AS$12&lt;&gt;0,$H206&gt;0,OR(AUTOEVENTO&lt;&gt;"manual",$M206&lt;&gt;$A$15)),
        IF(Import.TipoArredondamento&lt;&gt;"TransfereGOV",
              ROUND(OFFSET($P206,0,AS$13),15-13*ORÇAMENTO!$AF$7)/$H206*OFFSET(ORÇAMENTO!$X$15,ROW(AS206)-ROW(AS$15),0),
              ROUND(ROUND(OFFSET($P206,0,AS$13),15-13*ORÇAMENTO!$AF$7)*OFFSET(ORÇAMENTO!$W$15,ROW(AS206)-ROW(AS$15),0),15-13*ORÇAMENTO!$AF$11)),
         0)</f>
        <v>0</v>
      </c>
      <c r="AT206" s="452">
        <f ca="1">IF(AND($D206="Serviço",AT$12&lt;&gt;0,$H206&gt;0,OR(AUTOEVENTO&lt;&gt;"manual",$M206&lt;&gt;$A$15)),
        IF(Import.TipoArredondamento&lt;&gt;"TransfereGOV",
              ROUND(OFFSET($P206,0,AT$13),15-13*ORÇAMENTO!$AF$7)/$H206*OFFSET(ORÇAMENTO!$X$15,ROW(AT206)-ROW(AT$15),0),
              ROUND(ROUND(OFFSET($P206,0,AT$13),15-13*ORÇAMENTO!$AF$7)*OFFSET(ORÇAMENTO!$W$15,ROW(AT206)-ROW(AT$15),0),15-13*ORÇAMENTO!$AF$11)),
         0)</f>
        <v>0</v>
      </c>
      <c r="AU206" s="452">
        <f ca="1">IF(AND($D206="Serviço",AU$12&lt;&gt;0,$H206&gt;0,OR(AUTOEVENTO&lt;&gt;"manual",$M206&lt;&gt;$A$15)),
        IF(Import.TipoArredondamento&lt;&gt;"TransfereGOV",
              ROUND(OFFSET($P206,0,AU$13),15-13*ORÇAMENTO!$AF$7)/$H206*OFFSET(ORÇAMENTO!$X$15,ROW(AU206)-ROW(AU$15),0),
              ROUND(ROUND(OFFSET($P206,0,AU$13),15-13*ORÇAMENTO!$AF$7)*OFFSET(ORÇAMENTO!$W$15,ROW(AU206)-ROW(AU$15),0),15-13*ORÇAMENTO!$AF$11)),
         0)</f>
        <v>0</v>
      </c>
      <c r="AV206" s="452">
        <f ca="1">IF(AND($D206="Serviço",AV$12&lt;&gt;0,$H206&gt;0,OR(AUTOEVENTO&lt;&gt;"manual",$M206&lt;&gt;$A$15)),
        IF(Import.TipoArredondamento&lt;&gt;"TransfereGOV",
              ROUND(OFFSET($P206,0,AV$13),15-13*ORÇAMENTO!$AF$7)/$H206*OFFSET(ORÇAMENTO!$X$15,ROW(AV206)-ROW(AV$15),0),
              ROUND(ROUND(OFFSET($P206,0,AV$13),15-13*ORÇAMENTO!$AF$7)*OFFSET(ORÇAMENTO!$W$15,ROW(AV206)-ROW(AV$15),0),15-13*ORÇAMENTO!$AF$11)),
         0)</f>
        <v>0</v>
      </c>
      <c r="AW206" s="452">
        <f ca="1">IF(AND($D206="Serviço",AW$12&lt;&gt;0,$H206&gt;0,OR(AUTOEVENTO&lt;&gt;"manual",$M206&lt;&gt;$A$15)),
        IF(Import.TipoArredondamento&lt;&gt;"TransfereGOV",
              ROUND(OFFSET($P206,0,AW$13),15-13*ORÇAMENTO!$AF$7)/$H206*OFFSET(ORÇAMENTO!$X$15,ROW(AW206)-ROW(AW$15),0),
              ROUND(ROUND(OFFSET($P206,0,AW$13),15-13*ORÇAMENTO!$AF$7)*OFFSET(ORÇAMENTO!$W$15,ROW(AW206)-ROW(AW$15),0),15-13*ORÇAMENTO!$AF$11)),
         0)</f>
        <v>0</v>
      </c>
      <c r="AX206" s="452">
        <f ca="1">IF(AND($D206="Serviço",AX$12&lt;&gt;0,$H206&gt;0,OR(AUTOEVENTO&lt;&gt;"manual",$M206&lt;&gt;$A$15)),
        IF(Import.TipoArredondamento&lt;&gt;"TransfereGOV",
              ROUND(OFFSET($P206,0,AX$13),15-13*ORÇAMENTO!$AF$7)/$H206*OFFSET(ORÇAMENTO!$X$15,ROW(AX206)-ROW(AX$15),0),
              ROUND(ROUND(OFFSET($P206,0,AX$13),15-13*ORÇAMENTO!$AF$7)*OFFSET(ORÇAMENTO!$W$15,ROW(AX206)-ROW(AX$15),0),15-13*ORÇAMENTO!$AF$11)),
         0)</f>
        <v>0</v>
      </c>
      <c r="AY206" s="452">
        <f ca="1">IF(AND($D206="Serviço",AY$12&lt;&gt;0,$H206&gt;0,OR(AUTOEVENTO&lt;&gt;"manual",$M206&lt;&gt;$A$15)),
        IF(Import.TipoArredondamento&lt;&gt;"TransfereGOV",
              ROUND(OFFSET($P206,0,AY$13),15-13*ORÇAMENTO!$AF$7)/$H206*OFFSET(ORÇAMENTO!$X$15,ROW(AY206)-ROW(AY$15),0),
              ROUND(ROUND(OFFSET($P206,0,AY$13),15-13*ORÇAMENTO!$AF$7)*OFFSET(ORÇAMENTO!$W$15,ROW(AY206)-ROW(AY$15),0),15-13*ORÇAMENTO!$AF$11)),
         0)</f>
        <v>0</v>
      </c>
      <c r="AZ206" s="452">
        <f ca="1">IF(AND($D206="Serviço",AZ$12&lt;&gt;0,$H206&gt;0,OR(AUTOEVENTO&lt;&gt;"manual",$M206&lt;&gt;$A$15)),
        IF(Import.TipoArredondamento&lt;&gt;"TransfereGOV",
              ROUND(OFFSET($P206,0,AZ$13),15-13*ORÇAMENTO!$AF$7)/$H206*OFFSET(ORÇAMENTO!$X$15,ROW(AZ206)-ROW(AZ$15),0),
              ROUND(ROUND(OFFSET($P206,0,AZ$13),15-13*ORÇAMENTO!$AF$7)*OFFSET(ORÇAMENTO!$W$15,ROW(AZ206)-ROW(AZ$15),0),15-13*ORÇAMENTO!$AF$11)),
         0)</f>
        <v>0</v>
      </c>
      <c r="BA206" s="452">
        <f ca="1">IF(AND($D206="Serviço",BA$12&lt;&gt;0,$H206&gt;0,OR(AUTOEVENTO&lt;&gt;"manual",$M206&lt;&gt;$A$15)),
        IF(Import.TipoArredondamento&lt;&gt;"TransfereGOV",
              ROUND(OFFSET($P206,0,BA$13),15-13*ORÇAMENTO!$AF$7)/$H206*OFFSET(ORÇAMENTO!$X$15,ROW(BA206)-ROW(BA$15),0),
              ROUND(ROUND(OFFSET($P206,0,BA$13),15-13*ORÇAMENTO!$AF$7)*OFFSET(ORÇAMENTO!$W$15,ROW(BA206)-ROW(BA$15),0),15-13*ORÇAMENTO!$AF$11)),
         0)</f>
        <v>0</v>
      </c>
      <c r="BC206" s="171">
        <f ca="1">IF(OR($D206&lt;&gt;"Serviço",AND(AUTOEVENTO="Manual",$M206=$A$15)),0,
         IF(OFFSET(CRONOPLE!$F$15,$M206-$A$15,BC$13)=0,10^12,OFFSET(CRONOPLE!$F$15,$M206-$A$15,BC$13)))</f>
        <v>5</v>
      </c>
      <c r="BD206" s="171">
        <f ca="1">IF(OR($D206&lt;&gt;"Serviço",AND(AUTOEVENTO="Manual",$M206=$A$15)),0,
         IF(OFFSET(CRONOPLE!$F$15,$M206-$A$15,BD$13)=0,10^12,OFFSET(CRONOPLE!$F$15,$M206-$A$15,BD$13)))</f>
        <v>5</v>
      </c>
      <c r="BE206" s="171">
        <f ca="1">IF(OR($D206&lt;&gt;"Serviço",AND(AUTOEVENTO="Manual",$M206=$A$15)),0,
         IF(OFFSET(CRONOPLE!$F$15,$M206-$A$15,BE$13)=0,10^12,OFFSET(CRONOPLE!$F$15,$M206-$A$15,BE$13)))</f>
        <v>6</v>
      </c>
      <c r="BF206" s="171">
        <f ca="1">IF(OR($D206&lt;&gt;"Serviço",AND(AUTOEVENTO="Manual",$M206=$A$15)),0,
         IF(OFFSET(CRONOPLE!$F$15,$M206-$A$15,BF$13)=0,10^12,OFFSET(CRONOPLE!$F$15,$M206-$A$15,BF$13)))</f>
        <v>6</v>
      </c>
      <c r="BG206" s="171">
        <f ca="1">IF(OR($D206&lt;&gt;"Serviço",AND(AUTOEVENTO="Manual",$M206=$A$15)),0,
         IF(OFFSET(CRONOPLE!$F$15,$M206-$A$15,BG$13)=0,10^12,OFFSET(CRONOPLE!$F$15,$M206-$A$15,BG$13)))</f>
        <v>6</v>
      </c>
      <c r="BH206" s="171">
        <f ca="1">IF(OR($D206&lt;&gt;"Serviço",AND(AUTOEVENTO="Manual",$M206=$A$15)),0,
         IF(OFFSET(CRONOPLE!$F$15,$M206-$A$15,BH$13)=0,10^12,OFFSET(CRONOPLE!$F$15,$M206-$A$15,BH$13)))</f>
        <v>1000000000000</v>
      </c>
      <c r="BI206" s="171">
        <f ca="1">IF(OR($D206&lt;&gt;"Serviço",AND(AUTOEVENTO="Manual",$M206=$A$15)),0,
         IF(OFFSET(CRONOPLE!$F$15,$M206-$A$15,BI$13)=0,10^12,OFFSET(CRONOPLE!$F$15,$M206-$A$15,BI$13)))</f>
        <v>1000000000000</v>
      </c>
      <c r="BJ206" s="171">
        <f ca="1">IF(OR($D206&lt;&gt;"Serviço",AND(AUTOEVENTO="Manual",$M206=$A$15)),0,
         IF(OFFSET(CRONOPLE!$F$15,$M206-$A$15,BJ$13)=0,10^12,OFFSET(CRONOPLE!$F$15,$M206-$A$15,BJ$13)))</f>
        <v>1000000000000</v>
      </c>
      <c r="BK206" s="171">
        <f ca="1">IF(OR($D206&lt;&gt;"Serviço",AND(AUTOEVENTO="Manual",$M206=$A$15)),0,
         IF(OFFSET(CRONOPLE!$F$15,$M206-$A$15,BK$13)=0,10^12,OFFSET(CRONOPLE!$F$15,$M206-$A$15,BK$13)))</f>
        <v>9</v>
      </c>
      <c r="BL206" s="171">
        <f ca="1">IF(OR($D206&lt;&gt;"Serviço",AND(AUTOEVENTO="Manual",$M206=$A$15)),0,
         IF(OFFSET(CRONOPLE!$F$15,$M206-$A$15,BL$13)=0,10^12,OFFSET(CRONOPLE!$F$15,$M206-$A$15,BL$13)))</f>
        <v>1000000000000</v>
      </c>
      <c r="BM206" s="171">
        <f ca="1">IF(OR($D206&lt;&gt;"Serviço",AND(AUTOEVENTO="Manual",$M206=$A$15)),0,
         IF(OFFSET(CRONOPLE!$F$15,$M206-$A$15,BM$13)=0,10^12,OFFSET(CRONOPLE!$F$15,$M206-$A$15,BM$13)))</f>
        <v>1000000000000</v>
      </c>
      <c r="BN206" s="171">
        <f ca="1">IF(OR($D206&lt;&gt;"Serviço",AND(AUTOEVENTO="Manual",$M206=$A$15)),0,
         IF(OFFSET(CRONOPLE!$F$15,$M206-$A$15,BN$13)=0,10^12,OFFSET(CRONOPLE!$F$15,$M206-$A$15,BN$13)))</f>
        <v>1000000000000</v>
      </c>
      <c r="BO206" s="171">
        <f ca="1">IF(OR($D206&lt;&gt;"Serviço",AND(AUTOEVENTO="Manual",$M206=$A$15)),0,
         IF(OFFSET(CRONOPLE!$F$15,$M206-$A$15,BO$13)=0,10^12,OFFSET(CRONOPLE!$F$15,$M206-$A$15,BO$13)))</f>
        <v>1000000000000</v>
      </c>
      <c r="BP206" s="171">
        <f ca="1">IF(OR($D206&lt;&gt;"Serviço",AND(AUTOEVENTO="Manual",$M206=$A$15)),0,
         IF(OFFSET(CRONOPLE!$F$15,$M206-$A$15,BP$13)=0,10^12,OFFSET(CRONOPLE!$F$15,$M206-$A$15,BP$13)))</f>
        <v>1000000000000</v>
      </c>
      <c r="BQ206" s="171">
        <f ca="1">IF(OR($D206&lt;&gt;"Serviço",AND(AUTOEVENTO="Manual",$M206=$A$15)),0,
         IF(OFFSET(CRONOPLE!$F$15,$M206-$A$15,BQ$13)=0,10^12,OFFSET(CRONOPLE!$F$15,$M206-$A$15,BQ$13)))</f>
        <v>1000000000000</v>
      </c>
      <c r="BR206" s="171">
        <f ca="1">IF(OR($D206&lt;&gt;"Serviço",AND(AUTOEVENTO="Manual",$M206=$A$15)),0,
         IF(OFFSET(CRONOPLE!$F$15,$M206-$A$15,BR$13)=0,10^12,OFFSET(CRONOPLE!$F$15,$M206-$A$15,BR$13)))</f>
        <v>1000000000000</v>
      </c>
      <c r="BS206" s="171">
        <f ca="1">IF(OR($D206&lt;&gt;"Serviço",AND(AUTOEVENTO="Manual",$M206=$A$15)),0,
         IF(OFFSET(CRONOPLE!$F$15,$M206-$A$15,BS$13)=0,10^12,OFFSET(CRONOPLE!$F$15,$M206-$A$15,BS$13)))</f>
        <v>1000000000000</v>
      </c>
      <c r="BT206" s="171">
        <f ca="1">IF(OR($D206&lt;&gt;"Serviço",AND(AUTOEVENTO="Manual",$M206=$A$15)),0,
         IF(OFFSET(CRONOPLE!$F$15,$M206-$A$15,BT$13)=0,10^12,OFFSET(CRONOPLE!$F$15,$M206-$A$15,BT$13)))</f>
        <v>1000000000000</v>
      </c>
      <c r="BV206" s="172">
        <f t="array" aca="1" ref="BV206" ca="1">IF(OR($D206&lt;&gt;"Serviço",AND(AUTOEVENTO="Manual",$M206=$A$15),$M206&gt;(ROW(PLE.lastrow)-ROW(PLE.firstrow))),0,
           IF(OFFSET(PLE!$G$15,$M206-$A$15,BV$13)="",10^12,OFFSET(PLE!$G$15,$M206-$A$15,BV$13)))</f>
        <v>1000000000000</v>
      </c>
      <c r="BW206" s="172">
        <f t="array" aca="1" ref="BW206" ca="1">IF(OR($D206&lt;&gt;"Serviço",AND(AUTOEVENTO="Manual",$M206=$A$15),$M206&gt;(ROW(PLE.lastrow)-ROW(PLE.firstrow))),0,
           IF(OFFSET(PLE!$G$15,$M206-$A$15,BW$13)="",10^12,OFFSET(PLE!$G$15,$M206-$A$15,BW$13)))</f>
        <v>1000000000000</v>
      </c>
      <c r="BX206" s="172">
        <f t="array" aca="1" ref="BX206" ca="1">IF(OR($D206&lt;&gt;"Serviço",AND(AUTOEVENTO="Manual",$M206=$A$15),$M206&gt;(ROW(PLE.lastrow)-ROW(PLE.firstrow))),0,
           IF(OFFSET(PLE!$G$15,$M206-$A$15,BX$13)="",10^12,OFFSET(PLE!$G$15,$M206-$A$15,BX$13)))</f>
        <v>1000000000000</v>
      </c>
      <c r="BY206" s="172">
        <f t="array" aca="1" ref="BY206" ca="1">IF(OR($D206&lt;&gt;"Serviço",AND(AUTOEVENTO="Manual",$M206=$A$15),$M206&gt;(ROW(PLE.lastrow)-ROW(PLE.firstrow))),0,
           IF(OFFSET(PLE!$G$15,$M206-$A$15,BY$13)="",10^12,OFFSET(PLE!$G$15,$M206-$A$15,BY$13)))</f>
        <v>1000000000000</v>
      </c>
      <c r="BZ206" s="172">
        <f t="array" aca="1" ref="BZ206" ca="1">IF(OR($D206&lt;&gt;"Serviço",AND(AUTOEVENTO="Manual",$M206=$A$15),$M206&gt;(ROW(PLE.lastrow)-ROW(PLE.firstrow))),0,
           IF(OFFSET(PLE!$G$15,$M206-$A$15,BZ$13)="",10^12,OFFSET(PLE!$G$15,$M206-$A$15,BZ$13)))</f>
        <v>1000000000000</v>
      </c>
      <c r="CA206" s="172">
        <f t="array" aca="1" ref="CA206" ca="1">IF(OR($D206&lt;&gt;"Serviço",AND(AUTOEVENTO="Manual",$M206=$A$15),$M206&gt;(ROW(PLE.lastrow)-ROW(PLE.firstrow))),0,
           IF(OFFSET(PLE!$G$15,$M206-$A$15,CA$13)="",10^12,OFFSET(PLE!$G$15,$M206-$A$15,CA$13)))</f>
        <v>1000000000000</v>
      </c>
      <c r="CB206" s="172">
        <f t="array" aca="1" ref="CB206" ca="1">IF(OR($D206&lt;&gt;"Serviço",AND(AUTOEVENTO="Manual",$M206=$A$15),$M206&gt;(ROW(PLE.lastrow)-ROW(PLE.firstrow))),0,
           IF(OFFSET(PLE!$G$15,$M206-$A$15,CB$13)="",10^12,OFFSET(PLE!$G$15,$M206-$A$15,CB$13)))</f>
        <v>1000000000000</v>
      </c>
      <c r="CC206" s="172">
        <f t="array" aca="1" ref="CC206" ca="1">IF(OR($D206&lt;&gt;"Serviço",AND(AUTOEVENTO="Manual",$M206=$A$15),$M206&gt;(ROW(PLE.lastrow)-ROW(PLE.firstrow))),0,
           IF(OFFSET(PLE!$G$15,$M206-$A$15,CC$13)="",10^12,OFFSET(PLE!$G$15,$M206-$A$15,CC$13)))</f>
        <v>1000000000000</v>
      </c>
      <c r="CD206" s="172">
        <f t="array" aca="1" ref="CD206" ca="1">IF(OR($D206&lt;&gt;"Serviço",AND(AUTOEVENTO="Manual",$M206=$A$15),$M206&gt;(ROW(PLE.lastrow)-ROW(PLE.firstrow))),0,
           IF(OFFSET(PLE!$G$15,$M206-$A$15,CD$13)="",10^12,OFFSET(PLE!$G$15,$M206-$A$15,CD$13)))</f>
        <v>1000000000000</v>
      </c>
      <c r="CE206" s="172">
        <f t="array" aca="1" ref="CE206" ca="1">IF(OR($D206&lt;&gt;"Serviço",AND(AUTOEVENTO="Manual",$M206=$A$15),$M206&gt;(ROW(PLE.lastrow)-ROW(PLE.firstrow))),0,
           IF(OFFSET(PLE!$G$15,$M206-$A$15,CE$13)="",10^12,OFFSET(PLE!$G$15,$M206-$A$15,CE$13)))</f>
        <v>1000000000000</v>
      </c>
      <c r="CF206" s="172">
        <f t="array" aca="1" ref="CF206" ca="1">IF(OR($D206&lt;&gt;"Serviço",AND(AUTOEVENTO="Manual",$M206=$A$15),$M206&gt;(ROW(PLE.lastrow)-ROW(PLE.firstrow))),0,
           IF(OFFSET(PLE!$G$15,$M206-$A$15,CF$13)="",10^12,OFFSET(PLE!$G$15,$M206-$A$15,CF$13)))</f>
        <v>1000000000000</v>
      </c>
      <c r="CG206" s="172">
        <f t="array" aca="1" ref="CG206" ca="1">IF(OR($D206&lt;&gt;"Serviço",AND(AUTOEVENTO="Manual",$M206=$A$15),$M206&gt;(ROW(PLE.lastrow)-ROW(PLE.firstrow))),0,
           IF(OFFSET(PLE!$G$15,$M206-$A$15,CG$13)="",10^12,OFFSET(PLE!$G$15,$M206-$A$15,CG$13)))</f>
        <v>1000000000000</v>
      </c>
      <c r="CH206" s="172">
        <f t="array" aca="1" ref="CH206" ca="1">IF(OR($D206&lt;&gt;"Serviço",AND(AUTOEVENTO="Manual",$M206=$A$15),$M206&gt;(ROW(PLE.lastrow)-ROW(PLE.firstrow))),0,
           IF(OFFSET(PLE!$G$15,$M206-$A$15,CH$13)="",10^12,OFFSET(PLE!$G$15,$M206-$A$15,CH$13)))</f>
        <v>1000000000000</v>
      </c>
      <c r="CI206" s="172">
        <f t="array" aca="1" ref="CI206" ca="1">IF(OR($D206&lt;&gt;"Serviço",AND(AUTOEVENTO="Manual",$M206=$A$15),$M206&gt;(ROW(PLE.lastrow)-ROW(PLE.firstrow))),0,
           IF(OFFSET(PLE!$G$15,$M206-$A$15,CI$13)="",10^12,OFFSET(PLE!$G$15,$M206-$A$15,CI$13)))</f>
        <v>1000000000000</v>
      </c>
      <c r="CJ206" s="172">
        <f t="array" aca="1" ref="CJ206" ca="1">IF(OR($D206&lt;&gt;"Serviço",AND(AUTOEVENTO="Manual",$M206=$A$15),$M206&gt;(ROW(PLE.lastrow)-ROW(PLE.firstrow))),0,
           IF(OFFSET(PLE!$G$15,$M206-$A$15,CJ$13)="",10^12,OFFSET(PLE!$G$15,$M206-$A$15,CJ$13)))</f>
        <v>1000000000000</v>
      </c>
      <c r="CK206" s="172">
        <f t="array" aca="1" ref="CK206" ca="1">IF(OR($D206&lt;&gt;"Serviço",AND(AUTOEVENTO="Manual",$M206=$A$15),$M206&gt;(ROW(PLE.lastrow)-ROW(PLE.firstrow))),0,
           IF(OFFSET(PLE!$G$15,$M206-$A$15,CK$13)="",10^12,OFFSET(PLE!$G$15,$M206-$A$15,CK$13)))</f>
        <v>1000000000000</v>
      </c>
      <c r="CL206" s="172">
        <f t="array" aca="1" ref="CL206" ca="1">IF(OR($D206&lt;&gt;"Serviço",AND(AUTOEVENTO="Manual",$M206=$A$15),$M206&gt;(ROW(PLE.lastrow)-ROW(PLE.firstrow))),0,
           IF(OFFSET(PLE!$G$15,$M206-$A$15,CL$13)="",10^12,OFFSET(PLE!$G$15,$M206-$A$15,CL$13)))</f>
        <v>1000000000000</v>
      </c>
      <c r="CM206" s="172">
        <f t="array" aca="1" ref="CM206" ca="1">IF(OR($D206&lt;&gt;"Serviço",AND(AUTOEVENTO="Manual",$M206=$A$15),$M206&gt;(ROW(PLE.lastrow)-ROW(PLE.firstrow))),0,
           IF(OFFSET(PLE!$G$15,$M206-$A$15,CM$13)="",10^12,OFFSET(PLE!$G$15,$M206-$A$15,CM$13)))</f>
        <v>1000000000000</v>
      </c>
    </row>
    <row r="207" spans="1:91" s="696" customFormat="1" ht="63.75" x14ac:dyDescent="0.2">
      <c r="A207" s="694">
        <f t="shared" ca="1" si="98"/>
        <v>31</v>
      </c>
      <c r="B207" s="694" t="str">
        <f ca="1">OFFSET(ORÇAMENTO!C$15,$L207,0)</f>
        <v>S</v>
      </c>
      <c r="C207" s="694" t="str">
        <f ca="1">OFFSET(ORÇAMENTO!L$15,$L207,0)</f>
        <v>F</v>
      </c>
      <c r="D207" s="116" t="str">
        <f ca="1">OFFSET(ORÇAMENTO!N$15,$L207,0)</f>
        <v>Serviço</v>
      </c>
      <c r="E207" s="117" t="str">
        <f ca="1">OFFSET(ORÇAMENTO!O$15,$L207,0)</f>
        <v>1.30.11.</v>
      </c>
      <c r="F207" s="163" t="str">
        <f ca="1">OFFSET(ORÇAMENTO!R$15,$L207,0)</f>
        <v>TUBO PVC, SERIE NORMAL, ESGOTO PREDIAL, DN 50 MM, FORNECIDO E INSTALADO EM PRUMADA DE ESGOTO SANITÁRIO OU VENTILAÇÃO. AF_08/2022</v>
      </c>
      <c r="G207" s="164" t="str">
        <f ca="1">IF($D207&lt;&gt;"Serviço","",OFFSET(ORÇAMENTO!S$15,$L207,0))</f>
        <v>M</v>
      </c>
      <c r="H207" s="122">
        <f t="array" aca="1" ref="H207" ca="1">IF($D207&lt;&gt;"Serviço",0,IF(ACOMPANHAMENTO="BM",ROUND(OFFSET(ORÇAMENTO!AJ$15,$L207,0),15-13*ORÇAMENTO!$AF$7),IF(IFERROR(CÁLCULO.FrentesPreenchidas,0)=0,0,SUM(ROUND(OFFSET($P207,0,1,1,CÁLCULO.FrentesPreenchidas),15-13*ORÇAMENTO!$AF$7)))))</f>
        <v>160</v>
      </c>
      <c r="I207" s="467" t="s">
        <v>1333</v>
      </c>
      <c r="J207" s="653" t="str">
        <f t="array" aca="1" ref="J207" ca="1">IF(OR(B207&lt;&gt;"S",CÁLCULO.FrentesPreenchidas=0),"",IF(AND(ACOMPANHAMENTO="PLE",AUTOEVENTO="Manual",OR(H207&gt;0,ORÇAMENTO!AC207="QUANT."),OR(K207="",M207=0,N207="")),"►E",IF(AND(ACOMPANHAMENTO="PLE",ORÇAMENTO!AC207="QUANT."),"►Q",IF(AND(ACOMPANHAMENTO="PLE",H207&lt;&gt;SUMPRODUCT(($Q$1:$AI$1=1)*ROUND(Q207:AI207,15))),"►S",IF(AND(COUNTIF($P$11:$AI$11,"▼")=0,H207&gt;0,I207=""),"◄M","")))))</f>
        <v/>
      </c>
      <c r="K207" s="654" t="s">
        <v>1447</v>
      </c>
      <c r="L207" s="165">
        <f t="shared" ca="1" si="99"/>
        <v>192</v>
      </c>
      <c r="M207" s="166">
        <f ca="1">IF($D207&lt;&gt;"Serviço","",
          IF(AUTOEVENTO="manual",$A207,
                IF(ISERROR(MATCH($A207,$A$15:OFFSET($A207,-1,0),0)),MAX($M$15:OFFSET(M207,-1,0))+1,
                      INDEX($M$15:OFFSET(M207,-1,0),MATCH($A207,$A$15:OFFSET($A207,-1,0),0)))))</f>
        <v>31</v>
      </c>
      <c r="N207" s="167" t="str">
        <f ca="1">IF($D207&lt;&gt;"Serviço","",
         IF(AUTOEVENTO="Manual",
                IF($A207=0,"&lt;-- defina o número do agrupador",
                       OFFSET(EVENTOS!$D$15,$A207-$A$15,0)),
                OFFSET($F$15,$A207,0)))</f>
        <v>REDE PLUVIAL E ESGOTO</v>
      </c>
      <c r="O207" s="168"/>
      <c r="Q207" s="169">
        <v>40</v>
      </c>
      <c r="R207" s="169">
        <v>40</v>
      </c>
      <c r="S207" s="169">
        <v>40</v>
      </c>
      <c r="T207" s="169">
        <v>40</v>
      </c>
      <c r="U207" s="169"/>
      <c r="V207" s="169"/>
      <c r="W207" s="169"/>
      <c r="X207" s="169"/>
      <c r="Y207" s="169"/>
      <c r="Z207" s="170"/>
      <c r="AA207" s="169"/>
      <c r="AB207" s="169"/>
      <c r="AC207" s="169"/>
      <c r="AD207" s="169"/>
      <c r="AE207" s="169"/>
      <c r="AF207" s="169"/>
      <c r="AG207" s="169"/>
      <c r="AH207" s="170"/>
      <c r="AJ207" s="452">
        <f ca="1">IF(AND($D207="Serviço",AJ$12&lt;&gt;0,$H207&gt;0,OR(AUTOEVENTO&lt;&gt;"manual",$M207&lt;&gt;$A$15)),
        IF(Import.TipoArredondamento&lt;&gt;"TransfereGOV",
              ROUND(OFFSET($P207,0,AJ$13),15-13*ORÇAMENTO!$AF$7)/$H207*OFFSET(ORÇAMENTO!$X$15,ROW(AJ207)-ROW(AJ$15),0),
              ROUND(ROUND(OFFSET($P207,0,AJ$13),15-13*ORÇAMENTO!$AF$7)*OFFSET(ORÇAMENTO!$W$15,ROW(AJ207)-ROW(AJ$15),0),15-13*ORÇAMENTO!$AF$11)),
         0)</f>
        <v>643.6</v>
      </c>
      <c r="AK207" s="452">
        <f ca="1">IF(AND($D207="Serviço",AK$12&lt;&gt;0,$H207&gt;0,OR(AUTOEVENTO&lt;&gt;"manual",$M207&lt;&gt;$A$15)),
        IF(Import.TipoArredondamento&lt;&gt;"TransfereGOV",
              ROUND(OFFSET($P207,0,AK$13),15-13*ORÇAMENTO!$AF$7)/$H207*OFFSET(ORÇAMENTO!$X$15,ROW(AK207)-ROW(AK$15),0),
              ROUND(ROUND(OFFSET($P207,0,AK$13),15-13*ORÇAMENTO!$AF$7)*OFFSET(ORÇAMENTO!$W$15,ROW(AK207)-ROW(AK$15),0),15-13*ORÇAMENTO!$AF$11)),
         0)</f>
        <v>643.6</v>
      </c>
      <c r="AL207" s="452">
        <f ca="1">IF(AND($D207="Serviço",AL$12&lt;&gt;0,$H207&gt;0,OR(AUTOEVENTO&lt;&gt;"manual",$M207&lt;&gt;$A$15)),
        IF(Import.TipoArredondamento&lt;&gt;"TransfereGOV",
              ROUND(OFFSET($P207,0,AL$13),15-13*ORÇAMENTO!$AF$7)/$H207*OFFSET(ORÇAMENTO!$X$15,ROW(AL207)-ROW(AL$15),0),
              ROUND(ROUND(OFFSET($P207,0,AL$13),15-13*ORÇAMENTO!$AF$7)*OFFSET(ORÇAMENTO!$W$15,ROW(AL207)-ROW(AL$15),0),15-13*ORÇAMENTO!$AF$11)),
         0)</f>
        <v>643.6</v>
      </c>
      <c r="AM207" s="452">
        <f ca="1">IF(AND($D207="Serviço",AM$12&lt;&gt;0,$H207&gt;0,OR(AUTOEVENTO&lt;&gt;"manual",$M207&lt;&gt;$A$15)),
        IF(Import.TipoArredondamento&lt;&gt;"TransfereGOV",
              ROUND(OFFSET($P207,0,AM$13),15-13*ORÇAMENTO!$AF$7)/$H207*OFFSET(ORÇAMENTO!$X$15,ROW(AM207)-ROW(AM$15),0),
              ROUND(ROUND(OFFSET($P207,0,AM$13),15-13*ORÇAMENTO!$AF$7)*OFFSET(ORÇAMENTO!$W$15,ROW(AM207)-ROW(AM$15),0),15-13*ORÇAMENTO!$AF$11)),
         0)</f>
        <v>643.6</v>
      </c>
      <c r="AN207" s="452">
        <f ca="1">IF(AND($D207="Serviço",AN$12&lt;&gt;0,$H207&gt;0,OR(AUTOEVENTO&lt;&gt;"manual",$M207&lt;&gt;$A$15)),
        IF(Import.TipoArredondamento&lt;&gt;"TransfereGOV",
              ROUND(OFFSET($P207,0,AN$13),15-13*ORÇAMENTO!$AF$7)/$H207*OFFSET(ORÇAMENTO!$X$15,ROW(AN207)-ROW(AN$15),0),
              ROUND(ROUND(OFFSET($P207,0,AN$13),15-13*ORÇAMENTO!$AF$7)*OFFSET(ORÇAMENTO!$W$15,ROW(AN207)-ROW(AN$15),0),15-13*ORÇAMENTO!$AF$11)),
         0)</f>
        <v>0</v>
      </c>
      <c r="AO207" s="452">
        <f ca="1">IF(AND($D207="Serviço",AO$12&lt;&gt;0,$H207&gt;0,OR(AUTOEVENTO&lt;&gt;"manual",$M207&lt;&gt;$A$15)),
        IF(Import.TipoArredondamento&lt;&gt;"TransfereGOV",
              ROUND(OFFSET($P207,0,AO$13),15-13*ORÇAMENTO!$AF$7)/$H207*OFFSET(ORÇAMENTO!$X$15,ROW(AO207)-ROW(AO$15),0),
              ROUND(ROUND(OFFSET($P207,0,AO$13),15-13*ORÇAMENTO!$AF$7)*OFFSET(ORÇAMENTO!$W$15,ROW(AO207)-ROW(AO$15),0),15-13*ORÇAMENTO!$AF$11)),
         0)</f>
        <v>0</v>
      </c>
      <c r="AP207" s="452">
        <f ca="1">IF(AND($D207="Serviço",AP$12&lt;&gt;0,$H207&gt;0,OR(AUTOEVENTO&lt;&gt;"manual",$M207&lt;&gt;$A$15)),
        IF(Import.TipoArredondamento&lt;&gt;"TransfereGOV",
              ROUND(OFFSET($P207,0,AP$13),15-13*ORÇAMENTO!$AF$7)/$H207*OFFSET(ORÇAMENTO!$X$15,ROW(AP207)-ROW(AP$15),0),
              ROUND(ROUND(OFFSET($P207,0,AP$13),15-13*ORÇAMENTO!$AF$7)*OFFSET(ORÇAMENTO!$W$15,ROW(AP207)-ROW(AP$15),0),15-13*ORÇAMENTO!$AF$11)),
         0)</f>
        <v>0</v>
      </c>
      <c r="AQ207" s="452">
        <f ca="1">IF(AND($D207="Serviço",AQ$12&lt;&gt;0,$H207&gt;0,OR(AUTOEVENTO&lt;&gt;"manual",$M207&lt;&gt;$A$15)),
        IF(Import.TipoArredondamento&lt;&gt;"TransfereGOV",
              ROUND(OFFSET($P207,0,AQ$13),15-13*ORÇAMENTO!$AF$7)/$H207*OFFSET(ORÇAMENTO!$X$15,ROW(AQ207)-ROW(AQ$15),0),
              ROUND(ROUND(OFFSET($P207,0,AQ$13),15-13*ORÇAMENTO!$AF$7)*OFFSET(ORÇAMENTO!$W$15,ROW(AQ207)-ROW(AQ$15),0),15-13*ORÇAMENTO!$AF$11)),
         0)</f>
        <v>0</v>
      </c>
      <c r="AR207" s="452">
        <f ca="1">IF(AND($D207="Serviço",AR$12&lt;&gt;0,$H207&gt;0,OR(AUTOEVENTO&lt;&gt;"manual",$M207&lt;&gt;$A$15)),
        IF(Import.TipoArredondamento&lt;&gt;"TransfereGOV",
              ROUND(OFFSET($P207,0,AR$13),15-13*ORÇAMENTO!$AF$7)/$H207*OFFSET(ORÇAMENTO!$X$15,ROW(AR207)-ROW(AR$15),0),
              ROUND(ROUND(OFFSET($P207,0,AR$13),15-13*ORÇAMENTO!$AF$7)*OFFSET(ORÇAMENTO!$W$15,ROW(AR207)-ROW(AR$15),0),15-13*ORÇAMENTO!$AF$11)),
         0)</f>
        <v>0</v>
      </c>
      <c r="AS207" s="452">
        <f ca="1">IF(AND($D207="Serviço",AS$12&lt;&gt;0,$H207&gt;0,OR(AUTOEVENTO&lt;&gt;"manual",$M207&lt;&gt;$A$15)),
        IF(Import.TipoArredondamento&lt;&gt;"TransfereGOV",
              ROUND(OFFSET($P207,0,AS$13),15-13*ORÇAMENTO!$AF$7)/$H207*OFFSET(ORÇAMENTO!$X$15,ROW(AS207)-ROW(AS$15),0),
              ROUND(ROUND(OFFSET($P207,0,AS$13),15-13*ORÇAMENTO!$AF$7)*OFFSET(ORÇAMENTO!$W$15,ROW(AS207)-ROW(AS$15),0),15-13*ORÇAMENTO!$AF$11)),
         0)</f>
        <v>0</v>
      </c>
      <c r="AT207" s="452">
        <f ca="1">IF(AND($D207="Serviço",AT$12&lt;&gt;0,$H207&gt;0,OR(AUTOEVENTO&lt;&gt;"manual",$M207&lt;&gt;$A$15)),
        IF(Import.TipoArredondamento&lt;&gt;"TransfereGOV",
              ROUND(OFFSET($P207,0,AT$13),15-13*ORÇAMENTO!$AF$7)/$H207*OFFSET(ORÇAMENTO!$X$15,ROW(AT207)-ROW(AT$15),0),
              ROUND(ROUND(OFFSET($P207,0,AT$13),15-13*ORÇAMENTO!$AF$7)*OFFSET(ORÇAMENTO!$W$15,ROW(AT207)-ROW(AT$15),0),15-13*ORÇAMENTO!$AF$11)),
         0)</f>
        <v>0</v>
      </c>
      <c r="AU207" s="452">
        <f ca="1">IF(AND($D207="Serviço",AU$12&lt;&gt;0,$H207&gt;0,OR(AUTOEVENTO&lt;&gt;"manual",$M207&lt;&gt;$A$15)),
        IF(Import.TipoArredondamento&lt;&gt;"TransfereGOV",
              ROUND(OFFSET($P207,0,AU$13),15-13*ORÇAMENTO!$AF$7)/$H207*OFFSET(ORÇAMENTO!$X$15,ROW(AU207)-ROW(AU$15),0),
              ROUND(ROUND(OFFSET($P207,0,AU$13),15-13*ORÇAMENTO!$AF$7)*OFFSET(ORÇAMENTO!$W$15,ROW(AU207)-ROW(AU$15),0),15-13*ORÇAMENTO!$AF$11)),
         0)</f>
        <v>0</v>
      </c>
      <c r="AV207" s="452">
        <f ca="1">IF(AND($D207="Serviço",AV$12&lt;&gt;0,$H207&gt;0,OR(AUTOEVENTO&lt;&gt;"manual",$M207&lt;&gt;$A$15)),
        IF(Import.TipoArredondamento&lt;&gt;"TransfereGOV",
              ROUND(OFFSET($P207,0,AV$13),15-13*ORÇAMENTO!$AF$7)/$H207*OFFSET(ORÇAMENTO!$X$15,ROW(AV207)-ROW(AV$15),0),
              ROUND(ROUND(OFFSET($P207,0,AV$13),15-13*ORÇAMENTO!$AF$7)*OFFSET(ORÇAMENTO!$W$15,ROW(AV207)-ROW(AV$15),0),15-13*ORÇAMENTO!$AF$11)),
         0)</f>
        <v>0</v>
      </c>
      <c r="AW207" s="452">
        <f ca="1">IF(AND($D207="Serviço",AW$12&lt;&gt;0,$H207&gt;0,OR(AUTOEVENTO&lt;&gt;"manual",$M207&lt;&gt;$A$15)),
        IF(Import.TipoArredondamento&lt;&gt;"TransfereGOV",
              ROUND(OFFSET($P207,0,AW$13),15-13*ORÇAMENTO!$AF$7)/$H207*OFFSET(ORÇAMENTO!$X$15,ROW(AW207)-ROW(AW$15),0),
              ROUND(ROUND(OFFSET($P207,0,AW$13),15-13*ORÇAMENTO!$AF$7)*OFFSET(ORÇAMENTO!$W$15,ROW(AW207)-ROW(AW$15),0),15-13*ORÇAMENTO!$AF$11)),
         0)</f>
        <v>0</v>
      </c>
      <c r="AX207" s="452">
        <f ca="1">IF(AND($D207="Serviço",AX$12&lt;&gt;0,$H207&gt;0,OR(AUTOEVENTO&lt;&gt;"manual",$M207&lt;&gt;$A$15)),
        IF(Import.TipoArredondamento&lt;&gt;"TransfereGOV",
              ROUND(OFFSET($P207,0,AX$13),15-13*ORÇAMENTO!$AF$7)/$H207*OFFSET(ORÇAMENTO!$X$15,ROW(AX207)-ROW(AX$15),0),
              ROUND(ROUND(OFFSET($P207,0,AX$13),15-13*ORÇAMENTO!$AF$7)*OFFSET(ORÇAMENTO!$W$15,ROW(AX207)-ROW(AX$15),0),15-13*ORÇAMENTO!$AF$11)),
         0)</f>
        <v>0</v>
      </c>
      <c r="AY207" s="452">
        <f ca="1">IF(AND($D207="Serviço",AY$12&lt;&gt;0,$H207&gt;0,OR(AUTOEVENTO&lt;&gt;"manual",$M207&lt;&gt;$A$15)),
        IF(Import.TipoArredondamento&lt;&gt;"TransfereGOV",
              ROUND(OFFSET($P207,0,AY$13),15-13*ORÇAMENTO!$AF$7)/$H207*OFFSET(ORÇAMENTO!$X$15,ROW(AY207)-ROW(AY$15),0),
              ROUND(ROUND(OFFSET($P207,0,AY$13),15-13*ORÇAMENTO!$AF$7)*OFFSET(ORÇAMENTO!$W$15,ROW(AY207)-ROW(AY$15),0),15-13*ORÇAMENTO!$AF$11)),
         0)</f>
        <v>0</v>
      </c>
      <c r="AZ207" s="452">
        <f ca="1">IF(AND($D207="Serviço",AZ$12&lt;&gt;0,$H207&gt;0,OR(AUTOEVENTO&lt;&gt;"manual",$M207&lt;&gt;$A$15)),
        IF(Import.TipoArredondamento&lt;&gt;"TransfereGOV",
              ROUND(OFFSET($P207,0,AZ$13),15-13*ORÇAMENTO!$AF$7)/$H207*OFFSET(ORÇAMENTO!$X$15,ROW(AZ207)-ROW(AZ$15),0),
              ROUND(ROUND(OFFSET($P207,0,AZ$13),15-13*ORÇAMENTO!$AF$7)*OFFSET(ORÇAMENTO!$W$15,ROW(AZ207)-ROW(AZ$15),0),15-13*ORÇAMENTO!$AF$11)),
         0)</f>
        <v>0</v>
      </c>
      <c r="BA207" s="452">
        <f ca="1">IF(AND($D207="Serviço",BA$12&lt;&gt;0,$H207&gt;0,OR(AUTOEVENTO&lt;&gt;"manual",$M207&lt;&gt;$A$15)),
        IF(Import.TipoArredondamento&lt;&gt;"TransfereGOV",
              ROUND(OFFSET($P207,0,BA$13),15-13*ORÇAMENTO!$AF$7)/$H207*OFFSET(ORÇAMENTO!$X$15,ROW(BA207)-ROW(BA$15),0),
              ROUND(ROUND(OFFSET($P207,0,BA$13),15-13*ORÇAMENTO!$AF$7)*OFFSET(ORÇAMENTO!$W$15,ROW(BA207)-ROW(BA$15),0),15-13*ORÇAMENTO!$AF$11)),
         0)</f>
        <v>0</v>
      </c>
      <c r="BC207" s="171">
        <f ca="1">IF(OR($D207&lt;&gt;"Serviço",AND(AUTOEVENTO="Manual",$M207=$A$15)),0,
         IF(OFFSET(CRONOPLE!$F$15,$M207-$A$15,BC$13)=0,10^12,OFFSET(CRONOPLE!$F$15,$M207-$A$15,BC$13)))</f>
        <v>5</v>
      </c>
      <c r="BD207" s="171">
        <f ca="1">IF(OR($D207&lt;&gt;"Serviço",AND(AUTOEVENTO="Manual",$M207=$A$15)),0,
         IF(OFFSET(CRONOPLE!$F$15,$M207-$A$15,BD$13)=0,10^12,OFFSET(CRONOPLE!$F$15,$M207-$A$15,BD$13)))</f>
        <v>5</v>
      </c>
      <c r="BE207" s="171">
        <f ca="1">IF(OR($D207&lt;&gt;"Serviço",AND(AUTOEVENTO="Manual",$M207=$A$15)),0,
         IF(OFFSET(CRONOPLE!$F$15,$M207-$A$15,BE$13)=0,10^12,OFFSET(CRONOPLE!$F$15,$M207-$A$15,BE$13)))</f>
        <v>6</v>
      </c>
      <c r="BF207" s="171">
        <f ca="1">IF(OR($D207&lt;&gt;"Serviço",AND(AUTOEVENTO="Manual",$M207=$A$15)),0,
         IF(OFFSET(CRONOPLE!$F$15,$M207-$A$15,BF$13)=0,10^12,OFFSET(CRONOPLE!$F$15,$M207-$A$15,BF$13)))</f>
        <v>6</v>
      </c>
      <c r="BG207" s="171">
        <f ca="1">IF(OR($D207&lt;&gt;"Serviço",AND(AUTOEVENTO="Manual",$M207=$A$15)),0,
         IF(OFFSET(CRONOPLE!$F$15,$M207-$A$15,BG$13)=0,10^12,OFFSET(CRONOPLE!$F$15,$M207-$A$15,BG$13)))</f>
        <v>6</v>
      </c>
      <c r="BH207" s="171">
        <f ca="1">IF(OR($D207&lt;&gt;"Serviço",AND(AUTOEVENTO="Manual",$M207=$A$15)),0,
         IF(OFFSET(CRONOPLE!$F$15,$M207-$A$15,BH$13)=0,10^12,OFFSET(CRONOPLE!$F$15,$M207-$A$15,BH$13)))</f>
        <v>1000000000000</v>
      </c>
      <c r="BI207" s="171">
        <f ca="1">IF(OR($D207&lt;&gt;"Serviço",AND(AUTOEVENTO="Manual",$M207=$A$15)),0,
         IF(OFFSET(CRONOPLE!$F$15,$M207-$A$15,BI$13)=0,10^12,OFFSET(CRONOPLE!$F$15,$M207-$A$15,BI$13)))</f>
        <v>1000000000000</v>
      </c>
      <c r="BJ207" s="171">
        <f ca="1">IF(OR($D207&lt;&gt;"Serviço",AND(AUTOEVENTO="Manual",$M207=$A$15)),0,
         IF(OFFSET(CRONOPLE!$F$15,$M207-$A$15,BJ$13)=0,10^12,OFFSET(CRONOPLE!$F$15,$M207-$A$15,BJ$13)))</f>
        <v>1000000000000</v>
      </c>
      <c r="BK207" s="171">
        <f ca="1">IF(OR($D207&lt;&gt;"Serviço",AND(AUTOEVENTO="Manual",$M207=$A$15)),0,
         IF(OFFSET(CRONOPLE!$F$15,$M207-$A$15,BK$13)=0,10^12,OFFSET(CRONOPLE!$F$15,$M207-$A$15,BK$13)))</f>
        <v>9</v>
      </c>
      <c r="BL207" s="171">
        <f ca="1">IF(OR($D207&lt;&gt;"Serviço",AND(AUTOEVENTO="Manual",$M207=$A$15)),0,
         IF(OFFSET(CRONOPLE!$F$15,$M207-$A$15,BL$13)=0,10^12,OFFSET(CRONOPLE!$F$15,$M207-$A$15,BL$13)))</f>
        <v>1000000000000</v>
      </c>
      <c r="BM207" s="171">
        <f ca="1">IF(OR($D207&lt;&gt;"Serviço",AND(AUTOEVENTO="Manual",$M207=$A$15)),0,
         IF(OFFSET(CRONOPLE!$F$15,$M207-$A$15,BM$13)=0,10^12,OFFSET(CRONOPLE!$F$15,$M207-$A$15,BM$13)))</f>
        <v>1000000000000</v>
      </c>
      <c r="BN207" s="171">
        <f ca="1">IF(OR($D207&lt;&gt;"Serviço",AND(AUTOEVENTO="Manual",$M207=$A$15)),0,
         IF(OFFSET(CRONOPLE!$F$15,$M207-$A$15,BN$13)=0,10^12,OFFSET(CRONOPLE!$F$15,$M207-$A$15,BN$13)))</f>
        <v>1000000000000</v>
      </c>
      <c r="BO207" s="171">
        <f ca="1">IF(OR($D207&lt;&gt;"Serviço",AND(AUTOEVENTO="Manual",$M207=$A$15)),0,
         IF(OFFSET(CRONOPLE!$F$15,$M207-$A$15,BO$13)=0,10^12,OFFSET(CRONOPLE!$F$15,$M207-$A$15,BO$13)))</f>
        <v>1000000000000</v>
      </c>
      <c r="BP207" s="171">
        <f ca="1">IF(OR($D207&lt;&gt;"Serviço",AND(AUTOEVENTO="Manual",$M207=$A$15)),0,
         IF(OFFSET(CRONOPLE!$F$15,$M207-$A$15,BP$13)=0,10^12,OFFSET(CRONOPLE!$F$15,$M207-$A$15,BP$13)))</f>
        <v>1000000000000</v>
      </c>
      <c r="BQ207" s="171">
        <f ca="1">IF(OR($D207&lt;&gt;"Serviço",AND(AUTOEVENTO="Manual",$M207=$A$15)),0,
         IF(OFFSET(CRONOPLE!$F$15,$M207-$A$15,BQ$13)=0,10^12,OFFSET(CRONOPLE!$F$15,$M207-$A$15,BQ$13)))</f>
        <v>1000000000000</v>
      </c>
      <c r="BR207" s="171">
        <f ca="1">IF(OR($D207&lt;&gt;"Serviço",AND(AUTOEVENTO="Manual",$M207=$A$15)),0,
         IF(OFFSET(CRONOPLE!$F$15,$M207-$A$15,BR$13)=0,10^12,OFFSET(CRONOPLE!$F$15,$M207-$A$15,BR$13)))</f>
        <v>1000000000000</v>
      </c>
      <c r="BS207" s="171">
        <f ca="1">IF(OR($D207&lt;&gt;"Serviço",AND(AUTOEVENTO="Manual",$M207=$A$15)),0,
         IF(OFFSET(CRONOPLE!$F$15,$M207-$A$15,BS$13)=0,10^12,OFFSET(CRONOPLE!$F$15,$M207-$A$15,BS$13)))</f>
        <v>1000000000000</v>
      </c>
      <c r="BT207" s="171">
        <f ca="1">IF(OR($D207&lt;&gt;"Serviço",AND(AUTOEVENTO="Manual",$M207=$A$15)),0,
         IF(OFFSET(CRONOPLE!$F$15,$M207-$A$15,BT$13)=0,10^12,OFFSET(CRONOPLE!$F$15,$M207-$A$15,BT$13)))</f>
        <v>1000000000000</v>
      </c>
      <c r="BV207" s="172">
        <f t="array" aca="1" ref="BV207" ca="1">IF(OR($D207&lt;&gt;"Serviço",AND(AUTOEVENTO="Manual",$M207=$A$15),$M207&gt;(ROW(PLE.lastrow)-ROW(PLE.firstrow))),0,
           IF(OFFSET(PLE!$G$15,$M207-$A$15,BV$13)="",10^12,OFFSET(PLE!$G$15,$M207-$A$15,BV$13)))</f>
        <v>1000000000000</v>
      </c>
      <c r="BW207" s="172">
        <f t="array" aca="1" ref="BW207" ca="1">IF(OR($D207&lt;&gt;"Serviço",AND(AUTOEVENTO="Manual",$M207=$A$15),$M207&gt;(ROW(PLE.lastrow)-ROW(PLE.firstrow))),0,
           IF(OFFSET(PLE!$G$15,$M207-$A$15,BW$13)="",10^12,OFFSET(PLE!$G$15,$M207-$A$15,BW$13)))</f>
        <v>1000000000000</v>
      </c>
      <c r="BX207" s="172">
        <f t="array" aca="1" ref="BX207" ca="1">IF(OR($D207&lt;&gt;"Serviço",AND(AUTOEVENTO="Manual",$M207=$A$15),$M207&gt;(ROW(PLE.lastrow)-ROW(PLE.firstrow))),0,
           IF(OFFSET(PLE!$G$15,$M207-$A$15,BX$13)="",10^12,OFFSET(PLE!$G$15,$M207-$A$15,BX$13)))</f>
        <v>1000000000000</v>
      </c>
      <c r="BY207" s="172">
        <f t="array" aca="1" ref="BY207" ca="1">IF(OR($D207&lt;&gt;"Serviço",AND(AUTOEVENTO="Manual",$M207=$A$15),$M207&gt;(ROW(PLE.lastrow)-ROW(PLE.firstrow))),0,
           IF(OFFSET(PLE!$G$15,$M207-$A$15,BY$13)="",10^12,OFFSET(PLE!$G$15,$M207-$A$15,BY$13)))</f>
        <v>1000000000000</v>
      </c>
      <c r="BZ207" s="172">
        <f t="array" aca="1" ref="BZ207" ca="1">IF(OR($D207&lt;&gt;"Serviço",AND(AUTOEVENTO="Manual",$M207=$A$15),$M207&gt;(ROW(PLE.lastrow)-ROW(PLE.firstrow))),0,
           IF(OFFSET(PLE!$G$15,$M207-$A$15,BZ$13)="",10^12,OFFSET(PLE!$G$15,$M207-$A$15,BZ$13)))</f>
        <v>1000000000000</v>
      </c>
      <c r="CA207" s="172">
        <f t="array" aca="1" ref="CA207" ca="1">IF(OR($D207&lt;&gt;"Serviço",AND(AUTOEVENTO="Manual",$M207=$A$15),$M207&gt;(ROW(PLE.lastrow)-ROW(PLE.firstrow))),0,
           IF(OFFSET(PLE!$G$15,$M207-$A$15,CA$13)="",10^12,OFFSET(PLE!$G$15,$M207-$A$15,CA$13)))</f>
        <v>1000000000000</v>
      </c>
      <c r="CB207" s="172">
        <f t="array" aca="1" ref="CB207" ca="1">IF(OR($D207&lt;&gt;"Serviço",AND(AUTOEVENTO="Manual",$M207=$A$15),$M207&gt;(ROW(PLE.lastrow)-ROW(PLE.firstrow))),0,
           IF(OFFSET(PLE!$G$15,$M207-$A$15,CB$13)="",10^12,OFFSET(PLE!$G$15,$M207-$A$15,CB$13)))</f>
        <v>1000000000000</v>
      </c>
      <c r="CC207" s="172">
        <f t="array" aca="1" ref="CC207" ca="1">IF(OR($D207&lt;&gt;"Serviço",AND(AUTOEVENTO="Manual",$M207=$A$15),$M207&gt;(ROW(PLE.lastrow)-ROW(PLE.firstrow))),0,
           IF(OFFSET(PLE!$G$15,$M207-$A$15,CC$13)="",10^12,OFFSET(PLE!$G$15,$M207-$A$15,CC$13)))</f>
        <v>1000000000000</v>
      </c>
      <c r="CD207" s="172">
        <f t="array" aca="1" ref="CD207" ca="1">IF(OR($D207&lt;&gt;"Serviço",AND(AUTOEVENTO="Manual",$M207=$A$15),$M207&gt;(ROW(PLE.lastrow)-ROW(PLE.firstrow))),0,
           IF(OFFSET(PLE!$G$15,$M207-$A$15,CD$13)="",10^12,OFFSET(PLE!$G$15,$M207-$A$15,CD$13)))</f>
        <v>1000000000000</v>
      </c>
      <c r="CE207" s="172">
        <f t="array" aca="1" ref="CE207" ca="1">IF(OR($D207&lt;&gt;"Serviço",AND(AUTOEVENTO="Manual",$M207=$A$15),$M207&gt;(ROW(PLE.lastrow)-ROW(PLE.firstrow))),0,
           IF(OFFSET(PLE!$G$15,$M207-$A$15,CE$13)="",10^12,OFFSET(PLE!$G$15,$M207-$A$15,CE$13)))</f>
        <v>1000000000000</v>
      </c>
      <c r="CF207" s="172">
        <f t="array" aca="1" ref="CF207" ca="1">IF(OR($D207&lt;&gt;"Serviço",AND(AUTOEVENTO="Manual",$M207=$A$15),$M207&gt;(ROW(PLE.lastrow)-ROW(PLE.firstrow))),0,
           IF(OFFSET(PLE!$G$15,$M207-$A$15,CF$13)="",10^12,OFFSET(PLE!$G$15,$M207-$A$15,CF$13)))</f>
        <v>1000000000000</v>
      </c>
      <c r="CG207" s="172">
        <f t="array" aca="1" ref="CG207" ca="1">IF(OR($D207&lt;&gt;"Serviço",AND(AUTOEVENTO="Manual",$M207=$A$15),$M207&gt;(ROW(PLE.lastrow)-ROW(PLE.firstrow))),0,
           IF(OFFSET(PLE!$G$15,$M207-$A$15,CG$13)="",10^12,OFFSET(PLE!$G$15,$M207-$A$15,CG$13)))</f>
        <v>1000000000000</v>
      </c>
      <c r="CH207" s="172">
        <f t="array" aca="1" ref="CH207" ca="1">IF(OR($D207&lt;&gt;"Serviço",AND(AUTOEVENTO="Manual",$M207=$A$15),$M207&gt;(ROW(PLE.lastrow)-ROW(PLE.firstrow))),0,
           IF(OFFSET(PLE!$G$15,$M207-$A$15,CH$13)="",10^12,OFFSET(PLE!$G$15,$M207-$A$15,CH$13)))</f>
        <v>1000000000000</v>
      </c>
      <c r="CI207" s="172">
        <f t="array" aca="1" ref="CI207" ca="1">IF(OR($D207&lt;&gt;"Serviço",AND(AUTOEVENTO="Manual",$M207=$A$15),$M207&gt;(ROW(PLE.lastrow)-ROW(PLE.firstrow))),0,
           IF(OFFSET(PLE!$G$15,$M207-$A$15,CI$13)="",10^12,OFFSET(PLE!$G$15,$M207-$A$15,CI$13)))</f>
        <v>1000000000000</v>
      </c>
      <c r="CJ207" s="172">
        <f t="array" aca="1" ref="CJ207" ca="1">IF(OR($D207&lt;&gt;"Serviço",AND(AUTOEVENTO="Manual",$M207=$A$15),$M207&gt;(ROW(PLE.lastrow)-ROW(PLE.firstrow))),0,
           IF(OFFSET(PLE!$G$15,$M207-$A$15,CJ$13)="",10^12,OFFSET(PLE!$G$15,$M207-$A$15,CJ$13)))</f>
        <v>1000000000000</v>
      </c>
      <c r="CK207" s="172">
        <f t="array" aca="1" ref="CK207" ca="1">IF(OR($D207&lt;&gt;"Serviço",AND(AUTOEVENTO="Manual",$M207=$A$15),$M207&gt;(ROW(PLE.lastrow)-ROW(PLE.firstrow))),0,
           IF(OFFSET(PLE!$G$15,$M207-$A$15,CK$13)="",10^12,OFFSET(PLE!$G$15,$M207-$A$15,CK$13)))</f>
        <v>1000000000000</v>
      </c>
      <c r="CL207" s="172">
        <f t="array" aca="1" ref="CL207" ca="1">IF(OR($D207&lt;&gt;"Serviço",AND(AUTOEVENTO="Manual",$M207=$A$15),$M207&gt;(ROW(PLE.lastrow)-ROW(PLE.firstrow))),0,
           IF(OFFSET(PLE!$G$15,$M207-$A$15,CL$13)="",10^12,OFFSET(PLE!$G$15,$M207-$A$15,CL$13)))</f>
        <v>1000000000000</v>
      </c>
      <c r="CM207" s="172">
        <f t="array" aca="1" ref="CM207" ca="1">IF(OR($D207&lt;&gt;"Serviço",AND(AUTOEVENTO="Manual",$M207=$A$15),$M207&gt;(ROW(PLE.lastrow)-ROW(PLE.firstrow))),0,
           IF(OFFSET(PLE!$G$15,$M207-$A$15,CM$13)="",10^12,OFFSET(PLE!$G$15,$M207-$A$15,CM$13)))</f>
        <v>1000000000000</v>
      </c>
    </row>
    <row r="208" spans="1:91" s="696" customFormat="1" ht="63.75" x14ac:dyDescent="0.2">
      <c r="A208" s="694">
        <f t="shared" ca="1" si="98"/>
        <v>31</v>
      </c>
      <c r="B208" s="694" t="str">
        <f ca="1">OFFSET(ORÇAMENTO!C$15,$L208,0)</f>
        <v>S</v>
      </c>
      <c r="C208" s="694" t="str">
        <f ca="1">OFFSET(ORÇAMENTO!L$15,$L208,0)</f>
        <v>F</v>
      </c>
      <c r="D208" s="116" t="str">
        <f ca="1">OFFSET(ORÇAMENTO!N$15,$L208,0)</f>
        <v>Serviço</v>
      </c>
      <c r="E208" s="117" t="str">
        <f ca="1">OFFSET(ORÇAMENTO!O$15,$L208,0)</f>
        <v>1.30.12.</v>
      </c>
      <c r="F208" s="163" t="str">
        <f ca="1">OFFSET(ORÇAMENTO!R$15,$L208,0)</f>
        <v>TUBO PVC, SERIE NORMAL, ESGOTO PREDIAL, DN 100 MM, FORNECIDO E INSTALADO EM RAMAL DE DESCARGA OU RAMAL DE ESGOTO SANITÁRIO. AF_08/2022</v>
      </c>
      <c r="G208" s="164" t="str">
        <f ca="1">IF($D208&lt;&gt;"Serviço","",OFFSET(ORÇAMENTO!S$15,$L208,0))</f>
        <v>M</v>
      </c>
      <c r="H208" s="122">
        <f t="array" aca="1" ref="H208" ca="1">IF($D208&lt;&gt;"Serviço",0,IF(ACOMPANHAMENTO="BM",ROUND(OFFSET(ORÇAMENTO!AJ$15,$L208,0),15-13*ORÇAMENTO!$AF$7),IF(IFERROR(CÁLCULO.FrentesPreenchidas,0)=0,0,SUM(ROUND(OFFSET($P208,0,1,1,CÁLCULO.FrentesPreenchidas),15-13*ORÇAMENTO!$AF$7)))))</f>
        <v>676</v>
      </c>
      <c r="I208" s="467" t="s">
        <v>1336</v>
      </c>
      <c r="J208" s="653" t="str">
        <f t="array" aca="1" ref="J208" ca="1">IF(OR(B208&lt;&gt;"S",CÁLCULO.FrentesPreenchidas=0),"",IF(AND(ACOMPANHAMENTO="PLE",AUTOEVENTO="Manual",OR(H208&gt;0,ORÇAMENTO!AC208="QUANT."),OR(K208="",M208=0,N208="")),"►E",IF(AND(ACOMPANHAMENTO="PLE",ORÇAMENTO!AC208="QUANT."),"►Q",IF(AND(ACOMPANHAMENTO="PLE",H208&lt;&gt;SUMPRODUCT(($Q$1:$AI$1=1)*ROUND(Q208:AI208,15))),"►S",IF(AND(COUNTIF($P$11:$AI$11,"▼")=0,H208&gt;0,I208=""),"◄M","")))))</f>
        <v/>
      </c>
      <c r="K208" s="654" t="s">
        <v>1447</v>
      </c>
      <c r="L208" s="165">
        <f t="shared" ca="1" si="99"/>
        <v>193</v>
      </c>
      <c r="M208" s="166">
        <f ca="1">IF($D208&lt;&gt;"Serviço","",
          IF(AUTOEVENTO="manual",$A208,
                IF(ISERROR(MATCH($A208,$A$15:OFFSET($A208,-1,0),0)),MAX($M$15:OFFSET(M208,-1,0))+1,
                      INDEX($M$15:OFFSET(M208,-1,0),MATCH($A208,$A$15:OFFSET($A208,-1,0),0)))))</f>
        <v>31</v>
      </c>
      <c r="N208" s="167" t="str">
        <f ca="1">IF($D208&lt;&gt;"Serviço","",
         IF(AUTOEVENTO="Manual",
                IF($A208=0,"&lt;-- defina o número do agrupador",
                       OFFSET(EVENTOS!$D$15,$A208-$A$15,0)),
                OFFSET($F$15,$A208,0)))</f>
        <v>REDE PLUVIAL E ESGOTO</v>
      </c>
      <c r="O208" s="168"/>
      <c r="Q208" s="169">
        <f>33.8*5</f>
        <v>169</v>
      </c>
      <c r="R208" s="169">
        <f t="shared" ref="R208:T208" si="102">33.8*5</f>
        <v>169</v>
      </c>
      <c r="S208" s="169">
        <f t="shared" si="102"/>
        <v>169</v>
      </c>
      <c r="T208" s="169">
        <f t="shared" si="102"/>
        <v>169</v>
      </c>
      <c r="U208" s="169"/>
      <c r="V208" s="169"/>
      <c r="W208" s="169"/>
      <c r="X208" s="169"/>
      <c r="Y208" s="169"/>
      <c r="Z208" s="170"/>
      <c r="AA208" s="169"/>
      <c r="AB208" s="169"/>
      <c r="AC208" s="169"/>
      <c r="AD208" s="169"/>
      <c r="AE208" s="169"/>
      <c r="AF208" s="169"/>
      <c r="AG208" s="169"/>
      <c r="AH208" s="170"/>
      <c r="AJ208" s="452">
        <f ca="1">IF(AND($D208="Serviço",AJ$12&lt;&gt;0,$H208&gt;0,OR(AUTOEVENTO&lt;&gt;"manual",$M208&lt;&gt;$A$15)),
        IF(Import.TipoArredondamento&lt;&gt;"TransfereGOV",
              ROUND(OFFSET($P208,0,AJ$13),15-13*ORÇAMENTO!$AF$7)/$H208*OFFSET(ORÇAMENTO!$X$15,ROW(AJ208)-ROW(AJ$15),0),
              ROUND(ROUND(OFFSET($P208,0,AJ$13),15-13*ORÇAMENTO!$AF$7)*OFFSET(ORÇAMENTO!$W$15,ROW(AJ208)-ROW(AJ$15),0),15-13*ORÇAMENTO!$AF$11)),
         0)</f>
        <v>7831.46</v>
      </c>
      <c r="AK208" s="452">
        <f ca="1">IF(AND($D208="Serviço",AK$12&lt;&gt;0,$H208&gt;0,OR(AUTOEVENTO&lt;&gt;"manual",$M208&lt;&gt;$A$15)),
        IF(Import.TipoArredondamento&lt;&gt;"TransfereGOV",
              ROUND(OFFSET($P208,0,AK$13),15-13*ORÇAMENTO!$AF$7)/$H208*OFFSET(ORÇAMENTO!$X$15,ROW(AK208)-ROW(AK$15),0),
              ROUND(ROUND(OFFSET($P208,0,AK$13),15-13*ORÇAMENTO!$AF$7)*OFFSET(ORÇAMENTO!$W$15,ROW(AK208)-ROW(AK$15),0),15-13*ORÇAMENTO!$AF$11)),
         0)</f>
        <v>7831.46</v>
      </c>
      <c r="AL208" s="452">
        <f ca="1">IF(AND($D208="Serviço",AL$12&lt;&gt;0,$H208&gt;0,OR(AUTOEVENTO&lt;&gt;"manual",$M208&lt;&gt;$A$15)),
        IF(Import.TipoArredondamento&lt;&gt;"TransfereGOV",
              ROUND(OFFSET($P208,0,AL$13),15-13*ORÇAMENTO!$AF$7)/$H208*OFFSET(ORÇAMENTO!$X$15,ROW(AL208)-ROW(AL$15),0),
              ROUND(ROUND(OFFSET($P208,0,AL$13),15-13*ORÇAMENTO!$AF$7)*OFFSET(ORÇAMENTO!$W$15,ROW(AL208)-ROW(AL$15),0),15-13*ORÇAMENTO!$AF$11)),
         0)</f>
        <v>7831.46</v>
      </c>
      <c r="AM208" s="452">
        <f ca="1">IF(AND($D208="Serviço",AM$12&lt;&gt;0,$H208&gt;0,OR(AUTOEVENTO&lt;&gt;"manual",$M208&lt;&gt;$A$15)),
        IF(Import.TipoArredondamento&lt;&gt;"TransfereGOV",
              ROUND(OFFSET($P208,0,AM$13),15-13*ORÇAMENTO!$AF$7)/$H208*OFFSET(ORÇAMENTO!$X$15,ROW(AM208)-ROW(AM$15),0),
              ROUND(ROUND(OFFSET($P208,0,AM$13),15-13*ORÇAMENTO!$AF$7)*OFFSET(ORÇAMENTO!$W$15,ROW(AM208)-ROW(AM$15),0),15-13*ORÇAMENTO!$AF$11)),
         0)</f>
        <v>7831.46</v>
      </c>
      <c r="AN208" s="452">
        <f ca="1">IF(AND($D208="Serviço",AN$12&lt;&gt;0,$H208&gt;0,OR(AUTOEVENTO&lt;&gt;"manual",$M208&lt;&gt;$A$15)),
        IF(Import.TipoArredondamento&lt;&gt;"TransfereGOV",
              ROUND(OFFSET($P208,0,AN$13),15-13*ORÇAMENTO!$AF$7)/$H208*OFFSET(ORÇAMENTO!$X$15,ROW(AN208)-ROW(AN$15),0),
              ROUND(ROUND(OFFSET($P208,0,AN$13),15-13*ORÇAMENTO!$AF$7)*OFFSET(ORÇAMENTO!$W$15,ROW(AN208)-ROW(AN$15),0),15-13*ORÇAMENTO!$AF$11)),
         0)</f>
        <v>0</v>
      </c>
      <c r="AO208" s="452">
        <f ca="1">IF(AND($D208="Serviço",AO$12&lt;&gt;0,$H208&gt;0,OR(AUTOEVENTO&lt;&gt;"manual",$M208&lt;&gt;$A$15)),
        IF(Import.TipoArredondamento&lt;&gt;"TransfereGOV",
              ROUND(OFFSET($P208,0,AO$13),15-13*ORÇAMENTO!$AF$7)/$H208*OFFSET(ORÇAMENTO!$X$15,ROW(AO208)-ROW(AO$15),0),
              ROUND(ROUND(OFFSET($P208,0,AO$13),15-13*ORÇAMENTO!$AF$7)*OFFSET(ORÇAMENTO!$W$15,ROW(AO208)-ROW(AO$15),0),15-13*ORÇAMENTO!$AF$11)),
         0)</f>
        <v>0</v>
      </c>
      <c r="AP208" s="452">
        <f ca="1">IF(AND($D208="Serviço",AP$12&lt;&gt;0,$H208&gt;0,OR(AUTOEVENTO&lt;&gt;"manual",$M208&lt;&gt;$A$15)),
        IF(Import.TipoArredondamento&lt;&gt;"TransfereGOV",
              ROUND(OFFSET($P208,0,AP$13),15-13*ORÇAMENTO!$AF$7)/$H208*OFFSET(ORÇAMENTO!$X$15,ROW(AP208)-ROW(AP$15),0),
              ROUND(ROUND(OFFSET($P208,0,AP$13),15-13*ORÇAMENTO!$AF$7)*OFFSET(ORÇAMENTO!$W$15,ROW(AP208)-ROW(AP$15),0),15-13*ORÇAMENTO!$AF$11)),
         0)</f>
        <v>0</v>
      </c>
      <c r="AQ208" s="452">
        <f ca="1">IF(AND($D208="Serviço",AQ$12&lt;&gt;0,$H208&gt;0,OR(AUTOEVENTO&lt;&gt;"manual",$M208&lt;&gt;$A$15)),
        IF(Import.TipoArredondamento&lt;&gt;"TransfereGOV",
              ROUND(OFFSET($P208,0,AQ$13),15-13*ORÇAMENTO!$AF$7)/$H208*OFFSET(ORÇAMENTO!$X$15,ROW(AQ208)-ROW(AQ$15),0),
              ROUND(ROUND(OFFSET($P208,0,AQ$13),15-13*ORÇAMENTO!$AF$7)*OFFSET(ORÇAMENTO!$W$15,ROW(AQ208)-ROW(AQ$15),0),15-13*ORÇAMENTO!$AF$11)),
         0)</f>
        <v>0</v>
      </c>
      <c r="AR208" s="452">
        <f ca="1">IF(AND($D208="Serviço",AR$12&lt;&gt;0,$H208&gt;0,OR(AUTOEVENTO&lt;&gt;"manual",$M208&lt;&gt;$A$15)),
        IF(Import.TipoArredondamento&lt;&gt;"TransfereGOV",
              ROUND(OFFSET($P208,0,AR$13),15-13*ORÇAMENTO!$AF$7)/$H208*OFFSET(ORÇAMENTO!$X$15,ROW(AR208)-ROW(AR$15),0),
              ROUND(ROUND(OFFSET($P208,0,AR$13),15-13*ORÇAMENTO!$AF$7)*OFFSET(ORÇAMENTO!$W$15,ROW(AR208)-ROW(AR$15),0),15-13*ORÇAMENTO!$AF$11)),
         0)</f>
        <v>0</v>
      </c>
      <c r="AS208" s="452">
        <f ca="1">IF(AND($D208="Serviço",AS$12&lt;&gt;0,$H208&gt;0,OR(AUTOEVENTO&lt;&gt;"manual",$M208&lt;&gt;$A$15)),
        IF(Import.TipoArredondamento&lt;&gt;"TransfereGOV",
              ROUND(OFFSET($P208,0,AS$13),15-13*ORÇAMENTO!$AF$7)/$H208*OFFSET(ORÇAMENTO!$X$15,ROW(AS208)-ROW(AS$15),0),
              ROUND(ROUND(OFFSET($P208,0,AS$13),15-13*ORÇAMENTO!$AF$7)*OFFSET(ORÇAMENTO!$W$15,ROW(AS208)-ROW(AS$15),0),15-13*ORÇAMENTO!$AF$11)),
         0)</f>
        <v>0</v>
      </c>
      <c r="AT208" s="452">
        <f ca="1">IF(AND($D208="Serviço",AT$12&lt;&gt;0,$H208&gt;0,OR(AUTOEVENTO&lt;&gt;"manual",$M208&lt;&gt;$A$15)),
        IF(Import.TipoArredondamento&lt;&gt;"TransfereGOV",
              ROUND(OFFSET($P208,0,AT$13),15-13*ORÇAMENTO!$AF$7)/$H208*OFFSET(ORÇAMENTO!$X$15,ROW(AT208)-ROW(AT$15),0),
              ROUND(ROUND(OFFSET($P208,0,AT$13),15-13*ORÇAMENTO!$AF$7)*OFFSET(ORÇAMENTO!$W$15,ROW(AT208)-ROW(AT$15),0),15-13*ORÇAMENTO!$AF$11)),
         0)</f>
        <v>0</v>
      </c>
      <c r="AU208" s="452">
        <f ca="1">IF(AND($D208="Serviço",AU$12&lt;&gt;0,$H208&gt;0,OR(AUTOEVENTO&lt;&gt;"manual",$M208&lt;&gt;$A$15)),
        IF(Import.TipoArredondamento&lt;&gt;"TransfereGOV",
              ROUND(OFFSET($P208,0,AU$13),15-13*ORÇAMENTO!$AF$7)/$H208*OFFSET(ORÇAMENTO!$X$15,ROW(AU208)-ROW(AU$15),0),
              ROUND(ROUND(OFFSET($P208,0,AU$13),15-13*ORÇAMENTO!$AF$7)*OFFSET(ORÇAMENTO!$W$15,ROW(AU208)-ROW(AU$15),0),15-13*ORÇAMENTO!$AF$11)),
         0)</f>
        <v>0</v>
      </c>
      <c r="AV208" s="452">
        <f ca="1">IF(AND($D208="Serviço",AV$12&lt;&gt;0,$H208&gt;0,OR(AUTOEVENTO&lt;&gt;"manual",$M208&lt;&gt;$A$15)),
        IF(Import.TipoArredondamento&lt;&gt;"TransfereGOV",
              ROUND(OFFSET($P208,0,AV$13),15-13*ORÇAMENTO!$AF$7)/$H208*OFFSET(ORÇAMENTO!$X$15,ROW(AV208)-ROW(AV$15),0),
              ROUND(ROUND(OFFSET($P208,0,AV$13),15-13*ORÇAMENTO!$AF$7)*OFFSET(ORÇAMENTO!$W$15,ROW(AV208)-ROW(AV$15),0),15-13*ORÇAMENTO!$AF$11)),
         0)</f>
        <v>0</v>
      </c>
      <c r="AW208" s="452">
        <f ca="1">IF(AND($D208="Serviço",AW$12&lt;&gt;0,$H208&gt;0,OR(AUTOEVENTO&lt;&gt;"manual",$M208&lt;&gt;$A$15)),
        IF(Import.TipoArredondamento&lt;&gt;"TransfereGOV",
              ROUND(OFFSET($P208,0,AW$13),15-13*ORÇAMENTO!$AF$7)/$H208*OFFSET(ORÇAMENTO!$X$15,ROW(AW208)-ROW(AW$15),0),
              ROUND(ROUND(OFFSET($P208,0,AW$13),15-13*ORÇAMENTO!$AF$7)*OFFSET(ORÇAMENTO!$W$15,ROW(AW208)-ROW(AW$15),0),15-13*ORÇAMENTO!$AF$11)),
         0)</f>
        <v>0</v>
      </c>
      <c r="AX208" s="452">
        <f ca="1">IF(AND($D208="Serviço",AX$12&lt;&gt;0,$H208&gt;0,OR(AUTOEVENTO&lt;&gt;"manual",$M208&lt;&gt;$A$15)),
        IF(Import.TipoArredondamento&lt;&gt;"TransfereGOV",
              ROUND(OFFSET($P208,0,AX$13),15-13*ORÇAMENTO!$AF$7)/$H208*OFFSET(ORÇAMENTO!$X$15,ROW(AX208)-ROW(AX$15),0),
              ROUND(ROUND(OFFSET($P208,0,AX$13),15-13*ORÇAMENTO!$AF$7)*OFFSET(ORÇAMENTO!$W$15,ROW(AX208)-ROW(AX$15),0),15-13*ORÇAMENTO!$AF$11)),
         0)</f>
        <v>0</v>
      </c>
      <c r="AY208" s="452">
        <f ca="1">IF(AND($D208="Serviço",AY$12&lt;&gt;0,$H208&gt;0,OR(AUTOEVENTO&lt;&gt;"manual",$M208&lt;&gt;$A$15)),
        IF(Import.TipoArredondamento&lt;&gt;"TransfereGOV",
              ROUND(OFFSET($P208,0,AY$13),15-13*ORÇAMENTO!$AF$7)/$H208*OFFSET(ORÇAMENTO!$X$15,ROW(AY208)-ROW(AY$15),0),
              ROUND(ROUND(OFFSET($P208,0,AY$13),15-13*ORÇAMENTO!$AF$7)*OFFSET(ORÇAMENTO!$W$15,ROW(AY208)-ROW(AY$15),0),15-13*ORÇAMENTO!$AF$11)),
         0)</f>
        <v>0</v>
      </c>
      <c r="AZ208" s="452">
        <f ca="1">IF(AND($D208="Serviço",AZ$12&lt;&gt;0,$H208&gt;0,OR(AUTOEVENTO&lt;&gt;"manual",$M208&lt;&gt;$A$15)),
        IF(Import.TipoArredondamento&lt;&gt;"TransfereGOV",
              ROUND(OFFSET($P208,0,AZ$13),15-13*ORÇAMENTO!$AF$7)/$H208*OFFSET(ORÇAMENTO!$X$15,ROW(AZ208)-ROW(AZ$15),0),
              ROUND(ROUND(OFFSET($P208,0,AZ$13),15-13*ORÇAMENTO!$AF$7)*OFFSET(ORÇAMENTO!$W$15,ROW(AZ208)-ROW(AZ$15),0),15-13*ORÇAMENTO!$AF$11)),
         0)</f>
        <v>0</v>
      </c>
      <c r="BA208" s="452">
        <f ca="1">IF(AND($D208="Serviço",BA$12&lt;&gt;0,$H208&gt;0,OR(AUTOEVENTO&lt;&gt;"manual",$M208&lt;&gt;$A$15)),
        IF(Import.TipoArredondamento&lt;&gt;"TransfereGOV",
              ROUND(OFFSET($P208,0,BA$13),15-13*ORÇAMENTO!$AF$7)/$H208*OFFSET(ORÇAMENTO!$X$15,ROW(BA208)-ROW(BA$15),0),
              ROUND(ROUND(OFFSET($P208,0,BA$13),15-13*ORÇAMENTO!$AF$7)*OFFSET(ORÇAMENTO!$W$15,ROW(BA208)-ROW(BA$15),0),15-13*ORÇAMENTO!$AF$11)),
         0)</f>
        <v>0</v>
      </c>
      <c r="BC208" s="171">
        <f ca="1">IF(OR($D208&lt;&gt;"Serviço",AND(AUTOEVENTO="Manual",$M208=$A$15)),0,
         IF(OFFSET(CRONOPLE!$F$15,$M208-$A$15,BC$13)=0,10^12,OFFSET(CRONOPLE!$F$15,$M208-$A$15,BC$13)))</f>
        <v>5</v>
      </c>
      <c r="BD208" s="171">
        <f ca="1">IF(OR($D208&lt;&gt;"Serviço",AND(AUTOEVENTO="Manual",$M208=$A$15)),0,
         IF(OFFSET(CRONOPLE!$F$15,$M208-$A$15,BD$13)=0,10^12,OFFSET(CRONOPLE!$F$15,$M208-$A$15,BD$13)))</f>
        <v>5</v>
      </c>
      <c r="BE208" s="171">
        <f ca="1">IF(OR($D208&lt;&gt;"Serviço",AND(AUTOEVENTO="Manual",$M208=$A$15)),0,
         IF(OFFSET(CRONOPLE!$F$15,$M208-$A$15,BE$13)=0,10^12,OFFSET(CRONOPLE!$F$15,$M208-$A$15,BE$13)))</f>
        <v>6</v>
      </c>
      <c r="BF208" s="171">
        <f ca="1">IF(OR($D208&lt;&gt;"Serviço",AND(AUTOEVENTO="Manual",$M208=$A$15)),0,
         IF(OFFSET(CRONOPLE!$F$15,$M208-$A$15,BF$13)=0,10^12,OFFSET(CRONOPLE!$F$15,$M208-$A$15,BF$13)))</f>
        <v>6</v>
      </c>
      <c r="BG208" s="171">
        <f ca="1">IF(OR($D208&lt;&gt;"Serviço",AND(AUTOEVENTO="Manual",$M208=$A$15)),0,
         IF(OFFSET(CRONOPLE!$F$15,$M208-$A$15,BG$13)=0,10^12,OFFSET(CRONOPLE!$F$15,$M208-$A$15,BG$13)))</f>
        <v>6</v>
      </c>
      <c r="BH208" s="171">
        <f ca="1">IF(OR($D208&lt;&gt;"Serviço",AND(AUTOEVENTO="Manual",$M208=$A$15)),0,
         IF(OFFSET(CRONOPLE!$F$15,$M208-$A$15,BH$13)=0,10^12,OFFSET(CRONOPLE!$F$15,$M208-$A$15,BH$13)))</f>
        <v>1000000000000</v>
      </c>
      <c r="BI208" s="171">
        <f ca="1">IF(OR($D208&lt;&gt;"Serviço",AND(AUTOEVENTO="Manual",$M208=$A$15)),0,
         IF(OFFSET(CRONOPLE!$F$15,$M208-$A$15,BI$13)=0,10^12,OFFSET(CRONOPLE!$F$15,$M208-$A$15,BI$13)))</f>
        <v>1000000000000</v>
      </c>
      <c r="BJ208" s="171">
        <f ca="1">IF(OR($D208&lt;&gt;"Serviço",AND(AUTOEVENTO="Manual",$M208=$A$15)),0,
         IF(OFFSET(CRONOPLE!$F$15,$M208-$A$15,BJ$13)=0,10^12,OFFSET(CRONOPLE!$F$15,$M208-$A$15,BJ$13)))</f>
        <v>1000000000000</v>
      </c>
      <c r="BK208" s="171">
        <f ca="1">IF(OR($D208&lt;&gt;"Serviço",AND(AUTOEVENTO="Manual",$M208=$A$15)),0,
         IF(OFFSET(CRONOPLE!$F$15,$M208-$A$15,BK$13)=0,10^12,OFFSET(CRONOPLE!$F$15,$M208-$A$15,BK$13)))</f>
        <v>9</v>
      </c>
      <c r="BL208" s="171">
        <f ca="1">IF(OR($D208&lt;&gt;"Serviço",AND(AUTOEVENTO="Manual",$M208=$A$15)),0,
         IF(OFFSET(CRONOPLE!$F$15,$M208-$A$15,BL$13)=0,10^12,OFFSET(CRONOPLE!$F$15,$M208-$A$15,BL$13)))</f>
        <v>1000000000000</v>
      </c>
      <c r="BM208" s="171">
        <f ca="1">IF(OR($D208&lt;&gt;"Serviço",AND(AUTOEVENTO="Manual",$M208=$A$15)),0,
         IF(OFFSET(CRONOPLE!$F$15,$M208-$A$15,BM$13)=0,10^12,OFFSET(CRONOPLE!$F$15,$M208-$A$15,BM$13)))</f>
        <v>1000000000000</v>
      </c>
      <c r="BN208" s="171">
        <f ca="1">IF(OR($D208&lt;&gt;"Serviço",AND(AUTOEVENTO="Manual",$M208=$A$15)),0,
         IF(OFFSET(CRONOPLE!$F$15,$M208-$A$15,BN$13)=0,10^12,OFFSET(CRONOPLE!$F$15,$M208-$A$15,BN$13)))</f>
        <v>1000000000000</v>
      </c>
      <c r="BO208" s="171">
        <f ca="1">IF(OR($D208&lt;&gt;"Serviço",AND(AUTOEVENTO="Manual",$M208=$A$15)),0,
         IF(OFFSET(CRONOPLE!$F$15,$M208-$A$15,BO$13)=0,10^12,OFFSET(CRONOPLE!$F$15,$M208-$A$15,BO$13)))</f>
        <v>1000000000000</v>
      </c>
      <c r="BP208" s="171">
        <f ca="1">IF(OR($D208&lt;&gt;"Serviço",AND(AUTOEVENTO="Manual",$M208=$A$15)),0,
         IF(OFFSET(CRONOPLE!$F$15,$M208-$A$15,BP$13)=0,10^12,OFFSET(CRONOPLE!$F$15,$M208-$A$15,BP$13)))</f>
        <v>1000000000000</v>
      </c>
      <c r="BQ208" s="171">
        <f ca="1">IF(OR($D208&lt;&gt;"Serviço",AND(AUTOEVENTO="Manual",$M208=$A$15)),0,
         IF(OFFSET(CRONOPLE!$F$15,$M208-$A$15,BQ$13)=0,10^12,OFFSET(CRONOPLE!$F$15,$M208-$A$15,BQ$13)))</f>
        <v>1000000000000</v>
      </c>
      <c r="BR208" s="171">
        <f ca="1">IF(OR($D208&lt;&gt;"Serviço",AND(AUTOEVENTO="Manual",$M208=$A$15)),0,
         IF(OFFSET(CRONOPLE!$F$15,$M208-$A$15,BR$13)=0,10^12,OFFSET(CRONOPLE!$F$15,$M208-$A$15,BR$13)))</f>
        <v>1000000000000</v>
      </c>
      <c r="BS208" s="171">
        <f ca="1">IF(OR($D208&lt;&gt;"Serviço",AND(AUTOEVENTO="Manual",$M208=$A$15)),0,
         IF(OFFSET(CRONOPLE!$F$15,$M208-$A$15,BS$13)=0,10^12,OFFSET(CRONOPLE!$F$15,$M208-$A$15,BS$13)))</f>
        <v>1000000000000</v>
      </c>
      <c r="BT208" s="171">
        <f ca="1">IF(OR($D208&lt;&gt;"Serviço",AND(AUTOEVENTO="Manual",$M208=$A$15)),0,
         IF(OFFSET(CRONOPLE!$F$15,$M208-$A$15,BT$13)=0,10^12,OFFSET(CRONOPLE!$F$15,$M208-$A$15,BT$13)))</f>
        <v>1000000000000</v>
      </c>
      <c r="BV208" s="172">
        <f t="array" aca="1" ref="BV208" ca="1">IF(OR($D208&lt;&gt;"Serviço",AND(AUTOEVENTO="Manual",$M208=$A$15),$M208&gt;(ROW(PLE.lastrow)-ROW(PLE.firstrow))),0,
           IF(OFFSET(PLE!$G$15,$M208-$A$15,BV$13)="",10^12,OFFSET(PLE!$G$15,$M208-$A$15,BV$13)))</f>
        <v>1000000000000</v>
      </c>
      <c r="BW208" s="172">
        <f t="array" aca="1" ref="BW208" ca="1">IF(OR($D208&lt;&gt;"Serviço",AND(AUTOEVENTO="Manual",$M208=$A$15),$M208&gt;(ROW(PLE.lastrow)-ROW(PLE.firstrow))),0,
           IF(OFFSET(PLE!$G$15,$M208-$A$15,BW$13)="",10^12,OFFSET(PLE!$G$15,$M208-$A$15,BW$13)))</f>
        <v>1000000000000</v>
      </c>
      <c r="BX208" s="172">
        <f t="array" aca="1" ref="BX208" ca="1">IF(OR($D208&lt;&gt;"Serviço",AND(AUTOEVENTO="Manual",$M208=$A$15),$M208&gt;(ROW(PLE.lastrow)-ROW(PLE.firstrow))),0,
           IF(OFFSET(PLE!$G$15,$M208-$A$15,BX$13)="",10^12,OFFSET(PLE!$G$15,$M208-$A$15,BX$13)))</f>
        <v>1000000000000</v>
      </c>
      <c r="BY208" s="172">
        <f t="array" aca="1" ref="BY208" ca="1">IF(OR($D208&lt;&gt;"Serviço",AND(AUTOEVENTO="Manual",$M208=$A$15),$M208&gt;(ROW(PLE.lastrow)-ROW(PLE.firstrow))),0,
           IF(OFFSET(PLE!$G$15,$M208-$A$15,BY$13)="",10^12,OFFSET(PLE!$G$15,$M208-$A$15,BY$13)))</f>
        <v>1000000000000</v>
      </c>
      <c r="BZ208" s="172">
        <f t="array" aca="1" ref="BZ208" ca="1">IF(OR($D208&lt;&gt;"Serviço",AND(AUTOEVENTO="Manual",$M208=$A$15),$M208&gt;(ROW(PLE.lastrow)-ROW(PLE.firstrow))),0,
           IF(OFFSET(PLE!$G$15,$M208-$A$15,BZ$13)="",10^12,OFFSET(PLE!$G$15,$M208-$A$15,BZ$13)))</f>
        <v>1000000000000</v>
      </c>
      <c r="CA208" s="172">
        <f t="array" aca="1" ref="CA208" ca="1">IF(OR($D208&lt;&gt;"Serviço",AND(AUTOEVENTO="Manual",$M208=$A$15),$M208&gt;(ROW(PLE.lastrow)-ROW(PLE.firstrow))),0,
           IF(OFFSET(PLE!$G$15,$M208-$A$15,CA$13)="",10^12,OFFSET(PLE!$G$15,$M208-$A$15,CA$13)))</f>
        <v>1000000000000</v>
      </c>
      <c r="CB208" s="172">
        <f t="array" aca="1" ref="CB208" ca="1">IF(OR($D208&lt;&gt;"Serviço",AND(AUTOEVENTO="Manual",$M208=$A$15),$M208&gt;(ROW(PLE.lastrow)-ROW(PLE.firstrow))),0,
           IF(OFFSET(PLE!$G$15,$M208-$A$15,CB$13)="",10^12,OFFSET(PLE!$G$15,$M208-$A$15,CB$13)))</f>
        <v>1000000000000</v>
      </c>
      <c r="CC208" s="172">
        <f t="array" aca="1" ref="CC208" ca="1">IF(OR($D208&lt;&gt;"Serviço",AND(AUTOEVENTO="Manual",$M208=$A$15),$M208&gt;(ROW(PLE.lastrow)-ROW(PLE.firstrow))),0,
           IF(OFFSET(PLE!$G$15,$M208-$A$15,CC$13)="",10^12,OFFSET(PLE!$G$15,$M208-$A$15,CC$13)))</f>
        <v>1000000000000</v>
      </c>
      <c r="CD208" s="172">
        <f t="array" aca="1" ref="CD208" ca="1">IF(OR($D208&lt;&gt;"Serviço",AND(AUTOEVENTO="Manual",$M208=$A$15),$M208&gt;(ROW(PLE.lastrow)-ROW(PLE.firstrow))),0,
           IF(OFFSET(PLE!$G$15,$M208-$A$15,CD$13)="",10^12,OFFSET(PLE!$G$15,$M208-$A$15,CD$13)))</f>
        <v>1000000000000</v>
      </c>
      <c r="CE208" s="172">
        <f t="array" aca="1" ref="CE208" ca="1">IF(OR($D208&lt;&gt;"Serviço",AND(AUTOEVENTO="Manual",$M208=$A$15),$M208&gt;(ROW(PLE.lastrow)-ROW(PLE.firstrow))),0,
           IF(OFFSET(PLE!$G$15,$M208-$A$15,CE$13)="",10^12,OFFSET(PLE!$G$15,$M208-$A$15,CE$13)))</f>
        <v>1000000000000</v>
      </c>
      <c r="CF208" s="172">
        <f t="array" aca="1" ref="CF208" ca="1">IF(OR($D208&lt;&gt;"Serviço",AND(AUTOEVENTO="Manual",$M208=$A$15),$M208&gt;(ROW(PLE.lastrow)-ROW(PLE.firstrow))),0,
           IF(OFFSET(PLE!$G$15,$M208-$A$15,CF$13)="",10^12,OFFSET(PLE!$G$15,$M208-$A$15,CF$13)))</f>
        <v>1000000000000</v>
      </c>
      <c r="CG208" s="172">
        <f t="array" aca="1" ref="CG208" ca="1">IF(OR($D208&lt;&gt;"Serviço",AND(AUTOEVENTO="Manual",$M208=$A$15),$M208&gt;(ROW(PLE.lastrow)-ROW(PLE.firstrow))),0,
           IF(OFFSET(PLE!$G$15,$M208-$A$15,CG$13)="",10^12,OFFSET(PLE!$G$15,$M208-$A$15,CG$13)))</f>
        <v>1000000000000</v>
      </c>
      <c r="CH208" s="172">
        <f t="array" aca="1" ref="CH208" ca="1">IF(OR($D208&lt;&gt;"Serviço",AND(AUTOEVENTO="Manual",$M208=$A$15),$M208&gt;(ROW(PLE.lastrow)-ROW(PLE.firstrow))),0,
           IF(OFFSET(PLE!$G$15,$M208-$A$15,CH$13)="",10^12,OFFSET(PLE!$G$15,$M208-$A$15,CH$13)))</f>
        <v>1000000000000</v>
      </c>
      <c r="CI208" s="172">
        <f t="array" aca="1" ref="CI208" ca="1">IF(OR($D208&lt;&gt;"Serviço",AND(AUTOEVENTO="Manual",$M208=$A$15),$M208&gt;(ROW(PLE.lastrow)-ROW(PLE.firstrow))),0,
           IF(OFFSET(PLE!$G$15,$M208-$A$15,CI$13)="",10^12,OFFSET(PLE!$G$15,$M208-$A$15,CI$13)))</f>
        <v>1000000000000</v>
      </c>
      <c r="CJ208" s="172">
        <f t="array" aca="1" ref="CJ208" ca="1">IF(OR($D208&lt;&gt;"Serviço",AND(AUTOEVENTO="Manual",$M208=$A$15),$M208&gt;(ROW(PLE.lastrow)-ROW(PLE.firstrow))),0,
           IF(OFFSET(PLE!$G$15,$M208-$A$15,CJ$13)="",10^12,OFFSET(PLE!$G$15,$M208-$A$15,CJ$13)))</f>
        <v>1000000000000</v>
      </c>
      <c r="CK208" s="172">
        <f t="array" aca="1" ref="CK208" ca="1">IF(OR($D208&lt;&gt;"Serviço",AND(AUTOEVENTO="Manual",$M208=$A$15),$M208&gt;(ROW(PLE.lastrow)-ROW(PLE.firstrow))),0,
           IF(OFFSET(PLE!$G$15,$M208-$A$15,CK$13)="",10^12,OFFSET(PLE!$G$15,$M208-$A$15,CK$13)))</f>
        <v>1000000000000</v>
      </c>
      <c r="CL208" s="172">
        <f t="array" aca="1" ref="CL208" ca="1">IF(OR($D208&lt;&gt;"Serviço",AND(AUTOEVENTO="Manual",$M208=$A$15),$M208&gt;(ROW(PLE.lastrow)-ROW(PLE.firstrow))),0,
           IF(OFFSET(PLE!$G$15,$M208-$A$15,CL$13)="",10^12,OFFSET(PLE!$G$15,$M208-$A$15,CL$13)))</f>
        <v>1000000000000</v>
      </c>
      <c r="CM208" s="172">
        <f t="array" aca="1" ref="CM208" ca="1">IF(OR($D208&lt;&gt;"Serviço",AND(AUTOEVENTO="Manual",$M208=$A$15),$M208&gt;(ROW(PLE.lastrow)-ROW(PLE.firstrow))),0,
           IF(OFFSET(PLE!$G$15,$M208-$A$15,CM$13)="",10^12,OFFSET(PLE!$G$15,$M208-$A$15,CM$13)))</f>
        <v>1000000000000</v>
      </c>
    </row>
    <row r="209" spans="1:91" s="696" customFormat="1" ht="12.75" x14ac:dyDescent="0.2">
      <c r="A209" s="694">
        <f t="shared" ca="1" si="98"/>
        <v>0</v>
      </c>
      <c r="B209" s="694">
        <f ca="1">OFFSET(ORÇAMENTO!C$15,$L209,0)</f>
        <v>2</v>
      </c>
      <c r="C209" s="694" t="str">
        <f ca="1">OFFSET(ORÇAMENTO!L$15,$L209,0)</f>
        <v>F</v>
      </c>
      <c r="D209" s="116" t="str">
        <f ca="1">OFFSET(ORÇAMENTO!N$15,$L209,0)</f>
        <v>Nível 2</v>
      </c>
      <c r="E209" s="117" t="str">
        <f ca="1">OFFSET(ORÇAMENTO!O$15,$L209,0)</f>
        <v>1.31.</v>
      </c>
      <c r="F209" s="163" t="str">
        <f ca="1">OFFSET(ORÇAMENTO!R$15,$L209,0)</f>
        <v>ACESSÓRIOS/CAIXAS</v>
      </c>
      <c r="G209" s="164" t="str">
        <f ca="1">IF($D209&lt;&gt;"Serviço","",OFFSET(ORÇAMENTO!S$15,$L209,0))</f>
        <v/>
      </c>
      <c r="H209" s="122">
        <f t="array" aca="1" ref="H209" ca="1">IF($D209&lt;&gt;"Serviço",0,IF(ACOMPANHAMENTO="BM",ROUND(OFFSET(ORÇAMENTO!AJ$15,$L209,0),15-13*ORÇAMENTO!$AF$7),IF(IFERROR(CÁLCULO.FrentesPreenchidas,0)=0,0,SUM(ROUND(OFFSET($P209,0,1,1,CÁLCULO.FrentesPreenchidas),15-13*ORÇAMENTO!$AF$7)))))</f>
        <v>0</v>
      </c>
      <c r="I209" s="467"/>
      <c r="J209" s="653" t="str">
        <f t="array" aca="1" ref="J209" ca="1">IF(OR(B209&lt;&gt;"S",CÁLCULO.FrentesPreenchidas=0),"",IF(AND(ACOMPANHAMENTO="PLE",AUTOEVENTO="Manual",OR(H209&gt;0,ORÇAMENTO!AC209="QUANT."),OR(K209="",M209=0,N209="")),"►E",IF(AND(ACOMPANHAMENTO="PLE",ORÇAMENTO!AC209="QUANT."),"►Q",IF(AND(ACOMPANHAMENTO="PLE",H209&lt;&gt;SUMPRODUCT(($Q$1:$AI$1=1)*ROUND(Q209:AI209,15))),"►S",IF(AND(COUNTIF($P$11:$AI$11,"▼")=0,H209&gt;0,I209=""),"◄M","")))))</f>
        <v/>
      </c>
      <c r="K209" s="654"/>
      <c r="L209" s="165">
        <f t="shared" ca="1" si="99"/>
        <v>194</v>
      </c>
      <c r="M209" s="166" t="str">
        <f ca="1">IF($D209&lt;&gt;"Serviço","",
          IF(AUTOEVENTO="manual",$A209,
                IF(ISERROR(MATCH($A209,$A$15:OFFSET($A209,-1,0),0)),MAX($M$15:OFFSET(M209,-1,0))+1,
                      INDEX($M$15:OFFSET(M209,-1,0),MATCH($A209,$A$15:OFFSET($A209,-1,0),0)))))</f>
        <v/>
      </c>
      <c r="N209" s="167" t="str">
        <f ca="1">IF($D209&lt;&gt;"Serviço","",
         IF(AUTOEVENTO="Manual",
                IF($A209=0,"&lt;-- defina o número do agrupador",
                       OFFSET(EVENTOS!$D$15,$A209-$A$15,0)),
                OFFSET($F$15,$A209,0)))</f>
        <v/>
      </c>
      <c r="O209" s="168"/>
      <c r="Q209" s="169"/>
      <c r="R209" s="169"/>
      <c r="S209" s="169"/>
      <c r="T209" s="169"/>
      <c r="U209" s="169"/>
      <c r="V209" s="169"/>
      <c r="W209" s="169"/>
      <c r="X209" s="169"/>
      <c r="Y209" s="169"/>
      <c r="Z209" s="170"/>
      <c r="AA209" s="169"/>
      <c r="AB209" s="169"/>
      <c r="AC209" s="169"/>
      <c r="AD209" s="169"/>
      <c r="AE209" s="169"/>
      <c r="AF209" s="169"/>
      <c r="AG209" s="169"/>
      <c r="AH209" s="170"/>
      <c r="AJ209" s="452">
        <f ca="1">IF(AND($D209="Serviço",AJ$12&lt;&gt;0,$H209&gt;0,OR(AUTOEVENTO&lt;&gt;"manual",$M209&lt;&gt;$A$15)),
        IF(Import.TipoArredondamento&lt;&gt;"TransfereGOV",
              ROUND(OFFSET($P209,0,AJ$13),15-13*ORÇAMENTO!$AF$7)/$H209*OFFSET(ORÇAMENTO!$X$15,ROW(AJ209)-ROW(AJ$15),0),
              ROUND(ROUND(OFFSET($P209,0,AJ$13),15-13*ORÇAMENTO!$AF$7)*OFFSET(ORÇAMENTO!$W$15,ROW(AJ209)-ROW(AJ$15),0),15-13*ORÇAMENTO!$AF$11)),
         0)</f>
        <v>0</v>
      </c>
      <c r="AK209" s="452">
        <f ca="1">IF(AND($D209="Serviço",AK$12&lt;&gt;0,$H209&gt;0,OR(AUTOEVENTO&lt;&gt;"manual",$M209&lt;&gt;$A$15)),
        IF(Import.TipoArredondamento&lt;&gt;"TransfereGOV",
              ROUND(OFFSET($P209,0,AK$13),15-13*ORÇAMENTO!$AF$7)/$H209*OFFSET(ORÇAMENTO!$X$15,ROW(AK209)-ROW(AK$15),0),
              ROUND(ROUND(OFFSET($P209,0,AK$13),15-13*ORÇAMENTO!$AF$7)*OFFSET(ORÇAMENTO!$W$15,ROW(AK209)-ROW(AK$15),0),15-13*ORÇAMENTO!$AF$11)),
         0)</f>
        <v>0</v>
      </c>
      <c r="AL209" s="452">
        <f ca="1">IF(AND($D209="Serviço",AL$12&lt;&gt;0,$H209&gt;0,OR(AUTOEVENTO&lt;&gt;"manual",$M209&lt;&gt;$A$15)),
        IF(Import.TipoArredondamento&lt;&gt;"TransfereGOV",
              ROUND(OFFSET($P209,0,AL$13),15-13*ORÇAMENTO!$AF$7)/$H209*OFFSET(ORÇAMENTO!$X$15,ROW(AL209)-ROW(AL$15),0),
              ROUND(ROUND(OFFSET($P209,0,AL$13),15-13*ORÇAMENTO!$AF$7)*OFFSET(ORÇAMENTO!$W$15,ROW(AL209)-ROW(AL$15),0),15-13*ORÇAMENTO!$AF$11)),
         0)</f>
        <v>0</v>
      </c>
      <c r="AM209" s="452">
        <f ca="1">IF(AND($D209="Serviço",AM$12&lt;&gt;0,$H209&gt;0,OR(AUTOEVENTO&lt;&gt;"manual",$M209&lt;&gt;$A$15)),
        IF(Import.TipoArredondamento&lt;&gt;"TransfereGOV",
              ROUND(OFFSET($P209,0,AM$13),15-13*ORÇAMENTO!$AF$7)/$H209*OFFSET(ORÇAMENTO!$X$15,ROW(AM209)-ROW(AM$15),0),
              ROUND(ROUND(OFFSET($P209,0,AM$13),15-13*ORÇAMENTO!$AF$7)*OFFSET(ORÇAMENTO!$W$15,ROW(AM209)-ROW(AM$15),0),15-13*ORÇAMENTO!$AF$11)),
         0)</f>
        <v>0</v>
      </c>
      <c r="AN209" s="452">
        <f ca="1">IF(AND($D209="Serviço",AN$12&lt;&gt;0,$H209&gt;0,OR(AUTOEVENTO&lt;&gt;"manual",$M209&lt;&gt;$A$15)),
        IF(Import.TipoArredondamento&lt;&gt;"TransfereGOV",
              ROUND(OFFSET($P209,0,AN$13),15-13*ORÇAMENTO!$AF$7)/$H209*OFFSET(ORÇAMENTO!$X$15,ROW(AN209)-ROW(AN$15),0),
              ROUND(ROUND(OFFSET($P209,0,AN$13),15-13*ORÇAMENTO!$AF$7)*OFFSET(ORÇAMENTO!$W$15,ROW(AN209)-ROW(AN$15),0),15-13*ORÇAMENTO!$AF$11)),
         0)</f>
        <v>0</v>
      </c>
      <c r="AO209" s="452">
        <f ca="1">IF(AND($D209="Serviço",AO$12&lt;&gt;0,$H209&gt;0,OR(AUTOEVENTO&lt;&gt;"manual",$M209&lt;&gt;$A$15)),
        IF(Import.TipoArredondamento&lt;&gt;"TransfereGOV",
              ROUND(OFFSET($P209,0,AO$13),15-13*ORÇAMENTO!$AF$7)/$H209*OFFSET(ORÇAMENTO!$X$15,ROW(AO209)-ROW(AO$15),0),
              ROUND(ROUND(OFFSET($P209,0,AO$13),15-13*ORÇAMENTO!$AF$7)*OFFSET(ORÇAMENTO!$W$15,ROW(AO209)-ROW(AO$15),0),15-13*ORÇAMENTO!$AF$11)),
         0)</f>
        <v>0</v>
      </c>
      <c r="AP209" s="452">
        <f ca="1">IF(AND($D209="Serviço",AP$12&lt;&gt;0,$H209&gt;0,OR(AUTOEVENTO&lt;&gt;"manual",$M209&lt;&gt;$A$15)),
        IF(Import.TipoArredondamento&lt;&gt;"TransfereGOV",
              ROUND(OFFSET($P209,0,AP$13),15-13*ORÇAMENTO!$AF$7)/$H209*OFFSET(ORÇAMENTO!$X$15,ROW(AP209)-ROW(AP$15),0),
              ROUND(ROUND(OFFSET($P209,0,AP$13),15-13*ORÇAMENTO!$AF$7)*OFFSET(ORÇAMENTO!$W$15,ROW(AP209)-ROW(AP$15),0),15-13*ORÇAMENTO!$AF$11)),
         0)</f>
        <v>0</v>
      </c>
      <c r="AQ209" s="452">
        <f ca="1">IF(AND($D209="Serviço",AQ$12&lt;&gt;0,$H209&gt;0,OR(AUTOEVENTO&lt;&gt;"manual",$M209&lt;&gt;$A$15)),
        IF(Import.TipoArredondamento&lt;&gt;"TransfereGOV",
              ROUND(OFFSET($P209,0,AQ$13),15-13*ORÇAMENTO!$AF$7)/$H209*OFFSET(ORÇAMENTO!$X$15,ROW(AQ209)-ROW(AQ$15),0),
              ROUND(ROUND(OFFSET($P209,0,AQ$13),15-13*ORÇAMENTO!$AF$7)*OFFSET(ORÇAMENTO!$W$15,ROW(AQ209)-ROW(AQ$15),0),15-13*ORÇAMENTO!$AF$11)),
         0)</f>
        <v>0</v>
      </c>
      <c r="AR209" s="452">
        <f ca="1">IF(AND($D209="Serviço",AR$12&lt;&gt;0,$H209&gt;0,OR(AUTOEVENTO&lt;&gt;"manual",$M209&lt;&gt;$A$15)),
        IF(Import.TipoArredondamento&lt;&gt;"TransfereGOV",
              ROUND(OFFSET($P209,0,AR$13),15-13*ORÇAMENTO!$AF$7)/$H209*OFFSET(ORÇAMENTO!$X$15,ROW(AR209)-ROW(AR$15),0),
              ROUND(ROUND(OFFSET($P209,0,AR$13),15-13*ORÇAMENTO!$AF$7)*OFFSET(ORÇAMENTO!$W$15,ROW(AR209)-ROW(AR$15),0),15-13*ORÇAMENTO!$AF$11)),
         0)</f>
        <v>0</v>
      </c>
      <c r="AS209" s="452">
        <f ca="1">IF(AND($D209="Serviço",AS$12&lt;&gt;0,$H209&gt;0,OR(AUTOEVENTO&lt;&gt;"manual",$M209&lt;&gt;$A$15)),
        IF(Import.TipoArredondamento&lt;&gt;"TransfereGOV",
              ROUND(OFFSET($P209,0,AS$13),15-13*ORÇAMENTO!$AF$7)/$H209*OFFSET(ORÇAMENTO!$X$15,ROW(AS209)-ROW(AS$15),0),
              ROUND(ROUND(OFFSET($P209,0,AS$13),15-13*ORÇAMENTO!$AF$7)*OFFSET(ORÇAMENTO!$W$15,ROW(AS209)-ROW(AS$15),0),15-13*ORÇAMENTO!$AF$11)),
         0)</f>
        <v>0</v>
      </c>
      <c r="AT209" s="452">
        <f ca="1">IF(AND($D209="Serviço",AT$12&lt;&gt;0,$H209&gt;0,OR(AUTOEVENTO&lt;&gt;"manual",$M209&lt;&gt;$A$15)),
        IF(Import.TipoArredondamento&lt;&gt;"TransfereGOV",
              ROUND(OFFSET($P209,0,AT$13),15-13*ORÇAMENTO!$AF$7)/$H209*OFFSET(ORÇAMENTO!$X$15,ROW(AT209)-ROW(AT$15),0),
              ROUND(ROUND(OFFSET($P209,0,AT$13),15-13*ORÇAMENTO!$AF$7)*OFFSET(ORÇAMENTO!$W$15,ROW(AT209)-ROW(AT$15),0),15-13*ORÇAMENTO!$AF$11)),
         0)</f>
        <v>0</v>
      </c>
      <c r="AU209" s="452">
        <f ca="1">IF(AND($D209="Serviço",AU$12&lt;&gt;0,$H209&gt;0,OR(AUTOEVENTO&lt;&gt;"manual",$M209&lt;&gt;$A$15)),
        IF(Import.TipoArredondamento&lt;&gt;"TransfereGOV",
              ROUND(OFFSET($P209,0,AU$13),15-13*ORÇAMENTO!$AF$7)/$H209*OFFSET(ORÇAMENTO!$X$15,ROW(AU209)-ROW(AU$15),0),
              ROUND(ROUND(OFFSET($P209,0,AU$13),15-13*ORÇAMENTO!$AF$7)*OFFSET(ORÇAMENTO!$W$15,ROW(AU209)-ROW(AU$15),0),15-13*ORÇAMENTO!$AF$11)),
         0)</f>
        <v>0</v>
      </c>
      <c r="AV209" s="452">
        <f ca="1">IF(AND($D209="Serviço",AV$12&lt;&gt;0,$H209&gt;0,OR(AUTOEVENTO&lt;&gt;"manual",$M209&lt;&gt;$A$15)),
        IF(Import.TipoArredondamento&lt;&gt;"TransfereGOV",
              ROUND(OFFSET($P209,0,AV$13),15-13*ORÇAMENTO!$AF$7)/$H209*OFFSET(ORÇAMENTO!$X$15,ROW(AV209)-ROW(AV$15),0),
              ROUND(ROUND(OFFSET($P209,0,AV$13),15-13*ORÇAMENTO!$AF$7)*OFFSET(ORÇAMENTO!$W$15,ROW(AV209)-ROW(AV$15),0),15-13*ORÇAMENTO!$AF$11)),
         0)</f>
        <v>0</v>
      </c>
      <c r="AW209" s="452">
        <f ca="1">IF(AND($D209="Serviço",AW$12&lt;&gt;0,$H209&gt;0,OR(AUTOEVENTO&lt;&gt;"manual",$M209&lt;&gt;$A$15)),
        IF(Import.TipoArredondamento&lt;&gt;"TransfereGOV",
              ROUND(OFFSET($P209,0,AW$13),15-13*ORÇAMENTO!$AF$7)/$H209*OFFSET(ORÇAMENTO!$X$15,ROW(AW209)-ROW(AW$15),0),
              ROUND(ROUND(OFFSET($P209,0,AW$13),15-13*ORÇAMENTO!$AF$7)*OFFSET(ORÇAMENTO!$W$15,ROW(AW209)-ROW(AW$15),0),15-13*ORÇAMENTO!$AF$11)),
         0)</f>
        <v>0</v>
      </c>
      <c r="AX209" s="452">
        <f ca="1">IF(AND($D209="Serviço",AX$12&lt;&gt;0,$H209&gt;0,OR(AUTOEVENTO&lt;&gt;"manual",$M209&lt;&gt;$A$15)),
        IF(Import.TipoArredondamento&lt;&gt;"TransfereGOV",
              ROUND(OFFSET($P209,0,AX$13),15-13*ORÇAMENTO!$AF$7)/$H209*OFFSET(ORÇAMENTO!$X$15,ROW(AX209)-ROW(AX$15),0),
              ROUND(ROUND(OFFSET($P209,0,AX$13),15-13*ORÇAMENTO!$AF$7)*OFFSET(ORÇAMENTO!$W$15,ROW(AX209)-ROW(AX$15),0),15-13*ORÇAMENTO!$AF$11)),
         0)</f>
        <v>0</v>
      </c>
      <c r="AY209" s="452">
        <f ca="1">IF(AND($D209="Serviço",AY$12&lt;&gt;0,$H209&gt;0,OR(AUTOEVENTO&lt;&gt;"manual",$M209&lt;&gt;$A$15)),
        IF(Import.TipoArredondamento&lt;&gt;"TransfereGOV",
              ROUND(OFFSET($P209,0,AY$13),15-13*ORÇAMENTO!$AF$7)/$H209*OFFSET(ORÇAMENTO!$X$15,ROW(AY209)-ROW(AY$15),0),
              ROUND(ROUND(OFFSET($P209,0,AY$13),15-13*ORÇAMENTO!$AF$7)*OFFSET(ORÇAMENTO!$W$15,ROW(AY209)-ROW(AY$15),0),15-13*ORÇAMENTO!$AF$11)),
         0)</f>
        <v>0</v>
      </c>
      <c r="AZ209" s="452">
        <f ca="1">IF(AND($D209="Serviço",AZ$12&lt;&gt;0,$H209&gt;0,OR(AUTOEVENTO&lt;&gt;"manual",$M209&lt;&gt;$A$15)),
        IF(Import.TipoArredondamento&lt;&gt;"TransfereGOV",
              ROUND(OFFSET($P209,0,AZ$13),15-13*ORÇAMENTO!$AF$7)/$H209*OFFSET(ORÇAMENTO!$X$15,ROW(AZ209)-ROW(AZ$15),0),
              ROUND(ROUND(OFFSET($P209,0,AZ$13),15-13*ORÇAMENTO!$AF$7)*OFFSET(ORÇAMENTO!$W$15,ROW(AZ209)-ROW(AZ$15),0),15-13*ORÇAMENTO!$AF$11)),
         0)</f>
        <v>0</v>
      </c>
      <c r="BA209" s="452">
        <f ca="1">IF(AND($D209="Serviço",BA$12&lt;&gt;0,$H209&gt;0,OR(AUTOEVENTO&lt;&gt;"manual",$M209&lt;&gt;$A$15)),
        IF(Import.TipoArredondamento&lt;&gt;"TransfereGOV",
              ROUND(OFFSET($P209,0,BA$13),15-13*ORÇAMENTO!$AF$7)/$H209*OFFSET(ORÇAMENTO!$X$15,ROW(BA209)-ROW(BA$15),0),
              ROUND(ROUND(OFFSET($P209,0,BA$13),15-13*ORÇAMENTO!$AF$7)*OFFSET(ORÇAMENTO!$W$15,ROW(BA209)-ROW(BA$15),0),15-13*ORÇAMENTO!$AF$11)),
         0)</f>
        <v>0</v>
      </c>
      <c r="BC209" s="171">
        <f ca="1">IF(OR($D209&lt;&gt;"Serviço",AND(AUTOEVENTO="Manual",$M209=$A$15)),0,
         IF(OFFSET(CRONOPLE!$F$15,$M209-$A$15,BC$13)=0,10^12,OFFSET(CRONOPLE!$F$15,$M209-$A$15,BC$13)))</f>
        <v>0</v>
      </c>
      <c r="BD209" s="171">
        <f ca="1">IF(OR($D209&lt;&gt;"Serviço",AND(AUTOEVENTO="Manual",$M209=$A$15)),0,
         IF(OFFSET(CRONOPLE!$F$15,$M209-$A$15,BD$13)=0,10^12,OFFSET(CRONOPLE!$F$15,$M209-$A$15,BD$13)))</f>
        <v>0</v>
      </c>
      <c r="BE209" s="171">
        <f ca="1">IF(OR($D209&lt;&gt;"Serviço",AND(AUTOEVENTO="Manual",$M209=$A$15)),0,
         IF(OFFSET(CRONOPLE!$F$15,$M209-$A$15,BE$13)=0,10^12,OFFSET(CRONOPLE!$F$15,$M209-$A$15,BE$13)))</f>
        <v>0</v>
      </c>
      <c r="BF209" s="171">
        <f ca="1">IF(OR($D209&lt;&gt;"Serviço",AND(AUTOEVENTO="Manual",$M209=$A$15)),0,
         IF(OFFSET(CRONOPLE!$F$15,$M209-$A$15,BF$13)=0,10^12,OFFSET(CRONOPLE!$F$15,$M209-$A$15,BF$13)))</f>
        <v>0</v>
      </c>
      <c r="BG209" s="171">
        <f ca="1">IF(OR($D209&lt;&gt;"Serviço",AND(AUTOEVENTO="Manual",$M209=$A$15)),0,
         IF(OFFSET(CRONOPLE!$F$15,$M209-$A$15,BG$13)=0,10^12,OFFSET(CRONOPLE!$F$15,$M209-$A$15,BG$13)))</f>
        <v>0</v>
      </c>
      <c r="BH209" s="171">
        <f ca="1">IF(OR($D209&lt;&gt;"Serviço",AND(AUTOEVENTO="Manual",$M209=$A$15)),0,
         IF(OFFSET(CRONOPLE!$F$15,$M209-$A$15,BH$13)=0,10^12,OFFSET(CRONOPLE!$F$15,$M209-$A$15,BH$13)))</f>
        <v>0</v>
      </c>
      <c r="BI209" s="171">
        <f ca="1">IF(OR($D209&lt;&gt;"Serviço",AND(AUTOEVENTO="Manual",$M209=$A$15)),0,
         IF(OFFSET(CRONOPLE!$F$15,$M209-$A$15,BI$13)=0,10^12,OFFSET(CRONOPLE!$F$15,$M209-$A$15,BI$13)))</f>
        <v>0</v>
      </c>
      <c r="BJ209" s="171">
        <f ca="1">IF(OR($D209&lt;&gt;"Serviço",AND(AUTOEVENTO="Manual",$M209=$A$15)),0,
         IF(OFFSET(CRONOPLE!$F$15,$M209-$A$15,BJ$13)=0,10^12,OFFSET(CRONOPLE!$F$15,$M209-$A$15,BJ$13)))</f>
        <v>0</v>
      </c>
      <c r="BK209" s="171">
        <f ca="1">IF(OR($D209&lt;&gt;"Serviço",AND(AUTOEVENTO="Manual",$M209=$A$15)),0,
         IF(OFFSET(CRONOPLE!$F$15,$M209-$A$15,BK$13)=0,10^12,OFFSET(CRONOPLE!$F$15,$M209-$A$15,BK$13)))</f>
        <v>0</v>
      </c>
      <c r="BL209" s="171">
        <f ca="1">IF(OR($D209&lt;&gt;"Serviço",AND(AUTOEVENTO="Manual",$M209=$A$15)),0,
         IF(OFFSET(CRONOPLE!$F$15,$M209-$A$15,BL$13)=0,10^12,OFFSET(CRONOPLE!$F$15,$M209-$A$15,BL$13)))</f>
        <v>0</v>
      </c>
      <c r="BM209" s="171">
        <f ca="1">IF(OR($D209&lt;&gt;"Serviço",AND(AUTOEVENTO="Manual",$M209=$A$15)),0,
         IF(OFFSET(CRONOPLE!$F$15,$M209-$A$15,BM$13)=0,10^12,OFFSET(CRONOPLE!$F$15,$M209-$A$15,BM$13)))</f>
        <v>0</v>
      </c>
      <c r="BN209" s="171">
        <f ca="1">IF(OR($D209&lt;&gt;"Serviço",AND(AUTOEVENTO="Manual",$M209=$A$15)),0,
         IF(OFFSET(CRONOPLE!$F$15,$M209-$A$15,BN$13)=0,10^12,OFFSET(CRONOPLE!$F$15,$M209-$A$15,BN$13)))</f>
        <v>0</v>
      </c>
      <c r="BO209" s="171">
        <f ca="1">IF(OR($D209&lt;&gt;"Serviço",AND(AUTOEVENTO="Manual",$M209=$A$15)),0,
         IF(OFFSET(CRONOPLE!$F$15,$M209-$A$15,BO$13)=0,10^12,OFFSET(CRONOPLE!$F$15,$M209-$A$15,BO$13)))</f>
        <v>0</v>
      </c>
      <c r="BP209" s="171">
        <f ca="1">IF(OR($D209&lt;&gt;"Serviço",AND(AUTOEVENTO="Manual",$M209=$A$15)),0,
         IF(OFFSET(CRONOPLE!$F$15,$M209-$A$15,BP$13)=0,10^12,OFFSET(CRONOPLE!$F$15,$M209-$A$15,BP$13)))</f>
        <v>0</v>
      </c>
      <c r="BQ209" s="171">
        <f ca="1">IF(OR($D209&lt;&gt;"Serviço",AND(AUTOEVENTO="Manual",$M209=$A$15)),0,
         IF(OFFSET(CRONOPLE!$F$15,$M209-$A$15,BQ$13)=0,10^12,OFFSET(CRONOPLE!$F$15,$M209-$A$15,BQ$13)))</f>
        <v>0</v>
      </c>
      <c r="BR209" s="171">
        <f ca="1">IF(OR($D209&lt;&gt;"Serviço",AND(AUTOEVENTO="Manual",$M209=$A$15)),0,
         IF(OFFSET(CRONOPLE!$F$15,$M209-$A$15,BR$13)=0,10^12,OFFSET(CRONOPLE!$F$15,$M209-$A$15,BR$13)))</f>
        <v>0</v>
      </c>
      <c r="BS209" s="171">
        <f ca="1">IF(OR($D209&lt;&gt;"Serviço",AND(AUTOEVENTO="Manual",$M209=$A$15)),0,
         IF(OFFSET(CRONOPLE!$F$15,$M209-$A$15,BS$13)=0,10^12,OFFSET(CRONOPLE!$F$15,$M209-$A$15,BS$13)))</f>
        <v>0</v>
      </c>
      <c r="BT209" s="171">
        <f ca="1">IF(OR($D209&lt;&gt;"Serviço",AND(AUTOEVENTO="Manual",$M209=$A$15)),0,
         IF(OFFSET(CRONOPLE!$F$15,$M209-$A$15,BT$13)=0,10^12,OFFSET(CRONOPLE!$F$15,$M209-$A$15,BT$13)))</f>
        <v>0</v>
      </c>
      <c r="BV209" s="172">
        <f t="array" aca="1" ref="BV209" ca="1">IF(OR($D209&lt;&gt;"Serviço",AND(AUTOEVENTO="Manual",$M209=$A$15),$M209&gt;(ROW(PLE.lastrow)-ROW(PLE.firstrow))),0,
           IF(OFFSET(PLE!$G$15,$M209-$A$15,BV$13)="",10^12,OFFSET(PLE!$G$15,$M209-$A$15,BV$13)))</f>
        <v>0</v>
      </c>
      <c r="BW209" s="172">
        <f t="array" aca="1" ref="BW209" ca="1">IF(OR($D209&lt;&gt;"Serviço",AND(AUTOEVENTO="Manual",$M209=$A$15),$M209&gt;(ROW(PLE.lastrow)-ROW(PLE.firstrow))),0,
           IF(OFFSET(PLE!$G$15,$M209-$A$15,BW$13)="",10^12,OFFSET(PLE!$G$15,$M209-$A$15,BW$13)))</f>
        <v>0</v>
      </c>
      <c r="BX209" s="172">
        <f t="array" aca="1" ref="BX209" ca="1">IF(OR($D209&lt;&gt;"Serviço",AND(AUTOEVENTO="Manual",$M209=$A$15),$M209&gt;(ROW(PLE.lastrow)-ROW(PLE.firstrow))),0,
           IF(OFFSET(PLE!$G$15,$M209-$A$15,BX$13)="",10^12,OFFSET(PLE!$G$15,$M209-$A$15,BX$13)))</f>
        <v>0</v>
      </c>
      <c r="BY209" s="172">
        <f t="array" aca="1" ref="BY209" ca="1">IF(OR($D209&lt;&gt;"Serviço",AND(AUTOEVENTO="Manual",$M209=$A$15),$M209&gt;(ROW(PLE.lastrow)-ROW(PLE.firstrow))),0,
           IF(OFFSET(PLE!$G$15,$M209-$A$15,BY$13)="",10^12,OFFSET(PLE!$G$15,$M209-$A$15,BY$13)))</f>
        <v>0</v>
      </c>
      <c r="BZ209" s="172">
        <f t="array" aca="1" ref="BZ209" ca="1">IF(OR($D209&lt;&gt;"Serviço",AND(AUTOEVENTO="Manual",$M209=$A$15),$M209&gt;(ROW(PLE.lastrow)-ROW(PLE.firstrow))),0,
           IF(OFFSET(PLE!$G$15,$M209-$A$15,BZ$13)="",10^12,OFFSET(PLE!$G$15,$M209-$A$15,BZ$13)))</f>
        <v>0</v>
      </c>
      <c r="CA209" s="172">
        <f t="array" aca="1" ref="CA209" ca="1">IF(OR($D209&lt;&gt;"Serviço",AND(AUTOEVENTO="Manual",$M209=$A$15),$M209&gt;(ROW(PLE.lastrow)-ROW(PLE.firstrow))),0,
           IF(OFFSET(PLE!$G$15,$M209-$A$15,CA$13)="",10^12,OFFSET(PLE!$G$15,$M209-$A$15,CA$13)))</f>
        <v>0</v>
      </c>
      <c r="CB209" s="172">
        <f t="array" aca="1" ref="CB209" ca="1">IF(OR($D209&lt;&gt;"Serviço",AND(AUTOEVENTO="Manual",$M209=$A$15),$M209&gt;(ROW(PLE.lastrow)-ROW(PLE.firstrow))),0,
           IF(OFFSET(PLE!$G$15,$M209-$A$15,CB$13)="",10^12,OFFSET(PLE!$G$15,$M209-$A$15,CB$13)))</f>
        <v>0</v>
      </c>
      <c r="CC209" s="172">
        <f t="array" aca="1" ref="CC209" ca="1">IF(OR($D209&lt;&gt;"Serviço",AND(AUTOEVENTO="Manual",$M209=$A$15),$M209&gt;(ROW(PLE.lastrow)-ROW(PLE.firstrow))),0,
           IF(OFFSET(PLE!$G$15,$M209-$A$15,CC$13)="",10^12,OFFSET(PLE!$G$15,$M209-$A$15,CC$13)))</f>
        <v>0</v>
      </c>
      <c r="CD209" s="172">
        <f t="array" aca="1" ref="CD209" ca="1">IF(OR($D209&lt;&gt;"Serviço",AND(AUTOEVENTO="Manual",$M209=$A$15),$M209&gt;(ROW(PLE.lastrow)-ROW(PLE.firstrow))),0,
           IF(OFFSET(PLE!$G$15,$M209-$A$15,CD$13)="",10^12,OFFSET(PLE!$G$15,$M209-$A$15,CD$13)))</f>
        <v>0</v>
      </c>
      <c r="CE209" s="172">
        <f t="array" aca="1" ref="CE209" ca="1">IF(OR($D209&lt;&gt;"Serviço",AND(AUTOEVENTO="Manual",$M209=$A$15),$M209&gt;(ROW(PLE.lastrow)-ROW(PLE.firstrow))),0,
           IF(OFFSET(PLE!$G$15,$M209-$A$15,CE$13)="",10^12,OFFSET(PLE!$G$15,$M209-$A$15,CE$13)))</f>
        <v>0</v>
      </c>
      <c r="CF209" s="172">
        <f t="array" aca="1" ref="CF209" ca="1">IF(OR($D209&lt;&gt;"Serviço",AND(AUTOEVENTO="Manual",$M209=$A$15),$M209&gt;(ROW(PLE.lastrow)-ROW(PLE.firstrow))),0,
           IF(OFFSET(PLE!$G$15,$M209-$A$15,CF$13)="",10^12,OFFSET(PLE!$G$15,$M209-$A$15,CF$13)))</f>
        <v>0</v>
      </c>
      <c r="CG209" s="172">
        <f t="array" aca="1" ref="CG209" ca="1">IF(OR($D209&lt;&gt;"Serviço",AND(AUTOEVENTO="Manual",$M209=$A$15),$M209&gt;(ROW(PLE.lastrow)-ROW(PLE.firstrow))),0,
           IF(OFFSET(PLE!$G$15,$M209-$A$15,CG$13)="",10^12,OFFSET(PLE!$G$15,$M209-$A$15,CG$13)))</f>
        <v>0</v>
      </c>
      <c r="CH209" s="172">
        <f t="array" aca="1" ref="CH209" ca="1">IF(OR($D209&lt;&gt;"Serviço",AND(AUTOEVENTO="Manual",$M209=$A$15),$M209&gt;(ROW(PLE.lastrow)-ROW(PLE.firstrow))),0,
           IF(OFFSET(PLE!$G$15,$M209-$A$15,CH$13)="",10^12,OFFSET(PLE!$G$15,$M209-$A$15,CH$13)))</f>
        <v>0</v>
      </c>
      <c r="CI209" s="172">
        <f t="array" aca="1" ref="CI209" ca="1">IF(OR($D209&lt;&gt;"Serviço",AND(AUTOEVENTO="Manual",$M209=$A$15),$M209&gt;(ROW(PLE.lastrow)-ROW(PLE.firstrow))),0,
           IF(OFFSET(PLE!$G$15,$M209-$A$15,CI$13)="",10^12,OFFSET(PLE!$G$15,$M209-$A$15,CI$13)))</f>
        <v>0</v>
      </c>
      <c r="CJ209" s="172">
        <f t="array" aca="1" ref="CJ209" ca="1">IF(OR($D209&lt;&gt;"Serviço",AND(AUTOEVENTO="Manual",$M209=$A$15),$M209&gt;(ROW(PLE.lastrow)-ROW(PLE.firstrow))),0,
           IF(OFFSET(PLE!$G$15,$M209-$A$15,CJ$13)="",10^12,OFFSET(PLE!$G$15,$M209-$A$15,CJ$13)))</f>
        <v>0</v>
      </c>
      <c r="CK209" s="172">
        <f t="array" aca="1" ref="CK209" ca="1">IF(OR($D209&lt;&gt;"Serviço",AND(AUTOEVENTO="Manual",$M209=$A$15),$M209&gt;(ROW(PLE.lastrow)-ROW(PLE.firstrow))),0,
           IF(OFFSET(PLE!$G$15,$M209-$A$15,CK$13)="",10^12,OFFSET(PLE!$G$15,$M209-$A$15,CK$13)))</f>
        <v>0</v>
      </c>
      <c r="CL209" s="172">
        <f t="array" aca="1" ref="CL209" ca="1">IF(OR($D209&lt;&gt;"Serviço",AND(AUTOEVENTO="Manual",$M209=$A$15),$M209&gt;(ROW(PLE.lastrow)-ROW(PLE.firstrow))),0,
           IF(OFFSET(PLE!$G$15,$M209-$A$15,CL$13)="",10^12,OFFSET(PLE!$G$15,$M209-$A$15,CL$13)))</f>
        <v>0</v>
      </c>
      <c r="CM209" s="172">
        <f t="array" aca="1" ref="CM209" ca="1">IF(OR($D209&lt;&gt;"Serviço",AND(AUTOEVENTO="Manual",$M209=$A$15),$M209&gt;(ROW(PLE.lastrow)-ROW(PLE.firstrow))),0,
           IF(OFFSET(PLE!$G$15,$M209-$A$15,CM$13)="",10^12,OFFSET(PLE!$G$15,$M209-$A$15,CM$13)))</f>
        <v>0</v>
      </c>
    </row>
    <row r="210" spans="1:91" s="696" customFormat="1" ht="38.25" x14ac:dyDescent="0.2">
      <c r="A210" s="694">
        <f t="shared" ca="1" si="98"/>
        <v>31</v>
      </c>
      <c r="B210" s="694" t="str">
        <f ca="1">OFFSET(ORÇAMENTO!C$15,$L210,0)</f>
        <v>S</v>
      </c>
      <c r="C210" s="694" t="str">
        <f ca="1">OFFSET(ORÇAMENTO!L$15,$L210,0)</f>
        <v>F</v>
      </c>
      <c r="D210" s="116" t="str">
        <f ca="1">OFFSET(ORÇAMENTO!N$15,$L210,0)</f>
        <v>Serviço</v>
      </c>
      <c r="E210" s="117" t="str">
        <f ca="1">OFFSET(ORÇAMENTO!O$15,$L210,0)</f>
        <v>1.31.1.</v>
      </c>
      <c r="F210" s="163" t="str">
        <f ca="1">OFFSET(ORÇAMENTO!R$15,$L210,0)</f>
        <v>CAIXA ENTERRADA HIDRÁULICA RETANGULAR EM ALVENARIA COM TIJOLOS CERÂMICOS MACIÇOS, DIMENSÕES INTERNAS: 0,6X0,6X0,6 M PARA REDE DE ESGOTO. AF_12/2020</v>
      </c>
      <c r="G210" s="164" t="str">
        <f ca="1">IF($D210&lt;&gt;"Serviço","",OFFSET(ORÇAMENTO!S$15,$L210,0))</f>
        <v>UN</v>
      </c>
      <c r="H210" s="122">
        <f t="array" aca="1" ref="H210" ca="1">IF($D210&lt;&gt;"Serviço",0,IF(ACOMPANHAMENTO="BM",ROUND(OFFSET(ORÇAMENTO!AJ$15,$L210,0),15-13*ORÇAMENTO!$AF$7),IF(IFERROR(CÁLCULO.FrentesPreenchidas,0)=0,0,SUM(ROUND(OFFSET($P210,0,1,1,CÁLCULO.FrentesPreenchidas),15-13*ORÇAMENTO!$AF$7)))))</f>
        <v>100</v>
      </c>
      <c r="I210" s="467" t="s">
        <v>1337</v>
      </c>
      <c r="J210" s="653" t="str">
        <f t="array" aca="1" ref="J210" ca="1">IF(OR(B210&lt;&gt;"S",CÁLCULO.FrentesPreenchidas=0),"",IF(AND(ACOMPANHAMENTO="PLE",AUTOEVENTO="Manual",OR(H210&gt;0,ORÇAMENTO!AC210="QUANT."),OR(K210="",M210=0,N210="")),"►E",IF(AND(ACOMPANHAMENTO="PLE",ORÇAMENTO!AC210="QUANT."),"►Q",IF(AND(ACOMPANHAMENTO="PLE",H210&lt;&gt;SUMPRODUCT(($Q$1:$AI$1=1)*ROUND(Q210:AI210,15))),"►S",IF(AND(COUNTIF($P$11:$AI$11,"▼")=0,H210&gt;0,I210=""),"◄M","")))))</f>
        <v/>
      </c>
      <c r="K210" s="654" t="s">
        <v>1447</v>
      </c>
      <c r="L210" s="165">
        <f t="shared" ca="1" si="99"/>
        <v>195</v>
      </c>
      <c r="M210" s="166">
        <f ca="1">IF($D210&lt;&gt;"Serviço","",
          IF(AUTOEVENTO="manual",$A210,
                IF(ISERROR(MATCH($A210,$A$15:OFFSET($A210,-1,0),0)),MAX($M$15:OFFSET(M210,-1,0))+1,
                      INDEX($M$15:OFFSET(M210,-1,0),MATCH($A210,$A$15:OFFSET($A210,-1,0),0)))))</f>
        <v>31</v>
      </c>
      <c r="N210" s="167" t="str">
        <f ca="1">IF($D210&lt;&gt;"Serviço","",
         IF(AUTOEVENTO="Manual",
                IF($A210=0,"&lt;-- defina o número do agrupador",
                       OFFSET(EVENTOS!$D$15,$A210-$A$15,0)),
                OFFSET($F$15,$A210,0)))</f>
        <v>REDE PLUVIAL E ESGOTO</v>
      </c>
      <c r="O210" s="168"/>
      <c r="Q210" s="169">
        <v>25</v>
      </c>
      <c r="R210" s="169">
        <v>25</v>
      </c>
      <c r="S210" s="169">
        <v>25</v>
      </c>
      <c r="T210" s="169">
        <v>25</v>
      </c>
      <c r="U210" s="169"/>
      <c r="V210" s="169"/>
      <c r="W210" s="169"/>
      <c r="X210" s="169"/>
      <c r="Y210" s="169"/>
      <c r="Z210" s="170"/>
      <c r="AA210" s="169"/>
      <c r="AB210" s="169"/>
      <c r="AC210" s="169"/>
      <c r="AD210" s="169"/>
      <c r="AE210" s="169"/>
      <c r="AF210" s="169"/>
      <c r="AG210" s="169"/>
      <c r="AH210" s="170"/>
      <c r="AJ210" s="452">
        <f ca="1">IF(AND($D210="Serviço",AJ$12&lt;&gt;0,$H210&gt;0,OR(AUTOEVENTO&lt;&gt;"manual",$M210&lt;&gt;$A$15)),
        IF(Import.TipoArredondamento&lt;&gt;"TransfereGOV",
              ROUND(OFFSET($P210,0,AJ$13),15-13*ORÇAMENTO!$AF$7)/$H210*OFFSET(ORÇAMENTO!$X$15,ROW(AJ210)-ROW(AJ$15),0),
              ROUND(ROUND(OFFSET($P210,0,AJ$13),15-13*ORÇAMENTO!$AF$7)*OFFSET(ORÇAMENTO!$W$15,ROW(AJ210)-ROW(AJ$15),0),15-13*ORÇAMENTO!$AF$11)),
         0)</f>
        <v>17065.75</v>
      </c>
      <c r="AK210" s="452">
        <f ca="1">IF(AND($D210="Serviço",AK$12&lt;&gt;0,$H210&gt;0,OR(AUTOEVENTO&lt;&gt;"manual",$M210&lt;&gt;$A$15)),
        IF(Import.TipoArredondamento&lt;&gt;"TransfereGOV",
              ROUND(OFFSET($P210,0,AK$13),15-13*ORÇAMENTO!$AF$7)/$H210*OFFSET(ORÇAMENTO!$X$15,ROW(AK210)-ROW(AK$15),0),
              ROUND(ROUND(OFFSET($P210,0,AK$13),15-13*ORÇAMENTO!$AF$7)*OFFSET(ORÇAMENTO!$W$15,ROW(AK210)-ROW(AK$15),0),15-13*ORÇAMENTO!$AF$11)),
         0)</f>
        <v>17065.75</v>
      </c>
      <c r="AL210" s="452">
        <f ca="1">IF(AND($D210="Serviço",AL$12&lt;&gt;0,$H210&gt;0,OR(AUTOEVENTO&lt;&gt;"manual",$M210&lt;&gt;$A$15)),
        IF(Import.TipoArredondamento&lt;&gt;"TransfereGOV",
              ROUND(OFFSET($P210,0,AL$13),15-13*ORÇAMENTO!$AF$7)/$H210*OFFSET(ORÇAMENTO!$X$15,ROW(AL210)-ROW(AL$15),0),
              ROUND(ROUND(OFFSET($P210,0,AL$13),15-13*ORÇAMENTO!$AF$7)*OFFSET(ORÇAMENTO!$W$15,ROW(AL210)-ROW(AL$15),0),15-13*ORÇAMENTO!$AF$11)),
         0)</f>
        <v>17065.75</v>
      </c>
      <c r="AM210" s="452">
        <f ca="1">IF(AND($D210="Serviço",AM$12&lt;&gt;0,$H210&gt;0,OR(AUTOEVENTO&lt;&gt;"manual",$M210&lt;&gt;$A$15)),
        IF(Import.TipoArredondamento&lt;&gt;"TransfereGOV",
              ROUND(OFFSET($P210,0,AM$13),15-13*ORÇAMENTO!$AF$7)/$H210*OFFSET(ORÇAMENTO!$X$15,ROW(AM210)-ROW(AM$15),0),
              ROUND(ROUND(OFFSET($P210,0,AM$13),15-13*ORÇAMENTO!$AF$7)*OFFSET(ORÇAMENTO!$W$15,ROW(AM210)-ROW(AM$15),0),15-13*ORÇAMENTO!$AF$11)),
         0)</f>
        <v>17065.75</v>
      </c>
      <c r="AN210" s="452">
        <f ca="1">IF(AND($D210="Serviço",AN$12&lt;&gt;0,$H210&gt;0,OR(AUTOEVENTO&lt;&gt;"manual",$M210&lt;&gt;$A$15)),
        IF(Import.TipoArredondamento&lt;&gt;"TransfereGOV",
              ROUND(OFFSET($P210,0,AN$13),15-13*ORÇAMENTO!$AF$7)/$H210*OFFSET(ORÇAMENTO!$X$15,ROW(AN210)-ROW(AN$15),0),
              ROUND(ROUND(OFFSET($P210,0,AN$13),15-13*ORÇAMENTO!$AF$7)*OFFSET(ORÇAMENTO!$W$15,ROW(AN210)-ROW(AN$15),0),15-13*ORÇAMENTO!$AF$11)),
         0)</f>
        <v>0</v>
      </c>
      <c r="AO210" s="452">
        <f ca="1">IF(AND($D210="Serviço",AO$12&lt;&gt;0,$H210&gt;0,OR(AUTOEVENTO&lt;&gt;"manual",$M210&lt;&gt;$A$15)),
        IF(Import.TipoArredondamento&lt;&gt;"TransfereGOV",
              ROUND(OFFSET($P210,0,AO$13),15-13*ORÇAMENTO!$AF$7)/$H210*OFFSET(ORÇAMENTO!$X$15,ROW(AO210)-ROW(AO$15),0),
              ROUND(ROUND(OFFSET($P210,0,AO$13),15-13*ORÇAMENTO!$AF$7)*OFFSET(ORÇAMENTO!$W$15,ROW(AO210)-ROW(AO$15),0),15-13*ORÇAMENTO!$AF$11)),
         0)</f>
        <v>0</v>
      </c>
      <c r="AP210" s="452">
        <f ca="1">IF(AND($D210="Serviço",AP$12&lt;&gt;0,$H210&gt;0,OR(AUTOEVENTO&lt;&gt;"manual",$M210&lt;&gt;$A$15)),
        IF(Import.TipoArredondamento&lt;&gt;"TransfereGOV",
              ROUND(OFFSET($P210,0,AP$13),15-13*ORÇAMENTO!$AF$7)/$H210*OFFSET(ORÇAMENTO!$X$15,ROW(AP210)-ROW(AP$15),0),
              ROUND(ROUND(OFFSET($P210,0,AP$13),15-13*ORÇAMENTO!$AF$7)*OFFSET(ORÇAMENTO!$W$15,ROW(AP210)-ROW(AP$15),0),15-13*ORÇAMENTO!$AF$11)),
         0)</f>
        <v>0</v>
      </c>
      <c r="AQ210" s="452">
        <f ca="1">IF(AND($D210="Serviço",AQ$12&lt;&gt;0,$H210&gt;0,OR(AUTOEVENTO&lt;&gt;"manual",$M210&lt;&gt;$A$15)),
        IF(Import.TipoArredondamento&lt;&gt;"TransfereGOV",
              ROUND(OFFSET($P210,0,AQ$13),15-13*ORÇAMENTO!$AF$7)/$H210*OFFSET(ORÇAMENTO!$X$15,ROW(AQ210)-ROW(AQ$15),0),
              ROUND(ROUND(OFFSET($P210,0,AQ$13),15-13*ORÇAMENTO!$AF$7)*OFFSET(ORÇAMENTO!$W$15,ROW(AQ210)-ROW(AQ$15),0),15-13*ORÇAMENTO!$AF$11)),
         0)</f>
        <v>0</v>
      </c>
      <c r="AR210" s="452">
        <f ca="1">IF(AND($D210="Serviço",AR$12&lt;&gt;0,$H210&gt;0,OR(AUTOEVENTO&lt;&gt;"manual",$M210&lt;&gt;$A$15)),
        IF(Import.TipoArredondamento&lt;&gt;"TransfereGOV",
              ROUND(OFFSET($P210,0,AR$13),15-13*ORÇAMENTO!$AF$7)/$H210*OFFSET(ORÇAMENTO!$X$15,ROW(AR210)-ROW(AR$15),0),
              ROUND(ROUND(OFFSET($P210,0,AR$13),15-13*ORÇAMENTO!$AF$7)*OFFSET(ORÇAMENTO!$W$15,ROW(AR210)-ROW(AR$15),0),15-13*ORÇAMENTO!$AF$11)),
         0)</f>
        <v>0</v>
      </c>
      <c r="AS210" s="452">
        <f ca="1">IF(AND($D210="Serviço",AS$12&lt;&gt;0,$H210&gt;0,OR(AUTOEVENTO&lt;&gt;"manual",$M210&lt;&gt;$A$15)),
        IF(Import.TipoArredondamento&lt;&gt;"TransfereGOV",
              ROUND(OFFSET($P210,0,AS$13),15-13*ORÇAMENTO!$AF$7)/$H210*OFFSET(ORÇAMENTO!$X$15,ROW(AS210)-ROW(AS$15),0),
              ROUND(ROUND(OFFSET($P210,0,AS$13),15-13*ORÇAMENTO!$AF$7)*OFFSET(ORÇAMENTO!$W$15,ROW(AS210)-ROW(AS$15),0),15-13*ORÇAMENTO!$AF$11)),
         0)</f>
        <v>0</v>
      </c>
      <c r="AT210" s="452">
        <f ca="1">IF(AND($D210="Serviço",AT$12&lt;&gt;0,$H210&gt;0,OR(AUTOEVENTO&lt;&gt;"manual",$M210&lt;&gt;$A$15)),
        IF(Import.TipoArredondamento&lt;&gt;"TransfereGOV",
              ROUND(OFFSET($P210,0,AT$13),15-13*ORÇAMENTO!$AF$7)/$H210*OFFSET(ORÇAMENTO!$X$15,ROW(AT210)-ROW(AT$15),0),
              ROUND(ROUND(OFFSET($P210,0,AT$13),15-13*ORÇAMENTO!$AF$7)*OFFSET(ORÇAMENTO!$W$15,ROW(AT210)-ROW(AT$15),0),15-13*ORÇAMENTO!$AF$11)),
         0)</f>
        <v>0</v>
      </c>
      <c r="AU210" s="452">
        <f ca="1">IF(AND($D210="Serviço",AU$12&lt;&gt;0,$H210&gt;0,OR(AUTOEVENTO&lt;&gt;"manual",$M210&lt;&gt;$A$15)),
        IF(Import.TipoArredondamento&lt;&gt;"TransfereGOV",
              ROUND(OFFSET($P210,0,AU$13),15-13*ORÇAMENTO!$AF$7)/$H210*OFFSET(ORÇAMENTO!$X$15,ROW(AU210)-ROW(AU$15),0),
              ROUND(ROUND(OFFSET($P210,0,AU$13),15-13*ORÇAMENTO!$AF$7)*OFFSET(ORÇAMENTO!$W$15,ROW(AU210)-ROW(AU$15),0),15-13*ORÇAMENTO!$AF$11)),
         0)</f>
        <v>0</v>
      </c>
      <c r="AV210" s="452">
        <f ca="1">IF(AND($D210="Serviço",AV$12&lt;&gt;0,$H210&gt;0,OR(AUTOEVENTO&lt;&gt;"manual",$M210&lt;&gt;$A$15)),
        IF(Import.TipoArredondamento&lt;&gt;"TransfereGOV",
              ROUND(OFFSET($P210,0,AV$13),15-13*ORÇAMENTO!$AF$7)/$H210*OFFSET(ORÇAMENTO!$X$15,ROW(AV210)-ROW(AV$15),0),
              ROUND(ROUND(OFFSET($P210,0,AV$13),15-13*ORÇAMENTO!$AF$7)*OFFSET(ORÇAMENTO!$W$15,ROW(AV210)-ROW(AV$15),0),15-13*ORÇAMENTO!$AF$11)),
         0)</f>
        <v>0</v>
      </c>
      <c r="AW210" s="452">
        <f ca="1">IF(AND($D210="Serviço",AW$12&lt;&gt;0,$H210&gt;0,OR(AUTOEVENTO&lt;&gt;"manual",$M210&lt;&gt;$A$15)),
        IF(Import.TipoArredondamento&lt;&gt;"TransfereGOV",
              ROUND(OFFSET($P210,0,AW$13),15-13*ORÇAMENTO!$AF$7)/$H210*OFFSET(ORÇAMENTO!$X$15,ROW(AW210)-ROW(AW$15),0),
              ROUND(ROUND(OFFSET($P210,0,AW$13),15-13*ORÇAMENTO!$AF$7)*OFFSET(ORÇAMENTO!$W$15,ROW(AW210)-ROW(AW$15),0),15-13*ORÇAMENTO!$AF$11)),
         0)</f>
        <v>0</v>
      </c>
      <c r="AX210" s="452">
        <f ca="1">IF(AND($D210="Serviço",AX$12&lt;&gt;0,$H210&gt;0,OR(AUTOEVENTO&lt;&gt;"manual",$M210&lt;&gt;$A$15)),
        IF(Import.TipoArredondamento&lt;&gt;"TransfereGOV",
              ROUND(OFFSET($P210,0,AX$13),15-13*ORÇAMENTO!$AF$7)/$H210*OFFSET(ORÇAMENTO!$X$15,ROW(AX210)-ROW(AX$15),0),
              ROUND(ROUND(OFFSET($P210,0,AX$13),15-13*ORÇAMENTO!$AF$7)*OFFSET(ORÇAMENTO!$W$15,ROW(AX210)-ROW(AX$15),0),15-13*ORÇAMENTO!$AF$11)),
         0)</f>
        <v>0</v>
      </c>
      <c r="AY210" s="452">
        <f ca="1">IF(AND($D210="Serviço",AY$12&lt;&gt;0,$H210&gt;0,OR(AUTOEVENTO&lt;&gt;"manual",$M210&lt;&gt;$A$15)),
        IF(Import.TipoArredondamento&lt;&gt;"TransfereGOV",
              ROUND(OFFSET($P210,0,AY$13),15-13*ORÇAMENTO!$AF$7)/$H210*OFFSET(ORÇAMENTO!$X$15,ROW(AY210)-ROW(AY$15),0),
              ROUND(ROUND(OFFSET($P210,0,AY$13),15-13*ORÇAMENTO!$AF$7)*OFFSET(ORÇAMENTO!$W$15,ROW(AY210)-ROW(AY$15),0),15-13*ORÇAMENTO!$AF$11)),
         0)</f>
        <v>0</v>
      </c>
      <c r="AZ210" s="452">
        <f ca="1">IF(AND($D210="Serviço",AZ$12&lt;&gt;0,$H210&gt;0,OR(AUTOEVENTO&lt;&gt;"manual",$M210&lt;&gt;$A$15)),
        IF(Import.TipoArredondamento&lt;&gt;"TransfereGOV",
              ROUND(OFFSET($P210,0,AZ$13),15-13*ORÇAMENTO!$AF$7)/$H210*OFFSET(ORÇAMENTO!$X$15,ROW(AZ210)-ROW(AZ$15),0),
              ROUND(ROUND(OFFSET($P210,0,AZ$13),15-13*ORÇAMENTO!$AF$7)*OFFSET(ORÇAMENTO!$W$15,ROW(AZ210)-ROW(AZ$15),0),15-13*ORÇAMENTO!$AF$11)),
         0)</f>
        <v>0</v>
      </c>
      <c r="BA210" s="452">
        <f ca="1">IF(AND($D210="Serviço",BA$12&lt;&gt;0,$H210&gt;0,OR(AUTOEVENTO&lt;&gt;"manual",$M210&lt;&gt;$A$15)),
        IF(Import.TipoArredondamento&lt;&gt;"TransfereGOV",
              ROUND(OFFSET($P210,0,BA$13),15-13*ORÇAMENTO!$AF$7)/$H210*OFFSET(ORÇAMENTO!$X$15,ROW(BA210)-ROW(BA$15),0),
              ROUND(ROUND(OFFSET($P210,0,BA$13),15-13*ORÇAMENTO!$AF$7)*OFFSET(ORÇAMENTO!$W$15,ROW(BA210)-ROW(BA$15),0),15-13*ORÇAMENTO!$AF$11)),
         0)</f>
        <v>0</v>
      </c>
      <c r="BC210" s="171">
        <f ca="1">IF(OR($D210&lt;&gt;"Serviço",AND(AUTOEVENTO="Manual",$M210=$A$15)),0,
         IF(OFFSET(CRONOPLE!$F$15,$M210-$A$15,BC$13)=0,10^12,OFFSET(CRONOPLE!$F$15,$M210-$A$15,BC$13)))</f>
        <v>5</v>
      </c>
      <c r="BD210" s="171">
        <f ca="1">IF(OR($D210&lt;&gt;"Serviço",AND(AUTOEVENTO="Manual",$M210=$A$15)),0,
         IF(OFFSET(CRONOPLE!$F$15,$M210-$A$15,BD$13)=0,10^12,OFFSET(CRONOPLE!$F$15,$M210-$A$15,BD$13)))</f>
        <v>5</v>
      </c>
      <c r="BE210" s="171">
        <f ca="1">IF(OR($D210&lt;&gt;"Serviço",AND(AUTOEVENTO="Manual",$M210=$A$15)),0,
         IF(OFFSET(CRONOPLE!$F$15,$M210-$A$15,BE$13)=0,10^12,OFFSET(CRONOPLE!$F$15,$M210-$A$15,BE$13)))</f>
        <v>6</v>
      </c>
      <c r="BF210" s="171">
        <f ca="1">IF(OR($D210&lt;&gt;"Serviço",AND(AUTOEVENTO="Manual",$M210=$A$15)),0,
         IF(OFFSET(CRONOPLE!$F$15,$M210-$A$15,BF$13)=0,10^12,OFFSET(CRONOPLE!$F$15,$M210-$A$15,BF$13)))</f>
        <v>6</v>
      </c>
      <c r="BG210" s="171">
        <f ca="1">IF(OR($D210&lt;&gt;"Serviço",AND(AUTOEVENTO="Manual",$M210=$A$15)),0,
         IF(OFFSET(CRONOPLE!$F$15,$M210-$A$15,BG$13)=0,10^12,OFFSET(CRONOPLE!$F$15,$M210-$A$15,BG$13)))</f>
        <v>6</v>
      </c>
      <c r="BH210" s="171">
        <f ca="1">IF(OR($D210&lt;&gt;"Serviço",AND(AUTOEVENTO="Manual",$M210=$A$15)),0,
         IF(OFFSET(CRONOPLE!$F$15,$M210-$A$15,BH$13)=0,10^12,OFFSET(CRONOPLE!$F$15,$M210-$A$15,BH$13)))</f>
        <v>1000000000000</v>
      </c>
      <c r="BI210" s="171">
        <f ca="1">IF(OR($D210&lt;&gt;"Serviço",AND(AUTOEVENTO="Manual",$M210=$A$15)),0,
         IF(OFFSET(CRONOPLE!$F$15,$M210-$A$15,BI$13)=0,10^12,OFFSET(CRONOPLE!$F$15,$M210-$A$15,BI$13)))</f>
        <v>1000000000000</v>
      </c>
      <c r="BJ210" s="171">
        <f ca="1">IF(OR($D210&lt;&gt;"Serviço",AND(AUTOEVENTO="Manual",$M210=$A$15)),0,
         IF(OFFSET(CRONOPLE!$F$15,$M210-$A$15,BJ$13)=0,10^12,OFFSET(CRONOPLE!$F$15,$M210-$A$15,BJ$13)))</f>
        <v>1000000000000</v>
      </c>
      <c r="BK210" s="171">
        <f ca="1">IF(OR($D210&lt;&gt;"Serviço",AND(AUTOEVENTO="Manual",$M210=$A$15)),0,
         IF(OFFSET(CRONOPLE!$F$15,$M210-$A$15,BK$13)=0,10^12,OFFSET(CRONOPLE!$F$15,$M210-$A$15,BK$13)))</f>
        <v>9</v>
      </c>
      <c r="BL210" s="171">
        <f ca="1">IF(OR($D210&lt;&gt;"Serviço",AND(AUTOEVENTO="Manual",$M210=$A$15)),0,
         IF(OFFSET(CRONOPLE!$F$15,$M210-$A$15,BL$13)=0,10^12,OFFSET(CRONOPLE!$F$15,$M210-$A$15,BL$13)))</f>
        <v>1000000000000</v>
      </c>
      <c r="BM210" s="171">
        <f ca="1">IF(OR($D210&lt;&gt;"Serviço",AND(AUTOEVENTO="Manual",$M210=$A$15)),0,
         IF(OFFSET(CRONOPLE!$F$15,$M210-$A$15,BM$13)=0,10^12,OFFSET(CRONOPLE!$F$15,$M210-$A$15,BM$13)))</f>
        <v>1000000000000</v>
      </c>
      <c r="BN210" s="171">
        <f ca="1">IF(OR($D210&lt;&gt;"Serviço",AND(AUTOEVENTO="Manual",$M210=$A$15)),0,
         IF(OFFSET(CRONOPLE!$F$15,$M210-$A$15,BN$13)=0,10^12,OFFSET(CRONOPLE!$F$15,$M210-$A$15,BN$13)))</f>
        <v>1000000000000</v>
      </c>
      <c r="BO210" s="171">
        <f ca="1">IF(OR($D210&lt;&gt;"Serviço",AND(AUTOEVENTO="Manual",$M210=$A$15)),0,
         IF(OFFSET(CRONOPLE!$F$15,$M210-$A$15,BO$13)=0,10^12,OFFSET(CRONOPLE!$F$15,$M210-$A$15,BO$13)))</f>
        <v>1000000000000</v>
      </c>
      <c r="BP210" s="171">
        <f ca="1">IF(OR($D210&lt;&gt;"Serviço",AND(AUTOEVENTO="Manual",$M210=$A$15)),0,
         IF(OFFSET(CRONOPLE!$F$15,$M210-$A$15,BP$13)=0,10^12,OFFSET(CRONOPLE!$F$15,$M210-$A$15,BP$13)))</f>
        <v>1000000000000</v>
      </c>
      <c r="BQ210" s="171">
        <f ca="1">IF(OR($D210&lt;&gt;"Serviço",AND(AUTOEVENTO="Manual",$M210=$A$15)),0,
         IF(OFFSET(CRONOPLE!$F$15,$M210-$A$15,BQ$13)=0,10^12,OFFSET(CRONOPLE!$F$15,$M210-$A$15,BQ$13)))</f>
        <v>1000000000000</v>
      </c>
      <c r="BR210" s="171">
        <f ca="1">IF(OR($D210&lt;&gt;"Serviço",AND(AUTOEVENTO="Manual",$M210=$A$15)),0,
         IF(OFFSET(CRONOPLE!$F$15,$M210-$A$15,BR$13)=0,10^12,OFFSET(CRONOPLE!$F$15,$M210-$A$15,BR$13)))</f>
        <v>1000000000000</v>
      </c>
      <c r="BS210" s="171">
        <f ca="1">IF(OR($D210&lt;&gt;"Serviço",AND(AUTOEVENTO="Manual",$M210=$A$15)),0,
         IF(OFFSET(CRONOPLE!$F$15,$M210-$A$15,BS$13)=0,10^12,OFFSET(CRONOPLE!$F$15,$M210-$A$15,BS$13)))</f>
        <v>1000000000000</v>
      </c>
      <c r="BT210" s="171">
        <f ca="1">IF(OR($D210&lt;&gt;"Serviço",AND(AUTOEVENTO="Manual",$M210=$A$15)),0,
         IF(OFFSET(CRONOPLE!$F$15,$M210-$A$15,BT$13)=0,10^12,OFFSET(CRONOPLE!$F$15,$M210-$A$15,BT$13)))</f>
        <v>1000000000000</v>
      </c>
      <c r="BV210" s="172">
        <f t="array" aca="1" ref="BV210" ca="1">IF(OR($D210&lt;&gt;"Serviço",AND(AUTOEVENTO="Manual",$M210=$A$15),$M210&gt;(ROW(PLE.lastrow)-ROW(PLE.firstrow))),0,
           IF(OFFSET(PLE!$G$15,$M210-$A$15,BV$13)="",10^12,OFFSET(PLE!$G$15,$M210-$A$15,BV$13)))</f>
        <v>1000000000000</v>
      </c>
      <c r="BW210" s="172">
        <f t="array" aca="1" ref="BW210" ca="1">IF(OR($D210&lt;&gt;"Serviço",AND(AUTOEVENTO="Manual",$M210=$A$15),$M210&gt;(ROW(PLE.lastrow)-ROW(PLE.firstrow))),0,
           IF(OFFSET(PLE!$G$15,$M210-$A$15,BW$13)="",10^12,OFFSET(PLE!$G$15,$M210-$A$15,BW$13)))</f>
        <v>1000000000000</v>
      </c>
      <c r="BX210" s="172">
        <f t="array" aca="1" ref="BX210" ca="1">IF(OR($D210&lt;&gt;"Serviço",AND(AUTOEVENTO="Manual",$M210=$A$15),$M210&gt;(ROW(PLE.lastrow)-ROW(PLE.firstrow))),0,
           IF(OFFSET(PLE!$G$15,$M210-$A$15,BX$13)="",10^12,OFFSET(PLE!$G$15,$M210-$A$15,BX$13)))</f>
        <v>1000000000000</v>
      </c>
      <c r="BY210" s="172">
        <f t="array" aca="1" ref="BY210" ca="1">IF(OR($D210&lt;&gt;"Serviço",AND(AUTOEVENTO="Manual",$M210=$A$15),$M210&gt;(ROW(PLE.lastrow)-ROW(PLE.firstrow))),0,
           IF(OFFSET(PLE!$G$15,$M210-$A$15,BY$13)="",10^12,OFFSET(PLE!$G$15,$M210-$A$15,BY$13)))</f>
        <v>1000000000000</v>
      </c>
      <c r="BZ210" s="172">
        <f t="array" aca="1" ref="BZ210" ca="1">IF(OR($D210&lt;&gt;"Serviço",AND(AUTOEVENTO="Manual",$M210=$A$15),$M210&gt;(ROW(PLE.lastrow)-ROW(PLE.firstrow))),0,
           IF(OFFSET(PLE!$G$15,$M210-$A$15,BZ$13)="",10^12,OFFSET(PLE!$G$15,$M210-$A$15,BZ$13)))</f>
        <v>1000000000000</v>
      </c>
      <c r="CA210" s="172">
        <f t="array" aca="1" ref="CA210" ca="1">IF(OR($D210&lt;&gt;"Serviço",AND(AUTOEVENTO="Manual",$M210=$A$15),$M210&gt;(ROW(PLE.lastrow)-ROW(PLE.firstrow))),0,
           IF(OFFSET(PLE!$G$15,$M210-$A$15,CA$13)="",10^12,OFFSET(PLE!$G$15,$M210-$A$15,CA$13)))</f>
        <v>1000000000000</v>
      </c>
      <c r="CB210" s="172">
        <f t="array" aca="1" ref="CB210" ca="1">IF(OR($D210&lt;&gt;"Serviço",AND(AUTOEVENTO="Manual",$M210=$A$15),$M210&gt;(ROW(PLE.lastrow)-ROW(PLE.firstrow))),0,
           IF(OFFSET(PLE!$G$15,$M210-$A$15,CB$13)="",10^12,OFFSET(PLE!$G$15,$M210-$A$15,CB$13)))</f>
        <v>1000000000000</v>
      </c>
      <c r="CC210" s="172">
        <f t="array" aca="1" ref="CC210" ca="1">IF(OR($D210&lt;&gt;"Serviço",AND(AUTOEVENTO="Manual",$M210=$A$15),$M210&gt;(ROW(PLE.lastrow)-ROW(PLE.firstrow))),0,
           IF(OFFSET(PLE!$G$15,$M210-$A$15,CC$13)="",10^12,OFFSET(PLE!$G$15,$M210-$A$15,CC$13)))</f>
        <v>1000000000000</v>
      </c>
      <c r="CD210" s="172">
        <f t="array" aca="1" ref="CD210" ca="1">IF(OR($D210&lt;&gt;"Serviço",AND(AUTOEVENTO="Manual",$M210=$A$15),$M210&gt;(ROW(PLE.lastrow)-ROW(PLE.firstrow))),0,
           IF(OFFSET(PLE!$G$15,$M210-$A$15,CD$13)="",10^12,OFFSET(PLE!$G$15,$M210-$A$15,CD$13)))</f>
        <v>1000000000000</v>
      </c>
      <c r="CE210" s="172">
        <f t="array" aca="1" ref="CE210" ca="1">IF(OR($D210&lt;&gt;"Serviço",AND(AUTOEVENTO="Manual",$M210=$A$15),$M210&gt;(ROW(PLE.lastrow)-ROW(PLE.firstrow))),0,
           IF(OFFSET(PLE!$G$15,$M210-$A$15,CE$13)="",10^12,OFFSET(PLE!$G$15,$M210-$A$15,CE$13)))</f>
        <v>1000000000000</v>
      </c>
      <c r="CF210" s="172">
        <f t="array" aca="1" ref="CF210" ca="1">IF(OR($D210&lt;&gt;"Serviço",AND(AUTOEVENTO="Manual",$M210=$A$15),$M210&gt;(ROW(PLE.lastrow)-ROW(PLE.firstrow))),0,
           IF(OFFSET(PLE!$G$15,$M210-$A$15,CF$13)="",10^12,OFFSET(PLE!$G$15,$M210-$A$15,CF$13)))</f>
        <v>1000000000000</v>
      </c>
      <c r="CG210" s="172">
        <f t="array" aca="1" ref="CG210" ca="1">IF(OR($D210&lt;&gt;"Serviço",AND(AUTOEVENTO="Manual",$M210=$A$15),$M210&gt;(ROW(PLE.lastrow)-ROW(PLE.firstrow))),0,
           IF(OFFSET(PLE!$G$15,$M210-$A$15,CG$13)="",10^12,OFFSET(PLE!$G$15,$M210-$A$15,CG$13)))</f>
        <v>1000000000000</v>
      </c>
      <c r="CH210" s="172">
        <f t="array" aca="1" ref="CH210" ca="1">IF(OR($D210&lt;&gt;"Serviço",AND(AUTOEVENTO="Manual",$M210=$A$15),$M210&gt;(ROW(PLE.lastrow)-ROW(PLE.firstrow))),0,
           IF(OFFSET(PLE!$G$15,$M210-$A$15,CH$13)="",10^12,OFFSET(PLE!$G$15,$M210-$A$15,CH$13)))</f>
        <v>1000000000000</v>
      </c>
      <c r="CI210" s="172">
        <f t="array" aca="1" ref="CI210" ca="1">IF(OR($D210&lt;&gt;"Serviço",AND(AUTOEVENTO="Manual",$M210=$A$15),$M210&gt;(ROW(PLE.lastrow)-ROW(PLE.firstrow))),0,
           IF(OFFSET(PLE!$G$15,$M210-$A$15,CI$13)="",10^12,OFFSET(PLE!$G$15,$M210-$A$15,CI$13)))</f>
        <v>1000000000000</v>
      </c>
      <c r="CJ210" s="172">
        <f t="array" aca="1" ref="CJ210" ca="1">IF(OR($D210&lt;&gt;"Serviço",AND(AUTOEVENTO="Manual",$M210=$A$15),$M210&gt;(ROW(PLE.lastrow)-ROW(PLE.firstrow))),0,
           IF(OFFSET(PLE!$G$15,$M210-$A$15,CJ$13)="",10^12,OFFSET(PLE!$G$15,$M210-$A$15,CJ$13)))</f>
        <v>1000000000000</v>
      </c>
      <c r="CK210" s="172">
        <f t="array" aca="1" ref="CK210" ca="1">IF(OR($D210&lt;&gt;"Serviço",AND(AUTOEVENTO="Manual",$M210=$A$15),$M210&gt;(ROW(PLE.lastrow)-ROW(PLE.firstrow))),0,
           IF(OFFSET(PLE!$G$15,$M210-$A$15,CK$13)="",10^12,OFFSET(PLE!$G$15,$M210-$A$15,CK$13)))</f>
        <v>1000000000000</v>
      </c>
      <c r="CL210" s="172">
        <f t="array" aca="1" ref="CL210" ca="1">IF(OR($D210&lt;&gt;"Serviço",AND(AUTOEVENTO="Manual",$M210=$A$15),$M210&gt;(ROW(PLE.lastrow)-ROW(PLE.firstrow))),0,
           IF(OFFSET(PLE!$G$15,$M210-$A$15,CL$13)="",10^12,OFFSET(PLE!$G$15,$M210-$A$15,CL$13)))</f>
        <v>1000000000000</v>
      </c>
      <c r="CM210" s="172">
        <f t="array" aca="1" ref="CM210" ca="1">IF(OR($D210&lt;&gt;"Serviço",AND(AUTOEVENTO="Manual",$M210=$A$15),$M210&gt;(ROW(PLE.lastrow)-ROW(PLE.firstrow))),0,
           IF(OFFSET(PLE!$G$15,$M210-$A$15,CM$13)="",10^12,OFFSET(PLE!$G$15,$M210-$A$15,CM$13)))</f>
        <v>1000000000000</v>
      </c>
    </row>
    <row r="211" spans="1:91" s="696" customFormat="1" ht="76.5" x14ac:dyDescent="0.2">
      <c r="A211" s="694">
        <f t="shared" ca="1" si="98"/>
        <v>38</v>
      </c>
      <c r="B211" s="694" t="str">
        <f ca="1">OFFSET(ORÇAMENTO!C$15,$L211,0)</f>
        <v>S</v>
      </c>
      <c r="C211" s="694" t="str">
        <f ca="1">OFFSET(ORÇAMENTO!L$15,$L211,0)</f>
        <v>F</v>
      </c>
      <c r="D211" s="116" t="str">
        <f ca="1">OFFSET(ORÇAMENTO!N$15,$L211,0)</f>
        <v>Serviço</v>
      </c>
      <c r="E211" s="117" t="str">
        <f ca="1">OFFSET(ORÇAMENTO!O$15,$L211,0)</f>
        <v>1.31.2.</v>
      </c>
      <c r="F211" s="163" t="str">
        <f ca="1">OFFSET(ORÇAMENTO!R$15,$L211,0)</f>
        <v>CAIXA SIFONADA, PVC, DN 100 X 100 X 50 MM, JUNTA ELÁSTICA, FORNECIDA E INSTALADA EM RAMAL DE DESCARGA OU EM RAMAL DE ESGOTO SANITÁRIO. AF_08/2022</v>
      </c>
      <c r="G211" s="164" t="str">
        <f ca="1">IF($D211&lt;&gt;"Serviço","",OFFSET(ORÇAMENTO!S$15,$L211,0))</f>
        <v>UN</v>
      </c>
      <c r="H211" s="122">
        <f t="array" aca="1" ref="H211" ca="1">IF($D211&lt;&gt;"Serviço",0,IF(ACOMPANHAMENTO="BM",ROUND(OFFSET(ORÇAMENTO!AJ$15,$L211,0),15-13*ORÇAMENTO!$AF$7),IF(IFERROR(CÁLCULO.FrentesPreenchidas,0)=0,0,SUM(ROUND(OFFSET($P211,0,1,1,CÁLCULO.FrentesPreenchidas),15-13*ORÇAMENTO!$AF$7)))))</f>
        <v>20</v>
      </c>
      <c r="I211" s="467" t="s">
        <v>1338</v>
      </c>
      <c r="J211" s="653" t="str">
        <f t="array" aca="1" ref="J211" ca="1">IF(OR(B211&lt;&gt;"S",CÁLCULO.FrentesPreenchidas=0),"",IF(AND(ACOMPANHAMENTO="PLE",AUTOEVENTO="Manual",OR(H211&gt;0,ORÇAMENTO!AC211="QUANT."),OR(K211="",M211=0,N211="")),"►E",IF(AND(ACOMPANHAMENTO="PLE",ORÇAMENTO!AC211="QUANT."),"►Q",IF(AND(ACOMPANHAMENTO="PLE",H211&lt;&gt;SUMPRODUCT(($Q$1:$AI$1=1)*ROUND(Q211:AI211,15))),"►S",IF(AND(COUNTIF($P$11:$AI$11,"▼")=0,H211&gt;0,I211=""),"◄M","")))))</f>
        <v/>
      </c>
      <c r="K211" s="654" t="s">
        <v>1445</v>
      </c>
      <c r="L211" s="165">
        <f t="shared" ca="1" si="99"/>
        <v>196</v>
      </c>
      <c r="M211" s="166">
        <f ca="1">IF($D211&lt;&gt;"Serviço","",
          IF(AUTOEVENTO="manual",$A211,
                IF(ISERROR(MATCH($A211,$A$15:OFFSET($A211,-1,0),0)),MAX($M$15:OFFSET(M211,-1,0))+1,
                      INDEX($M$15:OFFSET(M211,-1,0),MATCH($A211,$A$15:OFFSET($A211,-1,0),0)))))</f>
        <v>38</v>
      </c>
      <c r="N211" s="167" t="str">
        <f ca="1">IF($D211&lt;&gt;"Serviço","",
         IF(AUTOEVENTO="Manual",
                IF($A211=0,"&lt;-- defina o número do agrupador",
                       OFFSET(EVENTOS!$D$15,$A211-$A$15,0)),
                OFFSET($F$15,$A211,0)))</f>
        <v>HIDRÁULICA EMBUTIDA EM PAREDE</v>
      </c>
      <c r="O211" s="168"/>
      <c r="Q211" s="169">
        <v>5</v>
      </c>
      <c r="R211" s="169">
        <v>5</v>
      </c>
      <c r="S211" s="169">
        <v>5</v>
      </c>
      <c r="T211" s="169">
        <v>5</v>
      </c>
      <c r="U211" s="169"/>
      <c r="V211" s="169"/>
      <c r="W211" s="169"/>
      <c r="X211" s="169"/>
      <c r="Y211" s="169"/>
      <c r="Z211" s="170"/>
      <c r="AA211" s="169"/>
      <c r="AB211" s="169"/>
      <c r="AC211" s="169"/>
      <c r="AD211" s="169"/>
      <c r="AE211" s="169"/>
      <c r="AF211" s="169"/>
      <c r="AG211" s="169"/>
      <c r="AH211" s="170"/>
      <c r="AJ211" s="452">
        <f ca="1">IF(AND($D211="Serviço",AJ$12&lt;&gt;0,$H211&gt;0,OR(AUTOEVENTO&lt;&gt;"manual",$M211&lt;&gt;$A$15)),
        IF(Import.TipoArredondamento&lt;&gt;"TransfereGOV",
              ROUND(OFFSET($P211,0,AJ$13),15-13*ORÇAMENTO!$AF$7)/$H211*OFFSET(ORÇAMENTO!$X$15,ROW(AJ211)-ROW(AJ$15),0),
              ROUND(ROUND(OFFSET($P211,0,AJ$13),15-13*ORÇAMENTO!$AF$7)*OFFSET(ORÇAMENTO!$W$15,ROW(AJ211)-ROW(AJ$15),0),15-13*ORÇAMENTO!$AF$11)),
         0)</f>
        <v>287</v>
      </c>
      <c r="AK211" s="452">
        <f ca="1">IF(AND($D211="Serviço",AK$12&lt;&gt;0,$H211&gt;0,OR(AUTOEVENTO&lt;&gt;"manual",$M211&lt;&gt;$A$15)),
        IF(Import.TipoArredondamento&lt;&gt;"TransfereGOV",
              ROUND(OFFSET($P211,0,AK$13),15-13*ORÇAMENTO!$AF$7)/$H211*OFFSET(ORÇAMENTO!$X$15,ROW(AK211)-ROW(AK$15),0),
              ROUND(ROUND(OFFSET($P211,0,AK$13),15-13*ORÇAMENTO!$AF$7)*OFFSET(ORÇAMENTO!$W$15,ROW(AK211)-ROW(AK$15),0),15-13*ORÇAMENTO!$AF$11)),
         0)</f>
        <v>287</v>
      </c>
      <c r="AL211" s="452">
        <f ca="1">IF(AND($D211="Serviço",AL$12&lt;&gt;0,$H211&gt;0,OR(AUTOEVENTO&lt;&gt;"manual",$M211&lt;&gt;$A$15)),
        IF(Import.TipoArredondamento&lt;&gt;"TransfereGOV",
              ROUND(OFFSET($P211,0,AL$13),15-13*ORÇAMENTO!$AF$7)/$H211*OFFSET(ORÇAMENTO!$X$15,ROW(AL211)-ROW(AL$15),0),
              ROUND(ROUND(OFFSET($P211,0,AL$13),15-13*ORÇAMENTO!$AF$7)*OFFSET(ORÇAMENTO!$W$15,ROW(AL211)-ROW(AL$15),0),15-13*ORÇAMENTO!$AF$11)),
         0)</f>
        <v>287</v>
      </c>
      <c r="AM211" s="452">
        <f ca="1">IF(AND($D211="Serviço",AM$12&lt;&gt;0,$H211&gt;0,OR(AUTOEVENTO&lt;&gt;"manual",$M211&lt;&gt;$A$15)),
        IF(Import.TipoArredondamento&lt;&gt;"TransfereGOV",
              ROUND(OFFSET($P211,0,AM$13),15-13*ORÇAMENTO!$AF$7)/$H211*OFFSET(ORÇAMENTO!$X$15,ROW(AM211)-ROW(AM$15),0),
              ROUND(ROUND(OFFSET($P211,0,AM$13),15-13*ORÇAMENTO!$AF$7)*OFFSET(ORÇAMENTO!$W$15,ROW(AM211)-ROW(AM$15),0),15-13*ORÇAMENTO!$AF$11)),
         0)</f>
        <v>287</v>
      </c>
      <c r="AN211" s="452">
        <f ca="1">IF(AND($D211="Serviço",AN$12&lt;&gt;0,$H211&gt;0,OR(AUTOEVENTO&lt;&gt;"manual",$M211&lt;&gt;$A$15)),
        IF(Import.TipoArredondamento&lt;&gt;"TransfereGOV",
              ROUND(OFFSET($P211,0,AN$13),15-13*ORÇAMENTO!$AF$7)/$H211*OFFSET(ORÇAMENTO!$X$15,ROW(AN211)-ROW(AN$15),0),
              ROUND(ROUND(OFFSET($P211,0,AN$13),15-13*ORÇAMENTO!$AF$7)*OFFSET(ORÇAMENTO!$W$15,ROW(AN211)-ROW(AN$15),0),15-13*ORÇAMENTO!$AF$11)),
         0)</f>
        <v>0</v>
      </c>
      <c r="AO211" s="452">
        <f ca="1">IF(AND($D211="Serviço",AO$12&lt;&gt;0,$H211&gt;0,OR(AUTOEVENTO&lt;&gt;"manual",$M211&lt;&gt;$A$15)),
        IF(Import.TipoArredondamento&lt;&gt;"TransfereGOV",
              ROUND(OFFSET($P211,0,AO$13),15-13*ORÇAMENTO!$AF$7)/$H211*OFFSET(ORÇAMENTO!$X$15,ROW(AO211)-ROW(AO$15),0),
              ROUND(ROUND(OFFSET($P211,0,AO$13),15-13*ORÇAMENTO!$AF$7)*OFFSET(ORÇAMENTO!$W$15,ROW(AO211)-ROW(AO$15),0),15-13*ORÇAMENTO!$AF$11)),
         0)</f>
        <v>0</v>
      </c>
      <c r="AP211" s="452">
        <f ca="1">IF(AND($D211="Serviço",AP$12&lt;&gt;0,$H211&gt;0,OR(AUTOEVENTO&lt;&gt;"manual",$M211&lt;&gt;$A$15)),
        IF(Import.TipoArredondamento&lt;&gt;"TransfereGOV",
              ROUND(OFFSET($P211,0,AP$13),15-13*ORÇAMENTO!$AF$7)/$H211*OFFSET(ORÇAMENTO!$X$15,ROW(AP211)-ROW(AP$15),0),
              ROUND(ROUND(OFFSET($P211,0,AP$13),15-13*ORÇAMENTO!$AF$7)*OFFSET(ORÇAMENTO!$W$15,ROW(AP211)-ROW(AP$15),0),15-13*ORÇAMENTO!$AF$11)),
         0)</f>
        <v>0</v>
      </c>
      <c r="AQ211" s="452">
        <f ca="1">IF(AND($D211="Serviço",AQ$12&lt;&gt;0,$H211&gt;0,OR(AUTOEVENTO&lt;&gt;"manual",$M211&lt;&gt;$A$15)),
        IF(Import.TipoArredondamento&lt;&gt;"TransfereGOV",
              ROUND(OFFSET($P211,0,AQ$13),15-13*ORÇAMENTO!$AF$7)/$H211*OFFSET(ORÇAMENTO!$X$15,ROW(AQ211)-ROW(AQ$15),0),
              ROUND(ROUND(OFFSET($P211,0,AQ$13),15-13*ORÇAMENTO!$AF$7)*OFFSET(ORÇAMENTO!$W$15,ROW(AQ211)-ROW(AQ$15),0),15-13*ORÇAMENTO!$AF$11)),
         0)</f>
        <v>0</v>
      </c>
      <c r="AR211" s="452">
        <f ca="1">IF(AND($D211="Serviço",AR$12&lt;&gt;0,$H211&gt;0,OR(AUTOEVENTO&lt;&gt;"manual",$M211&lt;&gt;$A$15)),
        IF(Import.TipoArredondamento&lt;&gt;"TransfereGOV",
              ROUND(OFFSET($P211,0,AR$13),15-13*ORÇAMENTO!$AF$7)/$H211*OFFSET(ORÇAMENTO!$X$15,ROW(AR211)-ROW(AR$15),0),
              ROUND(ROUND(OFFSET($P211,0,AR$13),15-13*ORÇAMENTO!$AF$7)*OFFSET(ORÇAMENTO!$W$15,ROW(AR211)-ROW(AR$15),0),15-13*ORÇAMENTO!$AF$11)),
         0)</f>
        <v>0</v>
      </c>
      <c r="AS211" s="452">
        <f ca="1">IF(AND($D211="Serviço",AS$12&lt;&gt;0,$H211&gt;0,OR(AUTOEVENTO&lt;&gt;"manual",$M211&lt;&gt;$A$15)),
        IF(Import.TipoArredondamento&lt;&gt;"TransfereGOV",
              ROUND(OFFSET($P211,0,AS$13),15-13*ORÇAMENTO!$AF$7)/$H211*OFFSET(ORÇAMENTO!$X$15,ROW(AS211)-ROW(AS$15),0),
              ROUND(ROUND(OFFSET($P211,0,AS$13),15-13*ORÇAMENTO!$AF$7)*OFFSET(ORÇAMENTO!$W$15,ROW(AS211)-ROW(AS$15),0),15-13*ORÇAMENTO!$AF$11)),
         0)</f>
        <v>0</v>
      </c>
      <c r="AT211" s="452">
        <f ca="1">IF(AND($D211="Serviço",AT$12&lt;&gt;0,$H211&gt;0,OR(AUTOEVENTO&lt;&gt;"manual",$M211&lt;&gt;$A$15)),
        IF(Import.TipoArredondamento&lt;&gt;"TransfereGOV",
              ROUND(OFFSET($P211,0,AT$13),15-13*ORÇAMENTO!$AF$7)/$H211*OFFSET(ORÇAMENTO!$X$15,ROW(AT211)-ROW(AT$15),0),
              ROUND(ROUND(OFFSET($P211,0,AT$13),15-13*ORÇAMENTO!$AF$7)*OFFSET(ORÇAMENTO!$W$15,ROW(AT211)-ROW(AT$15),0),15-13*ORÇAMENTO!$AF$11)),
         0)</f>
        <v>0</v>
      </c>
      <c r="AU211" s="452">
        <f ca="1">IF(AND($D211="Serviço",AU$12&lt;&gt;0,$H211&gt;0,OR(AUTOEVENTO&lt;&gt;"manual",$M211&lt;&gt;$A$15)),
        IF(Import.TipoArredondamento&lt;&gt;"TransfereGOV",
              ROUND(OFFSET($P211,0,AU$13),15-13*ORÇAMENTO!$AF$7)/$H211*OFFSET(ORÇAMENTO!$X$15,ROW(AU211)-ROW(AU$15),0),
              ROUND(ROUND(OFFSET($P211,0,AU$13),15-13*ORÇAMENTO!$AF$7)*OFFSET(ORÇAMENTO!$W$15,ROW(AU211)-ROW(AU$15),0),15-13*ORÇAMENTO!$AF$11)),
         0)</f>
        <v>0</v>
      </c>
      <c r="AV211" s="452">
        <f ca="1">IF(AND($D211="Serviço",AV$12&lt;&gt;0,$H211&gt;0,OR(AUTOEVENTO&lt;&gt;"manual",$M211&lt;&gt;$A$15)),
        IF(Import.TipoArredondamento&lt;&gt;"TransfereGOV",
              ROUND(OFFSET($P211,0,AV$13),15-13*ORÇAMENTO!$AF$7)/$H211*OFFSET(ORÇAMENTO!$X$15,ROW(AV211)-ROW(AV$15),0),
              ROUND(ROUND(OFFSET($P211,0,AV$13),15-13*ORÇAMENTO!$AF$7)*OFFSET(ORÇAMENTO!$W$15,ROW(AV211)-ROW(AV$15),0),15-13*ORÇAMENTO!$AF$11)),
         0)</f>
        <v>0</v>
      </c>
      <c r="AW211" s="452">
        <f ca="1">IF(AND($D211="Serviço",AW$12&lt;&gt;0,$H211&gt;0,OR(AUTOEVENTO&lt;&gt;"manual",$M211&lt;&gt;$A$15)),
        IF(Import.TipoArredondamento&lt;&gt;"TransfereGOV",
              ROUND(OFFSET($P211,0,AW$13),15-13*ORÇAMENTO!$AF$7)/$H211*OFFSET(ORÇAMENTO!$X$15,ROW(AW211)-ROW(AW$15),0),
              ROUND(ROUND(OFFSET($P211,0,AW$13),15-13*ORÇAMENTO!$AF$7)*OFFSET(ORÇAMENTO!$W$15,ROW(AW211)-ROW(AW$15),0),15-13*ORÇAMENTO!$AF$11)),
         0)</f>
        <v>0</v>
      </c>
      <c r="AX211" s="452">
        <f ca="1">IF(AND($D211="Serviço",AX$12&lt;&gt;0,$H211&gt;0,OR(AUTOEVENTO&lt;&gt;"manual",$M211&lt;&gt;$A$15)),
        IF(Import.TipoArredondamento&lt;&gt;"TransfereGOV",
              ROUND(OFFSET($P211,0,AX$13),15-13*ORÇAMENTO!$AF$7)/$H211*OFFSET(ORÇAMENTO!$X$15,ROW(AX211)-ROW(AX$15),0),
              ROUND(ROUND(OFFSET($P211,0,AX$13),15-13*ORÇAMENTO!$AF$7)*OFFSET(ORÇAMENTO!$W$15,ROW(AX211)-ROW(AX$15),0),15-13*ORÇAMENTO!$AF$11)),
         0)</f>
        <v>0</v>
      </c>
      <c r="AY211" s="452">
        <f ca="1">IF(AND($D211="Serviço",AY$12&lt;&gt;0,$H211&gt;0,OR(AUTOEVENTO&lt;&gt;"manual",$M211&lt;&gt;$A$15)),
        IF(Import.TipoArredondamento&lt;&gt;"TransfereGOV",
              ROUND(OFFSET($P211,0,AY$13),15-13*ORÇAMENTO!$AF$7)/$H211*OFFSET(ORÇAMENTO!$X$15,ROW(AY211)-ROW(AY$15),0),
              ROUND(ROUND(OFFSET($P211,0,AY$13),15-13*ORÇAMENTO!$AF$7)*OFFSET(ORÇAMENTO!$W$15,ROW(AY211)-ROW(AY$15),0),15-13*ORÇAMENTO!$AF$11)),
         0)</f>
        <v>0</v>
      </c>
      <c r="AZ211" s="452">
        <f ca="1">IF(AND($D211="Serviço",AZ$12&lt;&gt;0,$H211&gt;0,OR(AUTOEVENTO&lt;&gt;"manual",$M211&lt;&gt;$A$15)),
        IF(Import.TipoArredondamento&lt;&gt;"TransfereGOV",
              ROUND(OFFSET($P211,0,AZ$13),15-13*ORÇAMENTO!$AF$7)/$H211*OFFSET(ORÇAMENTO!$X$15,ROW(AZ211)-ROW(AZ$15),0),
              ROUND(ROUND(OFFSET($P211,0,AZ$13),15-13*ORÇAMENTO!$AF$7)*OFFSET(ORÇAMENTO!$W$15,ROW(AZ211)-ROW(AZ$15),0),15-13*ORÇAMENTO!$AF$11)),
         0)</f>
        <v>0</v>
      </c>
      <c r="BA211" s="452">
        <f ca="1">IF(AND($D211="Serviço",BA$12&lt;&gt;0,$H211&gt;0,OR(AUTOEVENTO&lt;&gt;"manual",$M211&lt;&gt;$A$15)),
        IF(Import.TipoArredondamento&lt;&gt;"TransfereGOV",
              ROUND(OFFSET($P211,0,BA$13),15-13*ORÇAMENTO!$AF$7)/$H211*OFFSET(ORÇAMENTO!$X$15,ROW(BA211)-ROW(BA$15),0),
              ROUND(ROUND(OFFSET($P211,0,BA$13),15-13*ORÇAMENTO!$AF$7)*OFFSET(ORÇAMENTO!$W$15,ROW(BA211)-ROW(BA$15),0),15-13*ORÇAMENTO!$AF$11)),
         0)</f>
        <v>0</v>
      </c>
      <c r="BC211" s="171">
        <f ca="1">IF(OR($D211&lt;&gt;"Serviço",AND(AUTOEVENTO="Manual",$M211=$A$15)),0,
         IF(OFFSET(CRONOPLE!$F$15,$M211-$A$15,BC$13)=0,10^12,OFFSET(CRONOPLE!$F$15,$M211-$A$15,BC$13)))</f>
        <v>5</v>
      </c>
      <c r="BD211" s="171">
        <f ca="1">IF(OR($D211&lt;&gt;"Serviço",AND(AUTOEVENTO="Manual",$M211=$A$15)),0,
         IF(OFFSET(CRONOPLE!$F$15,$M211-$A$15,BD$13)=0,10^12,OFFSET(CRONOPLE!$F$15,$M211-$A$15,BD$13)))</f>
        <v>5</v>
      </c>
      <c r="BE211" s="171">
        <f ca="1">IF(OR($D211&lt;&gt;"Serviço",AND(AUTOEVENTO="Manual",$M211=$A$15)),0,
         IF(OFFSET(CRONOPLE!$F$15,$M211-$A$15,BE$13)=0,10^12,OFFSET(CRONOPLE!$F$15,$M211-$A$15,BE$13)))</f>
        <v>6</v>
      </c>
      <c r="BF211" s="171">
        <f ca="1">IF(OR($D211&lt;&gt;"Serviço",AND(AUTOEVENTO="Manual",$M211=$A$15)),0,
         IF(OFFSET(CRONOPLE!$F$15,$M211-$A$15,BF$13)=0,10^12,OFFSET(CRONOPLE!$F$15,$M211-$A$15,BF$13)))</f>
        <v>6</v>
      </c>
      <c r="BG211" s="171">
        <f ca="1">IF(OR($D211&lt;&gt;"Serviço",AND(AUTOEVENTO="Manual",$M211=$A$15)),0,
         IF(OFFSET(CRONOPLE!$F$15,$M211-$A$15,BG$13)=0,10^12,OFFSET(CRONOPLE!$F$15,$M211-$A$15,BG$13)))</f>
        <v>6</v>
      </c>
      <c r="BH211" s="171">
        <f ca="1">IF(OR($D211&lt;&gt;"Serviço",AND(AUTOEVENTO="Manual",$M211=$A$15)),0,
         IF(OFFSET(CRONOPLE!$F$15,$M211-$A$15,BH$13)=0,10^12,OFFSET(CRONOPLE!$F$15,$M211-$A$15,BH$13)))</f>
        <v>1000000000000</v>
      </c>
      <c r="BI211" s="171">
        <f ca="1">IF(OR($D211&lt;&gt;"Serviço",AND(AUTOEVENTO="Manual",$M211=$A$15)),0,
         IF(OFFSET(CRONOPLE!$F$15,$M211-$A$15,BI$13)=0,10^12,OFFSET(CRONOPLE!$F$15,$M211-$A$15,BI$13)))</f>
        <v>1000000000000</v>
      </c>
      <c r="BJ211" s="171">
        <f ca="1">IF(OR($D211&lt;&gt;"Serviço",AND(AUTOEVENTO="Manual",$M211=$A$15)),0,
         IF(OFFSET(CRONOPLE!$F$15,$M211-$A$15,BJ$13)=0,10^12,OFFSET(CRONOPLE!$F$15,$M211-$A$15,BJ$13)))</f>
        <v>1000000000000</v>
      </c>
      <c r="BK211" s="171">
        <f ca="1">IF(OR($D211&lt;&gt;"Serviço",AND(AUTOEVENTO="Manual",$M211=$A$15)),0,
         IF(OFFSET(CRONOPLE!$F$15,$M211-$A$15,BK$13)=0,10^12,OFFSET(CRONOPLE!$F$15,$M211-$A$15,BK$13)))</f>
        <v>1000000000000</v>
      </c>
      <c r="BL211" s="171">
        <f ca="1">IF(OR($D211&lt;&gt;"Serviço",AND(AUTOEVENTO="Manual",$M211=$A$15)),0,
         IF(OFFSET(CRONOPLE!$F$15,$M211-$A$15,BL$13)=0,10^12,OFFSET(CRONOPLE!$F$15,$M211-$A$15,BL$13)))</f>
        <v>1000000000000</v>
      </c>
      <c r="BM211" s="171">
        <f ca="1">IF(OR($D211&lt;&gt;"Serviço",AND(AUTOEVENTO="Manual",$M211=$A$15)),0,
         IF(OFFSET(CRONOPLE!$F$15,$M211-$A$15,BM$13)=0,10^12,OFFSET(CRONOPLE!$F$15,$M211-$A$15,BM$13)))</f>
        <v>1000000000000</v>
      </c>
      <c r="BN211" s="171">
        <f ca="1">IF(OR($D211&lt;&gt;"Serviço",AND(AUTOEVENTO="Manual",$M211=$A$15)),0,
         IF(OFFSET(CRONOPLE!$F$15,$M211-$A$15,BN$13)=0,10^12,OFFSET(CRONOPLE!$F$15,$M211-$A$15,BN$13)))</f>
        <v>1000000000000</v>
      </c>
      <c r="BO211" s="171">
        <f ca="1">IF(OR($D211&lt;&gt;"Serviço",AND(AUTOEVENTO="Manual",$M211=$A$15)),0,
         IF(OFFSET(CRONOPLE!$F$15,$M211-$A$15,BO$13)=0,10^12,OFFSET(CRONOPLE!$F$15,$M211-$A$15,BO$13)))</f>
        <v>1000000000000</v>
      </c>
      <c r="BP211" s="171">
        <f ca="1">IF(OR($D211&lt;&gt;"Serviço",AND(AUTOEVENTO="Manual",$M211=$A$15)),0,
         IF(OFFSET(CRONOPLE!$F$15,$M211-$A$15,BP$13)=0,10^12,OFFSET(CRONOPLE!$F$15,$M211-$A$15,BP$13)))</f>
        <v>1000000000000</v>
      </c>
      <c r="BQ211" s="171">
        <f ca="1">IF(OR($D211&lt;&gt;"Serviço",AND(AUTOEVENTO="Manual",$M211=$A$15)),0,
         IF(OFFSET(CRONOPLE!$F$15,$M211-$A$15,BQ$13)=0,10^12,OFFSET(CRONOPLE!$F$15,$M211-$A$15,BQ$13)))</f>
        <v>1000000000000</v>
      </c>
      <c r="BR211" s="171">
        <f ca="1">IF(OR($D211&lt;&gt;"Serviço",AND(AUTOEVENTO="Manual",$M211=$A$15)),0,
         IF(OFFSET(CRONOPLE!$F$15,$M211-$A$15,BR$13)=0,10^12,OFFSET(CRONOPLE!$F$15,$M211-$A$15,BR$13)))</f>
        <v>1000000000000</v>
      </c>
      <c r="BS211" s="171">
        <f ca="1">IF(OR($D211&lt;&gt;"Serviço",AND(AUTOEVENTO="Manual",$M211=$A$15)),0,
         IF(OFFSET(CRONOPLE!$F$15,$M211-$A$15,BS$13)=0,10^12,OFFSET(CRONOPLE!$F$15,$M211-$A$15,BS$13)))</f>
        <v>1000000000000</v>
      </c>
      <c r="BT211" s="171">
        <f ca="1">IF(OR($D211&lt;&gt;"Serviço",AND(AUTOEVENTO="Manual",$M211=$A$15)),0,
         IF(OFFSET(CRONOPLE!$F$15,$M211-$A$15,BT$13)=0,10^12,OFFSET(CRONOPLE!$F$15,$M211-$A$15,BT$13)))</f>
        <v>1000000000000</v>
      </c>
      <c r="BV211" s="172">
        <f t="array" aca="1" ref="BV211" ca="1">IF(OR($D211&lt;&gt;"Serviço",AND(AUTOEVENTO="Manual",$M211=$A$15),$M211&gt;(ROW(PLE.lastrow)-ROW(PLE.firstrow))),0,
           IF(OFFSET(PLE!$G$15,$M211-$A$15,BV$13)="",10^12,OFFSET(PLE!$G$15,$M211-$A$15,BV$13)))</f>
        <v>1000000000000</v>
      </c>
      <c r="BW211" s="172">
        <f t="array" aca="1" ref="BW211" ca="1">IF(OR($D211&lt;&gt;"Serviço",AND(AUTOEVENTO="Manual",$M211=$A$15),$M211&gt;(ROW(PLE.lastrow)-ROW(PLE.firstrow))),0,
           IF(OFFSET(PLE!$G$15,$M211-$A$15,BW$13)="",10^12,OFFSET(PLE!$G$15,$M211-$A$15,BW$13)))</f>
        <v>1000000000000</v>
      </c>
      <c r="BX211" s="172">
        <f t="array" aca="1" ref="BX211" ca="1">IF(OR($D211&lt;&gt;"Serviço",AND(AUTOEVENTO="Manual",$M211=$A$15),$M211&gt;(ROW(PLE.lastrow)-ROW(PLE.firstrow))),0,
           IF(OFFSET(PLE!$G$15,$M211-$A$15,BX$13)="",10^12,OFFSET(PLE!$G$15,$M211-$A$15,BX$13)))</f>
        <v>1000000000000</v>
      </c>
      <c r="BY211" s="172">
        <f t="array" aca="1" ref="BY211" ca="1">IF(OR($D211&lt;&gt;"Serviço",AND(AUTOEVENTO="Manual",$M211=$A$15),$M211&gt;(ROW(PLE.lastrow)-ROW(PLE.firstrow))),0,
           IF(OFFSET(PLE!$G$15,$M211-$A$15,BY$13)="",10^12,OFFSET(PLE!$G$15,$M211-$A$15,BY$13)))</f>
        <v>1000000000000</v>
      </c>
      <c r="BZ211" s="172">
        <f t="array" aca="1" ref="BZ211" ca="1">IF(OR($D211&lt;&gt;"Serviço",AND(AUTOEVENTO="Manual",$M211=$A$15),$M211&gt;(ROW(PLE.lastrow)-ROW(PLE.firstrow))),0,
           IF(OFFSET(PLE!$G$15,$M211-$A$15,BZ$13)="",10^12,OFFSET(PLE!$G$15,$M211-$A$15,BZ$13)))</f>
        <v>1000000000000</v>
      </c>
      <c r="CA211" s="172">
        <f t="array" aca="1" ref="CA211" ca="1">IF(OR($D211&lt;&gt;"Serviço",AND(AUTOEVENTO="Manual",$M211=$A$15),$M211&gt;(ROW(PLE.lastrow)-ROW(PLE.firstrow))),0,
           IF(OFFSET(PLE!$G$15,$M211-$A$15,CA$13)="",10^12,OFFSET(PLE!$G$15,$M211-$A$15,CA$13)))</f>
        <v>1000000000000</v>
      </c>
      <c r="CB211" s="172">
        <f t="array" aca="1" ref="CB211" ca="1">IF(OR($D211&lt;&gt;"Serviço",AND(AUTOEVENTO="Manual",$M211=$A$15),$M211&gt;(ROW(PLE.lastrow)-ROW(PLE.firstrow))),0,
           IF(OFFSET(PLE!$G$15,$M211-$A$15,CB$13)="",10^12,OFFSET(PLE!$G$15,$M211-$A$15,CB$13)))</f>
        <v>1000000000000</v>
      </c>
      <c r="CC211" s="172">
        <f t="array" aca="1" ref="CC211" ca="1">IF(OR($D211&lt;&gt;"Serviço",AND(AUTOEVENTO="Manual",$M211=$A$15),$M211&gt;(ROW(PLE.lastrow)-ROW(PLE.firstrow))),0,
           IF(OFFSET(PLE!$G$15,$M211-$A$15,CC$13)="",10^12,OFFSET(PLE!$G$15,$M211-$A$15,CC$13)))</f>
        <v>1000000000000</v>
      </c>
      <c r="CD211" s="172">
        <f t="array" aca="1" ref="CD211" ca="1">IF(OR($D211&lt;&gt;"Serviço",AND(AUTOEVENTO="Manual",$M211=$A$15),$M211&gt;(ROW(PLE.lastrow)-ROW(PLE.firstrow))),0,
           IF(OFFSET(PLE!$G$15,$M211-$A$15,CD$13)="",10^12,OFFSET(PLE!$G$15,$M211-$A$15,CD$13)))</f>
        <v>1000000000000</v>
      </c>
      <c r="CE211" s="172">
        <f t="array" aca="1" ref="CE211" ca="1">IF(OR($D211&lt;&gt;"Serviço",AND(AUTOEVENTO="Manual",$M211=$A$15),$M211&gt;(ROW(PLE.lastrow)-ROW(PLE.firstrow))),0,
           IF(OFFSET(PLE!$G$15,$M211-$A$15,CE$13)="",10^12,OFFSET(PLE!$G$15,$M211-$A$15,CE$13)))</f>
        <v>1000000000000</v>
      </c>
      <c r="CF211" s="172">
        <f t="array" aca="1" ref="CF211" ca="1">IF(OR($D211&lt;&gt;"Serviço",AND(AUTOEVENTO="Manual",$M211=$A$15),$M211&gt;(ROW(PLE.lastrow)-ROW(PLE.firstrow))),0,
           IF(OFFSET(PLE!$G$15,$M211-$A$15,CF$13)="",10^12,OFFSET(PLE!$G$15,$M211-$A$15,CF$13)))</f>
        <v>1000000000000</v>
      </c>
      <c r="CG211" s="172">
        <f t="array" aca="1" ref="CG211" ca="1">IF(OR($D211&lt;&gt;"Serviço",AND(AUTOEVENTO="Manual",$M211=$A$15),$M211&gt;(ROW(PLE.lastrow)-ROW(PLE.firstrow))),0,
           IF(OFFSET(PLE!$G$15,$M211-$A$15,CG$13)="",10^12,OFFSET(PLE!$G$15,$M211-$A$15,CG$13)))</f>
        <v>1000000000000</v>
      </c>
      <c r="CH211" s="172">
        <f t="array" aca="1" ref="CH211" ca="1">IF(OR($D211&lt;&gt;"Serviço",AND(AUTOEVENTO="Manual",$M211=$A$15),$M211&gt;(ROW(PLE.lastrow)-ROW(PLE.firstrow))),0,
           IF(OFFSET(PLE!$G$15,$M211-$A$15,CH$13)="",10^12,OFFSET(PLE!$G$15,$M211-$A$15,CH$13)))</f>
        <v>1000000000000</v>
      </c>
      <c r="CI211" s="172">
        <f t="array" aca="1" ref="CI211" ca="1">IF(OR($D211&lt;&gt;"Serviço",AND(AUTOEVENTO="Manual",$M211=$A$15),$M211&gt;(ROW(PLE.lastrow)-ROW(PLE.firstrow))),0,
           IF(OFFSET(PLE!$G$15,$M211-$A$15,CI$13)="",10^12,OFFSET(PLE!$G$15,$M211-$A$15,CI$13)))</f>
        <v>1000000000000</v>
      </c>
      <c r="CJ211" s="172">
        <f t="array" aca="1" ref="CJ211" ca="1">IF(OR($D211&lt;&gt;"Serviço",AND(AUTOEVENTO="Manual",$M211=$A$15),$M211&gt;(ROW(PLE.lastrow)-ROW(PLE.firstrow))),0,
           IF(OFFSET(PLE!$G$15,$M211-$A$15,CJ$13)="",10^12,OFFSET(PLE!$G$15,$M211-$A$15,CJ$13)))</f>
        <v>1000000000000</v>
      </c>
      <c r="CK211" s="172">
        <f t="array" aca="1" ref="CK211" ca="1">IF(OR($D211&lt;&gt;"Serviço",AND(AUTOEVENTO="Manual",$M211=$A$15),$M211&gt;(ROW(PLE.lastrow)-ROW(PLE.firstrow))),0,
           IF(OFFSET(PLE!$G$15,$M211-$A$15,CK$13)="",10^12,OFFSET(PLE!$G$15,$M211-$A$15,CK$13)))</f>
        <v>1000000000000</v>
      </c>
      <c r="CL211" s="172">
        <f t="array" aca="1" ref="CL211" ca="1">IF(OR($D211&lt;&gt;"Serviço",AND(AUTOEVENTO="Manual",$M211=$A$15),$M211&gt;(ROW(PLE.lastrow)-ROW(PLE.firstrow))),0,
           IF(OFFSET(PLE!$G$15,$M211-$A$15,CL$13)="",10^12,OFFSET(PLE!$G$15,$M211-$A$15,CL$13)))</f>
        <v>1000000000000</v>
      </c>
      <c r="CM211" s="172">
        <f t="array" aca="1" ref="CM211" ca="1">IF(OR($D211&lt;&gt;"Serviço",AND(AUTOEVENTO="Manual",$M211=$A$15),$M211&gt;(ROW(PLE.lastrow)-ROW(PLE.firstrow))),0,
           IF(OFFSET(PLE!$G$15,$M211-$A$15,CM$13)="",10^12,OFFSET(PLE!$G$15,$M211-$A$15,CM$13)))</f>
        <v>1000000000000</v>
      </c>
    </row>
    <row r="212" spans="1:91" s="696" customFormat="1" ht="76.5" x14ac:dyDescent="0.2">
      <c r="A212" s="694">
        <f t="shared" ca="1" si="98"/>
        <v>31</v>
      </c>
      <c r="B212" s="694" t="str">
        <f ca="1">OFFSET(ORÇAMENTO!C$15,$L212,0)</f>
        <v>S</v>
      </c>
      <c r="C212" s="694" t="str">
        <f ca="1">OFFSET(ORÇAMENTO!L$15,$L212,0)</f>
        <v>F</v>
      </c>
      <c r="D212" s="116" t="str">
        <f ca="1">OFFSET(ORÇAMENTO!N$15,$L212,0)</f>
        <v>Serviço</v>
      </c>
      <c r="E212" s="117" t="str">
        <f ca="1">OFFSET(ORÇAMENTO!O$15,$L212,0)</f>
        <v>1.31.3.</v>
      </c>
      <c r="F212" s="163" t="str">
        <f ca="1">OFFSET(ORÇAMENTO!R$15,$L212,0)</f>
        <v>RALO SIFONADO REDONDO, PVC, DN 100 X 40 MM, JUNTA SOLDÁVEL, FORNECIDO E INSTALADO EM RAMAL DE DESCARGA OU EM RAMAL DE ESGOTO SANITÁRIO. AF_08/2022</v>
      </c>
      <c r="G212" s="164" t="str">
        <f ca="1">IF($D212&lt;&gt;"Serviço","",OFFSET(ORÇAMENTO!S$15,$L212,0))</f>
        <v>UN</v>
      </c>
      <c r="H212" s="122">
        <f t="array" aca="1" ref="H212" ca="1">IF($D212&lt;&gt;"Serviço",0,IF(ACOMPANHAMENTO="BM",ROUND(OFFSET(ORÇAMENTO!AJ$15,$L212,0),15-13*ORÇAMENTO!$AF$7),IF(IFERROR(CÁLCULO.FrentesPreenchidas,0)=0,0,SUM(ROUND(OFFSET($P212,0,1,1,CÁLCULO.FrentesPreenchidas),15-13*ORÇAMENTO!$AF$7)))))</f>
        <v>20</v>
      </c>
      <c r="I212" s="467" t="s">
        <v>1338</v>
      </c>
      <c r="J212" s="653" t="str">
        <f t="array" aca="1" ref="J212" ca="1">IF(OR(B212&lt;&gt;"S",CÁLCULO.FrentesPreenchidas=0),"",IF(AND(ACOMPANHAMENTO="PLE",AUTOEVENTO="Manual",OR(H212&gt;0,ORÇAMENTO!AC212="QUANT."),OR(K212="",M212=0,N212="")),"►E",IF(AND(ACOMPANHAMENTO="PLE",ORÇAMENTO!AC212="QUANT."),"►Q",IF(AND(ACOMPANHAMENTO="PLE",H212&lt;&gt;SUMPRODUCT(($Q$1:$AI$1=1)*ROUND(Q212:AI212,15))),"►S",IF(AND(COUNTIF($P$11:$AI$11,"▼")=0,H212&gt;0,I212=""),"◄M","")))))</f>
        <v/>
      </c>
      <c r="K212" s="654" t="s">
        <v>1447</v>
      </c>
      <c r="L212" s="165">
        <f t="shared" ca="1" si="99"/>
        <v>197</v>
      </c>
      <c r="M212" s="166">
        <f ca="1">IF($D212&lt;&gt;"Serviço","",
          IF(AUTOEVENTO="manual",$A212,
                IF(ISERROR(MATCH($A212,$A$15:OFFSET($A212,-1,0),0)),MAX($M$15:OFFSET(M212,-1,0))+1,
                      INDEX($M$15:OFFSET(M212,-1,0),MATCH($A212,$A$15:OFFSET($A212,-1,0),0)))))</f>
        <v>31</v>
      </c>
      <c r="N212" s="167" t="str">
        <f ca="1">IF($D212&lt;&gt;"Serviço","",
         IF(AUTOEVENTO="Manual",
                IF($A212=0,"&lt;-- defina o número do agrupador",
                       OFFSET(EVENTOS!$D$15,$A212-$A$15,0)),
                OFFSET($F$15,$A212,0)))</f>
        <v>REDE PLUVIAL E ESGOTO</v>
      </c>
      <c r="O212" s="168"/>
      <c r="Q212" s="169">
        <v>5</v>
      </c>
      <c r="R212" s="169">
        <v>5</v>
      </c>
      <c r="S212" s="169">
        <v>5</v>
      </c>
      <c r="T212" s="169">
        <v>5</v>
      </c>
      <c r="U212" s="169"/>
      <c r="V212" s="169"/>
      <c r="W212" s="169"/>
      <c r="X212" s="169"/>
      <c r="Y212" s="169"/>
      <c r="Z212" s="170"/>
      <c r="AA212" s="169"/>
      <c r="AB212" s="169"/>
      <c r="AC212" s="169"/>
      <c r="AD212" s="169"/>
      <c r="AE212" s="169"/>
      <c r="AF212" s="169"/>
      <c r="AG212" s="169"/>
      <c r="AH212" s="170"/>
      <c r="AJ212" s="452">
        <f ca="1">IF(AND($D212="Serviço",AJ$12&lt;&gt;0,$H212&gt;0,OR(AUTOEVENTO&lt;&gt;"manual",$M212&lt;&gt;$A$15)),
        IF(Import.TipoArredondamento&lt;&gt;"TransfereGOV",
              ROUND(OFFSET($P212,0,AJ$13),15-13*ORÇAMENTO!$AF$7)/$H212*OFFSET(ORÇAMENTO!$X$15,ROW(AJ212)-ROW(AJ$15),0),
              ROUND(ROUND(OFFSET($P212,0,AJ$13),15-13*ORÇAMENTO!$AF$7)*OFFSET(ORÇAMENTO!$W$15,ROW(AJ212)-ROW(AJ$15),0),15-13*ORÇAMENTO!$AF$11)),
         0)</f>
        <v>112.1</v>
      </c>
      <c r="AK212" s="452">
        <f ca="1">IF(AND($D212="Serviço",AK$12&lt;&gt;0,$H212&gt;0,OR(AUTOEVENTO&lt;&gt;"manual",$M212&lt;&gt;$A$15)),
        IF(Import.TipoArredondamento&lt;&gt;"TransfereGOV",
              ROUND(OFFSET($P212,0,AK$13),15-13*ORÇAMENTO!$AF$7)/$H212*OFFSET(ORÇAMENTO!$X$15,ROW(AK212)-ROW(AK$15),0),
              ROUND(ROUND(OFFSET($P212,0,AK$13),15-13*ORÇAMENTO!$AF$7)*OFFSET(ORÇAMENTO!$W$15,ROW(AK212)-ROW(AK$15),0),15-13*ORÇAMENTO!$AF$11)),
         0)</f>
        <v>112.1</v>
      </c>
      <c r="AL212" s="452">
        <f ca="1">IF(AND($D212="Serviço",AL$12&lt;&gt;0,$H212&gt;0,OR(AUTOEVENTO&lt;&gt;"manual",$M212&lt;&gt;$A$15)),
        IF(Import.TipoArredondamento&lt;&gt;"TransfereGOV",
              ROUND(OFFSET($P212,0,AL$13),15-13*ORÇAMENTO!$AF$7)/$H212*OFFSET(ORÇAMENTO!$X$15,ROW(AL212)-ROW(AL$15),0),
              ROUND(ROUND(OFFSET($P212,0,AL$13),15-13*ORÇAMENTO!$AF$7)*OFFSET(ORÇAMENTO!$W$15,ROW(AL212)-ROW(AL$15),0),15-13*ORÇAMENTO!$AF$11)),
         0)</f>
        <v>112.1</v>
      </c>
      <c r="AM212" s="452">
        <f ca="1">IF(AND($D212="Serviço",AM$12&lt;&gt;0,$H212&gt;0,OR(AUTOEVENTO&lt;&gt;"manual",$M212&lt;&gt;$A$15)),
        IF(Import.TipoArredondamento&lt;&gt;"TransfereGOV",
              ROUND(OFFSET($P212,0,AM$13),15-13*ORÇAMENTO!$AF$7)/$H212*OFFSET(ORÇAMENTO!$X$15,ROW(AM212)-ROW(AM$15),0),
              ROUND(ROUND(OFFSET($P212,0,AM$13),15-13*ORÇAMENTO!$AF$7)*OFFSET(ORÇAMENTO!$W$15,ROW(AM212)-ROW(AM$15),0),15-13*ORÇAMENTO!$AF$11)),
         0)</f>
        <v>112.1</v>
      </c>
      <c r="AN212" s="452">
        <f ca="1">IF(AND($D212="Serviço",AN$12&lt;&gt;0,$H212&gt;0,OR(AUTOEVENTO&lt;&gt;"manual",$M212&lt;&gt;$A$15)),
        IF(Import.TipoArredondamento&lt;&gt;"TransfereGOV",
              ROUND(OFFSET($P212,0,AN$13),15-13*ORÇAMENTO!$AF$7)/$H212*OFFSET(ORÇAMENTO!$X$15,ROW(AN212)-ROW(AN$15),0),
              ROUND(ROUND(OFFSET($P212,0,AN$13),15-13*ORÇAMENTO!$AF$7)*OFFSET(ORÇAMENTO!$W$15,ROW(AN212)-ROW(AN$15),0),15-13*ORÇAMENTO!$AF$11)),
         0)</f>
        <v>0</v>
      </c>
      <c r="AO212" s="452">
        <f ca="1">IF(AND($D212="Serviço",AO$12&lt;&gt;0,$H212&gt;0,OR(AUTOEVENTO&lt;&gt;"manual",$M212&lt;&gt;$A$15)),
        IF(Import.TipoArredondamento&lt;&gt;"TransfereGOV",
              ROUND(OFFSET($P212,0,AO$13),15-13*ORÇAMENTO!$AF$7)/$H212*OFFSET(ORÇAMENTO!$X$15,ROW(AO212)-ROW(AO$15),0),
              ROUND(ROUND(OFFSET($P212,0,AO$13),15-13*ORÇAMENTO!$AF$7)*OFFSET(ORÇAMENTO!$W$15,ROW(AO212)-ROW(AO$15),0),15-13*ORÇAMENTO!$AF$11)),
         0)</f>
        <v>0</v>
      </c>
      <c r="AP212" s="452">
        <f ca="1">IF(AND($D212="Serviço",AP$12&lt;&gt;0,$H212&gt;0,OR(AUTOEVENTO&lt;&gt;"manual",$M212&lt;&gt;$A$15)),
        IF(Import.TipoArredondamento&lt;&gt;"TransfereGOV",
              ROUND(OFFSET($P212,0,AP$13),15-13*ORÇAMENTO!$AF$7)/$H212*OFFSET(ORÇAMENTO!$X$15,ROW(AP212)-ROW(AP$15),0),
              ROUND(ROUND(OFFSET($P212,0,AP$13),15-13*ORÇAMENTO!$AF$7)*OFFSET(ORÇAMENTO!$W$15,ROW(AP212)-ROW(AP$15),0),15-13*ORÇAMENTO!$AF$11)),
         0)</f>
        <v>0</v>
      </c>
      <c r="AQ212" s="452">
        <f ca="1">IF(AND($D212="Serviço",AQ$12&lt;&gt;0,$H212&gt;0,OR(AUTOEVENTO&lt;&gt;"manual",$M212&lt;&gt;$A$15)),
        IF(Import.TipoArredondamento&lt;&gt;"TransfereGOV",
              ROUND(OFFSET($P212,0,AQ$13),15-13*ORÇAMENTO!$AF$7)/$H212*OFFSET(ORÇAMENTO!$X$15,ROW(AQ212)-ROW(AQ$15),0),
              ROUND(ROUND(OFFSET($P212,0,AQ$13),15-13*ORÇAMENTO!$AF$7)*OFFSET(ORÇAMENTO!$W$15,ROW(AQ212)-ROW(AQ$15),0),15-13*ORÇAMENTO!$AF$11)),
         0)</f>
        <v>0</v>
      </c>
      <c r="AR212" s="452">
        <f ca="1">IF(AND($D212="Serviço",AR$12&lt;&gt;0,$H212&gt;0,OR(AUTOEVENTO&lt;&gt;"manual",$M212&lt;&gt;$A$15)),
        IF(Import.TipoArredondamento&lt;&gt;"TransfereGOV",
              ROUND(OFFSET($P212,0,AR$13),15-13*ORÇAMENTO!$AF$7)/$H212*OFFSET(ORÇAMENTO!$X$15,ROW(AR212)-ROW(AR$15),0),
              ROUND(ROUND(OFFSET($P212,0,AR$13),15-13*ORÇAMENTO!$AF$7)*OFFSET(ORÇAMENTO!$W$15,ROW(AR212)-ROW(AR$15),0),15-13*ORÇAMENTO!$AF$11)),
         0)</f>
        <v>0</v>
      </c>
      <c r="AS212" s="452">
        <f ca="1">IF(AND($D212="Serviço",AS$12&lt;&gt;0,$H212&gt;0,OR(AUTOEVENTO&lt;&gt;"manual",$M212&lt;&gt;$A$15)),
        IF(Import.TipoArredondamento&lt;&gt;"TransfereGOV",
              ROUND(OFFSET($P212,0,AS$13),15-13*ORÇAMENTO!$AF$7)/$H212*OFFSET(ORÇAMENTO!$X$15,ROW(AS212)-ROW(AS$15),0),
              ROUND(ROUND(OFFSET($P212,0,AS$13),15-13*ORÇAMENTO!$AF$7)*OFFSET(ORÇAMENTO!$W$15,ROW(AS212)-ROW(AS$15),0),15-13*ORÇAMENTO!$AF$11)),
         0)</f>
        <v>0</v>
      </c>
      <c r="AT212" s="452">
        <f ca="1">IF(AND($D212="Serviço",AT$12&lt;&gt;0,$H212&gt;0,OR(AUTOEVENTO&lt;&gt;"manual",$M212&lt;&gt;$A$15)),
        IF(Import.TipoArredondamento&lt;&gt;"TransfereGOV",
              ROUND(OFFSET($P212,0,AT$13),15-13*ORÇAMENTO!$AF$7)/$H212*OFFSET(ORÇAMENTO!$X$15,ROW(AT212)-ROW(AT$15),0),
              ROUND(ROUND(OFFSET($P212,0,AT$13),15-13*ORÇAMENTO!$AF$7)*OFFSET(ORÇAMENTO!$W$15,ROW(AT212)-ROW(AT$15),0),15-13*ORÇAMENTO!$AF$11)),
         0)</f>
        <v>0</v>
      </c>
      <c r="AU212" s="452">
        <f ca="1">IF(AND($D212="Serviço",AU$12&lt;&gt;0,$H212&gt;0,OR(AUTOEVENTO&lt;&gt;"manual",$M212&lt;&gt;$A$15)),
        IF(Import.TipoArredondamento&lt;&gt;"TransfereGOV",
              ROUND(OFFSET($P212,0,AU$13),15-13*ORÇAMENTO!$AF$7)/$H212*OFFSET(ORÇAMENTO!$X$15,ROW(AU212)-ROW(AU$15),0),
              ROUND(ROUND(OFFSET($P212,0,AU$13),15-13*ORÇAMENTO!$AF$7)*OFFSET(ORÇAMENTO!$W$15,ROW(AU212)-ROW(AU$15),0),15-13*ORÇAMENTO!$AF$11)),
         0)</f>
        <v>0</v>
      </c>
      <c r="AV212" s="452">
        <f ca="1">IF(AND($D212="Serviço",AV$12&lt;&gt;0,$H212&gt;0,OR(AUTOEVENTO&lt;&gt;"manual",$M212&lt;&gt;$A$15)),
        IF(Import.TipoArredondamento&lt;&gt;"TransfereGOV",
              ROUND(OFFSET($P212,0,AV$13),15-13*ORÇAMENTO!$AF$7)/$H212*OFFSET(ORÇAMENTO!$X$15,ROW(AV212)-ROW(AV$15),0),
              ROUND(ROUND(OFFSET($P212,0,AV$13),15-13*ORÇAMENTO!$AF$7)*OFFSET(ORÇAMENTO!$W$15,ROW(AV212)-ROW(AV$15),0),15-13*ORÇAMENTO!$AF$11)),
         0)</f>
        <v>0</v>
      </c>
      <c r="AW212" s="452">
        <f ca="1">IF(AND($D212="Serviço",AW$12&lt;&gt;0,$H212&gt;0,OR(AUTOEVENTO&lt;&gt;"manual",$M212&lt;&gt;$A$15)),
        IF(Import.TipoArredondamento&lt;&gt;"TransfereGOV",
              ROUND(OFFSET($P212,0,AW$13),15-13*ORÇAMENTO!$AF$7)/$H212*OFFSET(ORÇAMENTO!$X$15,ROW(AW212)-ROW(AW$15),0),
              ROUND(ROUND(OFFSET($P212,0,AW$13),15-13*ORÇAMENTO!$AF$7)*OFFSET(ORÇAMENTO!$W$15,ROW(AW212)-ROW(AW$15),0),15-13*ORÇAMENTO!$AF$11)),
         0)</f>
        <v>0</v>
      </c>
      <c r="AX212" s="452">
        <f ca="1">IF(AND($D212="Serviço",AX$12&lt;&gt;0,$H212&gt;0,OR(AUTOEVENTO&lt;&gt;"manual",$M212&lt;&gt;$A$15)),
        IF(Import.TipoArredondamento&lt;&gt;"TransfereGOV",
              ROUND(OFFSET($P212,0,AX$13),15-13*ORÇAMENTO!$AF$7)/$H212*OFFSET(ORÇAMENTO!$X$15,ROW(AX212)-ROW(AX$15),0),
              ROUND(ROUND(OFFSET($P212,0,AX$13),15-13*ORÇAMENTO!$AF$7)*OFFSET(ORÇAMENTO!$W$15,ROW(AX212)-ROW(AX$15),0),15-13*ORÇAMENTO!$AF$11)),
         0)</f>
        <v>0</v>
      </c>
      <c r="AY212" s="452">
        <f ca="1">IF(AND($D212="Serviço",AY$12&lt;&gt;0,$H212&gt;0,OR(AUTOEVENTO&lt;&gt;"manual",$M212&lt;&gt;$A$15)),
        IF(Import.TipoArredondamento&lt;&gt;"TransfereGOV",
              ROUND(OFFSET($P212,0,AY$13),15-13*ORÇAMENTO!$AF$7)/$H212*OFFSET(ORÇAMENTO!$X$15,ROW(AY212)-ROW(AY$15),0),
              ROUND(ROUND(OFFSET($P212,0,AY$13),15-13*ORÇAMENTO!$AF$7)*OFFSET(ORÇAMENTO!$W$15,ROW(AY212)-ROW(AY$15),0),15-13*ORÇAMENTO!$AF$11)),
         0)</f>
        <v>0</v>
      </c>
      <c r="AZ212" s="452">
        <f ca="1">IF(AND($D212="Serviço",AZ$12&lt;&gt;0,$H212&gt;0,OR(AUTOEVENTO&lt;&gt;"manual",$M212&lt;&gt;$A$15)),
        IF(Import.TipoArredondamento&lt;&gt;"TransfereGOV",
              ROUND(OFFSET($P212,0,AZ$13),15-13*ORÇAMENTO!$AF$7)/$H212*OFFSET(ORÇAMENTO!$X$15,ROW(AZ212)-ROW(AZ$15),0),
              ROUND(ROUND(OFFSET($P212,0,AZ$13),15-13*ORÇAMENTO!$AF$7)*OFFSET(ORÇAMENTO!$W$15,ROW(AZ212)-ROW(AZ$15),0),15-13*ORÇAMENTO!$AF$11)),
         0)</f>
        <v>0</v>
      </c>
      <c r="BA212" s="452">
        <f ca="1">IF(AND($D212="Serviço",BA$12&lt;&gt;0,$H212&gt;0,OR(AUTOEVENTO&lt;&gt;"manual",$M212&lt;&gt;$A$15)),
        IF(Import.TipoArredondamento&lt;&gt;"TransfereGOV",
              ROUND(OFFSET($P212,0,BA$13),15-13*ORÇAMENTO!$AF$7)/$H212*OFFSET(ORÇAMENTO!$X$15,ROW(BA212)-ROW(BA$15),0),
              ROUND(ROUND(OFFSET($P212,0,BA$13),15-13*ORÇAMENTO!$AF$7)*OFFSET(ORÇAMENTO!$W$15,ROW(BA212)-ROW(BA$15),0),15-13*ORÇAMENTO!$AF$11)),
         0)</f>
        <v>0</v>
      </c>
      <c r="BC212" s="171">
        <f ca="1">IF(OR($D212&lt;&gt;"Serviço",AND(AUTOEVENTO="Manual",$M212=$A$15)),0,
         IF(OFFSET(CRONOPLE!$F$15,$M212-$A$15,BC$13)=0,10^12,OFFSET(CRONOPLE!$F$15,$M212-$A$15,BC$13)))</f>
        <v>5</v>
      </c>
      <c r="BD212" s="171">
        <f ca="1">IF(OR($D212&lt;&gt;"Serviço",AND(AUTOEVENTO="Manual",$M212=$A$15)),0,
         IF(OFFSET(CRONOPLE!$F$15,$M212-$A$15,BD$13)=0,10^12,OFFSET(CRONOPLE!$F$15,$M212-$A$15,BD$13)))</f>
        <v>5</v>
      </c>
      <c r="BE212" s="171">
        <f ca="1">IF(OR($D212&lt;&gt;"Serviço",AND(AUTOEVENTO="Manual",$M212=$A$15)),0,
         IF(OFFSET(CRONOPLE!$F$15,$M212-$A$15,BE$13)=0,10^12,OFFSET(CRONOPLE!$F$15,$M212-$A$15,BE$13)))</f>
        <v>6</v>
      </c>
      <c r="BF212" s="171">
        <f ca="1">IF(OR($D212&lt;&gt;"Serviço",AND(AUTOEVENTO="Manual",$M212=$A$15)),0,
         IF(OFFSET(CRONOPLE!$F$15,$M212-$A$15,BF$13)=0,10^12,OFFSET(CRONOPLE!$F$15,$M212-$A$15,BF$13)))</f>
        <v>6</v>
      </c>
      <c r="BG212" s="171">
        <f ca="1">IF(OR($D212&lt;&gt;"Serviço",AND(AUTOEVENTO="Manual",$M212=$A$15)),0,
         IF(OFFSET(CRONOPLE!$F$15,$M212-$A$15,BG$13)=0,10^12,OFFSET(CRONOPLE!$F$15,$M212-$A$15,BG$13)))</f>
        <v>6</v>
      </c>
      <c r="BH212" s="171">
        <f ca="1">IF(OR($D212&lt;&gt;"Serviço",AND(AUTOEVENTO="Manual",$M212=$A$15)),0,
         IF(OFFSET(CRONOPLE!$F$15,$M212-$A$15,BH$13)=0,10^12,OFFSET(CRONOPLE!$F$15,$M212-$A$15,BH$13)))</f>
        <v>1000000000000</v>
      </c>
      <c r="BI212" s="171">
        <f ca="1">IF(OR($D212&lt;&gt;"Serviço",AND(AUTOEVENTO="Manual",$M212=$A$15)),0,
         IF(OFFSET(CRONOPLE!$F$15,$M212-$A$15,BI$13)=0,10^12,OFFSET(CRONOPLE!$F$15,$M212-$A$15,BI$13)))</f>
        <v>1000000000000</v>
      </c>
      <c r="BJ212" s="171">
        <f ca="1">IF(OR($D212&lt;&gt;"Serviço",AND(AUTOEVENTO="Manual",$M212=$A$15)),0,
         IF(OFFSET(CRONOPLE!$F$15,$M212-$A$15,BJ$13)=0,10^12,OFFSET(CRONOPLE!$F$15,$M212-$A$15,BJ$13)))</f>
        <v>1000000000000</v>
      </c>
      <c r="BK212" s="171">
        <f ca="1">IF(OR($D212&lt;&gt;"Serviço",AND(AUTOEVENTO="Manual",$M212=$A$15)),0,
         IF(OFFSET(CRONOPLE!$F$15,$M212-$A$15,BK$13)=0,10^12,OFFSET(CRONOPLE!$F$15,$M212-$A$15,BK$13)))</f>
        <v>9</v>
      </c>
      <c r="BL212" s="171">
        <f ca="1">IF(OR($D212&lt;&gt;"Serviço",AND(AUTOEVENTO="Manual",$M212=$A$15)),0,
         IF(OFFSET(CRONOPLE!$F$15,$M212-$A$15,BL$13)=0,10^12,OFFSET(CRONOPLE!$F$15,$M212-$A$15,BL$13)))</f>
        <v>1000000000000</v>
      </c>
      <c r="BM212" s="171">
        <f ca="1">IF(OR($D212&lt;&gt;"Serviço",AND(AUTOEVENTO="Manual",$M212=$A$15)),0,
         IF(OFFSET(CRONOPLE!$F$15,$M212-$A$15,BM$13)=0,10^12,OFFSET(CRONOPLE!$F$15,$M212-$A$15,BM$13)))</f>
        <v>1000000000000</v>
      </c>
      <c r="BN212" s="171">
        <f ca="1">IF(OR($D212&lt;&gt;"Serviço",AND(AUTOEVENTO="Manual",$M212=$A$15)),0,
         IF(OFFSET(CRONOPLE!$F$15,$M212-$A$15,BN$13)=0,10^12,OFFSET(CRONOPLE!$F$15,$M212-$A$15,BN$13)))</f>
        <v>1000000000000</v>
      </c>
      <c r="BO212" s="171">
        <f ca="1">IF(OR($D212&lt;&gt;"Serviço",AND(AUTOEVENTO="Manual",$M212=$A$15)),0,
         IF(OFFSET(CRONOPLE!$F$15,$M212-$A$15,BO$13)=0,10^12,OFFSET(CRONOPLE!$F$15,$M212-$A$15,BO$13)))</f>
        <v>1000000000000</v>
      </c>
      <c r="BP212" s="171">
        <f ca="1">IF(OR($D212&lt;&gt;"Serviço",AND(AUTOEVENTO="Manual",$M212=$A$15)),0,
         IF(OFFSET(CRONOPLE!$F$15,$M212-$A$15,BP$13)=0,10^12,OFFSET(CRONOPLE!$F$15,$M212-$A$15,BP$13)))</f>
        <v>1000000000000</v>
      </c>
      <c r="BQ212" s="171">
        <f ca="1">IF(OR($D212&lt;&gt;"Serviço",AND(AUTOEVENTO="Manual",$M212=$A$15)),0,
         IF(OFFSET(CRONOPLE!$F$15,$M212-$A$15,BQ$13)=0,10^12,OFFSET(CRONOPLE!$F$15,$M212-$A$15,BQ$13)))</f>
        <v>1000000000000</v>
      </c>
      <c r="BR212" s="171">
        <f ca="1">IF(OR($D212&lt;&gt;"Serviço",AND(AUTOEVENTO="Manual",$M212=$A$15)),0,
         IF(OFFSET(CRONOPLE!$F$15,$M212-$A$15,BR$13)=0,10^12,OFFSET(CRONOPLE!$F$15,$M212-$A$15,BR$13)))</f>
        <v>1000000000000</v>
      </c>
      <c r="BS212" s="171">
        <f ca="1">IF(OR($D212&lt;&gt;"Serviço",AND(AUTOEVENTO="Manual",$M212=$A$15)),0,
         IF(OFFSET(CRONOPLE!$F$15,$M212-$A$15,BS$13)=0,10^12,OFFSET(CRONOPLE!$F$15,$M212-$A$15,BS$13)))</f>
        <v>1000000000000</v>
      </c>
      <c r="BT212" s="171">
        <f ca="1">IF(OR($D212&lt;&gt;"Serviço",AND(AUTOEVENTO="Manual",$M212=$A$15)),0,
         IF(OFFSET(CRONOPLE!$F$15,$M212-$A$15,BT$13)=0,10^12,OFFSET(CRONOPLE!$F$15,$M212-$A$15,BT$13)))</f>
        <v>1000000000000</v>
      </c>
      <c r="BV212" s="172">
        <f t="array" aca="1" ref="BV212" ca="1">IF(OR($D212&lt;&gt;"Serviço",AND(AUTOEVENTO="Manual",$M212=$A$15),$M212&gt;(ROW(PLE.lastrow)-ROW(PLE.firstrow))),0,
           IF(OFFSET(PLE!$G$15,$M212-$A$15,BV$13)="",10^12,OFFSET(PLE!$G$15,$M212-$A$15,BV$13)))</f>
        <v>1000000000000</v>
      </c>
      <c r="BW212" s="172">
        <f t="array" aca="1" ref="BW212" ca="1">IF(OR($D212&lt;&gt;"Serviço",AND(AUTOEVENTO="Manual",$M212=$A$15),$M212&gt;(ROW(PLE.lastrow)-ROW(PLE.firstrow))),0,
           IF(OFFSET(PLE!$G$15,$M212-$A$15,BW$13)="",10^12,OFFSET(PLE!$G$15,$M212-$A$15,BW$13)))</f>
        <v>1000000000000</v>
      </c>
      <c r="BX212" s="172">
        <f t="array" aca="1" ref="BX212" ca="1">IF(OR($D212&lt;&gt;"Serviço",AND(AUTOEVENTO="Manual",$M212=$A$15),$M212&gt;(ROW(PLE.lastrow)-ROW(PLE.firstrow))),0,
           IF(OFFSET(PLE!$G$15,$M212-$A$15,BX$13)="",10^12,OFFSET(PLE!$G$15,$M212-$A$15,BX$13)))</f>
        <v>1000000000000</v>
      </c>
      <c r="BY212" s="172">
        <f t="array" aca="1" ref="BY212" ca="1">IF(OR($D212&lt;&gt;"Serviço",AND(AUTOEVENTO="Manual",$M212=$A$15),$M212&gt;(ROW(PLE.lastrow)-ROW(PLE.firstrow))),0,
           IF(OFFSET(PLE!$G$15,$M212-$A$15,BY$13)="",10^12,OFFSET(PLE!$G$15,$M212-$A$15,BY$13)))</f>
        <v>1000000000000</v>
      </c>
      <c r="BZ212" s="172">
        <f t="array" aca="1" ref="BZ212" ca="1">IF(OR($D212&lt;&gt;"Serviço",AND(AUTOEVENTO="Manual",$M212=$A$15),$M212&gt;(ROW(PLE.lastrow)-ROW(PLE.firstrow))),0,
           IF(OFFSET(PLE!$G$15,$M212-$A$15,BZ$13)="",10^12,OFFSET(PLE!$G$15,$M212-$A$15,BZ$13)))</f>
        <v>1000000000000</v>
      </c>
      <c r="CA212" s="172">
        <f t="array" aca="1" ref="CA212" ca="1">IF(OR($D212&lt;&gt;"Serviço",AND(AUTOEVENTO="Manual",$M212=$A$15),$M212&gt;(ROW(PLE.lastrow)-ROW(PLE.firstrow))),0,
           IF(OFFSET(PLE!$G$15,$M212-$A$15,CA$13)="",10^12,OFFSET(PLE!$G$15,$M212-$A$15,CA$13)))</f>
        <v>1000000000000</v>
      </c>
      <c r="CB212" s="172">
        <f t="array" aca="1" ref="CB212" ca="1">IF(OR($D212&lt;&gt;"Serviço",AND(AUTOEVENTO="Manual",$M212=$A$15),$M212&gt;(ROW(PLE.lastrow)-ROW(PLE.firstrow))),0,
           IF(OFFSET(PLE!$G$15,$M212-$A$15,CB$13)="",10^12,OFFSET(PLE!$G$15,$M212-$A$15,CB$13)))</f>
        <v>1000000000000</v>
      </c>
      <c r="CC212" s="172">
        <f t="array" aca="1" ref="CC212" ca="1">IF(OR($D212&lt;&gt;"Serviço",AND(AUTOEVENTO="Manual",$M212=$A$15),$M212&gt;(ROW(PLE.lastrow)-ROW(PLE.firstrow))),0,
           IF(OFFSET(PLE!$G$15,$M212-$A$15,CC$13)="",10^12,OFFSET(PLE!$G$15,$M212-$A$15,CC$13)))</f>
        <v>1000000000000</v>
      </c>
      <c r="CD212" s="172">
        <f t="array" aca="1" ref="CD212" ca="1">IF(OR($D212&lt;&gt;"Serviço",AND(AUTOEVENTO="Manual",$M212=$A$15),$M212&gt;(ROW(PLE.lastrow)-ROW(PLE.firstrow))),0,
           IF(OFFSET(PLE!$G$15,$M212-$A$15,CD$13)="",10^12,OFFSET(PLE!$G$15,$M212-$A$15,CD$13)))</f>
        <v>1000000000000</v>
      </c>
      <c r="CE212" s="172">
        <f t="array" aca="1" ref="CE212" ca="1">IF(OR($D212&lt;&gt;"Serviço",AND(AUTOEVENTO="Manual",$M212=$A$15),$M212&gt;(ROW(PLE.lastrow)-ROW(PLE.firstrow))),0,
           IF(OFFSET(PLE!$G$15,$M212-$A$15,CE$13)="",10^12,OFFSET(PLE!$G$15,$M212-$A$15,CE$13)))</f>
        <v>1000000000000</v>
      </c>
      <c r="CF212" s="172">
        <f t="array" aca="1" ref="CF212" ca="1">IF(OR($D212&lt;&gt;"Serviço",AND(AUTOEVENTO="Manual",$M212=$A$15),$M212&gt;(ROW(PLE.lastrow)-ROW(PLE.firstrow))),0,
           IF(OFFSET(PLE!$G$15,$M212-$A$15,CF$13)="",10^12,OFFSET(PLE!$G$15,$M212-$A$15,CF$13)))</f>
        <v>1000000000000</v>
      </c>
      <c r="CG212" s="172">
        <f t="array" aca="1" ref="CG212" ca="1">IF(OR($D212&lt;&gt;"Serviço",AND(AUTOEVENTO="Manual",$M212=$A$15),$M212&gt;(ROW(PLE.lastrow)-ROW(PLE.firstrow))),0,
           IF(OFFSET(PLE!$G$15,$M212-$A$15,CG$13)="",10^12,OFFSET(PLE!$G$15,$M212-$A$15,CG$13)))</f>
        <v>1000000000000</v>
      </c>
      <c r="CH212" s="172">
        <f t="array" aca="1" ref="CH212" ca="1">IF(OR($D212&lt;&gt;"Serviço",AND(AUTOEVENTO="Manual",$M212=$A$15),$M212&gt;(ROW(PLE.lastrow)-ROW(PLE.firstrow))),0,
           IF(OFFSET(PLE!$G$15,$M212-$A$15,CH$13)="",10^12,OFFSET(PLE!$G$15,$M212-$A$15,CH$13)))</f>
        <v>1000000000000</v>
      </c>
      <c r="CI212" s="172">
        <f t="array" aca="1" ref="CI212" ca="1">IF(OR($D212&lt;&gt;"Serviço",AND(AUTOEVENTO="Manual",$M212=$A$15),$M212&gt;(ROW(PLE.lastrow)-ROW(PLE.firstrow))),0,
           IF(OFFSET(PLE!$G$15,$M212-$A$15,CI$13)="",10^12,OFFSET(PLE!$G$15,$M212-$A$15,CI$13)))</f>
        <v>1000000000000</v>
      </c>
      <c r="CJ212" s="172">
        <f t="array" aca="1" ref="CJ212" ca="1">IF(OR($D212&lt;&gt;"Serviço",AND(AUTOEVENTO="Manual",$M212=$A$15),$M212&gt;(ROW(PLE.lastrow)-ROW(PLE.firstrow))),0,
           IF(OFFSET(PLE!$G$15,$M212-$A$15,CJ$13)="",10^12,OFFSET(PLE!$G$15,$M212-$A$15,CJ$13)))</f>
        <v>1000000000000</v>
      </c>
      <c r="CK212" s="172">
        <f t="array" aca="1" ref="CK212" ca="1">IF(OR($D212&lt;&gt;"Serviço",AND(AUTOEVENTO="Manual",$M212=$A$15),$M212&gt;(ROW(PLE.lastrow)-ROW(PLE.firstrow))),0,
           IF(OFFSET(PLE!$G$15,$M212-$A$15,CK$13)="",10^12,OFFSET(PLE!$G$15,$M212-$A$15,CK$13)))</f>
        <v>1000000000000</v>
      </c>
      <c r="CL212" s="172">
        <f t="array" aca="1" ref="CL212" ca="1">IF(OR($D212&lt;&gt;"Serviço",AND(AUTOEVENTO="Manual",$M212=$A$15),$M212&gt;(ROW(PLE.lastrow)-ROW(PLE.firstrow))),0,
           IF(OFFSET(PLE!$G$15,$M212-$A$15,CL$13)="",10^12,OFFSET(PLE!$G$15,$M212-$A$15,CL$13)))</f>
        <v>1000000000000</v>
      </c>
      <c r="CM212" s="172">
        <f t="array" aca="1" ref="CM212" ca="1">IF(OR($D212&lt;&gt;"Serviço",AND(AUTOEVENTO="Manual",$M212=$A$15),$M212&gt;(ROW(PLE.lastrow)-ROW(PLE.firstrow))),0,
           IF(OFFSET(PLE!$G$15,$M212-$A$15,CM$13)="",10^12,OFFSET(PLE!$G$15,$M212-$A$15,CM$13)))</f>
        <v>1000000000000</v>
      </c>
    </row>
    <row r="213" spans="1:91" s="696" customFormat="1" ht="76.5" x14ac:dyDescent="0.2">
      <c r="A213" s="694">
        <f t="shared" ca="1" si="98"/>
        <v>31</v>
      </c>
      <c r="B213" s="694" t="str">
        <f ca="1">OFFSET(ORÇAMENTO!C$15,$L213,0)</f>
        <v>S</v>
      </c>
      <c r="C213" s="694" t="str">
        <f ca="1">OFFSET(ORÇAMENTO!L$15,$L213,0)</f>
        <v>F</v>
      </c>
      <c r="D213" s="116" t="str">
        <f ca="1">OFFSET(ORÇAMENTO!N$15,$L213,0)</f>
        <v>Serviço</v>
      </c>
      <c r="E213" s="117" t="str">
        <f ca="1">OFFSET(ORÇAMENTO!O$15,$L213,0)</f>
        <v>1.31.4.</v>
      </c>
      <c r="F213" s="163" t="str">
        <f ca="1">OFFSET(ORÇAMENTO!R$15,$L213,0)</f>
        <v>RALO SECO CÔNICO, PVC, DN 100 X 40 MM, JUNTA SOLDÁVEL, FORNECIDO E INSTALADO EM RAMAL DE DESCARGA OU EM RAMAL DE ESGOTO SANITÁRIO. AF_08/2022</v>
      </c>
      <c r="G213" s="164" t="str">
        <f ca="1">IF($D213&lt;&gt;"Serviço","",OFFSET(ORÇAMENTO!S$15,$L213,0))</f>
        <v>UN</v>
      </c>
      <c r="H213" s="122">
        <f t="array" aca="1" ref="H213" ca="1">IF($D213&lt;&gt;"Serviço",0,IF(ACOMPANHAMENTO="BM",ROUND(OFFSET(ORÇAMENTO!AJ$15,$L213,0),15-13*ORÇAMENTO!$AF$7),IF(IFERROR(CÁLCULO.FrentesPreenchidas,0)=0,0,SUM(ROUND(OFFSET($P213,0,1,1,CÁLCULO.FrentesPreenchidas),15-13*ORÇAMENTO!$AF$7)))))</f>
        <v>20</v>
      </c>
      <c r="I213" s="467" t="s">
        <v>1338</v>
      </c>
      <c r="J213" s="653" t="str">
        <f t="array" aca="1" ref="J213" ca="1">IF(OR(B213&lt;&gt;"S",CÁLCULO.FrentesPreenchidas=0),"",IF(AND(ACOMPANHAMENTO="PLE",AUTOEVENTO="Manual",OR(H213&gt;0,ORÇAMENTO!AC213="QUANT."),OR(K213="",M213=0,N213="")),"►E",IF(AND(ACOMPANHAMENTO="PLE",ORÇAMENTO!AC213="QUANT."),"►Q",IF(AND(ACOMPANHAMENTO="PLE",H213&lt;&gt;SUMPRODUCT(($Q$1:$AI$1=1)*ROUND(Q213:AI213,15))),"►S",IF(AND(COUNTIF($P$11:$AI$11,"▼")=0,H213&gt;0,I213=""),"◄M","")))))</f>
        <v/>
      </c>
      <c r="K213" s="654" t="s">
        <v>1447</v>
      </c>
      <c r="L213" s="165">
        <f t="shared" ca="1" si="99"/>
        <v>198</v>
      </c>
      <c r="M213" s="166">
        <f ca="1">IF($D213&lt;&gt;"Serviço","",
          IF(AUTOEVENTO="manual",$A213,
                IF(ISERROR(MATCH($A213,$A$15:OFFSET($A213,-1,0),0)),MAX($M$15:OFFSET(M213,-1,0))+1,
                      INDEX($M$15:OFFSET(M213,-1,0),MATCH($A213,$A$15:OFFSET($A213,-1,0),0)))))</f>
        <v>31</v>
      </c>
      <c r="N213" s="167" t="str">
        <f ca="1">IF($D213&lt;&gt;"Serviço","",
         IF(AUTOEVENTO="Manual",
                IF($A213=0,"&lt;-- defina o número do agrupador",
                       OFFSET(EVENTOS!$D$15,$A213-$A$15,0)),
                OFFSET($F$15,$A213,0)))</f>
        <v>REDE PLUVIAL E ESGOTO</v>
      </c>
      <c r="O213" s="168"/>
      <c r="Q213" s="169">
        <v>5</v>
      </c>
      <c r="R213" s="169">
        <v>5</v>
      </c>
      <c r="S213" s="169">
        <v>5</v>
      </c>
      <c r="T213" s="169">
        <v>5</v>
      </c>
      <c r="U213" s="169"/>
      <c r="V213" s="169"/>
      <c r="W213" s="169"/>
      <c r="X213" s="169"/>
      <c r="Y213" s="169"/>
      <c r="Z213" s="170"/>
      <c r="AA213" s="169"/>
      <c r="AB213" s="169"/>
      <c r="AC213" s="169"/>
      <c r="AD213" s="169"/>
      <c r="AE213" s="169"/>
      <c r="AF213" s="169"/>
      <c r="AG213" s="169"/>
      <c r="AH213" s="170"/>
      <c r="AJ213" s="452">
        <f ca="1">IF(AND($D213="Serviço",AJ$12&lt;&gt;0,$H213&gt;0,OR(AUTOEVENTO&lt;&gt;"manual",$M213&lt;&gt;$A$15)),
        IF(Import.TipoArredondamento&lt;&gt;"TransfereGOV",
              ROUND(OFFSET($P213,0,AJ$13),15-13*ORÇAMENTO!$AF$7)/$H213*OFFSET(ORÇAMENTO!$X$15,ROW(AJ213)-ROW(AJ$15),0),
              ROUND(ROUND(OFFSET($P213,0,AJ$13),15-13*ORÇAMENTO!$AF$7)*OFFSET(ORÇAMENTO!$W$15,ROW(AJ213)-ROW(AJ$15),0),15-13*ORÇAMENTO!$AF$11)),
         0)</f>
        <v>117.2</v>
      </c>
      <c r="AK213" s="452">
        <f ca="1">IF(AND($D213="Serviço",AK$12&lt;&gt;0,$H213&gt;0,OR(AUTOEVENTO&lt;&gt;"manual",$M213&lt;&gt;$A$15)),
        IF(Import.TipoArredondamento&lt;&gt;"TransfereGOV",
              ROUND(OFFSET($P213,0,AK$13),15-13*ORÇAMENTO!$AF$7)/$H213*OFFSET(ORÇAMENTO!$X$15,ROW(AK213)-ROW(AK$15),0),
              ROUND(ROUND(OFFSET($P213,0,AK$13),15-13*ORÇAMENTO!$AF$7)*OFFSET(ORÇAMENTO!$W$15,ROW(AK213)-ROW(AK$15),0),15-13*ORÇAMENTO!$AF$11)),
         0)</f>
        <v>117.2</v>
      </c>
      <c r="AL213" s="452">
        <f ca="1">IF(AND($D213="Serviço",AL$12&lt;&gt;0,$H213&gt;0,OR(AUTOEVENTO&lt;&gt;"manual",$M213&lt;&gt;$A$15)),
        IF(Import.TipoArredondamento&lt;&gt;"TransfereGOV",
              ROUND(OFFSET($P213,0,AL$13),15-13*ORÇAMENTO!$AF$7)/$H213*OFFSET(ORÇAMENTO!$X$15,ROW(AL213)-ROW(AL$15),0),
              ROUND(ROUND(OFFSET($P213,0,AL$13),15-13*ORÇAMENTO!$AF$7)*OFFSET(ORÇAMENTO!$W$15,ROW(AL213)-ROW(AL$15),0),15-13*ORÇAMENTO!$AF$11)),
         0)</f>
        <v>117.2</v>
      </c>
      <c r="AM213" s="452">
        <f ca="1">IF(AND($D213="Serviço",AM$12&lt;&gt;0,$H213&gt;0,OR(AUTOEVENTO&lt;&gt;"manual",$M213&lt;&gt;$A$15)),
        IF(Import.TipoArredondamento&lt;&gt;"TransfereGOV",
              ROUND(OFFSET($P213,0,AM$13),15-13*ORÇAMENTO!$AF$7)/$H213*OFFSET(ORÇAMENTO!$X$15,ROW(AM213)-ROW(AM$15),0),
              ROUND(ROUND(OFFSET($P213,0,AM$13),15-13*ORÇAMENTO!$AF$7)*OFFSET(ORÇAMENTO!$W$15,ROW(AM213)-ROW(AM$15),0),15-13*ORÇAMENTO!$AF$11)),
         0)</f>
        <v>117.2</v>
      </c>
      <c r="AN213" s="452">
        <f ca="1">IF(AND($D213="Serviço",AN$12&lt;&gt;0,$H213&gt;0,OR(AUTOEVENTO&lt;&gt;"manual",$M213&lt;&gt;$A$15)),
        IF(Import.TipoArredondamento&lt;&gt;"TransfereGOV",
              ROUND(OFFSET($P213,0,AN$13),15-13*ORÇAMENTO!$AF$7)/$H213*OFFSET(ORÇAMENTO!$X$15,ROW(AN213)-ROW(AN$15),0),
              ROUND(ROUND(OFFSET($P213,0,AN$13),15-13*ORÇAMENTO!$AF$7)*OFFSET(ORÇAMENTO!$W$15,ROW(AN213)-ROW(AN$15),0),15-13*ORÇAMENTO!$AF$11)),
         0)</f>
        <v>0</v>
      </c>
      <c r="AO213" s="452">
        <f ca="1">IF(AND($D213="Serviço",AO$12&lt;&gt;0,$H213&gt;0,OR(AUTOEVENTO&lt;&gt;"manual",$M213&lt;&gt;$A$15)),
        IF(Import.TipoArredondamento&lt;&gt;"TransfereGOV",
              ROUND(OFFSET($P213,0,AO$13),15-13*ORÇAMENTO!$AF$7)/$H213*OFFSET(ORÇAMENTO!$X$15,ROW(AO213)-ROW(AO$15),0),
              ROUND(ROUND(OFFSET($P213,0,AO$13),15-13*ORÇAMENTO!$AF$7)*OFFSET(ORÇAMENTO!$W$15,ROW(AO213)-ROW(AO$15),0),15-13*ORÇAMENTO!$AF$11)),
         0)</f>
        <v>0</v>
      </c>
      <c r="AP213" s="452">
        <f ca="1">IF(AND($D213="Serviço",AP$12&lt;&gt;0,$H213&gt;0,OR(AUTOEVENTO&lt;&gt;"manual",$M213&lt;&gt;$A$15)),
        IF(Import.TipoArredondamento&lt;&gt;"TransfereGOV",
              ROUND(OFFSET($P213,0,AP$13),15-13*ORÇAMENTO!$AF$7)/$H213*OFFSET(ORÇAMENTO!$X$15,ROW(AP213)-ROW(AP$15),0),
              ROUND(ROUND(OFFSET($P213,0,AP$13),15-13*ORÇAMENTO!$AF$7)*OFFSET(ORÇAMENTO!$W$15,ROW(AP213)-ROW(AP$15),0),15-13*ORÇAMENTO!$AF$11)),
         0)</f>
        <v>0</v>
      </c>
      <c r="AQ213" s="452">
        <f ca="1">IF(AND($D213="Serviço",AQ$12&lt;&gt;0,$H213&gt;0,OR(AUTOEVENTO&lt;&gt;"manual",$M213&lt;&gt;$A$15)),
        IF(Import.TipoArredondamento&lt;&gt;"TransfereGOV",
              ROUND(OFFSET($P213,0,AQ$13),15-13*ORÇAMENTO!$AF$7)/$H213*OFFSET(ORÇAMENTO!$X$15,ROW(AQ213)-ROW(AQ$15),0),
              ROUND(ROUND(OFFSET($P213,0,AQ$13),15-13*ORÇAMENTO!$AF$7)*OFFSET(ORÇAMENTO!$W$15,ROW(AQ213)-ROW(AQ$15),0),15-13*ORÇAMENTO!$AF$11)),
         0)</f>
        <v>0</v>
      </c>
      <c r="AR213" s="452">
        <f ca="1">IF(AND($D213="Serviço",AR$12&lt;&gt;0,$H213&gt;0,OR(AUTOEVENTO&lt;&gt;"manual",$M213&lt;&gt;$A$15)),
        IF(Import.TipoArredondamento&lt;&gt;"TransfereGOV",
              ROUND(OFFSET($P213,0,AR$13),15-13*ORÇAMENTO!$AF$7)/$H213*OFFSET(ORÇAMENTO!$X$15,ROW(AR213)-ROW(AR$15),0),
              ROUND(ROUND(OFFSET($P213,0,AR$13),15-13*ORÇAMENTO!$AF$7)*OFFSET(ORÇAMENTO!$W$15,ROW(AR213)-ROW(AR$15),0),15-13*ORÇAMENTO!$AF$11)),
         0)</f>
        <v>0</v>
      </c>
      <c r="AS213" s="452">
        <f ca="1">IF(AND($D213="Serviço",AS$12&lt;&gt;0,$H213&gt;0,OR(AUTOEVENTO&lt;&gt;"manual",$M213&lt;&gt;$A$15)),
        IF(Import.TipoArredondamento&lt;&gt;"TransfereGOV",
              ROUND(OFFSET($P213,0,AS$13),15-13*ORÇAMENTO!$AF$7)/$H213*OFFSET(ORÇAMENTO!$X$15,ROW(AS213)-ROW(AS$15),0),
              ROUND(ROUND(OFFSET($P213,0,AS$13),15-13*ORÇAMENTO!$AF$7)*OFFSET(ORÇAMENTO!$W$15,ROW(AS213)-ROW(AS$15),0),15-13*ORÇAMENTO!$AF$11)),
         0)</f>
        <v>0</v>
      </c>
      <c r="AT213" s="452">
        <f ca="1">IF(AND($D213="Serviço",AT$12&lt;&gt;0,$H213&gt;0,OR(AUTOEVENTO&lt;&gt;"manual",$M213&lt;&gt;$A$15)),
        IF(Import.TipoArredondamento&lt;&gt;"TransfereGOV",
              ROUND(OFFSET($P213,0,AT$13),15-13*ORÇAMENTO!$AF$7)/$H213*OFFSET(ORÇAMENTO!$X$15,ROW(AT213)-ROW(AT$15),0),
              ROUND(ROUND(OFFSET($P213,0,AT$13),15-13*ORÇAMENTO!$AF$7)*OFFSET(ORÇAMENTO!$W$15,ROW(AT213)-ROW(AT$15),0),15-13*ORÇAMENTO!$AF$11)),
         0)</f>
        <v>0</v>
      </c>
      <c r="AU213" s="452">
        <f ca="1">IF(AND($D213="Serviço",AU$12&lt;&gt;0,$H213&gt;0,OR(AUTOEVENTO&lt;&gt;"manual",$M213&lt;&gt;$A$15)),
        IF(Import.TipoArredondamento&lt;&gt;"TransfereGOV",
              ROUND(OFFSET($P213,0,AU$13),15-13*ORÇAMENTO!$AF$7)/$H213*OFFSET(ORÇAMENTO!$X$15,ROW(AU213)-ROW(AU$15),0),
              ROUND(ROUND(OFFSET($P213,0,AU$13),15-13*ORÇAMENTO!$AF$7)*OFFSET(ORÇAMENTO!$W$15,ROW(AU213)-ROW(AU$15),0),15-13*ORÇAMENTO!$AF$11)),
         0)</f>
        <v>0</v>
      </c>
      <c r="AV213" s="452">
        <f ca="1">IF(AND($D213="Serviço",AV$12&lt;&gt;0,$H213&gt;0,OR(AUTOEVENTO&lt;&gt;"manual",$M213&lt;&gt;$A$15)),
        IF(Import.TipoArredondamento&lt;&gt;"TransfereGOV",
              ROUND(OFFSET($P213,0,AV$13),15-13*ORÇAMENTO!$AF$7)/$H213*OFFSET(ORÇAMENTO!$X$15,ROW(AV213)-ROW(AV$15),0),
              ROUND(ROUND(OFFSET($P213,0,AV$13),15-13*ORÇAMENTO!$AF$7)*OFFSET(ORÇAMENTO!$W$15,ROW(AV213)-ROW(AV$15),0),15-13*ORÇAMENTO!$AF$11)),
         0)</f>
        <v>0</v>
      </c>
      <c r="AW213" s="452">
        <f ca="1">IF(AND($D213="Serviço",AW$12&lt;&gt;0,$H213&gt;0,OR(AUTOEVENTO&lt;&gt;"manual",$M213&lt;&gt;$A$15)),
        IF(Import.TipoArredondamento&lt;&gt;"TransfereGOV",
              ROUND(OFFSET($P213,0,AW$13),15-13*ORÇAMENTO!$AF$7)/$H213*OFFSET(ORÇAMENTO!$X$15,ROW(AW213)-ROW(AW$15),0),
              ROUND(ROUND(OFFSET($P213,0,AW$13),15-13*ORÇAMENTO!$AF$7)*OFFSET(ORÇAMENTO!$W$15,ROW(AW213)-ROW(AW$15),0),15-13*ORÇAMENTO!$AF$11)),
         0)</f>
        <v>0</v>
      </c>
      <c r="AX213" s="452">
        <f ca="1">IF(AND($D213="Serviço",AX$12&lt;&gt;0,$H213&gt;0,OR(AUTOEVENTO&lt;&gt;"manual",$M213&lt;&gt;$A$15)),
        IF(Import.TipoArredondamento&lt;&gt;"TransfereGOV",
              ROUND(OFFSET($P213,0,AX$13),15-13*ORÇAMENTO!$AF$7)/$H213*OFFSET(ORÇAMENTO!$X$15,ROW(AX213)-ROW(AX$15),0),
              ROUND(ROUND(OFFSET($P213,0,AX$13),15-13*ORÇAMENTO!$AF$7)*OFFSET(ORÇAMENTO!$W$15,ROW(AX213)-ROW(AX$15),0),15-13*ORÇAMENTO!$AF$11)),
         0)</f>
        <v>0</v>
      </c>
      <c r="AY213" s="452">
        <f ca="1">IF(AND($D213="Serviço",AY$12&lt;&gt;0,$H213&gt;0,OR(AUTOEVENTO&lt;&gt;"manual",$M213&lt;&gt;$A$15)),
        IF(Import.TipoArredondamento&lt;&gt;"TransfereGOV",
              ROUND(OFFSET($P213,0,AY$13),15-13*ORÇAMENTO!$AF$7)/$H213*OFFSET(ORÇAMENTO!$X$15,ROW(AY213)-ROW(AY$15),0),
              ROUND(ROUND(OFFSET($P213,0,AY$13),15-13*ORÇAMENTO!$AF$7)*OFFSET(ORÇAMENTO!$W$15,ROW(AY213)-ROW(AY$15),0),15-13*ORÇAMENTO!$AF$11)),
         0)</f>
        <v>0</v>
      </c>
      <c r="AZ213" s="452">
        <f ca="1">IF(AND($D213="Serviço",AZ$12&lt;&gt;0,$H213&gt;0,OR(AUTOEVENTO&lt;&gt;"manual",$M213&lt;&gt;$A$15)),
        IF(Import.TipoArredondamento&lt;&gt;"TransfereGOV",
              ROUND(OFFSET($P213,0,AZ$13),15-13*ORÇAMENTO!$AF$7)/$H213*OFFSET(ORÇAMENTO!$X$15,ROW(AZ213)-ROW(AZ$15),0),
              ROUND(ROUND(OFFSET($P213,0,AZ$13),15-13*ORÇAMENTO!$AF$7)*OFFSET(ORÇAMENTO!$W$15,ROW(AZ213)-ROW(AZ$15),0),15-13*ORÇAMENTO!$AF$11)),
         0)</f>
        <v>0</v>
      </c>
      <c r="BA213" s="452">
        <f ca="1">IF(AND($D213="Serviço",BA$12&lt;&gt;0,$H213&gt;0,OR(AUTOEVENTO&lt;&gt;"manual",$M213&lt;&gt;$A$15)),
        IF(Import.TipoArredondamento&lt;&gt;"TransfereGOV",
              ROUND(OFFSET($P213,0,BA$13),15-13*ORÇAMENTO!$AF$7)/$H213*OFFSET(ORÇAMENTO!$X$15,ROW(BA213)-ROW(BA$15),0),
              ROUND(ROUND(OFFSET($P213,0,BA$13),15-13*ORÇAMENTO!$AF$7)*OFFSET(ORÇAMENTO!$W$15,ROW(BA213)-ROW(BA$15),0),15-13*ORÇAMENTO!$AF$11)),
         0)</f>
        <v>0</v>
      </c>
      <c r="BC213" s="171">
        <f ca="1">IF(OR($D213&lt;&gt;"Serviço",AND(AUTOEVENTO="Manual",$M213=$A$15)),0,
         IF(OFFSET(CRONOPLE!$F$15,$M213-$A$15,BC$13)=0,10^12,OFFSET(CRONOPLE!$F$15,$M213-$A$15,BC$13)))</f>
        <v>5</v>
      </c>
      <c r="BD213" s="171">
        <f ca="1">IF(OR($D213&lt;&gt;"Serviço",AND(AUTOEVENTO="Manual",$M213=$A$15)),0,
         IF(OFFSET(CRONOPLE!$F$15,$M213-$A$15,BD$13)=0,10^12,OFFSET(CRONOPLE!$F$15,$M213-$A$15,BD$13)))</f>
        <v>5</v>
      </c>
      <c r="BE213" s="171">
        <f ca="1">IF(OR($D213&lt;&gt;"Serviço",AND(AUTOEVENTO="Manual",$M213=$A$15)),0,
         IF(OFFSET(CRONOPLE!$F$15,$M213-$A$15,BE$13)=0,10^12,OFFSET(CRONOPLE!$F$15,$M213-$A$15,BE$13)))</f>
        <v>6</v>
      </c>
      <c r="BF213" s="171">
        <f ca="1">IF(OR($D213&lt;&gt;"Serviço",AND(AUTOEVENTO="Manual",$M213=$A$15)),0,
         IF(OFFSET(CRONOPLE!$F$15,$M213-$A$15,BF$13)=0,10^12,OFFSET(CRONOPLE!$F$15,$M213-$A$15,BF$13)))</f>
        <v>6</v>
      </c>
      <c r="BG213" s="171">
        <f ca="1">IF(OR($D213&lt;&gt;"Serviço",AND(AUTOEVENTO="Manual",$M213=$A$15)),0,
         IF(OFFSET(CRONOPLE!$F$15,$M213-$A$15,BG$13)=0,10^12,OFFSET(CRONOPLE!$F$15,$M213-$A$15,BG$13)))</f>
        <v>6</v>
      </c>
      <c r="BH213" s="171">
        <f ca="1">IF(OR($D213&lt;&gt;"Serviço",AND(AUTOEVENTO="Manual",$M213=$A$15)),0,
         IF(OFFSET(CRONOPLE!$F$15,$M213-$A$15,BH$13)=0,10^12,OFFSET(CRONOPLE!$F$15,$M213-$A$15,BH$13)))</f>
        <v>1000000000000</v>
      </c>
      <c r="BI213" s="171">
        <f ca="1">IF(OR($D213&lt;&gt;"Serviço",AND(AUTOEVENTO="Manual",$M213=$A$15)),0,
         IF(OFFSET(CRONOPLE!$F$15,$M213-$A$15,BI$13)=0,10^12,OFFSET(CRONOPLE!$F$15,$M213-$A$15,BI$13)))</f>
        <v>1000000000000</v>
      </c>
      <c r="BJ213" s="171">
        <f ca="1">IF(OR($D213&lt;&gt;"Serviço",AND(AUTOEVENTO="Manual",$M213=$A$15)),0,
         IF(OFFSET(CRONOPLE!$F$15,$M213-$A$15,BJ$13)=0,10^12,OFFSET(CRONOPLE!$F$15,$M213-$A$15,BJ$13)))</f>
        <v>1000000000000</v>
      </c>
      <c r="BK213" s="171">
        <f ca="1">IF(OR($D213&lt;&gt;"Serviço",AND(AUTOEVENTO="Manual",$M213=$A$15)),0,
         IF(OFFSET(CRONOPLE!$F$15,$M213-$A$15,BK$13)=0,10^12,OFFSET(CRONOPLE!$F$15,$M213-$A$15,BK$13)))</f>
        <v>9</v>
      </c>
      <c r="BL213" s="171">
        <f ca="1">IF(OR($D213&lt;&gt;"Serviço",AND(AUTOEVENTO="Manual",$M213=$A$15)),0,
         IF(OFFSET(CRONOPLE!$F$15,$M213-$A$15,BL$13)=0,10^12,OFFSET(CRONOPLE!$F$15,$M213-$A$15,BL$13)))</f>
        <v>1000000000000</v>
      </c>
      <c r="BM213" s="171">
        <f ca="1">IF(OR($D213&lt;&gt;"Serviço",AND(AUTOEVENTO="Manual",$M213=$A$15)),0,
         IF(OFFSET(CRONOPLE!$F$15,$M213-$A$15,BM$13)=0,10^12,OFFSET(CRONOPLE!$F$15,$M213-$A$15,BM$13)))</f>
        <v>1000000000000</v>
      </c>
      <c r="BN213" s="171">
        <f ca="1">IF(OR($D213&lt;&gt;"Serviço",AND(AUTOEVENTO="Manual",$M213=$A$15)),0,
         IF(OFFSET(CRONOPLE!$F$15,$M213-$A$15,BN$13)=0,10^12,OFFSET(CRONOPLE!$F$15,$M213-$A$15,BN$13)))</f>
        <v>1000000000000</v>
      </c>
      <c r="BO213" s="171">
        <f ca="1">IF(OR($D213&lt;&gt;"Serviço",AND(AUTOEVENTO="Manual",$M213=$A$15)),0,
         IF(OFFSET(CRONOPLE!$F$15,$M213-$A$15,BO$13)=0,10^12,OFFSET(CRONOPLE!$F$15,$M213-$A$15,BO$13)))</f>
        <v>1000000000000</v>
      </c>
      <c r="BP213" s="171">
        <f ca="1">IF(OR($D213&lt;&gt;"Serviço",AND(AUTOEVENTO="Manual",$M213=$A$15)),0,
         IF(OFFSET(CRONOPLE!$F$15,$M213-$A$15,BP$13)=0,10^12,OFFSET(CRONOPLE!$F$15,$M213-$A$15,BP$13)))</f>
        <v>1000000000000</v>
      </c>
      <c r="BQ213" s="171">
        <f ca="1">IF(OR($D213&lt;&gt;"Serviço",AND(AUTOEVENTO="Manual",$M213=$A$15)),0,
         IF(OFFSET(CRONOPLE!$F$15,$M213-$A$15,BQ$13)=0,10^12,OFFSET(CRONOPLE!$F$15,$M213-$A$15,BQ$13)))</f>
        <v>1000000000000</v>
      </c>
      <c r="BR213" s="171">
        <f ca="1">IF(OR($D213&lt;&gt;"Serviço",AND(AUTOEVENTO="Manual",$M213=$A$15)),0,
         IF(OFFSET(CRONOPLE!$F$15,$M213-$A$15,BR$13)=0,10^12,OFFSET(CRONOPLE!$F$15,$M213-$A$15,BR$13)))</f>
        <v>1000000000000</v>
      </c>
      <c r="BS213" s="171">
        <f ca="1">IF(OR($D213&lt;&gt;"Serviço",AND(AUTOEVENTO="Manual",$M213=$A$15)),0,
         IF(OFFSET(CRONOPLE!$F$15,$M213-$A$15,BS$13)=0,10^12,OFFSET(CRONOPLE!$F$15,$M213-$A$15,BS$13)))</f>
        <v>1000000000000</v>
      </c>
      <c r="BT213" s="171">
        <f ca="1">IF(OR($D213&lt;&gt;"Serviço",AND(AUTOEVENTO="Manual",$M213=$A$15)),0,
         IF(OFFSET(CRONOPLE!$F$15,$M213-$A$15,BT$13)=0,10^12,OFFSET(CRONOPLE!$F$15,$M213-$A$15,BT$13)))</f>
        <v>1000000000000</v>
      </c>
      <c r="BV213" s="172">
        <f t="array" aca="1" ref="BV213" ca="1">IF(OR($D213&lt;&gt;"Serviço",AND(AUTOEVENTO="Manual",$M213=$A$15),$M213&gt;(ROW(PLE.lastrow)-ROW(PLE.firstrow))),0,
           IF(OFFSET(PLE!$G$15,$M213-$A$15,BV$13)="",10^12,OFFSET(PLE!$G$15,$M213-$A$15,BV$13)))</f>
        <v>1000000000000</v>
      </c>
      <c r="BW213" s="172">
        <f t="array" aca="1" ref="BW213" ca="1">IF(OR($D213&lt;&gt;"Serviço",AND(AUTOEVENTO="Manual",$M213=$A$15),$M213&gt;(ROW(PLE.lastrow)-ROW(PLE.firstrow))),0,
           IF(OFFSET(PLE!$G$15,$M213-$A$15,BW$13)="",10^12,OFFSET(PLE!$G$15,$M213-$A$15,BW$13)))</f>
        <v>1000000000000</v>
      </c>
      <c r="BX213" s="172">
        <f t="array" aca="1" ref="BX213" ca="1">IF(OR($D213&lt;&gt;"Serviço",AND(AUTOEVENTO="Manual",$M213=$A$15),$M213&gt;(ROW(PLE.lastrow)-ROW(PLE.firstrow))),0,
           IF(OFFSET(PLE!$G$15,$M213-$A$15,BX$13)="",10^12,OFFSET(PLE!$G$15,$M213-$A$15,BX$13)))</f>
        <v>1000000000000</v>
      </c>
      <c r="BY213" s="172">
        <f t="array" aca="1" ref="BY213" ca="1">IF(OR($D213&lt;&gt;"Serviço",AND(AUTOEVENTO="Manual",$M213=$A$15),$M213&gt;(ROW(PLE.lastrow)-ROW(PLE.firstrow))),0,
           IF(OFFSET(PLE!$G$15,$M213-$A$15,BY$13)="",10^12,OFFSET(PLE!$G$15,$M213-$A$15,BY$13)))</f>
        <v>1000000000000</v>
      </c>
      <c r="BZ213" s="172">
        <f t="array" aca="1" ref="BZ213" ca="1">IF(OR($D213&lt;&gt;"Serviço",AND(AUTOEVENTO="Manual",$M213=$A$15),$M213&gt;(ROW(PLE.lastrow)-ROW(PLE.firstrow))),0,
           IF(OFFSET(PLE!$G$15,$M213-$A$15,BZ$13)="",10^12,OFFSET(PLE!$G$15,$M213-$A$15,BZ$13)))</f>
        <v>1000000000000</v>
      </c>
      <c r="CA213" s="172">
        <f t="array" aca="1" ref="CA213" ca="1">IF(OR($D213&lt;&gt;"Serviço",AND(AUTOEVENTO="Manual",$M213=$A$15),$M213&gt;(ROW(PLE.lastrow)-ROW(PLE.firstrow))),0,
           IF(OFFSET(PLE!$G$15,$M213-$A$15,CA$13)="",10^12,OFFSET(PLE!$G$15,$M213-$A$15,CA$13)))</f>
        <v>1000000000000</v>
      </c>
      <c r="CB213" s="172">
        <f t="array" aca="1" ref="CB213" ca="1">IF(OR($D213&lt;&gt;"Serviço",AND(AUTOEVENTO="Manual",$M213=$A$15),$M213&gt;(ROW(PLE.lastrow)-ROW(PLE.firstrow))),0,
           IF(OFFSET(PLE!$G$15,$M213-$A$15,CB$13)="",10^12,OFFSET(PLE!$G$15,$M213-$A$15,CB$13)))</f>
        <v>1000000000000</v>
      </c>
      <c r="CC213" s="172">
        <f t="array" aca="1" ref="CC213" ca="1">IF(OR($D213&lt;&gt;"Serviço",AND(AUTOEVENTO="Manual",$M213=$A$15),$M213&gt;(ROW(PLE.lastrow)-ROW(PLE.firstrow))),0,
           IF(OFFSET(PLE!$G$15,$M213-$A$15,CC$13)="",10^12,OFFSET(PLE!$G$15,$M213-$A$15,CC$13)))</f>
        <v>1000000000000</v>
      </c>
      <c r="CD213" s="172">
        <f t="array" aca="1" ref="CD213" ca="1">IF(OR($D213&lt;&gt;"Serviço",AND(AUTOEVENTO="Manual",$M213=$A$15),$M213&gt;(ROW(PLE.lastrow)-ROW(PLE.firstrow))),0,
           IF(OFFSET(PLE!$G$15,$M213-$A$15,CD$13)="",10^12,OFFSET(PLE!$G$15,$M213-$A$15,CD$13)))</f>
        <v>1000000000000</v>
      </c>
      <c r="CE213" s="172">
        <f t="array" aca="1" ref="CE213" ca="1">IF(OR($D213&lt;&gt;"Serviço",AND(AUTOEVENTO="Manual",$M213=$A$15),$M213&gt;(ROW(PLE.lastrow)-ROW(PLE.firstrow))),0,
           IF(OFFSET(PLE!$G$15,$M213-$A$15,CE$13)="",10^12,OFFSET(PLE!$G$15,$M213-$A$15,CE$13)))</f>
        <v>1000000000000</v>
      </c>
      <c r="CF213" s="172">
        <f t="array" aca="1" ref="CF213" ca="1">IF(OR($D213&lt;&gt;"Serviço",AND(AUTOEVENTO="Manual",$M213=$A$15),$M213&gt;(ROW(PLE.lastrow)-ROW(PLE.firstrow))),0,
           IF(OFFSET(PLE!$G$15,$M213-$A$15,CF$13)="",10^12,OFFSET(PLE!$G$15,$M213-$A$15,CF$13)))</f>
        <v>1000000000000</v>
      </c>
      <c r="CG213" s="172">
        <f t="array" aca="1" ref="CG213" ca="1">IF(OR($D213&lt;&gt;"Serviço",AND(AUTOEVENTO="Manual",$M213=$A$15),$M213&gt;(ROW(PLE.lastrow)-ROW(PLE.firstrow))),0,
           IF(OFFSET(PLE!$G$15,$M213-$A$15,CG$13)="",10^12,OFFSET(PLE!$G$15,$M213-$A$15,CG$13)))</f>
        <v>1000000000000</v>
      </c>
      <c r="CH213" s="172">
        <f t="array" aca="1" ref="CH213" ca="1">IF(OR($D213&lt;&gt;"Serviço",AND(AUTOEVENTO="Manual",$M213=$A$15),$M213&gt;(ROW(PLE.lastrow)-ROW(PLE.firstrow))),0,
           IF(OFFSET(PLE!$G$15,$M213-$A$15,CH$13)="",10^12,OFFSET(PLE!$G$15,$M213-$A$15,CH$13)))</f>
        <v>1000000000000</v>
      </c>
      <c r="CI213" s="172">
        <f t="array" aca="1" ref="CI213" ca="1">IF(OR($D213&lt;&gt;"Serviço",AND(AUTOEVENTO="Manual",$M213=$A$15),$M213&gt;(ROW(PLE.lastrow)-ROW(PLE.firstrow))),0,
           IF(OFFSET(PLE!$G$15,$M213-$A$15,CI$13)="",10^12,OFFSET(PLE!$G$15,$M213-$A$15,CI$13)))</f>
        <v>1000000000000</v>
      </c>
      <c r="CJ213" s="172">
        <f t="array" aca="1" ref="CJ213" ca="1">IF(OR($D213&lt;&gt;"Serviço",AND(AUTOEVENTO="Manual",$M213=$A$15),$M213&gt;(ROW(PLE.lastrow)-ROW(PLE.firstrow))),0,
           IF(OFFSET(PLE!$G$15,$M213-$A$15,CJ$13)="",10^12,OFFSET(PLE!$G$15,$M213-$A$15,CJ$13)))</f>
        <v>1000000000000</v>
      </c>
      <c r="CK213" s="172">
        <f t="array" aca="1" ref="CK213" ca="1">IF(OR($D213&lt;&gt;"Serviço",AND(AUTOEVENTO="Manual",$M213=$A$15),$M213&gt;(ROW(PLE.lastrow)-ROW(PLE.firstrow))),0,
           IF(OFFSET(PLE!$G$15,$M213-$A$15,CK$13)="",10^12,OFFSET(PLE!$G$15,$M213-$A$15,CK$13)))</f>
        <v>1000000000000</v>
      </c>
      <c r="CL213" s="172">
        <f t="array" aca="1" ref="CL213" ca="1">IF(OR($D213&lt;&gt;"Serviço",AND(AUTOEVENTO="Manual",$M213=$A$15),$M213&gt;(ROW(PLE.lastrow)-ROW(PLE.firstrow))),0,
           IF(OFFSET(PLE!$G$15,$M213-$A$15,CL$13)="",10^12,OFFSET(PLE!$G$15,$M213-$A$15,CL$13)))</f>
        <v>1000000000000</v>
      </c>
      <c r="CM213" s="172">
        <f t="array" aca="1" ref="CM213" ca="1">IF(OR($D213&lt;&gt;"Serviço",AND(AUTOEVENTO="Manual",$M213=$A$15),$M213&gt;(ROW(PLE.lastrow)-ROW(PLE.firstrow))),0,
           IF(OFFSET(PLE!$G$15,$M213-$A$15,CM$13)="",10^12,OFFSET(PLE!$G$15,$M213-$A$15,CM$13)))</f>
        <v>1000000000000</v>
      </c>
    </row>
    <row r="214" spans="1:91" s="696" customFormat="1" ht="38.25" x14ac:dyDescent="0.2">
      <c r="A214" s="694">
        <f t="shared" ca="1" si="98"/>
        <v>31</v>
      </c>
      <c r="B214" s="694" t="str">
        <f ca="1">OFFSET(ORÇAMENTO!C$15,$L214,0)</f>
        <v>S</v>
      </c>
      <c r="C214" s="694" t="str">
        <f ca="1">OFFSET(ORÇAMENTO!L$15,$L214,0)</f>
        <v>F</v>
      </c>
      <c r="D214" s="116" t="str">
        <f ca="1">OFFSET(ORÇAMENTO!N$15,$L214,0)</f>
        <v>Serviço</v>
      </c>
      <c r="E214" s="117" t="str">
        <f ca="1">OFFSET(ORÇAMENTO!O$15,$L214,0)</f>
        <v>1.31.5.</v>
      </c>
      <c r="F214" s="163" t="str">
        <f ca="1">OFFSET(ORÇAMENTO!R$15,$L214,0)</f>
        <v>CAIXA DE GORDURA SIMPLES (CAPACIDADE: 36 L), RETANGULAR, EM ALVENARIA COM BLOCOS DE CONCRETO, DIMENSÕES INTERNAS = 0,2X0,4 M, ALTURA INTERNA = 0,8 M. AF_12/2020</v>
      </c>
      <c r="G214" s="164" t="str">
        <f ca="1">IF($D214&lt;&gt;"Serviço","",OFFSET(ORÇAMENTO!S$15,$L214,0))</f>
        <v>UN</v>
      </c>
      <c r="H214" s="122">
        <f t="array" aca="1" ref="H214" ca="1">IF($D214&lt;&gt;"Serviço",0,IF(ACOMPANHAMENTO="BM",ROUND(OFFSET(ORÇAMENTO!AJ$15,$L214,0),15-13*ORÇAMENTO!$AF$7),IF(IFERROR(CÁLCULO.FrentesPreenchidas,0)=0,0,SUM(ROUND(OFFSET($P214,0,1,1,CÁLCULO.FrentesPreenchidas),15-13*ORÇAMENTO!$AF$7)))))</f>
        <v>20</v>
      </c>
      <c r="I214" s="467" t="s">
        <v>1339</v>
      </c>
      <c r="J214" s="653" t="str">
        <f t="array" aca="1" ref="J214" ca="1">IF(OR(B214&lt;&gt;"S",CÁLCULO.FrentesPreenchidas=0),"",IF(AND(ACOMPANHAMENTO="PLE",AUTOEVENTO="Manual",OR(H214&gt;0,ORÇAMENTO!AC214="QUANT."),OR(K214="",M214=0,N214="")),"►E",IF(AND(ACOMPANHAMENTO="PLE",ORÇAMENTO!AC214="QUANT."),"►Q",IF(AND(ACOMPANHAMENTO="PLE",H214&lt;&gt;SUMPRODUCT(($Q$1:$AI$1=1)*ROUND(Q214:AI214,15))),"►S",IF(AND(COUNTIF($P$11:$AI$11,"▼")=0,H214&gt;0,I214=""),"◄M","")))))</f>
        <v/>
      </c>
      <c r="K214" s="654" t="s">
        <v>1447</v>
      </c>
      <c r="L214" s="165">
        <f t="shared" ca="1" si="99"/>
        <v>199</v>
      </c>
      <c r="M214" s="166">
        <f ca="1">IF($D214&lt;&gt;"Serviço","",
          IF(AUTOEVENTO="manual",$A214,
                IF(ISERROR(MATCH($A214,$A$15:OFFSET($A214,-1,0),0)),MAX($M$15:OFFSET(M214,-1,0))+1,
                      INDEX($M$15:OFFSET(M214,-1,0),MATCH($A214,$A$15:OFFSET($A214,-1,0),0)))))</f>
        <v>31</v>
      </c>
      <c r="N214" s="167" t="str">
        <f ca="1">IF($D214&lt;&gt;"Serviço","",
         IF(AUTOEVENTO="Manual",
                IF($A214=0,"&lt;-- defina o número do agrupador",
                       OFFSET(EVENTOS!$D$15,$A214-$A$15,0)),
                OFFSET($F$15,$A214,0)))</f>
        <v>REDE PLUVIAL E ESGOTO</v>
      </c>
      <c r="O214" s="168"/>
      <c r="Q214" s="169">
        <v>5</v>
      </c>
      <c r="R214" s="169">
        <v>5</v>
      </c>
      <c r="S214" s="169">
        <v>5</v>
      </c>
      <c r="T214" s="169">
        <v>5</v>
      </c>
      <c r="U214" s="169"/>
      <c r="V214" s="169"/>
      <c r="W214" s="169"/>
      <c r="X214" s="169"/>
      <c r="Y214" s="169"/>
      <c r="Z214" s="170"/>
      <c r="AA214" s="169"/>
      <c r="AB214" s="169"/>
      <c r="AC214" s="169"/>
      <c r="AD214" s="169"/>
      <c r="AE214" s="169"/>
      <c r="AF214" s="169"/>
      <c r="AG214" s="169"/>
      <c r="AH214" s="170"/>
      <c r="AJ214" s="452">
        <f ca="1">IF(AND($D214="Serviço",AJ$12&lt;&gt;0,$H214&gt;0,OR(AUTOEVENTO&lt;&gt;"manual",$M214&lt;&gt;$A$15)),
        IF(Import.TipoArredondamento&lt;&gt;"TransfereGOV",
              ROUND(OFFSET($P214,0,AJ$13),15-13*ORÇAMENTO!$AF$7)/$H214*OFFSET(ORÇAMENTO!$X$15,ROW(AJ214)-ROW(AJ$15),0),
              ROUND(ROUND(OFFSET($P214,0,AJ$13),15-13*ORÇAMENTO!$AF$7)*OFFSET(ORÇAMENTO!$W$15,ROW(AJ214)-ROW(AJ$15),0),15-13*ORÇAMENTO!$AF$11)),
         0)</f>
        <v>1696.3</v>
      </c>
      <c r="AK214" s="452">
        <f ca="1">IF(AND($D214="Serviço",AK$12&lt;&gt;0,$H214&gt;0,OR(AUTOEVENTO&lt;&gt;"manual",$M214&lt;&gt;$A$15)),
        IF(Import.TipoArredondamento&lt;&gt;"TransfereGOV",
              ROUND(OFFSET($P214,0,AK$13),15-13*ORÇAMENTO!$AF$7)/$H214*OFFSET(ORÇAMENTO!$X$15,ROW(AK214)-ROW(AK$15),0),
              ROUND(ROUND(OFFSET($P214,0,AK$13),15-13*ORÇAMENTO!$AF$7)*OFFSET(ORÇAMENTO!$W$15,ROW(AK214)-ROW(AK$15),0),15-13*ORÇAMENTO!$AF$11)),
         0)</f>
        <v>1696.3</v>
      </c>
      <c r="AL214" s="452">
        <f ca="1">IF(AND($D214="Serviço",AL$12&lt;&gt;0,$H214&gt;0,OR(AUTOEVENTO&lt;&gt;"manual",$M214&lt;&gt;$A$15)),
        IF(Import.TipoArredondamento&lt;&gt;"TransfereGOV",
              ROUND(OFFSET($P214,0,AL$13),15-13*ORÇAMENTO!$AF$7)/$H214*OFFSET(ORÇAMENTO!$X$15,ROW(AL214)-ROW(AL$15),0),
              ROUND(ROUND(OFFSET($P214,0,AL$13),15-13*ORÇAMENTO!$AF$7)*OFFSET(ORÇAMENTO!$W$15,ROW(AL214)-ROW(AL$15),0),15-13*ORÇAMENTO!$AF$11)),
         0)</f>
        <v>1696.3</v>
      </c>
      <c r="AM214" s="452">
        <f ca="1">IF(AND($D214="Serviço",AM$12&lt;&gt;0,$H214&gt;0,OR(AUTOEVENTO&lt;&gt;"manual",$M214&lt;&gt;$A$15)),
        IF(Import.TipoArredondamento&lt;&gt;"TransfereGOV",
              ROUND(OFFSET($P214,0,AM$13),15-13*ORÇAMENTO!$AF$7)/$H214*OFFSET(ORÇAMENTO!$X$15,ROW(AM214)-ROW(AM$15),0),
              ROUND(ROUND(OFFSET($P214,0,AM$13),15-13*ORÇAMENTO!$AF$7)*OFFSET(ORÇAMENTO!$W$15,ROW(AM214)-ROW(AM$15),0),15-13*ORÇAMENTO!$AF$11)),
         0)</f>
        <v>1696.3</v>
      </c>
      <c r="AN214" s="452">
        <f ca="1">IF(AND($D214="Serviço",AN$12&lt;&gt;0,$H214&gt;0,OR(AUTOEVENTO&lt;&gt;"manual",$M214&lt;&gt;$A$15)),
        IF(Import.TipoArredondamento&lt;&gt;"TransfereGOV",
              ROUND(OFFSET($P214,0,AN$13),15-13*ORÇAMENTO!$AF$7)/$H214*OFFSET(ORÇAMENTO!$X$15,ROW(AN214)-ROW(AN$15),0),
              ROUND(ROUND(OFFSET($P214,0,AN$13),15-13*ORÇAMENTO!$AF$7)*OFFSET(ORÇAMENTO!$W$15,ROW(AN214)-ROW(AN$15),0),15-13*ORÇAMENTO!$AF$11)),
         0)</f>
        <v>0</v>
      </c>
      <c r="AO214" s="452">
        <f ca="1">IF(AND($D214="Serviço",AO$12&lt;&gt;0,$H214&gt;0,OR(AUTOEVENTO&lt;&gt;"manual",$M214&lt;&gt;$A$15)),
        IF(Import.TipoArredondamento&lt;&gt;"TransfereGOV",
              ROUND(OFFSET($P214,0,AO$13),15-13*ORÇAMENTO!$AF$7)/$H214*OFFSET(ORÇAMENTO!$X$15,ROW(AO214)-ROW(AO$15),0),
              ROUND(ROUND(OFFSET($P214,0,AO$13),15-13*ORÇAMENTO!$AF$7)*OFFSET(ORÇAMENTO!$W$15,ROW(AO214)-ROW(AO$15),0),15-13*ORÇAMENTO!$AF$11)),
         0)</f>
        <v>0</v>
      </c>
      <c r="AP214" s="452">
        <f ca="1">IF(AND($D214="Serviço",AP$12&lt;&gt;0,$H214&gt;0,OR(AUTOEVENTO&lt;&gt;"manual",$M214&lt;&gt;$A$15)),
        IF(Import.TipoArredondamento&lt;&gt;"TransfereGOV",
              ROUND(OFFSET($P214,0,AP$13),15-13*ORÇAMENTO!$AF$7)/$H214*OFFSET(ORÇAMENTO!$X$15,ROW(AP214)-ROW(AP$15),0),
              ROUND(ROUND(OFFSET($P214,0,AP$13),15-13*ORÇAMENTO!$AF$7)*OFFSET(ORÇAMENTO!$W$15,ROW(AP214)-ROW(AP$15),0),15-13*ORÇAMENTO!$AF$11)),
         0)</f>
        <v>0</v>
      </c>
      <c r="AQ214" s="452">
        <f ca="1">IF(AND($D214="Serviço",AQ$12&lt;&gt;0,$H214&gt;0,OR(AUTOEVENTO&lt;&gt;"manual",$M214&lt;&gt;$A$15)),
        IF(Import.TipoArredondamento&lt;&gt;"TransfereGOV",
              ROUND(OFFSET($P214,0,AQ$13),15-13*ORÇAMENTO!$AF$7)/$H214*OFFSET(ORÇAMENTO!$X$15,ROW(AQ214)-ROW(AQ$15),0),
              ROUND(ROUND(OFFSET($P214,0,AQ$13),15-13*ORÇAMENTO!$AF$7)*OFFSET(ORÇAMENTO!$W$15,ROW(AQ214)-ROW(AQ$15),0),15-13*ORÇAMENTO!$AF$11)),
         0)</f>
        <v>0</v>
      </c>
      <c r="AR214" s="452">
        <f ca="1">IF(AND($D214="Serviço",AR$12&lt;&gt;0,$H214&gt;0,OR(AUTOEVENTO&lt;&gt;"manual",$M214&lt;&gt;$A$15)),
        IF(Import.TipoArredondamento&lt;&gt;"TransfereGOV",
              ROUND(OFFSET($P214,0,AR$13),15-13*ORÇAMENTO!$AF$7)/$H214*OFFSET(ORÇAMENTO!$X$15,ROW(AR214)-ROW(AR$15),0),
              ROUND(ROUND(OFFSET($P214,0,AR$13),15-13*ORÇAMENTO!$AF$7)*OFFSET(ORÇAMENTO!$W$15,ROW(AR214)-ROW(AR$15),0),15-13*ORÇAMENTO!$AF$11)),
         0)</f>
        <v>0</v>
      </c>
      <c r="AS214" s="452">
        <f ca="1">IF(AND($D214="Serviço",AS$12&lt;&gt;0,$H214&gt;0,OR(AUTOEVENTO&lt;&gt;"manual",$M214&lt;&gt;$A$15)),
        IF(Import.TipoArredondamento&lt;&gt;"TransfereGOV",
              ROUND(OFFSET($P214,0,AS$13),15-13*ORÇAMENTO!$AF$7)/$H214*OFFSET(ORÇAMENTO!$X$15,ROW(AS214)-ROW(AS$15),0),
              ROUND(ROUND(OFFSET($P214,0,AS$13),15-13*ORÇAMENTO!$AF$7)*OFFSET(ORÇAMENTO!$W$15,ROW(AS214)-ROW(AS$15),0),15-13*ORÇAMENTO!$AF$11)),
         0)</f>
        <v>0</v>
      </c>
      <c r="AT214" s="452">
        <f ca="1">IF(AND($D214="Serviço",AT$12&lt;&gt;0,$H214&gt;0,OR(AUTOEVENTO&lt;&gt;"manual",$M214&lt;&gt;$A$15)),
        IF(Import.TipoArredondamento&lt;&gt;"TransfereGOV",
              ROUND(OFFSET($P214,0,AT$13),15-13*ORÇAMENTO!$AF$7)/$H214*OFFSET(ORÇAMENTO!$X$15,ROW(AT214)-ROW(AT$15),0),
              ROUND(ROUND(OFFSET($P214,0,AT$13),15-13*ORÇAMENTO!$AF$7)*OFFSET(ORÇAMENTO!$W$15,ROW(AT214)-ROW(AT$15),0),15-13*ORÇAMENTO!$AF$11)),
         0)</f>
        <v>0</v>
      </c>
      <c r="AU214" s="452">
        <f ca="1">IF(AND($D214="Serviço",AU$12&lt;&gt;0,$H214&gt;0,OR(AUTOEVENTO&lt;&gt;"manual",$M214&lt;&gt;$A$15)),
        IF(Import.TipoArredondamento&lt;&gt;"TransfereGOV",
              ROUND(OFFSET($P214,0,AU$13),15-13*ORÇAMENTO!$AF$7)/$H214*OFFSET(ORÇAMENTO!$X$15,ROW(AU214)-ROW(AU$15),0),
              ROUND(ROUND(OFFSET($P214,0,AU$13),15-13*ORÇAMENTO!$AF$7)*OFFSET(ORÇAMENTO!$W$15,ROW(AU214)-ROW(AU$15),0),15-13*ORÇAMENTO!$AF$11)),
         0)</f>
        <v>0</v>
      </c>
      <c r="AV214" s="452">
        <f ca="1">IF(AND($D214="Serviço",AV$12&lt;&gt;0,$H214&gt;0,OR(AUTOEVENTO&lt;&gt;"manual",$M214&lt;&gt;$A$15)),
        IF(Import.TipoArredondamento&lt;&gt;"TransfereGOV",
              ROUND(OFFSET($P214,0,AV$13),15-13*ORÇAMENTO!$AF$7)/$H214*OFFSET(ORÇAMENTO!$X$15,ROW(AV214)-ROW(AV$15),0),
              ROUND(ROUND(OFFSET($P214,0,AV$13),15-13*ORÇAMENTO!$AF$7)*OFFSET(ORÇAMENTO!$W$15,ROW(AV214)-ROW(AV$15),0),15-13*ORÇAMENTO!$AF$11)),
         0)</f>
        <v>0</v>
      </c>
      <c r="AW214" s="452">
        <f ca="1">IF(AND($D214="Serviço",AW$12&lt;&gt;0,$H214&gt;0,OR(AUTOEVENTO&lt;&gt;"manual",$M214&lt;&gt;$A$15)),
        IF(Import.TipoArredondamento&lt;&gt;"TransfereGOV",
              ROUND(OFFSET($P214,0,AW$13),15-13*ORÇAMENTO!$AF$7)/$H214*OFFSET(ORÇAMENTO!$X$15,ROW(AW214)-ROW(AW$15),0),
              ROUND(ROUND(OFFSET($P214,0,AW$13),15-13*ORÇAMENTO!$AF$7)*OFFSET(ORÇAMENTO!$W$15,ROW(AW214)-ROW(AW$15),0),15-13*ORÇAMENTO!$AF$11)),
         0)</f>
        <v>0</v>
      </c>
      <c r="AX214" s="452">
        <f ca="1">IF(AND($D214="Serviço",AX$12&lt;&gt;0,$H214&gt;0,OR(AUTOEVENTO&lt;&gt;"manual",$M214&lt;&gt;$A$15)),
        IF(Import.TipoArredondamento&lt;&gt;"TransfereGOV",
              ROUND(OFFSET($P214,0,AX$13),15-13*ORÇAMENTO!$AF$7)/$H214*OFFSET(ORÇAMENTO!$X$15,ROW(AX214)-ROW(AX$15),0),
              ROUND(ROUND(OFFSET($P214,0,AX$13),15-13*ORÇAMENTO!$AF$7)*OFFSET(ORÇAMENTO!$W$15,ROW(AX214)-ROW(AX$15),0),15-13*ORÇAMENTO!$AF$11)),
         0)</f>
        <v>0</v>
      </c>
      <c r="AY214" s="452">
        <f ca="1">IF(AND($D214="Serviço",AY$12&lt;&gt;0,$H214&gt;0,OR(AUTOEVENTO&lt;&gt;"manual",$M214&lt;&gt;$A$15)),
        IF(Import.TipoArredondamento&lt;&gt;"TransfereGOV",
              ROUND(OFFSET($P214,0,AY$13),15-13*ORÇAMENTO!$AF$7)/$H214*OFFSET(ORÇAMENTO!$X$15,ROW(AY214)-ROW(AY$15),0),
              ROUND(ROUND(OFFSET($P214,0,AY$13),15-13*ORÇAMENTO!$AF$7)*OFFSET(ORÇAMENTO!$W$15,ROW(AY214)-ROW(AY$15),0),15-13*ORÇAMENTO!$AF$11)),
         0)</f>
        <v>0</v>
      </c>
      <c r="AZ214" s="452">
        <f ca="1">IF(AND($D214="Serviço",AZ$12&lt;&gt;0,$H214&gt;0,OR(AUTOEVENTO&lt;&gt;"manual",$M214&lt;&gt;$A$15)),
        IF(Import.TipoArredondamento&lt;&gt;"TransfereGOV",
              ROUND(OFFSET($P214,0,AZ$13),15-13*ORÇAMENTO!$AF$7)/$H214*OFFSET(ORÇAMENTO!$X$15,ROW(AZ214)-ROW(AZ$15),0),
              ROUND(ROUND(OFFSET($P214,0,AZ$13),15-13*ORÇAMENTO!$AF$7)*OFFSET(ORÇAMENTO!$W$15,ROW(AZ214)-ROW(AZ$15),0),15-13*ORÇAMENTO!$AF$11)),
         0)</f>
        <v>0</v>
      </c>
      <c r="BA214" s="452">
        <f ca="1">IF(AND($D214="Serviço",BA$12&lt;&gt;0,$H214&gt;0,OR(AUTOEVENTO&lt;&gt;"manual",$M214&lt;&gt;$A$15)),
        IF(Import.TipoArredondamento&lt;&gt;"TransfereGOV",
              ROUND(OFFSET($P214,0,BA$13),15-13*ORÇAMENTO!$AF$7)/$H214*OFFSET(ORÇAMENTO!$X$15,ROW(BA214)-ROW(BA$15),0),
              ROUND(ROUND(OFFSET($P214,0,BA$13),15-13*ORÇAMENTO!$AF$7)*OFFSET(ORÇAMENTO!$W$15,ROW(BA214)-ROW(BA$15),0),15-13*ORÇAMENTO!$AF$11)),
         0)</f>
        <v>0</v>
      </c>
      <c r="BC214" s="171">
        <f ca="1">IF(OR($D214&lt;&gt;"Serviço",AND(AUTOEVENTO="Manual",$M214=$A$15)),0,
         IF(OFFSET(CRONOPLE!$F$15,$M214-$A$15,BC$13)=0,10^12,OFFSET(CRONOPLE!$F$15,$M214-$A$15,BC$13)))</f>
        <v>5</v>
      </c>
      <c r="BD214" s="171">
        <f ca="1">IF(OR($D214&lt;&gt;"Serviço",AND(AUTOEVENTO="Manual",$M214=$A$15)),0,
         IF(OFFSET(CRONOPLE!$F$15,$M214-$A$15,BD$13)=0,10^12,OFFSET(CRONOPLE!$F$15,$M214-$A$15,BD$13)))</f>
        <v>5</v>
      </c>
      <c r="BE214" s="171">
        <f ca="1">IF(OR($D214&lt;&gt;"Serviço",AND(AUTOEVENTO="Manual",$M214=$A$15)),0,
         IF(OFFSET(CRONOPLE!$F$15,$M214-$A$15,BE$13)=0,10^12,OFFSET(CRONOPLE!$F$15,$M214-$A$15,BE$13)))</f>
        <v>6</v>
      </c>
      <c r="BF214" s="171">
        <f ca="1">IF(OR($D214&lt;&gt;"Serviço",AND(AUTOEVENTO="Manual",$M214=$A$15)),0,
         IF(OFFSET(CRONOPLE!$F$15,$M214-$A$15,BF$13)=0,10^12,OFFSET(CRONOPLE!$F$15,$M214-$A$15,BF$13)))</f>
        <v>6</v>
      </c>
      <c r="BG214" s="171">
        <f ca="1">IF(OR($D214&lt;&gt;"Serviço",AND(AUTOEVENTO="Manual",$M214=$A$15)),0,
         IF(OFFSET(CRONOPLE!$F$15,$M214-$A$15,BG$13)=0,10^12,OFFSET(CRONOPLE!$F$15,$M214-$A$15,BG$13)))</f>
        <v>6</v>
      </c>
      <c r="BH214" s="171">
        <f ca="1">IF(OR($D214&lt;&gt;"Serviço",AND(AUTOEVENTO="Manual",$M214=$A$15)),0,
         IF(OFFSET(CRONOPLE!$F$15,$M214-$A$15,BH$13)=0,10^12,OFFSET(CRONOPLE!$F$15,$M214-$A$15,BH$13)))</f>
        <v>1000000000000</v>
      </c>
      <c r="BI214" s="171">
        <f ca="1">IF(OR($D214&lt;&gt;"Serviço",AND(AUTOEVENTO="Manual",$M214=$A$15)),0,
         IF(OFFSET(CRONOPLE!$F$15,$M214-$A$15,BI$13)=0,10^12,OFFSET(CRONOPLE!$F$15,$M214-$A$15,BI$13)))</f>
        <v>1000000000000</v>
      </c>
      <c r="BJ214" s="171">
        <f ca="1">IF(OR($D214&lt;&gt;"Serviço",AND(AUTOEVENTO="Manual",$M214=$A$15)),0,
         IF(OFFSET(CRONOPLE!$F$15,$M214-$A$15,BJ$13)=0,10^12,OFFSET(CRONOPLE!$F$15,$M214-$A$15,BJ$13)))</f>
        <v>1000000000000</v>
      </c>
      <c r="BK214" s="171">
        <f ca="1">IF(OR($D214&lt;&gt;"Serviço",AND(AUTOEVENTO="Manual",$M214=$A$15)),0,
         IF(OFFSET(CRONOPLE!$F$15,$M214-$A$15,BK$13)=0,10^12,OFFSET(CRONOPLE!$F$15,$M214-$A$15,BK$13)))</f>
        <v>9</v>
      </c>
      <c r="BL214" s="171">
        <f ca="1">IF(OR($D214&lt;&gt;"Serviço",AND(AUTOEVENTO="Manual",$M214=$A$15)),0,
         IF(OFFSET(CRONOPLE!$F$15,$M214-$A$15,BL$13)=0,10^12,OFFSET(CRONOPLE!$F$15,$M214-$A$15,BL$13)))</f>
        <v>1000000000000</v>
      </c>
      <c r="BM214" s="171">
        <f ca="1">IF(OR($D214&lt;&gt;"Serviço",AND(AUTOEVENTO="Manual",$M214=$A$15)),0,
         IF(OFFSET(CRONOPLE!$F$15,$M214-$A$15,BM$13)=0,10^12,OFFSET(CRONOPLE!$F$15,$M214-$A$15,BM$13)))</f>
        <v>1000000000000</v>
      </c>
      <c r="BN214" s="171">
        <f ca="1">IF(OR($D214&lt;&gt;"Serviço",AND(AUTOEVENTO="Manual",$M214=$A$15)),0,
         IF(OFFSET(CRONOPLE!$F$15,$M214-$A$15,BN$13)=0,10^12,OFFSET(CRONOPLE!$F$15,$M214-$A$15,BN$13)))</f>
        <v>1000000000000</v>
      </c>
      <c r="BO214" s="171">
        <f ca="1">IF(OR($D214&lt;&gt;"Serviço",AND(AUTOEVENTO="Manual",$M214=$A$15)),0,
         IF(OFFSET(CRONOPLE!$F$15,$M214-$A$15,BO$13)=0,10^12,OFFSET(CRONOPLE!$F$15,$M214-$A$15,BO$13)))</f>
        <v>1000000000000</v>
      </c>
      <c r="BP214" s="171">
        <f ca="1">IF(OR($D214&lt;&gt;"Serviço",AND(AUTOEVENTO="Manual",$M214=$A$15)),0,
         IF(OFFSET(CRONOPLE!$F$15,$M214-$A$15,BP$13)=0,10^12,OFFSET(CRONOPLE!$F$15,$M214-$A$15,BP$13)))</f>
        <v>1000000000000</v>
      </c>
      <c r="BQ214" s="171">
        <f ca="1">IF(OR($D214&lt;&gt;"Serviço",AND(AUTOEVENTO="Manual",$M214=$A$15)),0,
         IF(OFFSET(CRONOPLE!$F$15,$M214-$A$15,BQ$13)=0,10^12,OFFSET(CRONOPLE!$F$15,$M214-$A$15,BQ$13)))</f>
        <v>1000000000000</v>
      </c>
      <c r="BR214" s="171">
        <f ca="1">IF(OR($D214&lt;&gt;"Serviço",AND(AUTOEVENTO="Manual",$M214=$A$15)),0,
         IF(OFFSET(CRONOPLE!$F$15,$M214-$A$15,BR$13)=0,10^12,OFFSET(CRONOPLE!$F$15,$M214-$A$15,BR$13)))</f>
        <v>1000000000000</v>
      </c>
      <c r="BS214" s="171">
        <f ca="1">IF(OR($D214&lt;&gt;"Serviço",AND(AUTOEVENTO="Manual",$M214=$A$15)),0,
         IF(OFFSET(CRONOPLE!$F$15,$M214-$A$15,BS$13)=0,10^12,OFFSET(CRONOPLE!$F$15,$M214-$A$15,BS$13)))</f>
        <v>1000000000000</v>
      </c>
      <c r="BT214" s="171">
        <f ca="1">IF(OR($D214&lt;&gt;"Serviço",AND(AUTOEVENTO="Manual",$M214=$A$15)),0,
         IF(OFFSET(CRONOPLE!$F$15,$M214-$A$15,BT$13)=0,10^12,OFFSET(CRONOPLE!$F$15,$M214-$A$15,BT$13)))</f>
        <v>1000000000000</v>
      </c>
      <c r="BV214" s="172">
        <f t="array" aca="1" ref="BV214" ca="1">IF(OR($D214&lt;&gt;"Serviço",AND(AUTOEVENTO="Manual",$M214=$A$15),$M214&gt;(ROW(PLE.lastrow)-ROW(PLE.firstrow))),0,
           IF(OFFSET(PLE!$G$15,$M214-$A$15,BV$13)="",10^12,OFFSET(PLE!$G$15,$M214-$A$15,BV$13)))</f>
        <v>1000000000000</v>
      </c>
      <c r="BW214" s="172">
        <f t="array" aca="1" ref="BW214" ca="1">IF(OR($D214&lt;&gt;"Serviço",AND(AUTOEVENTO="Manual",$M214=$A$15),$M214&gt;(ROW(PLE.lastrow)-ROW(PLE.firstrow))),0,
           IF(OFFSET(PLE!$G$15,$M214-$A$15,BW$13)="",10^12,OFFSET(PLE!$G$15,$M214-$A$15,BW$13)))</f>
        <v>1000000000000</v>
      </c>
      <c r="BX214" s="172">
        <f t="array" aca="1" ref="BX214" ca="1">IF(OR($D214&lt;&gt;"Serviço",AND(AUTOEVENTO="Manual",$M214=$A$15),$M214&gt;(ROW(PLE.lastrow)-ROW(PLE.firstrow))),0,
           IF(OFFSET(PLE!$G$15,$M214-$A$15,BX$13)="",10^12,OFFSET(PLE!$G$15,$M214-$A$15,BX$13)))</f>
        <v>1000000000000</v>
      </c>
      <c r="BY214" s="172">
        <f t="array" aca="1" ref="BY214" ca="1">IF(OR($D214&lt;&gt;"Serviço",AND(AUTOEVENTO="Manual",$M214=$A$15),$M214&gt;(ROW(PLE.lastrow)-ROW(PLE.firstrow))),0,
           IF(OFFSET(PLE!$G$15,$M214-$A$15,BY$13)="",10^12,OFFSET(PLE!$G$15,$M214-$A$15,BY$13)))</f>
        <v>1000000000000</v>
      </c>
      <c r="BZ214" s="172">
        <f t="array" aca="1" ref="BZ214" ca="1">IF(OR($D214&lt;&gt;"Serviço",AND(AUTOEVENTO="Manual",$M214=$A$15),$M214&gt;(ROW(PLE.lastrow)-ROW(PLE.firstrow))),0,
           IF(OFFSET(PLE!$G$15,$M214-$A$15,BZ$13)="",10^12,OFFSET(PLE!$G$15,$M214-$A$15,BZ$13)))</f>
        <v>1000000000000</v>
      </c>
      <c r="CA214" s="172">
        <f t="array" aca="1" ref="CA214" ca="1">IF(OR($D214&lt;&gt;"Serviço",AND(AUTOEVENTO="Manual",$M214=$A$15),$M214&gt;(ROW(PLE.lastrow)-ROW(PLE.firstrow))),0,
           IF(OFFSET(PLE!$G$15,$M214-$A$15,CA$13)="",10^12,OFFSET(PLE!$G$15,$M214-$A$15,CA$13)))</f>
        <v>1000000000000</v>
      </c>
      <c r="CB214" s="172">
        <f t="array" aca="1" ref="CB214" ca="1">IF(OR($D214&lt;&gt;"Serviço",AND(AUTOEVENTO="Manual",$M214=$A$15),$M214&gt;(ROW(PLE.lastrow)-ROW(PLE.firstrow))),0,
           IF(OFFSET(PLE!$G$15,$M214-$A$15,CB$13)="",10^12,OFFSET(PLE!$G$15,$M214-$A$15,CB$13)))</f>
        <v>1000000000000</v>
      </c>
      <c r="CC214" s="172">
        <f t="array" aca="1" ref="CC214" ca="1">IF(OR($D214&lt;&gt;"Serviço",AND(AUTOEVENTO="Manual",$M214=$A$15),$M214&gt;(ROW(PLE.lastrow)-ROW(PLE.firstrow))),0,
           IF(OFFSET(PLE!$G$15,$M214-$A$15,CC$13)="",10^12,OFFSET(PLE!$G$15,$M214-$A$15,CC$13)))</f>
        <v>1000000000000</v>
      </c>
      <c r="CD214" s="172">
        <f t="array" aca="1" ref="CD214" ca="1">IF(OR($D214&lt;&gt;"Serviço",AND(AUTOEVENTO="Manual",$M214=$A$15),$M214&gt;(ROW(PLE.lastrow)-ROW(PLE.firstrow))),0,
           IF(OFFSET(PLE!$G$15,$M214-$A$15,CD$13)="",10^12,OFFSET(PLE!$G$15,$M214-$A$15,CD$13)))</f>
        <v>1000000000000</v>
      </c>
      <c r="CE214" s="172">
        <f t="array" aca="1" ref="CE214" ca="1">IF(OR($D214&lt;&gt;"Serviço",AND(AUTOEVENTO="Manual",$M214=$A$15),$M214&gt;(ROW(PLE.lastrow)-ROW(PLE.firstrow))),0,
           IF(OFFSET(PLE!$G$15,$M214-$A$15,CE$13)="",10^12,OFFSET(PLE!$G$15,$M214-$A$15,CE$13)))</f>
        <v>1000000000000</v>
      </c>
      <c r="CF214" s="172">
        <f t="array" aca="1" ref="CF214" ca="1">IF(OR($D214&lt;&gt;"Serviço",AND(AUTOEVENTO="Manual",$M214=$A$15),$M214&gt;(ROW(PLE.lastrow)-ROW(PLE.firstrow))),0,
           IF(OFFSET(PLE!$G$15,$M214-$A$15,CF$13)="",10^12,OFFSET(PLE!$G$15,$M214-$A$15,CF$13)))</f>
        <v>1000000000000</v>
      </c>
      <c r="CG214" s="172">
        <f t="array" aca="1" ref="CG214" ca="1">IF(OR($D214&lt;&gt;"Serviço",AND(AUTOEVENTO="Manual",$M214=$A$15),$M214&gt;(ROW(PLE.lastrow)-ROW(PLE.firstrow))),0,
           IF(OFFSET(PLE!$G$15,$M214-$A$15,CG$13)="",10^12,OFFSET(PLE!$G$15,$M214-$A$15,CG$13)))</f>
        <v>1000000000000</v>
      </c>
      <c r="CH214" s="172">
        <f t="array" aca="1" ref="CH214" ca="1">IF(OR($D214&lt;&gt;"Serviço",AND(AUTOEVENTO="Manual",$M214=$A$15),$M214&gt;(ROW(PLE.lastrow)-ROW(PLE.firstrow))),0,
           IF(OFFSET(PLE!$G$15,$M214-$A$15,CH$13)="",10^12,OFFSET(PLE!$G$15,$M214-$A$15,CH$13)))</f>
        <v>1000000000000</v>
      </c>
      <c r="CI214" s="172">
        <f t="array" aca="1" ref="CI214" ca="1">IF(OR($D214&lt;&gt;"Serviço",AND(AUTOEVENTO="Manual",$M214=$A$15),$M214&gt;(ROW(PLE.lastrow)-ROW(PLE.firstrow))),0,
           IF(OFFSET(PLE!$G$15,$M214-$A$15,CI$13)="",10^12,OFFSET(PLE!$G$15,$M214-$A$15,CI$13)))</f>
        <v>1000000000000</v>
      </c>
      <c r="CJ214" s="172">
        <f t="array" aca="1" ref="CJ214" ca="1">IF(OR($D214&lt;&gt;"Serviço",AND(AUTOEVENTO="Manual",$M214=$A$15),$M214&gt;(ROW(PLE.lastrow)-ROW(PLE.firstrow))),0,
           IF(OFFSET(PLE!$G$15,$M214-$A$15,CJ$13)="",10^12,OFFSET(PLE!$G$15,$M214-$A$15,CJ$13)))</f>
        <v>1000000000000</v>
      </c>
      <c r="CK214" s="172">
        <f t="array" aca="1" ref="CK214" ca="1">IF(OR($D214&lt;&gt;"Serviço",AND(AUTOEVENTO="Manual",$M214=$A$15),$M214&gt;(ROW(PLE.lastrow)-ROW(PLE.firstrow))),0,
           IF(OFFSET(PLE!$G$15,$M214-$A$15,CK$13)="",10^12,OFFSET(PLE!$G$15,$M214-$A$15,CK$13)))</f>
        <v>1000000000000</v>
      </c>
      <c r="CL214" s="172">
        <f t="array" aca="1" ref="CL214" ca="1">IF(OR($D214&lt;&gt;"Serviço",AND(AUTOEVENTO="Manual",$M214=$A$15),$M214&gt;(ROW(PLE.lastrow)-ROW(PLE.firstrow))),0,
           IF(OFFSET(PLE!$G$15,$M214-$A$15,CL$13)="",10^12,OFFSET(PLE!$G$15,$M214-$A$15,CL$13)))</f>
        <v>1000000000000</v>
      </c>
      <c r="CM214" s="172">
        <f t="array" aca="1" ref="CM214" ca="1">IF(OR($D214&lt;&gt;"Serviço",AND(AUTOEVENTO="Manual",$M214=$A$15),$M214&gt;(ROW(PLE.lastrow)-ROW(PLE.firstrow))),0,
           IF(OFFSET(PLE!$G$15,$M214-$A$15,CM$13)="",10^12,OFFSET(PLE!$G$15,$M214-$A$15,CM$13)))</f>
        <v>1000000000000</v>
      </c>
    </row>
    <row r="215" spans="1:91" s="696" customFormat="1" ht="12.75" x14ac:dyDescent="0.2">
      <c r="A215" s="694">
        <f t="shared" ca="1" si="98"/>
        <v>0</v>
      </c>
      <c r="B215" s="694">
        <f ca="1">OFFSET(ORÇAMENTO!C$15,$L215,0)</f>
        <v>2</v>
      </c>
      <c r="C215" s="694" t="str">
        <f ca="1">OFFSET(ORÇAMENTO!L$15,$L215,0)</f>
        <v>F</v>
      </c>
      <c r="D215" s="116" t="str">
        <f ca="1">OFFSET(ORÇAMENTO!N$15,$L215,0)</f>
        <v>Nível 2</v>
      </c>
      <c r="E215" s="117" t="str">
        <f ca="1">OFFSET(ORÇAMENTO!O$15,$L215,0)</f>
        <v>1.32.</v>
      </c>
      <c r="F215" s="163" t="str">
        <f ca="1">OFFSET(ORÇAMENTO!R$15,$L215,0)</f>
        <v>LOUÇAS</v>
      </c>
      <c r="G215" s="164" t="str">
        <f ca="1">IF($D215&lt;&gt;"Serviço","",OFFSET(ORÇAMENTO!S$15,$L215,0))</f>
        <v/>
      </c>
      <c r="H215" s="122">
        <f t="array" aca="1" ref="H215" ca="1">IF($D215&lt;&gt;"Serviço",0,IF(ACOMPANHAMENTO="BM",ROUND(OFFSET(ORÇAMENTO!AJ$15,$L215,0),15-13*ORÇAMENTO!$AF$7),IF(IFERROR(CÁLCULO.FrentesPreenchidas,0)=0,0,SUM(ROUND(OFFSET($P215,0,1,1,CÁLCULO.FrentesPreenchidas),15-13*ORÇAMENTO!$AF$7)))))</f>
        <v>0</v>
      </c>
      <c r="I215" s="467"/>
      <c r="J215" s="653" t="str">
        <f t="array" aca="1" ref="J215" ca="1">IF(OR(B215&lt;&gt;"S",CÁLCULO.FrentesPreenchidas=0),"",IF(AND(ACOMPANHAMENTO="PLE",AUTOEVENTO="Manual",OR(H215&gt;0,ORÇAMENTO!AC215="QUANT."),OR(K215="",M215=0,N215="")),"►E",IF(AND(ACOMPANHAMENTO="PLE",ORÇAMENTO!AC215="QUANT."),"►Q",IF(AND(ACOMPANHAMENTO="PLE",H215&lt;&gt;SUMPRODUCT(($Q$1:$AI$1=1)*ROUND(Q215:AI215,15))),"►S",IF(AND(COUNTIF($P$11:$AI$11,"▼")=0,H215&gt;0,I215=""),"◄M","")))))</f>
        <v/>
      </c>
      <c r="K215" s="654"/>
      <c r="L215" s="165">
        <f t="shared" ca="1" si="99"/>
        <v>200</v>
      </c>
      <c r="M215" s="166" t="str">
        <f ca="1">IF($D215&lt;&gt;"Serviço","",
          IF(AUTOEVENTO="manual",$A215,
                IF(ISERROR(MATCH($A215,$A$15:OFFSET($A215,-1,0),0)),MAX($M$15:OFFSET(M215,-1,0))+1,
                      INDEX($M$15:OFFSET(M215,-1,0),MATCH($A215,$A$15:OFFSET($A215,-1,0),0)))))</f>
        <v/>
      </c>
      <c r="N215" s="167" t="str">
        <f ca="1">IF($D215&lt;&gt;"Serviço","",
         IF(AUTOEVENTO="Manual",
                IF($A215=0,"&lt;-- defina o número do agrupador",
                       OFFSET(EVENTOS!$D$15,$A215-$A$15,0)),
                OFFSET($F$15,$A215,0)))</f>
        <v/>
      </c>
      <c r="O215" s="168"/>
      <c r="Q215" s="169"/>
      <c r="R215" s="169"/>
      <c r="S215" s="169"/>
      <c r="T215" s="169"/>
      <c r="U215" s="169"/>
      <c r="V215" s="169"/>
      <c r="W215" s="169"/>
      <c r="X215" s="169"/>
      <c r="Y215" s="169"/>
      <c r="Z215" s="170"/>
      <c r="AA215" s="169"/>
      <c r="AB215" s="169"/>
      <c r="AC215" s="169"/>
      <c r="AD215" s="169"/>
      <c r="AE215" s="169"/>
      <c r="AF215" s="169"/>
      <c r="AG215" s="169"/>
      <c r="AH215" s="170"/>
      <c r="AJ215" s="452">
        <f ca="1">IF(AND($D215="Serviço",AJ$12&lt;&gt;0,$H215&gt;0,OR(AUTOEVENTO&lt;&gt;"manual",$M215&lt;&gt;$A$15)),
        IF(Import.TipoArredondamento&lt;&gt;"TransfereGOV",
              ROUND(OFFSET($P215,0,AJ$13),15-13*ORÇAMENTO!$AF$7)/$H215*OFFSET(ORÇAMENTO!$X$15,ROW(AJ215)-ROW(AJ$15),0),
              ROUND(ROUND(OFFSET($P215,0,AJ$13),15-13*ORÇAMENTO!$AF$7)*OFFSET(ORÇAMENTO!$W$15,ROW(AJ215)-ROW(AJ$15),0),15-13*ORÇAMENTO!$AF$11)),
         0)</f>
        <v>0</v>
      </c>
      <c r="AK215" s="452">
        <f ca="1">IF(AND($D215="Serviço",AK$12&lt;&gt;0,$H215&gt;0,OR(AUTOEVENTO&lt;&gt;"manual",$M215&lt;&gt;$A$15)),
        IF(Import.TipoArredondamento&lt;&gt;"TransfereGOV",
              ROUND(OFFSET($P215,0,AK$13),15-13*ORÇAMENTO!$AF$7)/$H215*OFFSET(ORÇAMENTO!$X$15,ROW(AK215)-ROW(AK$15),0),
              ROUND(ROUND(OFFSET($P215,0,AK$13),15-13*ORÇAMENTO!$AF$7)*OFFSET(ORÇAMENTO!$W$15,ROW(AK215)-ROW(AK$15),0),15-13*ORÇAMENTO!$AF$11)),
         0)</f>
        <v>0</v>
      </c>
      <c r="AL215" s="452">
        <f ca="1">IF(AND($D215="Serviço",AL$12&lt;&gt;0,$H215&gt;0,OR(AUTOEVENTO&lt;&gt;"manual",$M215&lt;&gt;$A$15)),
        IF(Import.TipoArredondamento&lt;&gt;"TransfereGOV",
              ROUND(OFFSET($P215,0,AL$13),15-13*ORÇAMENTO!$AF$7)/$H215*OFFSET(ORÇAMENTO!$X$15,ROW(AL215)-ROW(AL$15),0),
              ROUND(ROUND(OFFSET($P215,0,AL$13),15-13*ORÇAMENTO!$AF$7)*OFFSET(ORÇAMENTO!$W$15,ROW(AL215)-ROW(AL$15),0),15-13*ORÇAMENTO!$AF$11)),
         0)</f>
        <v>0</v>
      </c>
      <c r="AM215" s="452">
        <f ca="1">IF(AND($D215="Serviço",AM$12&lt;&gt;0,$H215&gt;0,OR(AUTOEVENTO&lt;&gt;"manual",$M215&lt;&gt;$A$15)),
        IF(Import.TipoArredondamento&lt;&gt;"TransfereGOV",
              ROUND(OFFSET($P215,0,AM$13),15-13*ORÇAMENTO!$AF$7)/$H215*OFFSET(ORÇAMENTO!$X$15,ROW(AM215)-ROW(AM$15),0),
              ROUND(ROUND(OFFSET($P215,0,AM$13),15-13*ORÇAMENTO!$AF$7)*OFFSET(ORÇAMENTO!$W$15,ROW(AM215)-ROW(AM$15),0),15-13*ORÇAMENTO!$AF$11)),
         0)</f>
        <v>0</v>
      </c>
      <c r="AN215" s="452">
        <f ca="1">IF(AND($D215="Serviço",AN$12&lt;&gt;0,$H215&gt;0,OR(AUTOEVENTO&lt;&gt;"manual",$M215&lt;&gt;$A$15)),
        IF(Import.TipoArredondamento&lt;&gt;"TransfereGOV",
              ROUND(OFFSET($P215,0,AN$13),15-13*ORÇAMENTO!$AF$7)/$H215*OFFSET(ORÇAMENTO!$X$15,ROW(AN215)-ROW(AN$15),0),
              ROUND(ROUND(OFFSET($P215,0,AN$13),15-13*ORÇAMENTO!$AF$7)*OFFSET(ORÇAMENTO!$W$15,ROW(AN215)-ROW(AN$15),0),15-13*ORÇAMENTO!$AF$11)),
         0)</f>
        <v>0</v>
      </c>
      <c r="AO215" s="452">
        <f ca="1">IF(AND($D215="Serviço",AO$12&lt;&gt;0,$H215&gt;0,OR(AUTOEVENTO&lt;&gt;"manual",$M215&lt;&gt;$A$15)),
        IF(Import.TipoArredondamento&lt;&gt;"TransfereGOV",
              ROUND(OFFSET($P215,0,AO$13),15-13*ORÇAMENTO!$AF$7)/$H215*OFFSET(ORÇAMENTO!$X$15,ROW(AO215)-ROW(AO$15),0),
              ROUND(ROUND(OFFSET($P215,0,AO$13),15-13*ORÇAMENTO!$AF$7)*OFFSET(ORÇAMENTO!$W$15,ROW(AO215)-ROW(AO$15),0),15-13*ORÇAMENTO!$AF$11)),
         0)</f>
        <v>0</v>
      </c>
      <c r="AP215" s="452">
        <f ca="1">IF(AND($D215="Serviço",AP$12&lt;&gt;0,$H215&gt;0,OR(AUTOEVENTO&lt;&gt;"manual",$M215&lt;&gt;$A$15)),
        IF(Import.TipoArredondamento&lt;&gt;"TransfereGOV",
              ROUND(OFFSET($P215,0,AP$13),15-13*ORÇAMENTO!$AF$7)/$H215*OFFSET(ORÇAMENTO!$X$15,ROW(AP215)-ROW(AP$15),0),
              ROUND(ROUND(OFFSET($P215,0,AP$13),15-13*ORÇAMENTO!$AF$7)*OFFSET(ORÇAMENTO!$W$15,ROW(AP215)-ROW(AP$15),0),15-13*ORÇAMENTO!$AF$11)),
         0)</f>
        <v>0</v>
      </c>
      <c r="AQ215" s="452">
        <f ca="1">IF(AND($D215="Serviço",AQ$12&lt;&gt;0,$H215&gt;0,OR(AUTOEVENTO&lt;&gt;"manual",$M215&lt;&gt;$A$15)),
        IF(Import.TipoArredondamento&lt;&gt;"TransfereGOV",
              ROUND(OFFSET($P215,0,AQ$13),15-13*ORÇAMENTO!$AF$7)/$H215*OFFSET(ORÇAMENTO!$X$15,ROW(AQ215)-ROW(AQ$15),0),
              ROUND(ROUND(OFFSET($P215,0,AQ$13),15-13*ORÇAMENTO!$AF$7)*OFFSET(ORÇAMENTO!$W$15,ROW(AQ215)-ROW(AQ$15),0),15-13*ORÇAMENTO!$AF$11)),
         0)</f>
        <v>0</v>
      </c>
      <c r="AR215" s="452">
        <f ca="1">IF(AND($D215="Serviço",AR$12&lt;&gt;0,$H215&gt;0,OR(AUTOEVENTO&lt;&gt;"manual",$M215&lt;&gt;$A$15)),
        IF(Import.TipoArredondamento&lt;&gt;"TransfereGOV",
              ROUND(OFFSET($P215,0,AR$13),15-13*ORÇAMENTO!$AF$7)/$H215*OFFSET(ORÇAMENTO!$X$15,ROW(AR215)-ROW(AR$15),0),
              ROUND(ROUND(OFFSET($P215,0,AR$13),15-13*ORÇAMENTO!$AF$7)*OFFSET(ORÇAMENTO!$W$15,ROW(AR215)-ROW(AR$15),0),15-13*ORÇAMENTO!$AF$11)),
         0)</f>
        <v>0</v>
      </c>
      <c r="AS215" s="452">
        <f ca="1">IF(AND($D215="Serviço",AS$12&lt;&gt;0,$H215&gt;0,OR(AUTOEVENTO&lt;&gt;"manual",$M215&lt;&gt;$A$15)),
        IF(Import.TipoArredondamento&lt;&gt;"TransfereGOV",
              ROUND(OFFSET($P215,0,AS$13),15-13*ORÇAMENTO!$AF$7)/$H215*OFFSET(ORÇAMENTO!$X$15,ROW(AS215)-ROW(AS$15),0),
              ROUND(ROUND(OFFSET($P215,0,AS$13),15-13*ORÇAMENTO!$AF$7)*OFFSET(ORÇAMENTO!$W$15,ROW(AS215)-ROW(AS$15),0),15-13*ORÇAMENTO!$AF$11)),
         0)</f>
        <v>0</v>
      </c>
      <c r="AT215" s="452">
        <f ca="1">IF(AND($D215="Serviço",AT$12&lt;&gt;0,$H215&gt;0,OR(AUTOEVENTO&lt;&gt;"manual",$M215&lt;&gt;$A$15)),
        IF(Import.TipoArredondamento&lt;&gt;"TransfereGOV",
              ROUND(OFFSET($P215,0,AT$13),15-13*ORÇAMENTO!$AF$7)/$H215*OFFSET(ORÇAMENTO!$X$15,ROW(AT215)-ROW(AT$15),0),
              ROUND(ROUND(OFFSET($P215,0,AT$13),15-13*ORÇAMENTO!$AF$7)*OFFSET(ORÇAMENTO!$W$15,ROW(AT215)-ROW(AT$15),0),15-13*ORÇAMENTO!$AF$11)),
         0)</f>
        <v>0</v>
      </c>
      <c r="AU215" s="452">
        <f ca="1">IF(AND($D215="Serviço",AU$12&lt;&gt;0,$H215&gt;0,OR(AUTOEVENTO&lt;&gt;"manual",$M215&lt;&gt;$A$15)),
        IF(Import.TipoArredondamento&lt;&gt;"TransfereGOV",
              ROUND(OFFSET($P215,0,AU$13),15-13*ORÇAMENTO!$AF$7)/$H215*OFFSET(ORÇAMENTO!$X$15,ROW(AU215)-ROW(AU$15),0),
              ROUND(ROUND(OFFSET($P215,0,AU$13),15-13*ORÇAMENTO!$AF$7)*OFFSET(ORÇAMENTO!$W$15,ROW(AU215)-ROW(AU$15),0),15-13*ORÇAMENTO!$AF$11)),
         0)</f>
        <v>0</v>
      </c>
      <c r="AV215" s="452">
        <f ca="1">IF(AND($D215="Serviço",AV$12&lt;&gt;0,$H215&gt;0,OR(AUTOEVENTO&lt;&gt;"manual",$M215&lt;&gt;$A$15)),
        IF(Import.TipoArredondamento&lt;&gt;"TransfereGOV",
              ROUND(OFFSET($P215,0,AV$13),15-13*ORÇAMENTO!$AF$7)/$H215*OFFSET(ORÇAMENTO!$X$15,ROW(AV215)-ROW(AV$15),0),
              ROUND(ROUND(OFFSET($P215,0,AV$13),15-13*ORÇAMENTO!$AF$7)*OFFSET(ORÇAMENTO!$W$15,ROW(AV215)-ROW(AV$15),0),15-13*ORÇAMENTO!$AF$11)),
         0)</f>
        <v>0</v>
      </c>
      <c r="AW215" s="452">
        <f ca="1">IF(AND($D215="Serviço",AW$12&lt;&gt;0,$H215&gt;0,OR(AUTOEVENTO&lt;&gt;"manual",$M215&lt;&gt;$A$15)),
        IF(Import.TipoArredondamento&lt;&gt;"TransfereGOV",
              ROUND(OFFSET($P215,0,AW$13),15-13*ORÇAMENTO!$AF$7)/$H215*OFFSET(ORÇAMENTO!$X$15,ROW(AW215)-ROW(AW$15),0),
              ROUND(ROUND(OFFSET($P215,0,AW$13),15-13*ORÇAMENTO!$AF$7)*OFFSET(ORÇAMENTO!$W$15,ROW(AW215)-ROW(AW$15),0),15-13*ORÇAMENTO!$AF$11)),
         0)</f>
        <v>0</v>
      </c>
      <c r="AX215" s="452">
        <f ca="1">IF(AND($D215="Serviço",AX$12&lt;&gt;0,$H215&gt;0,OR(AUTOEVENTO&lt;&gt;"manual",$M215&lt;&gt;$A$15)),
        IF(Import.TipoArredondamento&lt;&gt;"TransfereGOV",
              ROUND(OFFSET($P215,0,AX$13),15-13*ORÇAMENTO!$AF$7)/$H215*OFFSET(ORÇAMENTO!$X$15,ROW(AX215)-ROW(AX$15),0),
              ROUND(ROUND(OFFSET($P215,0,AX$13),15-13*ORÇAMENTO!$AF$7)*OFFSET(ORÇAMENTO!$W$15,ROW(AX215)-ROW(AX$15),0),15-13*ORÇAMENTO!$AF$11)),
         0)</f>
        <v>0</v>
      </c>
      <c r="AY215" s="452">
        <f ca="1">IF(AND($D215="Serviço",AY$12&lt;&gt;0,$H215&gt;0,OR(AUTOEVENTO&lt;&gt;"manual",$M215&lt;&gt;$A$15)),
        IF(Import.TipoArredondamento&lt;&gt;"TransfereGOV",
              ROUND(OFFSET($P215,0,AY$13),15-13*ORÇAMENTO!$AF$7)/$H215*OFFSET(ORÇAMENTO!$X$15,ROW(AY215)-ROW(AY$15),0),
              ROUND(ROUND(OFFSET($P215,0,AY$13),15-13*ORÇAMENTO!$AF$7)*OFFSET(ORÇAMENTO!$W$15,ROW(AY215)-ROW(AY$15),0),15-13*ORÇAMENTO!$AF$11)),
         0)</f>
        <v>0</v>
      </c>
      <c r="AZ215" s="452">
        <f ca="1">IF(AND($D215="Serviço",AZ$12&lt;&gt;0,$H215&gt;0,OR(AUTOEVENTO&lt;&gt;"manual",$M215&lt;&gt;$A$15)),
        IF(Import.TipoArredondamento&lt;&gt;"TransfereGOV",
              ROUND(OFFSET($P215,0,AZ$13),15-13*ORÇAMENTO!$AF$7)/$H215*OFFSET(ORÇAMENTO!$X$15,ROW(AZ215)-ROW(AZ$15),0),
              ROUND(ROUND(OFFSET($P215,0,AZ$13),15-13*ORÇAMENTO!$AF$7)*OFFSET(ORÇAMENTO!$W$15,ROW(AZ215)-ROW(AZ$15),0),15-13*ORÇAMENTO!$AF$11)),
         0)</f>
        <v>0</v>
      </c>
      <c r="BA215" s="452">
        <f ca="1">IF(AND($D215="Serviço",BA$12&lt;&gt;0,$H215&gt;0,OR(AUTOEVENTO&lt;&gt;"manual",$M215&lt;&gt;$A$15)),
        IF(Import.TipoArredondamento&lt;&gt;"TransfereGOV",
              ROUND(OFFSET($P215,0,BA$13),15-13*ORÇAMENTO!$AF$7)/$H215*OFFSET(ORÇAMENTO!$X$15,ROW(BA215)-ROW(BA$15),0),
              ROUND(ROUND(OFFSET($P215,0,BA$13),15-13*ORÇAMENTO!$AF$7)*OFFSET(ORÇAMENTO!$W$15,ROW(BA215)-ROW(BA$15),0),15-13*ORÇAMENTO!$AF$11)),
         0)</f>
        <v>0</v>
      </c>
      <c r="BC215" s="171">
        <f ca="1">IF(OR($D215&lt;&gt;"Serviço",AND(AUTOEVENTO="Manual",$M215=$A$15)),0,
         IF(OFFSET(CRONOPLE!$F$15,$M215-$A$15,BC$13)=0,10^12,OFFSET(CRONOPLE!$F$15,$M215-$A$15,BC$13)))</f>
        <v>0</v>
      </c>
      <c r="BD215" s="171">
        <f ca="1">IF(OR($D215&lt;&gt;"Serviço",AND(AUTOEVENTO="Manual",$M215=$A$15)),0,
         IF(OFFSET(CRONOPLE!$F$15,$M215-$A$15,BD$13)=0,10^12,OFFSET(CRONOPLE!$F$15,$M215-$A$15,BD$13)))</f>
        <v>0</v>
      </c>
      <c r="BE215" s="171">
        <f ca="1">IF(OR($D215&lt;&gt;"Serviço",AND(AUTOEVENTO="Manual",$M215=$A$15)),0,
         IF(OFFSET(CRONOPLE!$F$15,$M215-$A$15,BE$13)=0,10^12,OFFSET(CRONOPLE!$F$15,$M215-$A$15,BE$13)))</f>
        <v>0</v>
      </c>
      <c r="BF215" s="171">
        <f ca="1">IF(OR($D215&lt;&gt;"Serviço",AND(AUTOEVENTO="Manual",$M215=$A$15)),0,
         IF(OFFSET(CRONOPLE!$F$15,$M215-$A$15,BF$13)=0,10^12,OFFSET(CRONOPLE!$F$15,$M215-$A$15,BF$13)))</f>
        <v>0</v>
      </c>
      <c r="BG215" s="171">
        <f ca="1">IF(OR($D215&lt;&gt;"Serviço",AND(AUTOEVENTO="Manual",$M215=$A$15)),0,
         IF(OFFSET(CRONOPLE!$F$15,$M215-$A$15,BG$13)=0,10^12,OFFSET(CRONOPLE!$F$15,$M215-$A$15,BG$13)))</f>
        <v>0</v>
      </c>
      <c r="BH215" s="171">
        <f ca="1">IF(OR($D215&lt;&gt;"Serviço",AND(AUTOEVENTO="Manual",$M215=$A$15)),0,
         IF(OFFSET(CRONOPLE!$F$15,$M215-$A$15,BH$13)=0,10^12,OFFSET(CRONOPLE!$F$15,$M215-$A$15,BH$13)))</f>
        <v>0</v>
      </c>
      <c r="BI215" s="171">
        <f ca="1">IF(OR($D215&lt;&gt;"Serviço",AND(AUTOEVENTO="Manual",$M215=$A$15)),0,
         IF(OFFSET(CRONOPLE!$F$15,$M215-$A$15,BI$13)=0,10^12,OFFSET(CRONOPLE!$F$15,$M215-$A$15,BI$13)))</f>
        <v>0</v>
      </c>
      <c r="BJ215" s="171">
        <f ca="1">IF(OR($D215&lt;&gt;"Serviço",AND(AUTOEVENTO="Manual",$M215=$A$15)),0,
         IF(OFFSET(CRONOPLE!$F$15,$M215-$A$15,BJ$13)=0,10^12,OFFSET(CRONOPLE!$F$15,$M215-$A$15,BJ$13)))</f>
        <v>0</v>
      </c>
      <c r="BK215" s="171">
        <f ca="1">IF(OR($D215&lt;&gt;"Serviço",AND(AUTOEVENTO="Manual",$M215=$A$15)),0,
         IF(OFFSET(CRONOPLE!$F$15,$M215-$A$15,BK$13)=0,10^12,OFFSET(CRONOPLE!$F$15,$M215-$A$15,BK$13)))</f>
        <v>0</v>
      </c>
      <c r="BL215" s="171">
        <f ca="1">IF(OR($D215&lt;&gt;"Serviço",AND(AUTOEVENTO="Manual",$M215=$A$15)),0,
         IF(OFFSET(CRONOPLE!$F$15,$M215-$A$15,BL$13)=0,10^12,OFFSET(CRONOPLE!$F$15,$M215-$A$15,BL$13)))</f>
        <v>0</v>
      </c>
      <c r="BM215" s="171">
        <f ca="1">IF(OR($D215&lt;&gt;"Serviço",AND(AUTOEVENTO="Manual",$M215=$A$15)),0,
         IF(OFFSET(CRONOPLE!$F$15,$M215-$A$15,BM$13)=0,10^12,OFFSET(CRONOPLE!$F$15,$M215-$A$15,BM$13)))</f>
        <v>0</v>
      </c>
      <c r="BN215" s="171">
        <f ca="1">IF(OR($D215&lt;&gt;"Serviço",AND(AUTOEVENTO="Manual",$M215=$A$15)),0,
         IF(OFFSET(CRONOPLE!$F$15,$M215-$A$15,BN$13)=0,10^12,OFFSET(CRONOPLE!$F$15,$M215-$A$15,BN$13)))</f>
        <v>0</v>
      </c>
      <c r="BO215" s="171">
        <f ca="1">IF(OR($D215&lt;&gt;"Serviço",AND(AUTOEVENTO="Manual",$M215=$A$15)),0,
         IF(OFFSET(CRONOPLE!$F$15,$M215-$A$15,BO$13)=0,10^12,OFFSET(CRONOPLE!$F$15,$M215-$A$15,BO$13)))</f>
        <v>0</v>
      </c>
      <c r="BP215" s="171">
        <f ca="1">IF(OR($D215&lt;&gt;"Serviço",AND(AUTOEVENTO="Manual",$M215=$A$15)),0,
         IF(OFFSET(CRONOPLE!$F$15,$M215-$A$15,BP$13)=0,10^12,OFFSET(CRONOPLE!$F$15,$M215-$A$15,BP$13)))</f>
        <v>0</v>
      </c>
      <c r="BQ215" s="171">
        <f ca="1">IF(OR($D215&lt;&gt;"Serviço",AND(AUTOEVENTO="Manual",$M215=$A$15)),0,
         IF(OFFSET(CRONOPLE!$F$15,$M215-$A$15,BQ$13)=0,10^12,OFFSET(CRONOPLE!$F$15,$M215-$A$15,BQ$13)))</f>
        <v>0</v>
      </c>
      <c r="BR215" s="171">
        <f ca="1">IF(OR($D215&lt;&gt;"Serviço",AND(AUTOEVENTO="Manual",$M215=$A$15)),0,
         IF(OFFSET(CRONOPLE!$F$15,$M215-$A$15,BR$13)=0,10^12,OFFSET(CRONOPLE!$F$15,$M215-$A$15,BR$13)))</f>
        <v>0</v>
      </c>
      <c r="BS215" s="171">
        <f ca="1">IF(OR($D215&lt;&gt;"Serviço",AND(AUTOEVENTO="Manual",$M215=$A$15)),0,
         IF(OFFSET(CRONOPLE!$F$15,$M215-$A$15,BS$13)=0,10^12,OFFSET(CRONOPLE!$F$15,$M215-$A$15,BS$13)))</f>
        <v>0</v>
      </c>
      <c r="BT215" s="171">
        <f ca="1">IF(OR($D215&lt;&gt;"Serviço",AND(AUTOEVENTO="Manual",$M215=$A$15)),0,
         IF(OFFSET(CRONOPLE!$F$15,$M215-$A$15,BT$13)=0,10^12,OFFSET(CRONOPLE!$F$15,$M215-$A$15,BT$13)))</f>
        <v>0</v>
      </c>
      <c r="BV215" s="172">
        <f t="array" aca="1" ref="BV215" ca="1">IF(OR($D215&lt;&gt;"Serviço",AND(AUTOEVENTO="Manual",$M215=$A$15),$M215&gt;(ROW(PLE.lastrow)-ROW(PLE.firstrow))),0,
           IF(OFFSET(PLE!$G$15,$M215-$A$15,BV$13)="",10^12,OFFSET(PLE!$G$15,$M215-$A$15,BV$13)))</f>
        <v>0</v>
      </c>
      <c r="BW215" s="172">
        <f t="array" aca="1" ref="BW215" ca="1">IF(OR($D215&lt;&gt;"Serviço",AND(AUTOEVENTO="Manual",$M215=$A$15),$M215&gt;(ROW(PLE.lastrow)-ROW(PLE.firstrow))),0,
           IF(OFFSET(PLE!$G$15,$M215-$A$15,BW$13)="",10^12,OFFSET(PLE!$G$15,$M215-$A$15,BW$13)))</f>
        <v>0</v>
      </c>
      <c r="BX215" s="172">
        <f t="array" aca="1" ref="BX215" ca="1">IF(OR($D215&lt;&gt;"Serviço",AND(AUTOEVENTO="Manual",$M215=$A$15),$M215&gt;(ROW(PLE.lastrow)-ROW(PLE.firstrow))),0,
           IF(OFFSET(PLE!$G$15,$M215-$A$15,BX$13)="",10^12,OFFSET(PLE!$G$15,$M215-$A$15,BX$13)))</f>
        <v>0</v>
      </c>
      <c r="BY215" s="172">
        <f t="array" aca="1" ref="BY215" ca="1">IF(OR($D215&lt;&gt;"Serviço",AND(AUTOEVENTO="Manual",$M215=$A$15),$M215&gt;(ROW(PLE.lastrow)-ROW(PLE.firstrow))),0,
           IF(OFFSET(PLE!$G$15,$M215-$A$15,BY$13)="",10^12,OFFSET(PLE!$G$15,$M215-$A$15,BY$13)))</f>
        <v>0</v>
      </c>
      <c r="BZ215" s="172">
        <f t="array" aca="1" ref="BZ215" ca="1">IF(OR($D215&lt;&gt;"Serviço",AND(AUTOEVENTO="Manual",$M215=$A$15),$M215&gt;(ROW(PLE.lastrow)-ROW(PLE.firstrow))),0,
           IF(OFFSET(PLE!$G$15,$M215-$A$15,BZ$13)="",10^12,OFFSET(PLE!$G$15,$M215-$A$15,BZ$13)))</f>
        <v>0</v>
      </c>
      <c r="CA215" s="172">
        <f t="array" aca="1" ref="CA215" ca="1">IF(OR($D215&lt;&gt;"Serviço",AND(AUTOEVENTO="Manual",$M215=$A$15),$M215&gt;(ROW(PLE.lastrow)-ROW(PLE.firstrow))),0,
           IF(OFFSET(PLE!$G$15,$M215-$A$15,CA$13)="",10^12,OFFSET(PLE!$G$15,$M215-$A$15,CA$13)))</f>
        <v>0</v>
      </c>
      <c r="CB215" s="172">
        <f t="array" aca="1" ref="CB215" ca="1">IF(OR($D215&lt;&gt;"Serviço",AND(AUTOEVENTO="Manual",$M215=$A$15),$M215&gt;(ROW(PLE.lastrow)-ROW(PLE.firstrow))),0,
           IF(OFFSET(PLE!$G$15,$M215-$A$15,CB$13)="",10^12,OFFSET(PLE!$G$15,$M215-$A$15,CB$13)))</f>
        <v>0</v>
      </c>
      <c r="CC215" s="172">
        <f t="array" aca="1" ref="CC215" ca="1">IF(OR($D215&lt;&gt;"Serviço",AND(AUTOEVENTO="Manual",$M215=$A$15),$M215&gt;(ROW(PLE.lastrow)-ROW(PLE.firstrow))),0,
           IF(OFFSET(PLE!$G$15,$M215-$A$15,CC$13)="",10^12,OFFSET(PLE!$G$15,$M215-$A$15,CC$13)))</f>
        <v>0</v>
      </c>
      <c r="CD215" s="172">
        <f t="array" aca="1" ref="CD215" ca="1">IF(OR($D215&lt;&gt;"Serviço",AND(AUTOEVENTO="Manual",$M215=$A$15),$M215&gt;(ROW(PLE.lastrow)-ROW(PLE.firstrow))),0,
           IF(OFFSET(PLE!$G$15,$M215-$A$15,CD$13)="",10^12,OFFSET(PLE!$G$15,$M215-$A$15,CD$13)))</f>
        <v>0</v>
      </c>
      <c r="CE215" s="172">
        <f t="array" aca="1" ref="CE215" ca="1">IF(OR($D215&lt;&gt;"Serviço",AND(AUTOEVENTO="Manual",$M215=$A$15),$M215&gt;(ROW(PLE.lastrow)-ROW(PLE.firstrow))),0,
           IF(OFFSET(PLE!$G$15,$M215-$A$15,CE$13)="",10^12,OFFSET(PLE!$G$15,$M215-$A$15,CE$13)))</f>
        <v>0</v>
      </c>
      <c r="CF215" s="172">
        <f t="array" aca="1" ref="CF215" ca="1">IF(OR($D215&lt;&gt;"Serviço",AND(AUTOEVENTO="Manual",$M215=$A$15),$M215&gt;(ROW(PLE.lastrow)-ROW(PLE.firstrow))),0,
           IF(OFFSET(PLE!$G$15,$M215-$A$15,CF$13)="",10^12,OFFSET(PLE!$G$15,$M215-$A$15,CF$13)))</f>
        <v>0</v>
      </c>
      <c r="CG215" s="172">
        <f t="array" aca="1" ref="CG215" ca="1">IF(OR($D215&lt;&gt;"Serviço",AND(AUTOEVENTO="Manual",$M215=$A$15),$M215&gt;(ROW(PLE.lastrow)-ROW(PLE.firstrow))),0,
           IF(OFFSET(PLE!$G$15,$M215-$A$15,CG$13)="",10^12,OFFSET(PLE!$G$15,$M215-$A$15,CG$13)))</f>
        <v>0</v>
      </c>
      <c r="CH215" s="172">
        <f t="array" aca="1" ref="CH215" ca="1">IF(OR($D215&lt;&gt;"Serviço",AND(AUTOEVENTO="Manual",$M215=$A$15),$M215&gt;(ROW(PLE.lastrow)-ROW(PLE.firstrow))),0,
           IF(OFFSET(PLE!$G$15,$M215-$A$15,CH$13)="",10^12,OFFSET(PLE!$G$15,$M215-$A$15,CH$13)))</f>
        <v>0</v>
      </c>
      <c r="CI215" s="172">
        <f t="array" aca="1" ref="CI215" ca="1">IF(OR($D215&lt;&gt;"Serviço",AND(AUTOEVENTO="Manual",$M215=$A$15),$M215&gt;(ROW(PLE.lastrow)-ROW(PLE.firstrow))),0,
           IF(OFFSET(PLE!$G$15,$M215-$A$15,CI$13)="",10^12,OFFSET(PLE!$G$15,$M215-$A$15,CI$13)))</f>
        <v>0</v>
      </c>
      <c r="CJ215" s="172">
        <f t="array" aca="1" ref="CJ215" ca="1">IF(OR($D215&lt;&gt;"Serviço",AND(AUTOEVENTO="Manual",$M215=$A$15),$M215&gt;(ROW(PLE.lastrow)-ROW(PLE.firstrow))),0,
           IF(OFFSET(PLE!$G$15,$M215-$A$15,CJ$13)="",10^12,OFFSET(PLE!$G$15,$M215-$A$15,CJ$13)))</f>
        <v>0</v>
      </c>
      <c r="CK215" s="172">
        <f t="array" aca="1" ref="CK215" ca="1">IF(OR($D215&lt;&gt;"Serviço",AND(AUTOEVENTO="Manual",$M215=$A$15),$M215&gt;(ROW(PLE.lastrow)-ROW(PLE.firstrow))),0,
           IF(OFFSET(PLE!$G$15,$M215-$A$15,CK$13)="",10^12,OFFSET(PLE!$G$15,$M215-$A$15,CK$13)))</f>
        <v>0</v>
      </c>
      <c r="CL215" s="172">
        <f t="array" aca="1" ref="CL215" ca="1">IF(OR($D215&lt;&gt;"Serviço",AND(AUTOEVENTO="Manual",$M215=$A$15),$M215&gt;(ROW(PLE.lastrow)-ROW(PLE.firstrow))),0,
           IF(OFFSET(PLE!$G$15,$M215-$A$15,CL$13)="",10^12,OFFSET(PLE!$G$15,$M215-$A$15,CL$13)))</f>
        <v>0</v>
      </c>
      <c r="CM215" s="172">
        <f t="array" aca="1" ref="CM215" ca="1">IF(OR($D215&lt;&gt;"Serviço",AND(AUTOEVENTO="Manual",$M215=$A$15),$M215&gt;(ROW(PLE.lastrow)-ROW(PLE.firstrow))),0,
           IF(OFFSET(PLE!$G$15,$M215-$A$15,CM$13)="",10^12,OFFSET(PLE!$G$15,$M215-$A$15,CM$13)))</f>
        <v>0</v>
      </c>
    </row>
    <row r="216" spans="1:91" s="696" customFormat="1" ht="51" x14ac:dyDescent="0.2">
      <c r="A216" s="694">
        <f t="shared" ca="1" si="98"/>
        <v>33</v>
      </c>
      <c r="B216" s="694" t="str">
        <f ca="1">OFFSET(ORÇAMENTO!C$15,$L216,0)</f>
        <v>S</v>
      </c>
      <c r="C216" s="694" t="str">
        <f ca="1">OFFSET(ORÇAMENTO!L$15,$L216,0)</f>
        <v>F</v>
      </c>
      <c r="D216" s="116" t="str">
        <f ca="1">OFFSET(ORÇAMENTO!N$15,$L216,0)</f>
        <v>Serviço</v>
      </c>
      <c r="E216" s="117" t="str">
        <f ca="1">OFFSET(ORÇAMENTO!O$15,$L216,0)</f>
        <v>1.32.1.</v>
      </c>
      <c r="F216" s="163" t="str">
        <f ca="1">OFFSET(ORÇAMENTO!R$15,$L216,0)</f>
        <v>VASO SANITÁRIO SIFONADO COM CAIXA ACOPLADA LOUÇA BRANCA, INCLUSO ENGATE FLEXÍVEL EM PLÁSTICO BRANCO, 1/2 X 40CM - FORNECIMENTO E INSTALAÇÃO. AF_01/2020</v>
      </c>
      <c r="G216" s="164" t="str">
        <f ca="1">IF($D216&lt;&gt;"Serviço","",OFFSET(ORÇAMENTO!S$15,$L216,0))</f>
        <v>UN</v>
      </c>
      <c r="H216" s="122">
        <f t="array" aca="1" ref="H216" ca="1">IF($D216&lt;&gt;"Serviço",0,IF(ACOMPANHAMENTO="BM",ROUND(OFFSET(ORÇAMENTO!AJ$15,$L216,0),15-13*ORÇAMENTO!$AF$7),IF(IFERROR(CÁLCULO.FrentesPreenchidas,0)=0,0,SUM(ROUND(OFFSET($P216,0,1,1,CÁLCULO.FrentesPreenchidas),15-13*ORÇAMENTO!$AF$7)))))</f>
        <v>20</v>
      </c>
      <c r="I216" s="467" t="s">
        <v>1340</v>
      </c>
      <c r="J216" s="653" t="str">
        <f t="array" aca="1" ref="J216" ca="1">IF(OR(B216&lt;&gt;"S",CÁLCULO.FrentesPreenchidas=0),"",IF(AND(ACOMPANHAMENTO="PLE",AUTOEVENTO="Manual",OR(H216&gt;0,ORÇAMENTO!AC216="QUANT."),OR(K216="",M216=0,N216="")),"►E",IF(AND(ACOMPANHAMENTO="PLE",ORÇAMENTO!AC216="QUANT."),"►Q",IF(AND(ACOMPANHAMENTO="PLE",H216&lt;&gt;SUMPRODUCT(($Q$1:$AI$1=1)*ROUND(Q216:AI216,15))),"►S",IF(AND(COUNTIF($P$11:$AI$11,"▼")=0,H216&gt;0,I216=""),"◄M","")))))</f>
        <v/>
      </c>
      <c r="K216" s="654" t="s">
        <v>1448</v>
      </c>
      <c r="L216" s="165">
        <f t="shared" ca="1" si="99"/>
        <v>201</v>
      </c>
      <c r="M216" s="166">
        <f ca="1">IF($D216&lt;&gt;"Serviço","",
          IF(AUTOEVENTO="manual",$A216,
                IF(ISERROR(MATCH($A216,$A$15:OFFSET($A216,-1,0),0)),MAX($M$15:OFFSET(M216,-1,0))+1,
                      INDEX($M$15:OFFSET(M216,-1,0),MATCH($A216,$A$15:OFFSET($A216,-1,0),0)))))</f>
        <v>33</v>
      </c>
      <c r="N216" s="167" t="str">
        <f ca="1">IF($D216&lt;&gt;"Serviço","",
         IF(AUTOEVENTO="Manual",
                IF($A216=0,"&lt;-- defina o número do agrupador",
                       OFFSET(EVENTOS!$D$15,$A216-$A$15,0)),
                OFFSET($F$15,$A216,0)))</f>
        <v>LOUÇAS</v>
      </c>
      <c r="O216" s="168"/>
      <c r="Q216" s="169">
        <v>5</v>
      </c>
      <c r="R216" s="169">
        <v>5</v>
      </c>
      <c r="S216" s="169">
        <v>5</v>
      </c>
      <c r="T216" s="169">
        <v>5</v>
      </c>
      <c r="U216" s="169"/>
      <c r="V216" s="169"/>
      <c r="W216" s="169"/>
      <c r="X216" s="169"/>
      <c r="Y216" s="169"/>
      <c r="Z216" s="170"/>
      <c r="AA216" s="169"/>
      <c r="AB216" s="169"/>
      <c r="AC216" s="169"/>
      <c r="AD216" s="169"/>
      <c r="AE216" s="169"/>
      <c r="AF216" s="169"/>
      <c r="AG216" s="169"/>
      <c r="AH216" s="170"/>
      <c r="AJ216" s="452">
        <f ca="1">IF(AND($D216="Serviço",AJ$12&lt;&gt;0,$H216&gt;0,OR(AUTOEVENTO&lt;&gt;"manual",$M216&lt;&gt;$A$15)),
        IF(Import.TipoArredondamento&lt;&gt;"TransfereGOV",
              ROUND(OFFSET($P216,0,AJ$13),15-13*ORÇAMENTO!$AF$7)/$H216*OFFSET(ORÇAMENTO!$X$15,ROW(AJ216)-ROW(AJ$15),0),
              ROUND(ROUND(OFFSET($P216,0,AJ$13),15-13*ORÇAMENTO!$AF$7)*OFFSET(ORÇAMENTO!$W$15,ROW(AJ216)-ROW(AJ$15),0),15-13*ORÇAMENTO!$AF$11)),
         0)</f>
        <v>3203.85</v>
      </c>
      <c r="AK216" s="452">
        <f ca="1">IF(AND($D216="Serviço",AK$12&lt;&gt;0,$H216&gt;0,OR(AUTOEVENTO&lt;&gt;"manual",$M216&lt;&gt;$A$15)),
        IF(Import.TipoArredondamento&lt;&gt;"TransfereGOV",
              ROUND(OFFSET($P216,0,AK$13),15-13*ORÇAMENTO!$AF$7)/$H216*OFFSET(ORÇAMENTO!$X$15,ROW(AK216)-ROW(AK$15),0),
              ROUND(ROUND(OFFSET($P216,0,AK$13),15-13*ORÇAMENTO!$AF$7)*OFFSET(ORÇAMENTO!$W$15,ROW(AK216)-ROW(AK$15),0),15-13*ORÇAMENTO!$AF$11)),
         0)</f>
        <v>3203.85</v>
      </c>
      <c r="AL216" s="452">
        <f ca="1">IF(AND($D216="Serviço",AL$12&lt;&gt;0,$H216&gt;0,OR(AUTOEVENTO&lt;&gt;"manual",$M216&lt;&gt;$A$15)),
        IF(Import.TipoArredondamento&lt;&gt;"TransfereGOV",
              ROUND(OFFSET($P216,0,AL$13),15-13*ORÇAMENTO!$AF$7)/$H216*OFFSET(ORÇAMENTO!$X$15,ROW(AL216)-ROW(AL$15),0),
              ROUND(ROUND(OFFSET($P216,0,AL$13),15-13*ORÇAMENTO!$AF$7)*OFFSET(ORÇAMENTO!$W$15,ROW(AL216)-ROW(AL$15),0),15-13*ORÇAMENTO!$AF$11)),
         0)</f>
        <v>3203.85</v>
      </c>
      <c r="AM216" s="452">
        <f ca="1">IF(AND($D216="Serviço",AM$12&lt;&gt;0,$H216&gt;0,OR(AUTOEVENTO&lt;&gt;"manual",$M216&lt;&gt;$A$15)),
        IF(Import.TipoArredondamento&lt;&gt;"TransfereGOV",
              ROUND(OFFSET($P216,0,AM$13),15-13*ORÇAMENTO!$AF$7)/$H216*OFFSET(ORÇAMENTO!$X$15,ROW(AM216)-ROW(AM$15),0),
              ROUND(ROUND(OFFSET($P216,0,AM$13),15-13*ORÇAMENTO!$AF$7)*OFFSET(ORÇAMENTO!$W$15,ROW(AM216)-ROW(AM$15),0),15-13*ORÇAMENTO!$AF$11)),
         0)</f>
        <v>3203.85</v>
      </c>
      <c r="AN216" s="452">
        <f ca="1">IF(AND($D216="Serviço",AN$12&lt;&gt;0,$H216&gt;0,OR(AUTOEVENTO&lt;&gt;"manual",$M216&lt;&gt;$A$15)),
        IF(Import.TipoArredondamento&lt;&gt;"TransfereGOV",
              ROUND(OFFSET($P216,0,AN$13),15-13*ORÇAMENTO!$AF$7)/$H216*OFFSET(ORÇAMENTO!$X$15,ROW(AN216)-ROW(AN$15),0),
              ROUND(ROUND(OFFSET($P216,0,AN$13),15-13*ORÇAMENTO!$AF$7)*OFFSET(ORÇAMENTO!$W$15,ROW(AN216)-ROW(AN$15),0),15-13*ORÇAMENTO!$AF$11)),
         0)</f>
        <v>0</v>
      </c>
      <c r="AO216" s="452">
        <f ca="1">IF(AND($D216="Serviço",AO$12&lt;&gt;0,$H216&gt;0,OR(AUTOEVENTO&lt;&gt;"manual",$M216&lt;&gt;$A$15)),
        IF(Import.TipoArredondamento&lt;&gt;"TransfereGOV",
              ROUND(OFFSET($P216,0,AO$13),15-13*ORÇAMENTO!$AF$7)/$H216*OFFSET(ORÇAMENTO!$X$15,ROW(AO216)-ROW(AO$15),0),
              ROUND(ROUND(OFFSET($P216,0,AO$13),15-13*ORÇAMENTO!$AF$7)*OFFSET(ORÇAMENTO!$W$15,ROW(AO216)-ROW(AO$15),0),15-13*ORÇAMENTO!$AF$11)),
         0)</f>
        <v>0</v>
      </c>
      <c r="AP216" s="452">
        <f ca="1">IF(AND($D216="Serviço",AP$12&lt;&gt;0,$H216&gt;0,OR(AUTOEVENTO&lt;&gt;"manual",$M216&lt;&gt;$A$15)),
        IF(Import.TipoArredondamento&lt;&gt;"TransfereGOV",
              ROUND(OFFSET($P216,0,AP$13),15-13*ORÇAMENTO!$AF$7)/$H216*OFFSET(ORÇAMENTO!$X$15,ROW(AP216)-ROW(AP$15),0),
              ROUND(ROUND(OFFSET($P216,0,AP$13),15-13*ORÇAMENTO!$AF$7)*OFFSET(ORÇAMENTO!$W$15,ROW(AP216)-ROW(AP$15),0),15-13*ORÇAMENTO!$AF$11)),
         0)</f>
        <v>0</v>
      </c>
      <c r="AQ216" s="452">
        <f ca="1">IF(AND($D216="Serviço",AQ$12&lt;&gt;0,$H216&gt;0,OR(AUTOEVENTO&lt;&gt;"manual",$M216&lt;&gt;$A$15)),
        IF(Import.TipoArredondamento&lt;&gt;"TransfereGOV",
              ROUND(OFFSET($P216,0,AQ$13),15-13*ORÇAMENTO!$AF$7)/$H216*OFFSET(ORÇAMENTO!$X$15,ROW(AQ216)-ROW(AQ$15),0),
              ROUND(ROUND(OFFSET($P216,0,AQ$13),15-13*ORÇAMENTO!$AF$7)*OFFSET(ORÇAMENTO!$W$15,ROW(AQ216)-ROW(AQ$15),0),15-13*ORÇAMENTO!$AF$11)),
         0)</f>
        <v>0</v>
      </c>
      <c r="AR216" s="452">
        <f ca="1">IF(AND($D216="Serviço",AR$12&lt;&gt;0,$H216&gt;0,OR(AUTOEVENTO&lt;&gt;"manual",$M216&lt;&gt;$A$15)),
        IF(Import.TipoArredondamento&lt;&gt;"TransfereGOV",
              ROUND(OFFSET($P216,0,AR$13),15-13*ORÇAMENTO!$AF$7)/$H216*OFFSET(ORÇAMENTO!$X$15,ROW(AR216)-ROW(AR$15),0),
              ROUND(ROUND(OFFSET($P216,0,AR$13),15-13*ORÇAMENTO!$AF$7)*OFFSET(ORÇAMENTO!$W$15,ROW(AR216)-ROW(AR$15),0),15-13*ORÇAMENTO!$AF$11)),
         0)</f>
        <v>0</v>
      </c>
      <c r="AS216" s="452">
        <f ca="1">IF(AND($D216="Serviço",AS$12&lt;&gt;0,$H216&gt;0,OR(AUTOEVENTO&lt;&gt;"manual",$M216&lt;&gt;$A$15)),
        IF(Import.TipoArredondamento&lt;&gt;"TransfereGOV",
              ROUND(OFFSET($P216,0,AS$13),15-13*ORÇAMENTO!$AF$7)/$H216*OFFSET(ORÇAMENTO!$X$15,ROW(AS216)-ROW(AS$15),0),
              ROUND(ROUND(OFFSET($P216,0,AS$13),15-13*ORÇAMENTO!$AF$7)*OFFSET(ORÇAMENTO!$W$15,ROW(AS216)-ROW(AS$15),0),15-13*ORÇAMENTO!$AF$11)),
         0)</f>
        <v>0</v>
      </c>
      <c r="AT216" s="452">
        <f ca="1">IF(AND($D216="Serviço",AT$12&lt;&gt;0,$H216&gt;0,OR(AUTOEVENTO&lt;&gt;"manual",$M216&lt;&gt;$A$15)),
        IF(Import.TipoArredondamento&lt;&gt;"TransfereGOV",
              ROUND(OFFSET($P216,0,AT$13),15-13*ORÇAMENTO!$AF$7)/$H216*OFFSET(ORÇAMENTO!$X$15,ROW(AT216)-ROW(AT$15),0),
              ROUND(ROUND(OFFSET($P216,0,AT$13),15-13*ORÇAMENTO!$AF$7)*OFFSET(ORÇAMENTO!$W$15,ROW(AT216)-ROW(AT$15),0),15-13*ORÇAMENTO!$AF$11)),
         0)</f>
        <v>0</v>
      </c>
      <c r="AU216" s="452">
        <f ca="1">IF(AND($D216="Serviço",AU$12&lt;&gt;0,$H216&gt;0,OR(AUTOEVENTO&lt;&gt;"manual",$M216&lt;&gt;$A$15)),
        IF(Import.TipoArredondamento&lt;&gt;"TransfereGOV",
              ROUND(OFFSET($P216,0,AU$13),15-13*ORÇAMENTO!$AF$7)/$H216*OFFSET(ORÇAMENTO!$X$15,ROW(AU216)-ROW(AU$15),0),
              ROUND(ROUND(OFFSET($P216,0,AU$13),15-13*ORÇAMENTO!$AF$7)*OFFSET(ORÇAMENTO!$W$15,ROW(AU216)-ROW(AU$15),0),15-13*ORÇAMENTO!$AF$11)),
         0)</f>
        <v>0</v>
      </c>
      <c r="AV216" s="452">
        <f ca="1">IF(AND($D216="Serviço",AV$12&lt;&gt;0,$H216&gt;0,OR(AUTOEVENTO&lt;&gt;"manual",$M216&lt;&gt;$A$15)),
        IF(Import.TipoArredondamento&lt;&gt;"TransfereGOV",
              ROUND(OFFSET($P216,0,AV$13),15-13*ORÇAMENTO!$AF$7)/$H216*OFFSET(ORÇAMENTO!$X$15,ROW(AV216)-ROW(AV$15),0),
              ROUND(ROUND(OFFSET($P216,0,AV$13),15-13*ORÇAMENTO!$AF$7)*OFFSET(ORÇAMENTO!$W$15,ROW(AV216)-ROW(AV$15),0),15-13*ORÇAMENTO!$AF$11)),
         0)</f>
        <v>0</v>
      </c>
      <c r="AW216" s="452">
        <f ca="1">IF(AND($D216="Serviço",AW$12&lt;&gt;0,$H216&gt;0,OR(AUTOEVENTO&lt;&gt;"manual",$M216&lt;&gt;$A$15)),
        IF(Import.TipoArredondamento&lt;&gt;"TransfereGOV",
              ROUND(OFFSET($P216,0,AW$13),15-13*ORÇAMENTO!$AF$7)/$H216*OFFSET(ORÇAMENTO!$X$15,ROW(AW216)-ROW(AW$15),0),
              ROUND(ROUND(OFFSET($P216,0,AW$13),15-13*ORÇAMENTO!$AF$7)*OFFSET(ORÇAMENTO!$W$15,ROW(AW216)-ROW(AW$15),0),15-13*ORÇAMENTO!$AF$11)),
         0)</f>
        <v>0</v>
      </c>
      <c r="AX216" s="452">
        <f ca="1">IF(AND($D216="Serviço",AX$12&lt;&gt;0,$H216&gt;0,OR(AUTOEVENTO&lt;&gt;"manual",$M216&lt;&gt;$A$15)),
        IF(Import.TipoArredondamento&lt;&gt;"TransfereGOV",
              ROUND(OFFSET($P216,0,AX$13),15-13*ORÇAMENTO!$AF$7)/$H216*OFFSET(ORÇAMENTO!$X$15,ROW(AX216)-ROW(AX$15),0),
              ROUND(ROUND(OFFSET($P216,0,AX$13),15-13*ORÇAMENTO!$AF$7)*OFFSET(ORÇAMENTO!$W$15,ROW(AX216)-ROW(AX$15),0),15-13*ORÇAMENTO!$AF$11)),
         0)</f>
        <v>0</v>
      </c>
      <c r="AY216" s="452">
        <f ca="1">IF(AND($D216="Serviço",AY$12&lt;&gt;0,$H216&gt;0,OR(AUTOEVENTO&lt;&gt;"manual",$M216&lt;&gt;$A$15)),
        IF(Import.TipoArredondamento&lt;&gt;"TransfereGOV",
              ROUND(OFFSET($P216,0,AY$13),15-13*ORÇAMENTO!$AF$7)/$H216*OFFSET(ORÇAMENTO!$X$15,ROW(AY216)-ROW(AY$15),0),
              ROUND(ROUND(OFFSET($P216,0,AY$13),15-13*ORÇAMENTO!$AF$7)*OFFSET(ORÇAMENTO!$W$15,ROW(AY216)-ROW(AY$15),0),15-13*ORÇAMENTO!$AF$11)),
         0)</f>
        <v>0</v>
      </c>
      <c r="AZ216" s="452">
        <f ca="1">IF(AND($D216="Serviço",AZ$12&lt;&gt;0,$H216&gt;0,OR(AUTOEVENTO&lt;&gt;"manual",$M216&lt;&gt;$A$15)),
        IF(Import.TipoArredondamento&lt;&gt;"TransfereGOV",
              ROUND(OFFSET($P216,0,AZ$13),15-13*ORÇAMENTO!$AF$7)/$H216*OFFSET(ORÇAMENTO!$X$15,ROW(AZ216)-ROW(AZ$15),0),
              ROUND(ROUND(OFFSET($P216,0,AZ$13),15-13*ORÇAMENTO!$AF$7)*OFFSET(ORÇAMENTO!$W$15,ROW(AZ216)-ROW(AZ$15),0),15-13*ORÇAMENTO!$AF$11)),
         0)</f>
        <v>0</v>
      </c>
      <c r="BA216" s="452">
        <f ca="1">IF(AND($D216="Serviço",BA$12&lt;&gt;0,$H216&gt;0,OR(AUTOEVENTO&lt;&gt;"manual",$M216&lt;&gt;$A$15)),
        IF(Import.TipoArredondamento&lt;&gt;"TransfereGOV",
              ROUND(OFFSET($P216,0,BA$13),15-13*ORÇAMENTO!$AF$7)/$H216*OFFSET(ORÇAMENTO!$X$15,ROW(BA216)-ROW(BA$15),0),
              ROUND(ROUND(OFFSET($P216,0,BA$13),15-13*ORÇAMENTO!$AF$7)*OFFSET(ORÇAMENTO!$W$15,ROW(BA216)-ROW(BA$15),0),15-13*ORÇAMENTO!$AF$11)),
         0)</f>
        <v>0</v>
      </c>
      <c r="BC216" s="171">
        <f ca="1">IF(OR($D216&lt;&gt;"Serviço",AND(AUTOEVENTO="Manual",$M216=$A$15)),0,
         IF(OFFSET(CRONOPLE!$F$15,$M216-$A$15,BC$13)=0,10^12,OFFSET(CRONOPLE!$F$15,$M216-$A$15,BC$13)))</f>
        <v>9</v>
      </c>
      <c r="BD216" s="171">
        <f ca="1">IF(OR($D216&lt;&gt;"Serviço",AND(AUTOEVENTO="Manual",$M216=$A$15)),0,
         IF(OFFSET(CRONOPLE!$F$15,$M216-$A$15,BD$13)=0,10^12,OFFSET(CRONOPLE!$F$15,$M216-$A$15,BD$13)))</f>
        <v>9</v>
      </c>
      <c r="BE216" s="171">
        <f ca="1">IF(OR($D216&lt;&gt;"Serviço",AND(AUTOEVENTO="Manual",$M216=$A$15)),0,
         IF(OFFSET(CRONOPLE!$F$15,$M216-$A$15,BE$13)=0,10^12,OFFSET(CRONOPLE!$F$15,$M216-$A$15,BE$13)))</f>
        <v>9</v>
      </c>
      <c r="BF216" s="171">
        <f ca="1">IF(OR($D216&lt;&gt;"Serviço",AND(AUTOEVENTO="Manual",$M216=$A$15)),0,
         IF(OFFSET(CRONOPLE!$F$15,$M216-$A$15,BF$13)=0,10^12,OFFSET(CRONOPLE!$F$15,$M216-$A$15,BF$13)))</f>
        <v>9</v>
      </c>
      <c r="BG216" s="171">
        <f ca="1">IF(OR($D216&lt;&gt;"Serviço",AND(AUTOEVENTO="Manual",$M216=$A$15)),0,
         IF(OFFSET(CRONOPLE!$F$15,$M216-$A$15,BG$13)=0,10^12,OFFSET(CRONOPLE!$F$15,$M216-$A$15,BG$13)))</f>
        <v>9</v>
      </c>
      <c r="BH216" s="171">
        <f ca="1">IF(OR($D216&lt;&gt;"Serviço",AND(AUTOEVENTO="Manual",$M216=$A$15)),0,
         IF(OFFSET(CRONOPLE!$F$15,$M216-$A$15,BH$13)=0,10^12,OFFSET(CRONOPLE!$F$15,$M216-$A$15,BH$13)))</f>
        <v>1000000000000</v>
      </c>
      <c r="BI216" s="171">
        <f ca="1">IF(OR($D216&lt;&gt;"Serviço",AND(AUTOEVENTO="Manual",$M216=$A$15)),0,
         IF(OFFSET(CRONOPLE!$F$15,$M216-$A$15,BI$13)=0,10^12,OFFSET(CRONOPLE!$F$15,$M216-$A$15,BI$13)))</f>
        <v>1000000000000</v>
      </c>
      <c r="BJ216" s="171">
        <f ca="1">IF(OR($D216&lt;&gt;"Serviço",AND(AUTOEVENTO="Manual",$M216=$A$15)),0,
         IF(OFFSET(CRONOPLE!$F$15,$M216-$A$15,BJ$13)=0,10^12,OFFSET(CRONOPLE!$F$15,$M216-$A$15,BJ$13)))</f>
        <v>1000000000000</v>
      </c>
      <c r="BK216" s="171">
        <f ca="1">IF(OR($D216&lt;&gt;"Serviço",AND(AUTOEVENTO="Manual",$M216=$A$15)),0,
         IF(OFFSET(CRONOPLE!$F$15,$M216-$A$15,BK$13)=0,10^12,OFFSET(CRONOPLE!$F$15,$M216-$A$15,BK$13)))</f>
        <v>9</v>
      </c>
      <c r="BL216" s="171">
        <f ca="1">IF(OR($D216&lt;&gt;"Serviço",AND(AUTOEVENTO="Manual",$M216=$A$15)),0,
         IF(OFFSET(CRONOPLE!$F$15,$M216-$A$15,BL$13)=0,10^12,OFFSET(CRONOPLE!$F$15,$M216-$A$15,BL$13)))</f>
        <v>1000000000000</v>
      </c>
      <c r="BM216" s="171">
        <f ca="1">IF(OR($D216&lt;&gt;"Serviço",AND(AUTOEVENTO="Manual",$M216=$A$15)),0,
         IF(OFFSET(CRONOPLE!$F$15,$M216-$A$15,BM$13)=0,10^12,OFFSET(CRONOPLE!$F$15,$M216-$A$15,BM$13)))</f>
        <v>1000000000000</v>
      </c>
      <c r="BN216" s="171">
        <f ca="1">IF(OR($D216&lt;&gt;"Serviço",AND(AUTOEVENTO="Manual",$M216=$A$15)),0,
         IF(OFFSET(CRONOPLE!$F$15,$M216-$A$15,BN$13)=0,10^12,OFFSET(CRONOPLE!$F$15,$M216-$A$15,BN$13)))</f>
        <v>1000000000000</v>
      </c>
      <c r="BO216" s="171">
        <f ca="1">IF(OR($D216&lt;&gt;"Serviço",AND(AUTOEVENTO="Manual",$M216=$A$15)),0,
         IF(OFFSET(CRONOPLE!$F$15,$M216-$A$15,BO$13)=0,10^12,OFFSET(CRONOPLE!$F$15,$M216-$A$15,BO$13)))</f>
        <v>1000000000000</v>
      </c>
      <c r="BP216" s="171">
        <f ca="1">IF(OR($D216&lt;&gt;"Serviço",AND(AUTOEVENTO="Manual",$M216=$A$15)),0,
         IF(OFFSET(CRONOPLE!$F$15,$M216-$A$15,BP$13)=0,10^12,OFFSET(CRONOPLE!$F$15,$M216-$A$15,BP$13)))</f>
        <v>1000000000000</v>
      </c>
      <c r="BQ216" s="171">
        <f ca="1">IF(OR($D216&lt;&gt;"Serviço",AND(AUTOEVENTO="Manual",$M216=$A$15)),0,
         IF(OFFSET(CRONOPLE!$F$15,$M216-$A$15,BQ$13)=0,10^12,OFFSET(CRONOPLE!$F$15,$M216-$A$15,BQ$13)))</f>
        <v>1000000000000</v>
      </c>
      <c r="BR216" s="171">
        <f ca="1">IF(OR($D216&lt;&gt;"Serviço",AND(AUTOEVENTO="Manual",$M216=$A$15)),0,
         IF(OFFSET(CRONOPLE!$F$15,$M216-$A$15,BR$13)=0,10^12,OFFSET(CRONOPLE!$F$15,$M216-$A$15,BR$13)))</f>
        <v>1000000000000</v>
      </c>
      <c r="BS216" s="171">
        <f ca="1">IF(OR($D216&lt;&gt;"Serviço",AND(AUTOEVENTO="Manual",$M216=$A$15)),0,
         IF(OFFSET(CRONOPLE!$F$15,$M216-$A$15,BS$13)=0,10^12,OFFSET(CRONOPLE!$F$15,$M216-$A$15,BS$13)))</f>
        <v>1000000000000</v>
      </c>
      <c r="BT216" s="171">
        <f ca="1">IF(OR($D216&lt;&gt;"Serviço",AND(AUTOEVENTO="Manual",$M216=$A$15)),0,
         IF(OFFSET(CRONOPLE!$F$15,$M216-$A$15,BT$13)=0,10^12,OFFSET(CRONOPLE!$F$15,$M216-$A$15,BT$13)))</f>
        <v>1000000000000</v>
      </c>
      <c r="BV216" s="172">
        <f t="array" aca="1" ref="BV216" ca="1">IF(OR($D216&lt;&gt;"Serviço",AND(AUTOEVENTO="Manual",$M216=$A$15),$M216&gt;(ROW(PLE.lastrow)-ROW(PLE.firstrow))),0,
           IF(OFFSET(PLE!$G$15,$M216-$A$15,BV$13)="",10^12,OFFSET(PLE!$G$15,$M216-$A$15,BV$13)))</f>
        <v>1000000000000</v>
      </c>
      <c r="BW216" s="172">
        <f t="array" aca="1" ref="BW216" ca="1">IF(OR($D216&lt;&gt;"Serviço",AND(AUTOEVENTO="Manual",$M216=$A$15),$M216&gt;(ROW(PLE.lastrow)-ROW(PLE.firstrow))),0,
           IF(OFFSET(PLE!$G$15,$M216-$A$15,BW$13)="",10^12,OFFSET(PLE!$G$15,$M216-$A$15,BW$13)))</f>
        <v>1000000000000</v>
      </c>
      <c r="BX216" s="172">
        <f t="array" aca="1" ref="BX216" ca="1">IF(OR($D216&lt;&gt;"Serviço",AND(AUTOEVENTO="Manual",$M216=$A$15),$M216&gt;(ROW(PLE.lastrow)-ROW(PLE.firstrow))),0,
           IF(OFFSET(PLE!$G$15,$M216-$A$15,BX$13)="",10^12,OFFSET(PLE!$G$15,$M216-$A$15,BX$13)))</f>
        <v>1000000000000</v>
      </c>
      <c r="BY216" s="172">
        <f t="array" aca="1" ref="BY216" ca="1">IF(OR($D216&lt;&gt;"Serviço",AND(AUTOEVENTO="Manual",$M216=$A$15),$M216&gt;(ROW(PLE.lastrow)-ROW(PLE.firstrow))),0,
           IF(OFFSET(PLE!$G$15,$M216-$A$15,BY$13)="",10^12,OFFSET(PLE!$G$15,$M216-$A$15,BY$13)))</f>
        <v>1000000000000</v>
      </c>
      <c r="BZ216" s="172">
        <f t="array" aca="1" ref="BZ216" ca="1">IF(OR($D216&lt;&gt;"Serviço",AND(AUTOEVENTO="Manual",$M216=$A$15),$M216&gt;(ROW(PLE.lastrow)-ROW(PLE.firstrow))),0,
           IF(OFFSET(PLE!$G$15,$M216-$A$15,BZ$13)="",10^12,OFFSET(PLE!$G$15,$M216-$A$15,BZ$13)))</f>
        <v>1000000000000</v>
      </c>
      <c r="CA216" s="172">
        <f t="array" aca="1" ref="CA216" ca="1">IF(OR($D216&lt;&gt;"Serviço",AND(AUTOEVENTO="Manual",$M216=$A$15),$M216&gt;(ROW(PLE.lastrow)-ROW(PLE.firstrow))),0,
           IF(OFFSET(PLE!$G$15,$M216-$A$15,CA$13)="",10^12,OFFSET(PLE!$G$15,$M216-$A$15,CA$13)))</f>
        <v>1000000000000</v>
      </c>
      <c r="CB216" s="172">
        <f t="array" aca="1" ref="CB216" ca="1">IF(OR($D216&lt;&gt;"Serviço",AND(AUTOEVENTO="Manual",$M216=$A$15),$M216&gt;(ROW(PLE.lastrow)-ROW(PLE.firstrow))),0,
           IF(OFFSET(PLE!$G$15,$M216-$A$15,CB$13)="",10^12,OFFSET(PLE!$G$15,$M216-$A$15,CB$13)))</f>
        <v>1000000000000</v>
      </c>
      <c r="CC216" s="172">
        <f t="array" aca="1" ref="CC216" ca="1">IF(OR($D216&lt;&gt;"Serviço",AND(AUTOEVENTO="Manual",$M216=$A$15),$M216&gt;(ROW(PLE.lastrow)-ROW(PLE.firstrow))),0,
           IF(OFFSET(PLE!$G$15,$M216-$A$15,CC$13)="",10^12,OFFSET(PLE!$G$15,$M216-$A$15,CC$13)))</f>
        <v>1000000000000</v>
      </c>
      <c r="CD216" s="172">
        <f t="array" aca="1" ref="CD216" ca="1">IF(OR($D216&lt;&gt;"Serviço",AND(AUTOEVENTO="Manual",$M216=$A$15),$M216&gt;(ROW(PLE.lastrow)-ROW(PLE.firstrow))),0,
           IF(OFFSET(PLE!$G$15,$M216-$A$15,CD$13)="",10^12,OFFSET(PLE!$G$15,$M216-$A$15,CD$13)))</f>
        <v>1000000000000</v>
      </c>
      <c r="CE216" s="172">
        <f t="array" aca="1" ref="CE216" ca="1">IF(OR($D216&lt;&gt;"Serviço",AND(AUTOEVENTO="Manual",$M216=$A$15),$M216&gt;(ROW(PLE.lastrow)-ROW(PLE.firstrow))),0,
           IF(OFFSET(PLE!$G$15,$M216-$A$15,CE$13)="",10^12,OFFSET(PLE!$G$15,$M216-$A$15,CE$13)))</f>
        <v>1000000000000</v>
      </c>
      <c r="CF216" s="172">
        <f t="array" aca="1" ref="CF216" ca="1">IF(OR($D216&lt;&gt;"Serviço",AND(AUTOEVENTO="Manual",$M216=$A$15),$M216&gt;(ROW(PLE.lastrow)-ROW(PLE.firstrow))),0,
           IF(OFFSET(PLE!$G$15,$M216-$A$15,CF$13)="",10^12,OFFSET(PLE!$G$15,$M216-$A$15,CF$13)))</f>
        <v>1000000000000</v>
      </c>
      <c r="CG216" s="172">
        <f t="array" aca="1" ref="CG216" ca="1">IF(OR($D216&lt;&gt;"Serviço",AND(AUTOEVENTO="Manual",$M216=$A$15),$M216&gt;(ROW(PLE.lastrow)-ROW(PLE.firstrow))),0,
           IF(OFFSET(PLE!$G$15,$M216-$A$15,CG$13)="",10^12,OFFSET(PLE!$G$15,$M216-$A$15,CG$13)))</f>
        <v>1000000000000</v>
      </c>
      <c r="CH216" s="172">
        <f t="array" aca="1" ref="CH216" ca="1">IF(OR($D216&lt;&gt;"Serviço",AND(AUTOEVENTO="Manual",$M216=$A$15),$M216&gt;(ROW(PLE.lastrow)-ROW(PLE.firstrow))),0,
           IF(OFFSET(PLE!$G$15,$M216-$A$15,CH$13)="",10^12,OFFSET(PLE!$G$15,$M216-$A$15,CH$13)))</f>
        <v>1000000000000</v>
      </c>
      <c r="CI216" s="172">
        <f t="array" aca="1" ref="CI216" ca="1">IF(OR($D216&lt;&gt;"Serviço",AND(AUTOEVENTO="Manual",$M216=$A$15),$M216&gt;(ROW(PLE.lastrow)-ROW(PLE.firstrow))),0,
           IF(OFFSET(PLE!$G$15,$M216-$A$15,CI$13)="",10^12,OFFSET(PLE!$G$15,$M216-$A$15,CI$13)))</f>
        <v>1000000000000</v>
      </c>
      <c r="CJ216" s="172">
        <f t="array" aca="1" ref="CJ216" ca="1">IF(OR($D216&lt;&gt;"Serviço",AND(AUTOEVENTO="Manual",$M216=$A$15),$M216&gt;(ROW(PLE.lastrow)-ROW(PLE.firstrow))),0,
           IF(OFFSET(PLE!$G$15,$M216-$A$15,CJ$13)="",10^12,OFFSET(PLE!$G$15,$M216-$A$15,CJ$13)))</f>
        <v>1000000000000</v>
      </c>
      <c r="CK216" s="172">
        <f t="array" aca="1" ref="CK216" ca="1">IF(OR($D216&lt;&gt;"Serviço",AND(AUTOEVENTO="Manual",$M216=$A$15),$M216&gt;(ROW(PLE.lastrow)-ROW(PLE.firstrow))),0,
           IF(OFFSET(PLE!$G$15,$M216-$A$15,CK$13)="",10^12,OFFSET(PLE!$G$15,$M216-$A$15,CK$13)))</f>
        <v>1000000000000</v>
      </c>
      <c r="CL216" s="172">
        <f t="array" aca="1" ref="CL216" ca="1">IF(OR($D216&lt;&gt;"Serviço",AND(AUTOEVENTO="Manual",$M216=$A$15),$M216&gt;(ROW(PLE.lastrow)-ROW(PLE.firstrow))),0,
           IF(OFFSET(PLE!$G$15,$M216-$A$15,CL$13)="",10^12,OFFSET(PLE!$G$15,$M216-$A$15,CL$13)))</f>
        <v>1000000000000</v>
      </c>
      <c r="CM216" s="172">
        <f t="array" aca="1" ref="CM216" ca="1">IF(OR($D216&lt;&gt;"Serviço",AND(AUTOEVENTO="Manual",$M216=$A$15),$M216&gt;(ROW(PLE.lastrow)-ROW(PLE.firstrow))),0,
           IF(OFFSET(PLE!$G$15,$M216-$A$15,CM$13)="",10^12,OFFSET(PLE!$G$15,$M216-$A$15,CM$13)))</f>
        <v>1000000000000</v>
      </c>
    </row>
    <row r="217" spans="1:91" s="696" customFormat="1" ht="63.75" x14ac:dyDescent="0.2">
      <c r="A217" s="694">
        <f t="shared" ca="1" si="98"/>
        <v>33</v>
      </c>
      <c r="B217" s="694" t="str">
        <f ca="1">OFFSET(ORÇAMENTO!C$15,$L217,0)</f>
        <v>S</v>
      </c>
      <c r="C217" s="694" t="str">
        <f ca="1">OFFSET(ORÇAMENTO!L$15,$L217,0)</f>
        <v>F</v>
      </c>
      <c r="D217" s="116" t="str">
        <f ca="1">OFFSET(ORÇAMENTO!N$15,$L217,0)</f>
        <v>Serviço</v>
      </c>
      <c r="E217" s="117" t="str">
        <f ca="1">OFFSET(ORÇAMENTO!O$15,$L217,0)</f>
        <v>1.32.2.</v>
      </c>
      <c r="F217" s="163" t="str">
        <f ca="1">OFFSET(ORÇAMENTO!R$15,$L217,0)</f>
        <v>LAVATÓRIO LOUÇA BRANCA SUSPENSO, 29,5 X 39CM OU EQUIVALENTE, PADRÃO POPULAR, INCLUSO SIFÃO FLEXÍVEL EM PVC, VÁLVULA E ENGATE FLEXÍVEL 30CM EM PLÁSTICO E TORNEIRA CROMADA DE MESA, PADRÃO POPULAR - FORNECIMENTO E INSTALAÇÃO. AF_01/2020</v>
      </c>
      <c r="G217" s="164" t="str">
        <f ca="1">IF($D217&lt;&gt;"Serviço","",OFFSET(ORÇAMENTO!S$15,$L217,0))</f>
        <v>UN</v>
      </c>
      <c r="H217" s="122">
        <f t="array" aca="1" ref="H217" ca="1">IF($D217&lt;&gt;"Serviço",0,IF(ACOMPANHAMENTO="BM",ROUND(OFFSET(ORÇAMENTO!AJ$15,$L217,0),15-13*ORÇAMENTO!$AF$7),IF(IFERROR(CÁLCULO.FrentesPreenchidas,0)=0,0,SUM(ROUND(OFFSET($P217,0,1,1,CÁLCULO.FrentesPreenchidas),15-13*ORÇAMENTO!$AF$7)))))</f>
        <v>20</v>
      </c>
      <c r="I217" s="467" t="s">
        <v>1341</v>
      </c>
      <c r="J217" s="653" t="str">
        <f t="array" aca="1" ref="J217" ca="1">IF(OR(B217&lt;&gt;"S",CÁLCULO.FrentesPreenchidas=0),"",IF(AND(ACOMPANHAMENTO="PLE",AUTOEVENTO="Manual",OR(H217&gt;0,ORÇAMENTO!AC217="QUANT."),OR(K217="",M217=0,N217="")),"►E",IF(AND(ACOMPANHAMENTO="PLE",ORÇAMENTO!AC217="QUANT."),"►Q",IF(AND(ACOMPANHAMENTO="PLE",H217&lt;&gt;SUMPRODUCT(($Q$1:$AI$1=1)*ROUND(Q217:AI217,15))),"►S",IF(AND(COUNTIF($P$11:$AI$11,"▼")=0,H217&gt;0,I217=""),"◄M","")))))</f>
        <v/>
      </c>
      <c r="K217" s="654" t="s">
        <v>1448</v>
      </c>
      <c r="L217" s="165">
        <f t="shared" ca="1" si="99"/>
        <v>202</v>
      </c>
      <c r="M217" s="166">
        <f ca="1">IF($D217&lt;&gt;"Serviço","",
          IF(AUTOEVENTO="manual",$A217,
                IF(ISERROR(MATCH($A217,$A$15:OFFSET($A217,-1,0),0)),MAX($M$15:OFFSET(M217,-1,0))+1,
                      INDEX($M$15:OFFSET(M217,-1,0),MATCH($A217,$A$15:OFFSET($A217,-1,0),0)))))</f>
        <v>33</v>
      </c>
      <c r="N217" s="167" t="str">
        <f ca="1">IF($D217&lt;&gt;"Serviço","",
         IF(AUTOEVENTO="Manual",
                IF($A217=0,"&lt;-- defina o número do agrupador",
                       OFFSET(EVENTOS!$D$15,$A217-$A$15,0)),
                OFFSET($F$15,$A217,0)))</f>
        <v>LOUÇAS</v>
      </c>
      <c r="O217" s="168"/>
      <c r="Q217" s="169">
        <v>5</v>
      </c>
      <c r="R217" s="169">
        <v>5</v>
      </c>
      <c r="S217" s="169">
        <v>5</v>
      </c>
      <c r="T217" s="169">
        <v>5</v>
      </c>
      <c r="U217" s="169"/>
      <c r="V217" s="169"/>
      <c r="W217" s="169"/>
      <c r="X217" s="169"/>
      <c r="Y217" s="169"/>
      <c r="Z217" s="170"/>
      <c r="AA217" s="169"/>
      <c r="AB217" s="169"/>
      <c r="AC217" s="169"/>
      <c r="AD217" s="169"/>
      <c r="AE217" s="169"/>
      <c r="AF217" s="169"/>
      <c r="AG217" s="169"/>
      <c r="AH217" s="170"/>
      <c r="AJ217" s="452">
        <f ca="1">IF(AND($D217="Serviço",AJ$12&lt;&gt;0,$H217&gt;0,OR(AUTOEVENTO&lt;&gt;"manual",$M217&lt;&gt;$A$15)),
        IF(Import.TipoArredondamento&lt;&gt;"TransfereGOV",
              ROUND(OFFSET($P217,0,AJ$13),15-13*ORÇAMENTO!$AF$7)/$H217*OFFSET(ORÇAMENTO!$X$15,ROW(AJ217)-ROW(AJ$15),0),
              ROUND(ROUND(OFFSET($P217,0,AJ$13),15-13*ORÇAMENTO!$AF$7)*OFFSET(ORÇAMENTO!$W$15,ROW(AJ217)-ROW(AJ$15),0),15-13*ORÇAMENTO!$AF$11)),
         0)</f>
        <v>1572.9</v>
      </c>
      <c r="AK217" s="452">
        <f ca="1">IF(AND($D217="Serviço",AK$12&lt;&gt;0,$H217&gt;0,OR(AUTOEVENTO&lt;&gt;"manual",$M217&lt;&gt;$A$15)),
        IF(Import.TipoArredondamento&lt;&gt;"TransfereGOV",
              ROUND(OFFSET($P217,0,AK$13),15-13*ORÇAMENTO!$AF$7)/$H217*OFFSET(ORÇAMENTO!$X$15,ROW(AK217)-ROW(AK$15),0),
              ROUND(ROUND(OFFSET($P217,0,AK$13),15-13*ORÇAMENTO!$AF$7)*OFFSET(ORÇAMENTO!$W$15,ROW(AK217)-ROW(AK$15),0),15-13*ORÇAMENTO!$AF$11)),
         0)</f>
        <v>1572.9</v>
      </c>
      <c r="AL217" s="452">
        <f ca="1">IF(AND($D217="Serviço",AL$12&lt;&gt;0,$H217&gt;0,OR(AUTOEVENTO&lt;&gt;"manual",$M217&lt;&gt;$A$15)),
        IF(Import.TipoArredondamento&lt;&gt;"TransfereGOV",
              ROUND(OFFSET($P217,0,AL$13),15-13*ORÇAMENTO!$AF$7)/$H217*OFFSET(ORÇAMENTO!$X$15,ROW(AL217)-ROW(AL$15),0),
              ROUND(ROUND(OFFSET($P217,0,AL$13),15-13*ORÇAMENTO!$AF$7)*OFFSET(ORÇAMENTO!$W$15,ROW(AL217)-ROW(AL$15),0),15-13*ORÇAMENTO!$AF$11)),
         0)</f>
        <v>1572.9</v>
      </c>
      <c r="AM217" s="452">
        <f ca="1">IF(AND($D217="Serviço",AM$12&lt;&gt;0,$H217&gt;0,OR(AUTOEVENTO&lt;&gt;"manual",$M217&lt;&gt;$A$15)),
        IF(Import.TipoArredondamento&lt;&gt;"TransfereGOV",
              ROUND(OFFSET($P217,0,AM$13),15-13*ORÇAMENTO!$AF$7)/$H217*OFFSET(ORÇAMENTO!$X$15,ROW(AM217)-ROW(AM$15),0),
              ROUND(ROUND(OFFSET($P217,0,AM$13),15-13*ORÇAMENTO!$AF$7)*OFFSET(ORÇAMENTO!$W$15,ROW(AM217)-ROW(AM$15),0),15-13*ORÇAMENTO!$AF$11)),
         0)</f>
        <v>1572.9</v>
      </c>
      <c r="AN217" s="452">
        <f ca="1">IF(AND($D217="Serviço",AN$12&lt;&gt;0,$H217&gt;0,OR(AUTOEVENTO&lt;&gt;"manual",$M217&lt;&gt;$A$15)),
        IF(Import.TipoArredondamento&lt;&gt;"TransfereGOV",
              ROUND(OFFSET($P217,0,AN$13),15-13*ORÇAMENTO!$AF$7)/$H217*OFFSET(ORÇAMENTO!$X$15,ROW(AN217)-ROW(AN$15),0),
              ROUND(ROUND(OFFSET($P217,0,AN$13),15-13*ORÇAMENTO!$AF$7)*OFFSET(ORÇAMENTO!$W$15,ROW(AN217)-ROW(AN$15),0),15-13*ORÇAMENTO!$AF$11)),
         0)</f>
        <v>0</v>
      </c>
      <c r="AO217" s="452">
        <f ca="1">IF(AND($D217="Serviço",AO$12&lt;&gt;0,$H217&gt;0,OR(AUTOEVENTO&lt;&gt;"manual",$M217&lt;&gt;$A$15)),
        IF(Import.TipoArredondamento&lt;&gt;"TransfereGOV",
              ROUND(OFFSET($P217,0,AO$13),15-13*ORÇAMENTO!$AF$7)/$H217*OFFSET(ORÇAMENTO!$X$15,ROW(AO217)-ROW(AO$15),0),
              ROUND(ROUND(OFFSET($P217,0,AO$13),15-13*ORÇAMENTO!$AF$7)*OFFSET(ORÇAMENTO!$W$15,ROW(AO217)-ROW(AO$15),0),15-13*ORÇAMENTO!$AF$11)),
         0)</f>
        <v>0</v>
      </c>
      <c r="AP217" s="452">
        <f ca="1">IF(AND($D217="Serviço",AP$12&lt;&gt;0,$H217&gt;0,OR(AUTOEVENTO&lt;&gt;"manual",$M217&lt;&gt;$A$15)),
        IF(Import.TipoArredondamento&lt;&gt;"TransfereGOV",
              ROUND(OFFSET($P217,0,AP$13),15-13*ORÇAMENTO!$AF$7)/$H217*OFFSET(ORÇAMENTO!$X$15,ROW(AP217)-ROW(AP$15),0),
              ROUND(ROUND(OFFSET($P217,0,AP$13),15-13*ORÇAMENTO!$AF$7)*OFFSET(ORÇAMENTO!$W$15,ROW(AP217)-ROW(AP$15),0),15-13*ORÇAMENTO!$AF$11)),
         0)</f>
        <v>0</v>
      </c>
      <c r="AQ217" s="452">
        <f ca="1">IF(AND($D217="Serviço",AQ$12&lt;&gt;0,$H217&gt;0,OR(AUTOEVENTO&lt;&gt;"manual",$M217&lt;&gt;$A$15)),
        IF(Import.TipoArredondamento&lt;&gt;"TransfereGOV",
              ROUND(OFFSET($P217,0,AQ$13),15-13*ORÇAMENTO!$AF$7)/$H217*OFFSET(ORÇAMENTO!$X$15,ROW(AQ217)-ROW(AQ$15),0),
              ROUND(ROUND(OFFSET($P217,0,AQ$13),15-13*ORÇAMENTO!$AF$7)*OFFSET(ORÇAMENTO!$W$15,ROW(AQ217)-ROW(AQ$15),0),15-13*ORÇAMENTO!$AF$11)),
         0)</f>
        <v>0</v>
      </c>
      <c r="AR217" s="452">
        <f ca="1">IF(AND($D217="Serviço",AR$12&lt;&gt;0,$H217&gt;0,OR(AUTOEVENTO&lt;&gt;"manual",$M217&lt;&gt;$A$15)),
        IF(Import.TipoArredondamento&lt;&gt;"TransfereGOV",
              ROUND(OFFSET($P217,0,AR$13),15-13*ORÇAMENTO!$AF$7)/$H217*OFFSET(ORÇAMENTO!$X$15,ROW(AR217)-ROW(AR$15),0),
              ROUND(ROUND(OFFSET($P217,0,AR$13),15-13*ORÇAMENTO!$AF$7)*OFFSET(ORÇAMENTO!$W$15,ROW(AR217)-ROW(AR$15),0),15-13*ORÇAMENTO!$AF$11)),
         0)</f>
        <v>0</v>
      </c>
      <c r="AS217" s="452">
        <f ca="1">IF(AND($D217="Serviço",AS$12&lt;&gt;0,$H217&gt;0,OR(AUTOEVENTO&lt;&gt;"manual",$M217&lt;&gt;$A$15)),
        IF(Import.TipoArredondamento&lt;&gt;"TransfereGOV",
              ROUND(OFFSET($P217,0,AS$13),15-13*ORÇAMENTO!$AF$7)/$H217*OFFSET(ORÇAMENTO!$X$15,ROW(AS217)-ROW(AS$15),0),
              ROUND(ROUND(OFFSET($P217,0,AS$13),15-13*ORÇAMENTO!$AF$7)*OFFSET(ORÇAMENTO!$W$15,ROW(AS217)-ROW(AS$15),0),15-13*ORÇAMENTO!$AF$11)),
         0)</f>
        <v>0</v>
      </c>
      <c r="AT217" s="452">
        <f ca="1">IF(AND($D217="Serviço",AT$12&lt;&gt;0,$H217&gt;0,OR(AUTOEVENTO&lt;&gt;"manual",$M217&lt;&gt;$A$15)),
        IF(Import.TipoArredondamento&lt;&gt;"TransfereGOV",
              ROUND(OFFSET($P217,0,AT$13),15-13*ORÇAMENTO!$AF$7)/$H217*OFFSET(ORÇAMENTO!$X$15,ROW(AT217)-ROW(AT$15),0),
              ROUND(ROUND(OFFSET($P217,0,AT$13),15-13*ORÇAMENTO!$AF$7)*OFFSET(ORÇAMENTO!$W$15,ROW(AT217)-ROW(AT$15),0),15-13*ORÇAMENTO!$AF$11)),
         0)</f>
        <v>0</v>
      </c>
      <c r="AU217" s="452">
        <f ca="1">IF(AND($D217="Serviço",AU$12&lt;&gt;0,$H217&gt;0,OR(AUTOEVENTO&lt;&gt;"manual",$M217&lt;&gt;$A$15)),
        IF(Import.TipoArredondamento&lt;&gt;"TransfereGOV",
              ROUND(OFFSET($P217,0,AU$13),15-13*ORÇAMENTO!$AF$7)/$H217*OFFSET(ORÇAMENTO!$X$15,ROW(AU217)-ROW(AU$15),0),
              ROUND(ROUND(OFFSET($P217,0,AU$13),15-13*ORÇAMENTO!$AF$7)*OFFSET(ORÇAMENTO!$W$15,ROW(AU217)-ROW(AU$15),0),15-13*ORÇAMENTO!$AF$11)),
         0)</f>
        <v>0</v>
      </c>
      <c r="AV217" s="452">
        <f ca="1">IF(AND($D217="Serviço",AV$12&lt;&gt;0,$H217&gt;0,OR(AUTOEVENTO&lt;&gt;"manual",$M217&lt;&gt;$A$15)),
        IF(Import.TipoArredondamento&lt;&gt;"TransfereGOV",
              ROUND(OFFSET($P217,0,AV$13),15-13*ORÇAMENTO!$AF$7)/$H217*OFFSET(ORÇAMENTO!$X$15,ROW(AV217)-ROW(AV$15),0),
              ROUND(ROUND(OFFSET($P217,0,AV$13),15-13*ORÇAMENTO!$AF$7)*OFFSET(ORÇAMENTO!$W$15,ROW(AV217)-ROW(AV$15),0),15-13*ORÇAMENTO!$AF$11)),
         0)</f>
        <v>0</v>
      </c>
      <c r="AW217" s="452">
        <f ca="1">IF(AND($D217="Serviço",AW$12&lt;&gt;0,$H217&gt;0,OR(AUTOEVENTO&lt;&gt;"manual",$M217&lt;&gt;$A$15)),
        IF(Import.TipoArredondamento&lt;&gt;"TransfereGOV",
              ROUND(OFFSET($P217,0,AW$13),15-13*ORÇAMENTO!$AF$7)/$H217*OFFSET(ORÇAMENTO!$X$15,ROW(AW217)-ROW(AW$15),0),
              ROUND(ROUND(OFFSET($P217,0,AW$13),15-13*ORÇAMENTO!$AF$7)*OFFSET(ORÇAMENTO!$W$15,ROW(AW217)-ROW(AW$15),0),15-13*ORÇAMENTO!$AF$11)),
         0)</f>
        <v>0</v>
      </c>
      <c r="AX217" s="452">
        <f ca="1">IF(AND($D217="Serviço",AX$12&lt;&gt;0,$H217&gt;0,OR(AUTOEVENTO&lt;&gt;"manual",$M217&lt;&gt;$A$15)),
        IF(Import.TipoArredondamento&lt;&gt;"TransfereGOV",
              ROUND(OFFSET($P217,0,AX$13),15-13*ORÇAMENTO!$AF$7)/$H217*OFFSET(ORÇAMENTO!$X$15,ROW(AX217)-ROW(AX$15),0),
              ROUND(ROUND(OFFSET($P217,0,AX$13),15-13*ORÇAMENTO!$AF$7)*OFFSET(ORÇAMENTO!$W$15,ROW(AX217)-ROW(AX$15),0),15-13*ORÇAMENTO!$AF$11)),
         0)</f>
        <v>0</v>
      </c>
      <c r="AY217" s="452">
        <f ca="1">IF(AND($D217="Serviço",AY$12&lt;&gt;0,$H217&gt;0,OR(AUTOEVENTO&lt;&gt;"manual",$M217&lt;&gt;$A$15)),
        IF(Import.TipoArredondamento&lt;&gt;"TransfereGOV",
              ROUND(OFFSET($P217,0,AY$13),15-13*ORÇAMENTO!$AF$7)/$H217*OFFSET(ORÇAMENTO!$X$15,ROW(AY217)-ROW(AY$15),0),
              ROUND(ROUND(OFFSET($P217,0,AY$13),15-13*ORÇAMENTO!$AF$7)*OFFSET(ORÇAMENTO!$W$15,ROW(AY217)-ROW(AY$15),0),15-13*ORÇAMENTO!$AF$11)),
         0)</f>
        <v>0</v>
      </c>
      <c r="AZ217" s="452">
        <f ca="1">IF(AND($D217="Serviço",AZ$12&lt;&gt;0,$H217&gt;0,OR(AUTOEVENTO&lt;&gt;"manual",$M217&lt;&gt;$A$15)),
        IF(Import.TipoArredondamento&lt;&gt;"TransfereGOV",
              ROUND(OFFSET($P217,0,AZ$13),15-13*ORÇAMENTO!$AF$7)/$H217*OFFSET(ORÇAMENTO!$X$15,ROW(AZ217)-ROW(AZ$15),0),
              ROUND(ROUND(OFFSET($P217,0,AZ$13),15-13*ORÇAMENTO!$AF$7)*OFFSET(ORÇAMENTO!$W$15,ROW(AZ217)-ROW(AZ$15),0),15-13*ORÇAMENTO!$AF$11)),
         0)</f>
        <v>0</v>
      </c>
      <c r="BA217" s="452">
        <f ca="1">IF(AND($D217="Serviço",BA$12&lt;&gt;0,$H217&gt;0,OR(AUTOEVENTO&lt;&gt;"manual",$M217&lt;&gt;$A$15)),
        IF(Import.TipoArredondamento&lt;&gt;"TransfereGOV",
              ROUND(OFFSET($P217,0,BA$13),15-13*ORÇAMENTO!$AF$7)/$H217*OFFSET(ORÇAMENTO!$X$15,ROW(BA217)-ROW(BA$15),0),
              ROUND(ROUND(OFFSET($P217,0,BA$13),15-13*ORÇAMENTO!$AF$7)*OFFSET(ORÇAMENTO!$W$15,ROW(BA217)-ROW(BA$15),0),15-13*ORÇAMENTO!$AF$11)),
         0)</f>
        <v>0</v>
      </c>
      <c r="BC217" s="171">
        <f ca="1">IF(OR($D217&lt;&gt;"Serviço",AND(AUTOEVENTO="Manual",$M217=$A$15)),0,
         IF(OFFSET(CRONOPLE!$F$15,$M217-$A$15,BC$13)=0,10^12,OFFSET(CRONOPLE!$F$15,$M217-$A$15,BC$13)))</f>
        <v>9</v>
      </c>
      <c r="BD217" s="171">
        <f ca="1">IF(OR($D217&lt;&gt;"Serviço",AND(AUTOEVENTO="Manual",$M217=$A$15)),0,
         IF(OFFSET(CRONOPLE!$F$15,$M217-$A$15,BD$13)=0,10^12,OFFSET(CRONOPLE!$F$15,$M217-$A$15,BD$13)))</f>
        <v>9</v>
      </c>
      <c r="BE217" s="171">
        <f ca="1">IF(OR($D217&lt;&gt;"Serviço",AND(AUTOEVENTO="Manual",$M217=$A$15)),0,
         IF(OFFSET(CRONOPLE!$F$15,$M217-$A$15,BE$13)=0,10^12,OFFSET(CRONOPLE!$F$15,$M217-$A$15,BE$13)))</f>
        <v>9</v>
      </c>
      <c r="BF217" s="171">
        <f ca="1">IF(OR($D217&lt;&gt;"Serviço",AND(AUTOEVENTO="Manual",$M217=$A$15)),0,
         IF(OFFSET(CRONOPLE!$F$15,$M217-$A$15,BF$13)=0,10^12,OFFSET(CRONOPLE!$F$15,$M217-$A$15,BF$13)))</f>
        <v>9</v>
      </c>
      <c r="BG217" s="171">
        <f ca="1">IF(OR($D217&lt;&gt;"Serviço",AND(AUTOEVENTO="Manual",$M217=$A$15)),0,
         IF(OFFSET(CRONOPLE!$F$15,$M217-$A$15,BG$13)=0,10^12,OFFSET(CRONOPLE!$F$15,$M217-$A$15,BG$13)))</f>
        <v>9</v>
      </c>
      <c r="BH217" s="171">
        <f ca="1">IF(OR($D217&lt;&gt;"Serviço",AND(AUTOEVENTO="Manual",$M217=$A$15)),0,
         IF(OFFSET(CRONOPLE!$F$15,$M217-$A$15,BH$13)=0,10^12,OFFSET(CRONOPLE!$F$15,$M217-$A$15,BH$13)))</f>
        <v>1000000000000</v>
      </c>
      <c r="BI217" s="171">
        <f ca="1">IF(OR($D217&lt;&gt;"Serviço",AND(AUTOEVENTO="Manual",$M217=$A$15)),0,
         IF(OFFSET(CRONOPLE!$F$15,$M217-$A$15,BI$13)=0,10^12,OFFSET(CRONOPLE!$F$15,$M217-$A$15,BI$13)))</f>
        <v>1000000000000</v>
      </c>
      <c r="BJ217" s="171">
        <f ca="1">IF(OR($D217&lt;&gt;"Serviço",AND(AUTOEVENTO="Manual",$M217=$A$15)),0,
         IF(OFFSET(CRONOPLE!$F$15,$M217-$A$15,BJ$13)=0,10^12,OFFSET(CRONOPLE!$F$15,$M217-$A$15,BJ$13)))</f>
        <v>1000000000000</v>
      </c>
      <c r="BK217" s="171">
        <f ca="1">IF(OR($D217&lt;&gt;"Serviço",AND(AUTOEVENTO="Manual",$M217=$A$15)),0,
         IF(OFFSET(CRONOPLE!$F$15,$M217-$A$15,BK$13)=0,10^12,OFFSET(CRONOPLE!$F$15,$M217-$A$15,BK$13)))</f>
        <v>9</v>
      </c>
      <c r="BL217" s="171">
        <f ca="1">IF(OR($D217&lt;&gt;"Serviço",AND(AUTOEVENTO="Manual",$M217=$A$15)),0,
         IF(OFFSET(CRONOPLE!$F$15,$M217-$A$15,BL$13)=0,10^12,OFFSET(CRONOPLE!$F$15,$M217-$A$15,BL$13)))</f>
        <v>1000000000000</v>
      </c>
      <c r="BM217" s="171">
        <f ca="1">IF(OR($D217&lt;&gt;"Serviço",AND(AUTOEVENTO="Manual",$M217=$A$15)),0,
         IF(OFFSET(CRONOPLE!$F$15,$M217-$A$15,BM$13)=0,10^12,OFFSET(CRONOPLE!$F$15,$M217-$A$15,BM$13)))</f>
        <v>1000000000000</v>
      </c>
      <c r="BN217" s="171">
        <f ca="1">IF(OR($D217&lt;&gt;"Serviço",AND(AUTOEVENTO="Manual",$M217=$A$15)),0,
         IF(OFFSET(CRONOPLE!$F$15,$M217-$A$15,BN$13)=0,10^12,OFFSET(CRONOPLE!$F$15,$M217-$A$15,BN$13)))</f>
        <v>1000000000000</v>
      </c>
      <c r="BO217" s="171">
        <f ca="1">IF(OR($D217&lt;&gt;"Serviço",AND(AUTOEVENTO="Manual",$M217=$A$15)),0,
         IF(OFFSET(CRONOPLE!$F$15,$M217-$A$15,BO$13)=0,10^12,OFFSET(CRONOPLE!$F$15,$M217-$A$15,BO$13)))</f>
        <v>1000000000000</v>
      </c>
      <c r="BP217" s="171">
        <f ca="1">IF(OR($D217&lt;&gt;"Serviço",AND(AUTOEVENTO="Manual",$M217=$A$15)),0,
         IF(OFFSET(CRONOPLE!$F$15,$M217-$A$15,BP$13)=0,10^12,OFFSET(CRONOPLE!$F$15,$M217-$A$15,BP$13)))</f>
        <v>1000000000000</v>
      </c>
      <c r="BQ217" s="171">
        <f ca="1">IF(OR($D217&lt;&gt;"Serviço",AND(AUTOEVENTO="Manual",$M217=$A$15)),0,
         IF(OFFSET(CRONOPLE!$F$15,$M217-$A$15,BQ$13)=0,10^12,OFFSET(CRONOPLE!$F$15,$M217-$A$15,BQ$13)))</f>
        <v>1000000000000</v>
      </c>
      <c r="BR217" s="171">
        <f ca="1">IF(OR($D217&lt;&gt;"Serviço",AND(AUTOEVENTO="Manual",$M217=$A$15)),0,
         IF(OFFSET(CRONOPLE!$F$15,$M217-$A$15,BR$13)=0,10^12,OFFSET(CRONOPLE!$F$15,$M217-$A$15,BR$13)))</f>
        <v>1000000000000</v>
      </c>
      <c r="BS217" s="171">
        <f ca="1">IF(OR($D217&lt;&gt;"Serviço",AND(AUTOEVENTO="Manual",$M217=$A$15)),0,
         IF(OFFSET(CRONOPLE!$F$15,$M217-$A$15,BS$13)=0,10^12,OFFSET(CRONOPLE!$F$15,$M217-$A$15,BS$13)))</f>
        <v>1000000000000</v>
      </c>
      <c r="BT217" s="171">
        <f ca="1">IF(OR($D217&lt;&gt;"Serviço",AND(AUTOEVENTO="Manual",$M217=$A$15)),0,
         IF(OFFSET(CRONOPLE!$F$15,$M217-$A$15,BT$13)=0,10^12,OFFSET(CRONOPLE!$F$15,$M217-$A$15,BT$13)))</f>
        <v>1000000000000</v>
      </c>
      <c r="BV217" s="172">
        <f t="array" aca="1" ref="BV217" ca="1">IF(OR($D217&lt;&gt;"Serviço",AND(AUTOEVENTO="Manual",$M217=$A$15),$M217&gt;(ROW(PLE.lastrow)-ROW(PLE.firstrow))),0,
           IF(OFFSET(PLE!$G$15,$M217-$A$15,BV$13)="",10^12,OFFSET(PLE!$G$15,$M217-$A$15,BV$13)))</f>
        <v>1000000000000</v>
      </c>
      <c r="BW217" s="172">
        <f t="array" aca="1" ref="BW217" ca="1">IF(OR($D217&lt;&gt;"Serviço",AND(AUTOEVENTO="Manual",$M217=$A$15),$M217&gt;(ROW(PLE.lastrow)-ROW(PLE.firstrow))),0,
           IF(OFFSET(PLE!$G$15,$M217-$A$15,BW$13)="",10^12,OFFSET(PLE!$G$15,$M217-$A$15,BW$13)))</f>
        <v>1000000000000</v>
      </c>
      <c r="BX217" s="172">
        <f t="array" aca="1" ref="BX217" ca="1">IF(OR($D217&lt;&gt;"Serviço",AND(AUTOEVENTO="Manual",$M217=$A$15),$M217&gt;(ROW(PLE.lastrow)-ROW(PLE.firstrow))),0,
           IF(OFFSET(PLE!$G$15,$M217-$A$15,BX$13)="",10^12,OFFSET(PLE!$G$15,$M217-$A$15,BX$13)))</f>
        <v>1000000000000</v>
      </c>
      <c r="BY217" s="172">
        <f t="array" aca="1" ref="BY217" ca="1">IF(OR($D217&lt;&gt;"Serviço",AND(AUTOEVENTO="Manual",$M217=$A$15),$M217&gt;(ROW(PLE.lastrow)-ROW(PLE.firstrow))),0,
           IF(OFFSET(PLE!$G$15,$M217-$A$15,BY$13)="",10^12,OFFSET(PLE!$G$15,$M217-$A$15,BY$13)))</f>
        <v>1000000000000</v>
      </c>
      <c r="BZ217" s="172">
        <f t="array" aca="1" ref="BZ217" ca="1">IF(OR($D217&lt;&gt;"Serviço",AND(AUTOEVENTO="Manual",$M217=$A$15),$M217&gt;(ROW(PLE.lastrow)-ROW(PLE.firstrow))),0,
           IF(OFFSET(PLE!$G$15,$M217-$A$15,BZ$13)="",10^12,OFFSET(PLE!$G$15,$M217-$A$15,BZ$13)))</f>
        <v>1000000000000</v>
      </c>
      <c r="CA217" s="172">
        <f t="array" aca="1" ref="CA217" ca="1">IF(OR($D217&lt;&gt;"Serviço",AND(AUTOEVENTO="Manual",$M217=$A$15),$M217&gt;(ROW(PLE.lastrow)-ROW(PLE.firstrow))),0,
           IF(OFFSET(PLE!$G$15,$M217-$A$15,CA$13)="",10^12,OFFSET(PLE!$G$15,$M217-$A$15,CA$13)))</f>
        <v>1000000000000</v>
      </c>
      <c r="CB217" s="172">
        <f t="array" aca="1" ref="CB217" ca="1">IF(OR($D217&lt;&gt;"Serviço",AND(AUTOEVENTO="Manual",$M217=$A$15),$M217&gt;(ROW(PLE.lastrow)-ROW(PLE.firstrow))),0,
           IF(OFFSET(PLE!$G$15,$M217-$A$15,CB$13)="",10^12,OFFSET(PLE!$G$15,$M217-$A$15,CB$13)))</f>
        <v>1000000000000</v>
      </c>
      <c r="CC217" s="172">
        <f t="array" aca="1" ref="CC217" ca="1">IF(OR($D217&lt;&gt;"Serviço",AND(AUTOEVENTO="Manual",$M217=$A$15),$M217&gt;(ROW(PLE.lastrow)-ROW(PLE.firstrow))),0,
           IF(OFFSET(PLE!$G$15,$M217-$A$15,CC$13)="",10^12,OFFSET(PLE!$G$15,$M217-$A$15,CC$13)))</f>
        <v>1000000000000</v>
      </c>
      <c r="CD217" s="172">
        <f t="array" aca="1" ref="CD217" ca="1">IF(OR($D217&lt;&gt;"Serviço",AND(AUTOEVENTO="Manual",$M217=$A$15),$M217&gt;(ROW(PLE.lastrow)-ROW(PLE.firstrow))),0,
           IF(OFFSET(PLE!$G$15,$M217-$A$15,CD$13)="",10^12,OFFSET(PLE!$G$15,$M217-$A$15,CD$13)))</f>
        <v>1000000000000</v>
      </c>
      <c r="CE217" s="172">
        <f t="array" aca="1" ref="CE217" ca="1">IF(OR($D217&lt;&gt;"Serviço",AND(AUTOEVENTO="Manual",$M217=$A$15),$M217&gt;(ROW(PLE.lastrow)-ROW(PLE.firstrow))),0,
           IF(OFFSET(PLE!$G$15,$M217-$A$15,CE$13)="",10^12,OFFSET(PLE!$G$15,$M217-$A$15,CE$13)))</f>
        <v>1000000000000</v>
      </c>
      <c r="CF217" s="172">
        <f t="array" aca="1" ref="CF217" ca="1">IF(OR($D217&lt;&gt;"Serviço",AND(AUTOEVENTO="Manual",$M217=$A$15),$M217&gt;(ROW(PLE.lastrow)-ROW(PLE.firstrow))),0,
           IF(OFFSET(PLE!$G$15,$M217-$A$15,CF$13)="",10^12,OFFSET(PLE!$G$15,$M217-$A$15,CF$13)))</f>
        <v>1000000000000</v>
      </c>
      <c r="CG217" s="172">
        <f t="array" aca="1" ref="CG217" ca="1">IF(OR($D217&lt;&gt;"Serviço",AND(AUTOEVENTO="Manual",$M217=$A$15),$M217&gt;(ROW(PLE.lastrow)-ROW(PLE.firstrow))),0,
           IF(OFFSET(PLE!$G$15,$M217-$A$15,CG$13)="",10^12,OFFSET(PLE!$G$15,$M217-$A$15,CG$13)))</f>
        <v>1000000000000</v>
      </c>
      <c r="CH217" s="172">
        <f t="array" aca="1" ref="CH217" ca="1">IF(OR($D217&lt;&gt;"Serviço",AND(AUTOEVENTO="Manual",$M217=$A$15),$M217&gt;(ROW(PLE.lastrow)-ROW(PLE.firstrow))),0,
           IF(OFFSET(PLE!$G$15,$M217-$A$15,CH$13)="",10^12,OFFSET(PLE!$G$15,$M217-$A$15,CH$13)))</f>
        <v>1000000000000</v>
      </c>
      <c r="CI217" s="172">
        <f t="array" aca="1" ref="CI217" ca="1">IF(OR($D217&lt;&gt;"Serviço",AND(AUTOEVENTO="Manual",$M217=$A$15),$M217&gt;(ROW(PLE.lastrow)-ROW(PLE.firstrow))),0,
           IF(OFFSET(PLE!$G$15,$M217-$A$15,CI$13)="",10^12,OFFSET(PLE!$G$15,$M217-$A$15,CI$13)))</f>
        <v>1000000000000</v>
      </c>
      <c r="CJ217" s="172">
        <f t="array" aca="1" ref="CJ217" ca="1">IF(OR($D217&lt;&gt;"Serviço",AND(AUTOEVENTO="Manual",$M217=$A$15),$M217&gt;(ROW(PLE.lastrow)-ROW(PLE.firstrow))),0,
           IF(OFFSET(PLE!$G$15,$M217-$A$15,CJ$13)="",10^12,OFFSET(PLE!$G$15,$M217-$A$15,CJ$13)))</f>
        <v>1000000000000</v>
      </c>
      <c r="CK217" s="172">
        <f t="array" aca="1" ref="CK217" ca="1">IF(OR($D217&lt;&gt;"Serviço",AND(AUTOEVENTO="Manual",$M217=$A$15),$M217&gt;(ROW(PLE.lastrow)-ROW(PLE.firstrow))),0,
           IF(OFFSET(PLE!$G$15,$M217-$A$15,CK$13)="",10^12,OFFSET(PLE!$G$15,$M217-$A$15,CK$13)))</f>
        <v>1000000000000</v>
      </c>
      <c r="CL217" s="172">
        <f t="array" aca="1" ref="CL217" ca="1">IF(OR($D217&lt;&gt;"Serviço",AND(AUTOEVENTO="Manual",$M217=$A$15),$M217&gt;(ROW(PLE.lastrow)-ROW(PLE.firstrow))),0,
           IF(OFFSET(PLE!$G$15,$M217-$A$15,CL$13)="",10^12,OFFSET(PLE!$G$15,$M217-$A$15,CL$13)))</f>
        <v>1000000000000</v>
      </c>
      <c r="CM217" s="172">
        <f t="array" aca="1" ref="CM217" ca="1">IF(OR($D217&lt;&gt;"Serviço",AND(AUTOEVENTO="Manual",$M217=$A$15),$M217&gt;(ROW(PLE.lastrow)-ROW(PLE.firstrow))),0,
           IF(OFFSET(PLE!$G$15,$M217-$A$15,CM$13)="",10^12,OFFSET(PLE!$G$15,$M217-$A$15,CM$13)))</f>
        <v>1000000000000</v>
      </c>
    </row>
    <row r="218" spans="1:91" s="696" customFormat="1" ht="12.75" x14ac:dyDescent="0.2">
      <c r="A218" s="694">
        <f t="shared" ca="1" si="98"/>
        <v>0</v>
      </c>
      <c r="B218" s="694">
        <f ca="1">OFFSET(ORÇAMENTO!C$15,$L218,0)</f>
        <v>2</v>
      </c>
      <c r="C218" s="694" t="str">
        <f ca="1">OFFSET(ORÇAMENTO!L$15,$L218,0)</f>
        <v>F</v>
      </c>
      <c r="D218" s="116" t="str">
        <f ca="1">OFFSET(ORÇAMENTO!N$15,$L218,0)</f>
        <v>Nível 2</v>
      </c>
      <c r="E218" s="117" t="str">
        <f ca="1">OFFSET(ORÇAMENTO!O$15,$L218,0)</f>
        <v>1.33.</v>
      </c>
      <c r="F218" s="163" t="str">
        <f ca="1">OFFSET(ORÇAMENTO!R$15,$L218,0)</f>
        <v>BANCADAS E METAIS</v>
      </c>
      <c r="G218" s="164" t="str">
        <f ca="1">IF($D218&lt;&gt;"Serviço","",OFFSET(ORÇAMENTO!S$15,$L218,0))</f>
        <v/>
      </c>
      <c r="H218" s="122">
        <f t="array" aca="1" ref="H218" ca="1">IF($D218&lt;&gt;"Serviço",0,IF(ACOMPANHAMENTO="BM",ROUND(OFFSET(ORÇAMENTO!AJ$15,$L218,0),15-13*ORÇAMENTO!$AF$7),IF(IFERROR(CÁLCULO.FrentesPreenchidas,0)=0,0,SUM(ROUND(OFFSET($P218,0,1,1,CÁLCULO.FrentesPreenchidas),15-13*ORÇAMENTO!$AF$7)))))</f>
        <v>0</v>
      </c>
      <c r="I218" s="467"/>
      <c r="J218" s="653" t="str">
        <f t="array" aca="1" ref="J218" ca="1">IF(OR(B218&lt;&gt;"S",CÁLCULO.FrentesPreenchidas=0),"",IF(AND(ACOMPANHAMENTO="PLE",AUTOEVENTO="Manual",OR(H218&gt;0,ORÇAMENTO!AC218="QUANT."),OR(K218="",M218=0,N218="")),"►E",IF(AND(ACOMPANHAMENTO="PLE",ORÇAMENTO!AC218="QUANT."),"►Q",IF(AND(ACOMPANHAMENTO="PLE",H218&lt;&gt;SUMPRODUCT(($Q$1:$AI$1=1)*ROUND(Q218:AI218,15))),"►S",IF(AND(COUNTIF($P$11:$AI$11,"▼")=0,H218&gt;0,I218=""),"◄M","")))))</f>
        <v/>
      </c>
      <c r="K218" s="654"/>
      <c r="L218" s="165">
        <f t="shared" ca="1" si="99"/>
        <v>203</v>
      </c>
      <c r="M218" s="166" t="str">
        <f ca="1">IF($D218&lt;&gt;"Serviço","",
          IF(AUTOEVENTO="manual",$A218,
                IF(ISERROR(MATCH($A218,$A$15:OFFSET($A218,-1,0),0)),MAX($M$15:OFFSET(M218,-1,0))+1,
                      INDEX($M$15:OFFSET(M218,-1,0),MATCH($A218,$A$15:OFFSET($A218,-1,0),0)))))</f>
        <v/>
      </c>
      <c r="N218" s="167" t="str">
        <f ca="1">IF($D218&lt;&gt;"Serviço","",
         IF(AUTOEVENTO="Manual",
                IF($A218=0,"&lt;-- defina o número do agrupador",
                       OFFSET(EVENTOS!$D$15,$A218-$A$15,0)),
                OFFSET($F$15,$A218,0)))</f>
        <v/>
      </c>
      <c r="O218" s="168"/>
      <c r="Q218" s="169"/>
      <c r="R218" s="169"/>
      <c r="S218" s="169"/>
      <c r="T218" s="169"/>
      <c r="U218" s="169"/>
      <c r="V218" s="169"/>
      <c r="W218" s="169"/>
      <c r="X218" s="169"/>
      <c r="Y218" s="169"/>
      <c r="Z218" s="170"/>
      <c r="AA218" s="169"/>
      <c r="AB218" s="169"/>
      <c r="AC218" s="169"/>
      <c r="AD218" s="169"/>
      <c r="AE218" s="169"/>
      <c r="AF218" s="169"/>
      <c r="AG218" s="169"/>
      <c r="AH218" s="170"/>
      <c r="AJ218" s="452">
        <f ca="1">IF(AND($D218="Serviço",AJ$12&lt;&gt;0,$H218&gt;0,OR(AUTOEVENTO&lt;&gt;"manual",$M218&lt;&gt;$A$15)),
        IF(Import.TipoArredondamento&lt;&gt;"TransfereGOV",
              ROUND(OFFSET($P218,0,AJ$13),15-13*ORÇAMENTO!$AF$7)/$H218*OFFSET(ORÇAMENTO!$X$15,ROW(AJ218)-ROW(AJ$15),0),
              ROUND(ROUND(OFFSET($P218,0,AJ$13),15-13*ORÇAMENTO!$AF$7)*OFFSET(ORÇAMENTO!$W$15,ROW(AJ218)-ROW(AJ$15),0),15-13*ORÇAMENTO!$AF$11)),
         0)</f>
        <v>0</v>
      </c>
      <c r="AK218" s="452">
        <f ca="1">IF(AND($D218="Serviço",AK$12&lt;&gt;0,$H218&gt;0,OR(AUTOEVENTO&lt;&gt;"manual",$M218&lt;&gt;$A$15)),
        IF(Import.TipoArredondamento&lt;&gt;"TransfereGOV",
              ROUND(OFFSET($P218,0,AK$13),15-13*ORÇAMENTO!$AF$7)/$H218*OFFSET(ORÇAMENTO!$X$15,ROW(AK218)-ROW(AK$15),0),
              ROUND(ROUND(OFFSET($P218,0,AK$13),15-13*ORÇAMENTO!$AF$7)*OFFSET(ORÇAMENTO!$W$15,ROW(AK218)-ROW(AK$15),0),15-13*ORÇAMENTO!$AF$11)),
         0)</f>
        <v>0</v>
      </c>
      <c r="AL218" s="452">
        <f ca="1">IF(AND($D218="Serviço",AL$12&lt;&gt;0,$H218&gt;0,OR(AUTOEVENTO&lt;&gt;"manual",$M218&lt;&gt;$A$15)),
        IF(Import.TipoArredondamento&lt;&gt;"TransfereGOV",
              ROUND(OFFSET($P218,0,AL$13),15-13*ORÇAMENTO!$AF$7)/$H218*OFFSET(ORÇAMENTO!$X$15,ROW(AL218)-ROW(AL$15),0),
              ROUND(ROUND(OFFSET($P218,0,AL$13),15-13*ORÇAMENTO!$AF$7)*OFFSET(ORÇAMENTO!$W$15,ROW(AL218)-ROW(AL$15),0),15-13*ORÇAMENTO!$AF$11)),
         0)</f>
        <v>0</v>
      </c>
      <c r="AM218" s="452">
        <f ca="1">IF(AND($D218="Serviço",AM$12&lt;&gt;0,$H218&gt;0,OR(AUTOEVENTO&lt;&gt;"manual",$M218&lt;&gt;$A$15)),
        IF(Import.TipoArredondamento&lt;&gt;"TransfereGOV",
              ROUND(OFFSET($P218,0,AM$13),15-13*ORÇAMENTO!$AF$7)/$H218*OFFSET(ORÇAMENTO!$X$15,ROW(AM218)-ROW(AM$15),0),
              ROUND(ROUND(OFFSET($P218,0,AM$13),15-13*ORÇAMENTO!$AF$7)*OFFSET(ORÇAMENTO!$W$15,ROW(AM218)-ROW(AM$15),0),15-13*ORÇAMENTO!$AF$11)),
         0)</f>
        <v>0</v>
      </c>
      <c r="AN218" s="452">
        <f ca="1">IF(AND($D218="Serviço",AN$12&lt;&gt;0,$H218&gt;0,OR(AUTOEVENTO&lt;&gt;"manual",$M218&lt;&gt;$A$15)),
        IF(Import.TipoArredondamento&lt;&gt;"TransfereGOV",
              ROUND(OFFSET($P218,0,AN$13),15-13*ORÇAMENTO!$AF$7)/$H218*OFFSET(ORÇAMENTO!$X$15,ROW(AN218)-ROW(AN$15),0),
              ROUND(ROUND(OFFSET($P218,0,AN$13),15-13*ORÇAMENTO!$AF$7)*OFFSET(ORÇAMENTO!$W$15,ROW(AN218)-ROW(AN$15),0),15-13*ORÇAMENTO!$AF$11)),
         0)</f>
        <v>0</v>
      </c>
      <c r="AO218" s="452">
        <f ca="1">IF(AND($D218="Serviço",AO$12&lt;&gt;0,$H218&gt;0,OR(AUTOEVENTO&lt;&gt;"manual",$M218&lt;&gt;$A$15)),
        IF(Import.TipoArredondamento&lt;&gt;"TransfereGOV",
              ROUND(OFFSET($P218,0,AO$13),15-13*ORÇAMENTO!$AF$7)/$H218*OFFSET(ORÇAMENTO!$X$15,ROW(AO218)-ROW(AO$15),0),
              ROUND(ROUND(OFFSET($P218,0,AO$13),15-13*ORÇAMENTO!$AF$7)*OFFSET(ORÇAMENTO!$W$15,ROW(AO218)-ROW(AO$15),0),15-13*ORÇAMENTO!$AF$11)),
         0)</f>
        <v>0</v>
      </c>
      <c r="AP218" s="452">
        <f ca="1">IF(AND($D218="Serviço",AP$12&lt;&gt;0,$H218&gt;0,OR(AUTOEVENTO&lt;&gt;"manual",$M218&lt;&gt;$A$15)),
        IF(Import.TipoArredondamento&lt;&gt;"TransfereGOV",
              ROUND(OFFSET($P218,0,AP$13),15-13*ORÇAMENTO!$AF$7)/$H218*OFFSET(ORÇAMENTO!$X$15,ROW(AP218)-ROW(AP$15),0),
              ROUND(ROUND(OFFSET($P218,0,AP$13),15-13*ORÇAMENTO!$AF$7)*OFFSET(ORÇAMENTO!$W$15,ROW(AP218)-ROW(AP$15),0),15-13*ORÇAMENTO!$AF$11)),
         0)</f>
        <v>0</v>
      </c>
      <c r="AQ218" s="452">
        <f ca="1">IF(AND($D218="Serviço",AQ$12&lt;&gt;0,$H218&gt;0,OR(AUTOEVENTO&lt;&gt;"manual",$M218&lt;&gt;$A$15)),
        IF(Import.TipoArredondamento&lt;&gt;"TransfereGOV",
              ROUND(OFFSET($P218,0,AQ$13),15-13*ORÇAMENTO!$AF$7)/$H218*OFFSET(ORÇAMENTO!$X$15,ROW(AQ218)-ROW(AQ$15),0),
              ROUND(ROUND(OFFSET($P218,0,AQ$13),15-13*ORÇAMENTO!$AF$7)*OFFSET(ORÇAMENTO!$W$15,ROW(AQ218)-ROW(AQ$15),0),15-13*ORÇAMENTO!$AF$11)),
         0)</f>
        <v>0</v>
      </c>
      <c r="AR218" s="452">
        <f ca="1">IF(AND($D218="Serviço",AR$12&lt;&gt;0,$H218&gt;0,OR(AUTOEVENTO&lt;&gt;"manual",$M218&lt;&gt;$A$15)),
        IF(Import.TipoArredondamento&lt;&gt;"TransfereGOV",
              ROUND(OFFSET($P218,0,AR$13),15-13*ORÇAMENTO!$AF$7)/$H218*OFFSET(ORÇAMENTO!$X$15,ROW(AR218)-ROW(AR$15),0),
              ROUND(ROUND(OFFSET($P218,0,AR$13),15-13*ORÇAMENTO!$AF$7)*OFFSET(ORÇAMENTO!$W$15,ROW(AR218)-ROW(AR$15),0),15-13*ORÇAMENTO!$AF$11)),
         0)</f>
        <v>0</v>
      </c>
      <c r="AS218" s="452">
        <f ca="1">IF(AND($D218="Serviço",AS$12&lt;&gt;0,$H218&gt;0,OR(AUTOEVENTO&lt;&gt;"manual",$M218&lt;&gt;$A$15)),
        IF(Import.TipoArredondamento&lt;&gt;"TransfereGOV",
              ROUND(OFFSET($P218,0,AS$13),15-13*ORÇAMENTO!$AF$7)/$H218*OFFSET(ORÇAMENTO!$X$15,ROW(AS218)-ROW(AS$15),0),
              ROUND(ROUND(OFFSET($P218,0,AS$13),15-13*ORÇAMENTO!$AF$7)*OFFSET(ORÇAMENTO!$W$15,ROW(AS218)-ROW(AS$15),0),15-13*ORÇAMENTO!$AF$11)),
         0)</f>
        <v>0</v>
      </c>
      <c r="AT218" s="452">
        <f ca="1">IF(AND($D218="Serviço",AT$12&lt;&gt;0,$H218&gt;0,OR(AUTOEVENTO&lt;&gt;"manual",$M218&lt;&gt;$A$15)),
        IF(Import.TipoArredondamento&lt;&gt;"TransfereGOV",
              ROUND(OFFSET($P218,0,AT$13),15-13*ORÇAMENTO!$AF$7)/$H218*OFFSET(ORÇAMENTO!$X$15,ROW(AT218)-ROW(AT$15),0),
              ROUND(ROUND(OFFSET($P218,0,AT$13),15-13*ORÇAMENTO!$AF$7)*OFFSET(ORÇAMENTO!$W$15,ROW(AT218)-ROW(AT$15),0),15-13*ORÇAMENTO!$AF$11)),
         0)</f>
        <v>0</v>
      </c>
      <c r="AU218" s="452">
        <f ca="1">IF(AND($D218="Serviço",AU$12&lt;&gt;0,$H218&gt;0,OR(AUTOEVENTO&lt;&gt;"manual",$M218&lt;&gt;$A$15)),
        IF(Import.TipoArredondamento&lt;&gt;"TransfereGOV",
              ROUND(OFFSET($P218,0,AU$13),15-13*ORÇAMENTO!$AF$7)/$H218*OFFSET(ORÇAMENTO!$X$15,ROW(AU218)-ROW(AU$15),0),
              ROUND(ROUND(OFFSET($P218,0,AU$13),15-13*ORÇAMENTO!$AF$7)*OFFSET(ORÇAMENTO!$W$15,ROW(AU218)-ROW(AU$15),0),15-13*ORÇAMENTO!$AF$11)),
         0)</f>
        <v>0</v>
      </c>
      <c r="AV218" s="452">
        <f ca="1">IF(AND($D218="Serviço",AV$12&lt;&gt;0,$H218&gt;0,OR(AUTOEVENTO&lt;&gt;"manual",$M218&lt;&gt;$A$15)),
        IF(Import.TipoArredondamento&lt;&gt;"TransfereGOV",
              ROUND(OFFSET($P218,0,AV$13),15-13*ORÇAMENTO!$AF$7)/$H218*OFFSET(ORÇAMENTO!$X$15,ROW(AV218)-ROW(AV$15),0),
              ROUND(ROUND(OFFSET($P218,0,AV$13),15-13*ORÇAMENTO!$AF$7)*OFFSET(ORÇAMENTO!$W$15,ROW(AV218)-ROW(AV$15),0),15-13*ORÇAMENTO!$AF$11)),
         0)</f>
        <v>0</v>
      </c>
      <c r="AW218" s="452">
        <f ca="1">IF(AND($D218="Serviço",AW$12&lt;&gt;0,$H218&gt;0,OR(AUTOEVENTO&lt;&gt;"manual",$M218&lt;&gt;$A$15)),
        IF(Import.TipoArredondamento&lt;&gt;"TransfereGOV",
              ROUND(OFFSET($P218,0,AW$13),15-13*ORÇAMENTO!$AF$7)/$H218*OFFSET(ORÇAMENTO!$X$15,ROW(AW218)-ROW(AW$15),0),
              ROUND(ROUND(OFFSET($P218,0,AW$13),15-13*ORÇAMENTO!$AF$7)*OFFSET(ORÇAMENTO!$W$15,ROW(AW218)-ROW(AW$15),0),15-13*ORÇAMENTO!$AF$11)),
         0)</f>
        <v>0</v>
      </c>
      <c r="AX218" s="452">
        <f ca="1">IF(AND($D218="Serviço",AX$12&lt;&gt;0,$H218&gt;0,OR(AUTOEVENTO&lt;&gt;"manual",$M218&lt;&gt;$A$15)),
        IF(Import.TipoArredondamento&lt;&gt;"TransfereGOV",
              ROUND(OFFSET($P218,0,AX$13),15-13*ORÇAMENTO!$AF$7)/$H218*OFFSET(ORÇAMENTO!$X$15,ROW(AX218)-ROW(AX$15),0),
              ROUND(ROUND(OFFSET($P218,0,AX$13),15-13*ORÇAMENTO!$AF$7)*OFFSET(ORÇAMENTO!$W$15,ROW(AX218)-ROW(AX$15),0),15-13*ORÇAMENTO!$AF$11)),
         0)</f>
        <v>0</v>
      </c>
      <c r="AY218" s="452">
        <f ca="1">IF(AND($D218="Serviço",AY$12&lt;&gt;0,$H218&gt;0,OR(AUTOEVENTO&lt;&gt;"manual",$M218&lt;&gt;$A$15)),
        IF(Import.TipoArredondamento&lt;&gt;"TransfereGOV",
              ROUND(OFFSET($P218,0,AY$13),15-13*ORÇAMENTO!$AF$7)/$H218*OFFSET(ORÇAMENTO!$X$15,ROW(AY218)-ROW(AY$15),0),
              ROUND(ROUND(OFFSET($P218,0,AY$13),15-13*ORÇAMENTO!$AF$7)*OFFSET(ORÇAMENTO!$W$15,ROW(AY218)-ROW(AY$15),0),15-13*ORÇAMENTO!$AF$11)),
         0)</f>
        <v>0</v>
      </c>
      <c r="AZ218" s="452">
        <f ca="1">IF(AND($D218="Serviço",AZ$12&lt;&gt;0,$H218&gt;0,OR(AUTOEVENTO&lt;&gt;"manual",$M218&lt;&gt;$A$15)),
        IF(Import.TipoArredondamento&lt;&gt;"TransfereGOV",
              ROUND(OFFSET($P218,0,AZ$13),15-13*ORÇAMENTO!$AF$7)/$H218*OFFSET(ORÇAMENTO!$X$15,ROW(AZ218)-ROW(AZ$15),0),
              ROUND(ROUND(OFFSET($P218,0,AZ$13),15-13*ORÇAMENTO!$AF$7)*OFFSET(ORÇAMENTO!$W$15,ROW(AZ218)-ROW(AZ$15),0),15-13*ORÇAMENTO!$AF$11)),
         0)</f>
        <v>0</v>
      </c>
      <c r="BA218" s="452">
        <f ca="1">IF(AND($D218="Serviço",BA$12&lt;&gt;0,$H218&gt;0,OR(AUTOEVENTO&lt;&gt;"manual",$M218&lt;&gt;$A$15)),
        IF(Import.TipoArredondamento&lt;&gt;"TransfereGOV",
              ROUND(OFFSET($P218,0,BA$13),15-13*ORÇAMENTO!$AF$7)/$H218*OFFSET(ORÇAMENTO!$X$15,ROW(BA218)-ROW(BA$15),0),
              ROUND(ROUND(OFFSET($P218,0,BA$13),15-13*ORÇAMENTO!$AF$7)*OFFSET(ORÇAMENTO!$W$15,ROW(BA218)-ROW(BA$15),0),15-13*ORÇAMENTO!$AF$11)),
         0)</f>
        <v>0</v>
      </c>
      <c r="BC218" s="171">
        <f ca="1">IF(OR($D218&lt;&gt;"Serviço",AND(AUTOEVENTO="Manual",$M218=$A$15)),0,
         IF(OFFSET(CRONOPLE!$F$15,$M218-$A$15,BC$13)=0,10^12,OFFSET(CRONOPLE!$F$15,$M218-$A$15,BC$13)))</f>
        <v>0</v>
      </c>
      <c r="BD218" s="171">
        <f ca="1">IF(OR($D218&lt;&gt;"Serviço",AND(AUTOEVENTO="Manual",$M218=$A$15)),0,
         IF(OFFSET(CRONOPLE!$F$15,$M218-$A$15,BD$13)=0,10^12,OFFSET(CRONOPLE!$F$15,$M218-$A$15,BD$13)))</f>
        <v>0</v>
      </c>
      <c r="BE218" s="171">
        <f ca="1">IF(OR($D218&lt;&gt;"Serviço",AND(AUTOEVENTO="Manual",$M218=$A$15)),0,
         IF(OFFSET(CRONOPLE!$F$15,$M218-$A$15,BE$13)=0,10^12,OFFSET(CRONOPLE!$F$15,$M218-$A$15,BE$13)))</f>
        <v>0</v>
      </c>
      <c r="BF218" s="171">
        <f ca="1">IF(OR($D218&lt;&gt;"Serviço",AND(AUTOEVENTO="Manual",$M218=$A$15)),0,
         IF(OFFSET(CRONOPLE!$F$15,$M218-$A$15,BF$13)=0,10^12,OFFSET(CRONOPLE!$F$15,$M218-$A$15,BF$13)))</f>
        <v>0</v>
      </c>
      <c r="BG218" s="171">
        <f ca="1">IF(OR($D218&lt;&gt;"Serviço",AND(AUTOEVENTO="Manual",$M218=$A$15)),0,
         IF(OFFSET(CRONOPLE!$F$15,$M218-$A$15,BG$13)=0,10^12,OFFSET(CRONOPLE!$F$15,$M218-$A$15,BG$13)))</f>
        <v>0</v>
      </c>
      <c r="BH218" s="171">
        <f ca="1">IF(OR($D218&lt;&gt;"Serviço",AND(AUTOEVENTO="Manual",$M218=$A$15)),0,
         IF(OFFSET(CRONOPLE!$F$15,$M218-$A$15,BH$13)=0,10^12,OFFSET(CRONOPLE!$F$15,$M218-$A$15,BH$13)))</f>
        <v>0</v>
      </c>
      <c r="BI218" s="171">
        <f ca="1">IF(OR($D218&lt;&gt;"Serviço",AND(AUTOEVENTO="Manual",$M218=$A$15)),0,
         IF(OFFSET(CRONOPLE!$F$15,$M218-$A$15,BI$13)=0,10^12,OFFSET(CRONOPLE!$F$15,$M218-$A$15,BI$13)))</f>
        <v>0</v>
      </c>
      <c r="BJ218" s="171">
        <f ca="1">IF(OR($D218&lt;&gt;"Serviço",AND(AUTOEVENTO="Manual",$M218=$A$15)),0,
         IF(OFFSET(CRONOPLE!$F$15,$M218-$A$15,BJ$13)=0,10^12,OFFSET(CRONOPLE!$F$15,$M218-$A$15,BJ$13)))</f>
        <v>0</v>
      </c>
      <c r="BK218" s="171">
        <f ca="1">IF(OR($D218&lt;&gt;"Serviço",AND(AUTOEVENTO="Manual",$M218=$A$15)),0,
         IF(OFFSET(CRONOPLE!$F$15,$M218-$A$15,BK$13)=0,10^12,OFFSET(CRONOPLE!$F$15,$M218-$A$15,BK$13)))</f>
        <v>0</v>
      </c>
      <c r="BL218" s="171">
        <f ca="1">IF(OR($D218&lt;&gt;"Serviço",AND(AUTOEVENTO="Manual",$M218=$A$15)),0,
         IF(OFFSET(CRONOPLE!$F$15,$M218-$A$15,BL$13)=0,10^12,OFFSET(CRONOPLE!$F$15,$M218-$A$15,BL$13)))</f>
        <v>0</v>
      </c>
      <c r="BM218" s="171">
        <f ca="1">IF(OR($D218&lt;&gt;"Serviço",AND(AUTOEVENTO="Manual",$M218=$A$15)),0,
         IF(OFFSET(CRONOPLE!$F$15,$M218-$A$15,BM$13)=0,10^12,OFFSET(CRONOPLE!$F$15,$M218-$A$15,BM$13)))</f>
        <v>0</v>
      </c>
      <c r="BN218" s="171">
        <f ca="1">IF(OR($D218&lt;&gt;"Serviço",AND(AUTOEVENTO="Manual",$M218=$A$15)),0,
         IF(OFFSET(CRONOPLE!$F$15,$M218-$A$15,BN$13)=0,10^12,OFFSET(CRONOPLE!$F$15,$M218-$A$15,BN$13)))</f>
        <v>0</v>
      </c>
      <c r="BO218" s="171">
        <f ca="1">IF(OR($D218&lt;&gt;"Serviço",AND(AUTOEVENTO="Manual",$M218=$A$15)),0,
         IF(OFFSET(CRONOPLE!$F$15,$M218-$A$15,BO$13)=0,10^12,OFFSET(CRONOPLE!$F$15,$M218-$A$15,BO$13)))</f>
        <v>0</v>
      </c>
      <c r="BP218" s="171">
        <f ca="1">IF(OR($D218&lt;&gt;"Serviço",AND(AUTOEVENTO="Manual",$M218=$A$15)),0,
         IF(OFFSET(CRONOPLE!$F$15,$M218-$A$15,BP$13)=0,10^12,OFFSET(CRONOPLE!$F$15,$M218-$A$15,BP$13)))</f>
        <v>0</v>
      </c>
      <c r="BQ218" s="171">
        <f ca="1">IF(OR($D218&lt;&gt;"Serviço",AND(AUTOEVENTO="Manual",$M218=$A$15)),0,
         IF(OFFSET(CRONOPLE!$F$15,$M218-$A$15,BQ$13)=0,10^12,OFFSET(CRONOPLE!$F$15,$M218-$A$15,BQ$13)))</f>
        <v>0</v>
      </c>
      <c r="BR218" s="171">
        <f ca="1">IF(OR($D218&lt;&gt;"Serviço",AND(AUTOEVENTO="Manual",$M218=$A$15)),0,
         IF(OFFSET(CRONOPLE!$F$15,$M218-$A$15,BR$13)=0,10^12,OFFSET(CRONOPLE!$F$15,$M218-$A$15,BR$13)))</f>
        <v>0</v>
      </c>
      <c r="BS218" s="171">
        <f ca="1">IF(OR($D218&lt;&gt;"Serviço",AND(AUTOEVENTO="Manual",$M218=$A$15)),0,
         IF(OFFSET(CRONOPLE!$F$15,$M218-$A$15,BS$13)=0,10^12,OFFSET(CRONOPLE!$F$15,$M218-$A$15,BS$13)))</f>
        <v>0</v>
      </c>
      <c r="BT218" s="171">
        <f ca="1">IF(OR($D218&lt;&gt;"Serviço",AND(AUTOEVENTO="Manual",$M218=$A$15)),0,
         IF(OFFSET(CRONOPLE!$F$15,$M218-$A$15,BT$13)=0,10^12,OFFSET(CRONOPLE!$F$15,$M218-$A$15,BT$13)))</f>
        <v>0</v>
      </c>
      <c r="BV218" s="172">
        <f t="array" aca="1" ref="BV218" ca="1">IF(OR($D218&lt;&gt;"Serviço",AND(AUTOEVENTO="Manual",$M218=$A$15),$M218&gt;(ROW(PLE.lastrow)-ROW(PLE.firstrow))),0,
           IF(OFFSET(PLE!$G$15,$M218-$A$15,BV$13)="",10^12,OFFSET(PLE!$G$15,$M218-$A$15,BV$13)))</f>
        <v>0</v>
      </c>
      <c r="BW218" s="172">
        <f t="array" aca="1" ref="BW218" ca="1">IF(OR($D218&lt;&gt;"Serviço",AND(AUTOEVENTO="Manual",$M218=$A$15),$M218&gt;(ROW(PLE.lastrow)-ROW(PLE.firstrow))),0,
           IF(OFFSET(PLE!$G$15,$M218-$A$15,BW$13)="",10^12,OFFSET(PLE!$G$15,$M218-$A$15,BW$13)))</f>
        <v>0</v>
      </c>
      <c r="BX218" s="172">
        <f t="array" aca="1" ref="BX218" ca="1">IF(OR($D218&lt;&gt;"Serviço",AND(AUTOEVENTO="Manual",$M218=$A$15),$M218&gt;(ROW(PLE.lastrow)-ROW(PLE.firstrow))),0,
           IF(OFFSET(PLE!$G$15,$M218-$A$15,BX$13)="",10^12,OFFSET(PLE!$G$15,$M218-$A$15,BX$13)))</f>
        <v>0</v>
      </c>
      <c r="BY218" s="172">
        <f t="array" aca="1" ref="BY218" ca="1">IF(OR($D218&lt;&gt;"Serviço",AND(AUTOEVENTO="Manual",$M218=$A$15),$M218&gt;(ROW(PLE.lastrow)-ROW(PLE.firstrow))),0,
           IF(OFFSET(PLE!$G$15,$M218-$A$15,BY$13)="",10^12,OFFSET(PLE!$G$15,$M218-$A$15,BY$13)))</f>
        <v>0</v>
      </c>
      <c r="BZ218" s="172">
        <f t="array" aca="1" ref="BZ218" ca="1">IF(OR($D218&lt;&gt;"Serviço",AND(AUTOEVENTO="Manual",$M218=$A$15),$M218&gt;(ROW(PLE.lastrow)-ROW(PLE.firstrow))),0,
           IF(OFFSET(PLE!$G$15,$M218-$A$15,BZ$13)="",10^12,OFFSET(PLE!$G$15,$M218-$A$15,BZ$13)))</f>
        <v>0</v>
      </c>
      <c r="CA218" s="172">
        <f t="array" aca="1" ref="CA218" ca="1">IF(OR($D218&lt;&gt;"Serviço",AND(AUTOEVENTO="Manual",$M218=$A$15),$M218&gt;(ROW(PLE.lastrow)-ROW(PLE.firstrow))),0,
           IF(OFFSET(PLE!$G$15,$M218-$A$15,CA$13)="",10^12,OFFSET(PLE!$G$15,$M218-$A$15,CA$13)))</f>
        <v>0</v>
      </c>
      <c r="CB218" s="172">
        <f t="array" aca="1" ref="CB218" ca="1">IF(OR($D218&lt;&gt;"Serviço",AND(AUTOEVENTO="Manual",$M218=$A$15),$M218&gt;(ROW(PLE.lastrow)-ROW(PLE.firstrow))),0,
           IF(OFFSET(PLE!$G$15,$M218-$A$15,CB$13)="",10^12,OFFSET(PLE!$G$15,$M218-$A$15,CB$13)))</f>
        <v>0</v>
      </c>
      <c r="CC218" s="172">
        <f t="array" aca="1" ref="CC218" ca="1">IF(OR($D218&lt;&gt;"Serviço",AND(AUTOEVENTO="Manual",$M218=$A$15),$M218&gt;(ROW(PLE.lastrow)-ROW(PLE.firstrow))),0,
           IF(OFFSET(PLE!$G$15,$M218-$A$15,CC$13)="",10^12,OFFSET(PLE!$G$15,$M218-$A$15,CC$13)))</f>
        <v>0</v>
      </c>
      <c r="CD218" s="172">
        <f t="array" aca="1" ref="CD218" ca="1">IF(OR($D218&lt;&gt;"Serviço",AND(AUTOEVENTO="Manual",$M218=$A$15),$M218&gt;(ROW(PLE.lastrow)-ROW(PLE.firstrow))),0,
           IF(OFFSET(PLE!$G$15,$M218-$A$15,CD$13)="",10^12,OFFSET(PLE!$G$15,$M218-$A$15,CD$13)))</f>
        <v>0</v>
      </c>
      <c r="CE218" s="172">
        <f t="array" aca="1" ref="CE218" ca="1">IF(OR($D218&lt;&gt;"Serviço",AND(AUTOEVENTO="Manual",$M218=$A$15),$M218&gt;(ROW(PLE.lastrow)-ROW(PLE.firstrow))),0,
           IF(OFFSET(PLE!$G$15,$M218-$A$15,CE$13)="",10^12,OFFSET(PLE!$G$15,$M218-$A$15,CE$13)))</f>
        <v>0</v>
      </c>
      <c r="CF218" s="172">
        <f t="array" aca="1" ref="CF218" ca="1">IF(OR($D218&lt;&gt;"Serviço",AND(AUTOEVENTO="Manual",$M218=$A$15),$M218&gt;(ROW(PLE.lastrow)-ROW(PLE.firstrow))),0,
           IF(OFFSET(PLE!$G$15,$M218-$A$15,CF$13)="",10^12,OFFSET(PLE!$G$15,$M218-$A$15,CF$13)))</f>
        <v>0</v>
      </c>
      <c r="CG218" s="172">
        <f t="array" aca="1" ref="CG218" ca="1">IF(OR($D218&lt;&gt;"Serviço",AND(AUTOEVENTO="Manual",$M218=$A$15),$M218&gt;(ROW(PLE.lastrow)-ROW(PLE.firstrow))),0,
           IF(OFFSET(PLE!$G$15,$M218-$A$15,CG$13)="",10^12,OFFSET(PLE!$G$15,$M218-$A$15,CG$13)))</f>
        <v>0</v>
      </c>
      <c r="CH218" s="172">
        <f t="array" aca="1" ref="CH218" ca="1">IF(OR($D218&lt;&gt;"Serviço",AND(AUTOEVENTO="Manual",$M218=$A$15),$M218&gt;(ROW(PLE.lastrow)-ROW(PLE.firstrow))),0,
           IF(OFFSET(PLE!$G$15,$M218-$A$15,CH$13)="",10^12,OFFSET(PLE!$G$15,$M218-$A$15,CH$13)))</f>
        <v>0</v>
      </c>
      <c r="CI218" s="172">
        <f t="array" aca="1" ref="CI218" ca="1">IF(OR($D218&lt;&gt;"Serviço",AND(AUTOEVENTO="Manual",$M218=$A$15),$M218&gt;(ROW(PLE.lastrow)-ROW(PLE.firstrow))),0,
           IF(OFFSET(PLE!$G$15,$M218-$A$15,CI$13)="",10^12,OFFSET(PLE!$G$15,$M218-$A$15,CI$13)))</f>
        <v>0</v>
      </c>
      <c r="CJ218" s="172">
        <f t="array" aca="1" ref="CJ218" ca="1">IF(OR($D218&lt;&gt;"Serviço",AND(AUTOEVENTO="Manual",$M218=$A$15),$M218&gt;(ROW(PLE.lastrow)-ROW(PLE.firstrow))),0,
           IF(OFFSET(PLE!$G$15,$M218-$A$15,CJ$13)="",10^12,OFFSET(PLE!$G$15,$M218-$A$15,CJ$13)))</f>
        <v>0</v>
      </c>
      <c r="CK218" s="172">
        <f t="array" aca="1" ref="CK218" ca="1">IF(OR($D218&lt;&gt;"Serviço",AND(AUTOEVENTO="Manual",$M218=$A$15),$M218&gt;(ROW(PLE.lastrow)-ROW(PLE.firstrow))),0,
           IF(OFFSET(PLE!$G$15,$M218-$A$15,CK$13)="",10^12,OFFSET(PLE!$G$15,$M218-$A$15,CK$13)))</f>
        <v>0</v>
      </c>
      <c r="CL218" s="172">
        <f t="array" aca="1" ref="CL218" ca="1">IF(OR($D218&lt;&gt;"Serviço",AND(AUTOEVENTO="Manual",$M218=$A$15),$M218&gt;(ROW(PLE.lastrow)-ROW(PLE.firstrow))),0,
           IF(OFFSET(PLE!$G$15,$M218-$A$15,CL$13)="",10^12,OFFSET(PLE!$G$15,$M218-$A$15,CL$13)))</f>
        <v>0</v>
      </c>
      <c r="CM218" s="172">
        <f t="array" aca="1" ref="CM218" ca="1">IF(OR($D218&lt;&gt;"Serviço",AND(AUTOEVENTO="Manual",$M218=$A$15),$M218&gt;(ROW(PLE.lastrow)-ROW(PLE.firstrow))),0,
           IF(OFFSET(PLE!$G$15,$M218-$A$15,CM$13)="",10^12,OFFSET(PLE!$G$15,$M218-$A$15,CM$13)))</f>
        <v>0</v>
      </c>
    </row>
    <row r="219" spans="1:91" s="696" customFormat="1" ht="63.75" x14ac:dyDescent="0.2">
      <c r="A219" s="694">
        <f t="shared" ca="1" si="98"/>
        <v>40</v>
      </c>
      <c r="B219" s="694" t="str">
        <f ca="1">OFFSET(ORÇAMENTO!C$15,$L219,0)</f>
        <v>S</v>
      </c>
      <c r="C219" s="694" t="str">
        <f ca="1">OFFSET(ORÇAMENTO!L$15,$L219,0)</f>
        <v>F</v>
      </c>
      <c r="D219" s="116" t="str">
        <f ca="1">OFFSET(ORÇAMENTO!N$15,$L219,0)</f>
        <v>Serviço</v>
      </c>
      <c r="E219" s="117" t="str">
        <f ca="1">OFFSET(ORÇAMENTO!O$15,$L219,0)</f>
        <v>1.33.1.</v>
      </c>
      <c r="F219" s="163" t="str">
        <f ca="1">OFFSET(ORÇAMENTO!R$15,$L219,0)</f>
        <v>BANCADA DE MÁRMORE SINTÉTICO 120 X 60CM, COM CUBA INTEGRADA, INCLUSO SIFÃO TIPO FLEXÍVEL EM PVC, VÁLVULA EM PLÁSTICO CROMADO TIPO AMERICANA E TORNEIRA CROMADA LONGA, DE PAREDE, PADRÃO POPULAR - FORNECIMENTO E INSTALAÇÃO. AF_01/2020</v>
      </c>
      <c r="G219" s="164" t="str">
        <f ca="1">IF($D219&lt;&gt;"Serviço","",OFFSET(ORÇAMENTO!S$15,$L219,0))</f>
        <v>UN</v>
      </c>
      <c r="H219" s="122">
        <f t="array" aca="1" ref="H219" ca="1">IF($D219&lt;&gt;"Serviço",0,IF(ACOMPANHAMENTO="BM",ROUND(OFFSET(ORÇAMENTO!AJ$15,$L219,0),15-13*ORÇAMENTO!$AF$7),IF(IFERROR(CÁLCULO.FrentesPreenchidas,0)=0,0,SUM(ROUND(OFFSET($P219,0,1,1,CÁLCULO.FrentesPreenchidas),15-13*ORÇAMENTO!$AF$7)))))</f>
        <v>20</v>
      </c>
      <c r="I219" s="467" t="s">
        <v>1342</v>
      </c>
      <c r="J219" s="653" t="str">
        <f t="array" aca="1" ref="J219" ca="1">IF(OR(B219&lt;&gt;"S",CÁLCULO.FrentesPreenchidas=0),"",IF(AND(ACOMPANHAMENTO="PLE",AUTOEVENTO="Manual",OR(H219&gt;0,ORÇAMENTO!AC219="QUANT."),OR(K219="",M219=0,N219="")),"►E",IF(AND(ACOMPANHAMENTO="PLE",ORÇAMENTO!AC219="QUANT."),"►Q",IF(AND(ACOMPANHAMENTO="PLE",H219&lt;&gt;SUMPRODUCT(($Q$1:$AI$1=1)*ROUND(Q219:AI219,15))),"►S",IF(AND(COUNTIF($P$11:$AI$11,"▼")=0,H219&gt;0,I219=""),"◄M","")))))</f>
        <v/>
      </c>
      <c r="K219" s="654" t="s">
        <v>1449</v>
      </c>
      <c r="L219" s="165">
        <f t="shared" ca="1" si="99"/>
        <v>204</v>
      </c>
      <c r="M219" s="166">
        <f ca="1">IF($D219&lt;&gt;"Serviço","",
          IF(AUTOEVENTO="manual",$A219,
                IF(ISERROR(MATCH($A219,$A$15:OFFSET($A219,-1,0),0)),MAX($M$15:OFFSET(M219,-1,0))+1,
                      INDEX($M$15:OFFSET(M219,-1,0),MATCH($A219,$A$15:OFFSET($A219,-1,0),0)))))</f>
        <v>40</v>
      </c>
      <c r="N219" s="167" t="str">
        <f ca="1">IF($D219&lt;&gt;"Serviço","",
         IF(AUTOEVENTO="Manual",
                IF($A219=0,"&lt;-- defina o número do agrupador",
                       OFFSET(EVENTOS!$D$15,$A219-$A$15,0)),
                OFFSET($F$15,$A219,0)))</f>
        <v>PLASTICOS E SINTÉTICOS</v>
      </c>
      <c r="O219" s="168"/>
      <c r="Q219" s="169">
        <v>5</v>
      </c>
      <c r="R219" s="169">
        <v>5</v>
      </c>
      <c r="S219" s="169">
        <v>5</v>
      </c>
      <c r="T219" s="169">
        <v>5</v>
      </c>
      <c r="U219" s="169"/>
      <c r="V219" s="169"/>
      <c r="W219" s="169"/>
      <c r="X219" s="169"/>
      <c r="Y219" s="169"/>
      <c r="Z219" s="170"/>
      <c r="AA219" s="169"/>
      <c r="AB219" s="169"/>
      <c r="AC219" s="169"/>
      <c r="AD219" s="169"/>
      <c r="AE219" s="169"/>
      <c r="AF219" s="169"/>
      <c r="AG219" s="169"/>
      <c r="AH219" s="170"/>
      <c r="AJ219" s="452">
        <f ca="1">IF(AND($D219="Serviço",AJ$12&lt;&gt;0,$H219&gt;0,OR(AUTOEVENTO&lt;&gt;"manual",$M219&lt;&gt;$A$15)),
        IF(Import.TipoArredondamento&lt;&gt;"TransfereGOV",
              ROUND(OFFSET($P219,0,AJ$13),15-13*ORÇAMENTO!$AF$7)/$H219*OFFSET(ORÇAMENTO!$X$15,ROW(AJ219)-ROW(AJ$15),0),
              ROUND(ROUND(OFFSET($P219,0,AJ$13),15-13*ORÇAMENTO!$AF$7)*OFFSET(ORÇAMENTO!$W$15,ROW(AJ219)-ROW(AJ$15),0),15-13*ORÇAMENTO!$AF$11)),
         0)</f>
        <v>2530.5500000000002</v>
      </c>
      <c r="AK219" s="452">
        <f ca="1">IF(AND($D219="Serviço",AK$12&lt;&gt;0,$H219&gt;0,OR(AUTOEVENTO&lt;&gt;"manual",$M219&lt;&gt;$A$15)),
        IF(Import.TipoArredondamento&lt;&gt;"TransfereGOV",
              ROUND(OFFSET($P219,0,AK$13),15-13*ORÇAMENTO!$AF$7)/$H219*OFFSET(ORÇAMENTO!$X$15,ROW(AK219)-ROW(AK$15),0),
              ROUND(ROUND(OFFSET($P219,0,AK$13),15-13*ORÇAMENTO!$AF$7)*OFFSET(ORÇAMENTO!$W$15,ROW(AK219)-ROW(AK$15),0),15-13*ORÇAMENTO!$AF$11)),
         0)</f>
        <v>2530.5500000000002</v>
      </c>
      <c r="AL219" s="452">
        <f ca="1">IF(AND($D219="Serviço",AL$12&lt;&gt;0,$H219&gt;0,OR(AUTOEVENTO&lt;&gt;"manual",$M219&lt;&gt;$A$15)),
        IF(Import.TipoArredondamento&lt;&gt;"TransfereGOV",
              ROUND(OFFSET($P219,0,AL$13),15-13*ORÇAMENTO!$AF$7)/$H219*OFFSET(ORÇAMENTO!$X$15,ROW(AL219)-ROW(AL$15),0),
              ROUND(ROUND(OFFSET($P219,0,AL$13),15-13*ORÇAMENTO!$AF$7)*OFFSET(ORÇAMENTO!$W$15,ROW(AL219)-ROW(AL$15),0),15-13*ORÇAMENTO!$AF$11)),
         0)</f>
        <v>2530.5500000000002</v>
      </c>
      <c r="AM219" s="452">
        <f ca="1">IF(AND($D219="Serviço",AM$12&lt;&gt;0,$H219&gt;0,OR(AUTOEVENTO&lt;&gt;"manual",$M219&lt;&gt;$A$15)),
        IF(Import.TipoArredondamento&lt;&gt;"TransfereGOV",
              ROUND(OFFSET($P219,0,AM$13),15-13*ORÇAMENTO!$AF$7)/$H219*OFFSET(ORÇAMENTO!$X$15,ROW(AM219)-ROW(AM$15),0),
              ROUND(ROUND(OFFSET($P219,0,AM$13),15-13*ORÇAMENTO!$AF$7)*OFFSET(ORÇAMENTO!$W$15,ROW(AM219)-ROW(AM$15),0),15-13*ORÇAMENTO!$AF$11)),
         0)</f>
        <v>2530.5500000000002</v>
      </c>
      <c r="AN219" s="452">
        <f ca="1">IF(AND($D219="Serviço",AN$12&lt;&gt;0,$H219&gt;0,OR(AUTOEVENTO&lt;&gt;"manual",$M219&lt;&gt;$A$15)),
        IF(Import.TipoArredondamento&lt;&gt;"TransfereGOV",
              ROUND(OFFSET($P219,0,AN$13),15-13*ORÇAMENTO!$AF$7)/$H219*OFFSET(ORÇAMENTO!$X$15,ROW(AN219)-ROW(AN$15),0),
              ROUND(ROUND(OFFSET($P219,0,AN$13),15-13*ORÇAMENTO!$AF$7)*OFFSET(ORÇAMENTO!$W$15,ROW(AN219)-ROW(AN$15),0),15-13*ORÇAMENTO!$AF$11)),
         0)</f>
        <v>0</v>
      </c>
      <c r="AO219" s="452">
        <f ca="1">IF(AND($D219="Serviço",AO$12&lt;&gt;0,$H219&gt;0,OR(AUTOEVENTO&lt;&gt;"manual",$M219&lt;&gt;$A$15)),
        IF(Import.TipoArredondamento&lt;&gt;"TransfereGOV",
              ROUND(OFFSET($P219,0,AO$13),15-13*ORÇAMENTO!$AF$7)/$H219*OFFSET(ORÇAMENTO!$X$15,ROW(AO219)-ROW(AO$15),0),
              ROUND(ROUND(OFFSET($P219,0,AO$13),15-13*ORÇAMENTO!$AF$7)*OFFSET(ORÇAMENTO!$W$15,ROW(AO219)-ROW(AO$15),0),15-13*ORÇAMENTO!$AF$11)),
         0)</f>
        <v>0</v>
      </c>
      <c r="AP219" s="452">
        <f ca="1">IF(AND($D219="Serviço",AP$12&lt;&gt;0,$H219&gt;0,OR(AUTOEVENTO&lt;&gt;"manual",$M219&lt;&gt;$A$15)),
        IF(Import.TipoArredondamento&lt;&gt;"TransfereGOV",
              ROUND(OFFSET($P219,0,AP$13),15-13*ORÇAMENTO!$AF$7)/$H219*OFFSET(ORÇAMENTO!$X$15,ROW(AP219)-ROW(AP$15),0),
              ROUND(ROUND(OFFSET($P219,0,AP$13),15-13*ORÇAMENTO!$AF$7)*OFFSET(ORÇAMENTO!$W$15,ROW(AP219)-ROW(AP$15),0),15-13*ORÇAMENTO!$AF$11)),
         0)</f>
        <v>0</v>
      </c>
      <c r="AQ219" s="452">
        <f ca="1">IF(AND($D219="Serviço",AQ$12&lt;&gt;0,$H219&gt;0,OR(AUTOEVENTO&lt;&gt;"manual",$M219&lt;&gt;$A$15)),
        IF(Import.TipoArredondamento&lt;&gt;"TransfereGOV",
              ROUND(OFFSET($P219,0,AQ$13),15-13*ORÇAMENTO!$AF$7)/$H219*OFFSET(ORÇAMENTO!$X$15,ROW(AQ219)-ROW(AQ$15),0),
              ROUND(ROUND(OFFSET($P219,0,AQ$13),15-13*ORÇAMENTO!$AF$7)*OFFSET(ORÇAMENTO!$W$15,ROW(AQ219)-ROW(AQ$15),0),15-13*ORÇAMENTO!$AF$11)),
         0)</f>
        <v>0</v>
      </c>
      <c r="AR219" s="452">
        <f ca="1">IF(AND($D219="Serviço",AR$12&lt;&gt;0,$H219&gt;0,OR(AUTOEVENTO&lt;&gt;"manual",$M219&lt;&gt;$A$15)),
        IF(Import.TipoArredondamento&lt;&gt;"TransfereGOV",
              ROUND(OFFSET($P219,0,AR$13),15-13*ORÇAMENTO!$AF$7)/$H219*OFFSET(ORÇAMENTO!$X$15,ROW(AR219)-ROW(AR$15),0),
              ROUND(ROUND(OFFSET($P219,0,AR$13),15-13*ORÇAMENTO!$AF$7)*OFFSET(ORÇAMENTO!$W$15,ROW(AR219)-ROW(AR$15),0),15-13*ORÇAMENTO!$AF$11)),
         0)</f>
        <v>0</v>
      </c>
      <c r="AS219" s="452">
        <f ca="1">IF(AND($D219="Serviço",AS$12&lt;&gt;0,$H219&gt;0,OR(AUTOEVENTO&lt;&gt;"manual",$M219&lt;&gt;$A$15)),
        IF(Import.TipoArredondamento&lt;&gt;"TransfereGOV",
              ROUND(OFFSET($P219,0,AS$13),15-13*ORÇAMENTO!$AF$7)/$H219*OFFSET(ORÇAMENTO!$X$15,ROW(AS219)-ROW(AS$15),0),
              ROUND(ROUND(OFFSET($P219,0,AS$13),15-13*ORÇAMENTO!$AF$7)*OFFSET(ORÇAMENTO!$W$15,ROW(AS219)-ROW(AS$15),0),15-13*ORÇAMENTO!$AF$11)),
         0)</f>
        <v>0</v>
      </c>
      <c r="AT219" s="452">
        <f ca="1">IF(AND($D219="Serviço",AT$12&lt;&gt;0,$H219&gt;0,OR(AUTOEVENTO&lt;&gt;"manual",$M219&lt;&gt;$A$15)),
        IF(Import.TipoArredondamento&lt;&gt;"TransfereGOV",
              ROUND(OFFSET($P219,0,AT$13),15-13*ORÇAMENTO!$AF$7)/$H219*OFFSET(ORÇAMENTO!$X$15,ROW(AT219)-ROW(AT$15),0),
              ROUND(ROUND(OFFSET($P219,0,AT$13),15-13*ORÇAMENTO!$AF$7)*OFFSET(ORÇAMENTO!$W$15,ROW(AT219)-ROW(AT$15),0),15-13*ORÇAMENTO!$AF$11)),
         0)</f>
        <v>0</v>
      </c>
      <c r="AU219" s="452">
        <f ca="1">IF(AND($D219="Serviço",AU$12&lt;&gt;0,$H219&gt;0,OR(AUTOEVENTO&lt;&gt;"manual",$M219&lt;&gt;$A$15)),
        IF(Import.TipoArredondamento&lt;&gt;"TransfereGOV",
              ROUND(OFFSET($P219,0,AU$13),15-13*ORÇAMENTO!$AF$7)/$H219*OFFSET(ORÇAMENTO!$X$15,ROW(AU219)-ROW(AU$15),0),
              ROUND(ROUND(OFFSET($P219,0,AU$13),15-13*ORÇAMENTO!$AF$7)*OFFSET(ORÇAMENTO!$W$15,ROW(AU219)-ROW(AU$15),0),15-13*ORÇAMENTO!$AF$11)),
         0)</f>
        <v>0</v>
      </c>
      <c r="AV219" s="452">
        <f ca="1">IF(AND($D219="Serviço",AV$12&lt;&gt;0,$H219&gt;0,OR(AUTOEVENTO&lt;&gt;"manual",$M219&lt;&gt;$A$15)),
        IF(Import.TipoArredondamento&lt;&gt;"TransfereGOV",
              ROUND(OFFSET($P219,0,AV$13),15-13*ORÇAMENTO!$AF$7)/$H219*OFFSET(ORÇAMENTO!$X$15,ROW(AV219)-ROW(AV$15),0),
              ROUND(ROUND(OFFSET($P219,0,AV$13),15-13*ORÇAMENTO!$AF$7)*OFFSET(ORÇAMENTO!$W$15,ROW(AV219)-ROW(AV$15),0),15-13*ORÇAMENTO!$AF$11)),
         0)</f>
        <v>0</v>
      </c>
      <c r="AW219" s="452">
        <f ca="1">IF(AND($D219="Serviço",AW$12&lt;&gt;0,$H219&gt;0,OR(AUTOEVENTO&lt;&gt;"manual",$M219&lt;&gt;$A$15)),
        IF(Import.TipoArredondamento&lt;&gt;"TransfereGOV",
              ROUND(OFFSET($P219,0,AW$13),15-13*ORÇAMENTO!$AF$7)/$H219*OFFSET(ORÇAMENTO!$X$15,ROW(AW219)-ROW(AW$15),0),
              ROUND(ROUND(OFFSET($P219,0,AW$13),15-13*ORÇAMENTO!$AF$7)*OFFSET(ORÇAMENTO!$W$15,ROW(AW219)-ROW(AW$15),0),15-13*ORÇAMENTO!$AF$11)),
         0)</f>
        <v>0</v>
      </c>
      <c r="AX219" s="452">
        <f ca="1">IF(AND($D219="Serviço",AX$12&lt;&gt;0,$H219&gt;0,OR(AUTOEVENTO&lt;&gt;"manual",$M219&lt;&gt;$A$15)),
        IF(Import.TipoArredondamento&lt;&gt;"TransfereGOV",
              ROUND(OFFSET($P219,0,AX$13),15-13*ORÇAMENTO!$AF$7)/$H219*OFFSET(ORÇAMENTO!$X$15,ROW(AX219)-ROW(AX$15),0),
              ROUND(ROUND(OFFSET($P219,0,AX$13),15-13*ORÇAMENTO!$AF$7)*OFFSET(ORÇAMENTO!$W$15,ROW(AX219)-ROW(AX$15),0),15-13*ORÇAMENTO!$AF$11)),
         0)</f>
        <v>0</v>
      </c>
      <c r="AY219" s="452">
        <f ca="1">IF(AND($D219="Serviço",AY$12&lt;&gt;0,$H219&gt;0,OR(AUTOEVENTO&lt;&gt;"manual",$M219&lt;&gt;$A$15)),
        IF(Import.TipoArredondamento&lt;&gt;"TransfereGOV",
              ROUND(OFFSET($P219,0,AY$13),15-13*ORÇAMENTO!$AF$7)/$H219*OFFSET(ORÇAMENTO!$X$15,ROW(AY219)-ROW(AY$15),0),
              ROUND(ROUND(OFFSET($P219,0,AY$13),15-13*ORÇAMENTO!$AF$7)*OFFSET(ORÇAMENTO!$W$15,ROW(AY219)-ROW(AY$15),0),15-13*ORÇAMENTO!$AF$11)),
         0)</f>
        <v>0</v>
      </c>
      <c r="AZ219" s="452">
        <f ca="1">IF(AND($D219="Serviço",AZ$12&lt;&gt;0,$H219&gt;0,OR(AUTOEVENTO&lt;&gt;"manual",$M219&lt;&gt;$A$15)),
        IF(Import.TipoArredondamento&lt;&gt;"TransfereGOV",
              ROUND(OFFSET($P219,0,AZ$13),15-13*ORÇAMENTO!$AF$7)/$H219*OFFSET(ORÇAMENTO!$X$15,ROW(AZ219)-ROW(AZ$15),0),
              ROUND(ROUND(OFFSET($P219,0,AZ$13),15-13*ORÇAMENTO!$AF$7)*OFFSET(ORÇAMENTO!$W$15,ROW(AZ219)-ROW(AZ$15),0),15-13*ORÇAMENTO!$AF$11)),
         0)</f>
        <v>0</v>
      </c>
      <c r="BA219" s="452">
        <f ca="1">IF(AND($D219="Serviço",BA$12&lt;&gt;0,$H219&gt;0,OR(AUTOEVENTO&lt;&gt;"manual",$M219&lt;&gt;$A$15)),
        IF(Import.TipoArredondamento&lt;&gt;"TransfereGOV",
              ROUND(OFFSET($P219,0,BA$13),15-13*ORÇAMENTO!$AF$7)/$H219*OFFSET(ORÇAMENTO!$X$15,ROW(BA219)-ROW(BA$15),0),
              ROUND(ROUND(OFFSET($P219,0,BA$13),15-13*ORÇAMENTO!$AF$7)*OFFSET(ORÇAMENTO!$W$15,ROW(BA219)-ROW(BA$15),0),15-13*ORÇAMENTO!$AF$11)),
         0)</f>
        <v>0</v>
      </c>
      <c r="BC219" s="171">
        <f ca="1">IF(OR($D219&lt;&gt;"Serviço",AND(AUTOEVENTO="Manual",$M219=$A$15)),0,
         IF(OFFSET(CRONOPLE!$F$15,$M219-$A$15,BC$13)=0,10^12,OFFSET(CRONOPLE!$F$15,$M219-$A$15,BC$13)))</f>
        <v>8</v>
      </c>
      <c r="BD219" s="171">
        <f ca="1">IF(OR($D219&lt;&gt;"Serviço",AND(AUTOEVENTO="Manual",$M219=$A$15)),0,
         IF(OFFSET(CRONOPLE!$F$15,$M219-$A$15,BD$13)=0,10^12,OFFSET(CRONOPLE!$F$15,$M219-$A$15,BD$13)))</f>
        <v>8</v>
      </c>
      <c r="BE219" s="171">
        <f ca="1">IF(OR($D219&lt;&gt;"Serviço",AND(AUTOEVENTO="Manual",$M219=$A$15)),0,
         IF(OFFSET(CRONOPLE!$F$15,$M219-$A$15,BE$13)=0,10^12,OFFSET(CRONOPLE!$F$15,$M219-$A$15,BE$13)))</f>
        <v>9</v>
      </c>
      <c r="BF219" s="171">
        <f ca="1">IF(OR($D219&lt;&gt;"Serviço",AND(AUTOEVENTO="Manual",$M219=$A$15)),0,
         IF(OFFSET(CRONOPLE!$F$15,$M219-$A$15,BF$13)=0,10^12,OFFSET(CRONOPLE!$F$15,$M219-$A$15,BF$13)))</f>
        <v>9</v>
      </c>
      <c r="BG219" s="171">
        <f ca="1">IF(OR($D219&lt;&gt;"Serviço",AND(AUTOEVENTO="Manual",$M219=$A$15)),0,
         IF(OFFSET(CRONOPLE!$F$15,$M219-$A$15,BG$13)=0,10^12,OFFSET(CRONOPLE!$F$15,$M219-$A$15,BG$13)))</f>
        <v>9</v>
      </c>
      <c r="BH219" s="171">
        <f ca="1">IF(OR($D219&lt;&gt;"Serviço",AND(AUTOEVENTO="Manual",$M219=$A$15)),0,
         IF(OFFSET(CRONOPLE!$F$15,$M219-$A$15,BH$13)=0,10^12,OFFSET(CRONOPLE!$F$15,$M219-$A$15,BH$13)))</f>
        <v>1000000000000</v>
      </c>
      <c r="BI219" s="171">
        <f ca="1">IF(OR($D219&lt;&gt;"Serviço",AND(AUTOEVENTO="Manual",$M219=$A$15)),0,
         IF(OFFSET(CRONOPLE!$F$15,$M219-$A$15,BI$13)=0,10^12,OFFSET(CRONOPLE!$F$15,$M219-$A$15,BI$13)))</f>
        <v>1000000000000</v>
      </c>
      <c r="BJ219" s="171">
        <f ca="1">IF(OR($D219&lt;&gt;"Serviço",AND(AUTOEVENTO="Manual",$M219=$A$15)),0,
         IF(OFFSET(CRONOPLE!$F$15,$M219-$A$15,BJ$13)=0,10^12,OFFSET(CRONOPLE!$F$15,$M219-$A$15,BJ$13)))</f>
        <v>1000000000000</v>
      </c>
      <c r="BK219" s="171">
        <f ca="1">IF(OR($D219&lt;&gt;"Serviço",AND(AUTOEVENTO="Manual",$M219=$A$15)),0,
         IF(OFFSET(CRONOPLE!$F$15,$M219-$A$15,BK$13)=0,10^12,OFFSET(CRONOPLE!$F$15,$M219-$A$15,BK$13)))</f>
        <v>1000000000000</v>
      </c>
      <c r="BL219" s="171">
        <f ca="1">IF(OR($D219&lt;&gt;"Serviço",AND(AUTOEVENTO="Manual",$M219=$A$15)),0,
         IF(OFFSET(CRONOPLE!$F$15,$M219-$A$15,BL$13)=0,10^12,OFFSET(CRONOPLE!$F$15,$M219-$A$15,BL$13)))</f>
        <v>1000000000000</v>
      </c>
      <c r="BM219" s="171">
        <f ca="1">IF(OR($D219&lt;&gt;"Serviço",AND(AUTOEVENTO="Manual",$M219=$A$15)),0,
         IF(OFFSET(CRONOPLE!$F$15,$M219-$A$15,BM$13)=0,10^12,OFFSET(CRONOPLE!$F$15,$M219-$A$15,BM$13)))</f>
        <v>1000000000000</v>
      </c>
      <c r="BN219" s="171">
        <f ca="1">IF(OR($D219&lt;&gt;"Serviço",AND(AUTOEVENTO="Manual",$M219=$A$15)),0,
         IF(OFFSET(CRONOPLE!$F$15,$M219-$A$15,BN$13)=0,10^12,OFFSET(CRONOPLE!$F$15,$M219-$A$15,BN$13)))</f>
        <v>1000000000000</v>
      </c>
      <c r="BO219" s="171">
        <f ca="1">IF(OR($D219&lt;&gt;"Serviço",AND(AUTOEVENTO="Manual",$M219=$A$15)),0,
         IF(OFFSET(CRONOPLE!$F$15,$M219-$A$15,BO$13)=0,10^12,OFFSET(CRONOPLE!$F$15,$M219-$A$15,BO$13)))</f>
        <v>1000000000000</v>
      </c>
      <c r="BP219" s="171">
        <f ca="1">IF(OR($D219&lt;&gt;"Serviço",AND(AUTOEVENTO="Manual",$M219=$A$15)),0,
         IF(OFFSET(CRONOPLE!$F$15,$M219-$A$15,BP$13)=0,10^12,OFFSET(CRONOPLE!$F$15,$M219-$A$15,BP$13)))</f>
        <v>1000000000000</v>
      </c>
      <c r="BQ219" s="171">
        <f ca="1">IF(OR($D219&lt;&gt;"Serviço",AND(AUTOEVENTO="Manual",$M219=$A$15)),0,
         IF(OFFSET(CRONOPLE!$F$15,$M219-$A$15,BQ$13)=0,10^12,OFFSET(CRONOPLE!$F$15,$M219-$A$15,BQ$13)))</f>
        <v>1000000000000</v>
      </c>
      <c r="BR219" s="171">
        <f ca="1">IF(OR($D219&lt;&gt;"Serviço",AND(AUTOEVENTO="Manual",$M219=$A$15)),0,
         IF(OFFSET(CRONOPLE!$F$15,$M219-$A$15,BR$13)=0,10^12,OFFSET(CRONOPLE!$F$15,$M219-$A$15,BR$13)))</f>
        <v>1000000000000</v>
      </c>
      <c r="BS219" s="171">
        <f ca="1">IF(OR($D219&lt;&gt;"Serviço",AND(AUTOEVENTO="Manual",$M219=$A$15)),0,
         IF(OFFSET(CRONOPLE!$F$15,$M219-$A$15,BS$13)=0,10^12,OFFSET(CRONOPLE!$F$15,$M219-$A$15,BS$13)))</f>
        <v>1000000000000</v>
      </c>
      <c r="BT219" s="171">
        <f ca="1">IF(OR($D219&lt;&gt;"Serviço",AND(AUTOEVENTO="Manual",$M219=$A$15)),0,
         IF(OFFSET(CRONOPLE!$F$15,$M219-$A$15,BT$13)=0,10^12,OFFSET(CRONOPLE!$F$15,$M219-$A$15,BT$13)))</f>
        <v>1000000000000</v>
      </c>
      <c r="BV219" s="172">
        <f t="array" aca="1" ref="BV219" ca="1">IF(OR($D219&lt;&gt;"Serviço",AND(AUTOEVENTO="Manual",$M219=$A$15),$M219&gt;(ROW(PLE.lastrow)-ROW(PLE.firstrow))),0,
           IF(OFFSET(PLE!$G$15,$M219-$A$15,BV$13)="",10^12,OFFSET(PLE!$G$15,$M219-$A$15,BV$13)))</f>
        <v>1000000000000</v>
      </c>
      <c r="BW219" s="172">
        <f t="array" aca="1" ref="BW219" ca="1">IF(OR($D219&lt;&gt;"Serviço",AND(AUTOEVENTO="Manual",$M219=$A$15),$M219&gt;(ROW(PLE.lastrow)-ROW(PLE.firstrow))),0,
           IF(OFFSET(PLE!$G$15,$M219-$A$15,BW$13)="",10^12,OFFSET(PLE!$G$15,$M219-$A$15,BW$13)))</f>
        <v>1000000000000</v>
      </c>
      <c r="BX219" s="172">
        <f t="array" aca="1" ref="BX219" ca="1">IF(OR($D219&lt;&gt;"Serviço",AND(AUTOEVENTO="Manual",$M219=$A$15),$M219&gt;(ROW(PLE.lastrow)-ROW(PLE.firstrow))),0,
           IF(OFFSET(PLE!$G$15,$M219-$A$15,BX$13)="",10^12,OFFSET(PLE!$G$15,$M219-$A$15,BX$13)))</f>
        <v>1000000000000</v>
      </c>
      <c r="BY219" s="172">
        <f t="array" aca="1" ref="BY219" ca="1">IF(OR($D219&lt;&gt;"Serviço",AND(AUTOEVENTO="Manual",$M219=$A$15),$M219&gt;(ROW(PLE.lastrow)-ROW(PLE.firstrow))),0,
           IF(OFFSET(PLE!$G$15,$M219-$A$15,BY$13)="",10^12,OFFSET(PLE!$G$15,$M219-$A$15,BY$13)))</f>
        <v>1000000000000</v>
      </c>
      <c r="BZ219" s="172">
        <f t="array" aca="1" ref="BZ219" ca="1">IF(OR($D219&lt;&gt;"Serviço",AND(AUTOEVENTO="Manual",$M219=$A$15),$M219&gt;(ROW(PLE.lastrow)-ROW(PLE.firstrow))),0,
           IF(OFFSET(PLE!$G$15,$M219-$A$15,BZ$13)="",10^12,OFFSET(PLE!$G$15,$M219-$A$15,BZ$13)))</f>
        <v>1000000000000</v>
      </c>
      <c r="CA219" s="172">
        <f t="array" aca="1" ref="CA219" ca="1">IF(OR($D219&lt;&gt;"Serviço",AND(AUTOEVENTO="Manual",$M219=$A$15),$M219&gt;(ROW(PLE.lastrow)-ROW(PLE.firstrow))),0,
           IF(OFFSET(PLE!$G$15,$M219-$A$15,CA$13)="",10^12,OFFSET(PLE!$G$15,$M219-$A$15,CA$13)))</f>
        <v>1000000000000</v>
      </c>
      <c r="CB219" s="172">
        <f t="array" aca="1" ref="CB219" ca="1">IF(OR($D219&lt;&gt;"Serviço",AND(AUTOEVENTO="Manual",$M219=$A$15),$M219&gt;(ROW(PLE.lastrow)-ROW(PLE.firstrow))),0,
           IF(OFFSET(PLE!$G$15,$M219-$A$15,CB$13)="",10^12,OFFSET(PLE!$G$15,$M219-$A$15,CB$13)))</f>
        <v>1000000000000</v>
      </c>
      <c r="CC219" s="172">
        <f t="array" aca="1" ref="CC219" ca="1">IF(OR($D219&lt;&gt;"Serviço",AND(AUTOEVENTO="Manual",$M219=$A$15),$M219&gt;(ROW(PLE.lastrow)-ROW(PLE.firstrow))),0,
           IF(OFFSET(PLE!$G$15,$M219-$A$15,CC$13)="",10^12,OFFSET(PLE!$G$15,$M219-$A$15,CC$13)))</f>
        <v>1000000000000</v>
      </c>
      <c r="CD219" s="172">
        <f t="array" aca="1" ref="CD219" ca="1">IF(OR($D219&lt;&gt;"Serviço",AND(AUTOEVENTO="Manual",$M219=$A$15),$M219&gt;(ROW(PLE.lastrow)-ROW(PLE.firstrow))),0,
           IF(OFFSET(PLE!$G$15,$M219-$A$15,CD$13)="",10^12,OFFSET(PLE!$G$15,$M219-$A$15,CD$13)))</f>
        <v>1000000000000</v>
      </c>
      <c r="CE219" s="172">
        <f t="array" aca="1" ref="CE219" ca="1">IF(OR($D219&lt;&gt;"Serviço",AND(AUTOEVENTO="Manual",$M219=$A$15),$M219&gt;(ROW(PLE.lastrow)-ROW(PLE.firstrow))),0,
           IF(OFFSET(PLE!$G$15,$M219-$A$15,CE$13)="",10^12,OFFSET(PLE!$G$15,$M219-$A$15,CE$13)))</f>
        <v>1000000000000</v>
      </c>
      <c r="CF219" s="172">
        <f t="array" aca="1" ref="CF219" ca="1">IF(OR($D219&lt;&gt;"Serviço",AND(AUTOEVENTO="Manual",$M219=$A$15),$M219&gt;(ROW(PLE.lastrow)-ROW(PLE.firstrow))),0,
           IF(OFFSET(PLE!$G$15,$M219-$A$15,CF$13)="",10^12,OFFSET(PLE!$G$15,$M219-$A$15,CF$13)))</f>
        <v>1000000000000</v>
      </c>
      <c r="CG219" s="172">
        <f t="array" aca="1" ref="CG219" ca="1">IF(OR($D219&lt;&gt;"Serviço",AND(AUTOEVENTO="Manual",$M219=$A$15),$M219&gt;(ROW(PLE.lastrow)-ROW(PLE.firstrow))),0,
           IF(OFFSET(PLE!$G$15,$M219-$A$15,CG$13)="",10^12,OFFSET(PLE!$G$15,$M219-$A$15,CG$13)))</f>
        <v>1000000000000</v>
      </c>
      <c r="CH219" s="172">
        <f t="array" aca="1" ref="CH219" ca="1">IF(OR($D219&lt;&gt;"Serviço",AND(AUTOEVENTO="Manual",$M219=$A$15),$M219&gt;(ROW(PLE.lastrow)-ROW(PLE.firstrow))),0,
           IF(OFFSET(PLE!$G$15,$M219-$A$15,CH$13)="",10^12,OFFSET(PLE!$G$15,$M219-$A$15,CH$13)))</f>
        <v>1000000000000</v>
      </c>
      <c r="CI219" s="172">
        <f t="array" aca="1" ref="CI219" ca="1">IF(OR($D219&lt;&gt;"Serviço",AND(AUTOEVENTO="Manual",$M219=$A$15),$M219&gt;(ROW(PLE.lastrow)-ROW(PLE.firstrow))),0,
           IF(OFFSET(PLE!$G$15,$M219-$A$15,CI$13)="",10^12,OFFSET(PLE!$G$15,$M219-$A$15,CI$13)))</f>
        <v>1000000000000</v>
      </c>
      <c r="CJ219" s="172">
        <f t="array" aca="1" ref="CJ219" ca="1">IF(OR($D219&lt;&gt;"Serviço",AND(AUTOEVENTO="Manual",$M219=$A$15),$M219&gt;(ROW(PLE.lastrow)-ROW(PLE.firstrow))),0,
           IF(OFFSET(PLE!$G$15,$M219-$A$15,CJ$13)="",10^12,OFFSET(PLE!$G$15,$M219-$A$15,CJ$13)))</f>
        <v>1000000000000</v>
      </c>
      <c r="CK219" s="172">
        <f t="array" aca="1" ref="CK219" ca="1">IF(OR($D219&lt;&gt;"Serviço",AND(AUTOEVENTO="Manual",$M219=$A$15),$M219&gt;(ROW(PLE.lastrow)-ROW(PLE.firstrow))),0,
           IF(OFFSET(PLE!$G$15,$M219-$A$15,CK$13)="",10^12,OFFSET(PLE!$G$15,$M219-$A$15,CK$13)))</f>
        <v>1000000000000</v>
      </c>
      <c r="CL219" s="172">
        <f t="array" aca="1" ref="CL219" ca="1">IF(OR($D219&lt;&gt;"Serviço",AND(AUTOEVENTO="Manual",$M219=$A$15),$M219&gt;(ROW(PLE.lastrow)-ROW(PLE.firstrow))),0,
           IF(OFFSET(PLE!$G$15,$M219-$A$15,CL$13)="",10^12,OFFSET(PLE!$G$15,$M219-$A$15,CL$13)))</f>
        <v>1000000000000</v>
      </c>
      <c r="CM219" s="172">
        <f t="array" aca="1" ref="CM219" ca="1">IF(OR($D219&lt;&gt;"Serviço",AND(AUTOEVENTO="Manual",$M219=$A$15),$M219&gt;(ROW(PLE.lastrow)-ROW(PLE.firstrow))),0,
           IF(OFFSET(PLE!$G$15,$M219-$A$15,CM$13)="",10^12,OFFSET(PLE!$G$15,$M219-$A$15,CM$13)))</f>
        <v>1000000000000</v>
      </c>
    </row>
    <row r="220" spans="1:91" s="696" customFormat="1" ht="51" x14ac:dyDescent="0.2">
      <c r="A220" s="694">
        <f t="shared" ca="1" si="98"/>
        <v>33</v>
      </c>
      <c r="B220" s="694" t="str">
        <f ca="1">OFFSET(ORÇAMENTO!C$15,$L220,0)</f>
        <v>S</v>
      </c>
      <c r="C220" s="694" t="str">
        <f ca="1">OFFSET(ORÇAMENTO!L$15,$L220,0)</f>
        <v>F</v>
      </c>
      <c r="D220" s="116" t="str">
        <f ca="1">OFFSET(ORÇAMENTO!N$15,$L220,0)</f>
        <v>Serviço</v>
      </c>
      <c r="E220" s="117" t="str">
        <f ca="1">OFFSET(ORÇAMENTO!O$15,$L220,0)</f>
        <v>1.33.2.</v>
      </c>
      <c r="F220" s="163" t="str">
        <f ca="1">OFFSET(ORÇAMENTO!R$15,$L220,0)</f>
        <v>TANQUE DE MÁRMORE SINTÉTICO COM COLUNA, 22L OU EQUIVALENTE, INCLUSO SIFÃO FLEXÍVEL EM PVC, VÁLVULA PLÁSTICA E TORNEIRA DE METAL CROMADO PADRÃO POPULAR - FORNECIMENTO E INSTALAÇÃO. AF_01/2020</v>
      </c>
      <c r="G220" s="164" t="str">
        <f ca="1">IF($D220&lt;&gt;"Serviço","",OFFSET(ORÇAMENTO!S$15,$L220,0))</f>
        <v>UN</v>
      </c>
      <c r="H220" s="122">
        <f t="array" aca="1" ref="H220" ca="1">IF($D220&lt;&gt;"Serviço",0,IF(ACOMPANHAMENTO="BM",ROUND(OFFSET(ORÇAMENTO!AJ$15,$L220,0),15-13*ORÇAMENTO!$AF$7),IF(IFERROR(CÁLCULO.FrentesPreenchidas,0)=0,0,SUM(ROUND(OFFSET($P220,0,1,1,CÁLCULO.FrentesPreenchidas),15-13*ORÇAMENTO!$AF$7)))))</f>
        <v>20</v>
      </c>
      <c r="I220" s="467" t="s">
        <v>1344</v>
      </c>
      <c r="J220" s="653" t="str">
        <f t="array" aca="1" ref="J220" ca="1">IF(OR(B220&lt;&gt;"S",CÁLCULO.FrentesPreenchidas=0),"",IF(AND(ACOMPANHAMENTO="PLE",AUTOEVENTO="Manual",OR(H220&gt;0,ORÇAMENTO!AC220="QUANT."),OR(K220="",M220=0,N220="")),"►E",IF(AND(ACOMPANHAMENTO="PLE",ORÇAMENTO!AC220="QUANT."),"►Q",IF(AND(ACOMPANHAMENTO="PLE",H220&lt;&gt;SUMPRODUCT(($Q$1:$AI$1=1)*ROUND(Q220:AI220,15))),"►S",IF(AND(COUNTIF($P$11:$AI$11,"▼")=0,H220&gt;0,I220=""),"◄M","")))))</f>
        <v/>
      </c>
      <c r="K220" s="654" t="s">
        <v>1448</v>
      </c>
      <c r="L220" s="165">
        <f t="shared" ca="1" si="99"/>
        <v>205</v>
      </c>
      <c r="M220" s="166">
        <f ca="1">IF($D220&lt;&gt;"Serviço","",
          IF(AUTOEVENTO="manual",$A220,
                IF(ISERROR(MATCH($A220,$A$15:OFFSET($A220,-1,0),0)),MAX($M$15:OFFSET(M220,-1,0))+1,
                      INDEX($M$15:OFFSET(M220,-1,0),MATCH($A220,$A$15:OFFSET($A220,-1,0),0)))))</f>
        <v>33</v>
      </c>
      <c r="N220" s="167" t="str">
        <f ca="1">IF($D220&lt;&gt;"Serviço","",
         IF(AUTOEVENTO="Manual",
                IF($A220=0,"&lt;-- defina o número do agrupador",
                       OFFSET(EVENTOS!$D$15,$A220-$A$15,0)),
                OFFSET($F$15,$A220,0)))</f>
        <v>LOUÇAS</v>
      </c>
      <c r="O220" s="168"/>
      <c r="Q220" s="169">
        <v>5</v>
      </c>
      <c r="R220" s="169">
        <v>5</v>
      </c>
      <c r="S220" s="169">
        <v>5</v>
      </c>
      <c r="T220" s="169">
        <v>5</v>
      </c>
      <c r="U220" s="169"/>
      <c r="V220" s="169"/>
      <c r="W220" s="169"/>
      <c r="X220" s="169"/>
      <c r="Y220" s="169"/>
      <c r="Z220" s="170"/>
      <c r="AA220" s="169"/>
      <c r="AB220" s="169"/>
      <c r="AC220" s="169"/>
      <c r="AD220" s="169"/>
      <c r="AE220" s="169"/>
      <c r="AF220" s="169"/>
      <c r="AG220" s="169"/>
      <c r="AH220" s="170"/>
      <c r="AJ220" s="452">
        <f ca="1">IF(AND($D220="Serviço",AJ$12&lt;&gt;0,$H220&gt;0,OR(AUTOEVENTO&lt;&gt;"manual",$M220&lt;&gt;$A$15)),
        IF(Import.TipoArredondamento&lt;&gt;"TransfereGOV",
              ROUND(OFFSET($P220,0,AJ$13),15-13*ORÇAMENTO!$AF$7)/$H220*OFFSET(ORÇAMENTO!$X$15,ROW(AJ220)-ROW(AJ$15),0),
              ROUND(ROUND(OFFSET($P220,0,AJ$13),15-13*ORÇAMENTO!$AF$7)*OFFSET(ORÇAMENTO!$W$15,ROW(AJ220)-ROW(AJ$15),0),15-13*ORÇAMENTO!$AF$11)),
         0)</f>
        <v>3778.2</v>
      </c>
      <c r="AK220" s="452">
        <f ca="1">IF(AND($D220="Serviço",AK$12&lt;&gt;0,$H220&gt;0,OR(AUTOEVENTO&lt;&gt;"manual",$M220&lt;&gt;$A$15)),
        IF(Import.TipoArredondamento&lt;&gt;"TransfereGOV",
              ROUND(OFFSET($P220,0,AK$13),15-13*ORÇAMENTO!$AF$7)/$H220*OFFSET(ORÇAMENTO!$X$15,ROW(AK220)-ROW(AK$15),0),
              ROUND(ROUND(OFFSET($P220,0,AK$13),15-13*ORÇAMENTO!$AF$7)*OFFSET(ORÇAMENTO!$W$15,ROW(AK220)-ROW(AK$15),0),15-13*ORÇAMENTO!$AF$11)),
         0)</f>
        <v>3778.2</v>
      </c>
      <c r="AL220" s="452">
        <f ca="1">IF(AND($D220="Serviço",AL$12&lt;&gt;0,$H220&gt;0,OR(AUTOEVENTO&lt;&gt;"manual",$M220&lt;&gt;$A$15)),
        IF(Import.TipoArredondamento&lt;&gt;"TransfereGOV",
              ROUND(OFFSET($P220,0,AL$13),15-13*ORÇAMENTO!$AF$7)/$H220*OFFSET(ORÇAMENTO!$X$15,ROW(AL220)-ROW(AL$15),0),
              ROUND(ROUND(OFFSET($P220,0,AL$13),15-13*ORÇAMENTO!$AF$7)*OFFSET(ORÇAMENTO!$W$15,ROW(AL220)-ROW(AL$15),0),15-13*ORÇAMENTO!$AF$11)),
         0)</f>
        <v>3778.2</v>
      </c>
      <c r="AM220" s="452">
        <f ca="1">IF(AND($D220="Serviço",AM$12&lt;&gt;0,$H220&gt;0,OR(AUTOEVENTO&lt;&gt;"manual",$M220&lt;&gt;$A$15)),
        IF(Import.TipoArredondamento&lt;&gt;"TransfereGOV",
              ROUND(OFFSET($P220,0,AM$13),15-13*ORÇAMENTO!$AF$7)/$H220*OFFSET(ORÇAMENTO!$X$15,ROW(AM220)-ROW(AM$15),0),
              ROUND(ROUND(OFFSET($P220,0,AM$13),15-13*ORÇAMENTO!$AF$7)*OFFSET(ORÇAMENTO!$W$15,ROW(AM220)-ROW(AM$15),0),15-13*ORÇAMENTO!$AF$11)),
         0)</f>
        <v>3778.2</v>
      </c>
      <c r="AN220" s="452">
        <f ca="1">IF(AND($D220="Serviço",AN$12&lt;&gt;0,$H220&gt;0,OR(AUTOEVENTO&lt;&gt;"manual",$M220&lt;&gt;$A$15)),
        IF(Import.TipoArredondamento&lt;&gt;"TransfereGOV",
              ROUND(OFFSET($P220,0,AN$13),15-13*ORÇAMENTO!$AF$7)/$H220*OFFSET(ORÇAMENTO!$X$15,ROW(AN220)-ROW(AN$15),0),
              ROUND(ROUND(OFFSET($P220,0,AN$13),15-13*ORÇAMENTO!$AF$7)*OFFSET(ORÇAMENTO!$W$15,ROW(AN220)-ROW(AN$15),0),15-13*ORÇAMENTO!$AF$11)),
         0)</f>
        <v>0</v>
      </c>
      <c r="AO220" s="452">
        <f ca="1">IF(AND($D220="Serviço",AO$12&lt;&gt;0,$H220&gt;0,OR(AUTOEVENTO&lt;&gt;"manual",$M220&lt;&gt;$A$15)),
        IF(Import.TipoArredondamento&lt;&gt;"TransfereGOV",
              ROUND(OFFSET($P220,0,AO$13),15-13*ORÇAMENTO!$AF$7)/$H220*OFFSET(ORÇAMENTO!$X$15,ROW(AO220)-ROW(AO$15),0),
              ROUND(ROUND(OFFSET($P220,0,AO$13),15-13*ORÇAMENTO!$AF$7)*OFFSET(ORÇAMENTO!$W$15,ROW(AO220)-ROW(AO$15),0),15-13*ORÇAMENTO!$AF$11)),
         0)</f>
        <v>0</v>
      </c>
      <c r="AP220" s="452">
        <f ca="1">IF(AND($D220="Serviço",AP$12&lt;&gt;0,$H220&gt;0,OR(AUTOEVENTO&lt;&gt;"manual",$M220&lt;&gt;$A$15)),
        IF(Import.TipoArredondamento&lt;&gt;"TransfereGOV",
              ROUND(OFFSET($P220,0,AP$13),15-13*ORÇAMENTO!$AF$7)/$H220*OFFSET(ORÇAMENTO!$X$15,ROW(AP220)-ROW(AP$15),0),
              ROUND(ROUND(OFFSET($P220,0,AP$13),15-13*ORÇAMENTO!$AF$7)*OFFSET(ORÇAMENTO!$W$15,ROW(AP220)-ROW(AP$15),0),15-13*ORÇAMENTO!$AF$11)),
         0)</f>
        <v>0</v>
      </c>
      <c r="AQ220" s="452">
        <f ca="1">IF(AND($D220="Serviço",AQ$12&lt;&gt;0,$H220&gt;0,OR(AUTOEVENTO&lt;&gt;"manual",$M220&lt;&gt;$A$15)),
        IF(Import.TipoArredondamento&lt;&gt;"TransfereGOV",
              ROUND(OFFSET($P220,0,AQ$13),15-13*ORÇAMENTO!$AF$7)/$H220*OFFSET(ORÇAMENTO!$X$15,ROW(AQ220)-ROW(AQ$15),0),
              ROUND(ROUND(OFFSET($P220,0,AQ$13),15-13*ORÇAMENTO!$AF$7)*OFFSET(ORÇAMENTO!$W$15,ROW(AQ220)-ROW(AQ$15),0),15-13*ORÇAMENTO!$AF$11)),
         0)</f>
        <v>0</v>
      </c>
      <c r="AR220" s="452">
        <f ca="1">IF(AND($D220="Serviço",AR$12&lt;&gt;0,$H220&gt;0,OR(AUTOEVENTO&lt;&gt;"manual",$M220&lt;&gt;$A$15)),
        IF(Import.TipoArredondamento&lt;&gt;"TransfereGOV",
              ROUND(OFFSET($P220,0,AR$13),15-13*ORÇAMENTO!$AF$7)/$H220*OFFSET(ORÇAMENTO!$X$15,ROW(AR220)-ROW(AR$15),0),
              ROUND(ROUND(OFFSET($P220,0,AR$13),15-13*ORÇAMENTO!$AF$7)*OFFSET(ORÇAMENTO!$W$15,ROW(AR220)-ROW(AR$15),0),15-13*ORÇAMENTO!$AF$11)),
         0)</f>
        <v>0</v>
      </c>
      <c r="AS220" s="452">
        <f ca="1">IF(AND($D220="Serviço",AS$12&lt;&gt;0,$H220&gt;0,OR(AUTOEVENTO&lt;&gt;"manual",$M220&lt;&gt;$A$15)),
        IF(Import.TipoArredondamento&lt;&gt;"TransfereGOV",
              ROUND(OFFSET($P220,0,AS$13),15-13*ORÇAMENTO!$AF$7)/$H220*OFFSET(ORÇAMENTO!$X$15,ROW(AS220)-ROW(AS$15),0),
              ROUND(ROUND(OFFSET($P220,0,AS$13),15-13*ORÇAMENTO!$AF$7)*OFFSET(ORÇAMENTO!$W$15,ROW(AS220)-ROW(AS$15),0),15-13*ORÇAMENTO!$AF$11)),
         0)</f>
        <v>0</v>
      </c>
      <c r="AT220" s="452">
        <f ca="1">IF(AND($D220="Serviço",AT$12&lt;&gt;0,$H220&gt;0,OR(AUTOEVENTO&lt;&gt;"manual",$M220&lt;&gt;$A$15)),
        IF(Import.TipoArredondamento&lt;&gt;"TransfereGOV",
              ROUND(OFFSET($P220,0,AT$13),15-13*ORÇAMENTO!$AF$7)/$H220*OFFSET(ORÇAMENTO!$X$15,ROW(AT220)-ROW(AT$15),0),
              ROUND(ROUND(OFFSET($P220,0,AT$13),15-13*ORÇAMENTO!$AF$7)*OFFSET(ORÇAMENTO!$W$15,ROW(AT220)-ROW(AT$15),0),15-13*ORÇAMENTO!$AF$11)),
         0)</f>
        <v>0</v>
      </c>
      <c r="AU220" s="452">
        <f ca="1">IF(AND($D220="Serviço",AU$12&lt;&gt;0,$H220&gt;0,OR(AUTOEVENTO&lt;&gt;"manual",$M220&lt;&gt;$A$15)),
        IF(Import.TipoArredondamento&lt;&gt;"TransfereGOV",
              ROUND(OFFSET($P220,0,AU$13),15-13*ORÇAMENTO!$AF$7)/$H220*OFFSET(ORÇAMENTO!$X$15,ROW(AU220)-ROW(AU$15),0),
              ROUND(ROUND(OFFSET($P220,0,AU$13),15-13*ORÇAMENTO!$AF$7)*OFFSET(ORÇAMENTO!$W$15,ROW(AU220)-ROW(AU$15),0),15-13*ORÇAMENTO!$AF$11)),
         0)</f>
        <v>0</v>
      </c>
      <c r="AV220" s="452">
        <f ca="1">IF(AND($D220="Serviço",AV$12&lt;&gt;0,$H220&gt;0,OR(AUTOEVENTO&lt;&gt;"manual",$M220&lt;&gt;$A$15)),
        IF(Import.TipoArredondamento&lt;&gt;"TransfereGOV",
              ROUND(OFFSET($P220,0,AV$13),15-13*ORÇAMENTO!$AF$7)/$H220*OFFSET(ORÇAMENTO!$X$15,ROW(AV220)-ROW(AV$15),0),
              ROUND(ROUND(OFFSET($P220,0,AV$13),15-13*ORÇAMENTO!$AF$7)*OFFSET(ORÇAMENTO!$W$15,ROW(AV220)-ROW(AV$15),0),15-13*ORÇAMENTO!$AF$11)),
         0)</f>
        <v>0</v>
      </c>
      <c r="AW220" s="452">
        <f ca="1">IF(AND($D220="Serviço",AW$12&lt;&gt;0,$H220&gt;0,OR(AUTOEVENTO&lt;&gt;"manual",$M220&lt;&gt;$A$15)),
        IF(Import.TipoArredondamento&lt;&gt;"TransfereGOV",
              ROUND(OFFSET($P220,0,AW$13),15-13*ORÇAMENTO!$AF$7)/$H220*OFFSET(ORÇAMENTO!$X$15,ROW(AW220)-ROW(AW$15),0),
              ROUND(ROUND(OFFSET($P220,0,AW$13),15-13*ORÇAMENTO!$AF$7)*OFFSET(ORÇAMENTO!$W$15,ROW(AW220)-ROW(AW$15),0),15-13*ORÇAMENTO!$AF$11)),
         0)</f>
        <v>0</v>
      </c>
      <c r="AX220" s="452">
        <f ca="1">IF(AND($D220="Serviço",AX$12&lt;&gt;0,$H220&gt;0,OR(AUTOEVENTO&lt;&gt;"manual",$M220&lt;&gt;$A$15)),
        IF(Import.TipoArredondamento&lt;&gt;"TransfereGOV",
              ROUND(OFFSET($P220,0,AX$13),15-13*ORÇAMENTO!$AF$7)/$H220*OFFSET(ORÇAMENTO!$X$15,ROW(AX220)-ROW(AX$15),0),
              ROUND(ROUND(OFFSET($P220,0,AX$13),15-13*ORÇAMENTO!$AF$7)*OFFSET(ORÇAMENTO!$W$15,ROW(AX220)-ROW(AX$15),0),15-13*ORÇAMENTO!$AF$11)),
         0)</f>
        <v>0</v>
      </c>
      <c r="AY220" s="452">
        <f ca="1">IF(AND($D220="Serviço",AY$12&lt;&gt;0,$H220&gt;0,OR(AUTOEVENTO&lt;&gt;"manual",$M220&lt;&gt;$A$15)),
        IF(Import.TipoArredondamento&lt;&gt;"TransfereGOV",
              ROUND(OFFSET($P220,0,AY$13),15-13*ORÇAMENTO!$AF$7)/$H220*OFFSET(ORÇAMENTO!$X$15,ROW(AY220)-ROW(AY$15),0),
              ROUND(ROUND(OFFSET($P220,0,AY$13),15-13*ORÇAMENTO!$AF$7)*OFFSET(ORÇAMENTO!$W$15,ROW(AY220)-ROW(AY$15),0),15-13*ORÇAMENTO!$AF$11)),
         0)</f>
        <v>0</v>
      </c>
      <c r="AZ220" s="452">
        <f ca="1">IF(AND($D220="Serviço",AZ$12&lt;&gt;0,$H220&gt;0,OR(AUTOEVENTO&lt;&gt;"manual",$M220&lt;&gt;$A$15)),
        IF(Import.TipoArredondamento&lt;&gt;"TransfereGOV",
              ROUND(OFFSET($P220,0,AZ$13),15-13*ORÇAMENTO!$AF$7)/$H220*OFFSET(ORÇAMENTO!$X$15,ROW(AZ220)-ROW(AZ$15),0),
              ROUND(ROUND(OFFSET($P220,0,AZ$13),15-13*ORÇAMENTO!$AF$7)*OFFSET(ORÇAMENTO!$W$15,ROW(AZ220)-ROW(AZ$15),0),15-13*ORÇAMENTO!$AF$11)),
         0)</f>
        <v>0</v>
      </c>
      <c r="BA220" s="452">
        <f ca="1">IF(AND($D220="Serviço",BA$12&lt;&gt;0,$H220&gt;0,OR(AUTOEVENTO&lt;&gt;"manual",$M220&lt;&gt;$A$15)),
        IF(Import.TipoArredondamento&lt;&gt;"TransfereGOV",
              ROUND(OFFSET($P220,0,BA$13),15-13*ORÇAMENTO!$AF$7)/$H220*OFFSET(ORÇAMENTO!$X$15,ROW(BA220)-ROW(BA$15),0),
              ROUND(ROUND(OFFSET($P220,0,BA$13),15-13*ORÇAMENTO!$AF$7)*OFFSET(ORÇAMENTO!$W$15,ROW(BA220)-ROW(BA$15),0),15-13*ORÇAMENTO!$AF$11)),
         0)</f>
        <v>0</v>
      </c>
      <c r="BC220" s="171">
        <f ca="1">IF(OR($D220&lt;&gt;"Serviço",AND(AUTOEVENTO="Manual",$M220=$A$15)),0,
         IF(OFFSET(CRONOPLE!$F$15,$M220-$A$15,BC$13)=0,10^12,OFFSET(CRONOPLE!$F$15,$M220-$A$15,BC$13)))</f>
        <v>9</v>
      </c>
      <c r="BD220" s="171">
        <f ca="1">IF(OR($D220&lt;&gt;"Serviço",AND(AUTOEVENTO="Manual",$M220=$A$15)),0,
         IF(OFFSET(CRONOPLE!$F$15,$M220-$A$15,BD$13)=0,10^12,OFFSET(CRONOPLE!$F$15,$M220-$A$15,BD$13)))</f>
        <v>9</v>
      </c>
      <c r="BE220" s="171">
        <f ca="1">IF(OR($D220&lt;&gt;"Serviço",AND(AUTOEVENTO="Manual",$M220=$A$15)),0,
         IF(OFFSET(CRONOPLE!$F$15,$M220-$A$15,BE$13)=0,10^12,OFFSET(CRONOPLE!$F$15,$M220-$A$15,BE$13)))</f>
        <v>9</v>
      </c>
      <c r="BF220" s="171">
        <f ca="1">IF(OR($D220&lt;&gt;"Serviço",AND(AUTOEVENTO="Manual",$M220=$A$15)),0,
         IF(OFFSET(CRONOPLE!$F$15,$M220-$A$15,BF$13)=0,10^12,OFFSET(CRONOPLE!$F$15,$M220-$A$15,BF$13)))</f>
        <v>9</v>
      </c>
      <c r="BG220" s="171">
        <f ca="1">IF(OR($D220&lt;&gt;"Serviço",AND(AUTOEVENTO="Manual",$M220=$A$15)),0,
         IF(OFFSET(CRONOPLE!$F$15,$M220-$A$15,BG$13)=0,10^12,OFFSET(CRONOPLE!$F$15,$M220-$A$15,BG$13)))</f>
        <v>9</v>
      </c>
      <c r="BH220" s="171">
        <f ca="1">IF(OR($D220&lt;&gt;"Serviço",AND(AUTOEVENTO="Manual",$M220=$A$15)),0,
         IF(OFFSET(CRONOPLE!$F$15,$M220-$A$15,BH$13)=0,10^12,OFFSET(CRONOPLE!$F$15,$M220-$A$15,BH$13)))</f>
        <v>1000000000000</v>
      </c>
      <c r="BI220" s="171">
        <f ca="1">IF(OR($D220&lt;&gt;"Serviço",AND(AUTOEVENTO="Manual",$M220=$A$15)),0,
         IF(OFFSET(CRONOPLE!$F$15,$M220-$A$15,BI$13)=0,10^12,OFFSET(CRONOPLE!$F$15,$M220-$A$15,BI$13)))</f>
        <v>1000000000000</v>
      </c>
      <c r="BJ220" s="171">
        <f ca="1">IF(OR($D220&lt;&gt;"Serviço",AND(AUTOEVENTO="Manual",$M220=$A$15)),0,
         IF(OFFSET(CRONOPLE!$F$15,$M220-$A$15,BJ$13)=0,10^12,OFFSET(CRONOPLE!$F$15,$M220-$A$15,BJ$13)))</f>
        <v>1000000000000</v>
      </c>
      <c r="BK220" s="171">
        <f ca="1">IF(OR($D220&lt;&gt;"Serviço",AND(AUTOEVENTO="Manual",$M220=$A$15)),0,
         IF(OFFSET(CRONOPLE!$F$15,$M220-$A$15,BK$13)=0,10^12,OFFSET(CRONOPLE!$F$15,$M220-$A$15,BK$13)))</f>
        <v>9</v>
      </c>
      <c r="BL220" s="171">
        <f ca="1">IF(OR($D220&lt;&gt;"Serviço",AND(AUTOEVENTO="Manual",$M220=$A$15)),0,
         IF(OFFSET(CRONOPLE!$F$15,$M220-$A$15,BL$13)=0,10^12,OFFSET(CRONOPLE!$F$15,$M220-$A$15,BL$13)))</f>
        <v>1000000000000</v>
      </c>
      <c r="BM220" s="171">
        <f ca="1">IF(OR($D220&lt;&gt;"Serviço",AND(AUTOEVENTO="Manual",$M220=$A$15)),0,
         IF(OFFSET(CRONOPLE!$F$15,$M220-$A$15,BM$13)=0,10^12,OFFSET(CRONOPLE!$F$15,$M220-$A$15,BM$13)))</f>
        <v>1000000000000</v>
      </c>
      <c r="BN220" s="171">
        <f ca="1">IF(OR($D220&lt;&gt;"Serviço",AND(AUTOEVENTO="Manual",$M220=$A$15)),0,
         IF(OFFSET(CRONOPLE!$F$15,$M220-$A$15,BN$13)=0,10^12,OFFSET(CRONOPLE!$F$15,$M220-$A$15,BN$13)))</f>
        <v>1000000000000</v>
      </c>
      <c r="BO220" s="171">
        <f ca="1">IF(OR($D220&lt;&gt;"Serviço",AND(AUTOEVENTO="Manual",$M220=$A$15)),0,
         IF(OFFSET(CRONOPLE!$F$15,$M220-$A$15,BO$13)=0,10^12,OFFSET(CRONOPLE!$F$15,$M220-$A$15,BO$13)))</f>
        <v>1000000000000</v>
      </c>
      <c r="BP220" s="171">
        <f ca="1">IF(OR($D220&lt;&gt;"Serviço",AND(AUTOEVENTO="Manual",$M220=$A$15)),0,
         IF(OFFSET(CRONOPLE!$F$15,$M220-$A$15,BP$13)=0,10^12,OFFSET(CRONOPLE!$F$15,$M220-$A$15,BP$13)))</f>
        <v>1000000000000</v>
      </c>
      <c r="BQ220" s="171">
        <f ca="1">IF(OR($D220&lt;&gt;"Serviço",AND(AUTOEVENTO="Manual",$M220=$A$15)),0,
         IF(OFFSET(CRONOPLE!$F$15,$M220-$A$15,BQ$13)=0,10^12,OFFSET(CRONOPLE!$F$15,$M220-$A$15,BQ$13)))</f>
        <v>1000000000000</v>
      </c>
      <c r="BR220" s="171">
        <f ca="1">IF(OR($D220&lt;&gt;"Serviço",AND(AUTOEVENTO="Manual",$M220=$A$15)),0,
         IF(OFFSET(CRONOPLE!$F$15,$M220-$A$15,BR$13)=0,10^12,OFFSET(CRONOPLE!$F$15,$M220-$A$15,BR$13)))</f>
        <v>1000000000000</v>
      </c>
      <c r="BS220" s="171">
        <f ca="1">IF(OR($D220&lt;&gt;"Serviço",AND(AUTOEVENTO="Manual",$M220=$A$15)),0,
         IF(OFFSET(CRONOPLE!$F$15,$M220-$A$15,BS$13)=0,10^12,OFFSET(CRONOPLE!$F$15,$M220-$A$15,BS$13)))</f>
        <v>1000000000000</v>
      </c>
      <c r="BT220" s="171">
        <f ca="1">IF(OR($D220&lt;&gt;"Serviço",AND(AUTOEVENTO="Manual",$M220=$A$15)),0,
         IF(OFFSET(CRONOPLE!$F$15,$M220-$A$15,BT$13)=0,10^12,OFFSET(CRONOPLE!$F$15,$M220-$A$15,BT$13)))</f>
        <v>1000000000000</v>
      </c>
      <c r="BV220" s="172">
        <f t="array" aca="1" ref="BV220" ca="1">IF(OR($D220&lt;&gt;"Serviço",AND(AUTOEVENTO="Manual",$M220=$A$15),$M220&gt;(ROW(PLE.lastrow)-ROW(PLE.firstrow))),0,
           IF(OFFSET(PLE!$G$15,$M220-$A$15,BV$13)="",10^12,OFFSET(PLE!$G$15,$M220-$A$15,BV$13)))</f>
        <v>1000000000000</v>
      </c>
      <c r="BW220" s="172">
        <f t="array" aca="1" ref="BW220" ca="1">IF(OR($D220&lt;&gt;"Serviço",AND(AUTOEVENTO="Manual",$M220=$A$15),$M220&gt;(ROW(PLE.lastrow)-ROW(PLE.firstrow))),0,
           IF(OFFSET(PLE!$G$15,$M220-$A$15,BW$13)="",10^12,OFFSET(PLE!$G$15,$M220-$A$15,BW$13)))</f>
        <v>1000000000000</v>
      </c>
      <c r="BX220" s="172">
        <f t="array" aca="1" ref="BX220" ca="1">IF(OR($D220&lt;&gt;"Serviço",AND(AUTOEVENTO="Manual",$M220=$A$15),$M220&gt;(ROW(PLE.lastrow)-ROW(PLE.firstrow))),0,
           IF(OFFSET(PLE!$G$15,$M220-$A$15,BX$13)="",10^12,OFFSET(PLE!$G$15,$M220-$A$15,BX$13)))</f>
        <v>1000000000000</v>
      </c>
      <c r="BY220" s="172">
        <f t="array" aca="1" ref="BY220" ca="1">IF(OR($D220&lt;&gt;"Serviço",AND(AUTOEVENTO="Manual",$M220=$A$15),$M220&gt;(ROW(PLE.lastrow)-ROW(PLE.firstrow))),0,
           IF(OFFSET(PLE!$G$15,$M220-$A$15,BY$13)="",10^12,OFFSET(PLE!$G$15,$M220-$A$15,BY$13)))</f>
        <v>1000000000000</v>
      </c>
      <c r="BZ220" s="172">
        <f t="array" aca="1" ref="BZ220" ca="1">IF(OR($D220&lt;&gt;"Serviço",AND(AUTOEVENTO="Manual",$M220=$A$15),$M220&gt;(ROW(PLE.lastrow)-ROW(PLE.firstrow))),0,
           IF(OFFSET(PLE!$G$15,$M220-$A$15,BZ$13)="",10^12,OFFSET(PLE!$G$15,$M220-$A$15,BZ$13)))</f>
        <v>1000000000000</v>
      </c>
      <c r="CA220" s="172">
        <f t="array" aca="1" ref="CA220" ca="1">IF(OR($D220&lt;&gt;"Serviço",AND(AUTOEVENTO="Manual",$M220=$A$15),$M220&gt;(ROW(PLE.lastrow)-ROW(PLE.firstrow))),0,
           IF(OFFSET(PLE!$G$15,$M220-$A$15,CA$13)="",10^12,OFFSET(PLE!$G$15,$M220-$A$15,CA$13)))</f>
        <v>1000000000000</v>
      </c>
      <c r="CB220" s="172">
        <f t="array" aca="1" ref="CB220" ca="1">IF(OR($D220&lt;&gt;"Serviço",AND(AUTOEVENTO="Manual",$M220=$A$15),$M220&gt;(ROW(PLE.lastrow)-ROW(PLE.firstrow))),0,
           IF(OFFSET(PLE!$G$15,$M220-$A$15,CB$13)="",10^12,OFFSET(PLE!$G$15,$M220-$A$15,CB$13)))</f>
        <v>1000000000000</v>
      </c>
      <c r="CC220" s="172">
        <f t="array" aca="1" ref="CC220" ca="1">IF(OR($D220&lt;&gt;"Serviço",AND(AUTOEVENTO="Manual",$M220=$A$15),$M220&gt;(ROW(PLE.lastrow)-ROW(PLE.firstrow))),0,
           IF(OFFSET(PLE!$G$15,$M220-$A$15,CC$13)="",10^12,OFFSET(PLE!$G$15,$M220-$A$15,CC$13)))</f>
        <v>1000000000000</v>
      </c>
      <c r="CD220" s="172">
        <f t="array" aca="1" ref="CD220" ca="1">IF(OR($D220&lt;&gt;"Serviço",AND(AUTOEVENTO="Manual",$M220=$A$15),$M220&gt;(ROW(PLE.lastrow)-ROW(PLE.firstrow))),0,
           IF(OFFSET(PLE!$G$15,$M220-$A$15,CD$13)="",10^12,OFFSET(PLE!$G$15,$M220-$A$15,CD$13)))</f>
        <v>1000000000000</v>
      </c>
      <c r="CE220" s="172">
        <f t="array" aca="1" ref="CE220" ca="1">IF(OR($D220&lt;&gt;"Serviço",AND(AUTOEVENTO="Manual",$M220=$A$15),$M220&gt;(ROW(PLE.lastrow)-ROW(PLE.firstrow))),0,
           IF(OFFSET(PLE!$G$15,$M220-$A$15,CE$13)="",10^12,OFFSET(PLE!$G$15,$M220-$A$15,CE$13)))</f>
        <v>1000000000000</v>
      </c>
      <c r="CF220" s="172">
        <f t="array" aca="1" ref="CF220" ca="1">IF(OR($D220&lt;&gt;"Serviço",AND(AUTOEVENTO="Manual",$M220=$A$15),$M220&gt;(ROW(PLE.lastrow)-ROW(PLE.firstrow))),0,
           IF(OFFSET(PLE!$G$15,$M220-$A$15,CF$13)="",10^12,OFFSET(PLE!$G$15,$M220-$A$15,CF$13)))</f>
        <v>1000000000000</v>
      </c>
      <c r="CG220" s="172">
        <f t="array" aca="1" ref="CG220" ca="1">IF(OR($D220&lt;&gt;"Serviço",AND(AUTOEVENTO="Manual",$M220=$A$15),$M220&gt;(ROW(PLE.lastrow)-ROW(PLE.firstrow))),0,
           IF(OFFSET(PLE!$G$15,$M220-$A$15,CG$13)="",10^12,OFFSET(PLE!$G$15,$M220-$A$15,CG$13)))</f>
        <v>1000000000000</v>
      </c>
      <c r="CH220" s="172">
        <f t="array" aca="1" ref="CH220" ca="1">IF(OR($D220&lt;&gt;"Serviço",AND(AUTOEVENTO="Manual",$M220=$A$15),$M220&gt;(ROW(PLE.lastrow)-ROW(PLE.firstrow))),0,
           IF(OFFSET(PLE!$G$15,$M220-$A$15,CH$13)="",10^12,OFFSET(PLE!$G$15,$M220-$A$15,CH$13)))</f>
        <v>1000000000000</v>
      </c>
      <c r="CI220" s="172">
        <f t="array" aca="1" ref="CI220" ca="1">IF(OR($D220&lt;&gt;"Serviço",AND(AUTOEVENTO="Manual",$M220=$A$15),$M220&gt;(ROW(PLE.lastrow)-ROW(PLE.firstrow))),0,
           IF(OFFSET(PLE!$G$15,$M220-$A$15,CI$13)="",10^12,OFFSET(PLE!$G$15,$M220-$A$15,CI$13)))</f>
        <v>1000000000000</v>
      </c>
      <c r="CJ220" s="172">
        <f t="array" aca="1" ref="CJ220" ca="1">IF(OR($D220&lt;&gt;"Serviço",AND(AUTOEVENTO="Manual",$M220=$A$15),$M220&gt;(ROW(PLE.lastrow)-ROW(PLE.firstrow))),0,
           IF(OFFSET(PLE!$G$15,$M220-$A$15,CJ$13)="",10^12,OFFSET(PLE!$G$15,$M220-$A$15,CJ$13)))</f>
        <v>1000000000000</v>
      </c>
      <c r="CK220" s="172">
        <f t="array" aca="1" ref="CK220" ca="1">IF(OR($D220&lt;&gt;"Serviço",AND(AUTOEVENTO="Manual",$M220=$A$15),$M220&gt;(ROW(PLE.lastrow)-ROW(PLE.firstrow))),0,
           IF(OFFSET(PLE!$G$15,$M220-$A$15,CK$13)="",10^12,OFFSET(PLE!$G$15,$M220-$A$15,CK$13)))</f>
        <v>1000000000000</v>
      </c>
      <c r="CL220" s="172">
        <f t="array" aca="1" ref="CL220" ca="1">IF(OR($D220&lt;&gt;"Serviço",AND(AUTOEVENTO="Manual",$M220=$A$15),$M220&gt;(ROW(PLE.lastrow)-ROW(PLE.firstrow))),0,
           IF(OFFSET(PLE!$G$15,$M220-$A$15,CL$13)="",10^12,OFFSET(PLE!$G$15,$M220-$A$15,CL$13)))</f>
        <v>1000000000000</v>
      </c>
      <c r="CM220" s="172">
        <f t="array" aca="1" ref="CM220" ca="1">IF(OR($D220&lt;&gt;"Serviço",AND(AUTOEVENTO="Manual",$M220=$A$15),$M220&gt;(ROW(PLE.lastrow)-ROW(PLE.firstrow))),0,
           IF(OFFSET(PLE!$G$15,$M220-$A$15,CM$13)="",10^12,OFFSET(PLE!$G$15,$M220-$A$15,CM$13)))</f>
        <v>1000000000000</v>
      </c>
    </row>
    <row r="221" spans="1:91" s="696" customFormat="1" ht="51" x14ac:dyDescent="0.2">
      <c r="A221" s="694">
        <f t="shared" ca="1" si="98"/>
        <v>34</v>
      </c>
      <c r="B221" s="694" t="str">
        <f ca="1">OFFSET(ORÇAMENTO!C$15,$L221,0)</f>
        <v>S</v>
      </c>
      <c r="C221" s="694" t="str">
        <f ca="1">OFFSET(ORÇAMENTO!L$15,$L221,0)</f>
        <v>F</v>
      </c>
      <c r="D221" s="116" t="str">
        <f ca="1">OFFSET(ORÇAMENTO!N$15,$L221,0)</f>
        <v>Serviço</v>
      </c>
      <c r="E221" s="117" t="str">
        <f ca="1">OFFSET(ORÇAMENTO!O$15,$L221,0)</f>
        <v>1.33.3.</v>
      </c>
      <c r="F221" s="163" t="str">
        <f ca="1">OFFSET(ORÇAMENTO!R$15,$L221,0)</f>
        <v>KIT DE ACESSORIOS PARA BANHEIRO EM METAL CROMADO, 5 PECAS, INCLUSO FIXAÇÃO. AF_01/2020</v>
      </c>
      <c r="G221" s="164" t="str">
        <f ca="1">IF($D221&lt;&gt;"Serviço","",OFFSET(ORÇAMENTO!S$15,$L221,0))</f>
        <v>UN</v>
      </c>
      <c r="H221" s="122">
        <f t="array" aca="1" ref="H221" ca="1">IF($D221&lt;&gt;"Serviço",0,IF(ACOMPANHAMENTO="BM",ROUND(OFFSET(ORÇAMENTO!AJ$15,$L221,0),15-13*ORÇAMENTO!$AF$7),IF(IFERROR(CÁLCULO.FrentesPreenchidas,0)=0,0,SUM(ROUND(OFFSET($P221,0,1,1,CÁLCULO.FrentesPreenchidas),15-13*ORÇAMENTO!$AF$7)))))</f>
        <v>20</v>
      </c>
      <c r="I221" s="467" t="s">
        <v>1343</v>
      </c>
      <c r="J221" s="653" t="str">
        <f t="array" aca="1" ref="J221" ca="1">IF(OR(B221&lt;&gt;"S",CÁLCULO.FrentesPreenchidas=0),"",IF(AND(ACOMPANHAMENTO="PLE",AUTOEVENTO="Manual",OR(H221&gt;0,ORÇAMENTO!AC221="QUANT."),OR(K221="",M221=0,N221="")),"►E",IF(AND(ACOMPANHAMENTO="PLE",ORÇAMENTO!AC221="QUANT."),"►Q",IF(AND(ACOMPANHAMENTO="PLE",H221&lt;&gt;SUMPRODUCT(($Q$1:$AI$1=1)*ROUND(Q221:AI221,15))),"►S",IF(AND(COUNTIF($P$11:$AI$11,"▼")=0,H221&gt;0,I221=""),"◄M","")))))</f>
        <v/>
      </c>
      <c r="K221" s="654" t="s">
        <v>1450</v>
      </c>
      <c r="L221" s="165">
        <f t="shared" ca="1" si="99"/>
        <v>206</v>
      </c>
      <c r="M221" s="166">
        <f ca="1">IF($D221&lt;&gt;"Serviço","",
          IF(AUTOEVENTO="manual",$A221,
                IF(ISERROR(MATCH($A221,$A$15:OFFSET($A221,-1,0),0)),MAX($M$15:OFFSET(M221,-1,0))+1,
                      INDEX($M$15:OFFSET(M221,-1,0),MATCH($A221,$A$15:OFFSET($A221,-1,0),0)))))</f>
        <v>34</v>
      </c>
      <c r="N221" s="167" t="str">
        <f ca="1">IF($D221&lt;&gt;"Serviço","",
         IF(AUTOEVENTO="Manual",
                IF($A221=0,"&lt;-- defina o número do agrupador",
                       OFFSET(EVENTOS!$D$15,$A221-$A$15,0)),
                OFFSET($F$15,$A221,0)))</f>
        <v xml:space="preserve">METAIS </v>
      </c>
      <c r="O221" s="168"/>
      <c r="Q221" s="169">
        <v>5</v>
      </c>
      <c r="R221" s="169">
        <v>5</v>
      </c>
      <c r="S221" s="169">
        <v>5</v>
      </c>
      <c r="T221" s="169">
        <v>5</v>
      </c>
      <c r="U221" s="169"/>
      <c r="V221" s="169"/>
      <c r="W221" s="169"/>
      <c r="X221" s="169"/>
      <c r="Y221" s="169"/>
      <c r="Z221" s="170"/>
      <c r="AA221" s="169"/>
      <c r="AB221" s="169"/>
      <c r="AC221" s="169"/>
      <c r="AD221" s="169"/>
      <c r="AE221" s="169"/>
      <c r="AF221" s="169"/>
      <c r="AG221" s="169"/>
      <c r="AH221" s="170"/>
      <c r="AJ221" s="452">
        <f ca="1">IF(AND($D221="Serviço",AJ$12&lt;&gt;0,$H221&gt;0,OR(AUTOEVENTO&lt;&gt;"manual",$M221&lt;&gt;$A$15)),
        IF(Import.TipoArredondamento&lt;&gt;"TransfereGOV",
              ROUND(OFFSET($P221,0,AJ$13),15-13*ORÇAMENTO!$AF$7)/$H221*OFFSET(ORÇAMENTO!$X$15,ROW(AJ221)-ROW(AJ$15),0),
              ROUND(ROUND(OFFSET($P221,0,AJ$13),15-13*ORÇAMENTO!$AF$7)*OFFSET(ORÇAMENTO!$W$15,ROW(AJ221)-ROW(AJ$15),0),15-13*ORÇAMENTO!$AF$11)),
         0)</f>
        <v>850.85</v>
      </c>
      <c r="AK221" s="452">
        <f ca="1">IF(AND($D221="Serviço",AK$12&lt;&gt;0,$H221&gt;0,OR(AUTOEVENTO&lt;&gt;"manual",$M221&lt;&gt;$A$15)),
        IF(Import.TipoArredondamento&lt;&gt;"TransfereGOV",
              ROUND(OFFSET($P221,0,AK$13),15-13*ORÇAMENTO!$AF$7)/$H221*OFFSET(ORÇAMENTO!$X$15,ROW(AK221)-ROW(AK$15),0),
              ROUND(ROUND(OFFSET($P221,0,AK$13),15-13*ORÇAMENTO!$AF$7)*OFFSET(ORÇAMENTO!$W$15,ROW(AK221)-ROW(AK$15),0),15-13*ORÇAMENTO!$AF$11)),
         0)</f>
        <v>850.85</v>
      </c>
      <c r="AL221" s="452">
        <f ca="1">IF(AND($D221="Serviço",AL$12&lt;&gt;0,$H221&gt;0,OR(AUTOEVENTO&lt;&gt;"manual",$M221&lt;&gt;$A$15)),
        IF(Import.TipoArredondamento&lt;&gt;"TransfereGOV",
              ROUND(OFFSET($P221,0,AL$13),15-13*ORÇAMENTO!$AF$7)/$H221*OFFSET(ORÇAMENTO!$X$15,ROW(AL221)-ROW(AL$15),0),
              ROUND(ROUND(OFFSET($P221,0,AL$13),15-13*ORÇAMENTO!$AF$7)*OFFSET(ORÇAMENTO!$W$15,ROW(AL221)-ROW(AL$15),0),15-13*ORÇAMENTO!$AF$11)),
         0)</f>
        <v>850.85</v>
      </c>
      <c r="AM221" s="452">
        <f ca="1">IF(AND($D221="Serviço",AM$12&lt;&gt;0,$H221&gt;0,OR(AUTOEVENTO&lt;&gt;"manual",$M221&lt;&gt;$A$15)),
        IF(Import.TipoArredondamento&lt;&gt;"TransfereGOV",
              ROUND(OFFSET($P221,0,AM$13),15-13*ORÇAMENTO!$AF$7)/$H221*OFFSET(ORÇAMENTO!$X$15,ROW(AM221)-ROW(AM$15),0),
              ROUND(ROUND(OFFSET($P221,0,AM$13),15-13*ORÇAMENTO!$AF$7)*OFFSET(ORÇAMENTO!$W$15,ROW(AM221)-ROW(AM$15),0),15-13*ORÇAMENTO!$AF$11)),
         0)</f>
        <v>850.85</v>
      </c>
      <c r="AN221" s="452">
        <f ca="1">IF(AND($D221="Serviço",AN$12&lt;&gt;0,$H221&gt;0,OR(AUTOEVENTO&lt;&gt;"manual",$M221&lt;&gt;$A$15)),
        IF(Import.TipoArredondamento&lt;&gt;"TransfereGOV",
              ROUND(OFFSET($P221,0,AN$13),15-13*ORÇAMENTO!$AF$7)/$H221*OFFSET(ORÇAMENTO!$X$15,ROW(AN221)-ROW(AN$15),0),
              ROUND(ROUND(OFFSET($P221,0,AN$13),15-13*ORÇAMENTO!$AF$7)*OFFSET(ORÇAMENTO!$W$15,ROW(AN221)-ROW(AN$15),0),15-13*ORÇAMENTO!$AF$11)),
         0)</f>
        <v>0</v>
      </c>
      <c r="AO221" s="452">
        <f ca="1">IF(AND($D221="Serviço",AO$12&lt;&gt;0,$H221&gt;0,OR(AUTOEVENTO&lt;&gt;"manual",$M221&lt;&gt;$A$15)),
        IF(Import.TipoArredondamento&lt;&gt;"TransfereGOV",
              ROUND(OFFSET($P221,0,AO$13),15-13*ORÇAMENTO!$AF$7)/$H221*OFFSET(ORÇAMENTO!$X$15,ROW(AO221)-ROW(AO$15),0),
              ROUND(ROUND(OFFSET($P221,0,AO$13),15-13*ORÇAMENTO!$AF$7)*OFFSET(ORÇAMENTO!$W$15,ROW(AO221)-ROW(AO$15),0),15-13*ORÇAMENTO!$AF$11)),
         0)</f>
        <v>0</v>
      </c>
      <c r="AP221" s="452">
        <f ca="1">IF(AND($D221="Serviço",AP$12&lt;&gt;0,$H221&gt;0,OR(AUTOEVENTO&lt;&gt;"manual",$M221&lt;&gt;$A$15)),
        IF(Import.TipoArredondamento&lt;&gt;"TransfereGOV",
              ROUND(OFFSET($P221,0,AP$13),15-13*ORÇAMENTO!$AF$7)/$H221*OFFSET(ORÇAMENTO!$X$15,ROW(AP221)-ROW(AP$15),0),
              ROUND(ROUND(OFFSET($P221,0,AP$13),15-13*ORÇAMENTO!$AF$7)*OFFSET(ORÇAMENTO!$W$15,ROW(AP221)-ROW(AP$15),0),15-13*ORÇAMENTO!$AF$11)),
         0)</f>
        <v>0</v>
      </c>
      <c r="AQ221" s="452">
        <f ca="1">IF(AND($D221="Serviço",AQ$12&lt;&gt;0,$H221&gt;0,OR(AUTOEVENTO&lt;&gt;"manual",$M221&lt;&gt;$A$15)),
        IF(Import.TipoArredondamento&lt;&gt;"TransfereGOV",
              ROUND(OFFSET($P221,0,AQ$13),15-13*ORÇAMENTO!$AF$7)/$H221*OFFSET(ORÇAMENTO!$X$15,ROW(AQ221)-ROW(AQ$15),0),
              ROUND(ROUND(OFFSET($P221,0,AQ$13),15-13*ORÇAMENTO!$AF$7)*OFFSET(ORÇAMENTO!$W$15,ROW(AQ221)-ROW(AQ$15),0),15-13*ORÇAMENTO!$AF$11)),
         0)</f>
        <v>0</v>
      </c>
      <c r="AR221" s="452">
        <f ca="1">IF(AND($D221="Serviço",AR$12&lt;&gt;0,$H221&gt;0,OR(AUTOEVENTO&lt;&gt;"manual",$M221&lt;&gt;$A$15)),
        IF(Import.TipoArredondamento&lt;&gt;"TransfereGOV",
              ROUND(OFFSET($P221,0,AR$13),15-13*ORÇAMENTO!$AF$7)/$H221*OFFSET(ORÇAMENTO!$X$15,ROW(AR221)-ROW(AR$15),0),
              ROUND(ROUND(OFFSET($P221,0,AR$13),15-13*ORÇAMENTO!$AF$7)*OFFSET(ORÇAMENTO!$W$15,ROW(AR221)-ROW(AR$15),0),15-13*ORÇAMENTO!$AF$11)),
         0)</f>
        <v>0</v>
      </c>
      <c r="AS221" s="452">
        <f ca="1">IF(AND($D221="Serviço",AS$12&lt;&gt;0,$H221&gt;0,OR(AUTOEVENTO&lt;&gt;"manual",$M221&lt;&gt;$A$15)),
        IF(Import.TipoArredondamento&lt;&gt;"TransfereGOV",
              ROUND(OFFSET($P221,0,AS$13),15-13*ORÇAMENTO!$AF$7)/$H221*OFFSET(ORÇAMENTO!$X$15,ROW(AS221)-ROW(AS$15),0),
              ROUND(ROUND(OFFSET($P221,0,AS$13),15-13*ORÇAMENTO!$AF$7)*OFFSET(ORÇAMENTO!$W$15,ROW(AS221)-ROW(AS$15),0),15-13*ORÇAMENTO!$AF$11)),
         0)</f>
        <v>0</v>
      </c>
      <c r="AT221" s="452">
        <f ca="1">IF(AND($D221="Serviço",AT$12&lt;&gt;0,$H221&gt;0,OR(AUTOEVENTO&lt;&gt;"manual",$M221&lt;&gt;$A$15)),
        IF(Import.TipoArredondamento&lt;&gt;"TransfereGOV",
              ROUND(OFFSET($P221,0,AT$13),15-13*ORÇAMENTO!$AF$7)/$H221*OFFSET(ORÇAMENTO!$X$15,ROW(AT221)-ROW(AT$15),0),
              ROUND(ROUND(OFFSET($P221,0,AT$13),15-13*ORÇAMENTO!$AF$7)*OFFSET(ORÇAMENTO!$W$15,ROW(AT221)-ROW(AT$15),0),15-13*ORÇAMENTO!$AF$11)),
         0)</f>
        <v>0</v>
      </c>
      <c r="AU221" s="452">
        <f ca="1">IF(AND($D221="Serviço",AU$12&lt;&gt;0,$H221&gt;0,OR(AUTOEVENTO&lt;&gt;"manual",$M221&lt;&gt;$A$15)),
        IF(Import.TipoArredondamento&lt;&gt;"TransfereGOV",
              ROUND(OFFSET($P221,0,AU$13),15-13*ORÇAMENTO!$AF$7)/$H221*OFFSET(ORÇAMENTO!$X$15,ROW(AU221)-ROW(AU$15),0),
              ROUND(ROUND(OFFSET($P221,0,AU$13),15-13*ORÇAMENTO!$AF$7)*OFFSET(ORÇAMENTO!$W$15,ROW(AU221)-ROW(AU$15),0),15-13*ORÇAMENTO!$AF$11)),
         0)</f>
        <v>0</v>
      </c>
      <c r="AV221" s="452">
        <f ca="1">IF(AND($D221="Serviço",AV$12&lt;&gt;0,$H221&gt;0,OR(AUTOEVENTO&lt;&gt;"manual",$M221&lt;&gt;$A$15)),
        IF(Import.TipoArredondamento&lt;&gt;"TransfereGOV",
              ROUND(OFFSET($P221,0,AV$13),15-13*ORÇAMENTO!$AF$7)/$H221*OFFSET(ORÇAMENTO!$X$15,ROW(AV221)-ROW(AV$15),0),
              ROUND(ROUND(OFFSET($P221,0,AV$13),15-13*ORÇAMENTO!$AF$7)*OFFSET(ORÇAMENTO!$W$15,ROW(AV221)-ROW(AV$15),0),15-13*ORÇAMENTO!$AF$11)),
         0)</f>
        <v>0</v>
      </c>
      <c r="AW221" s="452">
        <f ca="1">IF(AND($D221="Serviço",AW$12&lt;&gt;0,$H221&gt;0,OR(AUTOEVENTO&lt;&gt;"manual",$M221&lt;&gt;$A$15)),
        IF(Import.TipoArredondamento&lt;&gt;"TransfereGOV",
              ROUND(OFFSET($P221,0,AW$13),15-13*ORÇAMENTO!$AF$7)/$H221*OFFSET(ORÇAMENTO!$X$15,ROW(AW221)-ROW(AW$15),0),
              ROUND(ROUND(OFFSET($P221,0,AW$13),15-13*ORÇAMENTO!$AF$7)*OFFSET(ORÇAMENTO!$W$15,ROW(AW221)-ROW(AW$15),0),15-13*ORÇAMENTO!$AF$11)),
         0)</f>
        <v>0</v>
      </c>
      <c r="AX221" s="452">
        <f ca="1">IF(AND($D221="Serviço",AX$12&lt;&gt;0,$H221&gt;0,OR(AUTOEVENTO&lt;&gt;"manual",$M221&lt;&gt;$A$15)),
        IF(Import.TipoArredondamento&lt;&gt;"TransfereGOV",
              ROUND(OFFSET($P221,0,AX$13),15-13*ORÇAMENTO!$AF$7)/$H221*OFFSET(ORÇAMENTO!$X$15,ROW(AX221)-ROW(AX$15),0),
              ROUND(ROUND(OFFSET($P221,0,AX$13),15-13*ORÇAMENTO!$AF$7)*OFFSET(ORÇAMENTO!$W$15,ROW(AX221)-ROW(AX$15),0),15-13*ORÇAMENTO!$AF$11)),
         0)</f>
        <v>0</v>
      </c>
      <c r="AY221" s="452">
        <f ca="1">IF(AND($D221="Serviço",AY$12&lt;&gt;0,$H221&gt;0,OR(AUTOEVENTO&lt;&gt;"manual",$M221&lt;&gt;$A$15)),
        IF(Import.TipoArredondamento&lt;&gt;"TransfereGOV",
              ROUND(OFFSET($P221,0,AY$13),15-13*ORÇAMENTO!$AF$7)/$H221*OFFSET(ORÇAMENTO!$X$15,ROW(AY221)-ROW(AY$15),0),
              ROUND(ROUND(OFFSET($P221,0,AY$13),15-13*ORÇAMENTO!$AF$7)*OFFSET(ORÇAMENTO!$W$15,ROW(AY221)-ROW(AY$15),0),15-13*ORÇAMENTO!$AF$11)),
         0)</f>
        <v>0</v>
      </c>
      <c r="AZ221" s="452">
        <f ca="1">IF(AND($D221="Serviço",AZ$12&lt;&gt;0,$H221&gt;0,OR(AUTOEVENTO&lt;&gt;"manual",$M221&lt;&gt;$A$15)),
        IF(Import.TipoArredondamento&lt;&gt;"TransfereGOV",
              ROUND(OFFSET($P221,0,AZ$13),15-13*ORÇAMENTO!$AF$7)/$H221*OFFSET(ORÇAMENTO!$X$15,ROW(AZ221)-ROW(AZ$15),0),
              ROUND(ROUND(OFFSET($P221,0,AZ$13),15-13*ORÇAMENTO!$AF$7)*OFFSET(ORÇAMENTO!$W$15,ROW(AZ221)-ROW(AZ$15),0),15-13*ORÇAMENTO!$AF$11)),
         0)</f>
        <v>0</v>
      </c>
      <c r="BA221" s="452">
        <f ca="1">IF(AND($D221="Serviço",BA$12&lt;&gt;0,$H221&gt;0,OR(AUTOEVENTO&lt;&gt;"manual",$M221&lt;&gt;$A$15)),
        IF(Import.TipoArredondamento&lt;&gt;"TransfereGOV",
              ROUND(OFFSET($P221,0,BA$13),15-13*ORÇAMENTO!$AF$7)/$H221*OFFSET(ORÇAMENTO!$X$15,ROW(BA221)-ROW(BA$15),0),
              ROUND(ROUND(OFFSET($P221,0,BA$13),15-13*ORÇAMENTO!$AF$7)*OFFSET(ORÇAMENTO!$W$15,ROW(BA221)-ROW(BA$15),0),15-13*ORÇAMENTO!$AF$11)),
         0)</f>
        <v>0</v>
      </c>
      <c r="BC221" s="171">
        <f ca="1">IF(OR($D221&lt;&gt;"Serviço",AND(AUTOEVENTO="Manual",$M221=$A$15)),0,
         IF(OFFSET(CRONOPLE!$F$15,$M221-$A$15,BC$13)=0,10^12,OFFSET(CRONOPLE!$F$15,$M221-$A$15,BC$13)))</f>
        <v>9</v>
      </c>
      <c r="BD221" s="171">
        <f ca="1">IF(OR($D221&lt;&gt;"Serviço",AND(AUTOEVENTO="Manual",$M221=$A$15)),0,
         IF(OFFSET(CRONOPLE!$F$15,$M221-$A$15,BD$13)=0,10^12,OFFSET(CRONOPLE!$F$15,$M221-$A$15,BD$13)))</f>
        <v>9</v>
      </c>
      <c r="BE221" s="171">
        <f ca="1">IF(OR($D221&lt;&gt;"Serviço",AND(AUTOEVENTO="Manual",$M221=$A$15)),0,
         IF(OFFSET(CRONOPLE!$F$15,$M221-$A$15,BE$13)=0,10^12,OFFSET(CRONOPLE!$F$15,$M221-$A$15,BE$13)))</f>
        <v>9</v>
      </c>
      <c r="BF221" s="171">
        <f ca="1">IF(OR($D221&lt;&gt;"Serviço",AND(AUTOEVENTO="Manual",$M221=$A$15)),0,
         IF(OFFSET(CRONOPLE!$F$15,$M221-$A$15,BF$13)=0,10^12,OFFSET(CRONOPLE!$F$15,$M221-$A$15,BF$13)))</f>
        <v>9</v>
      </c>
      <c r="BG221" s="171">
        <f ca="1">IF(OR($D221&lt;&gt;"Serviço",AND(AUTOEVENTO="Manual",$M221=$A$15)),0,
         IF(OFFSET(CRONOPLE!$F$15,$M221-$A$15,BG$13)=0,10^12,OFFSET(CRONOPLE!$F$15,$M221-$A$15,BG$13)))</f>
        <v>9</v>
      </c>
      <c r="BH221" s="171">
        <f ca="1">IF(OR($D221&lt;&gt;"Serviço",AND(AUTOEVENTO="Manual",$M221=$A$15)),0,
         IF(OFFSET(CRONOPLE!$F$15,$M221-$A$15,BH$13)=0,10^12,OFFSET(CRONOPLE!$F$15,$M221-$A$15,BH$13)))</f>
        <v>1000000000000</v>
      </c>
      <c r="BI221" s="171">
        <f ca="1">IF(OR($D221&lt;&gt;"Serviço",AND(AUTOEVENTO="Manual",$M221=$A$15)),0,
         IF(OFFSET(CRONOPLE!$F$15,$M221-$A$15,BI$13)=0,10^12,OFFSET(CRONOPLE!$F$15,$M221-$A$15,BI$13)))</f>
        <v>1000000000000</v>
      </c>
      <c r="BJ221" s="171">
        <f ca="1">IF(OR($D221&lt;&gt;"Serviço",AND(AUTOEVENTO="Manual",$M221=$A$15)),0,
         IF(OFFSET(CRONOPLE!$F$15,$M221-$A$15,BJ$13)=0,10^12,OFFSET(CRONOPLE!$F$15,$M221-$A$15,BJ$13)))</f>
        <v>1000000000000</v>
      </c>
      <c r="BK221" s="171">
        <f ca="1">IF(OR($D221&lt;&gt;"Serviço",AND(AUTOEVENTO="Manual",$M221=$A$15)),0,
         IF(OFFSET(CRONOPLE!$F$15,$M221-$A$15,BK$13)=0,10^12,OFFSET(CRONOPLE!$F$15,$M221-$A$15,BK$13)))</f>
        <v>1000000000000</v>
      </c>
      <c r="BL221" s="171">
        <f ca="1">IF(OR($D221&lt;&gt;"Serviço",AND(AUTOEVENTO="Manual",$M221=$A$15)),0,
         IF(OFFSET(CRONOPLE!$F$15,$M221-$A$15,BL$13)=0,10^12,OFFSET(CRONOPLE!$F$15,$M221-$A$15,BL$13)))</f>
        <v>1000000000000</v>
      </c>
      <c r="BM221" s="171">
        <f ca="1">IF(OR($D221&lt;&gt;"Serviço",AND(AUTOEVENTO="Manual",$M221=$A$15)),0,
         IF(OFFSET(CRONOPLE!$F$15,$M221-$A$15,BM$13)=0,10^12,OFFSET(CRONOPLE!$F$15,$M221-$A$15,BM$13)))</f>
        <v>1000000000000</v>
      </c>
      <c r="BN221" s="171">
        <f ca="1">IF(OR($D221&lt;&gt;"Serviço",AND(AUTOEVENTO="Manual",$M221=$A$15)),0,
         IF(OFFSET(CRONOPLE!$F$15,$M221-$A$15,BN$13)=0,10^12,OFFSET(CRONOPLE!$F$15,$M221-$A$15,BN$13)))</f>
        <v>1000000000000</v>
      </c>
      <c r="BO221" s="171">
        <f ca="1">IF(OR($D221&lt;&gt;"Serviço",AND(AUTOEVENTO="Manual",$M221=$A$15)),0,
         IF(OFFSET(CRONOPLE!$F$15,$M221-$A$15,BO$13)=0,10^12,OFFSET(CRONOPLE!$F$15,$M221-$A$15,BO$13)))</f>
        <v>1000000000000</v>
      </c>
      <c r="BP221" s="171">
        <f ca="1">IF(OR($D221&lt;&gt;"Serviço",AND(AUTOEVENTO="Manual",$M221=$A$15)),0,
         IF(OFFSET(CRONOPLE!$F$15,$M221-$A$15,BP$13)=0,10^12,OFFSET(CRONOPLE!$F$15,$M221-$A$15,BP$13)))</f>
        <v>1000000000000</v>
      </c>
      <c r="BQ221" s="171">
        <f ca="1">IF(OR($D221&lt;&gt;"Serviço",AND(AUTOEVENTO="Manual",$M221=$A$15)),0,
         IF(OFFSET(CRONOPLE!$F$15,$M221-$A$15,BQ$13)=0,10^12,OFFSET(CRONOPLE!$F$15,$M221-$A$15,BQ$13)))</f>
        <v>1000000000000</v>
      </c>
      <c r="BR221" s="171">
        <f ca="1">IF(OR($D221&lt;&gt;"Serviço",AND(AUTOEVENTO="Manual",$M221=$A$15)),0,
         IF(OFFSET(CRONOPLE!$F$15,$M221-$A$15,BR$13)=0,10^12,OFFSET(CRONOPLE!$F$15,$M221-$A$15,BR$13)))</f>
        <v>1000000000000</v>
      </c>
      <c r="BS221" s="171">
        <f ca="1">IF(OR($D221&lt;&gt;"Serviço",AND(AUTOEVENTO="Manual",$M221=$A$15)),0,
         IF(OFFSET(CRONOPLE!$F$15,$M221-$A$15,BS$13)=0,10^12,OFFSET(CRONOPLE!$F$15,$M221-$A$15,BS$13)))</f>
        <v>1000000000000</v>
      </c>
      <c r="BT221" s="171">
        <f ca="1">IF(OR($D221&lt;&gt;"Serviço",AND(AUTOEVENTO="Manual",$M221=$A$15)),0,
         IF(OFFSET(CRONOPLE!$F$15,$M221-$A$15,BT$13)=0,10^12,OFFSET(CRONOPLE!$F$15,$M221-$A$15,BT$13)))</f>
        <v>1000000000000</v>
      </c>
      <c r="BV221" s="172">
        <f t="array" aca="1" ref="BV221" ca="1">IF(OR($D221&lt;&gt;"Serviço",AND(AUTOEVENTO="Manual",$M221=$A$15),$M221&gt;(ROW(PLE.lastrow)-ROW(PLE.firstrow))),0,
           IF(OFFSET(PLE!$G$15,$M221-$A$15,BV$13)="",10^12,OFFSET(PLE!$G$15,$M221-$A$15,BV$13)))</f>
        <v>1000000000000</v>
      </c>
      <c r="BW221" s="172">
        <f t="array" aca="1" ref="BW221" ca="1">IF(OR($D221&lt;&gt;"Serviço",AND(AUTOEVENTO="Manual",$M221=$A$15),$M221&gt;(ROW(PLE.lastrow)-ROW(PLE.firstrow))),0,
           IF(OFFSET(PLE!$G$15,$M221-$A$15,BW$13)="",10^12,OFFSET(PLE!$G$15,$M221-$A$15,BW$13)))</f>
        <v>1000000000000</v>
      </c>
      <c r="BX221" s="172">
        <f t="array" aca="1" ref="BX221" ca="1">IF(OR($D221&lt;&gt;"Serviço",AND(AUTOEVENTO="Manual",$M221=$A$15),$M221&gt;(ROW(PLE.lastrow)-ROW(PLE.firstrow))),0,
           IF(OFFSET(PLE!$G$15,$M221-$A$15,BX$13)="",10^12,OFFSET(PLE!$G$15,$M221-$A$15,BX$13)))</f>
        <v>1000000000000</v>
      </c>
      <c r="BY221" s="172">
        <f t="array" aca="1" ref="BY221" ca="1">IF(OR($D221&lt;&gt;"Serviço",AND(AUTOEVENTO="Manual",$M221=$A$15),$M221&gt;(ROW(PLE.lastrow)-ROW(PLE.firstrow))),0,
           IF(OFFSET(PLE!$G$15,$M221-$A$15,BY$13)="",10^12,OFFSET(PLE!$G$15,$M221-$A$15,BY$13)))</f>
        <v>1000000000000</v>
      </c>
      <c r="BZ221" s="172">
        <f t="array" aca="1" ref="BZ221" ca="1">IF(OR($D221&lt;&gt;"Serviço",AND(AUTOEVENTO="Manual",$M221=$A$15),$M221&gt;(ROW(PLE.lastrow)-ROW(PLE.firstrow))),0,
           IF(OFFSET(PLE!$G$15,$M221-$A$15,BZ$13)="",10^12,OFFSET(PLE!$G$15,$M221-$A$15,BZ$13)))</f>
        <v>1000000000000</v>
      </c>
      <c r="CA221" s="172">
        <f t="array" aca="1" ref="CA221" ca="1">IF(OR($D221&lt;&gt;"Serviço",AND(AUTOEVENTO="Manual",$M221=$A$15),$M221&gt;(ROW(PLE.lastrow)-ROW(PLE.firstrow))),0,
           IF(OFFSET(PLE!$G$15,$M221-$A$15,CA$13)="",10^12,OFFSET(PLE!$G$15,$M221-$A$15,CA$13)))</f>
        <v>1000000000000</v>
      </c>
      <c r="CB221" s="172">
        <f t="array" aca="1" ref="CB221" ca="1">IF(OR($D221&lt;&gt;"Serviço",AND(AUTOEVENTO="Manual",$M221=$A$15),$M221&gt;(ROW(PLE.lastrow)-ROW(PLE.firstrow))),0,
           IF(OFFSET(PLE!$G$15,$M221-$A$15,CB$13)="",10^12,OFFSET(PLE!$G$15,$M221-$A$15,CB$13)))</f>
        <v>1000000000000</v>
      </c>
      <c r="CC221" s="172">
        <f t="array" aca="1" ref="CC221" ca="1">IF(OR($D221&lt;&gt;"Serviço",AND(AUTOEVENTO="Manual",$M221=$A$15),$M221&gt;(ROW(PLE.lastrow)-ROW(PLE.firstrow))),0,
           IF(OFFSET(PLE!$G$15,$M221-$A$15,CC$13)="",10^12,OFFSET(PLE!$G$15,$M221-$A$15,CC$13)))</f>
        <v>1000000000000</v>
      </c>
      <c r="CD221" s="172">
        <f t="array" aca="1" ref="CD221" ca="1">IF(OR($D221&lt;&gt;"Serviço",AND(AUTOEVENTO="Manual",$M221=$A$15),$M221&gt;(ROW(PLE.lastrow)-ROW(PLE.firstrow))),0,
           IF(OFFSET(PLE!$G$15,$M221-$A$15,CD$13)="",10^12,OFFSET(PLE!$G$15,$M221-$A$15,CD$13)))</f>
        <v>1000000000000</v>
      </c>
      <c r="CE221" s="172">
        <f t="array" aca="1" ref="CE221" ca="1">IF(OR($D221&lt;&gt;"Serviço",AND(AUTOEVENTO="Manual",$M221=$A$15),$M221&gt;(ROW(PLE.lastrow)-ROW(PLE.firstrow))),0,
           IF(OFFSET(PLE!$G$15,$M221-$A$15,CE$13)="",10^12,OFFSET(PLE!$G$15,$M221-$A$15,CE$13)))</f>
        <v>1000000000000</v>
      </c>
      <c r="CF221" s="172">
        <f t="array" aca="1" ref="CF221" ca="1">IF(OR($D221&lt;&gt;"Serviço",AND(AUTOEVENTO="Manual",$M221=$A$15),$M221&gt;(ROW(PLE.lastrow)-ROW(PLE.firstrow))),0,
           IF(OFFSET(PLE!$G$15,$M221-$A$15,CF$13)="",10^12,OFFSET(PLE!$G$15,$M221-$A$15,CF$13)))</f>
        <v>1000000000000</v>
      </c>
      <c r="CG221" s="172">
        <f t="array" aca="1" ref="CG221" ca="1">IF(OR($D221&lt;&gt;"Serviço",AND(AUTOEVENTO="Manual",$M221=$A$15),$M221&gt;(ROW(PLE.lastrow)-ROW(PLE.firstrow))),0,
           IF(OFFSET(PLE!$G$15,$M221-$A$15,CG$13)="",10^12,OFFSET(PLE!$G$15,$M221-$A$15,CG$13)))</f>
        <v>1000000000000</v>
      </c>
      <c r="CH221" s="172">
        <f t="array" aca="1" ref="CH221" ca="1">IF(OR($D221&lt;&gt;"Serviço",AND(AUTOEVENTO="Manual",$M221=$A$15),$M221&gt;(ROW(PLE.lastrow)-ROW(PLE.firstrow))),0,
           IF(OFFSET(PLE!$G$15,$M221-$A$15,CH$13)="",10^12,OFFSET(PLE!$G$15,$M221-$A$15,CH$13)))</f>
        <v>1000000000000</v>
      </c>
      <c r="CI221" s="172">
        <f t="array" aca="1" ref="CI221" ca="1">IF(OR($D221&lt;&gt;"Serviço",AND(AUTOEVENTO="Manual",$M221=$A$15),$M221&gt;(ROW(PLE.lastrow)-ROW(PLE.firstrow))),0,
           IF(OFFSET(PLE!$G$15,$M221-$A$15,CI$13)="",10^12,OFFSET(PLE!$G$15,$M221-$A$15,CI$13)))</f>
        <v>1000000000000</v>
      </c>
      <c r="CJ221" s="172">
        <f t="array" aca="1" ref="CJ221" ca="1">IF(OR($D221&lt;&gt;"Serviço",AND(AUTOEVENTO="Manual",$M221=$A$15),$M221&gt;(ROW(PLE.lastrow)-ROW(PLE.firstrow))),0,
           IF(OFFSET(PLE!$G$15,$M221-$A$15,CJ$13)="",10^12,OFFSET(PLE!$G$15,$M221-$A$15,CJ$13)))</f>
        <v>1000000000000</v>
      </c>
      <c r="CK221" s="172">
        <f t="array" aca="1" ref="CK221" ca="1">IF(OR($D221&lt;&gt;"Serviço",AND(AUTOEVENTO="Manual",$M221=$A$15),$M221&gt;(ROW(PLE.lastrow)-ROW(PLE.firstrow))),0,
           IF(OFFSET(PLE!$G$15,$M221-$A$15,CK$13)="",10^12,OFFSET(PLE!$G$15,$M221-$A$15,CK$13)))</f>
        <v>1000000000000</v>
      </c>
      <c r="CL221" s="172">
        <f t="array" aca="1" ref="CL221" ca="1">IF(OR($D221&lt;&gt;"Serviço",AND(AUTOEVENTO="Manual",$M221=$A$15),$M221&gt;(ROW(PLE.lastrow)-ROW(PLE.firstrow))),0,
           IF(OFFSET(PLE!$G$15,$M221-$A$15,CL$13)="",10^12,OFFSET(PLE!$G$15,$M221-$A$15,CL$13)))</f>
        <v>1000000000000</v>
      </c>
      <c r="CM221" s="172">
        <f t="array" aca="1" ref="CM221" ca="1">IF(OR($D221&lt;&gt;"Serviço",AND(AUTOEVENTO="Manual",$M221=$A$15),$M221&gt;(ROW(PLE.lastrow)-ROW(PLE.firstrow))),0,
           IF(OFFSET(PLE!$G$15,$M221-$A$15,CM$13)="",10^12,OFFSET(PLE!$G$15,$M221-$A$15,CM$13)))</f>
        <v>1000000000000</v>
      </c>
    </row>
    <row r="222" spans="1:91" s="717" customFormat="1" ht="51" x14ac:dyDescent="0.2">
      <c r="A222" s="715">
        <f t="shared" ca="1" si="98"/>
        <v>34</v>
      </c>
      <c r="B222" s="715" t="str">
        <f ca="1">OFFSET(ORÇAMENTO!C$15,$L222,0)</f>
        <v>S</v>
      </c>
      <c r="C222" s="715" t="str">
        <f ca="1">OFFSET(ORÇAMENTO!L$15,$L222,0)</f>
        <v>F</v>
      </c>
      <c r="D222" s="116" t="str">
        <f ca="1">OFFSET(ORÇAMENTO!N$15,$L222,0)</f>
        <v>Serviço</v>
      </c>
      <c r="E222" s="117" t="str">
        <f ca="1">OFFSET(ORÇAMENTO!O$15,$L222,0)</f>
        <v>1.33.4.</v>
      </c>
      <c r="F222" s="163" t="str">
        <f ca="1">OFFSET(ORÇAMENTO!R$15,$L222,0)</f>
        <v>BARRA DE APOIO EM "L", EM ACO INOX POLIDO 70 X 70 CM, FIXADA NA PAREDE - FORNECIMENTO E INSTALACAO. AF_01/2020</v>
      </c>
      <c r="G222" s="164" t="str">
        <f ca="1">IF($D222&lt;&gt;"Serviço","",OFFSET(ORÇAMENTO!S$15,$L222,0))</f>
        <v>UN</v>
      </c>
      <c r="H222" s="122">
        <f t="array" aca="1" ref="H222" ca="1">IF($D222&lt;&gt;"Serviço",0,IF(ACOMPANHAMENTO="BM",ROUND(OFFSET(ORÇAMENTO!AJ$15,$L222,0),15-13*ORÇAMENTO!$AF$7),IF(IFERROR(CÁLCULO.FrentesPreenchidas,0)=0,0,SUM(ROUND(OFFSET($P222,0,1,1,CÁLCULO.FrentesPreenchidas),15-13*ORÇAMENTO!$AF$7)))))</f>
        <v>6</v>
      </c>
      <c r="I222" s="467" t="s">
        <v>1470</v>
      </c>
      <c r="J222" s="653" t="str">
        <f t="array" aca="1" ref="J222" ca="1">IF(OR(B222&lt;&gt;"S",CÁLCULO.FrentesPreenchidas=0),"",IF(AND(ACOMPANHAMENTO="PLE",AUTOEVENTO="Manual",OR(H222&gt;0,ORÇAMENTO!AC222="QUANT."),OR(K222="",M222=0,N222="")),"►E",IF(AND(ACOMPANHAMENTO="PLE",ORÇAMENTO!AC222="QUANT."),"►Q",IF(AND(ACOMPANHAMENTO="PLE",H222&lt;&gt;SUMPRODUCT(($Q$1:$AI$1=1)*ROUND(Q222:AI222,15))),"►S",IF(AND(COUNTIF($P$11:$AI$11,"▼")=0,H222&gt;0,I222=""),"◄M","")))))</f>
        <v/>
      </c>
      <c r="K222" s="654" t="s">
        <v>1450</v>
      </c>
      <c r="L222" s="165">
        <f t="shared" ca="1" si="99"/>
        <v>207</v>
      </c>
      <c r="M222" s="166">
        <f ca="1">IF($D222&lt;&gt;"Serviço","",
          IF(AUTOEVENTO="manual",$A222,
                IF(ISERROR(MATCH($A222,$A$15:OFFSET($A222,-1,0),0)),MAX($M$15:OFFSET(M222,-1,0))+1,
                      INDEX($M$15:OFFSET(M222,-1,0),MATCH($A222,$A$15:OFFSET($A222,-1,0),0)))))</f>
        <v>34</v>
      </c>
      <c r="N222" s="167" t="str">
        <f ca="1">IF($D222&lt;&gt;"Serviço","",
         IF(AUTOEVENTO="Manual",
                IF($A222=0,"&lt;-- defina o número do agrupador",
                       OFFSET(EVENTOS!$D$15,$A222-$A$15,0)),
                OFFSET($F$15,$A222,0)))</f>
        <v xml:space="preserve">METAIS </v>
      </c>
      <c r="O222" s="168"/>
      <c r="Q222" s="168"/>
      <c r="R222" s="169"/>
      <c r="S222" s="169"/>
      <c r="T222" s="169">
        <v>6</v>
      </c>
      <c r="U222" s="169"/>
      <c r="V222" s="169"/>
      <c r="W222" s="169"/>
      <c r="X222" s="169"/>
      <c r="Y222" s="169"/>
      <c r="Z222" s="170"/>
      <c r="AA222" s="169"/>
      <c r="AB222" s="169"/>
      <c r="AC222" s="169"/>
      <c r="AD222" s="169"/>
      <c r="AE222" s="169"/>
      <c r="AF222" s="169"/>
      <c r="AG222" s="169"/>
      <c r="AH222" s="170"/>
      <c r="AJ222" s="452">
        <f ca="1">IF(AND($D222="Serviço",AJ$12&lt;&gt;0,$H222&gt;0,OR(AUTOEVENTO&lt;&gt;"manual",$M222&lt;&gt;$A$15)),
        IF(Import.TipoArredondamento&lt;&gt;"TransfereGOV",
              ROUND(OFFSET($P222,0,AJ$13),15-13*ORÇAMENTO!$AF$7)/$H222*OFFSET(ORÇAMENTO!$X$15,ROW(AJ222)-ROW(AJ$15),0),
              ROUND(ROUND(OFFSET($P222,0,AJ$13),15-13*ORÇAMENTO!$AF$7)*OFFSET(ORÇAMENTO!$W$15,ROW(AJ222)-ROW(AJ$15),0),15-13*ORÇAMENTO!$AF$11)),
         0)</f>
        <v>0</v>
      </c>
      <c r="AK222" s="452">
        <f ca="1">IF(AND($D222="Serviço",AK$12&lt;&gt;0,$H222&gt;0,OR(AUTOEVENTO&lt;&gt;"manual",$M222&lt;&gt;$A$15)),
        IF(Import.TipoArredondamento&lt;&gt;"TransfereGOV",
              ROUND(OFFSET($P222,0,AK$13),15-13*ORÇAMENTO!$AF$7)/$H222*OFFSET(ORÇAMENTO!$X$15,ROW(AK222)-ROW(AK$15),0),
              ROUND(ROUND(OFFSET($P222,0,AK$13),15-13*ORÇAMENTO!$AF$7)*OFFSET(ORÇAMENTO!$W$15,ROW(AK222)-ROW(AK$15),0),15-13*ORÇAMENTO!$AF$11)),
         0)</f>
        <v>0</v>
      </c>
      <c r="AL222" s="452">
        <f ca="1">IF(AND($D222="Serviço",AL$12&lt;&gt;0,$H222&gt;0,OR(AUTOEVENTO&lt;&gt;"manual",$M222&lt;&gt;$A$15)),
        IF(Import.TipoArredondamento&lt;&gt;"TransfereGOV",
              ROUND(OFFSET($P222,0,AL$13),15-13*ORÇAMENTO!$AF$7)/$H222*OFFSET(ORÇAMENTO!$X$15,ROW(AL222)-ROW(AL$15),0),
              ROUND(ROUND(OFFSET($P222,0,AL$13),15-13*ORÇAMENTO!$AF$7)*OFFSET(ORÇAMENTO!$W$15,ROW(AL222)-ROW(AL$15),0),15-13*ORÇAMENTO!$AF$11)),
         0)</f>
        <v>0</v>
      </c>
      <c r="AM222" s="452">
        <f ca="1">IF(AND($D222="Serviço",AM$12&lt;&gt;0,$H222&gt;0,OR(AUTOEVENTO&lt;&gt;"manual",$M222&lt;&gt;$A$15)),
        IF(Import.TipoArredondamento&lt;&gt;"TransfereGOV",
              ROUND(OFFSET($P222,0,AM$13),15-13*ORÇAMENTO!$AF$7)/$H222*OFFSET(ORÇAMENTO!$X$15,ROW(AM222)-ROW(AM$15),0),
              ROUND(ROUND(OFFSET($P222,0,AM$13),15-13*ORÇAMENTO!$AF$7)*OFFSET(ORÇAMENTO!$W$15,ROW(AM222)-ROW(AM$15),0),15-13*ORÇAMENTO!$AF$11)),
         0)</f>
        <v>4940.76</v>
      </c>
      <c r="AN222" s="452">
        <f ca="1">IF(AND($D222="Serviço",AN$12&lt;&gt;0,$H222&gt;0,OR(AUTOEVENTO&lt;&gt;"manual",$M222&lt;&gt;$A$15)),
        IF(Import.TipoArredondamento&lt;&gt;"TransfereGOV",
              ROUND(OFFSET($P222,0,AN$13),15-13*ORÇAMENTO!$AF$7)/$H222*OFFSET(ORÇAMENTO!$X$15,ROW(AN222)-ROW(AN$15),0),
              ROUND(ROUND(OFFSET($P222,0,AN$13),15-13*ORÇAMENTO!$AF$7)*OFFSET(ORÇAMENTO!$W$15,ROW(AN222)-ROW(AN$15),0),15-13*ORÇAMENTO!$AF$11)),
         0)</f>
        <v>0</v>
      </c>
      <c r="AO222" s="452">
        <f ca="1">IF(AND($D222="Serviço",AO$12&lt;&gt;0,$H222&gt;0,OR(AUTOEVENTO&lt;&gt;"manual",$M222&lt;&gt;$A$15)),
        IF(Import.TipoArredondamento&lt;&gt;"TransfereGOV",
              ROUND(OFFSET($P222,0,AO$13),15-13*ORÇAMENTO!$AF$7)/$H222*OFFSET(ORÇAMENTO!$X$15,ROW(AO222)-ROW(AO$15),0),
              ROUND(ROUND(OFFSET($P222,0,AO$13),15-13*ORÇAMENTO!$AF$7)*OFFSET(ORÇAMENTO!$W$15,ROW(AO222)-ROW(AO$15),0),15-13*ORÇAMENTO!$AF$11)),
         0)</f>
        <v>0</v>
      </c>
      <c r="AP222" s="452">
        <f ca="1">IF(AND($D222="Serviço",AP$12&lt;&gt;0,$H222&gt;0,OR(AUTOEVENTO&lt;&gt;"manual",$M222&lt;&gt;$A$15)),
        IF(Import.TipoArredondamento&lt;&gt;"TransfereGOV",
              ROUND(OFFSET($P222,0,AP$13),15-13*ORÇAMENTO!$AF$7)/$H222*OFFSET(ORÇAMENTO!$X$15,ROW(AP222)-ROW(AP$15),0),
              ROUND(ROUND(OFFSET($P222,0,AP$13),15-13*ORÇAMENTO!$AF$7)*OFFSET(ORÇAMENTO!$W$15,ROW(AP222)-ROW(AP$15),0),15-13*ORÇAMENTO!$AF$11)),
         0)</f>
        <v>0</v>
      </c>
      <c r="AQ222" s="452">
        <f ca="1">IF(AND($D222="Serviço",AQ$12&lt;&gt;0,$H222&gt;0,OR(AUTOEVENTO&lt;&gt;"manual",$M222&lt;&gt;$A$15)),
        IF(Import.TipoArredondamento&lt;&gt;"TransfereGOV",
              ROUND(OFFSET($P222,0,AQ$13),15-13*ORÇAMENTO!$AF$7)/$H222*OFFSET(ORÇAMENTO!$X$15,ROW(AQ222)-ROW(AQ$15),0),
              ROUND(ROUND(OFFSET($P222,0,AQ$13),15-13*ORÇAMENTO!$AF$7)*OFFSET(ORÇAMENTO!$W$15,ROW(AQ222)-ROW(AQ$15),0),15-13*ORÇAMENTO!$AF$11)),
         0)</f>
        <v>0</v>
      </c>
      <c r="AR222" s="452">
        <f ca="1">IF(AND($D222="Serviço",AR$12&lt;&gt;0,$H222&gt;0,OR(AUTOEVENTO&lt;&gt;"manual",$M222&lt;&gt;$A$15)),
        IF(Import.TipoArredondamento&lt;&gt;"TransfereGOV",
              ROUND(OFFSET($P222,0,AR$13),15-13*ORÇAMENTO!$AF$7)/$H222*OFFSET(ORÇAMENTO!$X$15,ROW(AR222)-ROW(AR$15),0),
              ROUND(ROUND(OFFSET($P222,0,AR$13),15-13*ORÇAMENTO!$AF$7)*OFFSET(ORÇAMENTO!$W$15,ROW(AR222)-ROW(AR$15),0),15-13*ORÇAMENTO!$AF$11)),
         0)</f>
        <v>0</v>
      </c>
      <c r="AS222" s="452">
        <f ca="1">IF(AND($D222="Serviço",AS$12&lt;&gt;0,$H222&gt;0,OR(AUTOEVENTO&lt;&gt;"manual",$M222&lt;&gt;$A$15)),
        IF(Import.TipoArredondamento&lt;&gt;"TransfereGOV",
              ROUND(OFFSET($P222,0,AS$13),15-13*ORÇAMENTO!$AF$7)/$H222*OFFSET(ORÇAMENTO!$X$15,ROW(AS222)-ROW(AS$15),0),
              ROUND(ROUND(OFFSET($P222,0,AS$13),15-13*ORÇAMENTO!$AF$7)*OFFSET(ORÇAMENTO!$W$15,ROW(AS222)-ROW(AS$15),0),15-13*ORÇAMENTO!$AF$11)),
         0)</f>
        <v>0</v>
      </c>
      <c r="AT222" s="452">
        <f ca="1">IF(AND($D222="Serviço",AT$12&lt;&gt;0,$H222&gt;0,OR(AUTOEVENTO&lt;&gt;"manual",$M222&lt;&gt;$A$15)),
        IF(Import.TipoArredondamento&lt;&gt;"TransfereGOV",
              ROUND(OFFSET($P222,0,AT$13),15-13*ORÇAMENTO!$AF$7)/$H222*OFFSET(ORÇAMENTO!$X$15,ROW(AT222)-ROW(AT$15),0),
              ROUND(ROUND(OFFSET($P222,0,AT$13),15-13*ORÇAMENTO!$AF$7)*OFFSET(ORÇAMENTO!$W$15,ROW(AT222)-ROW(AT$15),0),15-13*ORÇAMENTO!$AF$11)),
         0)</f>
        <v>0</v>
      </c>
      <c r="AU222" s="452">
        <f ca="1">IF(AND($D222="Serviço",AU$12&lt;&gt;0,$H222&gt;0,OR(AUTOEVENTO&lt;&gt;"manual",$M222&lt;&gt;$A$15)),
        IF(Import.TipoArredondamento&lt;&gt;"TransfereGOV",
              ROUND(OFFSET($P222,0,AU$13),15-13*ORÇAMENTO!$AF$7)/$H222*OFFSET(ORÇAMENTO!$X$15,ROW(AU222)-ROW(AU$15),0),
              ROUND(ROUND(OFFSET($P222,0,AU$13),15-13*ORÇAMENTO!$AF$7)*OFFSET(ORÇAMENTO!$W$15,ROW(AU222)-ROW(AU$15),0),15-13*ORÇAMENTO!$AF$11)),
         0)</f>
        <v>0</v>
      </c>
      <c r="AV222" s="452">
        <f ca="1">IF(AND($D222="Serviço",AV$12&lt;&gt;0,$H222&gt;0,OR(AUTOEVENTO&lt;&gt;"manual",$M222&lt;&gt;$A$15)),
        IF(Import.TipoArredondamento&lt;&gt;"TransfereGOV",
              ROUND(OFFSET($P222,0,AV$13),15-13*ORÇAMENTO!$AF$7)/$H222*OFFSET(ORÇAMENTO!$X$15,ROW(AV222)-ROW(AV$15),0),
              ROUND(ROUND(OFFSET($P222,0,AV$13),15-13*ORÇAMENTO!$AF$7)*OFFSET(ORÇAMENTO!$W$15,ROW(AV222)-ROW(AV$15),0),15-13*ORÇAMENTO!$AF$11)),
         0)</f>
        <v>0</v>
      </c>
      <c r="AW222" s="452">
        <f ca="1">IF(AND($D222="Serviço",AW$12&lt;&gt;0,$H222&gt;0,OR(AUTOEVENTO&lt;&gt;"manual",$M222&lt;&gt;$A$15)),
        IF(Import.TipoArredondamento&lt;&gt;"TransfereGOV",
              ROUND(OFFSET($P222,0,AW$13),15-13*ORÇAMENTO!$AF$7)/$H222*OFFSET(ORÇAMENTO!$X$15,ROW(AW222)-ROW(AW$15),0),
              ROUND(ROUND(OFFSET($P222,0,AW$13),15-13*ORÇAMENTO!$AF$7)*OFFSET(ORÇAMENTO!$W$15,ROW(AW222)-ROW(AW$15),0),15-13*ORÇAMENTO!$AF$11)),
         0)</f>
        <v>0</v>
      </c>
      <c r="AX222" s="452">
        <f ca="1">IF(AND($D222="Serviço",AX$12&lt;&gt;0,$H222&gt;0,OR(AUTOEVENTO&lt;&gt;"manual",$M222&lt;&gt;$A$15)),
        IF(Import.TipoArredondamento&lt;&gt;"TransfereGOV",
              ROUND(OFFSET($P222,0,AX$13),15-13*ORÇAMENTO!$AF$7)/$H222*OFFSET(ORÇAMENTO!$X$15,ROW(AX222)-ROW(AX$15),0),
              ROUND(ROUND(OFFSET($P222,0,AX$13),15-13*ORÇAMENTO!$AF$7)*OFFSET(ORÇAMENTO!$W$15,ROW(AX222)-ROW(AX$15),0),15-13*ORÇAMENTO!$AF$11)),
         0)</f>
        <v>0</v>
      </c>
      <c r="AY222" s="452">
        <f ca="1">IF(AND($D222="Serviço",AY$12&lt;&gt;0,$H222&gt;0,OR(AUTOEVENTO&lt;&gt;"manual",$M222&lt;&gt;$A$15)),
        IF(Import.TipoArredondamento&lt;&gt;"TransfereGOV",
              ROUND(OFFSET($P222,0,AY$13),15-13*ORÇAMENTO!$AF$7)/$H222*OFFSET(ORÇAMENTO!$X$15,ROW(AY222)-ROW(AY$15),0),
              ROUND(ROUND(OFFSET($P222,0,AY$13),15-13*ORÇAMENTO!$AF$7)*OFFSET(ORÇAMENTO!$W$15,ROW(AY222)-ROW(AY$15),0),15-13*ORÇAMENTO!$AF$11)),
         0)</f>
        <v>0</v>
      </c>
      <c r="AZ222" s="452">
        <f ca="1">IF(AND($D222="Serviço",AZ$12&lt;&gt;0,$H222&gt;0,OR(AUTOEVENTO&lt;&gt;"manual",$M222&lt;&gt;$A$15)),
        IF(Import.TipoArredondamento&lt;&gt;"TransfereGOV",
              ROUND(OFFSET($P222,0,AZ$13),15-13*ORÇAMENTO!$AF$7)/$H222*OFFSET(ORÇAMENTO!$X$15,ROW(AZ222)-ROW(AZ$15),0),
              ROUND(ROUND(OFFSET($P222,0,AZ$13),15-13*ORÇAMENTO!$AF$7)*OFFSET(ORÇAMENTO!$W$15,ROW(AZ222)-ROW(AZ$15),0),15-13*ORÇAMENTO!$AF$11)),
         0)</f>
        <v>0</v>
      </c>
      <c r="BA222" s="452">
        <f ca="1">IF(AND($D222="Serviço",BA$12&lt;&gt;0,$H222&gt;0,OR(AUTOEVENTO&lt;&gt;"manual",$M222&lt;&gt;$A$15)),
        IF(Import.TipoArredondamento&lt;&gt;"TransfereGOV",
              ROUND(OFFSET($P222,0,BA$13),15-13*ORÇAMENTO!$AF$7)/$H222*OFFSET(ORÇAMENTO!$X$15,ROW(BA222)-ROW(BA$15),0),
              ROUND(ROUND(OFFSET($P222,0,BA$13),15-13*ORÇAMENTO!$AF$7)*OFFSET(ORÇAMENTO!$W$15,ROW(BA222)-ROW(BA$15),0),15-13*ORÇAMENTO!$AF$11)),
         0)</f>
        <v>0</v>
      </c>
      <c r="BC222" s="171">
        <f ca="1">IF(OR($D222&lt;&gt;"Serviço",AND(AUTOEVENTO="Manual",$M222=$A$15)),0,
         IF(OFFSET(CRONOPLE!$F$15,$M222-$A$15,BC$13)=0,10^12,OFFSET(CRONOPLE!$F$15,$M222-$A$15,BC$13)))</f>
        <v>9</v>
      </c>
      <c r="BD222" s="171">
        <f ca="1">IF(OR($D222&lt;&gt;"Serviço",AND(AUTOEVENTO="Manual",$M222=$A$15)),0,
         IF(OFFSET(CRONOPLE!$F$15,$M222-$A$15,BD$13)=0,10^12,OFFSET(CRONOPLE!$F$15,$M222-$A$15,BD$13)))</f>
        <v>9</v>
      </c>
      <c r="BE222" s="171">
        <f ca="1">IF(OR($D222&lt;&gt;"Serviço",AND(AUTOEVENTO="Manual",$M222=$A$15)),0,
         IF(OFFSET(CRONOPLE!$F$15,$M222-$A$15,BE$13)=0,10^12,OFFSET(CRONOPLE!$F$15,$M222-$A$15,BE$13)))</f>
        <v>9</v>
      </c>
      <c r="BF222" s="171">
        <f ca="1">IF(OR($D222&lt;&gt;"Serviço",AND(AUTOEVENTO="Manual",$M222=$A$15)),0,
         IF(OFFSET(CRONOPLE!$F$15,$M222-$A$15,BF$13)=0,10^12,OFFSET(CRONOPLE!$F$15,$M222-$A$15,BF$13)))</f>
        <v>9</v>
      </c>
      <c r="BG222" s="171">
        <f ca="1">IF(OR($D222&lt;&gt;"Serviço",AND(AUTOEVENTO="Manual",$M222=$A$15)),0,
         IF(OFFSET(CRONOPLE!$F$15,$M222-$A$15,BG$13)=0,10^12,OFFSET(CRONOPLE!$F$15,$M222-$A$15,BG$13)))</f>
        <v>9</v>
      </c>
      <c r="BH222" s="171">
        <f ca="1">IF(OR($D222&lt;&gt;"Serviço",AND(AUTOEVENTO="Manual",$M222=$A$15)),0,
         IF(OFFSET(CRONOPLE!$F$15,$M222-$A$15,BH$13)=0,10^12,OFFSET(CRONOPLE!$F$15,$M222-$A$15,BH$13)))</f>
        <v>1000000000000</v>
      </c>
      <c r="BI222" s="171">
        <f ca="1">IF(OR($D222&lt;&gt;"Serviço",AND(AUTOEVENTO="Manual",$M222=$A$15)),0,
         IF(OFFSET(CRONOPLE!$F$15,$M222-$A$15,BI$13)=0,10^12,OFFSET(CRONOPLE!$F$15,$M222-$A$15,BI$13)))</f>
        <v>1000000000000</v>
      </c>
      <c r="BJ222" s="171">
        <f ca="1">IF(OR($D222&lt;&gt;"Serviço",AND(AUTOEVENTO="Manual",$M222=$A$15)),0,
         IF(OFFSET(CRONOPLE!$F$15,$M222-$A$15,BJ$13)=0,10^12,OFFSET(CRONOPLE!$F$15,$M222-$A$15,BJ$13)))</f>
        <v>1000000000000</v>
      </c>
      <c r="BK222" s="171">
        <f ca="1">IF(OR($D222&lt;&gt;"Serviço",AND(AUTOEVENTO="Manual",$M222=$A$15)),0,
         IF(OFFSET(CRONOPLE!$F$15,$M222-$A$15,BK$13)=0,10^12,OFFSET(CRONOPLE!$F$15,$M222-$A$15,BK$13)))</f>
        <v>1000000000000</v>
      </c>
      <c r="BL222" s="171">
        <f ca="1">IF(OR($D222&lt;&gt;"Serviço",AND(AUTOEVENTO="Manual",$M222=$A$15)),0,
         IF(OFFSET(CRONOPLE!$F$15,$M222-$A$15,BL$13)=0,10^12,OFFSET(CRONOPLE!$F$15,$M222-$A$15,BL$13)))</f>
        <v>1000000000000</v>
      </c>
      <c r="BM222" s="171">
        <f ca="1">IF(OR($D222&lt;&gt;"Serviço",AND(AUTOEVENTO="Manual",$M222=$A$15)),0,
         IF(OFFSET(CRONOPLE!$F$15,$M222-$A$15,BM$13)=0,10^12,OFFSET(CRONOPLE!$F$15,$M222-$A$15,BM$13)))</f>
        <v>1000000000000</v>
      </c>
      <c r="BN222" s="171">
        <f ca="1">IF(OR($D222&lt;&gt;"Serviço",AND(AUTOEVENTO="Manual",$M222=$A$15)),0,
         IF(OFFSET(CRONOPLE!$F$15,$M222-$A$15,BN$13)=0,10^12,OFFSET(CRONOPLE!$F$15,$M222-$A$15,BN$13)))</f>
        <v>1000000000000</v>
      </c>
      <c r="BO222" s="171">
        <f ca="1">IF(OR($D222&lt;&gt;"Serviço",AND(AUTOEVENTO="Manual",$M222=$A$15)),0,
         IF(OFFSET(CRONOPLE!$F$15,$M222-$A$15,BO$13)=0,10^12,OFFSET(CRONOPLE!$F$15,$M222-$A$15,BO$13)))</f>
        <v>1000000000000</v>
      </c>
      <c r="BP222" s="171">
        <f ca="1">IF(OR($D222&lt;&gt;"Serviço",AND(AUTOEVENTO="Manual",$M222=$A$15)),0,
         IF(OFFSET(CRONOPLE!$F$15,$M222-$A$15,BP$13)=0,10^12,OFFSET(CRONOPLE!$F$15,$M222-$A$15,BP$13)))</f>
        <v>1000000000000</v>
      </c>
      <c r="BQ222" s="171">
        <f ca="1">IF(OR($D222&lt;&gt;"Serviço",AND(AUTOEVENTO="Manual",$M222=$A$15)),0,
         IF(OFFSET(CRONOPLE!$F$15,$M222-$A$15,BQ$13)=0,10^12,OFFSET(CRONOPLE!$F$15,$M222-$A$15,BQ$13)))</f>
        <v>1000000000000</v>
      </c>
      <c r="BR222" s="171">
        <f ca="1">IF(OR($D222&lt;&gt;"Serviço",AND(AUTOEVENTO="Manual",$M222=$A$15)),0,
         IF(OFFSET(CRONOPLE!$F$15,$M222-$A$15,BR$13)=0,10^12,OFFSET(CRONOPLE!$F$15,$M222-$A$15,BR$13)))</f>
        <v>1000000000000</v>
      </c>
      <c r="BS222" s="171">
        <f ca="1">IF(OR($D222&lt;&gt;"Serviço",AND(AUTOEVENTO="Manual",$M222=$A$15)),0,
         IF(OFFSET(CRONOPLE!$F$15,$M222-$A$15,BS$13)=0,10^12,OFFSET(CRONOPLE!$F$15,$M222-$A$15,BS$13)))</f>
        <v>1000000000000</v>
      </c>
      <c r="BT222" s="171">
        <f ca="1">IF(OR($D222&lt;&gt;"Serviço",AND(AUTOEVENTO="Manual",$M222=$A$15)),0,
         IF(OFFSET(CRONOPLE!$F$15,$M222-$A$15,BT$13)=0,10^12,OFFSET(CRONOPLE!$F$15,$M222-$A$15,BT$13)))</f>
        <v>1000000000000</v>
      </c>
      <c r="BV222" s="172">
        <f t="array" aca="1" ref="BV222" ca="1">IF(OR($D222&lt;&gt;"Serviço",AND(AUTOEVENTO="Manual",$M222=$A$15),$M222&gt;(ROW(PLE.lastrow)-ROW(PLE.firstrow))),0,
           IF(OFFSET(PLE!$G$15,$M222-$A$15,BV$13)="",10^12,OFFSET(PLE!$G$15,$M222-$A$15,BV$13)))</f>
        <v>1000000000000</v>
      </c>
      <c r="BW222" s="172">
        <f t="array" aca="1" ref="BW222" ca="1">IF(OR($D222&lt;&gt;"Serviço",AND(AUTOEVENTO="Manual",$M222=$A$15),$M222&gt;(ROW(PLE.lastrow)-ROW(PLE.firstrow))),0,
           IF(OFFSET(PLE!$G$15,$M222-$A$15,BW$13)="",10^12,OFFSET(PLE!$G$15,$M222-$A$15,BW$13)))</f>
        <v>1000000000000</v>
      </c>
      <c r="BX222" s="172">
        <f t="array" aca="1" ref="BX222" ca="1">IF(OR($D222&lt;&gt;"Serviço",AND(AUTOEVENTO="Manual",$M222=$A$15),$M222&gt;(ROW(PLE.lastrow)-ROW(PLE.firstrow))),0,
           IF(OFFSET(PLE!$G$15,$M222-$A$15,BX$13)="",10^12,OFFSET(PLE!$G$15,$M222-$A$15,BX$13)))</f>
        <v>1000000000000</v>
      </c>
      <c r="BY222" s="172">
        <f t="array" aca="1" ref="BY222" ca="1">IF(OR($D222&lt;&gt;"Serviço",AND(AUTOEVENTO="Manual",$M222=$A$15),$M222&gt;(ROW(PLE.lastrow)-ROW(PLE.firstrow))),0,
           IF(OFFSET(PLE!$G$15,$M222-$A$15,BY$13)="",10^12,OFFSET(PLE!$G$15,$M222-$A$15,BY$13)))</f>
        <v>1000000000000</v>
      </c>
      <c r="BZ222" s="172">
        <f t="array" aca="1" ref="BZ222" ca="1">IF(OR($D222&lt;&gt;"Serviço",AND(AUTOEVENTO="Manual",$M222=$A$15),$M222&gt;(ROW(PLE.lastrow)-ROW(PLE.firstrow))),0,
           IF(OFFSET(PLE!$G$15,$M222-$A$15,BZ$13)="",10^12,OFFSET(PLE!$G$15,$M222-$A$15,BZ$13)))</f>
        <v>1000000000000</v>
      </c>
      <c r="CA222" s="172">
        <f t="array" aca="1" ref="CA222" ca="1">IF(OR($D222&lt;&gt;"Serviço",AND(AUTOEVENTO="Manual",$M222=$A$15),$M222&gt;(ROW(PLE.lastrow)-ROW(PLE.firstrow))),0,
           IF(OFFSET(PLE!$G$15,$M222-$A$15,CA$13)="",10^12,OFFSET(PLE!$G$15,$M222-$A$15,CA$13)))</f>
        <v>1000000000000</v>
      </c>
      <c r="CB222" s="172">
        <f t="array" aca="1" ref="CB222" ca="1">IF(OR($D222&lt;&gt;"Serviço",AND(AUTOEVENTO="Manual",$M222=$A$15),$M222&gt;(ROW(PLE.lastrow)-ROW(PLE.firstrow))),0,
           IF(OFFSET(PLE!$G$15,$M222-$A$15,CB$13)="",10^12,OFFSET(PLE!$G$15,$M222-$A$15,CB$13)))</f>
        <v>1000000000000</v>
      </c>
      <c r="CC222" s="172">
        <f t="array" aca="1" ref="CC222" ca="1">IF(OR($D222&lt;&gt;"Serviço",AND(AUTOEVENTO="Manual",$M222=$A$15),$M222&gt;(ROW(PLE.lastrow)-ROW(PLE.firstrow))),0,
           IF(OFFSET(PLE!$G$15,$M222-$A$15,CC$13)="",10^12,OFFSET(PLE!$G$15,$M222-$A$15,CC$13)))</f>
        <v>1000000000000</v>
      </c>
      <c r="CD222" s="172">
        <f t="array" aca="1" ref="CD222" ca="1">IF(OR($D222&lt;&gt;"Serviço",AND(AUTOEVENTO="Manual",$M222=$A$15),$M222&gt;(ROW(PLE.lastrow)-ROW(PLE.firstrow))),0,
           IF(OFFSET(PLE!$G$15,$M222-$A$15,CD$13)="",10^12,OFFSET(PLE!$G$15,$M222-$A$15,CD$13)))</f>
        <v>1000000000000</v>
      </c>
      <c r="CE222" s="172">
        <f t="array" aca="1" ref="CE222" ca="1">IF(OR($D222&lt;&gt;"Serviço",AND(AUTOEVENTO="Manual",$M222=$A$15),$M222&gt;(ROW(PLE.lastrow)-ROW(PLE.firstrow))),0,
           IF(OFFSET(PLE!$G$15,$M222-$A$15,CE$13)="",10^12,OFFSET(PLE!$G$15,$M222-$A$15,CE$13)))</f>
        <v>1000000000000</v>
      </c>
      <c r="CF222" s="172">
        <f t="array" aca="1" ref="CF222" ca="1">IF(OR($D222&lt;&gt;"Serviço",AND(AUTOEVENTO="Manual",$M222=$A$15),$M222&gt;(ROW(PLE.lastrow)-ROW(PLE.firstrow))),0,
           IF(OFFSET(PLE!$G$15,$M222-$A$15,CF$13)="",10^12,OFFSET(PLE!$G$15,$M222-$A$15,CF$13)))</f>
        <v>1000000000000</v>
      </c>
      <c r="CG222" s="172">
        <f t="array" aca="1" ref="CG222" ca="1">IF(OR($D222&lt;&gt;"Serviço",AND(AUTOEVENTO="Manual",$M222=$A$15),$M222&gt;(ROW(PLE.lastrow)-ROW(PLE.firstrow))),0,
           IF(OFFSET(PLE!$G$15,$M222-$A$15,CG$13)="",10^12,OFFSET(PLE!$G$15,$M222-$A$15,CG$13)))</f>
        <v>1000000000000</v>
      </c>
      <c r="CH222" s="172">
        <f t="array" aca="1" ref="CH222" ca="1">IF(OR($D222&lt;&gt;"Serviço",AND(AUTOEVENTO="Manual",$M222=$A$15),$M222&gt;(ROW(PLE.lastrow)-ROW(PLE.firstrow))),0,
           IF(OFFSET(PLE!$G$15,$M222-$A$15,CH$13)="",10^12,OFFSET(PLE!$G$15,$M222-$A$15,CH$13)))</f>
        <v>1000000000000</v>
      </c>
      <c r="CI222" s="172">
        <f t="array" aca="1" ref="CI222" ca="1">IF(OR($D222&lt;&gt;"Serviço",AND(AUTOEVENTO="Manual",$M222=$A$15),$M222&gt;(ROW(PLE.lastrow)-ROW(PLE.firstrow))),0,
           IF(OFFSET(PLE!$G$15,$M222-$A$15,CI$13)="",10^12,OFFSET(PLE!$G$15,$M222-$A$15,CI$13)))</f>
        <v>1000000000000</v>
      </c>
      <c r="CJ222" s="172">
        <f t="array" aca="1" ref="CJ222" ca="1">IF(OR($D222&lt;&gt;"Serviço",AND(AUTOEVENTO="Manual",$M222=$A$15),$M222&gt;(ROW(PLE.lastrow)-ROW(PLE.firstrow))),0,
           IF(OFFSET(PLE!$G$15,$M222-$A$15,CJ$13)="",10^12,OFFSET(PLE!$G$15,$M222-$A$15,CJ$13)))</f>
        <v>1000000000000</v>
      </c>
      <c r="CK222" s="172">
        <f t="array" aca="1" ref="CK222" ca="1">IF(OR($D222&lt;&gt;"Serviço",AND(AUTOEVENTO="Manual",$M222=$A$15),$M222&gt;(ROW(PLE.lastrow)-ROW(PLE.firstrow))),0,
           IF(OFFSET(PLE!$G$15,$M222-$A$15,CK$13)="",10^12,OFFSET(PLE!$G$15,$M222-$A$15,CK$13)))</f>
        <v>1000000000000</v>
      </c>
      <c r="CL222" s="172">
        <f t="array" aca="1" ref="CL222" ca="1">IF(OR($D222&lt;&gt;"Serviço",AND(AUTOEVENTO="Manual",$M222=$A$15),$M222&gt;(ROW(PLE.lastrow)-ROW(PLE.firstrow))),0,
           IF(OFFSET(PLE!$G$15,$M222-$A$15,CL$13)="",10^12,OFFSET(PLE!$G$15,$M222-$A$15,CL$13)))</f>
        <v>1000000000000</v>
      </c>
      <c r="CM222" s="172">
        <f t="array" aca="1" ref="CM222" ca="1">IF(OR($D222&lt;&gt;"Serviço",AND(AUTOEVENTO="Manual",$M222=$A$15),$M222&gt;(ROW(PLE.lastrow)-ROW(PLE.firstrow))),0,
           IF(OFFSET(PLE!$G$15,$M222-$A$15,CM$13)="",10^12,OFFSET(PLE!$G$15,$M222-$A$15,CM$13)))</f>
        <v>1000000000000</v>
      </c>
    </row>
    <row r="223" spans="1:91" s="717" customFormat="1" ht="51" x14ac:dyDescent="0.2">
      <c r="A223" s="715">
        <f t="shared" ca="1" si="98"/>
        <v>34</v>
      </c>
      <c r="B223" s="715" t="str">
        <f ca="1">OFFSET(ORÇAMENTO!C$15,$L223,0)</f>
        <v>S</v>
      </c>
      <c r="C223" s="715" t="str">
        <f ca="1">OFFSET(ORÇAMENTO!L$15,$L223,0)</f>
        <v>F</v>
      </c>
      <c r="D223" s="116" t="str">
        <f ca="1">OFFSET(ORÇAMENTO!N$15,$L223,0)</f>
        <v>Serviço</v>
      </c>
      <c r="E223" s="117" t="str">
        <f ca="1">OFFSET(ORÇAMENTO!O$15,$L223,0)</f>
        <v>1.33.5.</v>
      </c>
      <c r="F223" s="163" t="str">
        <f ca="1">OFFSET(ORÇAMENTO!R$15,$L223,0)</f>
        <v>BARRA DE APOIO RETA, EM ACO INOX POLIDO, COMPRIMENTO 70 CM, FIXADA NA PAREDE - FORNECIMENTO E INSTALAÇÃO. AF_01/2020</v>
      </c>
      <c r="G223" s="164" t="str">
        <f ca="1">IF($D223&lt;&gt;"Serviço","",OFFSET(ORÇAMENTO!S$15,$L223,0))</f>
        <v>UN</v>
      </c>
      <c r="H223" s="122">
        <f t="array" aca="1" ref="H223" ca="1">IF($D223&lt;&gt;"Serviço",0,IF(ACOMPANHAMENTO="BM",ROUND(OFFSET(ORÇAMENTO!AJ$15,$L223,0),15-13*ORÇAMENTO!$AF$7),IF(IFERROR(CÁLCULO.FrentesPreenchidas,0)=0,0,SUM(ROUND(OFFSET($P223,0,1,1,CÁLCULO.FrentesPreenchidas),15-13*ORÇAMENTO!$AF$7)))))</f>
        <v>4</v>
      </c>
      <c r="I223" s="467" t="s">
        <v>1471</v>
      </c>
      <c r="J223" s="653" t="str">
        <f t="array" aca="1" ref="J223" ca="1">IF(OR(B223&lt;&gt;"S",CÁLCULO.FrentesPreenchidas=0),"",IF(AND(ACOMPANHAMENTO="PLE",AUTOEVENTO="Manual",OR(H223&gt;0,ORÇAMENTO!AC223="QUANT."),OR(K223="",M223=0,N223="")),"►E",IF(AND(ACOMPANHAMENTO="PLE",ORÇAMENTO!AC223="QUANT."),"►Q",IF(AND(ACOMPANHAMENTO="PLE",H223&lt;&gt;SUMPRODUCT(($Q$1:$AI$1=1)*ROUND(Q223:AI223,15))),"►S",IF(AND(COUNTIF($P$11:$AI$11,"▼")=0,H223&gt;0,I223=""),"◄M","")))))</f>
        <v/>
      </c>
      <c r="K223" s="654" t="s">
        <v>1450</v>
      </c>
      <c r="L223" s="165">
        <f t="shared" ca="1" si="99"/>
        <v>208</v>
      </c>
      <c r="M223" s="166">
        <f ca="1">IF($D223&lt;&gt;"Serviço","",
          IF(AUTOEVENTO="manual",$A223,
                IF(ISERROR(MATCH($A223,$A$15:OFFSET($A223,-1,0),0)),MAX($M$15:OFFSET(M223,-1,0))+1,
                      INDEX($M$15:OFFSET(M223,-1,0),MATCH($A223,$A$15:OFFSET($A223,-1,0),0)))))</f>
        <v>34</v>
      </c>
      <c r="N223" s="167" t="str">
        <f ca="1">IF($D223&lt;&gt;"Serviço","",
         IF(AUTOEVENTO="Manual",
                IF($A223=0,"&lt;-- defina o número do agrupador",
                       OFFSET(EVENTOS!$D$15,$A223-$A$15,0)),
                OFFSET($F$15,$A223,0)))</f>
        <v xml:space="preserve">METAIS </v>
      </c>
      <c r="O223" s="168"/>
      <c r="Q223" s="168"/>
      <c r="R223" s="169"/>
      <c r="S223" s="169"/>
      <c r="T223" s="169">
        <v>4</v>
      </c>
      <c r="U223" s="169"/>
      <c r="V223" s="169"/>
      <c r="W223" s="169"/>
      <c r="X223" s="169"/>
      <c r="Y223" s="169"/>
      <c r="Z223" s="170"/>
      <c r="AA223" s="169"/>
      <c r="AB223" s="169"/>
      <c r="AC223" s="169"/>
      <c r="AD223" s="169"/>
      <c r="AE223" s="169"/>
      <c r="AF223" s="169"/>
      <c r="AG223" s="169"/>
      <c r="AH223" s="170"/>
      <c r="AJ223" s="452">
        <f ca="1">IF(AND($D223="Serviço",AJ$12&lt;&gt;0,$H223&gt;0,OR(AUTOEVENTO&lt;&gt;"manual",$M223&lt;&gt;$A$15)),
        IF(Import.TipoArredondamento&lt;&gt;"TransfereGOV",
              ROUND(OFFSET($P223,0,AJ$13),15-13*ORÇAMENTO!$AF$7)/$H223*OFFSET(ORÇAMENTO!$X$15,ROW(AJ223)-ROW(AJ$15),0),
              ROUND(ROUND(OFFSET($P223,0,AJ$13),15-13*ORÇAMENTO!$AF$7)*OFFSET(ORÇAMENTO!$W$15,ROW(AJ223)-ROW(AJ$15),0),15-13*ORÇAMENTO!$AF$11)),
         0)</f>
        <v>0</v>
      </c>
      <c r="AK223" s="452">
        <f ca="1">IF(AND($D223="Serviço",AK$12&lt;&gt;0,$H223&gt;0,OR(AUTOEVENTO&lt;&gt;"manual",$M223&lt;&gt;$A$15)),
        IF(Import.TipoArredondamento&lt;&gt;"TransfereGOV",
              ROUND(OFFSET($P223,0,AK$13),15-13*ORÇAMENTO!$AF$7)/$H223*OFFSET(ORÇAMENTO!$X$15,ROW(AK223)-ROW(AK$15),0),
              ROUND(ROUND(OFFSET($P223,0,AK$13),15-13*ORÇAMENTO!$AF$7)*OFFSET(ORÇAMENTO!$W$15,ROW(AK223)-ROW(AK$15),0),15-13*ORÇAMENTO!$AF$11)),
         0)</f>
        <v>0</v>
      </c>
      <c r="AL223" s="452">
        <f ca="1">IF(AND($D223="Serviço",AL$12&lt;&gt;0,$H223&gt;0,OR(AUTOEVENTO&lt;&gt;"manual",$M223&lt;&gt;$A$15)),
        IF(Import.TipoArredondamento&lt;&gt;"TransfereGOV",
              ROUND(OFFSET($P223,0,AL$13),15-13*ORÇAMENTO!$AF$7)/$H223*OFFSET(ORÇAMENTO!$X$15,ROW(AL223)-ROW(AL$15),0),
              ROUND(ROUND(OFFSET($P223,0,AL$13),15-13*ORÇAMENTO!$AF$7)*OFFSET(ORÇAMENTO!$W$15,ROW(AL223)-ROW(AL$15),0),15-13*ORÇAMENTO!$AF$11)),
         0)</f>
        <v>0</v>
      </c>
      <c r="AM223" s="452">
        <f ca="1">IF(AND($D223="Serviço",AM$12&lt;&gt;0,$H223&gt;0,OR(AUTOEVENTO&lt;&gt;"manual",$M223&lt;&gt;$A$15)),
        IF(Import.TipoArredondamento&lt;&gt;"TransfereGOV",
              ROUND(OFFSET($P223,0,AM$13),15-13*ORÇAMENTO!$AF$7)/$H223*OFFSET(ORÇAMENTO!$X$15,ROW(AM223)-ROW(AM$15),0),
              ROUND(ROUND(OFFSET($P223,0,AM$13),15-13*ORÇAMENTO!$AF$7)*OFFSET(ORÇAMENTO!$W$15,ROW(AM223)-ROW(AM$15),0),15-13*ORÇAMENTO!$AF$11)),
         0)</f>
        <v>1837.04</v>
      </c>
      <c r="AN223" s="452">
        <f ca="1">IF(AND($D223="Serviço",AN$12&lt;&gt;0,$H223&gt;0,OR(AUTOEVENTO&lt;&gt;"manual",$M223&lt;&gt;$A$15)),
        IF(Import.TipoArredondamento&lt;&gt;"TransfereGOV",
              ROUND(OFFSET($P223,0,AN$13),15-13*ORÇAMENTO!$AF$7)/$H223*OFFSET(ORÇAMENTO!$X$15,ROW(AN223)-ROW(AN$15),0),
              ROUND(ROUND(OFFSET($P223,0,AN$13),15-13*ORÇAMENTO!$AF$7)*OFFSET(ORÇAMENTO!$W$15,ROW(AN223)-ROW(AN$15),0),15-13*ORÇAMENTO!$AF$11)),
         0)</f>
        <v>0</v>
      </c>
      <c r="AO223" s="452">
        <f ca="1">IF(AND($D223="Serviço",AO$12&lt;&gt;0,$H223&gt;0,OR(AUTOEVENTO&lt;&gt;"manual",$M223&lt;&gt;$A$15)),
        IF(Import.TipoArredondamento&lt;&gt;"TransfereGOV",
              ROUND(OFFSET($P223,0,AO$13),15-13*ORÇAMENTO!$AF$7)/$H223*OFFSET(ORÇAMENTO!$X$15,ROW(AO223)-ROW(AO$15),0),
              ROUND(ROUND(OFFSET($P223,0,AO$13),15-13*ORÇAMENTO!$AF$7)*OFFSET(ORÇAMENTO!$W$15,ROW(AO223)-ROW(AO$15),0),15-13*ORÇAMENTO!$AF$11)),
         0)</f>
        <v>0</v>
      </c>
      <c r="AP223" s="452">
        <f ca="1">IF(AND($D223="Serviço",AP$12&lt;&gt;0,$H223&gt;0,OR(AUTOEVENTO&lt;&gt;"manual",$M223&lt;&gt;$A$15)),
        IF(Import.TipoArredondamento&lt;&gt;"TransfereGOV",
              ROUND(OFFSET($P223,0,AP$13),15-13*ORÇAMENTO!$AF$7)/$H223*OFFSET(ORÇAMENTO!$X$15,ROW(AP223)-ROW(AP$15),0),
              ROUND(ROUND(OFFSET($P223,0,AP$13),15-13*ORÇAMENTO!$AF$7)*OFFSET(ORÇAMENTO!$W$15,ROW(AP223)-ROW(AP$15),0),15-13*ORÇAMENTO!$AF$11)),
         0)</f>
        <v>0</v>
      </c>
      <c r="AQ223" s="452">
        <f ca="1">IF(AND($D223="Serviço",AQ$12&lt;&gt;0,$H223&gt;0,OR(AUTOEVENTO&lt;&gt;"manual",$M223&lt;&gt;$A$15)),
        IF(Import.TipoArredondamento&lt;&gt;"TransfereGOV",
              ROUND(OFFSET($P223,0,AQ$13),15-13*ORÇAMENTO!$AF$7)/$H223*OFFSET(ORÇAMENTO!$X$15,ROW(AQ223)-ROW(AQ$15),0),
              ROUND(ROUND(OFFSET($P223,0,AQ$13),15-13*ORÇAMENTO!$AF$7)*OFFSET(ORÇAMENTO!$W$15,ROW(AQ223)-ROW(AQ$15),0),15-13*ORÇAMENTO!$AF$11)),
         0)</f>
        <v>0</v>
      </c>
      <c r="AR223" s="452">
        <f ca="1">IF(AND($D223="Serviço",AR$12&lt;&gt;0,$H223&gt;0,OR(AUTOEVENTO&lt;&gt;"manual",$M223&lt;&gt;$A$15)),
        IF(Import.TipoArredondamento&lt;&gt;"TransfereGOV",
              ROUND(OFFSET($P223,0,AR$13),15-13*ORÇAMENTO!$AF$7)/$H223*OFFSET(ORÇAMENTO!$X$15,ROW(AR223)-ROW(AR$15),0),
              ROUND(ROUND(OFFSET($P223,0,AR$13),15-13*ORÇAMENTO!$AF$7)*OFFSET(ORÇAMENTO!$W$15,ROW(AR223)-ROW(AR$15),0),15-13*ORÇAMENTO!$AF$11)),
         0)</f>
        <v>0</v>
      </c>
      <c r="AS223" s="452">
        <f ca="1">IF(AND($D223="Serviço",AS$12&lt;&gt;0,$H223&gt;0,OR(AUTOEVENTO&lt;&gt;"manual",$M223&lt;&gt;$A$15)),
        IF(Import.TipoArredondamento&lt;&gt;"TransfereGOV",
              ROUND(OFFSET($P223,0,AS$13),15-13*ORÇAMENTO!$AF$7)/$H223*OFFSET(ORÇAMENTO!$X$15,ROW(AS223)-ROW(AS$15),0),
              ROUND(ROUND(OFFSET($P223,0,AS$13),15-13*ORÇAMENTO!$AF$7)*OFFSET(ORÇAMENTO!$W$15,ROW(AS223)-ROW(AS$15),0),15-13*ORÇAMENTO!$AF$11)),
         0)</f>
        <v>0</v>
      </c>
      <c r="AT223" s="452">
        <f ca="1">IF(AND($D223="Serviço",AT$12&lt;&gt;0,$H223&gt;0,OR(AUTOEVENTO&lt;&gt;"manual",$M223&lt;&gt;$A$15)),
        IF(Import.TipoArredondamento&lt;&gt;"TransfereGOV",
              ROUND(OFFSET($P223,0,AT$13),15-13*ORÇAMENTO!$AF$7)/$H223*OFFSET(ORÇAMENTO!$X$15,ROW(AT223)-ROW(AT$15),0),
              ROUND(ROUND(OFFSET($P223,0,AT$13),15-13*ORÇAMENTO!$AF$7)*OFFSET(ORÇAMENTO!$W$15,ROW(AT223)-ROW(AT$15),0),15-13*ORÇAMENTO!$AF$11)),
         0)</f>
        <v>0</v>
      </c>
      <c r="AU223" s="452">
        <f ca="1">IF(AND($D223="Serviço",AU$12&lt;&gt;0,$H223&gt;0,OR(AUTOEVENTO&lt;&gt;"manual",$M223&lt;&gt;$A$15)),
        IF(Import.TipoArredondamento&lt;&gt;"TransfereGOV",
              ROUND(OFFSET($P223,0,AU$13),15-13*ORÇAMENTO!$AF$7)/$H223*OFFSET(ORÇAMENTO!$X$15,ROW(AU223)-ROW(AU$15),0),
              ROUND(ROUND(OFFSET($P223,0,AU$13),15-13*ORÇAMENTO!$AF$7)*OFFSET(ORÇAMENTO!$W$15,ROW(AU223)-ROW(AU$15),0),15-13*ORÇAMENTO!$AF$11)),
         0)</f>
        <v>0</v>
      </c>
      <c r="AV223" s="452">
        <f ca="1">IF(AND($D223="Serviço",AV$12&lt;&gt;0,$H223&gt;0,OR(AUTOEVENTO&lt;&gt;"manual",$M223&lt;&gt;$A$15)),
        IF(Import.TipoArredondamento&lt;&gt;"TransfereGOV",
              ROUND(OFFSET($P223,0,AV$13),15-13*ORÇAMENTO!$AF$7)/$H223*OFFSET(ORÇAMENTO!$X$15,ROW(AV223)-ROW(AV$15),0),
              ROUND(ROUND(OFFSET($P223,0,AV$13),15-13*ORÇAMENTO!$AF$7)*OFFSET(ORÇAMENTO!$W$15,ROW(AV223)-ROW(AV$15),0),15-13*ORÇAMENTO!$AF$11)),
         0)</f>
        <v>0</v>
      </c>
      <c r="AW223" s="452">
        <f ca="1">IF(AND($D223="Serviço",AW$12&lt;&gt;0,$H223&gt;0,OR(AUTOEVENTO&lt;&gt;"manual",$M223&lt;&gt;$A$15)),
        IF(Import.TipoArredondamento&lt;&gt;"TransfereGOV",
              ROUND(OFFSET($P223,0,AW$13),15-13*ORÇAMENTO!$AF$7)/$H223*OFFSET(ORÇAMENTO!$X$15,ROW(AW223)-ROW(AW$15),0),
              ROUND(ROUND(OFFSET($P223,0,AW$13),15-13*ORÇAMENTO!$AF$7)*OFFSET(ORÇAMENTO!$W$15,ROW(AW223)-ROW(AW$15),0),15-13*ORÇAMENTO!$AF$11)),
         0)</f>
        <v>0</v>
      </c>
      <c r="AX223" s="452">
        <f ca="1">IF(AND($D223="Serviço",AX$12&lt;&gt;0,$H223&gt;0,OR(AUTOEVENTO&lt;&gt;"manual",$M223&lt;&gt;$A$15)),
        IF(Import.TipoArredondamento&lt;&gt;"TransfereGOV",
              ROUND(OFFSET($P223,0,AX$13),15-13*ORÇAMENTO!$AF$7)/$H223*OFFSET(ORÇAMENTO!$X$15,ROW(AX223)-ROW(AX$15),0),
              ROUND(ROUND(OFFSET($P223,0,AX$13),15-13*ORÇAMENTO!$AF$7)*OFFSET(ORÇAMENTO!$W$15,ROW(AX223)-ROW(AX$15),0),15-13*ORÇAMENTO!$AF$11)),
         0)</f>
        <v>0</v>
      </c>
      <c r="AY223" s="452">
        <f ca="1">IF(AND($D223="Serviço",AY$12&lt;&gt;0,$H223&gt;0,OR(AUTOEVENTO&lt;&gt;"manual",$M223&lt;&gt;$A$15)),
        IF(Import.TipoArredondamento&lt;&gt;"TransfereGOV",
              ROUND(OFFSET($P223,0,AY$13),15-13*ORÇAMENTO!$AF$7)/$H223*OFFSET(ORÇAMENTO!$X$15,ROW(AY223)-ROW(AY$15),0),
              ROUND(ROUND(OFFSET($P223,0,AY$13),15-13*ORÇAMENTO!$AF$7)*OFFSET(ORÇAMENTO!$W$15,ROW(AY223)-ROW(AY$15),0),15-13*ORÇAMENTO!$AF$11)),
         0)</f>
        <v>0</v>
      </c>
      <c r="AZ223" s="452">
        <f ca="1">IF(AND($D223="Serviço",AZ$12&lt;&gt;0,$H223&gt;0,OR(AUTOEVENTO&lt;&gt;"manual",$M223&lt;&gt;$A$15)),
        IF(Import.TipoArredondamento&lt;&gt;"TransfereGOV",
              ROUND(OFFSET($P223,0,AZ$13),15-13*ORÇAMENTO!$AF$7)/$H223*OFFSET(ORÇAMENTO!$X$15,ROW(AZ223)-ROW(AZ$15),0),
              ROUND(ROUND(OFFSET($P223,0,AZ$13),15-13*ORÇAMENTO!$AF$7)*OFFSET(ORÇAMENTO!$W$15,ROW(AZ223)-ROW(AZ$15),0),15-13*ORÇAMENTO!$AF$11)),
         0)</f>
        <v>0</v>
      </c>
      <c r="BA223" s="452">
        <f ca="1">IF(AND($D223="Serviço",BA$12&lt;&gt;0,$H223&gt;0,OR(AUTOEVENTO&lt;&gt;"manual",$M223&lt;&gt;$A$15)),
        IF(Import.TipoArredondamento&lt;&gt;"TransfereGOV",
              ROUND(OFFSET($P223,0,BA$13),15-13*ORÇAMENTO!$AF$7)/$H223*OFFSET(ORÇAMENTO!$X$15,ROW(BA223)-ROW(BA$15),0),
              ROUND(ROUND(OFFSET($P223,0,BA$13),15-13*ORÇAMENTO!$AF$7)*OFFSET(ORÇAMENTO!$W$15,ROW(BA223)-ROW(BA$15),0),15-13*ORÇAMENTO!$AF$11)),
         0)</f>
        <v>0</v>
      </c>
      <c r="BC223" s="171">
        <f ca="1">IF(OR($D223&lt;&gt;"Serviço",AND(AUTOEVENTO="Manual",$M223=$A$15)),0,
         IF(OFFSET(CRONOPLE!$F$15,$M223-$A$15,BC$13)=0,10^12,OFFSET(CRONOPLE!$F$15,$M223-$A$15,BC$13)))</f>
        <v>9</v>
      </c>
      <c r="BD223" s="171">
        <f ca="1">IF(OR($D223&lt;&gt;"Serviço",AND(AUTOEVENTO="Manual",$M223=$A$15)),0,
         IF(OFFSET(CRONOPLE!$F$15,$M223-$A$15,BD$13)=0,10^12,OFFSET(CRONOPLE!$F$15,$M223-$A$15,BD$13)))</f>
        <v>9</v>
      </c>
      <c r="BE223" s="171">
        <f ca="1">IF(OR($D223&lt;&gt;"Serviço",AND(AUTOEVENTO="Manual",$M223=$A$15)),0,
         IF(OFFSET(CRONOPLE!$F$15,$M223-$A$15,BE$13)=0,10^12,OFFSET(CRONOPLE!$F$15,$M223-$A$15,BE$13)))</f>
        <v>9</v>
      </c>
      <c r="BF223" s="171">
        <f ca="1">IF(OR($D223&lt;&gt;"Serviço",AND(AUTOEVENTO="Manual",$M223=$A$15)),0,
         IF(OFFSET(CRONOPLE!$F$15,$M223-$A$15,BF$13)=0,10^12,OFFSET(CRONOPLE!$F$15,$M223-$A$15,BF$13)))</f>
        <v>9</v>
      </c>
      <c r="BG223" s="171">
        <f ca="1">IF(OR($D223&lt;&gt;"Serviço",AND(AUTOEVENTO="Manual",$M223=$A$15)),0,
         IF(OFFSET(CRONOPLE!$F$15,$M223-$A$15,BG$13)=0,10^12,OFFSET(CRONOPLE!$F$15,$M223-$A$15,BG$13)))</f>
        <v>9</v>
      </c>
      <c r="BH223" s="171">
        <f ca="1">IF(OR($D223&lt;&gt;"Serviço",AND(AUTOEVENTO="Manual",$M223=$A$15)),0,
         IF(OFFSET(CRONOPLE!$F$15,$M223-$A$15,BH$13)=0,10^12,OFFSET(CRONOPLE!$F$15,$M223-$A$15,BH$13)))</f>
        <v>1000000000000</v>
      </c>
      <c r="BI223" s="171">
        <f ca="1">IF(OR($D223&lt;&gt;"Serviço",AND(AUTOEVENTO="Manual",$M223=$A$15)),0,
         IF(OFFSET(CRONOPLE!$F$15,$M223-$A$15,BI$13)=0,10^12,OFFSET(CRONOPLE!$F$15,$M223-$A$15,BI$13)))</f>
        <v>1000000000000</v>
      </c>
      <c r="BJ223" s="171">
        <f ca="1">IF(OR($D223&lt;&gt;"Serviço",AND(AUTOEVENTO="Manual",$M223=$A$15)),0,
         IF(OFFSET(CRONOPLE!$F$15,$M223-$A$15,BJ$13)=0,10^12,OFFSET(CRONOPLE!$F$15,$M223-$A$15,BJ$13)))</f>
        <v>1000000000000</v>
      </c>
      <c r="BK223" s="171">
        <f ca="1">IF(OR($D223&lt;&gt;"Serviço",AND(AUTOEVENTO="Manual",$M223=$A$15)),0,
         IF(OFFSET(CRONOPLE!$F$15,$M223-$A$15,BK$13)=0,10^12,OFFSET(CRONOPLE!$F$15,$M223-$A$15,BK$13)))</f>
        <v>1000000000000</v>
      </c>
      <c r="BL223" s="171">
        <f ca="1">IF(OR($D223&lt;&gt;"Serviço",AND(AUTOEVENTO="Manual",$M223=$A$15)),0,
         IF(OFFSET(CRONOPLE!$F$15,$M223-$A$15,BL$13)=0,10^12,OFFSET(CRONOPLE!$F$15,$M223-$A$15,BL$13)))</f>
        <v>1000000000000</v>
      </c>
      <c r="BM223" s="171">
        <f ca="1">IF(OR($D223&lt;&gt;"Serviço",AND(AUTOEVENTO="Manual",$M223=$A$15)),0,
         IF(OFFSET(CRONOPLE!$F$15,$M223-$A$15,BM$13)=0,10^12,OFFSET(CRONOPLE!$F$15,$M223-$A$15,BM$13)))</f>
        <v>1000000000000</v>
      </c>
      <c r="BN223" s="171">
        <f ca="1">IF(OR($D223&lt;&gt;"Serviço",AND(AUTOEVENTO="Manual",$M223=$A$15)),0,
         IF(OFFSET(CRONOPLE!$F$15,$M223-$A$15,BN$13)=0,10^12,OFFSET(CRONOPLE!$F$15,$M223-$A$15,BN$13)))</f>
        <v>1000000000000</v>
      </c>
      <c r="BO223" s="171">
        <f ca="1">IF(OR($D223&lt;&gt;"Serviço",AND(AUTOEVENTO="Manual",$M223=$A$15)),0,
         IF(OFFSET(CRONOPLE!$F$15,$M223-$A$15,BO$13)=0,10^12,OFFSET(CRONOPLE!$F$15,$M223-$A$15,BO$13)))</f>
        <v>1000000000000</v>
      </c>
      <c r="BP223" s="171">
        <f ca="1">IF(OR($D223&lt;&gt;"Serviço",AND(AUTOEVENTO="Manual",$M223=$A$15)),0,
         IF(OFFSET(CRONOPLE!$F$15,$M223-$A$15,BP$13)=0,10^12,OFFSET(CRONOPLE!$F$15,$M223-$A$15,BP$13)))</f>
        <v>1000000000000</v>
      </c>
      <c r="BQ223" s="171">
        <f ca="1">IF(OR($D223&lt;&gt;"Serviço",AND(AUTOEVENTO="Manual",$M223=$A$15)),0,
         IF(OFFSET(CRONOPLE!$F$15,$M223-$A$15,BQ$13)=0,10^12,OFFSET(CRONOPLE!$F$15,$M223-$A$15,BQ$13)))</f>
        <v>1000000000000</v>
      </c>
      <c r="BR223" s="171">
        <f ca="1">IF(OR($D223&lt;&gt;"Serviço",AND(AUTOEVENTO="Manual",$M223=$A$15)),0,
         IF(OFFSET(CRONOPLE!$F$15,$M223-$A$15,BR$13)=0,10^12,OFFSET(CRONOPLE!$F$15,$M223-$A$15,BR$13)))</f>
        <v>1000000000000</v>
      </c>
      <c r="BS223" s="171">
        <f ca="1">IF(OR($D223&lt;&gt;"Serviço",AND(AUTOEVENTO="Manual",$M223=$A$15)),0,
         IF(OFFSET(CRONOPLE!$F$15,$M223-$A$15,BS$13)=0,10^12,OFFSET(CRONOPLE!$F$15,$M223-$A$15,BS$13)))</f>
        <v>1000000000000</v>
      </c>
      <c r="BT223" s="171">
        <f ca="1">IF(OR($D223&lt;&gt;"Serviço",AND(AUTOEVENTO="Manual",$M223=$A$15)),0,
         IF(OFFSET(CRONOPLE!$F$15,$M223-$A$15,BT$13)=0,10^12,OFFSET(CRONOPLE!$F$15,$M223-$A$15,BT$13)))</f>
        <v>1000000000000</v>
      </c>
      <c r="BV223" s="172">
        <f t="array" aca="1" ref="BV223" ca="1">IF(OR($D223&lt;&gt;"Serviço",AND(AUTOEVENTO="Manual",$M223=$A$15),$M223&gt;(ROW(PLE.lastrow)-ROW(PLE.firstrow))),0,
           IF(OFFSET(PLE!$G$15,$M223-$A$15,BV$13)="",10^12,OFFSET(PLE!$G$15,$M223-$A$15,BV$13)))</f>
        <v>1000000000000</v>
      </c>
      <c r="BW223" s="172">
        <f t="array" aca="1" ref="BW223" ca="1">IF(OR($D223&lt;&gt;"Serviço",AND(AUTOEVENTO="Manual",$M223=$A$15),$M223&gt;(ROW(PLE.lastrow)-ROW(PLE.firstrow))),0,
           IF(OFFSET(PLE!$G$15,$M223-$A$15,BW$13)="",10^12,OFFSET(PLE!$G$15,$M223-$A$15,BW$13)))</f>
        <v>1000000000000</v>
      </c>
      <c r="BX223" s="172">
        <f t="array" aca="1" ref="BX223" ca="1">IF(OR($D223&lt;&gt;"Serviço",AND(AUTOEVENTO="Manual",$M223=$A$15),$M223&gt;(ROW(PLE.lastrow)-ROW(PLE.firstrow))),0,
           IF(OFFSET(PLE!$G$15,$M223-$A$15,BX$13)="",10^12,OFFSET(PLE!$G$15,$M223-$A$15,BX$13)))</f>
        <v>1000000000000</v>
      </c>
      <c r="BY223" s="172">
        <f t="array" aca="1" ref="BY223" ca="1">IF(OR($D223&lt;&gt;"Serviço",AND(AUTOEVENTO="Manual",$M223=$A$15),$M223&gt;(ROW(PLE.lastrow)-ROW(PLE.firstrow))),0,
           IF(OFFSET(PLE!$G$15,$M223-$A$15,BY$13)="",10^12,OFFSET(PLE!$G$15,$M223-$A$15,BY$13)))</f>
        <v>1000000000000</v>
      </c>
      <c r="BZ223" s="172">
        <f t="array" aca="1" ref="BZ223" ca="1">IF(OR($D223&lt;&gt;"Serviço",AND(AUTOEVENTO="Manual",$M223=$A$15),$M223&gt;(ROW(PLE.lastrow)-ROW(PLE.firstrow))),0,
           IF(OFFSET(PLE!$G$15,$M223-$A$15,BZ$13)="",10^12,OFFSET(PLE!$G$15,$M223-$A$15,BZ$13)))</f>
        <v>1000000000000</v>
      </c>
      <c r="CA223" s="172">
        <f t="array" aca="1" ref="CA223" ca="1">IF(OR($D223&lt;&gt;"Serviço",AND(AUTOEVENTO="Manual",$M223=$A$15),$M223&gt;(ROW(PLE.lastrow)-ROW(PLE.firstrow))),0,
           IF(OFFSET(PLE!$G$15,$M223-$A$15,CA$13)="",10^12,OFFSET(PLE!$G$15,$M223-$A$15,CA$13)))</f>
        <v>1000000000000</v>
      </c>
      <c r="CB223" s="172">
        <f t="array" aca="1" ref="CB223" ca="1">IF(OR($D223&lt;&gt;"Serviço",AND(AUTOEVENTO="Manual",$M223=$A$15),$M223&gt;(ROW(PLE.lastrow)-ROW(PLE.firstrow))),0,
           IF(OFFSET(PLE!$G$15,$M223-$A$15,CB$13)="",10^12,OFFSET(PLE!$G$15,$M223-$A$15,CB$13)))</f>
        <v>1000000000000</v>
      </c>
      <c r="CC223" s="172">
        <f t="array" aca="1" ref="CC223" ca="1">IF(OR($D223&lt;&gt;"Serviço",AND(AUTOEVENTO="Manual",$M223=$A$15),$M223&gt;(ROW(PLE.lastrow)-ROW(PLE.firstrow))),0,
           IF(OFFSET(PLE!$G$15,$M223-$A$15,CC$13)="",10^12,OFFSET(PLE!$G$15,$M223-$A$15,CC$13)))</f>
        <v>1000000000000</v>
      </c>
      <c r="CD223" s="172">
        <f t="array" aca="1" ref="CD223" ca="1">IF(OR($D223&lt;&gt;"Serviço",AND(AUTOEVENTO="Manual",$M223=$A$15),$M223&gt;(ROW(PLE.lastrow)-ROW(PLE.firstrow))),0,
           IF(OFFSET(PLE!$G$15,$M223-$A$15,CD$13)="",10^12,OFFSET(PLE!$G$15,$M223-$A$15,CD$13)))</f>
        <v>1000000000000</v>
      </c>
      <c r="CE223" s="172">
        <f t="array" aca="1" ref="CE223" ca="1">IF(OR($D223&lt;&gt;"Serviço",AND(AUTOEVENTO="Manual",$M223=$A$15),$M223&gt;(ROW(PLE.lastrow)-ROW(PLE.firstrow))),0,
           IF(OFFSET(PLE!$G$15,$M223-$A$15,CE$13)="",10^12,OFFSET(PLE!$G$15,$M223-$A$15,CE$13)))</f>
        <v>1000000000000</v>
      </c>
      <c r="CF223" s="172">
        <f t="array" aca="1" ref="CF223" ca="1">IF(OR($D223&lt;&gt;"Serviço",AND(AUTOEVENTO="Manual",$M223=$A$15),$M223&gt;(ROW(PLE.lastrow)-ROW(PLE.firstrow))),0,
           IF(OFFSET(PLE!$G$15,$M223-$A$15,CF$13)="",10^12,OFFSET(PLE!$G$15,$M223-$A$15,CF$13)))</f>
        <v>1000000000000</v>
      </c>
      <c r="CG223" s="172">
        <f t="array" aca="1" ref="CG223" ca="1">IF(OR($D223&lt;&gt;"Serviço",AND(AUTOEVENTO="Manual",$M223=$A$15),$M223&gt;(ROW(PLE.lastrow)-ROW(PLE.firstrow))),0,
           IF(OFFSET(PLE!$G$15,$M223-$A$15,CG$13)="",10^12,OFFSET(PLE!$G$15,$M223-$A$15,CG$13)))</f>
        <v>1000000000000</v>
      </c>
      <c r="CH223" s="172">
        <f t="array" aca="1" ref="CH223" ca="1">IF(OR($D223&lt;&gt;"Serviço",AND(AUTOEVENTO="Manual",$M223=$A$15),$M223&gt;(ROW(PLE.lastrow)-ROW(PLE.firstrow))),0,
           IF(OFFSET(PLE!$G$15,$M223-$A$15,CH$13)="",10^12,OFFSET(PLE!$G$15,$M223-$A$15,CH$13)))</f>
        <v>1000000000000</v>
      </c>
      <c r="CI223" s="172">
        <f t="array" aca="1" ref="CI223" ca="1">IF(OR($D223&lt;&gt;"Serviço",AND(AUTOEVENTO="Manual",$M223=$A$15),$M223&gt;(ROW(PLE.lastrow)-ROW(PLE.firstrow))),0,
           IF(OFFSET(PLE!$G$15,$M223-$A$15,CI$13)="",10^12,OFFSET(PLE!$G$15,$M223-$A$15,CI$13)))</f>
        <v>1000000000000</v>
      </c>
      <c r="CJ223" s="172">
        <f t="array" aca="1" ref="CJ223" ca="1">IF(OR($D223&lt;&gt;"Serviço",AND(AUTOEVENTO="Manual",$M223=$A$15),$M223&gt;(ROW(PLE.lastrow)-ROW(PLE.firstrow))),0,
           IF(OFFSET(PLE!$G$15,$M223-$A$15,CJ$13)="",10^12,OFFSET(PLE!$G$15,$M223-$A$15,CJ$13)))</f>
        <v>1000000000000</v>
      </c>
      <c r="CK223" s="172">
        <f t="array" aca="1" ref="CK223" ca="1">IF(OR($D223&lt;&gt;"Serviço",AND(AUTOEVENTO="Manual",$M223=$A$15),$M223&gt;(ROW(PLE.lastrow)-ROW(PLE.firstrow))),0,
           IF(OFFSET(PLE!$G$15,$M223-$A$15,CK$13)="",10^12,OFFSET(PLE!$G$15,$M223-$A$15,CK$13)))</f>
        <v>1000000000000</v>
      </c>
      <c r="CL223" s="172">
        <f t="array" aca="1" ref="CL223" ca="1">IF(OR($D223&lt;&gt;"Serviço",AND(AUTOEVENTO="Manual",$M223=$A$15),$M223&gt;(ROW(PLE.lastrow)-ROW(PLE.firstrow))),0,
           IF(OFFSET(PLE!$G$15,$M223-$A$15,CL$13)="",10^12,OFFSET(PLE!$G$15,$M223-$A$15,CL$13)))</f>
        <v>1000000000000</v>
      </c>
      <c r="CM223" s="172">
        <f t="array" aca="1" ref="CM223" ca="1">IF(OR($D223&lt;&gt;"Serviço",AND(AUTOEVENTO="Manual",$M223=$A$15),$M223&gt;(ROW(PLE.lastrow)-ROW(PLE.firstrow))),0,
           IF(OFFSET(PLE!$G$15,$M223-$A$15,CM$13)="",10^12,OFFSET(PLE!$G$15,$M223-$A$15,CM$13)))</f>
        <v>1000000000000</v>
      </c>
    </row>
    <row r="224" spans="1:91" s="717" customFormat="1" ht="51" x14ac:dyDescent="0.2">
      <c r="A224" s="715">
        <f t="shared" ca="1" si="98"/>
        <v>34</v>
      </c>
      <c r="B224" s="715" t="str">
        <f ca="1">OFFSET(ORÇAMENTO!C$15,$L224,0)</f>
        <v>S</v>
      </c>
      <c r="C224" s="715" t="str">
        <f ca="1">OFFSET(ORÇAMENTO!L$15,$L224,0)</f>
        <v>F</v>
      </c>
      <c r="D224" s="116" t="str">
        <f ca="1">OFFSET(ORÇAMENTO!N$15,$L224,0)</f>
        <v>Serviço</v>
      </c>
      <c r="E224" s="117" t="str">
        <f ca="1">OFFSET(ORÇAMENTO!O$15,$L224,0)</f>
        <v>1.33.6.</v>
      </c>
      <c r="F224" s="163" t="str">
        <f ca="1">OFFSET(ORÇAMENTO!R$15,$L224,0)</f>
        <v>BANCO ARTICULADO, EM ACO INOX, PARA PCD, FIXADO NA PAREDE - FORNECIMENTO E INSTALAÇÃO. AF_01/2020</v>
      </c>
      <c r="G224" s="164" t="str">
        <f ca="1">IF($D224&lt;&gt;"Serviço","",OFFSET(ORÇAMENTO!S$15,$L224,0))</f>
        <v>UN</v>
      </c>
      <c r="H224" s="122">
        <f t="array" aca="1" ref="H224" ca="1">IF($D224&lt;&gt;"Serviço",0,IF(ACOMPANHAMENTO="BM",ROUND(OFFSET(ORÇAMENTO!AJ$15,$L224,0),15-13*ORÇAMENTO!$AF$7),IF(IFERROR(CÁLCULO.FrentesPreenchidas,0)=0,0,SUM(ROUND(OFFSET($P224,0,1,1,CÁLCULO.FrentesPreenchidas),15-13*ORÇAMENTO!$AF$7)))))</f>
        <v>2</v>
      </c>
      <c r="I224" s="467" t="s">
        <v>1472</v>
      </c>
      <c r="J224" s="653" t="str">
        <f t="array" aca="1" ref="J224" ca="1">IF(OR(B224&lt;&gt;"S",CÁLCULO.FrentesPreenchidas=0),"",IF(AND(ACOMPANHAMENTO="PLE",AUTOEVENTO="Manual",OR(H224&gt;0,ORÇAMENTO!AC224="QUANT."),OR(K224="",M224=0,N224="")),"►E",IF(AND(ACOMPANHAMENTO="PLE",ORÇAMENTO!AC224="QUANT."),"►Q",IF(AND(ACOMPANHAMENTO="PLE",H224&lt;&gt;SUMPRODUCT(($Q$1:$AI$1=1)*ROUND(Q224:AI224,15))),"►S",IF(AND(COUNTIF($P$11:$AI$11,"▼")=0,H224&gt;0,I224=""),"◄M","")))))</f>
        <v/>
      </c>
      <c r="K224" s="654" t="s">
        <v>1450</v>
      </c>
      <c r="L224" s="165">
        <f t="shared" ca="1" si="99"/>
        <v>209</v>
      </c>
      <c r="M224" s="166">
        <f ca="1">IF($D224&lt;&gt;"Serviço","",
          IF(AUTOEVENTO="manual",$A224,
                IF(ISERROR(MATCH($A224,$A$15:OFFSET($A224,-1,0),0)),MAX($M$15:OFFSET(M224,-1,0))+1,
                      INDEX($M$15:OFFSET(M224,-1,0),MATCH($A224,$A$15:OFFSET($A224,-1,0),0)))))</f>
        <v>34</v>
      </c>
      <c r="N224" s="167" t="str">
        <f ca="1">IF($D224&lt;&gt;"Serviço","",
         IF(AUTOEVENTO="Manual",
                IF($A224=0,"&lt;-- defina o número do agrupador",
                       OFFSET(EVENTOS!$D$15,$A224-$A$15,0)),
                OFFSET($F$15,$A224,0)))</f>
        <v xml:space="preserve">METAIS </v>
      </c>
      <c r="O224" s="168"/>
      <c r="Q224" s="168"/>
      <c r="R224" s="169"/>
      <c r="S224" s="169"/>
      <c r="T224" s="169">
        <v>2</v>
      </c>
      <c r="U224" s="169"/>
      <c r="V224" s="169"/>
      <c r="W224" s="169"/>
      <c r="X224" s="169"/>
      <c r="Y224" s="169"/>
      <c r="Z224" s="170"/>
      <c r="AA224" s="169"/>
      <c r="AB224" s="169"/>
      <c r="AC224" s="169"/>
      <c r="AD224" s="169"/>
      <c r="AE224" s="169"/>
      <c r="AF224" s="169"/>
      <c r="AG224" s="169"/>
      <c r="AH224" s="170"/>
      <c r="AJ224" s="452">
        <f ca="1">IF(AND($D224="Serviço",AJ$12&lt;&gt;0,$H224&gt;0,OR(AUTOEVENTO&lt;&gt;"manual",$M224&lt;&gt;$A$15)),
        IF(Import.TipoArredondamento&lt;&gt;"TransfereGOV",
              ROUND(OFFSET($P224,0,AJ$13),15-13*ORÇAMENTO!$AF$7)/$H224*OFFSET(ORÇAMENTO!$X$15,ROW(AJ224)-ROW(AJ$15),0),
              ROUND(ROUND(OFFSET($P224,0,AJ$13),15-13*ORÇAMENTO!$AF$7)*OFFSET(ORÇAMENTO!$W$15,ROW(AJ224)-ROW(AJ$15),0),15-13*ORÇAMENTO!$AF$11)),
         0)</f>
        <v>0</v>
      </c>
      <c r="AK224" s="452">
        <f ca="1">IF(AND($D224="Serviço",AK$12&lt;&gt;0,$H224&gt;0,OR(AUTOEVENTO&lt;&gt;"manual",$M224&lt;&gt;$A$15)),
        IF(Import.TipoArredondamento&lt;&gt;"TransfereGOV",
              ROUND(OFFSET($P224,0,AK$13),15-13*ORÇAMENTO!$AF$7)/$H224*OFFSET(ORÇAMENTO!$X$15,ROW(AK224)-ROW(AK$15),0),
              ROUND(ROUND(OFFSET($P224,0,AK$13),15-13*ORÇAMENTO!$AF$7)*OFFSET(ORÇAMENTO!$W$15,ROW(AK224)-ROW(AK$15),0),15-13*ORÇAMENTO!$AF$11)),
         0)</f>
        <v>0</v>
      </c>
      <c r="AL224" s="452">
        <f ca="1">IF(AND($D224="Serviço",AL$12&lt;&gt;0,$H224&gt;0,OR(AUTOEVENTO&lt;&gt;"manual",$M224&lt;&gt;$A$15)),
        IF(Import.TipoArredondamento&lt;&gt;"TransfereGOV",
              ROUND(OFFSET($P224,0,AL$13),15-13*ORÇAMENTO!$AF$7)/$H224*OFFSET(ORÇAMENTO!$X$15,ROW(AL224)-ROW(AL$15),0),
              ROUND(ROUND(OFFSET($P224,0,AL$13),15-13*ORÇAMENTO!$AF$7)*OFFSET(ORÇAMENTO!$W$15,ROW(AL224)-ROW(AL$15),0),15-13*ORÇAMENTO!$AF$11)),
         0)</f>
        <v>0</v>
      </c>
      <c r="AM224" s="452">
        <f ca="1">IF(AND($D224="Serviço",AM$12&lt;&gt;0,$H224&gt;0,OR(AUTOEVENTO&lt;&gt;"manual",$M224&lt;&gt;$A$15)),
        IF(Import.TipoArredondamento&lt;&gt;"TransfereGOV",
              ROUND(OFFSET($P224,0,AM$13),15-13*ORÇAMENTO!$AF$7)/$H224*OFFSET(ORÇAMENTO!$X$15,ROW(AM224)-ROW(AM$15),0),
              ROUND(ROUND(OFFSET($P224,0,AM$13),15-13*ORÇAMENTO!$AF$7)*OFFSET(ORÇAMENTO!$W$15,ROW(AM224)-ROW(AM$15),0),15-13*ORÇAMENTO!$AF$11)),
         0)</f>
        <v>2820.1</v>
      </c>
      <c r="AN224" s="452">
        <f ca="1">IF(AND($D224="Serviço",AN$12&lt;&gt;0,$H224&gt;0,OR(AUTOEVENTO&lt;&gt;"manual",$M224&lt;&gt;$A$15)),
        IF(Import.TipoArredondamento&lt;&gt;"TransfereGOV",
              ROUND(OFFSET($P224,0,AN$13),15-13*ORÇAMENTO!$AF$7)/$H224*OFFSET(ORÇAMENTO!$X$15,ROW(AN224)-ROW(AN$15),0),
              ROUND(ROUND(OFFSET($P224,0,AN$13),15-13*ORÇAMENTO!$AF$7)*OFFSET(ORÇAMENTO!$W$15,ROW(AN224)-ROW(AN$15),0),15-13*ORÇAMENTO!$AF$11)),
         0)</f>
        <v>0</v>
      </c>
      <c r="AO224" s="452">
        <f ca="1">IF(AND($D224="Serviço",AO$12&lt;&gt;0,$H224&gt;0,OR(AUTOEVENTO&lt;&gt;"manual",$M224&lt;&gt;$A$15)),
        IF(Import.TipoArredondamento&lt;&gt;"TransfereGOV",
              ROUND(OFFSET($P224,0,AO$13),15-13*ORÇAMENTO!$AF$7)/$H224*OFFSET(ORÇAMENTO!$X$15,ROW(AO224)-ROW(AO$15),0),
              ROUND(ROUND(OFFSET($P224,0,AO$13),15-13*ORÇAMENTO!$AF$7)*OFFSET(ORÇAMENTO!$W$15,ROW(AO224)-ROW(AO$15),0),15-13*ORÇAMENTO!$AF$11)),
         0)</f>
        <v>0</v>
      </c>
      <c r="AP224" s="452">
        <f ca="1">IF(AND($D224="Serviço",AP$12&lt;&gt;0,$H224&gt;0,OR(AUTOEVENTO&lt;&gt;"manual",$M224&lt;&gt;$A$15)),
        IF(Import.TipoArredondamento&lt;&gt;"TransfereGOV",
              ROUND(OFFSET($P224,0,AP$13),15-13*ORÇAMENTO!$AF$7)/$H224*OFFSET(ORÇAMENTO!$X$15,ROW(AP224)-ROW(AP$15),0),
              ROUND(ROUND(OFFSET($P224,0,AP$13),15-13*ORÇAMENTO!$AF$7)*OFFSET(ORÇAMENTO!$W$15,ROW(AP224)-ROW(AP$15),0),15-13*ORÇAMENTO!$AF$11)),
         0)</f>
        <v>0</v>
      </c>
      <c r="AQ224" s="452">
        <f ca="1">IF(AND($D224="Serviço",AQ$12&lt;&gt;0,$H224&gt;0,OR(AUTOEVENTO&lt;&gt;"manual",$M224&lt;&gt;$A$15)),
        IF(Import.TipoArredondamento&lt;&gt;"TransfereGOV",
              ROUND(OFFSET($P224,0,AQ$13),15-13*ORÇAMENTO!$AF$7)/$H224*OFFSET(ORÇAMENTO!$X$15,ROW(AQ224)-ROW(AQ$15),0),
              ROUND(ROUND(OFFSET($P224,0,AQ$13),15-13*ORÇAMENTO!$AF$7)*OFFSET(ORÇAMENTO!$W$15,ROW(AQ224)-ROW(AQ$15),0),15-13*ORÇAMENTO!$AF$11)),
         0)</f>
        <v>0</v>
      </c>
      <c r="AR224" s="452">
        <f ca="1">IF(AND($D224="Serviço",AR$12&lt;&gt;0,$H224&gt;0,OR(AUTOEVENTO&lt;&gt;"manual",$M224&lt;&gt;$A$15)),
        IF(Import.TipoArredondamento&lt;&gt;"TransfereGOV",
              ROUND(OFFSET($P224,0,AR$13),15-13*ORÇAMENTO!$AF$7)/$H224*OFFSET(ORÇAMENTO!$X$15,ROW(AR224)-ROW(AR$15),0),
              ROUND(ROUND(OFFSET($P224,0,AR$13),15-13*ORÇAMENTO!$AF$7)*OFFSET(ORÇAMENTO!$W$15,ROW(AR224)-ROW(AR$15),0),15-13*ORÇAMENTO!$AF$11)),
         0)</f>
        <v>0</v>
      </c>
      <c r="AS224" s="452">
        <f ca="1">IF(AND($D224="Serviço",AS$12&lt;&gt;0,$H224&gt;0,OR(AUTOEVENTO&lt;&gt;"manual",$M224&lt;&gt;$A$15)),
        IF(Import.TipoArredondamento&lt;&gt;"TransfereGOV",
              ROUND(OFFSET($P224,0,AS$13),15-13*ORÇAMENTO!$AF$7)/$H224*OFFSET(ORÇAMENTO!$X$15,ROW(AS224)-ROW(AS$15),0),
              ROUND(ROUND(OFFSET($P224,0,AS$13),15-13*ORÇAMENTO!$AF$7)*OFFSET(ORÇAMENTO!$W$15,ROW(AS224)-ROW(AS$15),0),15-13*ORÇAMENTO!$AF$11)),
         0)</f>
        <v>0</v>
      </c>
      <c r="AT224" s="452">
        <f ca="1">IF(AND($D224="Serviço",AT$12&lt;&gt;0,$H224&gt;0,OR(AUTOEVENTO&lt;&gt;"manual",$M224&lt;&gt;$A$15)),
        IF(Import.TipoArredondamento&lt;&gt;"TransfereGOV",
              ROUND(OFFSET($P224,0,AT$13),15-13*ORÇAMENTO!$AF$7)/$H224*OFFSET(ORÇAMENTO!$X$15,ROW(AT224)-ROW(AT$15),0),
              ROUND(ROUND(OFFSET($P224,0,AT$13),15-13*ORÇAMENTO!$AF$7)*OFFSET(ORÇAMENTO!$W$15,ROW(AT224)-ROW(AT$15),0),15-13*ORÇAMENTO!$AF$11)),
         0)</f>
        <v>0</v>
      </c>
      <c r="AU224" s="452">
        <f ca="1">IF(AND($D224="Serviço",AU$12&lt;&gt;0,$H224&gt;0,OR(AUTOEVENTO&lt;&gt;"manual",$M224&lt;&gt;$A$15)),
        IF(Import.TipoArredondamento&lt;&gt;"TransfereGOV",
              ROUND(OFFSET($P224,0,AU$13),15-13*ORÇAMENTO!$AF$7)/$H224*OFFSET(ORÇAMENTO!$X$15,ROW(AU224)-ROW(AU$15),0),
              ROUND(ROUND(OFFSET($P224,0,AU$13),15-13*ORÇAMENTO!$AF$7)*OFFSET(ORÇAMENTO!$W$15,ROW(AU224)-ROW(AU$15),0),15-13*ORÇAMENTO!$AF$11)),
         0)</f>
        <v>0</v>
      </c>
      <c r="AV224" s="452">
        <f ca="1">IF(AND($D224="Serviço",AV$12&lt;&gt;0,$H224&gt;0,OR(AUTOEVENTO&lt;&gt;"manual",$M224&lt;&gt;$A$15)),
        IF(Import.TipoArredondamento&lt;&gt;"TransfereGOV",
              ROUND(OFFSET($P224,0,AV$13),15-13*ORÇAMENTO!$AF$7)/$H224*OFFSET(ORÇAMENTO!$X$15,ROW(AV224)-ROW(AV$15),0),
              ROUND(ROUND(OFFSET($P224,0,AV$13),15-13*ORÇAMENTO!$AF$7)*OFFSET(ORÇAMENTO!$W$15,ROW(AV224)-ROW(AV$15),0),15-13*ORÇAMENTO!$AF$11)),
         0)</f>
        <v>0</v>
      </c>
      <c r="AW224" s="452">
        <f ca="1">IF(AND($D224="Serviço",AW$12&lt;&gt;0,$H224&gt;0,OR(AUTOEVENTO&lt;&gt;"manual",$M224&lt;&gt;$A$15)),
        IF(Import.TipoArredondamento&lt;&gt;"TransfereGOV",
              ROUND(OFFSET($P224,0,AW$13),15-13*ORÇAMENTO!$AF$7)/$H224*OFFSET(ORÇAMENTO!$X$15,ROW(AW224)-ROW(AW$15),0),
              ROUND(ROUND(OFFSET($P224,0,AW$13),15-13*ORÇAMENTO!$AF$7)*OFFSET(ORÇAMENTO!$W$15,ROW(AW224)-ROW(AW$15),0),15-13*ORÇAMENTO!$AF$11)),
         0)</f>
        <v>0</v>
      </c>
      <c r="AX224" s="452">
        <f ca="1">IF(AND($D224="Serviço",AX$12&lt;&gt;0,$H224&gt;0,OR(AUTOEVENTO&lt;&gt;"manual",$M224&lt;&gt;$A$15)),
        IF(Import.TipoArredondamento&lt;&gt;"TransfereGOV",
              ROUND(OFFSET($P224,0,AX$13),15-13*ORÇAMENTO!$AF$7)/$H224*OFFSET(ORÇAMENTO!$X$15,ROW(AX224)-ROW(AX$15),0),
              ROUND(ROUND(OFFSET($P224,0,AX$13),15-13*ORÇAMENTO!$AF$7)*OFFSET(ORÇAMENTO!$W$15,ROW(AX224)-ROW(AX$15),0),15-13*ORÇAMENTO!$AF$11)),
         0)</f>
        <v>0</v>
      </c>
      <c r="AY224" s="452">
        <f ca="1">IF(AND($D224="Serviço",AY$12&lt;&gt;0,$H224&gt;0,OR(AUTOEVENTO&lt;&gt;"manual",$M224&lt;&gt;$A$15)),
        IF(Import.TipoArredondamento&lt;&gt;"TransfereGOV",
              ROUND(OFFSET($P224,0,AY$13),15-13*ORÇAMENTO!$AF$7)/$H224*OFFSET(ORÇAMENTO!$X$15,ROW(AY224)-ROW(AY$15),0),
              ROUND(ROUND(OFFSET($P224,0,AY$13),15-13*ORÇAMENTO!$AF$7)*OFFSET(ORÇAMENTO!$W$15,ROW(AY224)-ROW(AY$15),0),15-13*ORÇAMENTO!$AF$11)),
         0)</f>
        <v>0</v>
      </c>
      <c r="AZ224" s="452">
        <f ca="1">IF(AND($D224="Serviço",AZ$12&lt;&gt;0,$H224&gt;0,OR(AUTOEVENTO&lt;&gt;"manual",$M224&lt;&gt;$A$15)),
        IF(Import.TipoArredondamento&lt;&gt;"TransfereGOV",
              ROUND(OFFSET($P224,0,AZ$13),15-13*ORÇAMENTO!$AF$7)/$H224*OFFSET(ORÇAMENTO!$X$15,ROW(AZ224)-ROW(AZ$15),0),
              ROUND(ROUND(OFFSET($P224,0,AZ$13),15-13*ORÇAMENTO!$AF$7)*OFFSET(ORÇAMENTO!$W$15,ROW(AZ224)-ROW(AZ$15),0),15-13*ORÇAMENTO!$AF$11)),
         0)</f>
        <v>0</v>
      </c>
      <c r="BA224" s="452">
        <f ca="1">IF(AND($D224="Serviço",BA$12&lt;&gt;0,$H224&gt;0,OR(AUTOEVENTO&lt;&gt;"manual",$M224&lt;&gt;$A$15)),
        IF(Import.TipoArredondamento&lt;&gt;"TransfereGOV",
              ROUND(OFFSET($P224,0,BA$13),15-13*ORÇAMENTO!$AF$7)/$H224*OFFSET(ORÇAMENTO!$X$15,ROW(BA224)-ROW(BA$15),0),
              ROUND(ROUND(OFFSET($P224,0,BA$13),15-13*ORÇAMENTO!$AF$7)*OFFSET(ORÇAMENTO!$W$15,ROW(BA224)-ROW(BA$15),0),15-13*ORÇAMENTO!$AF$11)),
         0)</f>
        <v>0</v>
      </c>
      <c r="BC224" s="171">
        <f ca="1">IF(OR($D224&lt;&gt;"Serviço",AND(AUTOEVENTO="Manual",$M224=$A$15)),0,
         IF(OFFSET(CRONOPLE!$F$15,$M224-$A$15,BC$13)=0,10^12,OFFSET(CRONOPLE!$F$15,$M224-$A$15,BC$13)))</f>
        <v>9</v>
      </c>
      <c r="BD224" s="171">
        <f ca="1">IF(OR($D224&lt;&gt;"Serviço",AND(AUTOEVENTO="Manual",$M224=$A$15)),0,
         IF(OFFSET(CRONOPLE!$F$15,$M224-$A$15,BD$13)=0,10^12,OFFSET(CRONOPLE!$F$15,$M224-$A$15,BD$13)))</f>
        <v>9</v>
      </c>
      <c r="BE224" s="171">
        <f ca="1">IF(OR($D224&lt;&gt;"Serviço",AND(AUTOEVENTO="Manual",$M224=$A$15)),0,
         IF(OFFSET(CRONOPLE!$F$15,$M224-$A$15,BE$13)=0,10^12,OFFSET(CRONOPLE!$F$15,$M224-$A$15,BE$13)))</f>
        <v>9</v>
      </c>
      <c r="BF224" s="171">
        <f ca="1">IF(OR($D224&lt;&gt;"Serviço",AND(AUTOEVENTO="Manual",$M224=$A$15)),0,
         IF(OFFSET(CRONOPLE!$F$15,$M224-$A$15,BF$13)=0,10^12,OFFSET(CRONOPLE!$F$15,$M224-$A$15,BF$13)))</f>
        <v>9</v>
      </c>
      <c r="BG224" s="171">
        <f ca="1">IF(OR($D224&lt;&gt;"Serviço",AND(AUTOEVENTO="Manual",$M224=$A$15)),0,
         IF(OFFSET(CRONOPLE!$F$15,$M224-$A$15,BG$13)=0,10^12,OFFSET(CRONOPLE!$F$15,$M224-$A$15,BG$13)))</f>
        <v>9</v>
      </c>
      <c r="BH224" s="171">
        <f ca="1">IF(OR($D224&lt;&gt;"Serviço",AND(AUTOEVENTO="Manual",$M224=$A$15)),0,
         IF(OFFSET(CRONOPLE!$F$15,$M224-$A$15,BH$13)=0,10^12,OFFSET(CRONOPLE!$F$15,$M224-$A$15,BH$13)))</f>
        <v>1000000000000</v>
      </c>
      <c r="BI224" s="171">
        <f ca="1">IF(OR($D224&lt;&gt;"Serviço",AND(AUTOEVENTO="Manual",$M224=$A$15)),0,
         IF(OFFSET(CRONOPLE!$F$15,$M224-$A$15,BI$13)=0,10^12,OFFSET(CRONOPLE!$F$15,$M224-$A$15,BI$13)))</f>
        <v>1000000000000</v>
      </c>
      <c r="BJ224" s="171">
        <f ca="1">IF(OR($D224&lt;&gt;"Serviço",AND(AUTOEVENTO="Manual",$M224=$A$15)),0,
         IF(OFFSET(CRONOPLE!$F$15,$M224-$A$15,BJ$13)=0,10^12,OFFSET(CRONOPLE!$F$15,$M224-$A$15,BJ$13)))</f>
        <v>1000000000000</v>
      </c>
      <c r="BK224" s="171">
        <f ca="1">IF(OR($D224&lt;&gt;"Serviço",AND(AUTOEVENTO="Manual",$M224=$A$15)),0,
         IF(OFFSET(CRONOPLE!$F$15,$M224-$A$15,BK$13)=0,10^12,OFFSET(CRONOPLE!$F$15,$M224-$A$15,BK$13)))</f>
        <v>1000000000000</v>
      </c>
      <c r="BL224" s="171">
        <f ca="1">IF(OR($D224&lt;&gt;"Serviço",AND(AUTOEVENTO="Manual",$M224=$A$15)),0,
         IF(OFFSET(CRONOPLE!$F$15,$M224-$A$15,BL$13)=0,10^12,OFFSET(CRONOPLE!$F$15,$M224-$A$15,BL$13)))</f>
        <v>1000000000000</v>
      </c>
      <c r="BM224" s="171">
        <f ca="1">IF(OR($D224&lt;&gt;"Serviço",AND(AUTOEVENTO="Manual",$M224=$A$15)),0,
         IF(OFFSET(CRONOPLE!$F$15,$M224-$A$15,BM$13)=0,10^12,OFFSET(CRONOPLE!$F$15,$M224-$A$15,BM$13)))</f>
        <v>1000000000000</v>
      </c>
      <c r="BN224" s="171">
        <f ca="1">IF(OR($D224&lt;&gt;"Serviço",AND(AUTOEVENTO="Manual",$M224=$A$15)),0,
         IF(OFFSET(CRONOPLE!$F$15,$M224-$A$15,BN$13)=0,10^12,OFFSET(CRONOPLE!$F$15,$M224-$A$15,BN$13)))</f>
        <v>1000000000000</v>
      </c>
      <c r="BO224" s="171">
        <f ca="1">IF(OR($D224&lt;&gt;"Serviço",AND(AUTOEVENTO="Manual",$M224=$A$15)),0,
         IF(OFFSET(CRONOPLE!$F$15,$M224-$A$15,BO$13)=0,10^12,OFFSET(CRONOPLE!$F$15,$M224-$A$15,BO$13)))</f>
        <v>1000000000000</v>
      </c>
      <c r="BP224" s="171">
        <f ca="1">IF(OR($D224&lt;&gt;"Serviço",AND(AUTOEVENTO="Manual",$M224=$A$15)),0,
         IF(OFFSET(CRONOPLE!$F$15,$M224-$A$15,BP$13)=0,10^12,OFFSET(CRONOPLE!$F$15,$M224-$A$15,BP$13)))</f>
        <v>1000000000000</v>
      </c>
      <c r="BQ224" s="171">
        <f ca="1">IF(OR($D224&lt;&gt;"Serviço",AND(AUTOEVENTO="Manual",$M224=$A$15)),0,
         IF(OFFSET(CRONOPLE!$F$15,$M224-$A$15,BQ$13)=0,10^12,OFFSET(CRONOPLE!$F$15,$M224-$A$15,BQ$13)))</f>
        <v>1000000000000</v>
      </c>
      <c r="BR224" s="171">
        <f ca="1">IF(OR($D224&lt;&gt;"Serviço",AND(AUTOEVENTO="Manual",$M224=$A$15)),0,
         IF(OFFSET(CRONOPLE!$F$15,$M224-$A$15,BR$13)=0,10^12,OFFSET(CRONOPLE!$F$15,$M224-$A$15,BR$13)))</f>
        <v>1000000000000</v>
      </c>
      <c r="BS224" s="171">
        <f ca="1">IF(OR($D224&lt;&gt;"Serviço",AND(AUTOEVENTO="Manual",$M224=$A$15)),0,
         IF(OFFSET(CRONOPLE!$F$15,$M224-$A$15,BS$13)=0,10^12,OFFSET(CRONOPLE!$F$15,$M224-$A$15,BS$13)))</f>
        <v>1000000000000</v>
      </c>
      <c r="BT224" s="171">
        <f ca="1">IF(OR($D224&lt;&gt;"Serviço",AND(AUTOEVENTO="Manual",$M224=$A$15)),0,
         IF(OFFSET(CRONOPLE!$F$15,$M224-$A$15,BT$13)=0,10^12,OFFSET(CRONOPLE!$F$15,$M224-$A$15,BT$13)))</f>
        <v>1000000000000</v>
      </c>
      <c r="BV224" s="172">
        <f t="array" aca="1" ref="BV224" ca="1">IF(OR($D224&lt;&gt;"Serviço",AND(AUTOEVENTO="Manual",$M224=$A$15),$M224&gt;(ROW(PLE.lastrow)-ROW(PLE.firstrow))),0,
           IF(OFFSET(PLE!$G$15,$M224-$A$15,BV$13)="",10^12,OFFSET(PLE!$G$15,$M224-$A$15,BV$13)))</f>
        <v>1000000000000</v>
      </c>
      <c r="BW224" s="172">
        <f t="array" aca="1" ref="BW224" ca="1">IF(OR($D224&lt;&gt;"Serviço",AND(AUTOEVENTO="Manual",$M224=$A$15),$M224&gt;(ROW(PLE.lastrow)-ROW(PLE.firstrow))),0,
           IF(OFFSET(PLE!$G$15,$M224-$A$15,BW$13)="",10^12,OFFSET(PLE!$G$15,$M224-$A$15,BW$13)))</f>
        <v>1000000000000</v>
      </c>
      <c r="BX224" s="172">
        <f t="array" aca="1" ref="BX224" ca="1">IF(OR($D224&lt;&gt;"Serviço",AND(AUTOEVENTO="Manual",$M224=$A$15),$M224&gt;(ROW(PLE.lastrow)-ROW(PLE.firstrow))),0,
           IF(OFFSET(PLE!$G$15,$M224-$A$15,BX$13)="",10^12,OFFSET(PLE!$G$15,$M224-$A$15,BX$13)))</f>
        <v>1000000000000</v>
      </c>
      <c r="BY224" s="172">
        <f t="array" aca="1" ref="BY224" ca="1">IF(OR($D224&lt;&gt;"Serviço",AND(AUTOEVENTO="Manual",$M224=$A$15),$M224&gt;(ROW(PLE.lastrow)-ROW(PLE.firstrow))),0,
           IF(OFFSET(PLE!$G$15,$M224-$A$15,BY$13)="",10^12,OFFSET(PLE!$G$15,$M224-$A$15,BY$13)))</f>
        <v>1000000000000</v>
      </c>
      <c r="BZ224" s="172">
        <f t="array" aca="1" ref="BZ224" ca="1">IF(OR($D224&lt;&gt;"Serviço",AND(AUTOEVENTO="Manual",$M224=$A$15),$M224&gt;(ROW(PLE.lastrow)-ROW(PLE.firstrow))),0,
           IF(OFFSET(PLE!$G$15,$M224-$A$15,BZ$13)="",10^12,OFFSET(PLE!$G$15,$M224-$A$15,BZ$13)))</f>
        <v>1000000000000</v>
      </c>
      <c r="CA224" s="172">
        <f t="array" aca="1" ref="CA224" ca="1">IF(OR($D224&lt;&gt;"Serviço",AND(AUTOEVENTO="Manual",$M224=$A$15),$M224&gt;(ROW(PLE.lastrow)-ROW(PLE.firstrow))),0,
           IF(OFFSET(PLE!$G$15,$M224-$A$15,CA$13)="",10^12,OFFSET(PLE!$G$15,$M224-$A$15,CA$13)))</f>
        <v>1000000000000</v>
      </c>
      <c r="CB224" s="172">
        <f t="array" aca="1" ref="CB224" ca="1">IF(OR($D224&lt;&gt;"Serviço",AND(AUTOEVENTO="Manual",$M224=$A$15),$M224&gt;(ROW(PLE.lastrow)-ROW(PLE.firstrow))),0,
           IF(OFFSET(PLE!$G$15,$M224-$A$15,CB$13)="",10^12,OFFSET(PLE!$G$15,$M224-$A$15,CB$13)))</f>
        <v>1000000000000</v>
      </c>
      <c r="CC224" s="172">
        <f t="array" aca="1" ref="CC224" ca="1">IF(OR($D224&lt;&gt;"Serviço",AND(AUTOEVENTO="Manual",$M224=$A$15),$M224&gt;(ROW(PLE.lastrow)-ROW(PLE.firstrow))),0,
           IF(OFFSET(PLE!$G$15,$M224-$A$15,CC$13)="",10^12,OFFSET(PLE!$G$15,$M224-$A$15,CC$13)))</f>
        <v>1000000000000</v>
      </c>
      <c r="CD224" s="172">
        <f t="array" aca="1" ref="CD224" ca="1">IF(OR($D224&lt;&gt;"Serviço",AND(AUTOEVENTO="Manual",$M224=$A$15),$M224&gt;(ROW(PLE.lastrow)-ROW(PLE.firstrow))),0,
           IF(OFFSET(PLE!$G$15,$M224-$A$15,CD$13)="",10^12,OFFSET(PLE!$G$15,$M224-$A$15,CD$13)))</f>
        <v>1000000000000</v>
      </c>
      <c r="CE224" s="172">
        <f t="array" aca="1" ref="CE224" ca="1">IF(OR($D224&lt;&gt;"Serviço",AND(AUTOEVENTO="Manual",$M224=$A$15),$M224&gt;(ROW(PLE.lastrow)-ROW(PLE.firstrow))),0,
           IF(OFFSET(PLE!$G$15,$M224-$A$15,CE$13)="",10^12,OFFSET(PLE!$G$15,$M224-$A$15,CE$13)))</f>
        <v>1000000000000</v>
      </c>
      <c r="CF224" s="172">
        <f t="array" aca="1" ref="CF224" ca="1">IF(OR($D224&lt;&gt;"Serviço",AND(AUTOEVENTO="Manual",$M224=$A$15),$M224&gt;(ROW(PLE.lastrow)-ROW(PLE.firstrow))),0,
           IF(OFFSET(PLE!$G$15,$M224-$A$15,CF$13)="",10^12,OFFSET(PLE!$G$15,$M224-$A$15,CF$13)))</f>
        <v>1000000000000</v>
      </c>
      <c r="CG224" s="172">
        <f t="array" aca="1" ref="CG224" ca="1">IF(OR($D224&lt;&gt;"Serviço",AND(AUTOEVENTO="Manual",$M224=$A$15),$M224&gt;(ROW(PLE.lastrow)-ROW(PLE.firstrow))),0,
           IF(OFFSET(PLE!$G$15,$M224-$A$15,CG$13)="",10^12,OFFSET(PLE!$G$15,$M224-$A$15,CG$13)))</f>
        <v>1000000000000</v>
      </c>
      <c r="CH224" s="172">
        <f t="array" aca="1" ref="CH224" ca="1">IF(OR($D224&lt;&gt;"Serviço",AND(AUTOEVENTO="Manual",$M224=$A$15),$M224&gt;(ROW(PLE.lastrow)-ROW(PLE.firstrow))),0,
           IF(OFFSET(PLE!$G$15,$M224-$A$15,CH$13)="",10^12,OFFSET(PLE!$G$15,$M224-$A$15,CH$13)))</f>
        <v>1000000000000</v>
      </c>
      <c r="CI224" s="172">
        <f t="array" aca="1" ref="CI224" ca="1">IF(OR($D224&lt;&gt;"Serviço",AND(AUTOEVENTO="Manual",$M224=$A$15),$M224&gt;(ROW(PLE.lastrow)-ROW(PLE.firstrow))),0,
           IF(OFFSET(PLE!$G$15,$M224-$A$15,CI$13)="",10^12,OFFSET(PLE!$G$15,$M224-$A$15,CI$13)))</f>
        <v>1000000000000</v>
      </c>
      <c r="CJ224" s="172">
        <f t="array" aca="1" ref="CJ224" ca="1">IF(OR($D224&lt;&gt;"Serviço",AND(AUTOEVENTO="Manual",$M224=$A$15),$M224&gt;(ROW(PLE.lastrow)-ROW(PLE.firstrow))),0,
           IF(OFFSET(PLE!$G$15,$M224-$A$15,CJ$13)="",10^12,OFFSET(PLE!$G$15,$M224-$A$15,CJ$13)))</f>
        <v>1000000000000</v>
      </c>
      <c r="CK224" s="172">
        <f t="array" aca="1" ref="CK224" ca="1">IF(OR($D224&lt;&gt;"Serviço",AND(AUTOEVENTO="Manual",$M224=$A$15),$M224&gt;(ROW(PLE.lastrow)-ROW(PLE.firstrow))),0,
           IF(OFFSET(PLE!$G$15,$M224-$A$15,CK$13)="",10^12,OFFSET(PLE!$G$15,$M224-$A$15,CK$13)))</f>
        <v>1000000000000</v>
      </c>
      <c r="CL224" s="172">
        <f t="array" aca="1" ref="CL224" ca="1">IF(OR($D224&lt;&gt;"Serviço",AND(AUTOEVENTO="Manual",$M224=$A$15),$M224&gt;(ROW(PLE.lastrow)-ROW(PLE.firstrow))),0,
           IF(OFFSET(PLE!$G$15,$M224-$A$15,CL$13)="",10^12,OFFSET(PLE!$G$15,$M224-$A$15,CL$13)))</f>
        <v>1000000000000</v>
      </c>
      <c r="CM224" s="172">
        <f t="array" aca="1" ref="CM224" ca="1">IF(OR($D224&lt;&gt;"Serviço",AND(AUTOEVENTO="Manual",$M224=$A$15),$M224&gt;(ROW(PLE.lastrow)-ROW(PLE.firstrow))),0,
           IF(OFFSET(PLE!$G$15,$M224-$A$15,CM$13)="",10^12,OFFSET(PLE!$G$15,$M224-$A$15,CM$13)))</f>
        <v>1000000000000</v>
      </c>
    </row>
    <row r="225" spans="1:91" s="696" customFormat="1" ht="12.75" x14ac:dyDescent="0.2">
      <c r="A225" s="694">
        <f t="shared" ca="1" si="98"/>
        <v>0</v>
      </c>
      <c r="B225" s="694">
        <f ca="1">OFFSET(ORÇAMENTO!C$15,$L225,0)</f>
        <v>2</v>
      </c>
      <c r="C225" s="694" t="str">
        <f ca="1">OFFSET(ORÇAMENTO!L$15,$L225,0)</f>
        <v>F</v>
      </c>
      <c r="D225" s="116" t="str">
        <f ca="1">OFFSET(ORÇAMENTO!N$15,$L225,0)</f>
        <v>Nível 2</v>
      </c>
      <c r="E225" s="117" t="str">
        <f ca="1">OFFSET(ORÇAMENTO!O$15,$L225,0)</f>
        <v>1.34.</v>
      </c>
      <c r="F225" s="163" t="str">
        <f ca="1">OFFSET(ORÇAMENTO!R$15,$L225,0)</f>
        <v>CALAFETE / LIMPEZA</v>
      </c>
      <c r="G225" s="164" t="str">
        <f ca="1">IF($D225&lt;&gt;"Serviço","",OFFSET(ORÇAMENTO!S$15,$L225,0))</f>
        <v/>
      </c>
      <c r="H225" s="122">
        <f t="array" aca="1" ref="H225" ca="1">IF($D225&lt;&gt;"Serviço",0,IF(ACOMPANHAMENTO="BM",ROUND(OFFSET(ORÇAMENTO!AJ$15,$L225,0),15-13*ORÇAMENTO!$AF$7),IF(IFERROR(CÁLCULO.FrentesPreenchidas,0)=0,0,SUM(ROUND(OFFSET($P225,0,1,1,CÁLCULO.FrentesPreenchidas),15-13*ORÇAMENTO!$AF$7)))))</f>
        <v>0</v>
      </c>
      <c r="I225" s="467"/>
      <c r="J225" s="653" t="str">
        <f t="array" aca="1" ref="J225" ca="1">IF(OR(B225&lt;&gt;"S",CÁLCULO.FrentesPreenchidas=0),"",IF(AND(ACOMPANHAMENTO="PLE",AUTOEVENTO="Manual",OR(H225&gt;0,ORÇAMENTO!AC225="QUANT."),OR(K225="",M225=0,N225="")),"►E",IF(AND(ACOMPANHAMENTO="PLE",ORÇAMENTO!AC225="QUANT."),"►Q",IF(AND(ACOMPANHAMENTO="PLE",H225&lt;&gt;SUMPRODUCT(($Q$1:$AI$1=1)*ROUND(Q225:AI225,15))),"►S",IF(AND(COUNTIF($P$11:$AI$11,"▼")=0,H225&gt;0,I225=""),"◄M","")))))</f>
        <v/>
      </c>
      <c r="K225" s="654"/>
      <c r="L225" s="165">
        <f t="shared" ca="1" si="99"/>
        <v>210</v>
      </c>
      <c r="M225" s="166" t="str">
        <f ca="1">IF($D225&lt;&gt;"Serviço","",
          IF(AUTOEVENTO="manual",$A225,
                IF(ISERROR(MATCH($A225,$A$15:OFFSET($A225,-1,0),0)),MAX($M$15:OFFSET(M225,-1,0))+1,
                      INDEX($M$15:OFFSET(M225,-1,0),MATCH($A225,$A$15:OFFSET($A225,-1,0),0)))))</f>
        <v/>
      </c>
      <c r="N225" s="167" t="str">
        <f ca="1">IF($D225&lt;&gt;"Serviço","",
         IF(AUTOEVENTO="Manual",
                IF($A225=0,"&lt;-- defina o número do agrupador",
                       OFFSET(EVENTOS!$D$15,$A225-$A$15,0)),
                OFFSET($F$15,$A225,0)))</f>
        <v/>
      </c>
      <c r="O225" s="168"/>
      <c r="Q225" s="169"/>
      <c r="R225" s="169"/>
      <c r="S225" s="169"/>
      <c r="T225" s="169"/>
      <c r="U225" s="169"/>
      <c r="V225" s="169"/>
      <c r="W225" s="169"/>
      <c r="X225" s="169"/>
      <c r="Y225" s="169"/>
      <c r="Z225" s="170"/>
      <c r="AA225" s="169"/>
      <c r="AB225" s="169"/>
      <c r="AC225" s="169"/>
      <c r="AD225" s="169"/>
      <c r="AE225" s="169"/>
      <c r="AF225" s="169"/>
      <c r="AG225" s="169"/>
      <c r="AH225" s="170"/>
      <c r="AJ225" s="452">
        <f ca="1">IF(AND($D225="Serviço",AJ$12&lt;&gt;0,$H225&gt;0,OR(AUTOEVENTO&lt;&gt;"manual",$M225&lt;&gt;$A$15)),
        IF(Import.TipoArredondamento&lt;&gt;"TransfereGOV",
              ROUND(OFFSET($P225,0,AJ$13),15-13*ORÇAMENTO!$AF$7)/$H225*OFFSET(ORÇAMENTO!$X$15,ROW(AJ225)-ROW(AJ$15),0),
              ROUND(ROUND(OFFSET($P225,0,AJ$13),15-13*ORÇAMENTO!$AF$7)*OFFSET(ORÇAMENTO!$W$15,ROW(AJ225)-ROW(AJ$15),0),15-13*ORÇAMENTO!$AF$11)),
         0)</f>
        <v>0</v>
      </c>
      <c r="AK225" s="452">
        <f ca="1">IF(AND($D225="Serviço",AK$12&lt;&gt;0,$H225&gt;0,OR(AUTOEVENTO&lt;&gt;"manual",$M225&lt;&gt;$A$15)),
        IF(Import.TipoArredondamento&lt;&gt;"TransfereGOV",
              ROUND(OFFSET($P225,0,AK$13),15-13*ORÇAMENTO!$AF$7)/$H225*OFFSET(ORÇAMENTO!$X$15,ROW(AK225)-ROW(AK$15),0),
              ROUND(ROUND(OFFSET($P225,0,AK$13),15-13*ORÇAMENTO!$AF$7)*OFFSET(ORÇAMENTO!$W$15,ROW(AK225)-ROW(AK$15),0),15-13*ORÇAMENTO!$AF$11)),
         0)</f>
        <v>0</v>
      </c>
      <c r="AL225" s="452">
        <f ca="1">IF(AND($D225="Serviço",AL$12&lt;&gt;0,$H225&gt;0,OR(AUTOEVENTO&lt;&gt;"manual",$M225&lt;&gt;$A$15)),
        IF(Import.TipoArredondamento&lt;&gt;"TransfereGOV",
              ROUND(OFFSET($P225,0,AL$13),15-13*ORÇAMENTO!$AF$7)/$H225*OFFSET(ORÇAMENTO!$X$15,ROW(AL225)-ROW(AL$15),0),
              ROUND(ROUND(OFFSET($P225,0,AL$13),15-13*ORÇAMENTO!$AF$7)*OFFSET(ORÇAMENTO!$W$15,ROW(AL225)-ROW(AL$15),0),15-13*ORÇAMENTO!$AF$11)),
         0)</f>
        <v>0</v>
      </c>
      <c r="AM225" s="452">
        <f ca="1">IF(AND($D225="Serviço",AM$12&lt;&gt;0,$H225&gt;0,OR(AUTOEVENTO&lt;&gt;"manual",$M225&lt;&gt;$A$15)),
        IF(Import.TipoArredondamento&lt;&gt;"TransfereGOV",
              ROUND(OFFSET($P225,0,AM$13),15-13*ORÇAMENTO!$AF$7)/$H225*OFFSET(ORÇAMENTO!$X$15,ROW(AM225)-ROW(AM$15),0),
              ROUND(ROUND(OFFSET($P225,0,AM$13),15-13*ORÇAMENTO!$AF$7)*OFFSET(ORÇAMENTO!$W$15,ROW(AM225)-ROW(AM$15),0),15-13*ORÇAMENTO!$AF$11)),
         0)</f>
        <v>0</v>
      </c>
      <c r="AN225" s="452">
        <f ca="1">IF(AND($D225="Serviço",AN$12&lt;&gt;0,$H225&gt;0,OR(AUTOEVENTO&lt;&gt;"manual",$M225&lt;&gt;$A$15)),
        IF(Import.TipoArredondamento&lt;&gt;"TransfereGOV",
              ROUND(OFFSET($P225,0,AN$13),15-13*ORÇAMENTO!$AF$7)/$H225*OFFSET(ORÇAMENTO!$X$15,ROW(AN225)-ROW(AN$15),0),
              ROUND(ROUND(OFFSET($P225,0,AN$13),15-13*ORÇAMENTO!$AF$7)*OFFSET(ORÇAMENTO!$W$15,ROW(AN225)-ROW(AN$15),0),15-13*ORÇAMENTO!$AF$11)),
         0)</f>
        <v>0</v>
      </c>
      <c r="AO225" s="452">
        <f ca="1">IF(AND($D225="Serviço",AO$12&lt;&gt;0,$H225&gt;0,OR(AUTOEVENTO&lt;&gt;"manual",$M225&lt;&gt;$A$15)),
        IF(Import.TipoArredondamento&lt;&gt;"TransfereGOV",
              ROUND(OFFSET($P225,0,AO$13),15-13*ORÇAMENTO!$AF$7)/$H225*OFFSET(ORÇAMENTO!$X$15,ROW(AO225)-ROW(AO$15),0),
              ROUND(ROUND(OFFSET($P225,0,AO$13),15-13*ORÇAMENTO!$AF$7)*OFFSET(ORÇAMENTO!$W$15,ROW(AO225)-ROW(AO$15),0),15-13*ORÇAMENTO!$AF$11)),
         0)</f>
        <v>0</v>
      </c>
      <c r="AP225" s="452">
        <f ca="1">IF(AND($D225="Serviço",AP$12&lt;&gt;0,$H225&gt;0,OR(AUTOEVENTO&lt;&gt;"manual",$M225&lt;&gt;$A$15)),
        IF(Import.TipoArredondamento&lt;&gt;"TransfereGOV",
              ROUND(OFFSET($P225,0,AP$13),15-13*ORÇAMENTO!$AF$7)/$H225*OFFSET(ORÇAMENTO!$X$15,ROW(AP225)-ROW(AP$15),0),
              ROUND(ROUND(OFFSET($P225,0,AP$13),15-13*ORÇAMENTO!$AF$7)*OFFSET(ORÇAMENTO!$W$15,ROW(AP225)-ROW(AP$15),0),15-13*ORÇAMENTO!$AF$11)),
         0)</f>
        <v>0</v>
      </c>
      <c r="AQ225" s="452">
        <f ca="1">IF(AND($D225="Serviço",AQ$12&lt;&gt;0,$H225&gt;0,OR(AUTOEVENTO&lt;&gt;"manual",$M225&lt;&gt;$A$15)),
        IF(Import.TipoArredondamento&lt;&gt;"TransfereGOV",
              ROUND(OFFSET($P225,0,AQ$13),15-13*ORÇAMENTO!$AF$7)/$H225*OFFSET(ORÇAMENTO!$X$15,ROW(AQ225)-ROW(AQ$15),0),
              ROUND(ROUND(OFFSET($P225,0,AQ$13),15-13*ORÇAMENTO!$AF$7)*OFFSET(ORÇAMENTO!$W$15,ROW(AQ225)-ROW(AQ$15),0),15-13*ORÇAMENTO!$AF$11)),
         0)</f>
        <v>0</v>
      </c>
      <c r="AR225" s="452">
        <f ca="1">IF(AND($D225="Serviço",AR$12&lt;&gt;0,$H225&gt;0,OR(AUTOEVENTO&lt;&gt;"manual",$M225&lt;&gt;$A$15)),
        IF(Import.TipoArredondamento&lt;&gt;"TransfereGOV",
              ROUND(OFFSET($P225,0,AR$13),15-13*ORÇAMENTO!$AF$7)/$H225*OFFSET(ORÇAMENTO!$X$15,ROW(AR225)-ROW(AR$15),0),
              ROUND(ROUND(OFFSET($P225,0,AR$13),15-13*ORÇAMENTO!$AF$7)*OFFSET(ORÇAMENTO!$W$15,ROW(AR225)-ROW(AR$15),0),15-13*ORÇAMENTO!$AF$11)),
         0)</f>
        <v>0</v>
      </c>
      <c r="AS225" s="452">
        <f ca="1">IF(AND($D225="Serviço",AS$12&lt;&gt;0,$H225&gt;0,OR(AUTOEVENTO&lt;&gt;"manual",$M225&lt;&gt;$A$15)),
        IF(Import.TipoArredondamento&lt;&gt;"TransfereGOV",
              ROUND(OFFSET($P225,0,AS$13),15-13*ORÇAMENTO!$AF$7)/$H225*OFFSET(ORÇAMENTO!$X$15,ROW(AS225)-ROW(AS$15),0),
              ROUND(ROUND(OFFSET($P225,0,AS$13),15-13*ORÇAMENTO!$AF$7)*OFFSET(ORÇAMENTO!$W$15,ROW(AS225)-ROW(AS$15),0),15-13*ORÇAMENTO!$AF$11)),
         0)</f>
        <v>0</v>
      </c>
      <c r="AT225" s="452">
        <f ca="1">IF(AND($D225="Serviço",AT$12&lt;&gt;0,$H225&gt;0,OR(AUTOEVENTO&lt;&gt;"manual",$M225&lt;&gt;$A$15)),
        IF(Import.TipoArredondamento&lt;&gt;"TransfereGOV",
              ROUND(OFFSET($P225,0,AT$13),15-13*ORÇAMENTO!$AF$7)/$H225*OFFSET(ORÇAMENTO!$X$15,ROW(AT225)-ROW(AT$15),0),
              ROUND(ROUND(OFFSET($P225,0,AT$13),15-13*ORÇAMENTO!$AF$7)*OFFSET(ORÇAMENTO!$W$15,ROW(AT225)-ROW(AT$15),0),15-13*ORÇAMENTO!$AF$11)),
         0)</f>
        <v>0</v>
      </c>
      <c r="AU225" s="452">
        <f ca="1">IF(AND($D225="Serviço",AU$12&lt;&gt;0,$H225&gt;0,OR(AUTOEVENTO&lt;&gt;"manual",$M225&lt;&gt;$A$15)),
        IF(Import.TipoArredondamento&lt;&gt;"TransfereGOV",
              ROUND(OFFSET($P225,0,AU$13),15-13*ORÇAMENTO!$AF$7)/$H225*OFFSET(ORÇAMENTO!$X$15,ROW(AU225)-ROW(AU$15),0),
              ROUND(ROUND(OFFSET($P225,0,AU$13),15-13*ORÇAMENTO!$AF$7)*OFFSET(ORÇAMENTO!$W$15,ROW(AU225)-ROW(AU$15),0),15-13*ORÇAMENTO!$AF$11)),
         0)</f>
        <v>0</v>
      </c>
      <c r="AV225" s="452">
        <f ca="1">IF(AND($D225="Serviço",AV$12&lt;&gt;0,$H225&gt;0,OR(AUTOEVENTO&lt;&gt;"manual",$M225&lt;&gt;$A$15)),
        IF(Import.TipoArredondamento&lt;&gt;"TransfereGOV",
              ROUND(OFFSET($P225,0,AV$13),15-13*ORÇAMENTO!$AF$7)/$H225*OFFSET(ORÇAMENTO!$X$15,ROW(AV225)-ROW(AV$15),0),
              ROUND(ROUND(OFFSET($P225,0,AV$13),15-13*ORÇAMENTO!$AF$7)*OFFSET(ORÇAMENTO!$W$15,ROW(AV225)-ROW(AV$15),0),15-13*ORÇAMENTO!$AF$11)),
         0)</f>
        <v>0</v>
      </c>
      <c r="AW225" s="452">
        <f ca="1">IF(AND($D225="Serviço",AW$12&lt;&gt;0,$H225&gt;0,OR(AUTOEVENTO&lt;&gt;"manual",$M225&lt;&gt;$A$15)),
        IF(Import.TipoArredondamento&lt;&gt;"TransfereGOV",
              ROUND(OFFSET($P225,0,AW$13),15-13*ORÇAMENTO!$AF$7)/$H225*OFFSET(ORÇAMENTO!$X$15,ROW(AW225)-ROW(AW$15),0),
              ROUND(ROUND(OFFSET($P225,0,AW$13),15-13*ORÇAMENTO!$AF$7)*OFFSET(ORÇAMENTO!$W$15,ROW(AW225)-ROW(AW$15),0),15-13*ORÇAMENTO!$AF$11)),
         0)</f>
        <v>0</v>
      </c>
      <c r="AX225" s="452">
        <f ca="1">IF(AND($D225="Serviço",AX$12&lt;&gt;0,$H225&gt;0,OR(AUTOEVENTO&lt;&gt;"manual",$M225&lt;&gt;$A$15)),
        IF(Import.TipoArredondamento&lt;&gt;"TransfereGOV",
              ROUND(OFFSET($P225,0,AX$13),15-13*ORÇAMENTO!$AF$7)/$H225*OFFSET(ORÇAMENTO!$X$15,ROW(AX225)-ROW(AX$15),0),
              ROUND(ROUND(OFFSET($P225,0,AX$13),15-13*ORÇAMENTO!$AF$7)*OFFSET(ORÇAMENTO!$W$15,ROW(AX225)-ROW(AX$15),0),15-13*ORÇAMENTO!$AF$11)),
         0)</f>
        <v>0</v>
      </c>
      <c r="AY225" s="452">
        <f ca="1">IF(AND($D225="Serviço",AY$12&lt;&gt;0,$H225&gt;0,OR(AUTOEVENTO&lt;&gt;"manual",$M225&lt;&gt;$A$15)),
        IF(Import.TipoArredondamento&lt;&gt;"TransfereGOV",
              ROUND(OFFSET($P225,0,AY$13),15-13*ORÇAMENTO!$AF$7)/$H225*OFFSET(ORÇAMENTO!$X$15,ROW(AY225)-ROW(AY$15),0),
              ROUND(ROUND(OFFSET($P225,0,AY$13),15-13*ORÇAMENTO!$AF$7)*OFFSET(ORÇAMENTO!$W$15,ROW(AY225)-ROW(AY$15),0),15-13*ORÇAMENTO!$AF$11)),
         0)</f>
        <v>0</v>
      </c>
      <c r="AZ225" s="452">
        <f ca="1">IF(AND($D225="Serviço",AZ$12&lt;&gt;0,$H225&gt;0,OR(AUTOEVENTO&lt;&gt;"manual",$M225&lt;&gt;$A$15)),
        IF(Import.TipoArredondamento&lt;&gt;"TransfereGOV",
              ROUND(OFFSET($P225,0,AZ$13),15-13*ORÇAMENTO!$AF$7)/$H225*OFFSET(ORÇAMENTO!$X$15,ROW(AZ225)-ROW(AZ$15),0),
              ROUND(ROUND(OFFSET($P225,0,AZ$13),15-13*ORÇAMENTO!$AF$7)*OFFSET(ORÇAMENTO!$W$15,ROW(AZ225)-ROW(AZ$15),0),15-13*ORÇAMENTO!$AF$11)),
         0)</f>
        <v>0</v>
      </c>
      <c r="BA225" s="452">
        <f ca="1">IF(AND($D225="Serviço",BA$12&lt;&gt;0,$H225&gt;0,OR(AUTOEVENTO&lt;&gt;"manual",$M225&lt;&gt;$A$15)),
        IF(Import.TipoArredondamento&lt;&gt;"TransfereGOV",
              ROUND(OFFSET($P225,0,BA$13),15-13*ORÇAMENTO!$AF$7)/$H225*OFFSET(ORÇAMENTO!$X$15,ROW(BA225)-ROW(BA$15),0),
              ROUND(ROUND(OFFSET($P225,0,BA$13),15-13*ORÇAMENTO!$AF$7)*OFFSET(ORÇAMENTO!$W$15,ROW(BA225)-ROW(BA$15),0),15-13*ORÇAMENTO!$AF$11)),
         0)</f>
        <v>0</v>
      </c>
      <c r="BC225" s="171">
        <f ca="1">IF(OR($D225&lt;&gt;"Serviço",AND(AUTOEVENTO="Manual",$M225=$A$15)),0,
         IF(OFFSET(CRONOPLE!$F$15,$M225-$A$15,BC$13)=0,10^12,OFFSET(CRONOPLE!$F$15,$M225-$A$15,BC$13)))</f>
        <v>0</v>
      </c>
      <c r="BD225" s="171">
        <f ca="1">IF(OR($D225&lt;&gt;"Serviço",AND(AUTOEVENTO="Manual",$M225=$A$15)),0,
         IF(OFFSET(CRONOPLE!$F$15,$M225-$A$15,BD$13)=0,10^12,OFFSET(CRONOPLE!$F$15,$M225-$A$15,BD$13)))</f>
        <v>0</v>
      </c>
      <c r="BE225" s="171">
        <f ca="1">IF(OR($D225&lt;&gt;"Serviço",AND(AUTOEVENTO="Manual",$M225=$A$15)),0,
         IF(OFFSET(CRONOPLE!$F$15,$M225-$A$15,BE$13)=0,10^12,OFFSET(CRONOPLE!$F$15,$M225-$A$15,BE$13)))</f>
        <v>0</v>
      </c>
      <c r="BF225" s="171">
        <f ca="1">IF(OR($D225&lt;&gt;"Serviço",AND(AUTOEVENTO="Manual",$M225=$A$15)),0,
         IF(OFFSET(CRONOPLE!$F$15,$M225-$A$15,BF$13)=0,10^12,OFFSET(CRONOPLE!$F$15,$M225-$A$15,BF$13)))</f>
        <v>0</v>
      </c>
      <c r="BG225" s="171">
        <f ca="1">IF(OR($D225&lt;&gt;"Serviço",AND(AUTOEVENTO="Manual",$M225=$A$15)),0,
         IF(OFFSET(CRONOPLE!$F$15,$M225-$A$15,BG$13)=0,10^12,OFFSET(CRONOPLE!$F$15,$M225-$A$15,BG$13)))</f>
        <v>0</v>
      </c>
      <c r="BH225" s="171">
        <f ca="1">IF(OR($D225&lt;&gt;"Serviço",AND(AUTOEVENTO="Manual",$M225=$A$15)),0,
         IF(OFFSET(CRONOPLE!$F$15,$M225-$A$15,BH$13)=0,10^12,OFFSET(CRONOPLE!$F$15,$M225-$A$15,BH$13)))</f>
        <v>0</v>
      </c>
      <c r="BI225" s="171">
        <f ca="1">IF(OR($D225&lt;&gt;"Serviço",AND(AUTOEVENTO="Manual",$M225=$A$15)),0,
         IF(OFFSET(CRONOPLE!$F$15,$M225-$A$15,BI$13)=0,10^12,OFFSET(CRONOPLE!$F$15,$M225-$A$15,BI$13)))</f>
        <v>0</v>
      </c>
      <c r="BJ225" s="171">
        <f ca="1">IF(OR($D225&lt;&gt;"Serviço",AND(AUTOEVENTO="Manual",$M225=$A$15)),0,
         IF(OFFSET(CRONOPLE!$F$15,$M225-$A$15,BJ$13)=0,10^12,OFFSET(CRONOPLE!$F$15,$M225-$A$15,BJ$13)))</f>
        <v>0</v>
      </c>
      <c r="BK225" s="171">
        <f ca="1">IF(OR($D225&lt;&gt;"Serviço",AND(AUTOEVENTO="Manual",$M225=$A$15)),0,
         IF(OFFSET(CRONOPLE!$F$15,$M225-$A$15,BK$13)=0,10^12,OFFSET(CRONOPLE!$F$15,$M225-$A$15,BK$13)))</f>
        <v>0</v>
      </c>
      <c r="BL225" s="171">
        <f ca="1">IF(OR($D225&lt;&gt;"Serviço",AND(AUTOEVENTO="Manual",$M225=$A$15)),0,
         IF(OFFSET(CRONOPLE!$F$15,$M225-$A$15,BL$13)=0,10^12,OFFSET(CRONOPLE!$F$15,$M225-$A$15,BL$13)))</f>
        <v>0</v>
      </c>
      <c r="BM225" s="171">
        <f ca="1">IF(OR($D225&lt;&gt;"Serviço",AND(AUTOEVENTO="Manual",$M225=$A$15)),0,
         IF(OFFSET(CRONOPLE!$F$15,$M225-$A$15,BM$13)=0,10^12,OFFSET(CRONOPLE!$F$15,$M225-$A$15,BM$13)))</f>
        <v>0</v>
      </c>
      <c r="BN225" s="171">
        <f ca="1">IF(OR($D225&lt;&gt;"Serviço",AND(AUTOEVENTO="Manual",$M225=$A$15)),0,
         IF(OFFSET(CRONOPLE!$F$15,$M225-$A$15,BN$13)=0,10^12,OFFSET(CRONOPLE!$F$15,$M225-$A$15,BN$13)))</f>
        <v>0</v>
      </c>
      <c r="BO225" s="171">
        <f ca="1">IF(OR($D225&lt;&gt;"Serviço",AND(AUTOEVENTO="Manual",$M225=$A$15)),0,
         IF(OFFSET(CRONOPLE!$F$15,$M225-$A$15,BO$13)=0,10^12,OFFSET(CRONOPLE!$F$15,$M225-$A$15,BO$13)))</f>
        <v>0</v>
      </c>
      <c r="BP225" s="171">
        <f ca="1">IF(OR($D225&lt;&gt;"Serviço",AND(AUTOEVENTO="Manual",$M225=$A$15)),0,
         IF(OFFSET(CRONOPLE!$F$15,$M225-$A$15,BP$13)=0,10^12,OFFSET(CRONOPLE!$F$15,$M225-$A$15,BP$13)))</f>
        <v>0</v>
      </c>
      <c r="BQ225" s="171">
        <f ca="1">IF(OR($D225&lt;&gt;"Serviço",AND(AUTOEVENTO="Manual",$M225=$A$15)),0,
         IF(OFFSET(CRONOPLE!$F$15,$M225-$A$15,BQ$13)=0,10^12,OFFSET(CRONOPLE!$F$15,$M225-$A$15,BQ$13)))</f>
        <v>0</v>
      </c>
      <c r="BR225" s="171">
        <f ca="1">IF(OR($D225&lt;&gt;"Serviço",AND(AUTOEVENTO="Manual",$M225=$A$15)),0,
         IF(OFFSET(CRONOPLE!$F$15,$M225-$A$15,BR$13)=0,10^12,OFFSET(CRONOPLE!$F$15,$M225-$A$15,BR$13)))</f>
        <v>0</v>
      </c>
      <c r="BS225" s="171">
        <f ca="1">IF(OR($D225&lt;&gt;"Serviço",AND(AUTOEVENTO="Manual",$M225=$A$15)),0,
         IF(OFFSET(CRONOPLE!$F$15,$M225-$A$15,BS$13)=0,10^12,OFFSET(CRONOPLE!$F$15,$M225-$A$15,BS$13)))</f>
        <v>0</v>
      </c>
      <c r="BT225" s="171">
        <f ca="1">IF(OR($D225&lt;&gt;"Serviço",AND(AUTOEVENTO="Manual",$M225=$A$15)),0,
         IF(OFFSET(CRONOPLE!$F$15,$M225-$A$15,BT$13)=0,10^12,OFFSET(CRONOPLE!$F$15,$M225-$A$15,BT$13)))</f>
        <v>0</v>
      </c>
      <c r="BV225" s="172">
        <f t="array" aca="1" ref="BV225" ca="1">IF(OR($D225&lt;&gt;"Serviço",AND(AUTOEVENTO="Manual",$M225=$A$15),$M225&gt;(ROW(PLE.lastrow)-ROW(PLE.firstrow))),0,
           IF(OFFSET(PLE!$G$15,$M225-$A$15,BV$13)="",10^12,OFFSET(PLE!$G$15,$M225-$A$15,BV$13)))</f>
        <v>0</v>
      </c>
      <c r="BW225" s="172">
        <f t="array" aca="1" ref="BW225" ca="1">IF(OR($D225&lt;&gt;"Serviço",AND(AUTOEVENTO="Manual",$M225=$A$15),$M225&gt;(ROW(PLE.lastrow)-ROW(PLE.firstrow))),0,
           IF(OFFSET(PLE!$G$15,$M225-$A$15,BW$13)="",10^12,OFFSET(PLE!$G$15,$M225-$A$15,BW$13)))</f>
        <v>0</v>
      </c>
      <c r="BX225" s="172">
        <f t="array" aca="1" ref="BX225" ca="1">IF(OR($D225&lt;&gt;"Serviço",AND(AUTOEVENTO="Manual",$M225=$A$15),$M225&gt;(ROW(PLE.lastrow)-ROW(PLE.firstrow))),0,
           IF(OFFSET(PLE!$G$15,$M225-$A$15,BX$13)="",10^12,OFFSET(PLE!$G$15,$M225-$A$15,BX$13)))</f>
        <v>0</v>
      </c>
      <c r="BY225" s="172">
        <f t="array" aca="1" ref="BY225" ca="1">IF(OR($D225&lt;&gt;"Serviço",AND(AUTOEVENTO="Manual",$M225=$A$15),$M225&gt;(ROW(PLE.lastrow)-ROW(PLE.firstrow))),0,
           IF(OFFSET(PLE!$G$15,$M225-$A$15,BY$13)="",10^12,OFFSET(PLE!$G$15,$M225-$A$15,BY$13)))</f>
        <v>0</v>
      </c>
      <c r="BZ225" s="172">
        <f t="array" aca="1" ref="BZ225" ca="1">IF(OR($D225&lt;&gt;"Serviço",AND(AUTOEVENTO="Manual",$M225=$A$15),$M225&gt;(ROW(PLE.lastrow)-ROW(PLE.firstrow))),0,
           IF(OFFSET(PLE!$G$15,$M225-$A$15,BZ$13)="",10^12,OFFSET(PLE!$G$15,$M225-$A$15,BZ$13)))</f>
        <v>0</v>
      </c>
      <c r="CA225" s="172">
        <f t="array" aca="1" ref="CA225" ca="1">IF(OR($D225&lt;&gt;"Serviço",AND(AUTOEVENTO="Manual",$M225=$A$15),$M225&gt;(ROW(PLE.lastrow)-ROW(PLE.firstrow))),0,
           IF(OFFSET(PLE!$G$15,$M225-$A$15,CA$13)="",10^12,OFFSET(PLE!$G$15,$M225-$A$15,CA$13)))</f>
        <v>0</v>
      </c>
      <c r="CB225" s="172">
        <f t="array" aca="1" ref="CB225" ca="1">IF(OR($D225&lt;&gt;"Serviço",AND(AUTOEVENTO="Manual",$M225=$A$15),$M225&gt;(ROW(PLE.lastrow)-ROW(PLE.firstrow))),0,
           IF(OFFSET(PLE!$G$15,$M225-$A$15,CB$13)="",10^12,OFFSET(PLE!$G$15,$M225-$A$15,CB$13)))</f>
        <v>0</v>
      </c>
      <c r="CC225" s="172">
        <f t="array" aca="1" ref="CC225" ca="1">IF(OR($D225&lt;&gt;"Serviço",AND(AUTOEVENTO="Manual",$M225=$A$15),$M225&gt;(ROW(PLE.lastrow)-ROW(PLE.firstrow))),0,
           IF(OFFSET(PLE!$G$15,$M225-$A$15,CC$13)="",10^12,OFFSET(PLE!$G$15,$M225-$A$15,CC$13)))</f>
        <v>0</v>
      </c>
      <c r="CD225" s="172">
        <f t="array" aca="1" ref="CD225" ca="1">IF(OR($D225&lt;&gt;"Serviço",AND(AUTOEVENTO="Manual",$M225=$A$15),$M225&gt;(ROW(PLE.lastrow)-ROW(PLE.firstrow))),0,
           IF(OFFSET(PLE!$G$15,$M225-$A$15,CD$13)="",10^12,OFFSET(PLE!$G$15,$M225-$A$15,CD$13)))</f>
        <v>0</v>
      </c>
      <c r="CE225" s="172">
        <f t="array" aca="1" ref="CE225" ca="1">IF(OR($D225&lt;&gt;"Serviço",AND(AUTOEVENTO="Manual",$M225=$A$15),$M225&gt;(ROW(PLE.lastrow)-ROW(PLE.firstrow))),0,
           IF(OFFSET(PLE!$G$15,$M225-$A$15,CE$13)="",10^12,OFFSET(PLE!$G$15,$M225-$A$15,CE$13)))</f>
        <v>0</v>
      </c>
      <c r="CF225" s="172">
        <f t="array" aca="1" ref="CF225" ca="1">IF(OR($D225&lt;&gt;"Serviço",AND(AUTOEVENTO="Manual",$M225=$A$15),$M225&gt;(ROW(PLE.lastrow)-ROW(PLE.firstrow))),0,
           IF(OFFSET(PLE!$G$15,$M225-$A$15,CF$13)="",10^12,OFFSET(PLE!$G$15,$M225-$A$15,CF$13)))</f>
        <v>0</v>
      </c>
      <c r="CG225" s="172">
        <f t="array" aca="1" ref="CG225" ca="1">IF(OR($D225&lt;&gt;"Serviço",AND(AUTOEVENTO="Manual",$M225=$A$15),$M225&gt;(ROW(PLE.lastrow)-ROW(PLE.firstrow))),0,
           IF(OFFSET(PLE!$G$15,$M225-$A$15,CG$13)="",10^12,OFFSET(PLE!$G$15,$M225-$A$15,CG$13)))</f>
        <v>0</v>
      </c>
      <c r="CH225" s="172">
        <f t="array" aca="1" ref="CH225" ca="1">IF(OR($D225&lt;&gt;"Serviço",AND(AUTOEVENTO="Manual",$M225=$A$15),$M225&gt;(ROW(PLE.lastrow)-ROW(PLE.firstrow))),0,
           IF(OFFSET(PLE!$G$15,$M225-$A$15,CH$13)="",10^12,OFFSET(PLE!$G$15,$M225-$A$15,CH$13)))</f>
        <v>0</v>
      </c>
      <c r="CI225" s="172">
        <f t="array" aca="1" ref="CI225" ca="1">IF(OR($D225&lt;&gt;"Serviço",AND(AUTOEVENTO="Manual",$M225=$A$15),$M225&gt;(ROW(PLE.lastrow)-ROW(PLE.firstrow))),0,
           IF(OFFSET(PLE!$G$15,$M225-$A$15,CI$13)="",10^12,OFFSET(PLE!$G$15,$M225-$A$15,CI$13)))</f>
        <v>0</v>
      </c>
      <c r="CJ225" s="172">
        <f t="array" aca="1" ref="CJ225" ca="1">IF(OR($D225&lt;&gt;"Serviço",AND(AUTOEVENTO="Manual",$M225=$A$15),$M225&gt;(ROW(PLE.lastrow)-ROW(PLE.firstrow))),0,
           IF(OFFSET(PLE!$G$15,$M225-$A$15,CJ$13)="",10^12,OFFSET(PLE!$G$15,$M225-$A$15,CJ$13)))</f>
        <v>0</v>
      </c>
      <c r="CK225" s="172">
        <f t="array" aca="1" ref="CK225" ca="1">IF(OR($D225&lt;&gt;"Serviço",AND(AUTOEVENTO="Manual",$M225=$A$15),$M225&gt;(ROW(PLE.lastrow)-ROW(PLE.firstrow))),0,
           IF(OFFSET(PLE!$G$15,$M225-$A$15,CK$13)="",10^12,OFFSET(PLE!$G$15,$M225-$A$15,CK$13)))</f>
        <v>0</v>
      </c>
      <c r="CL225" s="172">
        <f t="array" aca="1" ref="CL225" ca="1">IF(OR($D225&lt;&gt;"Serviço",AND(AUTOEVENTO="Manual",$M225=$A$15),$M225&gt;(ROW(PLE.lastrow)-ROW(PLE.firstrow))),0,
           IF(OFFSET(PLE!$G$15,$M225-$A$15,CL$13)="",10^12,OFFSET(PLE!$G$15,$M225-$A$15,CL$13)))</f>
        <v>0</v>
      </c>
      <c r="CM225" s="172">
        <f t="array" aca="1" ref="CM225" ca="1">IF(OR($D225&lt;&gt;"Serviço",AND(AUTOEVENTO="Manual",$M225=$A$15),$M225&gt;(ROW(PLE.lastrow)-ROW(PLE.firstrow))),0,
           IF(OFFSET(PLE!$G$15,$M225-$A$15,CM$13)="",10^12,OFFSET(PLE!$G$15,$M225-$A$15,CM$13)))</f>
        <v>0</v>
      </c>
    </row>
    <row r="226" spans="1:91" s="696" customFormat="1" ht="63.75" x14ac:dyDescent="0.2">
      <c r="A226" s="694">
        <f t="shared" ca="1" si="98"/>
        <v>41</v>
      </c>
      <c r="B226" s="694" t="str">
        <f ca="1">OFFSET(ORÇAMENTO!C$15,$L226,0)</f>
        <v>S</v>
      </c>
      <c r="C226" s="694" t="str">
        <f ca="1">OFFSET(ORÇAMENTO!L$15,$L226,0)</f>
        <v>F</v>
      </c>
      <c r="D226" s="116" t="str">
        <f ca="1">OFFSET(ORÇAMENTO!N$15,$L226,0)</f>
        <v>Serviço</v>
      </c>
      <c r="E226" s="117" t="str">
        <f ca="1">OFFSET(ORÇAMENTO!O$15,$L226,0)</f>
        <v>1.34.1.</v>
      </c>
      <c r="F226" s="163" t="str">
        <f ca="1">OFFSET(ORÇAMENTO!R$15,$L226,0)</f>
        <v>LIMPEZA DE BACIA SANITÁRIA, BIDÊ OU MICTÓRIO EM LOUÇA, INCLUSIVE METAIS CORRESPONDENTES. AF_04/2019</v>
      </c>
      <c r="G226" s="164" t="str">
        <f ca="1">IF($D226&lt;&gt;"Serviço","",OFFSET(ORÇAMENTO!S$15,$L226,0))</f>
        <v>UN</v>
      </c>
      <c r="H226" s="122">
        <f t="array" aca="1" ref="H226" ca="1">IF($D226&lt;&gt;"Serviço",0,IF(ACOMPANHAMENTO="BM",ROUND(OFFSET(ORÇAMENTO!AJ$15,$L226,0),15-13*ORÇAMENTO!$AF$7),IF(IFERROR(CÁLCULO.FrentesPreenchidas,0)=0,0,SUM(ROUND(OFFSET($P226,0,1,1,CÁLCULO.FrentesPreenchidas),15-13*ORÇAMENTO!$AF$7)))))</f>
        <v>20</v>
      </c>
      <c r="I226" s="467" t="s">
        <v>1345</v>
      </c>
      <c r="J226" s="653" t="str">
        <f t="array" aca="1" ref="J226" ca="1">IF(OR(B226&lt;&gt;"S",CÁLCULO.FrentesPreenchidas=0),"",IF(AND(ACOMPANHAMENTO="PLE",AUTOEVENTO="Manual",OR(H226&gt;0,ORÇAMENTO!AC226="QUANT."),OR(K226="",M226=0,N226="")),"►E",IF(AND(ACOMPANHAMENTO="PLE",ORÇAMENTO!AC226="QUANT."),"►Q",IF(AND(ACOMPANHAMENTO="PLE",H226&lt;&gt;SUMPRODUCT(($Q$1:$AI$1=1)*ROUND(Q226:AI226,15))),"►S",IF(AND(COUNTIF($P$11:$AI$11,"▼")=0,H226&gt;0,I226=""),"◄M","")))))</f>
        <v/>
      </c>
      <c r="K226" s="654" t="s">
        <v>1451</v>
      </c>
      <c r="L226" s="165">
        <f t="shared" ca="1" si="99"/>
        <v>211</v>
      </c>
      <c r="M226" s="166">
        <f ca="1">IF($D226&lt;&gt;"Serviço","",
          IF(AUTOEVENTO="manual",$A226,
                IF(ISERROR(MATCH($A226,$A$15:OFFSET($A226,-1,0),0)),MAX($M$15:OFFSET(M226,-1,0))+1,
                      INDEX($M$15:OFFSET(M226,-1,0),MATCH($A226,$A$15:OFFSET($A226,-1,0),0)))))</f>
        <v>41</v>
      </c>
      <c r="N226" s="167" t="str">
        <f ca="1">IF($D226&lt;&gt;"Serviço","",
         IF(AUTOEVENTO="Manual",
                IF($A226=0,"&lt;-- defina o número do agrupador",
                       OFFSET(EVENTOS!$D$15,$A226-$A$15,0)),
                OFFSET($F$15,$A226,0)))</f>
        <v>LIMPEZA FINAL DA OBRA</v>
      </c>
      <c r="O226" s="168"/>
      <c r="Q226" s="169">
        <v>5</v>
      </c>
      <c r="R226" s="169">
        <v>5</v>
      </c>
      <c r="S226" s="169">
        <v>5</v>
      </c>
      <c r="T226" s="169">
        <v>5</v>
      </c>
      <c r="U226" s="169"/>
      <c r="V226" s="169"/>
      <c r="W226" s="169"/>
      <c r="X226" s="169"/>
      <c r="Y226" s="169"/>
      <c r="Z226" s="170"/>
      <c r="AA226" s="169"/>
      <c r="AB226" s="169"/>
      <c r="AC226" s="169"/>
      <c r="AD226" s="169"/>
      <c r="AE226" s="169"/>
      <c r="AF226" s="169"/>
      <c r="AG226" s="169"/>
      <c r="AH226" s="170"/>
      <c r="AJ226" s="452">
        <f ca="1">IF(AND($D226="Serviço",AJ$12&lt;&gt;0,$H226&gt;0,OR(AUTOEVENTO&lt;&gt;"manual",$M226&lt;&gt;$A$15)),
        IF(Import.TipoArredondamento&lt;&gt;"TransfereGOV",
              ROUND(OFFSET($P226,0,AJ$13),15-13*ORÇAMENTO!$AF$7)/$H226*OFFSET(ORÇAMENTO!$X$15,ROW(AJ226)-ROW(AJ$15),0),
              ROUND(ROUND(OFFSET($P226,0,AJ$13),15-13*ORÇAMENTO!$AF$7)*OFFSET(ORÇAMENTO!$W$15,ROW(AJ226)-ROW(AJ$15),0),15-13*ORÇAMENTO!$AF$11)),
         0)</f>
        <v>37.75</v>
      </c>
      <c r="AK226" s="452">
        <f ca="1">IF(AND($D226="Serviço",AK$12&lt;&gt;0,$H226&gt;0,OR(AUTOEVENTO&lt;&gt;"manual",$M226&lt;&gt;$A$15)),
        IF(Import.TipoArredondamento&lt;&gt;"TransfereGOV",
              ROUND(OFFSET($P226,0,AK$13),15-13*ORÇAMENTO!$AF$7)/$H226*OFFSET(ORÇAMENTO!$X$15,ROW(AK226)-ROW(AK$15),0),
              ROUND(ROUND(OFFSET($P226,0,AK$13),15-13*ORÇAMENTO!$AF$7)*OFFSET(ORÇAMENTO!$W$15,ROW(AK226)-ROW(AK$15),0),15-13*ORÇAMENTO!$AF$11)),
         0)</f>
        <v>37.75</v>
      </c>
      <c r="AL226" s="452">
        <f ca="1">IF(AND($D226="Serviço",AL$12&lt;&gt;0,$H226&gt;0,OR(AUTOEVENTO&lt;&gt;"manual",$M226&lt;&gt;$A$15)),
        IF(Import.TipoArredondamento&lt;&gt;"TransfereGOV",
              ROUND(OFFSET($P226,0,AL$13),15-13*ORÇAMENTO!$AF$7)/$H226*OFFSET(ORÇAMENTO!$X$15,ROW(AL226)-ROW(AL$15),0),
              ROUND(ROUND(OFFSET($P226,0,AL$13),15-13*ORÇAMENTO!$AF$7)*OFFSET(ORÇAMENTO!$W$15,ROW(AL226)-ROW(AL$15),0),15-13*ORÇAMENTO!$AF$11)),
         0)</f>
        <v>37.75</v>
      </c>
      <c r="AM226" s="452">
        <f ca="1">IF(AND($D226="Serviço",AM$12&lt;&gt;0,$H226&gt;0,OR(AUTOEVENTO&lt;&gt;"manual",$M226&lt;&gt;$A$15)),
        IF(Import.TipoArredondamento&lt;&gt;"TransfereGOV",
              ROUND(OFFSET($P226,0,AM$13),15-13*ORÇAMENTO!$AF$7)/$H226*OFFSET(ORÇAMENTO!$X$15,ROW(AM226)-ROW(AM$15),0),
              ROUND(ROUND(OFFSET($P226,0,AM$13),15-13*ORÇAMENTO!$AF$7)*OFFSET(ORÇAMENTO!$W$15,ROW(AM226)-ROW(AM$15),0),15-13*ORÇAMENTO!$AF$11)),
         0)</f>
        <v>37.75</v>
      </c>
      <c r="AN226" s="452">
        <f ca="1">IF(AND($D226="Serviço",AN$12&lt;&gt;0,$H226&gt;0,OR(AUTOEVENTO&lt;&gt;"manual",$M226&lt;&gt;$A$15)),
        IF(Import.TipoArredondamento&lt;&gt;"TransfereGOV",
              ROUND(OFFSET($P226,0,AN$13),15-13*ORÇAMENTO!$AF$7)/$H226*OFFSET(ORÇAMENTO!$X$15,ROW(AN226)-ROW(AN$15),0),
              ROUND(ROUND(OFFSET($P226,0,AN$13),15-13*ORÇAMENTO!$AF$7)*OFFSET(ORÇAMENTO!$W$15,ROW(AN226)-ROW(AN$15),0),15-13*ORÇAMENTO!$AF$11)),
         0)</f>
        <v>0</v>
      </c>
      <c r="AO226" s="452">
        <f ca="1">IF(AND($D226="Serviço",AO$12&lt;&gt;0,$H226&gt;0,OR(AUTOEVENTO&lt;&gt;"manual",$M226&lt;&gt;$A$15)),
        IF(Import.TipoArredondamento&lt;&gt;"TransfereGOV",
              ROUND(OFFSET($P226,0,AO$13),15-13*ORÇAMENTO!$AF$7)/$H226*OFFSET(ORÇAMENTO!$X$15,ROW(AO226)-ROW(AO$15),0),
              ROUND(ROUND(OFFSET($P226,0,AO$13),15-13*ORÇAMENTO!$AF$7)*OFFSET(ORÇAMENTO!$W$15,ROW(AO226)-ROW(AO$15),0),15-13*ORÇAMENTO!$AF$11)),
         0)</f>
        <v>0</v>
      </c>
      <c r="AP226" s="452">
        <f ca="1">IF(AND($D226="Serviço",AP$12&lt;&gt;0,$H226&gt;0,OR(AUTOEVENTO&lt;&gt;"manual",$M226&lt;&gt;$A$15)),
        IF(Import.TipoArredondamento&lt;&gt;"TransfereGOV",
              ROUND(OFFSET($P226,0,AP$13),15-13*ORÇAMENTO!$AF$7)/$H226*OFFSET(ORÇAMENTO!$X$15,ROW(AP226)-ROW(AP$15),0),
              ROUND(ROUND(OFFSET($P226,0,AP$13),15-13*ORÇAMENTO!$AF$7)*OFFSET(ORÇAMENTO!$W$15,ROW(AP226)-ROW(AP$15),0),15-13*ORÇAMENTO!$AF$11)),
         0)</f>
        <v>0</v>
      </c>
      <c r="AQ226" s="452">
        <f ca="1">IF(AND($D226="Serviço",AQ$12&lt;&gt;0,$H226&gt;0,OR(AUTOEVENTO&lt;&gt;"manual",$M226&lt;&gt;$A$15)),
        IF(Import.TipoArredondamento&lt;&gt;"TransfereGOV",
              ROUND(OFFSET($P226,0,AQ$13),15-13*ORÇAMENTO!$AF$7)/$H226*OFFSET(ORÇAMENTO!$X$15,ROW(AQ226)-ROW(AQ$15),0),
              ROUND(ROUND(OFFSET($P226,0,AQ$13),15-13*ORÇAMENTO!$AF$7)*OFFSET(ORÇAMENTO!$W$15,ROW(AQ226)-ROW(AQ$15),0),15-13*ORÇAMENTO!$AF$11)),
         0)</f>
        <v>0</v>
      </c>
      <c r="AR226" s="452">
        <f ca="1">IF(AND($D226="Serviço",AR$12&lt;&gt;0,$H226&gt;0,OR(AUTOEVENTO&lt;&gt;"manual",$M226&lt;&gt;$A$15)),
        IF(Import.TipoArredondamento&lt;&gt;"TransfereGOV",
              ROUND(OFFSET($P226,0,AR$13),15-13*ORÇAMENTO!$AF$7)/$H226*OFFSET(ORÇAMENTO!$X$15,ROW(AR226)-ROW(AR$15),0),
              ROUND(ROUND(OFFSET($P226,0,AR$13),15-13*ORÇAMENTO!$AF$7)*OFFSET(ORÇAMENTO!$W$15,ROW(AR226)-ROW(AR$15),0),15-13*ORÇAMENTO!$AF$11)),
         0)</f>
        <v>0</v>
      </c>
      <c r="AS226" s="452">
        <f ca="1">IF(AND($D226="Serviço",AS$12&lt;&gt;0,$H226&gt;0,OR(AUTOEVENTO&lt;&gt;"manual",$M226&lt;&gt;$A$15)),
        IF(Import.TipoArredondamento&lt;&gt;"TransfereGOV",
              ROUND(OFFSET($P226,0,AS$13),15-13*ORÇAMENTO!$AF$7)/$H226*OFFSET(ORÇAMENTO!$X$15,ROW(AS226)-ROW(AS$15),0),
              ROUND(ROUND(OFFSET($P226,0,AS$13),15-13*ORÇAMENTO!$AF$7)*OFFSET(ORÇAMENTO!$W$15,ROW(AS226)-ROW(AS$15),0),15-13*ORÇAMENTO!$AF$11)),
         0)</f>
        <v>0</v>
      </c>
      <c r="AT226" s="452">
        <f ca="1">IF(AND($D226="Serviço",AT$12&lt;&gt;0,$H226&gt;0,OR(AUTOEVENTO&lt;&gt;"manual",$M226&lt;&gt;$A$15)),
        IF(Import.TipoArredondamento&lt;&gt;"TransfereGOV",
              ROUND(OFFSET($P226,0,AT$13),15-13*ORÇAMENTO!$AF$7)/$H226*OFFSET(ORÇAMENTO!$X$15,ROW(AT226)-ROW(AT$15),0),
              ROUND(ROUND(OFFSET($P226,0,AT$13),15-13*ORÇAMENTO!$AF$7)*OFFSET(ORÇAMENTO!$W$15,ROW(AT226)-ROW(AT$15),0),15-13*ORÇAMENTO!$AF$11)),
         0)</f>
        <v>0</v>
      </c>
      <c r="AU226" s="452">
        <f ca="1">IF(AND($D226="Serviço",AU$12&lt;&gt;0,$H226&gt;0,OR(AUTOEVENTO&lt;&gt;"manual",$M226&lt;&gt;$A$15)),
        IF(Import.TipoArredondamento&lt;&gt;"TransfereGOV",
              ROUND(OFFSET($P226,0,AU$13),15-13*ORÇAMENTO!$AF$7)/$H226*OFFSET(ORÇAMENTO!$X$15,ROW(AU226)-ROW(AU$15),0),
              ROUND(ROUND(OFFSET($P226,0,AU$13),15-13*ORÇAMENTO!$AF$7)*OFFSET(ORÇAMENTO!$W$15,ROW(AU226)-ROW(AU$15),0),15-13*ORÇAMENTO!$AF$11)),
         0)</f>
        <v>0</v>
      </c>
      <c r="AV226" s="452">
        <f ca="1">IF(AND($D226="Serviço",AV$12&lt;&gt;0,$H226&gt;0,OR(AUTOEVENTO&lt;&gt;"manual",$M226&lt;&gt;$A$15)),
        IF(Import.TipoArredondamento&lt;&gt;"TransfereGOV",
              ROUND(OFFSET($P226,0,AV$13),15-13*ORÇAMENTO!$AF$7)/$H226*OFFSET(ORÇAMENTO!$X$15,ROW(AV226)-ROW(AV$15),0),
              ROUND(ROUND(OFFSET($P226,0,AV$13),15-13*ORÇAMENTO!$AF$7)*OFFSET(ORÇAMENTO!$W$15,ROW(AV226)-ROW(AV$15),0),15-13*ORÇAMENTO!$AF$11)),
         0)</f>
        <v>0</v>
      </c>
      <c r="AW226" s="452">
        <f ca="1">IF(AND($D226="Serviço",AW$12&lt;&gt;0,$H226&gt;0,OR(AUTOEVENTO&lt;&gt;"manual",$M226&lt;&gt;$A$15)),
        IF(Import.TipoArredondamento&lt;&gt;"TransfereGOV",
              ROUND(OFFSET($P226,0,AW$13),15-13*ORÇAMENTO!$AF$7)/$H226*OFFSET(ORÇAMENTO!$X$15,ROW(AW226)-ROW(AW$15),0),
              ROUND(ROUND(OFFSET($P226,0,AW$13),15-13*ORÇAMENTO!$AF$7)*OFFSET(ORÇAMENTO!$W$15,ROW(AW226)-ROW(AW$15),0),15-13*ORÇAMENTO!$AF$11)),
         0)</f>
        <v>0</v>
      </c>
      <c r="AX226" s="452">
        <f ca="1">IF(AND($D226="Serviço",AX$12&lt;&gt;0,$H226&gt;0,OR(AUTOEVENTO&lt;&gt;"manual",$M226&lt;&gt;$A$15)),
        IF(Import.TipoArredondamento&lt;&gt;"TransfereGOV",
              ROUND(OFFSET($P226,0,AX$13),15-13*ORÇAMENTO!$AF$7)/$H226*OFFSET(ORÇAMENTO!$X$15,ROW(AX226)-ROW(AX$15),0),
              ROUND(ROUND(OFFSET($P226,0,AX$13),15-13*ORÇAMENTO!$AF$7)*OFFSET(ORÇAMENTO!$W$15,ROW(AX226)-ROW(AX$15),0),15-13*ORÇAMENTO!$AF$11)),
         0)</f>
        <v>0</v>
      </c>
      <c r="AY226" s="452">
        <f ca="1">IF(AND($D226="Serviço",AY$12&lt;&gt;0,$H226&gt;0,OR(AUTOEVENTO&lt;&gt;"manual",$M226&lt;&gt;$A$15)),
        IF(Import.TipoArredondamento&lt;&gt;"TransfereGOV",
              ROUND(OFFSET($P226,0,AY$13),15-13*ORÇAMENTO!$AF$7)/$H226*OFFSET(ORÇAMENTO!$X$15,ROW(AY226)-ROW(AY$15),0),
              ROUND(ROUND(OFFSET($P226,0,AY$13),15-13*ORÇAMENTO!$AF$7)*OFFSET(ORÇAMENTO!$W$15,ROW(AY226)-ROW(AY$15),0),15-13*ORÇAMENTO!$AF$11)),
         0)</f>
        <v>0</v>
      </c>
      <c r="AZ226" s="452">
        <f ca="1">IF(AND($D226="Serviço",AZ$12&lt;&gt;0,$H226&gt;0,OR(AUTOEVENTO&lt;&gt;"manual",$M226&lt;&gt;$A$15)),
        IF(Import.TipoArredondamento&lt;&gt;"TransfereGOV",
              ROUND(OFFSET($P226,0,AZ$13),15-13*ORÇAMENTO!$AF$7)/$H226*OFFSET(ORÇAMENTO!$X$15,ROW(AZ226)-ROW(AZ$15),0),
              ROUND(ROUND(OFFSET($P226,0,AZ$13),15-13*ORÇAMENTO!$AF$7)*OFFSET(ORÇAMENTO!$W$15,ROW(AZ226)-ROW(AZ$15),0),15-13*ORÇAMENTO!$AF$11)),
         0)</f>
        <v>0</v>
      </c>
      <c r="BA226" s="452">
        <f ca="1">IF(AND($D226="Serviço",BA$12&lt;&gt;0,$H226&gt;0,OR(AUTOEVENTO&lt;&gt;"manual",$M226&lt;&gt;$A$15)),
        IF(Import.TipoArredondamento&lt;&gt;"TransfereGOV",
              ROUND(OFFSET($P226,0,BA$13),15-13*ORÇAMENTO!$AF$7)/$H226*OFFSET(ORÇAMENTO!$X$15,ROW(BA226)-ROW(BA$15),0),
              ROUND(ROUND(OFFSET($P226,0,BA$13),15-13*ORÇAMENTO!$AF$7)*OFFSET(ORÇAMENTO!$W$15,ROW(BA226)-ROW(BA$15),0),15-13*ORÇAMENTO!$AF$11)),
         0)</f>
        <v>0</v>
      </c>
      <c r="BC226" s="171">
        <f ca="1">IF(OR($D226&lt;&gt;"Serviço",AND(AUTOEVENTO="Manual",$M226=$A$15)),0,
         IF(OFFSET(CRONOPLE!$F$15,$M226-$A$15,BC$13)=0,10^12,OFFSET(CRONOPLE!$F$15,$M226-$A$15,BC$13)))</f>
        <v>9</v>
      </c>
      <c r="BD226" s="171">
        <f ca="1">IF(OR($D226&lt;&gt;"Serviço",AND(AUTOEVENTO="Manual",$M226=$A$15)),0,
         IF(OFFSET(CRONOPLE!$F$15,$M226-$A$15,BD$13)=0,10^12,OFFSET(CRONOPLE!$F$15,$M226-$A$15,BD$13)))</f>
        <v>9</v>
      </c>
      <c r="BE226" s="171">
        <f ca="1">IF(OR($D226&lt;&gt;"Serviço",AND(AUTOEVENTO="Manual",$M226=$A$15)),0,
         IF(OFFSET(CRONOPLE!$F$15,$M226-$A$15,BE$13)=0,10^12,OFFSET(CRONOPLE!$F$15,$M226-$A$15,BE$13)))</f>
        <v>9</v>
      </c>
      <c r="BF226" s="171">
        <f ca="1">IF(OR($D226&lt;&gt;"Serviço",AND(AUTOEVENTO="Manual",$M226=$A$15)),0,
         IF(OFFSET(CRONOPLE!$F$15,$M226-$A$15,BF$13)=0,10^12,OFFSET(CRONOPLE!$F$15,$M226-$A$15,BF$13)))</f>
        <v>9</v>
      </c>
      <c r="BG226" s="171">
        <f ca="1">IF(OR($D226&lt;&gt;"Serviço",AND(AUTOEVENTO="Manual",$M226=$A$15)),0,
         IF(OFFSET(CRONOPLE!$F$15,$M226-$A$15,BG$13)=0,10^12,OFFSET(CRONOPLE!$F$15,$M226-$A$15,BG$13)))</f>
        <v>9</v>
      </c>
      <c r="BH226" s="171">
        <f ca="1">IF(OR($D226&lt;&gt;"Serviço",AND(AUTOEVENTO="Manual",$M226=$A$15)),0,
         IF(OFFSET(CRONOPLE!$F$15,$M226-$A$15,BH$13)=0,10^12,OFFSET(CRONOPLE!$F$15,$M226-$A$15,BH$13)))</f>
        <v>1000000000000</v>
      </c>
      <c r="BI226" s="171">
        <f ca="1">IF(OR($D226&lt;&gt;"Serviço",AND(AUTOEVENTO="Manual",$M226=$A$15)),0,
         IF(OFFSET(CRONOPLE!$F$15,$M226-$A$15,BI$13)=0,10^12,OFFSET(CRONOPLE!$F$15,$M226-$A$15,BI$13)))</f>
        <v>1000000000000</v>
      </c>
      <c r="BJ226" s="171">
        <f ca="1">IF(OR($D226&lt;&gt;"Serviço",AND(AUTOEVENTO="Manual",$M226=$A$15)),0,
         IF(OFFSET(CRONOPLE!$F$15,$M226-$A$15,BJ$13)=0,10^12,OFFSET(CRONOPLE!$F$15,$M226-$A$15,BJ$13)))</f>
        <v>1000000000000</v>
      </c>
      <c r="BK226" s="171">
        <f ca="1">IF(OR($D226&lt;&gt;"Serviço",AND(AUTOEVENTO="Manual",$M226=$A$15)),0,
         IF(OFFSET(CRONOPLE!$F$15,$M226-$A$15,BK$13)=0,10^12,OFFSET(CRONOPLE!$F$15,$M226-$A$15,BK$13)))</f>
        <v>1000000000000</v>
      </c>
      <c r="BL226" s="171">
        <f ca="1">IF(OR($D226&lt;&gt;"Serviço",AND(AUTOEVENTO="Manual",$M226=$A$15)),0,
         IF(OFFSET(CRONOPLE!$F$15,$M226-$A$15,BL$13)=0,10^12,OFFSET(CRONOPLE!$F$15,$M226-$A$15,BL$13)))</f>
        <v>1000000000000</v>
      </c>
      <c r="BM226" s="171">
        <f ca="1">IF(OR($D226&lt;&gt;"Serviço",AND(AUTOEVENTO="Manual",$M226=$A$15)),0,
         IF(OFFSET(CRONOPLE!$F$15,$M226-$A$15,BM$13)=0,10^12,OFFSET(CRONOPLE!$F$15,$M226-$A$15,BM$13)))</f>
        <v>1000000000000</v>
      </c>
      <c r="BN226" s="171">
        <f ca="1">IF(OR($D226&lt;&gt;"Serviço",AND(AUTOEVENTO="Manual",$M226=$A$15)),0,
         IF(OFFSET(CRONOPLE!$F$15,$M226-$A$15,BN$13)=0,10^12,OFFSET(CRONOPLE!$F$15,$M226-$A$15,BN$13)))</f>
        <v>1000000000000</v>
      </c>
      <c r="BO226" s="171">
        <f ca="1">IF(OR($D226&lt;&gt;"Serviço",AND(AUTOEVENTO="Manual",$M226=$A$15)),0,
         IF(OFFSET(CRONOPLE!$F$15,$M226-$A$15,BO$13)=0,10^12,OFFSET(CRONOPLE!$F$15,$M226-$A$15,BO$13)))</f>
        <v>1000000000000</v>
      </c>
      <c r="BP226" s="171">
        <f ca="1">IF(OR($D226&lt;&gt;"Serviço",AND(AUTOEVENTO="Manual",$M226=$A$15)),0,
         IF(OFFSET(CRONOPLE!$F$15,$M226-$A$15,BP$13)=0,10^12,OFFSET(CRONOPLE!$F$15,$M226-$A$15,BP$13)))</f>
        <v>1000000000000</v>
      </c>
      <c r="BQ226" s="171">
        <f ca="1">IF(OR($D226&lt;&gt;"Serviço",AND(AUTOEVENTO="Manual",$M226=$A$15)),0,
         IF(OFFSET(CRONOPLE!$F$15,$M226-$A$15,BQ$13)=0,10^12,OFFSET(CRONOPLE!$F$15,$M226-$A$15,BQ$13)))</f>
        <v>1000000000000</v>
      </c>
      <c r="BR226" s="171">
        <f ca="1">IF(OR($D226&lt;&gt;"Serviço",AND(AUTOEVENTO="Manual",$M226=$A$15)),0,
         IF(OFFSET(CRONOPLE!$F$15,$M226-$A$15,BR$13)=0,10^12,OFFSET(CRONOPLE!$F$15,$M226-$A$15,BR$13)))</f>
        <v>1000000000000</v>
      </c>
      <c r="BS226" s="171">
        <f ca="1">IF(OR($D226&lt;&gt;"Serviço",AND(AUTOEVENTO="Manual",$M226=$A$15)),0,
         IF(OFFSET(CRONOPLE!$F$15,$M226-$A$15,BS$13)=0,10^12,OFFSET(CRONOPLE!$F$15,$M226-$A$15,BS$13)))</f>
        <v>1000000000000</v>
      </c>
      <c r="BT226" s="171">
        <f ca="1">IF(OR($D226&lt;&gt;"Serviço",AND(AUTOEVENTO="Manual",$M226=$A$15)),0,
         IF(OFFSET(CRONOPLE!$F$15,$M226-$A$15,BT$13)=0,10^12,OFFSET(CRONOPLE!$F$15,$M226-$A$15,BT$13)))</f>
        <v>1000000000000</v>
      </c>
      <c r="BV226" s="172">
        <f t="array" aca="1" ref="BV226" ca="1">IF(OR($D226&lt;&gt;"Serviço",AND(AUTOEVENTO="Manual",$M226=$A$15),$M226&gt;(ROW(PLE.lastrow)-ROW(PLE.firstrow))),0,
           IF(OFFSET(PLE!$G$15,$M226-$A$15,BV$13)="",10^12,OFFSET(PLE!$G$15,$M226-$A$15,BV$13)))</f>
        <v>1000000000000</v>
      </c>
      <c r="BW226" s="172">
        <f t="array" aca="1" ref="BW226" ca="1">IF(OR($D226&lt;&gt;"Serviço",AND(AUTOEVENTO="Manual",$M226=$A$15),$M226&gt;(ROW(PLE.lastrow)-ROW(PLE.firstrow))),0,
           IF(OFFSET(PLE!$G$15,$M226-$A$15,BW$13)="",10^12,OFFSET(PLE!$G$15,$M226-$A$15,BW$13)))</f>
        <v>1000000000000</v>
      </c>
      <c r="BX226" s="172">
        <f t="array" aca="1" ref="BX226" ca="1">IF(OR($D226&lt;&gt;"Serviço",AND(AUTOEVENTO="Manual",$M226=$A$15),$M226&gt;(ROW(PLE.lastrow)-ROW(PLE.firstrow))),0,
           IF(OFFSET(PLE!$G$15,$M226-$A$15,BX$13)="",10^12,OFFSET(PLE!$G$15,$M226-$A$15,BX$13)))</f>
        <v>1000000000000</v>
      </c>
      <c r="BY226" s="172">
        <f t="array" aca="1" ref="BY226" ca="1">IF(OR($D226&lt;&gt;"Serviço",AND(AUTOEVENTO="Manual",$M226=$A$15),$M226&gt;(ROW(PLE.lastrow)-ROW(PLE.firstrow))),0,
           IF(OFFSET(PLE!$G$15,$M226-$A$15,BY$13)="",10^12,OFFSET(PLE!$G$15,$M226-$A$15,BY$13)))</f>
        <v>1000000000000</v>
      </c>
      <c r="BZ226" s="172">
        <f t="array" aca="1" ref="BZ226" ca="1">IF(OR($D226&lt;&gt;"Serviço",AND(AUTOEVENTO="Manual",$M226=$A$15),$M226&gt;(ROW(PLE.lastrow)-ROW(PLE.firstrow))),0,
           IF(OFFSET(PLE!$G$15,$M226-$A$15,BZ$13)="",10^12,OFFSET(PLE!$G$15,$M226-$A$15,BZ$13)))</f>
        <v>1000000000000</v>
      </c>
      <c r="CA226" s="172">
        <f t="array" aca="1" ref="CA226" ca="1">IF(OR($D226&lt;&gt;"Serviço",AND(AUTOEVENTO="Manual",$M226=$A$15),$M226&gt;(ROW(PLE.lastrow)-ROW(PLE.firstrow))),0,
           IF(OFFSET(PLE!$G$15,$M226-$A$15,CA$13)="",10^12,OFFSET(PLE!$G$15,$M226-$A$15,CA$13)))</f>
        <v>1000000000000</v>
      </c>
      <c r="CB226" s="172">
        <f t="array" aca="1" ref="CB226" ca="1">IF(OR($D226&lt;&gt;"Serviço",AND(AUTOEVENTO="Manual",$M226=$A$15),$M226&gt;(ROW(PLE.lastrow)-ROW(PLE.firstrow))),0,
           IF(OFFSET(PLE!$G$15,$M226-$A$15,CB$13)="",10^12,OFFSET(PLE!$G$15,$M226-$A$15,CB$13)))</f>
        <v>1000000000000</v>
      </c>
      <c r="CC226" s="172">
        <f t="array" aca="1" ref="CC226" ca="1">IF(OR($D226&lt;&gt;"Serviço",AND(AUTOEVENTO="Manual",$M226=$A$15),$M226&gt;(ROW(PLE.lastrow)-ROW(PLE.firstrow))),0,
           IF(OFFSET(PLE!$G$15,$M226-$A$15,CC$13)="",10^12,OFFSET(PLE!$G$15,$M226-$A$15,CC$13)))</f>
        <v>1000000000000</v>
      </c>
      <c r="CD226" s="172">
        <f t="array" aca="1" ref="CD226" ca="1">IF(OR($D226&lt;&gt;"Serviço",AND(AUTOEVENTO="Manual",$M226=$A$15),$M226&gt;(ROW(PLE.lastrow)-ROW(PLE.firstrow))),0,
           IF(OFFSET(PLE!$G$15,$M226-$A$15,CD$13)="",10^12,OFFSET(PLE!$G$15,$M226-$A$15,CD$13)))</f>
        <v>1000000000000</v>
      </c>
      <c r="CE226" s="172">
        <f t="array" aca="1" ref="CE226" ca="1">IF(OR($D226&lt;&gt;"Serviço",AND(AUTOEVENTO="Manual",$M226=$A$15),$M226&gt;(ROW(PLE.lastrow)-ROW(PLE.firstrow))),0,
           IF(OFFSET(PLE!$G$15,$M226-$A$15,CE$13)="",10^12,OFFSET(PLE!$G$15,$M226-$A$15,CE$13)))</f>
        <v>1000000000000</v>
      </c>
      <c r="CF226" s="172">
        <f t="array" aca="1" ref="CF226" ca="1">IF(OR($D226&lt;&gt;"Serviço",AND(AUTOEVENTO="Manual",$M226=$A$15),$M226&gt;(ROW(PLE.lastrow)-ROW(PLE.firstrow))),0,
           IF(OFFSET(PLE!$G$15,$M226-$A$15,CF$13)="",10^12,OFFSET(PLE!$G$15,$M226-$A$15,CF$13)))</f>
        <v>1000000000000</v>
      </c>
      <c r="CG226" s="172">
        <f t="array" aca="1" ref="CG226" ca="1">IF(OR($D226&lt;&gt;"Serviço",AND(AUTOEVENTO="Manual",$M226=$A$15),$M226&gt;(ROW(PLE.lastrow)-ROW(PLE.firstrow))),0,
           IF(OFFSET(PLE!$G$15,$M226-$A$15,CG$13)="",10^12,OFFSET(PLE!$G$15,$M226-$A$15,CG$13)))</f>
        <v>1000000000000</v>
      </c>
      <c r="CH226" s="172">
        <f t="array" aca="1" ref="CH226" ca="1">IF(OR($D226&lt;&gt;"Serviço",AND(AUTOEVENTO="Manual",$M226=$A$15),$M226&gt;(ROW(PLE.lastrow)-ROW(PLE.firstrow))),0,
           IF(OFFSET(PLE!$G$15,$M226-$A$15,CH$13)="",10^12,OFFSET(PLE!$G$15,$M226-$A$15,CH$13)))</f>
        <v>1000000000000</v>
      </c>
      <c r="CI226" s="172">
        <f t="array" aca="1" ref="CI226" ca="1">IF(OR($D226&lt;&gt;"Serviço",AND(AUTOEVENTO="Manual",$M226=$A$15),$M226&gt;(ROW(PLE.lastrow)-ROW(PLE.firstrow))),0,
           IF(OFFSET(PLE!$G$15,$M226-$A$15,CI$13)="",10^12,OFFSET(PLE!$G$15,$M226-$A$15,CI$13)))</f>
        <v>1000000000000</v>
      </c>
      <c r="CJ226" s="172">
        <f t="array" aca="1" ref="CJ226" ca="1">IF(OR($D226&lt;&gt;"Serviço",AND(AUTOEVENTO="Manual",$M226=$A$15),$M226&gt;(ROW(PLE.lastrow)-ROW(PLE.firstrow))),0,
           IF(OFFSET(PLE!$G$15,$M226-$A$15,CJ$13)="",10^12,OFFSET(PLE!$G$15,$M226-$A$15,CJ$13)))</f>
        <v>1000000000000</v>
      </c>
      <c r="CK226" s="172">
        <f t="array" aca="1" ref="CK226" ca="1">IF(OR($D226&lt;&gt;"Serviço",AND(AUTOEVENTO="Manual",$M226=$A$15),$M226&gt;(ROW(PLE.lastrow)-ROW(PLE.firstrow))),0,
           IF(OFFSET(PLE!$G$15,$M226-$A$15,CK$13)="",10^12,OFFSET(PLE!$G$15,$M226-$A$15,CK$13)))</f>
        <v>1000000000000</v>
      </c>
      <c r="CL226" s="172">
        <f t="array" aca="1" ref="CL226" ca="1">IF(OR($D226&lt;&gt;"Serviço",AND(AUTOEVENTO="Manual",$M226=$A$15),$M226&gt;(ROW(PLE.lastrow)-ROW(PLE.firstrow))),0,
           IF(OFFSET(PLE!$G$15,$M226-$A$15,CL$13)="",10^12,OFFSET(PLE!$G$15,$M226-$A$15,CL$13)))</f>
        <v>1000000000000</v>
      </c>
      <c r="CM226" s="172">
        <f t="array" aca="1" ref="CM226" ca="1">IF(OR($D226&lt;&gt;"Serviço",AND(AUTOEVENTO="Manual",$M226=$A$15),$M226&gt;(ROW(PLE.lastrow)-ROW(PLE.firstrow))),0,
           IF(OFFSET(PLE!$G$15,$M226-$A$15,CM$13)="",10^12,OFFSET(PLE!$G$15,$M226-$A$15,CM$13)))</f>
        <v>1000000000000</v>
      </c>
    </row>
    <row r="227" spans="1:91" s="696" customFormat="1" ht="63.75" x14ac:dyDescent="0.2">
      <c r="A227" s="694">
        <f t="shared" ca="1" si="98"/>
        <v>41</v>
      </c>
      <c r="B227" s="694" t="str">
        <f ca="1">OFFSET(ORÇAMENTO!C$15,$L227,0)</f>
        <v>S</v>
      </c>
      <c r="C227" s="694" t="str">
        <f ca="1">OFFSET(ORÇAMENTO!L$15,$L227,0)</f>
        <v>F</v>
      </c>
      <c r="D227" s="116" t="str">
        <f ca="1">OFFSET(ORÇAMENTO!N$15,$L227,0)</f>
        <v>Serviço</v>
      </c>
      <c r="E227" s="117" t="str">
        <f ca="1">OFFSET(ORÇAMENTO!O$15,$L227,0)</f>
        <v>1.34.2.</v>
      </c>
      <c r="F227" s="163" t="str">
        <f ca="1">OFFSET(ORÇAMENTO!R$15,$L227,0)</f>
        <v>LIMPEZA DE BANCADA DE PEDRA (MÁRMORE OU GRANITO). AF_04/2019</v>
      </c>
      <c r="G227" s="164" t="str">
        <f ca="1">IF($D227&lt;&gt;"Serviço","",OFFSET(ORÇAMENTO!S$15,$L227,0))</f>
        <v>M2</v>
      </c>
      <c r="H227" s="122">
        <f t="array" aca="1" ref="H227" ca="1">IF($D227&lt;&gt;"Serviço",0,IF(ACOMPANHAMENTO="BM",ROUND(OFFSET(ORÇAMENTO!AJ$15,$L227,0),15-13*ORÇAMENTO!$AF$7),IF(IFERROR(CÁLCULO.FrentesPreenchidas,0)=0,0,SUM(ROUND(OFFSET($P227,0,1,1,CÁLCULO.FrentesPreenchidas),15-13*ORÇAMENTO!$AF$7)))))</f>
        <v>14.4</v>
      </c>
      <c r="I227" s="467" t="s">
        <v>1346</v>
      </c>
      <c r="J227" s="653" t="str">
        <f t="array" aca="1" ref="J227" ca="1">IF(OR(B227&lt;&gt;"S",CÁLCULO.FrentesPreenchidas=0),"",IF(AND(ACOMPANHAMENTO="PLE",AUTOEVENTO="Manual",OR(H227&gt;0,ORÇAMENTO!AC227="QUANT."),OR(K227="",M227=0,N227="")),"►E",IF(AND(ACOMPANHAMENTO="PLE",ORÇAMENTO!AC227="QUANT."),"►Q",IF(AND(ACOMPANHAMENTO="PLE",H227&lt;&gt;SUMPRODUCT(($Q$1:$AI$1=1)*ROUND(Q227:AI227,15))),"►S",IF(AND(COUNTIF($P$11:$AI$11,"▼")=0,H227&gt;0,I227=""),"◄M","")))))</f>
        <v/>
      </c>
      <c r="K227" s="654" t="s">
        <v>1451</v>
      </c>
      <c r="L227" s="165">
        <f t="shared" ca="1" si="99"/>
        <v>212</v>
      </c>
      <c r="M227" s="166">
        <f ca="1">IF($D227&lt;&gt;"Serviço","",
          IF(AUTOEVENTO="manual",$A227,
                IF(ISERROR(MATCH($A227,$A$15:OFFSET($A227,-1,0),0)),MAX($M$15:OFFSET(M227,-1,0))+1,
                      INDEX($M$15:OFFSET(M227,-1,0),MATCH($A227,$A$15:OFFSET($A227,-1,0),0)))))</f>
        <v>41</v>
      </c>
      <c r="N227" s="167" t="str">
        <f ca="1">IF($D227&lt;&gt;"Serviço","",
         IF(AUTOEVENTO="Manual",
                IF($A227=0,"&lt;-- defina o número do agrupador",
                       OFFSET(EVENTOS!$D$15,$A227-$A$15,0)),
                OFFSET($F$15,$A227,0)))</f>
        <v>LIMPEZA FINAL DA OBRA</v>
      </c>
      <c r="O227" s="168"/>
      <c r="Q227" s="169">
        <f>0.72*5</f>
        <v>3.5999999999999996</v>
      </c>
      <c r="R227" s="169">
        <f t="shared" ref="R227:T227" si="103">0.72*5</f>
        <v>3.5999999999999996</v>
      </c>
      <c r="S227" s="169">
        <f t="shared" si="103"/>
        <v>3.5999999999999996</v>
      </c>
      <c r="T227" s="169">
        <f t="shared" si="103"/>
        <v>3.5999999999999996</v>
      </c>
      <c r="U227" s="169"/>
      <c r="V227" s="169"/>
      <c r="W227" s="169"/>
      <c r="X227" s="169"/>
      <c r="Y227" s="169"/>
      <c r="Z227" s="170"/>
      <c r="AA227" s="169"/>
      <c r="AB227" s="169"/>
      <c r="AC227" s="169"/>
      <c r="AD227" s="169"/>
      <c r="AE227" s="169"/>
      <c r="AF227" s="169"/>
      <c r="AG227" s="169"/>
      <c r="AH227" s="170"/>
      <c r="AJ227" s="452">
        <f ca="1">IF(AND($D227="Serviço",AJ$12&lt;&gt;0,$H227&gt;0,OR(AUTOEVENTO&lt;&gt;"manual",$M227&lt;&gt;$A$15)),
        IF(Import.TipoArredondamento&lt;&gt;"TransfereGOV",
              ROUND(OFFSET($P227,0,AJ$13),15-13*ORÇAMENTO!$AF$7)/$H227*OFFSET(ORÇAMENTO!$X$15,ROW(AJ227)-ROW(AJ$15),0),
              ROUND(ROUND(OFFSET($P227,0,AJ$13),15-13*ORÇAMENTO!$AF$7)*OFFSET(ORÇAMENTO!$W$15,ROW(AJ227)-ROW(AJ$15),0),15-13*ORÇAMENTO!$AF$11)),
         0)</f>
        <v>72.680000000000007</v>
      </c>
      <c r="AK227" s="452">
        <f ca="1">IF(AND($D227="Serviço",AK$12&lt;&gt;0,$H227&gt;0,OR(AUTOEVENTO&lt;&gt;"manual",$M227&lt;&gt;$A$15)),
        IF(Import.TipoArredondamento&lt;&gt;"TransfereGOV",
              ROUND(OFFSET($P227,0,AK$13),15-13*ORÇAMENTO!$AF$7)/$H227*OFFSET(ORÇAMENTO!$X$15,ROW(AK227)-ROW(AK$15),0),
              ROUND(ROUND(OFFSET($P227,0,AK$13),15-13*ORÇAMENTO!$AF$7)*OFFSET(ORÇAMENTO!$W$15,ROW(AK227)-ROW(AK$15),0),15-13*ORÇAMENTO!$AF$11)),
         0)</f>
        <v>72.680000000000007</v>
      </c>
      <c r="AL227" s="452">
        <f ca="1">IF(AND($D227="Serviço",AL$12&lt;&gt;0,$H227&gt;0,OR(AUTOEVENTO&lt;&gt;"manual",$M227&lt;&gt;$A$15)),
        IF(Import.TipoArredondamento&lt;&gt;"TransfereGOV",
              ROUND(OFFSET($P227,0,AL$13),15-13*ORÇAMENTO!$AF$7)/$H227*OFFSET(ORÇAMENTO!$X$15,ROW(AL227)-ROW(AL$15),0),
              ROUND(ROUND(OFFSET($P227,0,AL$13),15-13*ORÇAMENTO!$AF$7)*OFFSET(ORÇAMENTO!$W$15,ROW(AL227)-ROW(AL$15),0),15-13*ORÇAMENTO!$AF$11)),
         0)</f>
        <v>72.680000000000007</v>
      </c>
      <c r="AM227" s="452">
        <f ca="1">IF(AND($D227="Serviço",AM$12&lt;&gt;0,$H227&gt;0,OR(AUTOEVENTO&lt;&gt;"manual",$M227&lt;&gt;$A$15)),
        IF(Import.TipoArredondamento&lt;&gt;"TransfereGOV",
              ROUND(OFFSET($P227,0,AM$13),15-13*ORÇAMENTO!$AF$7)/$H227*OFFSET(ORÇAMENTO!$X$15,ROW(AM227)-ROW(AM$15),0),
              ROUND(ROUND(OFFSET($P227,0,AM$13),15-13*ORÇAMENTO!$AF$7)*OFFSET(ORÇAMENTO!$W$15,ROW(AM227)-ROW(AM$15),0),15-13*ORÇAMENTO!$AF$11)),
         0)</f>
        <v>72.680000000000007</v>
      </c>
      <c r="AN227" s="452">
        <f ca="1">IF(AND($D227="Serviço",AN$12&lt;&gt;0,$H227&gt;0,OR(AUTOEVENTO&lt;&gt;"manual",$M227&lt;&gt;$A$15)),
        IF(Import.TipoArredondamento&lt;&gt;"TransfereGOV",
              ROUND(OFFSET($P227,0,AN$13),15-13*ORÇAMENTO!$AF$7)/$H227*OFFSET(ORÇAMENTO!$X$15,ROW(AN227)-ROW(AN$15),0),
              ROUND(ROUND(OFFSET($P227,0,AN$13),15-13*ORÇAMENTO!$AF$7)*OFFSET(ORÇAMENTO!$W$15,ROW(AN227)-ROW(AN$15),0),15-13*ORÇAMENTO!$AF$11)),
         0)</f>
        <v>0</v>
      </c>
      <c r="AO227" s="452">
        <f ca="1">IF(AND($D227="Serviço",AO$12&lt;&gt;0,$H227&gt;0,OR(AUTOEVENTO&lt;&gt;"manual",$M227&lt;&gt;$A$15)),
        IF(Import.TipoArredondamento&lt;&gt;"TransfereGOV",
              ROUND(OFFSET($P227,0,AO$13),15-13*ORÇAMENTO!$AF$7)/$H227*OFFSET(ORÇAMENTO!$X$15,ROW(AO227)-ROW(AO$15),0),
              ROUND(ROUND(OFFSET($P227,0,AO$13),15-13*ORÇAMENTO!$AF$7)*OFFSET(ORÇAMENTO!$W$15,ROW(AO227)-ROW(AO$15),0),15-13*ORÇAMENTO!$AF$11)),
         0)</f>
        <v>0</v>
      </c>
      <c r="AP227" s="452">
        <f ca="1">IF(AND($D227="Serviço",AP$12&lt;&gt;0,$H227&gt;0,OR(AUTOEVENTO&lt;&gt;"manual",$M227&lt;&gt;$A$15)),
        IF(Import.TipoArredondamento&lt;&gt;"TransfereGOV",
              ROUND(OFFSET($P227,0,AP$13),15-13*ORÇAMENTO!$AF$7)/$H227*OFFSET(ORÇAMENTO!$X$15,ROW(AP227)-ROW(AP$15),0),
              ROUND(ROUND(OFFSET($P227,0,AP$13),15-13*ORÇAMENTO!$AF$7)*OFFSET(ORÇAMENTO!$W$15,ROW(AP227)-ROW(AP$15),0),15-13*ORÇAMENTO!$AF$11)),
         0)</f>
        <v>0</v>
      </c>
      <c r="AQ227" s="452">
        <f ca="1">IF(AND($D227="Serviço",AQ$12&lt;&gt;0,$H227&gt;0,OR(AUTOEVENTO&lt;&gt;"manual",$M227&lt;&gt;$A$15)),
        IF(Import.TipoArredondamento&lt;&gt;"TransfereGOV",
              ROUND(OFFSET($P227,0,AQ$13),15-13*ORÇAMENTO!$AF$7)/$H227*OFFSET(ORÇAMENTO!$X$15,ROW(AQ227)-ROW(AQ$15),0),
              ROUND(ROUND(OFFSET($P227,0,AQ$13),15-13*ORÇAMENTO!$AF$7)*OFFSET(ORÇAMENTO!$W$15,ROW(AQ227)-ROW(AQ$15),0),15-13*ORÇAMENTO!$AF$11)),
         0)</f>
        <v>0</v>
      </c>
      <c r="AR227" s="452">
        <f ca="1">IF(AND($D227="Serviço",AR$12&lt;&gt;0,$H227&gt;0,OR(AUTOEVENTO&lt;&gt;"manual",$M227&lt;&gt;$A$15)),
        IF(Import.TipoArredondamento&lt;&gt;"TransfereGOV",
              ROUND(OFFSET($P227,0,AR$13),15-13*ORÇAMENTO!$AF$7)/$H227*OFFSET(ORÇAMENTO!$X$15,ROW(AR227)-ROW(AR$15),0),
              ROUND(ROUND(OFFSET($P227,0,AR$13),15-13*ORÇAMENTO!$AF$7)*OFFSET(ORÇAMENTO!$W$15,ROW(AR227)-ROW(AR$15),0),15-13*ORÇAMENTO!$AF$11)),
         0)</f>
        <v>0</v>
      </c>
      <c r="AS227" s="452">
        <f ca="1">IF(AND($D227="Serviço",AS$12&lt;&gt;0,$H227&gt;0,OR(AUTOEVENTO&lt;&gt;"manual",$M227&lt;&gt;$A$15)),
        IF(Import.TipoArredondamento&lt;&gt;"TransfereGOV",
              ROUND(OFFSET($P227,0,AS$13),15-13*ORÇAMENTO!$AF$7)/$H227*OFFSET(ORÇAMENTO!$X$15,ROW(AS227)-ROW(AS$15),0),
              ROUND(ROUND(OFFSET($P227,0,AS$13),15-13*ORÇAMENTO!$AF$7)*OFFSET(ORÇAMENTO!$W$15,ROW(AS227)-ROW(AS$15),0),15-13*ORÇAMENTO!$AF$11)),
         0)</f>
        <v>0</v>
      </c>
      <c r="AT227" s="452">
        <f ca="1">IF(AND($D227="Serviço",AT$12&lt;&gt;0,$H227&gt;0,OR(AUTOEVENTO&lt;&gt;"manual",$M227&lt;&gt;$A$15)),
        IF(Import.TipoArredondamento&lt;&gt;"TransfereGOV",
              ROUND(OFFSET($P227,0,AT$13),15-13*ORÇAMENTO!$AF$7)/$H227*OFFSET(ORÇAMENTO!$X$15,ROW(AT227)-ROW(AT$15),0),
              ROUND(ROUND(OFFSET($P227,0,AT$13),15-13*ORÇAMENTO!$AF$7)*OFFSET(ORÇAMENTO!$W$15,ROW(AT227)-ROW(AT$15),0),15-13*ORÇAMENTO!$AF$11)),
         0)</f>
        <v>0</v>
      </c>
      <c r="AU227" s="452">
        <f ca="1">IF(AND($D227="Serviço",AU$12&lt;&gt;0,$H227&gt;0,OR(AUTOEVENTO&lt;&gt;"manual",$M227&lt;&gt;$A$15)),
        IF(Import.TipoArredondamento&lt;&gt;"TransfereGOV",
              ROUND(OFFSET($P227,0,AU$13),15-13*ORÇAMENTO!$AF$7)/$H227*OFFSET(ORÇAMENTO!$X$15,ROW(AU227)-ROW(AU$15),0),
              ROUND(ROUND(OFFSET($P227,0,AU$13),15-13*ORÇAMENTO!$AF$7)*OFFSET(ORÇAMENTO!$W$15,ROW(AU227)-ROW(AU$15),0),15-13*ORÇAMENTO!$AF$11)),
         0)</f>
        <v>0</v>
      </c>
      <c r="AV227" s="452">
        <f ca="1">IF(AND($D227="Serviço",AV$12&lt;&gt;0,$H227&gt;0,OR(AUTOEVENTO&lt;&gt;"manual",$M227&lt;&gt;$A$15)),
        IF(Import.TipoArredondamento&lt;&gt;"TransfereGOV",
              ROUND(OFFSET($P227,0,AV$13),15-13*ORÇAMENTO!$AF$7)/$H227*OFFSET(ORÇAMENTO!$X$15,ROW(AV227)-ROW(AV$15),0),
              ROUND(ROUND(OFFSET($P227,0,AV$13),15-13*ORÇAMENTO!$AF$7)*OFFSET(ORÇAMENTO!$W$15,ROW(AV227)-ROW(AV$15),0),15-13*ORÇAMENTO!$AF$11)),
         0)</f>
        <v>0</v>
      </c>
      <c r="AW227" s="452">
        <f ca="1">IF(AND($D227="Serviço",AW$12&lt;&gt;0,$H227&gt;0,OR(AUTOEVENTO&lt;&gt;"manual",$M227&lt;&gt;$A$15)),
        IF(Import.TipoArredondamento&lt;&gt;"TransfereGOV",
              ROUND(OFFSET($P227,0,AW$13),15-13*ORÇAMENTO!$AF$7)/$H227*OFFSET(ORÇAMENTO!$X$15,ROW(AW227)-ROW(AW$15),0),
              ROUND(ROUND(OFFSET($P227,0,AW$13),15-13*ORÇAMENTO!$AF$7)*OFFSET(ORÇAMENTO!$W$15,ROW(AW227)-ROW(AW$15),0),15-13*ORÇAMENTO!$AF$11)),
         0)</f>
        <v>0</v>
      </c>
      <c r="AX227" s="452">
        <f ca="1">IF(AND($D227="Serviço",AX$12&lt;&gt;0,$H227&gt;0,OR(AUTOEVENTO&lt;&gt;"manual",$M227&lt;&gt;$A$15)),
        IF(Import.TipoArredondamento&lt;&gt;"TransfereGOV",
              ROUND(OFFSET($P227,0,AX$13),15-13*ORÇAMENTO!$AF$7)/$H227*OFFSET(ORÇAMENTO!$X$15,ROW(AX227)-ROW(AX$15),0),
              ROUND(ROUND(OFFSET($P227,0,AX$13),15-13*ORÇAMENTO!$AF$7)*OFFSET(ORÇAMENTO!$W$15,ROW(AX227)-ROW(AX$15),0),15-13*ORÇAMENTO!$AF$11)),
         0)</f>
        <v>0</v>
      </c>
      <c r="AY227" s="452">
        <f ca="1">IF(AND($D227="Serviço",AY$12&lt;&gt;0,$H227&gt;0,OR(AUTOEVENTO&lt;&gt;"manual",$M227&lt;&gt;$A$15)),
        IF(Import.TipoArredondamento&lt;&gt;"TransfereGOV",
              ROUND(OFFSET($P227,0,AY$13),15-13*ORÇAMENTO!$AF$7)/$H227*OFFSET(ORÇAMENTO!$X$15,ROW(AY227)-ROW(AY$15),0),
              ROUND(ROUND(OFFSET($P227,0,AY$13),15-13*ORÇAMENTO!$AF$7)*OFFSET(ORÇAMENTO!$W$15,ROW(AY227)-ROW(AY$15),0),15-13*ORÇAMENTO!$AF$11)),
         0)</f>
        <v>0</v>
      </c>
      <c r="AZ227" s="452">
        <f ca="1">IF(AND($D227="Serviço",AZ$12&lt;&gt;0,$H227&gt;0,OR(AUTOEVENTO&lt;&gt;"manual",$M227&lt;&gt;$A$15)),
        IF(Import.TipoArredondamento&lt;&gt;"TransfereGOV",
              ROUND(OFFSET($P227,0,AZ$13),15-13*ORÇAMENTO!$AF$7)/$H227*OFFSET(ORÇAMENTO!$X$15,ROW(AZ227)-ROW(AZ$15),0),
              ROUND(ROUND(OFFSET($P227,0,AZ$13),15-13*ORÇAMENTO!$AF$7)*OFFSET(ORÇAMENTO!$W$15,ROW(AZ227)-ROW(AZ$15),0),15-13*ORÇAMENTO!$AF$11)),
         0)</f>
        <v>0</v>
      </c>
      <c r="BA227" s="452">
        <f ca="1">IF(AND($D227="Serviço",BA$12&lt;&gt;0,$H227&gt;0,OR(AUTOEVENTO&lt;&gt;"manual",$M227&lt;&gt;$A$15)),
        IF(Import.TipoArredondamento&lt;&gt;"TransfereGOV",
              ROUND(OFFSET($P227,0,BA$13),15-13*ORÇAMENTO!$AF$7)/$H227*OFFSET(ORÇAMENTO!$X$15,ROW(BA227)-ROW(BA$15),0),
              ROUND(ROUND(OFFSET($P227,0,BA$13),15-13*ORÇAMENTO!$AF$7)*OFFSET(ORÇAMENTO!$W$15,ROW(BA227)-ROW(BA$15),0),15-13*ORÇAMENTO!$AF$11)),
         0)</f>
        <v>0</v>
      </c>
      <c r="BC227" s="171">
        <f ca="1">IF(OR($D227&lt;&gt;"Serviço",AND(AUTOEVENTO="Manual",$M227=$A$15)),0,
         IF(OFFSET(CRONOPLE!$F$15,$M227-$A$15,BC$13)=0,10^12,OFFSET(CRONOPLE!$F$15,$M227-$A$15,BC$13)))</f>
        <v>9</v>
      </c>
      <c r="BD227" s="171">
        <f ca="1">IF(OR($D227&lt;&gt;"Serviço",AND(AUTOEVENTO="Manual",$M227=$A$15)),0,
         IF(OFFSET(CRONOPLE!$F$15,$M227-$A$15,BD$13)=0,10^12,OFFSET(CRONOPLE!$F$15,$M227-$A$15,BD$13)))</f>
        <v>9</v>
      </c>
      <c r="BE227" s="171">
        <f ca="1">IF(OR($D227&lt;&gt;"Serviço",AND(AUTOEVENTO="Manual",$M227=$A$15)),0,
         IF(OFFSET(CRONOPLE!$F$15,$M227-$A$15,BE$13)=0,10^12,OFFSET(CRONOPLE!$F$15,$M227-$A$15,BE$13)))</f>
        <v>9</v>
      </c>
      <c r="BF227" s="171">
        <f ca="1">IF(OR($D227&lt;&gt;"Serviço",AND(AUTOEVENTO="Manual",$M227=$A$15)),0,
         IF(OFFSET(CRONOPLE!$F$15,$M227-$A$15,BF$13)=0,10^12,OFFSET(CRONOPLE!$F$15,$M227-$A$15,BF$13)))</f>
        <v>9</v>
      </c>
      <c r="BG227" s="171">
        <f ca="1">IF(OR($D227&lt;&gt;"Serviço",AND(AUTOEVENTO="Manual",$M227=$A$15)),0,
         IF(OFFSET(CRONOPLE!$F$15,$M227-$A$15,BG$13)=0,10^12,OFFSET(CRONOPLE!$F$15,$M227-$A$15,BG$13)))</f>
        <v>9</v>
      </c>
      <c r="BH227" s="171">
        <f ca="1">IF(OR($D227&lt;&gt;"Serviço",AND(AUTOEVENTO="Manual",$M227=$A$15)),0,
         IF(OFFSET(CRONOPLE!$F$15,$M227-$A$15,BH$13)=0,10^12,OFFSET(CRONOPLE!$F$15,$M227-$A$15,BH$13)))</f>
        <v>1000000000000</v>
      </c>
      <c r="BI227" s="171">
        <f ca="1">IF(OR($D227&lt;&gt;"Serviço",AND(AUTOEVENTO="Manual",$M227=$A$15)),0,
         IF(OFFSET(CRONOPLE!$F$15,$M227-$A$15,BI$13)=0,10^12,OFFSET(CRONOPLE!$F$15,$M227-$A$15,BI$13)))</f>
        <v>1000000000000</v>
      </c>
      <c r="BJ227" s="171">
        <f ca="1">IF(OR($D227&lt;&gt;"Serviço",AND(AUTOEVENTO="Manual",$M227=$A$15)),0,
         IF(OFFSET(CRONOPLE!$F$15,$M227-$A$15,BJ$13)=0,10^12,OFFSET(CRONOPLE!$F$15,$M227-$A$15,BJ$13)))</f>
        <v>1000000000000</v>
      </c>
      <c r="BK227" s="171">
        <f ca="1">IF(OR($D227&lt;&gt;"Serviço",AND(AUTOEVENTO="Manual",$M227=$A$15)),0,
         IF(OFFSET(CRONOPLE!$F$15,$M227-$A$15,BK$13)=0,10^12,OFFSET(CRONOPLE!$F$15,$M227-$A$15,BK$13)))</f>
        <v>1000000000000</v>
      </c>
      <c r="BL227" s="171">
        <f ca="1">IF(OR($D227&lt;&gt;"Serviço",AND(AUTOEVENTO="Manual",$M227=$A$15)),0,
         IF(OFFSET(CRONOPLE!$F$15,$M227-$A$15,BL$13)=0,10^12,OFFSET(CRONOPLE!$F$15,$M227-$A$15,BL$13)))</f>
        <v>1000000000000</v>
      </c>
      <c r="BM227" s="171">
        <f ca="1">IF(OR($D227&lt;&gt;"Serviço",AND(AUTOEVENTO="Manual",$M227=$A$15)),0,
         IF(OFFSET(CRONOPLE!$F$15,$M227-$A$15,BM$13)=0,10^12,OFFSET(CRONOPLE!$F$15,$M227-$A$15,BM$13)))</f>
        <v>1000000000000</v>
      </c>
      <c r="BN227" s="171">
        <f ca="1">IF(OR($D227&lt;&gt;"Serviço",AND(AUTOEVENTO="Manual",$M227=$A$15)),0,
         IF(OFFSET(CRONOPLE!$F$15,$M227-$A$15,BN$13)=0,10^12,OFFSET(CRONOPLE!$F$15,$M227-$A$15,BN$13)))</f>
        <v>1000000000000</v>
      </c>
      <c r="BO227" s="171">
        <f ca="1">IF(OR($D227&lt;&gt;"Serviço",AND(AUTOEVENTO="Manual",$M227=$A$15)),0,
         IF(OFFSET(CRONOPLE!$F$15,$M227-$A$15,BO$13)=0,10^12,OFFSET(CRONOPLE!$F$15,$M227-$A$15,BO$13)))</f>
        <v>1000000000000</v>
      </c>
      <c r="BP227" s="171">
        <f ca="1">IF(OR($D227&lt;&gt;"Serviço",AND(AUTOEVENTO="Manual",$M227=$A$15)),0,
         IF(OFFSET(CRONOPLE!$F$15,$M227-$A$15,BP$13)=0,10^12,OFFSET(CRONOPLE!$F$15,$M227-$A$15,BP$13)))</f>
        <v>1000000000000</v>
      </c>
      <c r="BQ227" s="171">
        <f ca="1">IF(OR($D227&lt;&gt;"Serviço",AND(AUTOEVENTO="Manual",$M227=$A$15)),0,
         IF(OFFSET(CRONOPLE!$F$15,$M227-$A$15,BQ$13)=0,10^12,OFFSET(CRONOPLE!$F$15,$M227-$A$15,BQ$13)))</f>
        <v>1000000000000</v>
      </c>
      <c r="BR227" s="171">
        <f ca="1">IF(OR($D227&lt;&gt;"Serviço",AND(AUTOEVENTO="Manual",$M227=$A$15)),0,
         IF(OFFSET(CRONOPLE!$F$15,$M227-$A$15,BR$13)=0,10^12,OFFSET(CRONOPLE!$F$15,$M227-$A$15,BR$13)))</f>
        <v>1000000000000</v>
      </c>
      <c r="BS227" s="171">
        <f ca="1">IF(OR($D227&lt;&gt;"Serviço",AND(AUTOEVENTO="Manual",$M227=$A$15)),0,
         IF(OFFSET(CRONOPLE!$F$15,$M227-$A$15,BS$13)=0,10^12,OFFSET(CRONOPLE!$F$15,$M227-$A$15,BS$13)))</f>
        <v>1000000000000</v>
      </c>
      <c r="BT227" s="171">
        <f ca="1">IF(OR($D227&lt;&gt;"Serviço",AND(AUTOEVENTO="Manual",$M227=$A$15)),0,
         IF(OFFSET(CRONOPLE!$F$15,$M227-$A$15,BT$13)=0,10^12,OFFSET(CRONOPLE!$F$15,$M227-$A$15,BT$13)))</f>
        <v>1000000000000</v>
      </c>
      <c r="BV227" s="172">
        <f t="array" aca="1" ref="BV227" ca="1">IF(OR($D227&lt;&gt;"Serviço",AND(AUTOEVENTO="Manual",$M227=$A$15),$M227&gt;(ROW(PLE.lastrow)-ROW(PLE.firstrow))),0,
           IF(OFFSET(PLE!$G$15,$M227-$A$15,BV$13)="",10^12,OFFSET(PLE!$G$15,$M227-$A$15,BV$13)))</f>
        <v>1000000000000</v>
      </c>
      <c r="BW227" s="172">
        <f t="array" aca="1" ref="BW227" ca="1">IF(OR($D227&lt;&gt;"Serviço",AND(AUTOEVENTO="Manual",$M227=$A$15),$M227&gt;(ROW(PLE.lastrow)-ROW(PLE.firstrow))),0,
           IF(OFFSET(PLE!$G$15,$M227-$A$15,BW$13)="",10^12,OFFSET(PLE!$G$15,$M227-$A$15,BW$13)))</f>
        <v>1000000000000</v>
      </c>
      <c r="BX227" s="172">
        <f t="array" aca="1" ref="BX227" ca="1">IF(OR($D227&lt;&gt;"Serviço",AND(AUTOEVENTO="Manual",$M227=$A$15),$M227&gt;(ROW(PLE.lastrow)-ROW(PLE.firstrow))),0,
           IF(OFFSET(PLE!$G$15,$M227-$A$15,BX$13)="",10^12,OFFSET(PLE!$G$15,$M227-$A$15,BX$13)))</f>
        <v>1000000000000</v>
      </c>
      <c r="BY227" s="172">
        <f t="array" aca="1" ref="BY227" ca="1">IF(OR($D227&lt;&gt;"Serviço",AND(AUTOEVENTO="Manual",$M227=$A$15),$M227&gt;(ROW(PLE.lastrow)-ROW(PLE.firstrow))),0,
           IF(OFFSET(PLE!$G$15,$M227-$A$15,BY$13)="",10^12,OFFSET(PLE!$G$15,$M227-$A$15,BY$13)))</f>
        <v>1000000000000</v>
      </c>
      <c r="BZ227" s="172">
        <f t="array" aca="1" ref="BZ227" ca="1">IF(OR($D227&lt;&gt;"Serviço",AND(AUTOEVENTO="Manual",$M227=$A$15),$M227&gt;(ROW(PLE.lastrow)-ROW(PLE.firstrow))),0,
           IF(OFFSET(PLE!$G$15,$M227-$A$15,BZ$13)="",10^12,OFFSET(PLE!$G$15,$M227-$A$15,BZ$13)))</f>
        <v>1000000000000</v>
      </c>
      <c r="CA227" s="172">
        <f t="array" aca="1" ref="CA227" ca="1">IF(OR($D227&lt;&gt;"Serviço",AND(AUTOEVENTO="Manual",$M227=$A$15),$M227&gt;(ROW(PLE.lastrow)-ROW(PLE.firstrow))),0,
           IF(OFFSET(PLE!$G$15,$M227-$A$15,CA$13)="",10^12,OFFSET(PLE!$G$15,$M227-$A$15,CA$13)))</f>
        <v>1000000000000</v>
      </c>
      <c r="CB227" s="172">
        <f t="array" aca="1" ref="CB227" ca="1">IF(OR($D227&lt;&gt;"Serviço",AND(AUTOEVENTO="Manual",$M227=$A$15),$M227&gt;(ROW(PLE.lastrow)-ROW(PLE.firstrow))),0,
           IF(OFFSET(PLE!$G$15,$M227-$A$15,CB$13)="",10^12,OFFSET(PLE!$G$15,$M227-$A$15,CB$13)))</f>
        <v>1000000000000</v>
      </c>
      <c r="CC227" s="172">
        <f t="array" aca="1" ref="CC227" ca="1">IF(OR($D227&lt;&gt;"Serviço",AND(AUTOEVENTO="Manual",$M227=$A$15),$M227&gt;(ROW(PLE.lastrow)-ROW(PLE.firstrow))),0,
           IF(OFFSET(PLE!$G$15,$M227-$A$15,CC$13)="",10^12,OFFSET(PLE!$G$15,$M227-$A$15,CC$13)))</f>
        <v>1000000000000</v>
      </c>
      <c r="CD227" s="172">
        <f t="array" aca="1" ref="CD227" ca="1">IF(OR($D227&lt;&gt;"Serviço",AND(AUTOEVENTO="Manual",$M227=$A$15),$M227&gt;(ROW(PLE.lastrow)-ROW(PLE.firstrow))),0,
           IF(OFFSET(PLE!$G$15,$M227-$A$15,CD$13)="",10^12,OFFSET(PLE!$G$15,$M227-$A$15,CD$13)))</f>
        <v>1000000000000</v>
      </c>
      <c r="CE227" s="172">
        <f t="array" aca="1" ref="CE227" ca="1">IF(OR($D227&lt;&gt;"Serviço",AND(AUTOEVENTO="Manual",$M227=$A$15),$M227&gt;(ROW(PLE.lastrow)-ROW(PLE.firstrow))),0,
           IF(OFFSET(PLE!$G$15,$M227-$A$15,CE$13)="",10^12,OFFSET(PLE!$G$15,$M227-$A$15,CE$13)))</f>
        <v>1000000000000</v>
      </c>
      <c r="CF227" s="172">
        <f t="array" aca="1" ref="CF227" ca="1">IF(OR($D227&lt;&gt;"Serviço",AND(AUTOEVENTO="Manual",$M227=$A$15),$M227&gt;(ROW(PLE.lastrow)-ROW(PLE.firstrow))),0,
           IF(OFFSET(PLE!$G$15,$M227-$A$15,CF$13)="",10^12,OFFSET(PLE!$G$15,$M227-$A$15,CF$13)))</f>
        <v>1000000000000</v>
      </c>
      <c r="CG227" s="172">
        <f t="array" aca="1" ref="CG227" ca="1">IF(OR($D227&lt;&gt;"Serviço",AND(AUTOEVENTO="Manual",$M227=$A$15),$M227&gt;(ROW(PLE.lastrow)-ROW(PLE.firstrow))),0,
           IF(OFFSET(PLE!$G$15,$M227-$A$15,CG$13)="",10^12,OFFSET(PLE!$G$15,$M227-$A$15,CG$13)))</f>
        <v>1000000000000</v>
      </c>
      <c r="CH227" s="172">
        <f t="array" aca="1" ref="CH227" ca="1">IF(OR($D227&lt;&gt;"Serviço",AND(AUTOEVENTO="Manual",$M227=$A$15),$M227&gt;(ROW(PLE.lastrow)-ROW(PLE.firstrow))),0,
           IF(OFFSET(PLE!$G$15,$M227-$A$15,CH$13)="",10^12,OFFSET(PLE!$G$15,$M227-$A$15,CH$13)))</f>
        <v>1000000000000</v>
      </c>
      <c r="CI227" s="172">
        <f t="array" aca="1" ref="CI227" ca="1">IF(OR($D227&lt;&gt;"Serviço",AND(AUTOEVENTO="Manual",$M227=$A$15),$M227&gt;(ROW(PLE.lastrow)-ROW(PLE.firstrow))),0,
           IF(OFFSET(PLE!$G$15,$M227-$A$15,CI$13)="",10^12,OFFSET(PLE!$G$15,$M227-$A$15,CI$13)))</f>
        <v>1000000000000</v>
      </c>
      <c r="CJ227" s="172">
        <f t="array" aca="1" ref="CJ227" ca="1">IF(OR($D227&lt;&gt;"Serviço",AND(AUTOEVENTO="Manual",$M227=$A$15),$M227&gt;(ROW(PLE.lastrow)-ROW(PLE.firstrow))),0,
           IF(OFFSET(PLE!$G$15,$M227-$A$15,CJ$13)="",10^12,OFFSET(PLE!$G$15,$M227-$A$15,CJ$13)))</f>
        <v>1000000000000</v>
      </c>
      <c r="CK227" s="172">
        <f t="array" aca="1" ref="CK227" ca="1">IF(OR($D227&lt;&gt;"Serviço",AND(AUTOEVENTO="Manual",$M227=$A$15),$M227&gt;(ROW(PLE.lastrow)-ROW(PLE.firstrow))),0,
           IF(OFFSET(PLE!$G$15,$M227-$A$15,CK$13)="",10^12,OFFSET(PLE!$G$15,$M227-$A$15,CK$13)))</f>
        <v>1000000000000</v>
      </c>
      <c r="CL227" s="172">
        <f t="array" aca="1" ref="CL227" ca="1">IF(OR($D227&lt;&gt;"Serviço",AND(AUTOEVENTO="Manual",$M227=$A$15),$M227&gt;(ROW(PLE.lastrow)-ROW(PLE.firstrow))),0,
           IF(OFFSET(PLE!$G$15,$M227-$A$15,CL$13)="",10^12,OFFSET(PLE!$G$15,$M227-$A$15,CL$13)))</f>
        <v>1000000000000</v>
      </c>
      <c r="CM227" s="172">
        <f t="array" aca="1" ref="CM227" ca="1">IF(OR($D227&lt;&gt;"Serviço",AND(AUTOEVENTO="Manual",$M227=$A$15),$M227&gt;(ROW(PLE.lastrow)-ROW(PLE.firstrow))),0,
           IF(OFFSET(PLE!$G$15,$M227-$A$15,CM$13)="",10^12,OFFSET(PLE!$G$15,$M227-$A$15,CM$13)))</f>
        <v>1000000000000</v>
      </c>
    </row>
    <row r="228" spans="1:91" s="696" customFormat="1" ht="51" x14ac:dyDescent="0.2">
      <c r="A228" s="694">
        <f t="shared" ca="1" si="98"/>
        <v>41</v>
      </c>
      <c r="B228" s="694" t="str">
        <f ca="1">OFFSET(ORÇAMENTO!C$15,$L228,0)</f>
        <v>S</v>
      </c>
      <c r="C228" s="694" t="str">
        <f ca="1">OFFSET(ORÇAMENTO!L$15,$L228,0)</f>
        <v>F</v>
      </c>
      <c r="D228" s="116" t="str">
        <f ca="1">OFFSET(ORÇAMENTO!N$15,$L228,0)</f>
        <v>Serviço</v>
      </c>
      <c r="E228" s="117" t="str">
        <f ca="1">OFFSET(ORÇAMENTO!O$15,$L228,0)</f>
        <v>1.34.3.</v>
      </c>
      <c r="F228" s="163" t="str">
        <f ca="1">OFFSET(ORÇAMENTO!R$15,$L228,0)</f>
        <v>LIMPEZA DE CONTRAPISO COM VASSOURA A SECO. AF_04/2019</v>
      </c>
      <c r="G228" s="164" t="str">
        <f ca="1">IF($D228&lt;&gt;"Serviço","",OFFSET(ORÇAMENTO!S$15,$L228,0))</f>
        <v>M2</v>
      </c>
      <c r="H228" s="122">
        <f t="array" aca="1" ref="H228" ca="1">IF($D228&lt;&gt;"Serviço",0,IF(ACOMPANHAMENTO="BM",ROUND(OFFSET(ORÇAMENTO!AJ$15,$L228,0),15-13*ORÇAMENTO!$AF$7),IF(IFERROR(CÁLCULO.FrentesPreenchidas,0)=0,0,SUM(ROUND(OFFSET($P228,0,1,1,CÁLCULO.FrentesPreenchidas),15-13*ORÇAMENTO!$AF$7)))))</f>
        <v>323</v>
      </c>
      <c r="I228" s="467" t="s">
        <v>1347</v>
      </c>
      <c r="J228" s="653" t="str">
        <f t="array" aca="1" ref="J228" ca="1">IF(OR(B228&lt;&gt;"S",CÁLCULO.FrentesPreenchidas=0),"",IF(AND(ACOMPANHAMENTO="PLE",AUTOEVENTO="Manual",OR(H228&gt;0,ORÇAMENTO!AC228="QUANT."),OR(K228="",M228=0,N228="")),"►E",IF(AND(ACOMPANHAMENTO="PLE",ORÇAMENTO!AC228="QUANT."),"►Q",IF(AND(ACOMPANHAMENTO="PLE",H228&lt;&gt;SUMPRODUCT(($Q$1:$AI$1=1)*ROUND(Q228:AI228,15))),"►S",IF(AND(COUNTIF($P$11:$AI$11,"▼")=0,H228&gt;0,I228=""),"◄M","")))))</f>
        <v/>
      </c>
      <c r="K228" s="654" t="s">
        <v>1451</v>
      </c>
      <c r="L228" s="165">
        <f t="shared" ca="1" si="99"/>
        <v>213</v>
      </c>
      <c r="M228" s="166">
        <f ca="1">IF($D228&lt;&gt;"Serviço","",
          IF(AUTOEVENTO="manual",$A228,
                IF(ISERROR(MATCH($A228,$A$15:OFFSET($A228,-1,0),0)),MAX($M$15:OFFSET(M228,-1,0))+1,
                      INDEX($M$15:OFFSET(M228,-1,0),MATCH($A228,$A$15:OFFSET($A228,-1,0),0)))))</f>
        <v>41</v>
      </c>
      <c r="N228" s="167" t="str">
        <f ca="1">IF($D228&lt;&gt;"Serviço","",
         IF(AUTOEVENTO="Manual",
                IF($A228=0,"&lt;-- defina o número do agrupador",
                       OFFSET(EVENTOS!$D$15,$A228-$A$15,0)),
                OFFSET($F$15,$A228,0)))</f>
        <v>LIMPEZA FINAL DA OBRA</v>
      </c>
      <c r="O228" s="168"/>
      <c r="Q228" s="169">
        <f>16.15*5</f>
        <v>80.75</v>
      </c>
      <c r="R228" s="169">
        <f t="shared" ref="R228:T228" si="104">16.15*5</f>
        <v>80.75</v>
      </c>
      <c r="S228" s="169">
        <f t="shared" si="104"/>
        <v>80.75</v>
      </c>
      <c r="T228" s="169">
        <f t="shared" si="104"/>
        <v>80.75</v>
      </c>
      <c r="U228" s="169"/>
      <c r="V228" s="169"/>
      <c r="W228" s="169"/>
      <c r="X228" s="169"/>
      <c r="Y228" s="169"/>
      <c r="Z228" s="170"/>
      <c r="AA228" s="169"/>
      <c r="AB228" s="169"/>
      <c r="AC228" s="169"/>
      <c r="AD228" s="169"/>
      <c r="AE228" s="169"/>
      <c r="AF228" s="169"/>
      <c r="AG228" s="169"/>
      <c r="AH228" s="170"/>
      <c r="AJ228" s="452">
        <f ca="1">IF(AND($D228="Serviço",AJ$12&lt;&gt;0,$H228&gt;0,OR(AUTOEVENTO&lt;&gt;"manual",$M228&lt;&gt;$A$15)),
        IF(Import.TipoArredondamento&lt;&gt;"TransfereGOV",
              ROUND(OFFSET($P228,0,AJ$13),15-13*ORÇAMENTO!$AF$7)/$H228*OFFSET(ORÇAMENTO!$X$15,ROW(AJ228)-ROW(AJ$15),0),
              ROUND(ROUND(OFFSET($P228,0,AJ$13),15-13*ORÇAMENTO!$AF$7)*OFFSET(ORÇAMENTO!$W$15,ROW(AJ228)-ROW(AJ$15),0),15-13*ORÇAMENTO!$AF$11)),
         0)</f>
        <v>340.77</v>
      </c>
      <c r="AK228" s="452">
        <f ca="1">IF(AND($D228="Serviço",AK$12&lt;&gt;0,$H228&gt;0,OR(AUTOEVENTO&lt;&gt;"manual",$M228&lt;&gt;$A$15)),
        IF(Import.TipoArredondamento&lt;&gt;"TransfereGOV",
              ROUND(OFFSET($P228,0,AK$13),15-13*ORÇAMENTO!$AF$7)/$H228*OFFSET(ORÇAMENTO!$X$15,ROW(AK228)-ROW(AK$15),0),
              ROUND(ROUND(OFFSET($P228,0,AK$13),15-13*ORÇAMENTO!$AF$7)*OFFSET(ORÇAMENTO!$W$15,ROW(AK228)-ROW(AK$15),0),15-13*ORÇAMENTO!$AF$11)),
         0)</f>
        <v>340.77</v>
      </c>
      <c r="AL228" s="452">
        <f ca="1">IF(AND($D228="Serviço",AL$12&lt;&gt;0,$H228&gt;0,OR(AUTOEVENTO&lt;&gt;"manual",$M228&lt;&gt;$A$15)),
        IF(Import.TipoArredondamento&lt;&gt;"TransfereGOV",
              ROUND(OFFSET($P228,0,AL$13),15-13*ORÇAMENTO!$AF$7)/$H228*OFFSET(ORÇAMENTO!$X$15,ROW(AL228)-ROW(AL$15),0),
              ROUND(ROUND(OFFSET($P228,0,AL$13),15-13*ORÇAMENTO!$AF$7)*OFFSET(ORÇAMENTO!$W$15,ROW(AL228)-ROW(AL$15),0),15-13*ORÇAMENTO!$AF$11)),
         0)</f>
        <v>340.77</v>
      </c>
      <c r="AM228" s="452">
        <f ca="1">IF(AND($D228="Serviço",AM$12&lt;&gt;0,$H228&gt;0,OR(AUTOEVENTO&lt;&gt;"manual",$M228&lt;&gt;$A$15)),
        IF(Import.TipoArredondamento&lt;&gt;"TransfereGOV",
              ROUND(OFFSET($P228,0,AM$13),15-13*ORÇAMENTO!$AF$7)/$H228*OFFSET(ORÇAMENTO!$X$15,ROW(AM228)-ROW(AM$15),0),
              ROUND(ROUND(OFFSET($P228,0,AM$13),15-13*ORÇAMENTO!$AF$7)*OFFSET(ORÇAMENTO!$W$15,ROW(AM228)-ROW(AM$15),0),15-13*ORÇAMENTO!$AF$11)),
         0)</f>
        <v>340.77</v>
      </c>
      <c r="AN228" s="452">
        <f ca="1">IF(AND($D228="Serviço",AN$12&lt;&gt;0,$H228&gt;0,OR(AUTOEVENTO&lt;&gt;"manual",$M228&lt;&gt;$A$15)),
        IF(Import.TipoArredondamento&lt;&gt;"TransfereGOV",
              ROUND(OFFSET($P228,0,AN$13),15-13*ORÇAMENTO!$AF$7)/$H228*OFFSET(ORÇAMENTO!$X$15,ROW(AN228)-ROW(AN$15),0),
              ROUND(ROUND(OFFSET($P228,0,AN$13),15-13*ORÇAMENTO!$AF$7)*OFFSET(ORÇAMENTO!$W$15,ROW(AN228)-ROW(AN$15),0),15-13*ORÇAMENTO!$AF$11)),
         0)</f>
        <v>0</v>
      </c>
      <c r="AO228" s="452">
        <f ca="1">IF(AND($D228="Serviço",AO$12&lt;&gt;0,$H228&gt;0,OR(AUTOEVENTO&lt;&gt;"manual",$M228&lt;&gt;$A$15)),
        IF(Import.TipoArredondamento&lt;&gt;"TransfereGOV",
              ROUND(OFFSET($P228,0,AO$13),15-13*ORÇAMENTO!$AF$7)/$H228*OFFSET(ORÇAMENTO!$X$15,ROW(AO228)-ROW(AO$15),0),
              ROUND(ROUND(OFFSET($P228,0,AO$13),15-13*ORÇAMENTO!$AF$7)*OFFSET(ORÇAMENTO!$W$15,ROW(AO228)-ROW(AO$15),0),15-13*ORÇAMENTO!$AF$11)),
         0)</f>
        <v>0</v>
      </c>
      <c r="AP228" s="452">
        <f ca="1">IF(AND($D228="Serviço",AP$12&lt;&gt;0,$H228&gt;0,OR(AUTOEVENTO&lt;&gt;"manual",$M228&lt;&gt;$A$15)),
        IF(Import.TipoArredondamento&lt;&gt;"TransfereGOV",
              ROUND(OFFSET($P228,0,AP$13),15-13*ORÇAMENTO!$AF$7)/$H228*OFFSET(ORÇAMENTO!$X$15,ROW(AP228)-ROW(AP$15),0),
              ROUND(ROUND(OFFSET($P228,0,AP$13),15-13*ORÇAMENTO!$AF$7)*OFFSET(ORÇAMENTO!$W$15,ROW(AP228)-ROW(AP$15),0),15-13*ORÇAMENTO!$AF$11)),
         0)</f>
        <v>0</v>
      </c>
      <c r="AQ228" s="452">
        <f ca="1">IF(AND($D228="Serviço",AQ$12&lt;&gt;0,$H228&gt;0,OR(AUTOEVENTO&lt;&gt;"manual",$M228&lt;&gt;$A$15)),
        IF(Import.TipoArredondamento&lt;&gt;"TransfereGOV",
              ROUND(OFFSET($P228,0,AQ$13),15-13*ORÇAMENTO!$AF$7)/$H228*OFFSET(ORÇAMENTO!$X$15,ROW(AQ228)-ROW(AQ$15),0),
              ROUND(ROUND(OFFSET($P228,0,AQ$13),15-13*ORÇAMENTO!$AF$7)*OFFSET(ORÇAMENTO!$W$15,ROW(AQ228)-ROW(AQ$15),0),15-13*ORÇAMENTO!$AF$11)),
         0)</f>
        <v>0</v>
      </c>
      <c r="AR228" s="452">
        <f ca="1">IF(AND($D228="Serviço",AR$12&lt;&gt;0,$H228&gt;0,OR(AUTOEVENTO&lt;&gt;"manual",$M228&lt;&gt;$A$15)),
        IF(Import.TipoArredondamento&lt;&gt;"TransfereGOV",
              ROUND(OFFSET($P228,0,AR$13),15-13*ORÇAMENTO!$AF$7)/$H228*OFFSET(ORÇAMENTO!$X$15,ROW(AR228)-ROW(AR$15),0),
              ROUND(ROUND(OFFSET($P228,0,AR$13),15-13*ORÇAMENTO!$AF$7)*OFFSET(ORÇAMENTO!$W$15,ROW(AR228)-ROW(AR$15),0),15-13*ORÇAMENTO!$AF$11)),
         0)</f>
        <v>0</v>
      </c>
      <c r="AS228" s="452">
        <f ca="1">IF(AND($D228="Serviço",AS$12&lt;&gt;0,$H228&gt;0,OR(AUTOEVENTO&lt;&gt;"manual",$M228&lt;&gt;$A$15)),
        IF(Import.TipoArredondamento&lt;&gt;"TransfereGOV",
              ROUND(OFFSET($P228,0,AS$13),15-13*ORÇAMENTO!$AF$7)/$H228*OFFSET(ORÇAMENTO!$X$15,ROW(AS228)-ROW(AS$15),0),
              ROUND(ROUND(OFFSET($P228,0,AS$13),15-13*ORÇAMENTO!$AF$7)*OFFSET(ORÇAMENTO!$W$15,ROW(AS228)-ROW(AS$15),0),15-13*ORÇAMENTO!$AF$11)),
         0)</f>
        <v>0</v>
      </c>
      <c r="AT228" s="452">
        <f ca="1">IF(AND($D228="Serviço",AT$12&lt;&gt;0,$H228&gt;0,OR(AUTOEVENTO&lt;&gt;"manual",$M228&lt;&gt;$A$15)),
        IF(Import.TipoArredondamento&lt;&gt;"TransfereGOV",
              ROUND(OFFSET($P228,0,AT$13),15-13*ORÇAMENTO!$AF$7)/$H228*OFFSET(ORÇAMENTO!$X$15,ROW(AT228)-ROW(AT$15),0),
              ROUND(ROUND(OFFSET($P228,0,AT$13),15-13*ORÇAMENTO!$AF$7)*OFFSET(ORÇAMENTO!$W$15,ROW(AT228)-ROW(AT$15),0),15-13*ORÇAMENTO!$AF$11)),
         0)</f>
        <v>0</v>
      </c>
      <c r="AU228" s="452">
        <f ca="1">IF(AND($D228="Serviço",AU$12&lt;&gt;0,$H228&gt;0,OR(AUTOEVENTO&lt;&gt;"manual",$M228&lt;&gt;$A$15)),
        IF(Import.TipoArredondamento&lt;&gt;"TransfereGOV",
              ROUND(OFFSET($P228,0,AU$13),15-13*ORÇAMENTO!$AF$7)/$H228*OFFSET(ORÇAMENTO!$X$15,ROW(AU228)-ROW(AU$15),0),
              ROUND(ROUND(OFFSET($P228,0,AU$13),15-13*ORÇAMENTO!$AF$7)*OFFSET(ORÇAMENTO!$W$15,ROW(AU228)-ROW(AU$15),0),15-13*ORÇAMENTO!$AF$11)),
         0)</f>
        <v>0</v>
      </c>
      <c r="AV228" s="452">
        <f ca="1">IF(AND($D228="Serviço",AV$12&lt;&gt;0,$H228&gt;0,OR(AUTOEVENTO&lt;&gt;"manual",$M228&lt;&gt;$A$15)),
        IF(Import.TipoArredondamento&lt;&gt;"TransfereGOV",
              ROUND(OFFSET($P228,0,AV$13),15-13*ORÇAMENTO!$AF$7)/$H228*OFFSET(ORÇAMENTO!$X$15,ROW(AV228)-ROW(AV$15),0),
              ROUND(ROUND(OFFSET($P228,0,AV$13),15-13*ORÇAMENTO!$AF$7)*OFFSET(ORÇAMENTO!$W$15,ROW(AV228)-ROW(AV$15),0),15-13*ORÇAMENTO!$AF$11)),
         0)</f>
        <v>0</v>
      </c>
      <c r="AW228" s="452">
        <f ca="1">IF(AND($D228="Serviço",AW$12&lt;&gt;0,$H228&gt;0,OR(AUTOEVENTO&lt;&gt;"manual",$M228&lt;&gt;$A$15)),
        IF(Import.TipoArredondamento&lt;&gt;"TransfereGOV",
              ROUND(OFFSET($P228,0,AW$13),15-13*ORÇAMENTO!$AF$7)/$H228*OFFSET(ORÇAMENTO!$X$15,ROW(AW228)-ROW(AW$15),0),
              ROUND(ROUND(OFFSET($P228,0,AW$13),15-13*ORÇAMENTO!$AF$7)*OFFSET(ORÇAMENTO!$W$15,ROW(AW228)-ROW(AW$15),0),15-13*ORÇAMENTO!$AF$11)),
         0)</f>
        <v>0</v>
      </c>
      <c r="AX228" s="452">
        <f ca="1">IF(AND($D228="Serviço",AX$12&lt;&gt;0,$H228&gt;0,OR(AUTOEVENTO&lt;&gt;"manual",$M228&lt;&gt;$A$15)),
        IF(Import.TipoArredondamento&lt;&gt;"TransfereGOV",
              ROUND(OFFSET($P228,0,AX$13),15-13*ORÇAMENTO!$AF$7)/$H228*OFFSET(ORÇAMENTO!$X$15,ROW(AX228)-ROW(AX$15),0),
              ROUND(ROUND(OFFSET($P228,0,AX$13),15-13*ORÇAMENTO!$AF$7)*OFFSET(ORÇAMENTO!$W$15,ROW(AX228)-ROW(AX$15),0),15-13*ORÇAMENTO!$AF$11)),
         0)</f>
        <v>0</v>
      </c>
      <c r="AY228" s="452">
        <f ca="1">IF(AND($D228="Serviço",AY$12&lt;&gt;0,$H228&gt;0,OR(AUTOEVENTO&lt;&gt;"manual",$M228&lt;&gt;$A$15)),
        IF(Import.TipoArredondamento&lt;&gt;"TransfereGOV",
              ROUND(OFFSET($P228,0,AY$13),15-13*ORÇAMENTO!$AF$7)/$H228*OFFSET(ORÇAMENTO!$X$15,ROW(AY228)-ROW(AY$15),0),
              ROUND(ROUND(OFFSET($P228,0,AY$13),15-13*ORÇAMENTO!$AF$7)*OFFSET(ORÇAMENTO!$W$15,ROW(AY228)-ROW(AY$15),0),15-13*ORÇAMENTO!$AF$11)),
         0)</f>
        <v>0</v>
      </c>
      <c r="AZ228" s="452">
        <f ca="1">IF(AND($D228="Serviço",AZ$12&lt;&gt;0,$H228&gt;0,OR(AUTOEVENTO&lt;&gt;"manual",$M228&lt;&gt;$A$15)),
        IF(Import.TipoArredondamento&lt;&gt;"TransfereGOV",
              ROUND(OFFSET($P228,0,AZ$13),15-13*ORÇAMENTO!$AF$7)/$H228*OFFSET(ORÇAMENTO!$X$15,ROW(AZ228)-ROW(AZ$15),0),
              ROUND(ROUND(OFFSET($P228,0,AZ$13),15-13*ORÇAMENTO!$AF$7)*OFFSET(ORÇAMENTO!$W$15,ROW(AZ228)-ROW(AZ$15),0),15-13*ORÇAMENTO!$AF$11)),
         0)</f>
        <v>0</v>
      </c>
      <c r="BA228" s="452">
        <f ca="1">IF(AND($D228="Serviço",BA$12&lt;&gt;0,$H228&gt;0,OR(AUTOEVENTO&lt;&gt;"manual",$M228&lt;&gt;$A$15)),
        IF(Import.TipoArredondamento&lt;&gt;"TransfereGOV",
              ROUND(OFFSET($P228,0,BA$13),15-13*ORÇAMENTO!$AF$7)/$H228*OFFSET(ORÇAMENTO!$X$15,ROW(BA228)-ROW(BA$15),0),
              ROUND(ROUND(OFFSET($P228,0,BA$13),15-13*ORÇAMENTO!$AF$7)*OFFSET(ORÇAMENTO!$W$15,ROW(BA228)-ROW(BA$15),0),15-13*ORÇAMENTO!$AF$11)),
         0)</f>
        <v>0</v>
      </c>
      <c r="BC228" s="171">
        <f ca="1">IF(OR($D228&lt;&gt;"Serviço",AND(AUTOEVENTO="Manual",$M228=$A$15)),0,
         IF(OFFSET(CRONOPLE!$F$15,$M228-$A$15,BC$13)=0,10^12,OFFSET(CRONOPLE!$F$15,$M228-$A$15,BC$13)))</f>
        <v>9</v>
      </c>
      <c r="BD228" s="171">
        <f ca="1">IF(OR($D228&lt;&gt;"Serviço",AND(AUTOEVENTO="Manual",$M228=$A$15)),0,
         IF(OFFSET(CRONOPLE!$F$15,$M228-$A$15,BD$13)=0,10^12,OFFSET(CRONOPLE!$F$15,$M228-$A$15,BD$13)))</f>
        <v>9</v>
      </c>
      <c r="BE228" s="171">
        <f ca="1">IF(OR($D228&lt;&gt;"Serviço",AND(AUTOEVENTO="Manual",$M228=$A$15)),0,
         IF(OFFSET(CRONOPLE!$F$15,$M228-$A$15,BE$13)=0,10^12,OFFSET(CRONOPLE!$F$15,$M228-$A$15,BE$13)))</f>
        <v>9</v>
      </c>
      <c r="BF228" s="171">
        <f ca="1">IF(OR($D228&lt;&gt;"Serviço",AND(AUTOEVENTO="Manual",$M228=$A$15)),0,
         IF(OFFSET(CRONOPLE!$F$15,$M228-$A$15,BF$13)=0,10^12,OFFSET(CRONOPLE!$F$15,$M228-$A$15,BF$13)))</f>
        <v>9</v>
      </c>
      <c r="BG228" s="171">
        <f ca="1">IF(OR($D228&lt;&gt;"Serviço",AND(AUTOEVENTO="Manual",$M228=$A$15)),0,
         IF(OFFSET(CRONOPLE!$F$15,$M228-$A$15,BG$13)=0,10^12,OFFSET(CRONOPLE!$F$15,$M228-$A$15,BG$13)))</f>
        <v>9</v>
      </c>
      <c r="BH228" s="171">
        <f ca="1">IF(OR($D228&lt;&gt;"Serviço",AND(AUTOEVENTO="Manual",$M228=$A$15)),0,
         IF(OFFSET(CRONOPLE!$F$15,$M228-$A$15,BH$13)=0,10^12,OFFSET(CRONOPLE!$F$15,$M228-$A$15,BH$13)))</f>
        <v>1000000000000</v>
      </c>
      <c r="BI228" s="171">
        <f ca="1">IF(OR($D228&lt;&gt;"Serviço",AND(AUTOEVENTO="Manual",$M228=$A$15)),0,
         IF(OFFSET(CRONOPLE!$F$15,$M228-$A$15,BI$13)=0,10^12,OFFSET(CRONOPLE!$F$15,$M228-$A$15,BI$13)))</f>
        <v>1000000000000</v>
      </c>
      <c r="BJ228" s="171">
        <f ca="1">IF(OR($D228&lt;&gt;"Serviço",AND(AUTOEVENTO="Manual",$M228=$A$15)),0,
         IF(OFFSET(CRONOPLE!$F$15,$M228-$A$15,BJ$13)=0,10^12,OFFSET(CRONOPLE!$F$15,$M228-$A$15,BJ$13)))</f>
        <v>1000000000000</v>
      </c>
      <c r="BK228" s="171">
        <f ca="1">IF(OR($D228&lt;&gt;"Serviço",AND(AUTOEVENTO="Manual",$M228=$A$15)),0,
         IF(OFFSET(CRONOPLE!$F$15,$M228-$A$15,BK$13)=0,10^12,OFFSET(CRONOPLE!$F$15,$M228-$A$15,BK$13)))</f>
        <v>1000000000000</v>
      </c>
      <c r="BL228" s="171">
        <f ca="1">IF(OR($D228&lt;&gt;"Serviço",AND(AUTOEVENTO="Manual",$M228=$A$15)),0,
         IF(OFFSET(CRONOPLE!$F$15,$M228-$A$15,BL$13)=0,10^12,OFFSET(CRONOPLE!$F$15,$M228-$A$15,BL$13)))</f>
        <v>1000000000000</v>
      </c>
      <c r="BM228" s="171">
        <f ca="1">IF(OR($D228&lt;&gt;"Serviço",AND(AUTOEVENTO="Manual",$M228=$A$15)),0,
         IF(OFFSET(CRONOPLE!$F$15,$M228-$A$15,BM$13)=0,10^12,OFFSET(CRONOPLE!$F$15,$M228-$A$15,BM$13)))</f>
        <v>1000000000000</v>
      </c>
      <c r="BN228" s="171">
        <f ca="1">IF(OR($D228&lt;&gt;"Serviço",AND(AUTOEVENTO="Manual",$M228=$A$15)),0,
         IF(OFFSET(CRONOPLE!$F$15,$M228-$A$15,BN$13)=0,10^12,OFFSET(CRONOPLE!$F$15,$M228-$A$15,BN$13)))</f>
        <v>1000000000000</v>
      </c>
      <c r="BO228" s="171">
        <f ca="1">IF(OR($D228&lt;&gt;"Serviço",AND(AUTOEVENTO="Manual",$M228=$A$15)),0,
         IF(OFFSET(CRONOPLE!$F$15,$M228-$A$15,BO$13)=0,10^12,OFFSET(CRONOPLE!$F$15,$M228-$A$15,BO$13)))</f>
        <v>1000000000000</v>
      </c>
      <c r="BP228" s="171">
        <f ca="1">IF(OR($D228&lt;&gt;"Serviço",AND(AUTOEVENTO="Manual",$M228=$A$15)),0,
         IF(OFFSET(CRONOPLE!$F$15,$M228-$A$15,BP$13)=0,10^12,OFFSET(CRONOPLE!$F$15,$M228-$A$15,BP$13)))</f>
        <v>1000000000000</v>
      </c>
      <c r="BQ228" s="171">
        <f ca="1">IF(OR($D228&lt;&gt;"Serviço",AND(AUTOEVENTO="Manual",$M228=$A$15)),0,
         IF(OFFSET(CRONOPLE!$F$15,$M228-$A$15,BQ$13)=0,10^12,OFFSET(CRONOPLE!$F$15,$M228-$A$15,BQ$13)))</f>
        <v>1000000000000</v>
      </c>
      <c r="BR228" s="171">
        <f ca="1">IF(OR($D228&lt;&gt;"Serviço",AND(AUTOEVENTO="Manual",$M228=$A$15)),0,
         IF(OFFSET(CRONOPLE!$F$15,$M228-$A$15,BR$13)=0,10^12,OFFSET(CRONOPLE!$F$15,$M228-$A$15,BR$13)))</f>
        <v>1000000000000</v>
      </c>
      <c r="BS228" s="171">
        <f ca="1">IF(OR($D228&lt;&gt;"Serviço",AND(AUTOEVENTO="Manual",$M228=$A$15)),0,
         IF(OFFSET(CRONOPLE!$F$15,$M228-$A$15,BS$13)=0,10^12,OFFSET(CRONOPLE!$F$15,$M228-$A$15,BS$13)))</f>
        <v>1000000000000</v>
      </c>
      <c r="BT228" s="171">
        <f ca="1">IF(OR($D228&lt;&gt;"Serviço",AND(AUTOEVENTO="Manual",$M228=$A$15)),0,
         IF(OFFSET(CRONOPLE!$F$15,$M228-$A$15,BT$13)=0,10^12,OFFSET(CRONOPLE!$F$15,$M228-$A$15,BT$13)))</f>
        <v>1000000000000</v>
      </c>
      <c r="BV228" s="172">
        <f t="array" aca="1" ref="BV228" ca="1">IF(OR($D228&lt;&gt;"Serviço",AND(AUTOEVENTO="Manual",$M228=$A$15),$M228&gt;(ROW(PLE.lastrow)-ROW(PLE.firstrow))),0,
           IF(OFFSET(PLE!$G$15,$M228-$A$15,BV$13)="",10^12,OFFSET(PLE!$G$15,$M228-$A$15,BV$13)))</f>
        <v>1000000000000</v>
      </c>
      <c r="BW228" s="172">
        <f t="array" aca="1" ref="BW228" ca="1">IF(OR($D228&lt;&gt;"Serviço",AND(AUTOEVENTO="Manual",$M228=$A$15),$M228&gt;(ROW(PLE.lastrow)-ROW(PLE.firstrow))),0,
           IF(OFFSET(PLE!$G$15,$M228-$A$15,BW$13)="",10^12,OFFSET(PLE!$G$15,$M228-$A$15,BW$13)))</f>
        <v>1000000000000</v>
      </c>
      <c r="BX228" s="172">
        <f t="array" aca="1" ref="BX228" ca="1">IF(OR($D228&lt;&gt;"Serviço",AND(AUTOEVENTO="Manual",$M228=$A$15),$M228&gt;(ROW(PLE.lastrow)-ROW(PLE.firstrow))),0,
           IF(OFFSET(PLE!$G$15,$M228-$A$15,BX$13)="",10^12,OFFSET(PLE!$G$15,$M228-$A$15,BX$13)))</f>
        <v>1000000000000</v>
      </c>
      <c r="BY228" s="172">
        <f t="array" aca="1" ref="BY228" ca="1">IF(OR($D228&lt;&gt;"Serviço",AND(AUTOEVENTO="Manual",$M228=$A$15),$M228&gt;(ROW(PLE.lastrow)-ROW(PLE.firstrow))),0,
           IF(OFFSET(PLE!$G$15,$M228-$A$15,BY$13)="",10^12,OFFSET(PLE!$G$15,$M228-$A$15,BY$13)))</f>
        <v>1000000000000</v>
      </c>
      <c r="BZ228" s="172">
        <f t="array" aca="1" ref="BZ228" ca="1">IF(OR($D228&lt;&gt;"Serviço",AND(AUTOEVENTO="Manual",$M228=$A$15),$M228&gt;(ROW(PLE.lastrow)-ROW(PLE.firstrow))),0,
           IF(OFFSET(PLE!$G$15,$M228-$A$15,BZ$13)="",10^12,OFFSET(PLE!$G$15,$M228-$A$15,BZ$13)))</f>
        <v>1000000000000</v>
      </c>
      <c r="CA228" s="172">
        <f t="array" aca="1" ref="CA228" ca="1">IF(OR($D228&lt;&gt;"Serviço",AND(AUTOEVENTO="Manual",$M228=$A$15),$M228&gt;(ROW(PLE.lastrow)-ROW(PLE.firstrow))),0,
           IF(OFFSET(PLE!$G$15,$M228-$A$15,CA$13)="",10^12,OFFSET(PLE!$G$15,$M228-$A$15,CA$13)))</f>
        <v>1000000000000</v>
      </c>
      <c r="CB228" s="172">
        <f t="array" aca="1" ref="CB228" ca="1">IF(OR($D228&lt;&gt;"Serviço",AND(AUTOEVENTO="Manual",$M228=$A$15),$M228&gt;(ROW(PLE.lastrow)-ROW(PLE.firstrow))),0,
           IF(OFFSET(PLE!$G$15,$M228-$A$15,CB$13)="",10^12,OFFSET(PLE!$G$15,$M228-$A$15,CB$13)))</f>
        <v>1000000000000</v>
      </c>
      <c r="CC228" s="172">
        <f t="array" aca="1" ref="CC228" ca="1">IF(OR($D228&lt;&gt;"Serviço",AND(AUTOEVENTO="Manual",$M228=$A$15),$M228&gt;(ROW(PLE.lastrow)-ROW(PLE.firstrow))),0,
           IF(OFFSET(PLE!$G$15,$M228-$A$15,CC$13)="",10^12,OFFSET(PLE!$G$15,$M228-$A$15,CC$13)))</f>
        <v>1000000000000</v>
      </c>
      <c r="CD228" s="172">
        <f t="array" aca="1" ref="CD228" ca="1">IF(OR($D228&lt;&gt;"Serviço",AND(AUTOEVENTO="Manual",$M228=$A$15),$M228&gt;(ROW(PLE.lastrow)-ROW(PLE.firstrow))),0,
           IF(OFFSET(PLE!$G$15,$M228-$A$15,CD$13)="",10^12,OFFSET(PLE!$G$15,$M228-$A$15,CD$13)))</f>
        <v>1000000000000</v>
      </c>
      <c r="CE228" s="172">
        <f t="array" aca="1" ref="CE228" ca="1">IF(OR($D228&lt;&gt;"Serviço",AND(AUTOEVENTO="Manual",$M228=$A$15),$M228&gt;(ROW(PLE.lastrow)-ROW(PLE.firstrow))),0,
           IF(OFFSET(PLE!$G$15,$M228-$A$15,CE$13)="",10^12,OFFSET(PLE!$G$15,$M228-$A$15,CE$13)))</f>
        <v>1000000000000</v>
      </c>
      <c r="CF228" s="172">
        <f t="array" aca="1" ref="CF228" ca="1">IF(OR($D228&lt;&gt;"Serviço",AND(AUTOEVENTO="Manual",$M228=$A$15),$M228&gt;(ROW(PLE.lastrow)-ROW(PLE.firstrow))),0,
           IF(OFFSET(PLE!$G$15,$M228-$A$15,CF$13)="",10^12,OFFSET(PLE!$G$15,$M228-$A$15,CF$13)))</f>
        <v>1000000000000</v>
      </c>
      <c r="CG228" s="172">
        <f t="array" aca="1" ref="CG228" ca="1">IF(OR($D228&lt;&gt;"Serviço",AND(AUTOEVENTO="Manual",$M228=$A$15),$M228&gt;(ROW(PLE.lastrow)-ROW(PLE.firstrow))),0,
           IF(OFFSET(PLE!$G$15,$M228-$A$15,CG$13)="",10^12,OFFSET(PLE!$G$15,$M228-$A$15,CG$13)))</f>
        <v>1000000000000</v>
      </c>
      <c r="CH228" s="172">
        <f t="array" aca="1" ref="CH228" ca="1">IF(OR($D228&lt;&gt;"Serviço",AND(AUTOEVENTO="Manual",$M228=$A$15),$M228&gt;(ROW(PLE.lastrow)-ROW(PLE.firstrow))),0,
           IF(OFFSET(PLE!$G$15,$M228-$A$15,CH$13)="",10^12,OFFSET(PLE!$G$15,$M228-$A$15,CH$13)))</f>
        <v>1000000000000</v>
      </c>
      <c r="CI228" s="172">
        <f t="array" aca="1" ref="CI228" ca="1">IF(OR($D228&lt;&gt;"Serviço",AND(AUTOEVENTO="Manual",$M228=$A$15),$M228&gt;(ROW(PLE.lastrow)-ROW(PLE.firstrow))),0,
           IF(OFFSET(PLE!$G$15,$M228-$A$15,CI$13)="",10^12,OFFSET(PLE!$G$15,$M228-$A$15,CI$13)))</f>
        <v>1000000000000</v>
      </c>
      <c r="CJ228" s="172">
        <f t="array" aca="1" ref="CJ228" ca="1">IF(OR($D228&lt;&gt;"Serviço",AND(AUTOEVENTO="Manual",$M228=$A$15),$M228&gt;(ROW(PLE.lastrow)-ROW(PLE.firstrow))),0,
           IF(OFFSET(PLE!$G$15,$M228-$A$15,CJ$13)="",10^12,OFFSET(PLE!$G$15,$M228-$A$15,CJ$13)))</f>
        <v>1000000000000</v>
      </c>
      <c r="CK228" s="172">
        <f t="array" aca="1" ref="CK228" ca="1">IF(OR($D228&lt;&gt;"Serviço",AND(AUTOEVENTO="Manual",$M228=$A$15),$M228&gt;(ROW(PLE.lastrow)-ROW(PLE.firstrow))),0,
           IF(OFFSET(PLE!$G$15,$M228-$A$15,CK$13)="",10^12,OFFSET(PLE!$G$15,$M228-$A$15,CK$13)))</f>
        <v>1000000000000</v>
      </c>
      <c r="CL228" s="172">
        <f t="array" aca="1" ref="CL228" ca="1">IF(OR($D228&lt;&gt;"Serviço",AND(AUTOEVENTO="Manual",$M228=$A$15),$M228&gt;(ROW(PLE.lastrow)-ROW(PLE.firstrow))),0,
           IF(OFFSET(PLE!$G$15,$M228-$A$15,CL$13)="",10^12,OFFSET(PLE!$G$15,$M228-$A$15,CL$13)))</f>
        <v>1000000000000</v>
      </c>
      <c r="CM228" s="172">
        <f t="array" aca="1" ref="CM228" ca="1">IF(OR($D228&lt;&gt;"Serviço",AND(AUTOEVENTO="Manual",$M228=$A$15),$M228&gt;(ROW(PLE.lastrow)-ROW(PLE.firstrow))),0,
           IF(OFFSET(PLE!$G$15,$M228-$A$15,CM$13)="",10^12,OFFSET(PLE!$G$15,$M228-$A$15,CM$13)))</f>
        <v>1000000000000</v>
      </c>
    </row>
    <row r="229" spans="1:91" s="696" customFormat="1" ht="51" x14ac:dyDescent="0.2">
      <c r="A229" s="694">
        <f t="shared" ca="1" si="98"/>
        <v>41</v>
      </c>
      <c r="B229" s="694" t="str">
        <f ca="1">OFFSET(ORÇAMENTO!C$15,$L229,0)</f>
        <v>S</v>
      </c>
      <c r="C229" s="694" t="str">
        <f ca="1">OFFSET(ORÇAMENTO!L$15,$L229,0)</f>
        <v>F</v>
      </c>
      <c r="D229" s="116" t="str">
        <f ca="1">OFFSET(ORÇAMENTO!N$15,$L229,0)</f>
        <v>Serviço</v>
      </c>
      <c r="E229" s="117" t="str">
        <f ca="1">OFFSET(ORÇAMENTO!O$15,$L229,0)</f>
        <v>1.34.4.</v>
      </c>
      <c r="F229" s="163" t="str">
        <f ca="1">OFFSET(ORÇAMENTO!R$15,$L229,0)</f>
        <v>LIMPEZA DE FORRO REMOVÍVEL COM PANO ÚMIDO. AF_04/2019</v>
      </c>
      <c r="G229" s="164" t="str">
        <f ca="1">IF($D229&lt;&gt;"Serviço","",OFFSET(ORÇAMENTO!S$15,$L229,0))</f>
        <v>M2</v>
      </c>
      <c r="H229" s="122">
        <f t="array" aca="1" ref="H229" ca="1">IF($D229&lt;&gt;"Serviço",0,IF(ACOMPANHAMENTO="BM",ROUND(OFFSET(ORÇAMENTO!AJ$15,$L229,0),15-13*ORÇAMENTO!$AF$7),IF(IFERROR(CÁLCULO.FrentesPreenchidas,0)=0,0,SUM(ROUND(OFFSET($P229,0,1,1,CÁLCULO.FrentesPreenchidas),15-13*ORÇAMENTO!$AF$7)))))</f>
        <v>518</v>
      </c>
      <c r="I229" s="467" t="s">
        <v>1348</v>
      </c>
      <c r="J229" s="653" t="str">
        <f t="array" aca="1" ref="J229" ca="1">IF(OR(B229&lt;&gt;"S",CÁLCULO.FrentesPreenchidas=0),"",IF(AND(ACOMPANHAMENTO="PLE",AUTOEVENTO="Manual",OR(H229&gt;0,ORÇAMENTO!AC229="QUANT."),OR(K229="",M229=0,N229="")),"►E",IF(AND(ACOMPANHAMENTO="PLE",ORÇAMENTO!AC229="QUANT."),"►Q",IF(AND(ACOMPANHAMENTO="PLE",H229&lt;&gt;SUMPRODUCT(($Q$1:$AI$1=1)*ROUND(Q229:AI229,15))),"►S",IF(AND(COUNTIF($P$11:$AI$11,"▼")=0,H229&gt;0,I229=""),"◄M","")))))</f>
        <v/>
      </c>
      <c r="K229" s="654" t="s">
        <v>1451</v>
      </c>
      <c r="L229" s="165">
        <f t="shared" ca="1" si="99"/>
        <v>214</v>
      </c>
      <c r="M229" s="166">
        <f ca="1">IF($D229&lt;&gt;"Serviço","",
          IF(AUTOEVENTO="manual",$A229,
                IF(ISERROR(MATCH($A229,$A$15:OFFSET($A229,-1,0),0)),MAX($M$15:OFFSET(M229,-1,0))+1,
                      INDEX($M$15:OFFSET(M229,-1,0),MATCH($A229,$A$15:OFFSET($A229,-1,0),0)))))</f>
        <v>41</v>
      </c>
      <c r="N229" s="167" t="str">
        <f ca="1">IF($D229&lt;&gt;"Serviço","",
         IF(AUTOEVENTO="Manual",
                IF($A229=0,"&lt;-- defina o número do agrupador",
                       OFFSET(EVENTOS!$D$15,$A229-$A$15,0)),
                OFFSET($F$15,$A229,0)))</f>
        <v>LIMPEZA FINAL DA OBRA</v>
      </c>
      <c r="O229" s="168"/>
      <c r="Q229" s="169">
        <f>25.9*5</f>
        <v>129.5</v>
      </c>
      <c r="R229" s="169">
        <f t="shared" ref="R229:T229" si="105">25.9*5</f>
        <v>129.5</v>
      </c>
      <c r="S229" s="169">
        <f t="shared" si="105"/>
        <v>129.5</v>
      </c>
      <c r="T229" s="169">
        <f t="shared" si="105"/>
        <v>129.5</v>
      </c>
      <c r="U229" s="169"/>
      <c r="V229" s="169"/>
      <c r="W229" s="169"/>
      <c r="X229" s="169"/>
      <c r="Y229" s="169"/>
      <c r="Z229" s="170"/>
      <c r="AA229" s="169"/>
      <c r="AB229" s="169"/>
      <c r="AC229" s="169"/>
      <c r="AD229" s="169"/>
      <c r="AE229" s="169"/>
      <c r="AF229" s="169"/>
      <c r="AG229" s="169"/>
      <c r="AH229" s="170"/>
      <c r="AJ229" s="452">
        <f ca="1">IF(AND($D229="Serviço",AJ$12&lt;&gt;0,$H229&gt;0,OR(AUTOEVENTO&lt;&gt;"manual",$M229&lt;&gt;$A$15)),
        IF(Import.TipoArredondamento&lt;&gt;"TransfereGOV",
              ROUND(OFFSET($P229,0,AJ$13),15-13*ORÇAMENTO!$AF$7)/$H229*OFFSET(ORÇAMENTO!$X$15,ROW(AJ229)-ROW(AJ$15),0),
              ROUND(ROUND(OFFSET($P229,0,AJ$13),15-13*ORÇAMENTO!$AF$7)*OFFSET(ORÇAMENTO!$W$15,ROW(AJ229)-ROW(AJ$15),0),15-13*ORÇAMENTO!$AF$11)),
         0)</f>
        <v>238.28</v>
      </c>
      <c r="AK229" s="452">
        <f ca="1">IF(AND($D229="Serviço",AK$12&lt;&gt;0,$H229&gt;0,OR(AUTOEVENTO&lt;&gt;"manual",$M229&lt;&gt;$A$15)),
        IF(Import.TipoArredondamento&lt;&gt;"TransfereGOV",
              ROUND(OFFSET($P229,0,AK$13),15-13*ORÇAMENTO!$AF$7)/$H229*OFFSET(ORÇAMENTO!$X$15,ROW(AK229)-ROW(AK$15),0),
              ROUND(ROUND(OFFSET($P229,0,AK$13),15-13*ORÇAMENTO!$AF$7)*OFFSET(ORÇAMENTO!$W$15,ROW(AK229)-ROW(AK$15),0),15-13*ORÇAMENTO!$AF$11)),
         0)</f>
        <v>238.28</v>
      </c>
      <c r="AL229" s="452">
        <f ca="1">IF(AND($D229="Serviço",AL$12&lt;&gt;0,$H229&gt;0,OR(AUTOEVENTO&lt;&gt;"manual",$M229&lt;&gt;$A$15)),
        IF(Import.TipoArredondamento&lt;&gt;"TransfereGOV",
              ROUND(OFFSET($P229,0,AL$13),15-13*ORÇAMENTO!$AF$7)/$H229*OFFSET(ORÇAMENTO!$X$15,ROW(AL229)-ROW(AL$15),0),
              ROUND(ROUND(OFFSET($P229,0,AL$13),15-13*ORÇAMENTO!$AF$7)*OFFSET(ORÇAMENTO!$W$15,ROW(AL229)-ROW(AL$15),0),15-13*ORÇAMENTO!$AF$11)),
         0)</f>
        <v>238.28</v>
      </c>
      <c r="AM229" s="452">
        <f ca="1">IF(AND($D229="Serviço",AM$12&lt;&gt;0,$H229&gt;0,OR(AUTOEVENTO&lt;&gt;"manual",$M229&lt;&gt;$A$15)),
        IF(Import.TipoArredondamento&lt;&gt;"TransfereGOV",
              ROUND(OFFSET($P229,0,AM$13),15-13*ORÇAMENTO!$AF$7)/$H229*OFFSET(ORÇAMENTO!$X$15,ROW(AM229)-ROW(AM$15),0),
              ROUND(ROUND(OFFSET($P229,0,AM$13),15-13*ORÇAMENTO!$AF$7)*OFFSET(ORÇAMENTO!$W$15,ROW(AM229)-ROW(AM$15),0),15-13*ORÇAMENTO!$AF$11)),
         0)</f>
        <v>238.28</v>
      </c>
      <c r="AN229" s="452">
        <f ca="1">IF(AND($D229="Serviço",AN$12&lt;&gt;0,$H229&gt;0,OR(AUTOEVENTO&lt;&gt;"manual",$M229&lt;&gt;$A$15)),
        IF(Import.TipoArredondamento&lt;&gt;"TransfereGOV",
              ROUND(OFFSET($P229,0,AN$13),15-13*ORÇAMENTO!$AF$7)/$H229*OFFSET(ORÇAMENTO!$X$15,ROW(AN229)-ROW(AN$15),0),
              ROUND(ROUND(OFFSET($P229,0,AN$13),15-13*ORÇAMENTO!$AF$7)*OFFSET(ORÇAMENTO!$W$15,ROW(AN229)-ROW(AN$15),0),15-13*ORÇAMENTO!$AF$11)),
         0)</f>
        <v>0</v>
      </c>
      <c r="AO229" s="452">
        <f ca="1">IF(AND($D229="Serviço",AO$12&lt;&gt;0,$H229&gt;0,OR(AUTOEVENTO&lt;&gt;"manual",$M229&lt;&gt;$A$15)),
        IF(Import.TipoArredondamento&lt;&gt;"TransfereGOV",
              ROUND(OFFSET($P229,0,AO$13),15-13*ORÇAMENTO!$AF$7)/$H229*OFFSET(ORÇAMENTO!$X$15,ROW(AO229)-ROW(AO$15),0),
              ROUND(ROUND(OFFSET($P229,0,AO$13),15-13*ORÇAMENTO!$AF$7)*OFFSET(ORÇAMENTO!$W$15,ROW(AO229)-ROW(AO$15),0),15-13*ORÇAMENTO!$AF$11)),
         0)</f>
        <v>0</v>
      </c>
      <c r="AP229" s="452">
        <f ca="1">IF(AND($D229="Serviço",AP$12&lt;&gt;0,$H229&gt;0,OR(AUTOEVENTO&lt;&gt;"manual",$M229&lt;&gt;$A$15)),
        IF(Import.TipoArredondamento&lt;&gt;"TransfereGOV",
              ROUND(OFFSET($P229,0,AP$13),15-13*ORÇAMENTO!$AF$7)/$H229*OFFSET(ORÇAMENTO!$X$15,ROW(AP229)-ROW(AP$15),0),
              ROUND(ROUND(OFFSET($P229,0,AP$13),15-13*ORÇAMENTO!$AF$7)*OFFSET(ORÇAMENTO!$W$15,ROW(AP229)-ROW(AP$15),0),15-13*ORÇAMENTO!$AF$11)),
         0)</f>
        <v>0</v>
      </c>
      <c r="AQ229" s="452">
        <f ca="1">IF(AND($D229="Serviço",AQ$12&lt;&gt;0,$H229&gt;0,OR(AUTOEVENTO&lt;&gt;"manual",$M229&lt;&gt;$A$15)),
        IF(Import.TipoArredondamento&lt;&gt;"TransfereGOV",
              ROUND(OFFSET($P229,0,AQ$13),15-13*ORÇAMENTO!$AF$7)/$H229*OFFSET(ORÇAMENTO!$X$15,ROW(AQ229)-ROW(AQ$15),0),
              ROUND(ROUND(OFFSET($P229,0,AQ$13),15-13*ORÇAMENTO!$AF$7)*OFFSET(ORÇAMENTO!$W$15,ROW(AQ229)-ROW(AQ$15),0),15-13*ORÇAMENTO!$AF$11)),
         0)</f>
        <v>0</v>
      </c>
      <c r="AR229" s="452">
        <f ca="1">IF(AND($D229="Serviço",AR$12&lt;&gt;0,$H229&gt;0,OR(AUTOEVENTO&lt;&gt;"manual",$M229&lt;&gt;$A$15)),
        IF(Import.TipoArredondamento&lt;&gt;"TransfereGOV",
              ROUND(OFFSET($P229,0,AR$13),15-13*ORÇAMENTO!$AF$7)/$H229*OFFSET(ORÇAMENTO!$X$15,ROW(AR229)-ROW(AR$15),0),
              ROUND(ROUND(OFFSET($P229,0,AR$13),15-13*ORÇAMENTO!$AF$7)*OFFSET(ORÇAMENTO!$W$15,ROW(AR229)-ROW(AR$15),0),15-13*ORÇAMENTO!$AF$11)),
         0)</f>
        <v>0</v>
      </c>
      <c r="AS229" s="452">
        <f ca="1">IF(AND($D229="Serviço",AS$12&lt;&gt;0,$H229&gt;0,OR(AUTOEVENTO&lt;&gt;"manual",$M229&lt;&gt;$A$15)),
        IF(Import.TipoArredondamento&lt;&gt;"TransfereGOV",
              ROUND(OFFSET($P229,0,AS$13),15-13*ORÇAMENTO!$AF$7)/$H229*OFFSET(ORÇAMENTO!$X$15,ROW(AS229)-ROW(AS$15),0),
              ROUND(ROUND(OFFSET($P229,0,AS$13),15-13*ORÇAMENTO!$AF$7)*OFFSET(ORÇAMENTO!$W$15,ROW(AS229)-ROW(AS$15),0),15-13*ORÇAMENTO!$AF$11)),
         0)</f>
        <v>0</v>
      </c>
      <c r="AT229" s="452">
        <f ca="1">IF(AND($D229="Serviço",AT$12&lt;&gt;0,$H229&gt;0,OR(AUTOEVENTO&lt;&gt;"manual",$M229&lt;&gt;$A$15)),
        IF(Import.TipoArredondamento&lt;&gt;"TransfereGOV",
              ROUND(OFFSET($P229,0,AT$13),15-13*ORÇAMENTO!$AF$7)/$H229*OFFSET(ORÇAMENTO!$X$15,ROW(AT229)-ROW(AT$15),0),
              ROUND(ROUND(OFFSET($P229,0,AT$13),15-13*ORÇAMENTO!$AF$7)*OFFSET(ORÇAMENTO!$W$15,ROW(AT229)-ROW(AT$15),0),15-13*ORÇAMENTO!$AF$11)),
         0)</f>
        <v>0</v>
      </c>
      <c r="AU229" s="452">
        <f ca="1">IF(AND($D229="Serviço",AU$12&lt;&gt;0,$H229&gt;0,OR(AUTOEVENTO&lt;&gt;"manual",$M229&lt;&gt;$A$15)),
        IF(Import.TipoArredondamento&lt;&gt;"TransfereGOV",
              ROUND(OFFSET($P229,0,AU$13),15-13*ORÇAMENTO!$AF$7)/$H229*OFFSET(ORÇAMENTO!$X$15,ROW(AU229)-ROW(AU$15),0),
              ROUND(ROUND(OFFSET($P229,0,AU$13),15-13*ORÇAMENTO!$AF$7)*OFFSET(ORÇAMENTO!$W$15,ROW(AU229)-ROW(AU$15),0),15-13*ORÇAMENTO!$AF$11)),
         0)</f>
        <v>0</v>
      </c>
      <c r="AV229" s="452">
        <f ca="1">IF(AND($D229="Serviço",AV$12&lt;&gt;0,$H229&gt;0,OR(AUTOEVENTO&lt;&gt;"manual",$M229&lt;&gt;$A$15)),
        IF(Import.TipoArredondamento&lt;&gt;"TransfereGOV",
              ROUND(OFFSET($P229,0,AV$13),15-13*ORÇAMENTO!$AF$7)/$H229*OFFSET(ORÇAMENTO!$X$15,ROW(AV229)-ROW(AV$15),0),
              ROUND(ROUND(OFFSET($P229,0,AV$13),15-13*ORÇAMENTO!$AF$7)*OFFSET(ORÇAMENTO!$W$15,ROW(AV229)-ROW(AV$15),0),15-13*ORÇAMENTO!$AF$11)),
         0)</f>
        <v>0</v>
      </c>
      <c r="AW229" s="452">
        <f ca="1">IF(AND($D229="Serviço",AW$12&lt;&gt;0,$H229&gt;0,OR(AUTOEVENTO&lt;&gt;"manual",$M229&lt;&gt;$A$15)),
        IF(Import.TipoArredondamento&lt;&gt;"TransfereGOV",
              ROUND(OFFSET($P229,0,AW$13),15-13*ORÇAMENTO!$AF$7)/$H229*OFFSET(ORÇAMENTO!$X$15,ROW(AW229)-ROW(AW$15),0),
              ROUND(ROUND(OFFSET($P229,0,AW$13),15-13*ORÇAMENTO!$AF$7)*OFFSET(ORÇAMENTO!$W$15,ROW(AW229)-ROW(AW$15),0),15-13*ORÇAMENTO!$AF$11)),
         0)</f>
        <v>0</v>
      </c>
      <c r="AX229" s="452">
        <f ca="1">IF(AND($D229="Serviço",AX$12&lt;&gt;0,$H229&gt;0,OR(AUTOEVENTO&lt;&gt;"manual",$M229&lt;&gt;$A$15)),
        IF(Import.TipoArredondamento&lt;&gt;"TransfereGOV",
              ROUND(OFFSET($P229,0,AX$13),15-13*ORÇAMENTO!$AF$7)/$H229*OFFSET(ORÇAMENTO!$X$15,ROW(AX229)-ROW(AX$15),0),
              ROUND(ROUND(OFFSET($P229,0,AX$13),15-13*ORÇAMENTO!$AF$7)*OFFSET(ORÇAMENTO!$W$15,ROW(AX229)-ROW(AX$15),0),15-13*ORÇAMENTO!$AF$11)),
         0)</f>
        <v>0</v>
      </c>
      <c r="AY229" s="452">
        <f ca="1">IF(AND($D229="Serviço",AY$12&lt;&gt;0,$H229&gt;0,OR(AUTOEVENTO&lt;&gt;"manual",$M229&lt;&gt;$A$15)),
        IF(Import.TipoArredondamento&lt;&gt;"TransfereGOV",
              ROUND(OFFSET($P229,0,AY$13),15-13*ORÇAMENTO!$AF$7)/$H229*OFFSET(ORÇAMENTO!$X$15,ROW(AY229)-ROW(AY$15),0),
              ROUND(ROUND(OFFSET($P229,0,AY$13),15-13*ORÇAMENTO!$AF$7)*OFFSET(ORÇAMENTO!$W$15,ROW(AY229)-ROW(AY$15),0),15-13*ORÇAMENTO!$AF$11)),
         0)</f>
        <v>0</v>
      </c>
      <c r="AZ229" s="452">
        <f ca="1">IF(AND($D229="Serviço",AZ$12&lt;&gt;0,$H229&gt;0,OR(AUTOEVENTO&lt;&gt;"manual",$M229&lt;&gt;$A$15)),
        IF(Import.TipoArredondamento&lt;&gt;"TransfereGOV",
              ROUND(OFFSET($P229,0,AZ$13),15-13*ORÇAMENTO!$AF$7)/$H229*OFFSET(ORÇAMENTO!$X$15,ROW(AZ229)-ROW(AZ$15),0),
              ROUND(ROUND(OFFSET($P229,0,AZ$13),15-13*ORÇAMENTO!$AF$7)*OFFSET(ORÇAMENTO!$W$15,ROW(AZ229)-ROW(AZ$15),0),15-13*ORÇAMENTO!$AF$11)),
         0)</f>
        <v>0</v>
      </c>
      <c r="BA229" s="452">
        <f ca="1">IF(AND($D229="Serviço",BA$12&lt;&gt;0,$H229&gt;0,OR(AUTOEVENTO&lt;&gt;"manual",$M229&lt;&gt;$A$15)),
        IF(Import.TipoArredondamento&lt;&gt;"TransfereGOV",
              ROUND(OFFSET($P229,0,BA$13),15-13*ORÇAMENTO!$AF$7)/$H229*OFFSET(ORÇAMENTO!$X$15,ROW(BA229)-ROW(BA$15),0),
              ROUND(ROUND(OFFSET($P229,0,BA$13),15-13*ORÇAMENTO!$AF$7)*OFFSET(ORÇAMENTO!$W$15,ROW(BA229)-ROW(BA$15),0),15-13*ORÇAMENTO!$AF$11)),
         0)</f>
        <v>0</v>
      </c>
      <c r="BC229" s="171">
        <f ca="1">IF(OR($D229&lt;&gt;"Serviço",AND(AUTOEVENTO="Manual",$M229=$A$15)),0,
         IF(OFFSET(CRONOPLE!$F$15,$M229-$A$15,BC$13)=0,10^12,OFFSET(CRONOPLE!$F$15,$M229-$A$15,BC$13)))</f>
        <v>9</v>
      </c>
      <c r="BD229" s="171">
        <f ca="1">IF(OR($D229&lt;&gt;"Serviço",AND(AUTOEVENTO="Manual",$M229=$A$15)),0,
         IF(OFFSET(CRONOPLE!$F$15,$M229-$A$15,BD$13)=0,10^12,OFFSET(CRONOPLE!$F$15,$M229-$A$15,BD$13)))</f>
        <v>9</v>
      </c>
      <c r="BE229" s="171">
        <f ca="1">IF(OR($D229&lt;&gt;"Serviço",AND(AUTOEVENTO="Manual",$M229=$A$15)),0,
         IF(OFFSET(CRONOPLE!$F$15,$M229-$A$15,BE$13)=0,10^12,OFFSET(CRONOPLE!$F$15,$M229-$A$15,BE$13)))</f>
        <v>9</v>
      </c>
      <c r="BF229" s="171">
        <f ca="1">IF(OR($D229&lt;&gt;"Serviço",AND(AUTOEVENTO="Manual",$M229=$A$15)),0,
         IF(OFFSET(CRONOPLE!$F$15,$M229-$A$15,BF$13)=0,10^12,OFFSET(CRONOPLE!$F$15,$M229-$A$15,BF$13)))</f>
        <v>9</v>
      </c>
      <c r="BG229" s="171">
        <f ca="1">IF(OR($D229&lt;&gt;"Serviço",AND(AUTOEVENTO="Manual",$M229=$A$15)),0,
         IF(OFFSET(CRONOPLE!$F$15,$M229-$A$15,BG$13)=0,10^12,OFFSET(CRONOPLE!$F$15,$M229-$A$15,BG$13)))</f>
        <v>9</v>
      </c>
      <c r="BH229" s="171">
        <f ca="1">IF(OR($D229&lt;&gt;"Serviço",AND(AUTOEVENTO="Manual",$M229=$A$15)),0,
         IF(OFFSET(CRONOPLE!$F$15,$M229-$A$15,BH$13)=0,10^12,OFFSET(CRONOPLE!$F$15,$M229-$A$15,BH$13)))</f>
        <v>1000000000000</v>
      </c>
      <c r="BI229" s="171">
        <f ca="1">IF(OR($D229&lt;&gt;"Serviço",AND(AUTOEVENTO="Manual",$M229=$A$15)),0,
         IF(OFFSET(CRONOPLE!$F$15,$M229-$A$15,BI$13)=0,10^12,OFFSET(CRONOPLE!$F$15,$M229-$A$15,BI$13)))</f>
        <v>1000000000000</v>
      </c>
      <c r="BJ229" s="171">
        <f ca="1">IF(OR($D229&lt;&gt;"Serviço",AND(AUTOEVENTO="Manual",$M229=$A$15)),0,
         IF(OFFSET(CRONOPLE!$F$15,$M229-$A$15,BJ$13)=0,10^12,OFFSET(CRONOPLE!$F$15,$M229-$A$15,BJ$13)))</f>
        <v>1000000000000</v>
      </c>
      <c r="BK229" s="171">
        <f ca="1">IF(OR($D229&lt;&gt;"Serviço",AND(AUTOEVENTO="Manual",$M229=$A$15)),0,
         IF(OFFSET(CRONOPLE!$F$15,$M229-$A$15,BK$13)=0,10^12,OFFSET(CRONOPLE!$F$15,$M229-$A$15,BK$13)))</f>
        <v>1000000000000</v>
      </c>
      <c r="BL229" s="171">
        <f ca="1">IF(OR($D229&lt;&gt;"Serviço",AND(AUTOEVENTO="Manual",$M229=$A$15)),0,
         IF(OFFSET(CRONOPLE!$F$15,$M229-$A$15,BL$13)=0,10^12,OFFSET(CRONOPLE!$F$15,$M229-$A$15,BL$13)))</f>
        <v>1000000000000</v>
      </c>
      <c r="BM229" s="171">
        <f ca="1">IF(OR($D229&lt;&gt;"Serviço",AND(AUTOEVENTO="Manual",$M229=$A$15)),0,
         IF(OFFSET(CRONOPLE!$F$15,$M229-$A$15,BM$13)=0,10^12,OFFSET(CRONOPLE!$F$15,$M229-$A$15,BM$13)))</f>
        <v>1000000000000</v>
      </c>
      <c r="BN229" s="171">
        <f ca="1">IF(OR($D229&lt;&gt;"Serviço",AND(AUTOEVENTO="Manual",$M229=$A$15)),0,
         IF(OFFSET(CRONOPLE!$F$15,$M229-$A$15,BN$13)=0,10^12,OFFSET(CRONOPLE!$F$15,$M229-$A$15,BN$13)))</f>
        <v>1000000000000</v>
      </c>
      <c r="BO229" s="171">
        <f ca="1">IF(OR($D229&lt;&gt;"Serviço",AND(AUTOEVENTO="Manual",$M229=$A$15)),0,
         IF(OFFSET(CRONOPLE!$F$15,$M229-$A$15,BO$13)=0,10^12,OFFSET(CRONOPLE!$F$15,$M229-$A$15,BO$13)))</f>
        <v>1000000000000</v>
      </c>
      <c r="BP229" s="171">
        <f ca="1">IF(OR($D229&lt;&gt;"Serviço",AND(AUTOEVENTO="Manual",$M229=$A$15)),0,
         IF(OFFSET(CRONOPLE!$F$15,$M229-$A$15,BP$13)=0,10^12,OFFSET(CRONOPLE!$F$15,$M229-$A$15,BP$13)))</f>
        <v>1000000000000</v>
      </c>
      <c r="BQ229" s="171">
        <f ca="1">IF(OR($D229&lt;&gt;"Serviço",AND(AUTOEVENTO="Manual",$M229=$A$15)),0,
         IF(OFFSET(CRONOPLE!$F$15,$M229-$A$15,BQ$13)=0,10^12,OFFSET(CRONOPLE!$F$15,$M229-$A$15,BQ$13)))</f>
        <v>1000000000000</v>
      </c>
      <c r="BR229" s="171">
        <f ca="1">IF(OR($D229&lt;&gt;"Serviço",AND(AUTOEVENTO="Manual",$M229=$A$15)),0,
         IF(OFFSET(CRONOPLE!$F$15,$M229-$A$15,BR$13)=0,10^12,OFFSET(CRONOPLE!$F$15,$M229-$A$15,BR$13)))</f>
        <v>1000000000000</v>
      </c>
      <c r="BS229" s="171">
        <f ca="1">IF(OR($D229&lt;&gt;"Serviço",AND(AUTOEVENTO="Manual",$M229=$A$15)),0,
         IF(OFFSET(CRONOPLE!$F$15,$M229-$A$15,BS$13)=0,10^12,OFFSET(CRONOPLE!$F$15,$M229-$A$15,BS$13)))</f>
        <v>1000000000000</v>
      </c>
      <c r="BT229" s="171">
        <f ca="1">IF(OR($D229&lt;&gt;"Serviço",AND(AUTOEVENTO="Manual",$M229=$A$15)),0,
         IF(OFFSET(CRONOPLE!$F$15,$M229-$A$15,BT$13)=0,10^12,OFFSET(CRONOPLE!$F$15,$M229-$A$15,BT$13)))</f>
        <v>1000000000000</v>
      </c>
      <c r="BV229" s="172">
        <f t="array" aca="1" ref="BV229" ca="1">IF(OR($D229&lt;&gt;"Serviço",AND(AUTOEVENTO="Manual",$M229=$A$15),$M229&gt;(ROW(PLE.lastrow)-ROW(PLE.firstrow))),0,
           IF(OFFSET(PLE!$G$15,$M229-$A$15,BV$13)="",10^12,OFFSET(PLE!$G$15,$M229-$A$15,BV$13)))</f>
        <v>1000000000000</v>
      </c>
      <c r="BW229" s="172">
        <f t="array" aca="1" ref="BW229" ca="1">IF(OR($D229&lt;&gt;"Serviço",AND(AUTOEVENTO="Manual",$M229=$A$15),$M229&gt;(ROW(PLE.lastrow)-ROW(PLE.firstrow))),0,
           IF(OFFSET(PLE!$G$15,$M229-$A$15,BW$13)="",10^12,OFFSET(PLE!$G$15,$M229-$A$15,BW$13)))</f>
        <v>1000000000000</v>
      </c>
      <c r="BX229" s="172">
        <f t="array" aca="1" ref="BX229" ca="1">IF(OR($D229&lt;&gt;"Serviço",AND(AUTOEVENTO="Manual",$M229=$A$15),$M229&gt;(ROW(PLE.lastrow)-ROW(PLE.firstrow))),0,
           IF(OFFSET(PLE!$G$15,$M229-$A$15,BX$13)="",10^12,OFFSET(PLE!$G$15,$M229-$A$15,BX$13)))</f>
        <v>1000000000000</v>
      </c>
      <c r="BY229" s="172">
        <f t="array" aca="1" ref="BY229" ca="1">IF(OR($D229&lt;&gt;"Serviço",AND(AUTOEVENTO="Manual",$M229=$A$15),$M229&gt;(ROW(PLE.lastrow)-ROW(PLE.firstrow))),0,
           IF(OFFSET(PLE!$G$15,$M229-$A$15,BY$13)="",10^12,OFFSET(PLE!$G$15,$M229-$A$15,BY$13)))</f>
        <v>1000000000000</v>
      </c>
      <c r="BZ229" s="172">
        <f t="array" aca="1" ref="BZ229" ca="1">IF(OR($D229&lt;&gt;"Serviço",AND(AUTOEVENTO="Manual",$M229=$A$15),$M229&gt;(ROW(PLE.lastrow)-ROW(PLE.firstrow))),0,
           IF(OFFSET(PLE!$G$15,$M229-$A$15,BZ$13)="",10^12,OFFSET(PLE!$G$15,$M229-$A$15,BZ$13)))</f>
        <v>1000000000000</v>
      </c>
      <c r="CA229" s="172">
        <f t="array" aca="1" ref="CA229" ca="1">IF(OR($D229&lt;&gt;"Serviço",AND(AUTOEVENTO="Manual",$M229=$A$15),$M229&gt;(ROW(PLE.lastrow)-ROW(PLE.firstrow))),0,
           IF(OFFSET(PLE!$G$15,$M229-$A$15,CA$13)="",10^12,OFFSET(PLE!$G$15,$M229-$A$15,CA$13)))</f>
        <v>1000000000000</v>
      </c>
      <c r="CB229" s="172">
        <f t="array" aca="1" ref="CB229" ca="1">IF(OR($D229&lt;&gt;"Serviço",AND(AUTOEVENTO="Manual",$M229=$A$15),$M229&gt;(ROW(PLE.lastrow)-ROW(PLE.firstrow))),0,
           IF(OFFSET(PLE!$G$15,$M229-$A$15,CB$13)="",10^12,OFFSET(PLE!$G$15,$M229-$A$15,CB$13)))</f>
        <v>1000000000000</v>
      </c>
      <c r="CC229" s="172">
        <f t="array" aca="1" ref="CC229" ca="1">IF(OR($D229&lt;&gt;"Serviço",AND(AUTOEVENTO="Manual",$M229=$A$15),$M229&gt;(ROW(PLE.lastrow)-ROW(PLE.firstrow))),0,
           IF(OFFSET(PLE!$G$15,$M229-$A$15,CC$13)="",10^12,OFFSET(PLE!$G$15,$M229-$A$15,CC$13)))</f>
        <v>1000000000000</v>
      </c>
      <c r="CD229" s="172">
        <f t="array" aca="1" ref="CD229" ca="1">IF(OR($D229&lt;&gt;"Serviço",AND(AUTOEVENTO="Manual",$M229=$A$15),$M229&gt;(ROW(PLE.lastrow)-ROW(PLE.firstrow))),0,
           IF(OFFSET(PLE!$G$15,$M229-$A$15,CD$13)="",10^12,OFFSET(PLE!$G$15,$M229-$A$15,CD$13)))</f>
        <v>1000000000000</v>
      </c>
      <c r="CE229" s="172">
        <f t="array" aca="1" ref="CE229" ca="1">IF(OR($D229&lt;&gt;"Serviço",AND(AUTOEVENTO="Manual",$M229=$A$15),$M229&gt;(ROW(PLE.lastrow)-ROW(PLE.firstrow))),0,
           IF(OFFSET(PLE!$G$15,$M229-$A$15,CE$13)="",10^12,OFFSET(PLE!$G$15,$M229-$A$15,CE$13)))</f>
        <v>1000000000000</v>
      </c>
      <c r="CF229" s="172">
        <f t="array" aca="1" ref="CF229" ca="1">IF(OR($D229&lt;&gt;"Serviço",AND(AUTOEVENTO="Manual",$M229=$A$15),$M229&gt;(ROW(PLE.lastrow)-ROW(PLE.firstrow))),0,
           IF(OFFSET(PLE!$G$15,$M229-$A$15,CF$13)="",10^12,OFFSET(PLE!$G$15,$M229-$A$15,CF$13)))</f>
        <v>1000000000000</v>
      </c>
      <c r="CG229" s="172">
        <f t="array" aca="1" ref="CG229" ca="1">IF(OR($D229&lt;&gt;"Serviço",AND(AUTOEVENTO="Manual",$M229=$A$15),$M229&gt;(ROW(PLE.lastrow)-ROW(PLE.firstrow))),0,
           IF(OFFSET(PLE!$G$15,$M229-$A$15,CG$13)="",10^12,OFFSET(PLE!$G$15,$M229-$A$15,CG$13)))</f>
        <v>1000000000000</v>
      </c>
      <c r="CH229" s="172">
        <f t="array" aca="1" ref="CH229" ca="1">IF(OR($D229&lt;&gt;"Serviço",AND(AUTOEVENTO="Manual",$M229=$A$15),$M229&gt;(ROW(PLE.lastrow)-ROW(PLE.firstrow))),0,
           IF(OFFSET(PLE!$G$15,$M229-$A$15,CH$13)="",10^12,OFFSET(PLE!$G$15,$M229-$A$15,CH$13)))</f>
        <v>1000000000000</v>
      </c>
      <c r="CI229" s="172">
        <f t="array" aca="1" ref="CI229" ca="1">IF(OR($D229&lt;&gt;"Serviço",AND(AUTOEVENTO="Manual",$M229=$A$15),$M229&gt;(ROW(PLE.lastrow)-ROW(PLE.firstrow))),0,
           IF(OFFSET(PLE!$G$15,$M229-$A$15,CI$13)="",10^12,OFFSET(PLE!$G$15,$M229-$A$15,CI$13)))</f>
        <v>1000000000000</v>
      </c>
      <c r="CJ229" s="172">
        <f t="array" aca="1" ref="CJ229" ca="1">IF(OR($D229&lt;&gt;"Serviço",AND(AUTOEVENTO="Manual",$M229=$A$15),$M229&gt;(ROW(PLE.lastrow)-ROW(PLE.firstrow))),0,
           IF(OFFSET(PLE!$G$15,$M229-$A$15,CJ$13)="",10^12,OFFSET(PLE!$G$15,$M229-$A$15,CJ$13)))</f>
        <v>1000000000000</v>
      </c>
      <c r="CK229" s="172">
        <f t="array" aca="1" ref="CK229" ca="1">IF(OR($D229&lt;&gt;"Serviço",AND(AUTOEVENTO="Manual",$M229=$A$15),$M229&gt;(ROW(PLE.lastrow)-ROW(PLE.firstrow))),0,
           IF(OFFSET(PLE!$G$15,$M229-$A$15,CK$13)="",10^12,OFFSET(PLE!$G$15,$M229-$A$15,CK$13)))</f>
        <v>1000000000000</v>
      </c>
      <c r="CL229" s="172">
        <f t="array" aca="1" ref="CL229" ca="1">IF(OR($D229&lt;&gt;"Serviço",AND(AUTOEVENTO="Manual",$M229=$A$15),$M229&gt;(ROW(PLE.lastrow)-ROW(PLE.firstrow))),0,
           IF(OFFSET(PLE!$G$15,$M229-$A$15,CL$13)="",10^12,OFFSET(PLE!$G$15,$M229-$A$15,CL$13)))</f>
        <v>1000000000000</v>
      </c>
      <c r="CM229" s="172">
        <f t="array" aca="1" ref="CM229" ca="1">IF(OR($D229&lt;&gt;"Serviço",AND(AUTOEVENTO="Manual",$M229=$A$15),$M229&gt;(ROW(PLE.lastrow)-ROW(PLE.firstrow))),0,
           IF(OFFSET(PLE!$G$15,$M229-$A$15,CM$13)="",10^12,OFFSET(PLE!$G$15,$M229-$A$15,CM$13)))</f>
        <v>1000000000000</v>
      </c>
    </row>
    <row r="230" spans="1:91" s="696" customFormat="1" ht="38.25" x14ac:dyDescent="0.2">
      <c r="A230" s="694">
        <f t="shared" ca="1" si="98"/>
        <v>41</v>
      </c>
      <c r="B230" s="694" t="str">
        <f ca="1">OFFSET(ORÇAMENTO!C$15,$L230,0)</f>
        <v>S</v>
      </c>
      <c r="C230" s="694" t="str">
        <f ca="1">OFFSET(ORÇAMENTO!L$15,$L230,0)</f>
        <v>F</v>
      </c>
      <c r="D230" s="116" t="str">
        <f ca="1">OFFSET(ORÇAMENTO!N$15,$L230,0)</f>
        <v>Serviço</v>
      </c>
      <c r="E230" s="117" t="str">
        <f ca="1">OFFSET(ORÇAMENTO!O$15,$L230,0)</f>
        <v>1.34.5.</v>
      </c>
      <c r="F230" s="163" t="str">
        <f ca="1">OFFSET(ORÇAMENTO!R$15,$L230,0)</f>
        <v>LIMPEZA DE JANELA DE VIDRO COM CAIXILHO EM AÇO/ALUMÍNIO/PVC. AF_04/2019</v>
      </c>
      <c r="G230" s="164" t="str">
        <f ca="1">IF($D230&lt;&gt;"Serviço","",OFFSET(ORÇAMENTO!S$15,$L230,0))</f>
        <v>M2</v>
      </c>
      <c r="H230" s="122">
        <f t="array" aca="1" ref="H230" ca="1">IF($D230&lt;&gt;"Serviço",0,IF(ACOMPANHAMENTO="BM",ROUND(OFFSET(ORÇAMENTO!AJ$15,$L230,0),15-13*ORÇAMENTO!$AF$7),IF(IFERROR(CÁLCULO.FrentesPreenchidas,0)=0,0,SUM(ROUND(OFFSET($P230,0,1,1,CÁLCULO.FrentesPreenchidas),15-13*ORÇAMENTO!$AF$7)))))</f>
        <v>80</v>
      </c>
      <c r="I230" s="467" t="s">
        <v>1352</v>
      </c>
      <c r="J230" s="653" t="str">
        <f t="array" aca="1" ref="J230" ca="1">IF(OR(B230&lt;&gt;"S",CÁLCULO.FrentesPreenchidas=0),"",IF(AND(ACOMPANHAMENTO="PLE",AUTOEVENTO="Manual",OR(H230&gt;0,ORÇAMENTO!AC230="QUANT."),OR(K230="",M230=0,N230="")),"►E",IF(AND(ACOMPANHAMENTO="PLE",ORÇAMENTO!AC230="QUANT."),"►Q",IF(AND(ACOMPANHAMENTO="PLE",H230&lt;&gt;SUMPRODUCT(($Q$1:$AI$1=1)*ROUND(Q230:AI230,15))),"►S",IF(AND(COUNTIF($P$11:$AI$11,"▼")=0,H230&gt;0,I230=""),"◄M","")))))</f>
        <v/>
      </c>
      <c r="K230" s="654" t="s">
        <v>1451</v>
      </c>
      <c r="L230" s="165">
        <f t="shared" ca="1" si="99"/>
        <v>215</v>
      </c>
      <c r="M230" s="166">
        <f ca="1">IF($D230&lt;&gt;"Serviço","",
          IF(AUTOEVENTO="manual",$A230,
                IF(ISERROR(MATCH($A230,$A$15:OFFSET($A230,-1,0),0)),MAX($M$15:OFFSET(M230,-1,0))+1,
                      INDEX($M$15:OFFSET(M230,-1,0),MATCH($A230,$A$15:OFFSET($A230,-1,0),0)))))</f>
        <v>41</v>
      </c>
      <c r="N230" s="167" t="str">
        <f ca="1">IF($D230&lt;&gt;"Serviço","",
         IF(AUTOEVENTO="Manual",
                IF($A230=0,"&lt;-- defina o número do agrupador",
                       OFFSET(EVENTOS!$D$15,$A230-$A$15,0)),
                OFFSET($F$15,$A230,0)))</f>
        <v>LIMPEZA FINAL DA OBRA</v>
      </c>
      <c r="O230" s="168"/>
      <c r="Q230" s="169">
        <v>20</v>
      </c>
      <c r="R230" s="169">
        <v>20</v>
      </c>
      <c r="S230" s="169">
        <v>20</v>
      </c>
      <c r="T230" s="169">
        <v>20</v>
      </c>
      <c r="U230" s="169"/>
      <c r="V230" s="169"/>
      <c r="W230" s="169"/>
      <c r="X230" s="169"/>
      <c r="Y230" s="169"/>
      <c r="Z230" s="170"/>
      <c r="AA230" s="169"/>
      <c r="AB230" s="169"/>
      <c r="AC230" s="169"/>
      <c r="AD230" s="169"/>
      <c r="AE230" s="169"/>
      <c r="AF230" s="169"/>
      <c r="AG230" s="169"/>
      <c r="AH230" s="170"/>
      <c r="AJ230" s="452">
        <f ca="1">IF(AND($D230="Serviço",AJ$12&lt;&gt;0,$H230&gt;0,OR(AUTOEVENTO&lt;&gt;"manual",$M230&lt;&gt;$A$15)),
        IF(Import.TipoArredondamento&lt;&gt;"TransfereGOV",
              ROUND(OFFSET($P230,0,AJ$13),15-13*ORÇAMENTO!$AF$7)/$H230*OFFSET(ORÇAMENTO!$X$15,ROW(AJ230)-ROW(AJ$15),0),
              ROUND(ROUND(OFFSET($P230,0,AJ$13),15-13*ORÇAMENTO!$AF$7)*OFFSET(ORÇAMENTO!$W$15,ROW(AJ230)-ROW(AJ$15),0),15-13*ORÇAMENTO!$AF$11)),
         0)</f>
        <v>80.400000000000006</v>
      </c>
      <c r="AK230" s="452">
        <f ca="1">IF(AND($D230="Serviço",AK$12&lt;&gt;0,$H230&gt;0,OR(AUTOEVENTO&lt;&gt;"manual",$M230&lt;&gt;$A$15)),
        IF(Import.TipoArredondamento&lt;&gt;"TransfereGOV",
              ROUND(OFFSET($P230,0,AK$13),15-13*ORÇAMENTO!$AF$7)/$H230*OFFSET(ORÇAMENTO!$X$15,ROW(AK230)-ROW(AK$15),0),
              ROUND(ROUND(OFFSET($P230,0,AK$13),15-13*ORÇAMENTO!$AF$7)*OFFSET(ORÇAMENTO!$W$15,ROW(AK230)-ROW(AK$15),0),15-13*ORÇAMENTO!$AF$11)),
         0)</f>
        <v>80.400000000000006</v>
      </c>
      <c r="AL230" s="452">
        <f ca="1">IF(AND($D230="Serviço",AL$12&lt;&gt;0,$H230&gt;0,OR(AUTOEVENTO&lt;&gt;"manual",$M230&lt;&gt;$A$15)),
        IF(Import.TipoArredondamento&lt;&gt;"TransfereGOV",
              ROUND(OFFSET($P230,0,AL$13),15-13*ORÇAMENTO!$AF$7)/$H230*OFFSET(ORÇAMENTO!$X$15,ROW(AL230)-ROW(AL$15),0),
              ROUND(ROUND(OFFSET($P230,0,AL$13),15-13*ORÇAMENTO!$AF$7)*OFFSET(ORÇAMENTO!$W$15,ROW(AL230)-ROW(AL$15),0),15-13*ORÇAMENTO!$AF$11)),
         0)</f>
        <v>80.400000000000006</v>
      </c>
      <c r="AM230" s="452">
        <f ca="1">IF(AND($D230="Serviço",AM$12&lt;&gt;0,$H230&gt;0,OR(AUTOEVENTO&lt;&gt;"manual",$M230&lt;&gt;$A$15)),
        IF(Import.TipoArredondamento&lt;&gt;"TransfereGOV",
              ROUND(OFFSET($P230,0,AM$13),15-13*ORÇAMENTO!$AF$7)/$H230*OFFSET(ORÇAMENTO!$X$15,ROW(AM230)-ROW(AM$15),0),
              ROUND(ROUND(OFFSET($P230,0,AM$13),15-13*ORÇAMENTO!$AF$7)*OFFSET(ORÇAMENTO!$W$15,ROW(AM230)-ROW(AM$15),0),15-13*ORÇAMENTO!$AF$11)),
         0)</f>
        <v>80.400000000000006</v>
      </c>
      <c r="AN230" s="452">
        <f ca="1">IF(AND($D230="Serviço",AN$12&lt;&gt;0,$H230&gt;0,OR(AUTOEVENTO&lt;&gt;"manual",$M230&lt;&gt;$A$15)),
        IF(Import.TipoArredondamento&lt;&gt;"TransfereGOV",
              ROUND(OFFSET($P230,0,AN$13),15-13*ORÇAMENTO!$AF$7)/$H230*OFFSET(ORÇAMENTO!$X$15,ROW(AN230)-ROW(AN$15),0),
              ROUND(ROUND(OFFSET($P230,0,AN$13),15-13*ORÇAMENTO!$AF$7)*OFFSET(ORÇAMENTO!$W$15,ROW(AN230)-ROW(AN$15),0),15-13*ORÇAMENTO!$AF$11)),
         0)</f>
        <v>0</v>
      </c>
      <c r="AO230" s="452">
        <f ca="1">IF(AND($D230="Serviço",AO$12&lt;&gt;0,$H230&gt;0,OR(AUTOEVENTO&lt;&gt;"manual",$M230&lt;&gt;$A$15)),
        IF(Import.TipoArredondamento&lt;&gt;"TransfereGOV",
              ROUND(OFFSET($P230,0,AO$13),15-13*ORÇAMENTO!$AF$7)/$H230*OFFSET(ORÇAMENTO!$X$15,ROW(AO230)-ROW(AO$15),0),
              ROUND(ROUND(OFFSET($P230,0,AO$13),15-13*ORÇAMENTO!$AF$7)*OFFSET(ORÇAMENTO!$W$15,ROW(AO230)-ROW(AO$15),0),15-13*ORÇAMENTO!$AF$11)),
         0)</f>
        <v>0</v>
      </c>
      <c r="AP230" s="452">
        <f ca="1">IF(AND($D230="Serviço",AP$12&lt;&gt;0,$H230&gt;0,OR(AUTOEVENTO&lt;&gt;"manual",$M230&lt;&gt;$A$15)),
        IF(Import.TipoArredondamento&lt;&gt;"TransfereGOV",
              ROUND(OFFSET($P230,0,AP$13),15-13*ORÇAMENTO!$AF$7)/$H230*OFFSET(ORÇAMENTO!$X$15,ROW(AP230)-ROW(AP$15),0),
              ROUND(ROUND(OFFSET($P230,0,AP$13),15-13*ORÇAMENTO!$AF$7)*OFFSET(ORÇAMENTO!$W$15,ROW(AP230)-ROW(AP$15),0),15-13*ORÇAMENTO!$AF$11)),
         0)</f>
        <v>0</v>
      </c>
      <c r="AQ230" s="452">
        <f ca="1">IF(AND($D230="Serviço",AQ$12&lt;&gt;0,$H230&gt;0,OR(AUTOEVENTO&lt;&gt;"manual",$M230&lt;&gt;$A$15)),
        IF(Import.TipoArredondamento&lt;&gt;"TransfereGOV",
              ROUND(OFFSET($P230,0,AQ$13),15-13*ORÇAMENTO!$AF$7)/$H230*OFFSET(ORÇAMENTO!$X$15,ROW(AQ230)-ROW(AQ$15),0),
              ROUND(ROUND(OFFSET($P230,0,AQ$13),15-13*ORÇAMENTO!$AF$7)*OFFSET(ORÇAMENTO!$W$15,ROW(AQ230)-ROW(AQ$15),0),15-13*ORÇAMENTO!$AF$11)),
         0)</f>
        <v>0</v>
      </c>
      <c r="AR230" s="452">
        <f ca="1">IF(AND($D230="Serviço",AR$12&lt;&gt;0,$H230&gt;0,OR(AUTOEVENTO&lt;&gt;"manual",$M230&lt;&gt;$A$15)),
        IF(Import.TipoArredondamento&lt;&gt;"TransfereGOV",
              ROUND(OFFSET($P230,0,AR$13),15-13*ORÇAMENTO!$AF$7)/$H230*OFFSET(ORÇAMENTO!$X$15,ROW(AR230)-ROW(AR$15),0),
              ROUND(ROUND(OFFSET($P230,0,AR$13),15-13*ORÇAMENTO!$AF$7)*OFFSET(ORÇAMENTO!$W$15,ROW(AR230)-ROW(AR$15),0),15-13*ORÇAMENTO!$AF$11)),
         0)</f>
        <v>0</v>
      </c>
      <c r="AS230" s="452">
        <f ca="1">IF(AND($D230="Serviço",AS$12&lt;&gt;0,$H230&gt;0,OR(AUTOEVENTO&lt;&gt;"manual",$M230&lt;&gt;$A$15)),
        IF(Import.TipoArredondamento&lt;&gt;"TransfereGOV",
              ROUND(OFFSET($P230,0,AS$13),15-13*ORÇAMENTO!$AF$7)/$H230*OFFSET(ORÇAMENTO!$X$15,ROW(AS230)-ROW(AS$15),0),
              ROUND(ROUND(OFFSET($P230,0,AS$13),15-13*ORÇAMENTO!$AF$7)*OFFSET(ORÇAMENTO!$W$15,ROW(AS230)-ROW(AS$15),0),15-13*ORÇAMENTO!$AF$11)),
         0)</f>
        <v>0</v>
      </c>
      <c r="AT230" s="452">
        <f ca="1">IF(AND($D230="Serviço",AT$12&lt;&gt;0,$H230&gt;0,OR(AUTOEVENTO&lt;&gt;"manual",$M230&lt;&gt;$A$15)),
        IF(Import.TipoArredondamento&lt;&gt;"TransfereGOV",
              ROUND(OFFSET($P230,0,AT$13),15-13*ORÇAMENTO!$AF$7)/$H230*OFFSET(ORÇAMENTO!$X$15,ROW(AT230)-ROW(AT$15),0),
              ROUND(ROUND(OFFSET($P230,0,AT$13),15-13*ORÇAMENTO!$AF$7)*OFFSET(ORÇAMENTO!$W$15,ROW(AT230)-ROW(AT$15),0),15-13*ORÇAMENTO!$AF$11)),
         0)</f>
        <v>0</v>
      </c>
      <c r="AU230" s="452">
        <f ca="1">IF(AND($D230="Serviço",AU$12&lt;&gt;0,$H230&gt;0,OR(AUTOEVENTO&lt;&gt;"manual",$M230&lt;&gt;$A$15)),
        IF(Import.TipoArredondamento&lt;&gt;"TransfereGOV",
              ROUND(OFFSET($P230,0,AU$13),15-13*ORÇAMENTO!$AF$7)/$H230*OFFSET(ORÇAMENTO!$X$15,ROW(AU230)-ROW(AU$15),0),
              ROUND(ROUND(OFFSET($P230,0,AU$13),15-13*ORÇAMENTO!$AF$7)*OFFSET(ORÇAMENTO!$W$15,ROW(AU230)-ROW(AU$15),0),15-13*ORÇAMENTO!$AF$11)),
         0)</f>
        <v>0</v>
      </c>
      <c r="AV230" s="452">
        <f ca="1">IF(AND($D230="Serviço",AV$12&lt;&gt;0,$H230&gt;0,OR(AUTOEVENTO&lt;&gt;"manual",$M230&lt;&gt;$A$15)),
        IF(Import.TipoArredondamento&lt;&gt;"TransfereGOV",
              ROUND(OFFSET($P230,0,AV$13),15-13*ORÇAMENTO!$AF$7)/$H230*OFFSET(ORÇAMENTO!$X$15,ROW(AV230)-ROW(AV$15),0),
              ROUND(ROUND(OFFSET($P230,0,AV$13),15-13*ORÇAMENTO!$AF$7)*OFFSET(ORÇAMENTO!$W$15,ROW(AV230)-ROW(AV$15),0),15-13*ORÇAMENTO!$AF$11)),
         0)</f>
        <v>0</v>
      </c>
      <c r="AW230" s="452">
        <f ca="1">IF(AND($D230="Serviço",AW$12&lt;&gt;0,$H230&gt;0,OR(AUTOEVENTO&lt;&gt;"manual",$M230&lt;&gt;$A$15)),
        IF(Import.TipoArredondamento&lt;&gt;"TransfereGOV",
              ROUND(OFFSET($P230,0,AW$13),15-13*ORÇAMENTO!$AF$7)/$H230*OFFSET(ORÇAMENTO!$X$15,ROW(AW230)-ROW(AW$15),0),
              ROUND(ROUND(OFFSET($P230,0,AW$13),15-13*ORÇAMENTO!$AF$7)*OFFSET(ORÇAMENTO!$W$15,ROW(AW230)-ROW(AW$15),0),15-13*ORÇAMENTO!$AF$11)),
         0)</f>
        <v>0</v>
      </c>
      <c r="AX230" s="452">
        <f ca="1">IF(AND($D230="Serviço",AX$12&lt;&gt;0,$H230&gt;0,OR(AUTOEVENTO&lt;&gt;"manual",$M230&lt;&gt;$A$15)),
        IF(Import.TipoArredondamento&lt;&gt;"TransfereGOV",
              ROUND(OFFSET($P230,0,AX$13),15-13*ORÇAMENTO!$AF$7)/$H230*OFFSET(ORÇAMENTO!$X$15,ROW(AX230)-ROW(AX$15),0),
              ROUND(ROUND(OFFSET($P230,0,AX$13),15-13*ORÇAMENTO!$AF$7)*OFFSET(ORÇAMENTO!$W$15,ROW(AX230)-ROW(AX$15),0),15-13*ORÇAMENTO!$AF$11)),
         0)</f>
        <v>0</v>
      </c>
      <c r="AY230" s="452">
        <f ca="1">IF(AND($D230="Serviço",AY$12&lt;&gt;0,$H230&gt;0,OR(AUTOEVENTO&lt;&gt;"manual",$M230&lt;&gt;$A$15)),
        IF(Import.TipoArredondamento&lt;&gt;"TransfereGOV",
              ROUND(OFFSET($P230,0,AY$13),15-13*ORÇAMENTO!$AF$7)/$H230*OFFSET(ORÇAMENTO!$X$15,ROW(AY230)-ROW(AY$15),0),
              ROUND(ROUND(OFFSET($P230,0,AY$13),15-13*ORÇAMENTO!$AF$7)*OFFSET(ORÇAMENTO!$W$15,ROW(AY230)-ROW(AY$15),0),15-13*ORÇAMENTO!$AF$11)),
         0)</f>
        <v>0</v>
      </c>
      <c r="AZ230" s="452">
        <f ca="1">IF(AND($D230="Serviço",AZ$12&lt;&gt;0,$H230&gt;0,OR(AUTOEVENTO&lt;&gt;"manual",$M230&lt;&gt;$A$15)),
        IF(Import.TipoArredondamento&lt;&gt;"TransfereGOV",
              ROUND(OFFSET($P230,0,AZ$13),15-13*ORÇAMENTO!$AF$7)/$H230*OFFSET(ORÇAMENTO!$X$15,ROW(AZ230)-ROW(AZ$15),0),
              ROUND(ROUND(OFFSET($P230,0,AZ$13),15-13*ORÇAMENTO!$AF$7)*OFFSET(ORÇAMENTO!$W$15,ROW(AZ230)-ROW(AZ$15),0),15-13*ORÇAMENTO!$AF$11)),
         0)</f>
        <v>0</v>
      </c>
      <c r="BA230" s="452">
        <f ca="1">IF(AND($D230="Serviço",BA$12&lt;&gt;0,$H230&gt;0,OR(AUTOEVENTO&lt;&gt;"manual",$M230&lt;&gt;$A$15)),
        IF(Import.TipoArredondamento&lt;&gt;"TransfereGOV",
              ROUND(OFFSET($P230,0,BA$13),15-13*ORÇAMENTO!$AF$7)/$H230*OFFSET(ORÇAMENTO!$X$15,ROW(BA230)-ROW(BA$15),0),
              ROUND(ROUND(OFFSET($P230,0,BA$13),15-13*ORÇAMENTO!$AF$7)*OFFSET(ORÇAMENTO!$W$15,ROW(BA230)-ROW(BA$15),0),15-13*ORÇAMENTO!$AF$11)),
         0)</f>
        <v>0</v>
      </c>
      <c r="BC230" s="171">
        <f ca="1">IF(OR($D230&lt;&gt;"Serviço",AND(AUTOEVENTO="Manual",$M230=$A$15)),0,
         IF(OFFSET(CRONOPLE!$F$15,$M230-$A$15,BC$13)=0,10^12,OFFSET(CRONOPLE!$F$15,$M230-$A$15,BC$13)))</f>
        <v>9</v>
      </c>
      <c r="BD230" s="171">
        <f ca="1">IF(OR($D230&lt;&gt;"Serviço",AND(AUTOEVENTO="Manual",$M230=$A$15)),0,
         IF(OFFSET(CRONOPLE!$F$15,$M230-$A$15,BD$13)=0,10^12,OFFSET(CRONOPLE!$F$15,$M230-$A$15,BD$13)))</f>
        <v>9</v>
      </c>
      <c r="BE230" s="171">
        <f ca="1">IF(OR($D230&lt;&gt;"Serviço",AND(AUTOEVENTO="Manual",$M230=$A$15)),0,
         IF(OFFSET(CRONOPLE!$F$15,$M230-$A$15,BE$13)=0,10^12,OFFSET(CRONOPLE!$F$15,$M230-$A$15,BE$13)))</f>
        <v>9</v>
      </c>
      <c r="BF230" s="171">
        <f ca="1">IF(OR($D230&lt;&gt;"Serviço",AND(AUTOEVENTO="Manual",$M230=$A$15)),0,
         IF(OFFSET(CRONOPLE!$F$15,$M230-$A$15,BF$13)=0,10^12,OFFSET(CRONOPLE!$F$15,$M230-$A$15,BF$13)))</f>
        <v>9</v>
      </c>
      <c r="BG230" s="171">
        <f ca="1">IF(OR($D230&lt;&gt;"Serviço",AND(AUTOEVENTO="Manual",$M230=$A$15)),0,
         IF(OFFSET(CRONOPLE!$F$15,$M230-$A$15,BG$13)=0,10^12,OFFSET(CRONOPLE!$F$15,$M230-$A$15,BG$13)))</f>
        <v>9</v>
      </c>
      <c r="BH230" s="171">
        <f ca="1">IF(OR($D230&lt;&gt;"Serviço",AND(AUTOEVENTO="Manual",$M230=$A$15)),0,
         IF(OFFSET(CRONOPLE!$F$15,$M230-$A$15,BH$13)=0,10^12,OFFSET(CRONOPLE!$F$15,$M230-$A$15,BH$13)))</f>
        <v>1000000000000</v>
      </c>
      <c r="BI230" s="171">
        <f ca="1">IF(OR($D230&lt;&gt;"Serviço",AND(AUTOEVENTO="Manual",$M230=$A$15)),0,
         IF(OFFSET(CRONOPLE!$F$15,$M230-$A$15,BI$13)=0,10^12,OFFSET(CRONOPLE!$F$15,$M230-$A$15,BI$13)))</f>
        <v>1000000000000</v>
      </c>
      <c r="BJ230" s="171">
        <f ca="1">IF(OR($D230&lt;&gt;"Serviço",AND(AUTOEVENTO="Manual",$M230=$A$15)),0,
         IF(OFFSET(CRONOPLE!$F$15,$M230-$A$15,BJ$13)=0,10^12,OFFSET(CRONOPLE!$F$15,$M230-$A$15,BJ$13)))</f>
        <v>1000000000000</v>
      </c>
      <c r="BK230" s="171">
        <f ca="1">IF(OR($D230&lt;&gt;"Serviço",AND(AUTOEVENTO="Manual",$M230=$A$15)),0,
         IF(OFFSET(CRONOPLE!$F$15,$M230-$A$15,BK$13)=0,10^12,OFFSET(CRONOPLE!$F$15,$M230-$A$15,BK$13)))</f>
        <v>1000000000000</v>
      </c>
      <c r="BL230" s="171">
        <f ca="1">IF(OR($D230&lt;&gt;"Serviço",AND(AUTOEVENTO="Manual",$M230=$A$15)),0,
         IF(OFFSET(CRONOPLE!$F$15,$M230-$A$15,BL$13)=0,10^12,OFFSET(CRONOPLE!$F$15,$M230-$A$15,BL$13)))</f>
        <v>1000000000000</v>
      </c>
      <c r="BM230" s="171">
        <f ca="1">IF(OR($D230&lt;&gt;"Serviço",AND(AUTOEVENTO="Manual",$M230=$A$15)),0,
         IF(OFFSET(CRONOPLE!$F$15,$M230-$A$15,BM$13)=0,10^12,OFFSET(CRONOPLE!$F$15,$M230-$A$15,BM$13)))</f>
        <v>1000000000000</v>
      </c>
      <c r="BN230" s="171">
        <f ca="1">IF(OR($D230&lt;&gt;"Serviço",AND(AUTOEVENTO="Manual",$M230=$A$15)),0,
         IF(OFFSET(CRONOPLE!$F$15,$M230-$A$15,BN$13)=0,10^12,OFFSET(CRONOPLE!$F$15,$M230-$A$15,BN$13)))</f>
        <v>1000000000000</v>
      </c>
      <c r="BO230" s="171">
        <f ca="1">IF(OR($D230&lt;&gt;"Serviço",AND(AUTOEVENTO="Manual",$M230=$A$15)),0,
         IF(OFFSET(CRONOPLE!$F$15,$M230-$A$15,BO$13)=0,10^12,OFFSET(CRONOPLE!$F$15,$M230-$A$15,BO$13)))</f>
        <v>1000000000000</v>
      </c>
      <c r="BP230" s="171">
        <f ca="1">IF(OR($D230&lt;&gt;"Serviço",AND(AUTOEVENTO="Manual",$M230=$A$15)),0,
         IF(OFFSET(CRONOPLE!$F$15,$M230-$A$15,BP$13)=0,10^12,OFFSET(CRONOPLE!$F$15,$M230-$A$15,BP$13)))</f>
        <v>1000000000000</v>
      </c>
      <c r="BQ230" s="171">
        <f ca="1">IF(OR($D230&lt;&gt;"Serviço",AND(AUTOEVENTO="Manual",$M230=$A$15)),0,
         IF(OFFSET(CRONOPLE!$F$15,$M230-$A$15,BQ$13)=0,10^12,OFFSET(CRONOPLE!$F$15,$M230-$A$15,BQ$13)))</f>
        <v>1000000000000</v>
      </c>
      <c r="BR230" s="171">
        <f ca="1">IF(OR($D230&lt;&gt;"Serviço",AND(AUTOEVENTO="Manual",$M230=$A$15)),0,
         IF(OFFSET(CRONOPLE!$F$15,$M230-$A$15,BR$13)=0,10^12,OFFSET(CRONOPLE!$F$15,$M230-$A$15,BR$13)))</f>
        <v>1000000000000</v>
      </c>
      <c r="BS230" s="171">
        <f ca="1">IF(OR($D230&lt;&gt;"Serviço",AND(AUTOEVENTO="Manual",$M230=$A$15)),0,
         IF(OFFSET(CRONOPLE!$F$15,$M230-$A$15,BS$13)=0,10^12,OFFSET(CRONOPLE!$F$15,$M230-$A$15,BS$13)))</f>
        <v>1000000000000</v>
      </c>
      <c r="BT230" s="171">
        <f ca="1">IF(OR($D230&lt;&gt;"Serviço",AND(AUTOEVENTO="Manual",$M230=$A$15)),0,
         IF(OFFSET(CRONOPLE!$F$15,$M230-$A$15,BT$13)=0,10^12,OFFSET(CRONOPLE!$F$15,$M230-$A$15,BT$13)))</f>
        <v>1000000000000</v>
      </c>
      <c r="BV230" s="172">
        <f t="array" aca="1" ref="BV230" ca="1">IF(OR($D230&lt;&gt;"Serviço",AND(AUTOEVENTO="Manual",$M230=$A$15),$M230&gt;(ROW(PLE.lastrow)-ROW(PLE.firstrow))),0,
           IF(OFFSET(PLE!$G$15,$M230-$A$15,BV$13)="",10^12,OFFSET(PLE!$G$15,$M230-$A$15,BV$13)))</f>
        <v>1000000000000</v>
      </c>
      <c r="BW230" s="172">
        <f t="array" aca="1" ref="BW230" ca="1">IF(OR($D230&lt;&gt;"Serviço",AND(AUTOEVENTO="Manual",$M230=$A$15),$M230&gt;(ROW(PLE.lastrow)-ROW(PLE.firstrow))),0,
           IF(OFFSET(PLE!$G$15,$M230-$A$15,BW$13)="",10^12,OFFSET(PLE!$G$15,$M230-$A$15,BW$13)))</f>
        <v>1000000000000</v>
      </c>
      <c r="BX230" s="172">
        <f t="array" aca="1" ref="BX230" ca="1">IF(OR($D230&lt;&gt;"Serviço",AND(AUTOEVENTO="Manual",$M230=$A$15),$M230&gt;(ROW(PLE.lastrow)-ROW(PLE.firstrow))),0,
           IF(OFFSET(PLE!$G$15,$M230-$A$15,BX$13)="",10^12,OFFSET(PLE!$G$15,$M230-$A$15,BX$13)))</f>
        <v>1000000000000</v>
      </c>
      <c r="BY230" s="172">
        <f t="array" aca="1" ref="BY230" ca="1">IF(OR($D230&lt;&gt;"Serviço",AND(AUTOEVENTO="Manual",$M230=$A$15),$M230&gt;(ROW(PLE.lastrow)-ROW(PLE.firstrow))),0,
           IF(OFFSET(PLE!$G$15,$M230-$A$15,BY$13)="",10^12,OFFSET(PLE!$G$15,$M230-$A$15,BY$13)))</f>
        <v>1000000000000</v>
      </c>
      <c r="BZ230" s="172">
        <f t="array" aca="1" ref="BZ230" ca="1">IF(OR($D230&lt;&gt;"Serviço",AND(AUTOEVENTO="Manual",$M230=$A$15),$M230&gt;(ROW(PLE.lastrow)-ROW(PLE.firstrow))),0,
           IF(OFFSET(PLE!$G$15,$M230-$A$15,BZ$13)="",10^12,OFFSET(PLE!$G$15,$M230-$A$15,BZ$13)))</f>
        <v>1000000000000</v>
      </c>
      <c r="CA230" s="172">
        <f t="array" aca="1" ref="CA230" ca="1">IF(OR($D230&lt;&gt;"Serviço",AND(AUTOEVENTO="Manual",$M230=$A$15),$M230&gt;(ROW(PLE.lastrow)-ROW(PLE.firstrow))),0,
           IF(OFFSET(PLE!$G$15,$M230-$A$15,CA$13)="",10^12,OFFSET(PLE!$G$15,$M230-$A$15,CA$13)))</f>
        <v>1000000000000</v>
      </c>
      <c r="CB230" s="172">
        <f t="array" aca="1" ref="CB230" ca="1">IF(OR($D230&lt;&gt;"Serviço",AND(AUTOEVENTO="Manual",$M230=$A$15),$M230&gt;(ROW(PLE.lastrow)-ROW(PLE.firstrow))),0,
           IF(OFFSET(PLE!$G$15,$M230-$A$15,CB$13)="",10^12,OFFSET(PLE!$G$15,$M230-$A$15,CB$13)))</f>
        <v>1000000000000</v>
      </c>
      <c r="CC230" s="172">
        <f t="array" aca="1" ref="CC230" ca="1">IF(OR($D230&lt;&gt;"Serviço",AND(AUTOEVENTO="Manual",$M230=$A$15),$M230&gt;(ROW(PLE.lastrow)-ROW(PLE.firstrow))),0,
           IF(OFFSET(PLE!$G$15,$M230-$A$15,CC$13)="",10^12,OFFSET(PLE!$G$15,$M230-$A$15,CC$13)))</f>
        <v>1000000000000</v>
      </c>
      <c r="CD230" s="172">
        <f t="array" aca="1" ref="CD230" ca="1">IF(OR($D230&lt;&gt;"Serviço",AND(AUTOEVENTO="Manual",$M230=$A$15),$M230&gt;(ROW(PLE.lastrow)-ROW(PLE.firstrow))),0,
           IF(OFFSET(PLE!$G$15,$M230-$A$15,CD$13)="",10^12,OFFSET(PLE!$G$15,$M230-$A$15,CD$13)))</f>
        <v>1000000000000</v>
      </c>
      <c r="CE230" s="172">
        <f t="array" aca="1" ref="CE230" ca="1">IF(OR($D230&lt;&gt;"Serviço",AND(AUTOEVENTO="Manual",$M230=$A$15),$M230&gt;(ROW(PLE.lastrow)-ROW(PLE.firstrow))),0,
           IF(OFFSET(PLE!$G$15,$M230-$A$15,CE$13)="",10^12,OFFSET(PLE!$G$15,$M230-$A$15,CE$13)))</f>
        <v>1000000000000</v>
      </c>
      <c r="CF230" s="172">
        <f t="array" aca="1" ref="CF230" ca="1">IF(OR($D230&lt;&gt;"Serviço",AND(AUTOEVENTO="Manual",$M230=$A$15),$M230&gt;(ROW(PLE.lastrow)-ROW(PLE.firstrow))),0,
           IF(OFFSET(PLE!$G$15,$M230-$A$15,CF$13)="",10^12,OFFSET(PLE!$G$15,$M230-$A$15,CF$13)))</f>
        <v>1000000000000</v>
      </c>
      <c r="CG230" s="172">
        <f t="array" aca="1" ref="CG230" ca="1">IF(OR($D230&lt;&gt;"Serviço",AND(AUTOEVENTO="Manual",$M230=$A$15),$M230&gt;(ROW(PLE.lastrow)-ROW(PLE.firstrow))),0,
           IF(OFFSET(PLE!$G$15,$M230-$A$15,CG$13)="",10^12,OFFSET(PLE!$G$15,$M230-$A$15,CG$13)))</f>
        <v>1000000000000</v>
      </c>
      <c r="CH230" s="172">
        <f t="array" aca="1" ref="CH230" ca="1">IF(OR($D230&lt;&gt;"Serviço",AND(AUTOEVENTO="Manual",$M230=$A$15),$M230&gt;(ROW(PLE.lastrow)-ROW(PLE.firstrow))),0,
           IF(OFFSET(PLE!$G$15,$M230-$A$15,CH$13)="",10^12,OFFSET(PLE!$G$15,$M230-$A$15,CH$13)))</f>
        <v>1000000000000</v>
      </c>
      <c r="CI230" s="172">
        <f t="array" aca="1" ref="CI230" ca="1">IF(OR($D230&lt;&gt;"Serviço",AND(AUTOEVENTO="Manual",$M230=$A$15),$M230&gt;(ROW(PLE.lastrow)-ROW(PLE.firstrow))),0,
           IF(OFFSET(PLE!$G$15,$M230-$A$15,CI$13)="",10^12,OFFSET(PLE!$G$15,$M230-$A$15,CI$13)))</f>
        <v>1000000000000</v>
      </c>
      <c r="CJ230" s="172">
        <f t="array" aca="1" ref="CJ230" ca="1">IF(OR($D230&lt;&gt;"Serviço",AND(AUTOEVENTO="Manual",$M230=$A$15),$M230&gt;(ROW(PLE.lastrow)-ROW(PLE.firstrow))),0,
           IF(OFFSET(PLE!$G$15,$M230-$A$15,CJ$13)="",10^12,OFFSET(PLE!$G$15,$M230-$A$15,CJ$13)))</f>
        <v>1000000000000</v>
      </c>
      <c r="CK230" s="172">
        <f t="array" aca="1" ref="CK230" ca="1">IF(OR($D230&lt;&gt;"Serviço",AND(AUTOEVENTO="Manual",$M230=$A$15),$M230&gt;(ROW(PLE.lastrow)-ROW(PLE.firstrow))),0,
           IF(OFFSET(PLE!$G$15,$M230-$A$15,CK$13)="",10^12,OFFSET(PLE!$G$15,$M230-$A$15,CK$13)))</f>
        <v>1000000000000</v>
      </c>
      <c r="CL230" s="172">
        <f t="array" aca="1" ref="CL230" ca="1">IF(OR($D230&lt;&gt;"Serviço",AND(AUTOEVENTO="Manual",$M230=$A$15),$M230&gt;(ROW(PLE.lastrow)-ROW(PLE.firstrow))),0,
           IF(OFFSET(PLE!$G$15,$M230-$A$15,CL$13)="",10^12,OFFSET(PLE!$G$15,$M230-$A$15,CL$13)))</f>
        <v>1000000000000</v>
      </c>
      <c r="CM230" s="172">
        <f t="array" aca="1" ref="CM230" ca="1">IF(OR($D230&lt;&gt;"Serviço",AND(AUTOEVENTO="Manual",$M230=$A$15),$M230&gt;(ROW(PLE.lastrow)-ROW(PLE.firstrow))),0,
           IF(OFFSET(PLE!$G$15,$M230-$A$15,CM$13)="",10^12,OFFSET(PLE!$G$15,$M230-$A$15,CM$13)))</f>
        <v>1000000000000</v>
      </c>
    </row>
    <row r="231" spans="1:91" s="696" customFormat="1" ht="51" x14ac:dyDescent="0.2">
      <c r="A231" s="694">
        <f t="shared" ca="1" si="98"/>
        <v>41</v>
      </c>
      <c r="B231" s="694" t="str">
        <f ca="1">OFFSET(ORÇAMENTO!C$15,$L231,0)</f>
        <v>S</v>
      </c>
      <c r="C231" s="694" t="str">
        <f ca="1">OFFSET(ORÇAMENTO!L$15,$L231,0)</f>
        <v>F</v>
      </c>
      <c r="D231" s="116" t="str">
        <f ca="1">OFFSET(ORÇAMENTO!N$15,$L231,0)</f>
        <v>Serviço</v>
      </c>
      <c r="E231" s="117" t="str">
        <f ca="1">OFFSET(ORÇAMENTO!O$15,$L231,0)</f>
        <v>1.34.6.</v>
      </c>
      <c r="F231" s="163" t="str">
        <f ca="1">OFFSET(ORÇAMENTO!R$15,$L231,0)</f>
        <v>LIMPEZA DE PISO CERÂMICO OU PORCELANATO UTILIZANDO DETERGENTE NEUTRO E ESCOVAÇÃO MANUAL. AF_04/2019</v>
      </c>
      <c r="G231" s="164" t="str">
        <f ca="1">IF($D231&lt;&gt;"Serviço","",OFFSET(ORÇAMENTO!S$15,$L231,0))</f>
        <v>M2</v>
      </c>
      <c r="H231" s="122">
        <f t="array" aca="1" ref="H231" ca="1">IF($D231&lt;&gt;"Serviço",0,IF(ACOMPANHAMENTO="BM",ROUND(OFFSET(ORÇAMENTO!AJ$15,$L231,0),15-13*ORÇAMENTO!$AF$7),IF(IFERROR(CÁLCULO.FrentesPreenchidas,0)=0,0,SUM(ROUND(OFFSET($P231,0,1,1,CÁLCULO.FrentesPreenchidas),15-13*ORÇAMENTO!$AF$7)))))</f>
        <v>949.2</v>
      </c>
      <c r="I231" s="467" t="s">
        <v>1349</v>
      </c>
      <c r="J231" s="653" t="str">
        <f t="array" aca="1" ref="J231" ca="1">IF(OR(B231&lt;&gt;"S",CÁLCULO.FrentesPreenchidas=0),"",IF(AND(ACOMPANHAMENTO="PLE",AUTOEVENTO="Manual",OR(H231&gt;0,ORÇAMENTO!AC231="QUANT."),OR(K231="",M231=0,N231="")),"►E",IF(AND(ACOMPANHAMENTO="PLE",ORÇAMENTO!AC231="QUANT."),"►Q",IF(AND(ACOMPANHAMENTO="PLE",H231&lt;&gt;SUMPRODUCT(($Q$1:$AI$1=1)*ROUND(Q231:AI231,15))),"►S",IF(AND(COUNTIF($P$11:$AI$11,"▼")=0,H231&gt;0,I231=""),"◄M","")))))</f>
        <v/>
      </c>
      <c r="K231" s="654" t="s">
        <v>1451</v>
      </c>
      <c r="L231" s="165">
        <f t="shared" ca="1" si="99"/>
        <v>216</v>
      </c>
      <c r="M231" s="166">
        <f ca="1">IF($D231&lt;&gt;"Serviço","",
          IF(AUTOEVENTO="manual",$A231,
                IF(ISERROR(MATCH($A231,$A$15:OFFSET($A231,-1,0),0)),MAX($M$15:OFFSET(M231,-1,0))+1,
                      INDEX($M$15:OFFSET(M231,-1,0),MATCH($A231,$A$15:OFFSET($A231,-1,0),0)))))</f>
        <v>41</v>
      </c>
      <c r="N231" s="167" t="str">
        <f ca="1">IF($D231&lt;&gt;"Serviço","",
         IF(AUTOEVENTO="Manual",
                IF($A231=0,"&lt;-- defina o número do agrupador",
                       OFFSET(EVENTOS!$D$15,$A231-$A$15,0)),
                OFFSET($F$15,$A231,0)))</f>
        <v>LIMPEZA FINAL DA OBRA</v>
      </c>
      <c r="O231" s="168"/>
      <c r="Q231" s="169">
        <f>47.46*5</f>
        <v>237.3</v>
      </c>
      <c r="R231" s="169">
        <f t="shared" ref="R231:T231" si="106">47.46*5</f>
        <v>237.3</v>
      </c>
      <c r="S231" s="169">
        <f t="shared" si="106"/>
        <v>237.3</v>
      </c>
      <c r="T231" s="169">
        <f t="shared" si="106"/>
        <v>237.3</v>
      </c>
      <c r="U231" s="169"/>
      <c r="V231" s="169"/>
      <c r="W231" s="169"/>
      <c r="X231" s="169"/>
      <c r="Y231" s="169"/>
      <c r="Z231" s="170"/>
      <c r="AA231" s="169"/>
      <c r="AB231" s="169"/>
      <c r="AC231" s="169"/>
      <c r="AD231" s="169"/>
      <c r="AE231" s="169"/>
      <c r="AF231" s="169"/>
      <c r="AG231" s="169"/>
      <c r="AH231" s="170"/>
      <c r="AJ231" s="452">
        <f ca="1">IF(AND($D231="Serviço",AJ$12&lt;&gt;0,$H231&gt;0,OR(AUTOEVENTO&lt;&gt;"manual",$M231&lt;&gt;$A$15)),
        IF(Import.TipoArredondamento&lt;&gt;"TransfereGOV",
              ROUND(OFFSET($P231,0,AJ$13),15-13*ORÇAMENTO!$AF$7)/$H231*OFFSET(ORÇAMENTO!$X$15,ROW(AJ231)-ROW(AJ$15),0),
              ROUND(ROUND(OFFSET($P231,0,AJ$13),15-13*ORÇAMENTO!$AF$7)*OFFSET(ORÇAMENTO!$W$15,ROW(AJ231)-ROW(AJ$15),0),15-13*ORÇAMENTO!$AF$11)),
         0)</f>
        <v>1532.96</v>
      </c>
      <c r="AK231" s="452">
        <f ca="1">IF(AND($D231="Serviço",AK$12&lt;&gt;0,$H231&gt;0,OR(AUTOEVENTO&lt;&gt;"manual",$M231&lt;&gt;$A$15)),
        IF(Import.TipoArredondamento&lt;&gt;"TransfereGOV",
              ROUND(OFFSET($P231,0,AK$13),15-13*ORÇAMENTO!$AF$7)/$H231*OFFSET(ORÇAMENTO!$X$15,ROW(AK231)-ROW(AK$15),0),
              ROUND(ROUND(OFFSET($P231,0,AK$13),15-13*ORÇAMENTO!$AF$7)*OFFSET(ORÇAMENTO!$W$15,ROW(AK231)-ROW(AK$15),0),15-13*ORÇAMENTO!$AF$11)),
         0)</f>
        <v>1532.96</v>
      </c>
      <c r="AL231" s="452">
        <f ca="1">IF(AND($D231="Serviço",AL$12&lt;&gt;0,$H231&gt;0,OR(AUTOEVENTO&lt;&gt;"manual",$M231&lt;&gt;$A$15)),
        IF(Import.TipoArredondamento&lt;&gt;"TransfereGOV",
              ROUND(OFFSET($P231,0,AL$13),15-13*ORÇAMENTO!$AF$7)/$H231*OFFSET(ORÇAMENTO!$X$15,ROW(AL231)-ROW(AL$15),0),
              ROUND(ROUND(OFFSET($P231,0,AL$13),15-13*ORÇAMENTO!$AF$7)*OFFSET(ORÇAMENTO!$W$15,ROW(AL231)-ROW(AL$15),0),15-13*ORÇAMENTO!$AF$11)),
         0)</f>
        <v>1532.96</v>
      </c>
      <c r="AM231" s="452">
        <f ca="1">IF(AND($D231="Serviço",AM$12&lt;&gt;0,$H231&gt;0,OR(AUTOEVENTO&lt;&gt;"manual",$M231&lt;&gt;$A$15)),
        IF(Import.TipoArredondamento&lt;&gt;"TransfereGOV",
              ROUND(OFFSET($P231,0,AM$13),15-13*ORÇAMENTO!$AF$7)/$H231*OFFSET(ORÇAMENTO!$X$15,ROW(AM231)-ROW(AM$15),0),
              ROUND(ROUND(OFFSET($P231,0,AM$13),15-13*ORÇAMENTO!$AF$7)*OFFSET(ORÇAMENTO!$W$15,ROW(AM231)-ROW(AM$15),0),15-13*ORÇAMENTO!$AF$11)),
         0)</f>
        <v>1532.96</v>
      </c>
      <c r="AN231" s="452">
        <f ca="1">IF(AND($D231="Serviço",AN$12&lt;&gt;0,$H231&gt;0,OR(AUTOEVENTO&lt;&gt;"manual",$M231&lt;&gt;$A$15)),
        IF(Import.TipoArredondamento&lt;&gt;"TransfereGOV",
              ROUND(OFFSET($P231,0,AN$13),15-13*ORÇAMENTO!$AF$7)/$H231*OFFSET(ORÇAMENTO!$X$15,ROW(AN231)-ROW(AN$15),0),
              ROUND(ROUND(OFFSET($P231,0,AN$13),15-13*ORÇAMENTO!$AF$7)*OFFSET(ORÇAMENTO!$W$15,ROW(AN231)-ROW(AN$15),0),15-13*ORÇAMENTO!$AF$11)),
         0)</f>
        <v>0</v>
      </c>
      <c r="AO231" s="452">
        <f ca="1">IF(AND($D231="Serviço",AO$12&lt;&gt;0,$H231&gt;0,OR(AUTOEVENTO&lt;&gt;"manual",$M231&lt;&gt;$A$15)),
        IF(Import.TipoArredondamento&lt;&gt;"TransfereGOV",
              ROUND(OFFSET($P231,0,AO$13),15-13*ORÇAMENTO!$AF$7)/$H231*OFFSET(ORÇAMENTO!$X$15,ROW(AO231)-ROW(AO$15),0),
              ROUND(ROUND(OFFSET($P231,0,AO$13),15-13*ORÇAMENTO!$AF$7)*OFFSET(ORÇAMENTO!$W$15,ROW(AO231)-ROW(AO$15),0),15-13*ORÇAMENTO!$AF$11)),
         0)</f>
        <v>0</v>
      </c>
      <c r="AP231" s="452">
        <f ca="1">IF(AND($D231="Serviço",AP$12&lt;&gt;0,$H231&gt;0,OR(AUTOEVENTO&lt;&gt;"manual",$M231&lt;&gt;$A$15)),
        IF(Import.TipoArredondamento&lt;&gt;"TransfereGOV",
              ROUND(OFFSET($P231,0,AP$13),15-13*ORÇAMENTO!$AF$7)/$H231*OFFSET(ORÇAMENTO!$X$15,ROW(AP231)-ROW(AP$15),0),
              ROUND(ROUND(OFFSET($P231,0,AP$13),15-13*ORÇAMENTO!$AF$7)*OFFSET(ORÇAMENTO!$W$15,ROW(AP231)-ROW(AP$15),0),15-13*ORÇAMENTO!$AF$11)),
         0)</f>
        <v>0</v>
      </c>
      <c r="AQ231" s="452">
        <f ca="1">IF(AND($D231="Serviço",AQ$12&lt;&gt;0,$H231&gt;0,OR(AUTOEVENTO&lt;&gt;"manual",$M231&lt;&gt;$A$15)),
        IF(Import.TipoArredondamento&lt;&gt;"TransfereGOV",
              ROUND(OFFSET($P231,0,AQ$13),15-13*ORÇAMENTO!$AF$7)/$H231*OFFSET(ORÇAMENTO!$X$15,ROW(AQ231)-ROW(AQ$15),0),
              ROUND(ROUND(OFFSET($P231,0,AQ$13),15-13*ORÇAMENTO!$AF$7)*OFFSET(ORÇAMENTO!$W$15,ROW(AQ231)-ROW(AQ$15),0),15-13*ORÇAMENTO!$AF$11)),
         0)</f>
        <v>0</v>
      </c>
      <c r="AR231" s="452">
        <f ca="1">IF(AND($D231="Serviço",AR$12&lt;&gt;0,$H231&gt;0,OR(AUTOEVENTO&lt;&gt;"manual",$M231&lt;&gt;$A$15)),
        IF(Import.TipoArredondamento&lt;&gt;"TransfereGOV",
              ROUND(OFFSET($P231,0,AR$13),15-13*ORÇAMENTO!$AF$7)/$H231*OFFSET(ORÇAMENTO!$X$15,ROW(AR231)-ROW(AR$15),0),
              ROUND(ROUND(OFFSET($P231,0,AR$13),15-13*ORÇAMENTO!$AF$7)*OFFSET(ORÇAMENTO!$W$15,ROW(AR231)-ROW(AR$15),0),15-13*ORÇAMENTO!$AF$11)),
         0)</f>
        <v>0</v>
      </c>
      <c r="AS231" s="452">
        <f ca="1">IF(AND($D231="Serviço",AS$12&lt;&gt;0,$H231&gt;0,OR(AUTOEVENTO&lt;&gt;"manual",$M231&lt;&gt;$A$15)),
        IF(Import.TipoArredondamento&lt;&gt;"TransfereGOV",
              ROUND(OFFSET($P231,0,AS$13),15-13*ORÇAMENTO!$AF$7)/$H231*OFFSET(ORÇAMENTO!$X$15,ROW(AS231)-ROW(AS$15),0),
              ROUND(ROUND(OFFSET($P231,0,AS$13),15-13*ORÇAMENTO!$AF$7)*OFFSET(ORÇAMENTO!$W$15,ROW(AS231)-ROW(AS$15),0),15-13*ORÇAMENTO!$AF$11)),
         0)</f>
        <v>0</v>
      </c>
      <c r="AT231" s="452">
        <f ca="1">IF(AND($D231="Serviço",AT$12&lt;&gt;0,$H231&gt;0,OR(AUTOEVENTO&lt;&gt;"manual",$M231&lt;&gt;$A$15)),
        IF(Import.TipoArredondamento&lt;&gt;"TransfereGOV",
              ROUND(OFFSET($P231,0,AT$13),15-13*ORÇAMENTO!$AF$7)/$H231*OFFSET(ORÇAMENTO!$X$15,ROW(AT231)-ROW(AT$15),0),
              ROUND(ROUND(OFFSET($P231,0,AT$13),15-13*ORÇAMENTO!$AF$7)*OFFSET(ORÇAMENTO!$W$15,ROW(AT231)-ROW(AT$15),0),15-13*ORÇAMENTO!$AF$11)),
         0)</f>
        <v>0</v>
      </c>
      <c r="AU231" s="452">
        <f ca="1">IF(AND($D231="Serviço",AU$12&lt;&gt;0,$H231&gt;0,OR(AUTOEVENTO&lt;&gt;"manual",$M231&lt;&gt;$A$15)),
        IF(Import.TipoArredondamento&lt;&gt;"TransfereGOV",
              ROUND(OFFSET($P231,0,AU$13),15-13*ORÇAMENTO!$AF$7)/$H231*OFFSET(ORÇAMENTO!$X$15,ROW(AU231)-ROW(AU$15),0),
              ROUND(ROUND(OFFSET($P231,0,AU$13),15-13*ORÇAMENTO!$AF$7)*OFFSET(ORÇAMENTO!$W$15,ROW(AU231)-ROW(AU$15),0),15-13*ORÇAMENTO!$AF$11)),
         0)</f>
        <v>0</v>
      </c>
      <c r="AV231" s="452">
        <f ca="1">IF(AND($D231="Serviço",AV$12&lt;&gt;0,$H231&gt;0,OR(AUTOEVENTO&lt;&gt;"manual",$M231&lt;&gt;$A$15)),
        IF(Import.TipoArredondamento&lt;&gt;"TransfereGOV",
              ROUND(OFFSET($P231,0,AV$13),15-13*ORÇAMENTO!$AF$7)/$H231*OFFSET(ORÇAMENTO!$X$15,ROW(AV231)-ROW(AV$15),0),
              ROUND(ROUND(OFFSET($P231,0,AV$13),15-13*ORÇAMENTO!$AF$7)*OFFSET(ORÇAMENTO!$W$15,ROW(AV231)-ROW(AV$15),0),15-13*ORÇAMENTO!$AF$11)),
         0)</f>
        <v>0</v>
      </c>
      <c r="AW231" s="452">
        <f ca="1">IF(AND($D231="Serviço",AW$12&lt;&gt;0,$H231&gt;0,OR(AUTOEVENTO&lt;&gt;"manual",$M231&lt;&gt;$A$15)),
        IF(Import.TipoArredondamento&lt;&gt;"TransfereGOV",
              ROUND(OFFSET($P231,0,AW$13),15-13*ORÇAMENTO!$AF$7)/$H231*OFFSET(ORÇAMENTO!$X$15,ROW(AW231)-ROW(AW$15),0),
              ROUND(ROUND(OFFSET($P231,0,AW$13),15-13*ORÇAMENTO!$AF$7)*OFFSET(ORÇAMENTO!$W$15,ROW(AW231)-ROW(AW$15),0),15-13*ORÇAMENTO!$AF$11)),
         0)</f>
        <v>0</v>
      </c>
      <c r="AX231" s="452">
        <f ca="1">IF(AND($D231="Serviço",AX$12&lt;&gt;0,$H231&gt;0,OR(AUTOEVENTO&lt;&gt;"manual",$M231&lt;&gt;$A$15)),
        IF(Import.TipoArredondamento&lt;&gt;"TransfereGOV",
              ROUND(OFFSET($P231,0,AX$13),15-13*ORÇAMENTO!$AF$7)/$H231*OFFSET(ORÇAMENTO!$X$15,ROW(AX231)-ROW(AX$15),0),
              ROUND(ROUND(OFFSET($P231,0,AX$13),15-13*ORÇAMENTO!$AF$7)*OFFSET(ORÇAMENTO!$W$15,ROW(AX231)-ROW(AX$15),0),15-13*ORÇAMENTO!$AF$11)),
         0)</f>
        <v>0</v>
      </c>
      <c r="AY231" s="452">
        <f ca="1">IF(AND($D231="Serviço",AY$12&lt;&gt;0,$H231&gt;0,OR(AUTOEVENTO&lt;&gt;"manual",$M231&lt;&gt;$A$15)),
        IF(Import.TipoArredondamento&lt;&gt;"TransfereGOV",
              ROUND(OFFSET($P231,0,AY$13),15-13*ORÇAMENTO!$AF$7)/$H231*OFFSET(ORÇAMENTO!$X$15,ROW(AY231)-ROW(AY$15),0),
              ROUND(ROUND(OFFSET($P231,0,AY$13),15-13*ORÇAMENTO!$AF$7)*OFFSET(ORÇAMENTO!$W$15,ROW(AY231)-ROW(AY$15),0),15-13*ORÇAMENTO!$AF$11)),
         0)</f>
        <v>0</v>
      </c>
      <c r="AZ231" s="452">
        <f ca="1">IF(AND($D231="Serviço",AZ$12&lt;&gt;0,$H231&gt;0,OR(AUTOEVENTO&lt;&gt;"manual",$M231&lt;&gt;$A$15)),
        IF(Import.TipoArredondamento&lt;&gt;"TransfereGOV",
              ROUND(OFFSET($P231,0,AZ$13),15-13*ORÇAMENTO!$AF$7)/$H231*OFFSET(ORÇAMENTO!$X$15,ROW(AZ231)-ROW(AZ$15),0),
              ROUND(ROUND(OFFSET($P231,0,AZ$13),15-13*ORÇAMENTO!$AF$7)*OFFSET(ORÇAMENTO!$W$15,ROW(AZ231)-ROW(AZ$15),0),15-13*ORÇAMENTO!$AF$11)),
         0)</f>
        <v>0</v>
      </c>
      <c r="BA231" s="452">
        <f ca="1">IF(AND($D231="Serviço",BA$12&lt;&gt;0,$H231&gt;0,OR(AUTOEVENTO&lt;&gt;"manual",$M231&lt;&gt;$A$15)),
        IF(Import.TipoArredondamento&lt;&gt;"TransfereGOV",
              ROUND(OFFSET($P231,0,BA$13),15-13*ORÇAMENTO!$AF$7)/$H231*OFFSET(ORÇAMENTO!$X$15,ROW(BA231)-ROW(BA$15),0),
              ROUND(ROUND(OFFSET($P231,0,BA$13),15-13*ORÇAMENTO!$AF$7)*OFFSET(ORÇAMENTO!$W$15,ROW(BA231)-ROW(BA$15),0),15-13*ORÇAMENTO!$AF$11)),
         0)</f>
        <v>0</v>
      </c>
      <c r="BC231" s="171">
        <f ca="1">IF(OR($D231&lt;&gt;"Serviço",AND(AUTOEVENTO="Manual",$M231=$A$15)),0,
         IF(OFFSET(CRONOPLE!$F$15,$M231-$A$15,BC$13)=0,10^12,OFFSET(CRONOPLE!$F$15,$M231-$A$15,BC$13)))</f>
        <v>9</v>
      </c>
      <c r="BD231" s="171">
        <f ca="1">IF(OR($D231&lt;&gt;"Serviço",AND(AUTOEVENTO="Manual",$M231=$A$15)),0,
         IF(OFFSET(CRONOPLE!$F$15,$M231-$A$15,BD$13)=0,10^12,OFFSET(CRONOPLE!$F$15,$M231-$A$15,BD$13)))</f>
        <v>9</v>
      </c>
      <c r="BE231" s="171">
        <f ca="1">IF(OR($D231&lt;&gt;"Serviço",AND(AUTOEVENTO="Manual",$M231=$A$15)),0,
         IF(OFFSET(CRONOPLE!$F$15,$M231-$A$15,BE$13)=0,10^12,OFFSET(CRONOPLE!$F$15,$M231-$A$15,BE$13)))</f>
        <v>9</v>
      </c>
      <c r="BF231" s="171">
        <f ca="1">IF(OR($D231&lt;&gt;"Serviço",AND(AUTOEVENTO="Manual",$M231=$A$15)),0,
         IF(OFFSET(CRONOPLE!$F$15,$M231-$A$15,BF$13)=0,10^12,OFFSET(CRONOPLE!$F$15,$M231-$A$15,BF$13)))</f>
        <v>9</v>
      </c>
      <c r="BG231" s="171">
        <f ca="1">IF(OR($D231&lt;&gt;"Serviço",AND(AUTOEVENTO="Manual",$M231=$A$15)),0,
         IF(OFFSET(CRONOPLE!$F$15,$M231-$A$15,BG$13)=0,10^12,OFFSET(CRONOPLE!$F$15,$M231-$A$15,BG$13)))</f>
        <v>9</v>
      </c>
      <c r="BH231" s="171">
        <f ca="1">IF(OR($D231&lt;&gt;"Serviço",AND(AUTOEVENTO="Manual",$M231=$A$15)),0,
         IF(OFFSET(CRONOPLE!$F$15,$M231-$A$15,BH$13)=0,10^12,OFFSET(CRONOPLE!$F$15,$M231-$A$15,BH$13)))</f>
        <v>1000000000000</v>
      </c>
      <c r="BI231" s="171">
        <f ca="1">IF(OR($D231&lt;&gt;"Serviço",AND(AUTOEVENTO="Manual",$M231=$A$15)),0,
         IF(OFFSET(CRONOPLE!$F$15,$M231-$A$15,BI$13)=0,10^12,OFFSET(CRONOPLE!$F$15,$M231-$A$15,BI$13)))</f>
        <v>1000000000000</v>
      </c>
      <c r="BJ231" s="171">
        <f ca="1">IF(OR($D231&lt;&gt;"Serviço",AND(AUTOEVENTO="Manual",$M231=$A$15)),0,
         IF(OFFSET(CRONOPLE!$F$15,$M231-$A$15,BJ$13)=0,10^12,OFFSET(CRONOPLE!$F$15,$M231-$A$15,BJ$13)))</f>
        <v>1000000000000</v>
      </c>
      <c r="BK231" s="171">
        <f ca="1">IF(OR($D231&lt;&gt;"Serviço",AND(AUTOEVENTO="Manual",$M231=$A$15)),0,
         IF(OFFSET(CRONOPLE!$F$15,$M231-$A$15,BK$13)=0,10^12,OFFSET(CRONOPLE!$F$15,$M231-$A$15,BK$13)))</f>
        <v>1000000000000</v>
      </c>
      <c r="BL231" s="171">
        <f ca="1">IF(OR($D231&lt;&gt;"Serviço",AND(AUTOEVENTO="Manual",$M231=$A$15)),0,
         IF(OFFSET(CRONOPLE!$F$15,$M231-$A$15,BL$13)=0,10^12,OFFSET(CRONOPLE!$F$15,$M231-$A$15,BL$13)))</f>
        <v>1000000000000</v>
      </c>
      <c r="BM231" s="171">
        <f ca="1">IF(OR($D231&lt;&gt;"Serviço",AND(AUTOEVENTO="Manual",$M231=$A$15)),0,
         IF(OFFSET(CRONOPLE!$F$15,$M231-$A$15,BM$13)=0,10^12,OFFSET(CRONOPLE!$F$15,$M231-$A$15,BM$13)))</f>
        <v>1000000000000</v>
      </c>
      <c r="BN231" s="171">
        <f ca="1">IF(OR($D231&lt;&gt;"Serviço",AND(AUTOEVENTO="Manual",$M231=$A$15)),0,
         IF(OFFSET(CRONOPLE!$F$15,$M231-$A$15,BN$13)=0,10^12,OFFSET(CRONOPLE!$F$15,$M231-$A$15,BN$13)))</f>
        <v>1000000000000</v>
      </c>
      <c r="BO231" s="171">
        <f ca="1">IF(OR($D231&lt;&gt;"Serviço",AND(AUTOEVENTO="Manual",$M231=$A$15)),0,
         IF(OFFSET(CRONOPLE!$F$15,$M231-$A$15,BO$13)=0,10^12,OFFSET(CRONOPLE!$F$15,$M231-$A$15,BO$13)))</f>
        <v>1000000000000</v>
      </c>
      <c r="BP231" s="171">
        <f ca="1">IF(OR($D231&lt;&gt;"Serviço",AND(AUTOEVENTO="Manual",$M231=$A$15)),0,
         IF(OFFSET(CRONOPLE!$F$15,$M231-$A$15,BP$13)=0,10^12,OFFSET(CRONOPLE!$F$15,$M231-$A$15,BP$13)))</f>
        <v>1000000000000</v>
      </c>
      <c r="BQ231" s="171">
        <f ca="1">IF(OR($D231&lt;&gt;"Serviço",AND(AUTOEVENTO="Manual",$M231=$A$15)),0,
         IF(OFFSET(CRONOPLE!$F$15,$M231-$A$15,BQ$13)=0,10^12,OFFSET(CRONOPLE!$F$15,$M231-$A$15,BQ$13)))</f>
        <v>1000000000000</v>
      </c>
      <c r="BR231" s="171">
        <f ca="1">IF(OR($D231&lt;&gt;"Serviço",AND(AUTOEVENTO="Manual",$M231=$A$15)),0,
         IF(OFFSET(CRONOPLE!$F$15,$M231-$A$15,BR$13)=0,10^12,OFFSET(CRONOPLE!$F$15,$M231-$A$15,BR$13)))</f>
        <v>1000000000000</v>
      </c>
      <c r="BS231" s="171">
        <f ca="1">IF(OR($D231&lt;&gt;"Serviço",AND(AUTOEVENTO="Manual",$M231=$A$15)),0,
         IF(OFFSET(CRONOPLE!$F$15,$M231-$A$15,BS$13)=0,10^12,OFFSET(CRONOPLE!$F$15,$M231-$A$15,BS$13)))</f>
        <v>1000000000000</v>
      </c>
      <c r="BT231" s="171">
        <f ca="1">IF(OR($D231&lt;&gt;"Serviço",AND(AUTOEVENTO="Manual",$M231=$A$15)),0,
         IF(OFFSET(CRONOPLE!$F$15,$M231-$A$15,BT$13)=0,10^12,OFFSET(CRONOPLE!$F$15,$M231-$A$15,BT$13)))</f>
        <v>1000000000000</v>
      </c>
      <c r="BV231" s="172">
        <f t="array" aca="1" ref="BV231" ca="1">IF(OR($D231&lt;&gt;"Serviço",AND(AUTOEVENTO="Manual",$M231=$A$15),$M231&gt;(ROW(PLE.lastrow)-ROW(PLE.firstrow))),0,
           IF(OFFSET(PLE!$G$15,$M231-$A$15,BV$13)="",10^12,OFFSET(PLE!$G$15,$M231-$A$15,BV$13)))</f>
        <v>1000000000000</v>
      </c>
      <c r="BW231" s="172">
        <f t="array" aca="1" ref="BW231" ca="1">IF(OR($D231&lt;&gt;"Serviço",AND(AUTOEVENTO="Manual",$M231=$A$15),$M231&gt;(ROW(PLE.lastrow)-ROW(PLE.firstrow))),0,
           IF(OFFSET(PLE!$G$15,$M231-$A$15,BW$13)="",10^12,OFFSET(PLE!$G$15,$M231-$A$15,BW$13)))</f>
        <v>1000000000000</v>
      </c>
      <c r="BX231" s="172">
        <f t="array" aca="1" ref="BX231" ca="1">IF(OR($D231&lt;&gt;"Serviço",AND(AUTOEVENTO="Manual",$M231=$A$15),$M231&gt;(ROW(PLE.lastrow)-ROW(PLE.firstrow))),0,
           IF(OFFSET(PLE!$G$15,$M231-$A$15,BX$13)="",10^12,OFFSET(PLE!$G$15,$M231-$A$15,BX$13)))</f>
        <v>1000000000000</v>
      </c>
      <c r="BY231" s="172">
        <f t="array" aca="1" ref="BY231" ca="1">IF(OR($D231&lt;&gt;"Serviço",AND(AUTOEVENTO="Manual",$M231=$A$15),$M231&gt;(ROW(PLE.lastrow)-ROW(PLE.firstrow))),0,
           IF(OFFSET(PLE!$G$15,$M231-$A$15,BY$13)="",10^12,OFFSET(PLE!$G$15,$M231-$A$15,BY$13)))</f>
        <v>1000000000000</v>
      </c>
      <c r="BZ231" s="172">
        <f t="array" aca="1" ref="BZ231" ca="1">IF(OR($D231&lt;&gt;"Serviço",AND(AUTOEVENTO="Manual",$M231=$A$15),$M231&gt;(ROW(PLE.lastrow)-ROW(PLE.firstrow))),0,
           IF(OFFSET(PLE!$G$15,$M231-$A$15,BZ$13)="",10^12,OFFSET(PLE!$G$15,$M231-$A$15,BZ$13)))</f>
        <v>1000000000000</v>
      </c>
      <c r="CA231" s="172">
        <f t="array" aca="1" ref="CA231" ca="1">IF(OR($D231&lt;&gt;"Serviço",AND(AUTOEVENTO="Manual",$M231=$A$15),$M231&gt;(ROW(PLE.lastrow)-ROW(PLE.firstrow))),0,
           IF(OFFSET(PLE!$G$15,$M231-$A$15,CA$13)="",10^12,OFFSET(PLE!$G$15,$M231-$A$15,CA$13)))</f>
        <v>1000000000000</v>
      </c>
      <c r="CB231" s="172">
        <f t="array" aca="1" ref="CB231" ca="1">IF(OR($D231&lt;&gt;"Serviço",AND(AUTOEVENTO="Manual",$M231=$A$15),$M231&gt;(ROW(PLE.lastrow)-ROW(PLE.firstrow))),0,
           IF(OFFSET(PLE!$G$15,$M231-$A$15,CB$13)="",10^12,OFFSET(PLE!$G$15,$M231-$A$15,CB$13)))</f>
        <v>1000000000000</v>
      </c>
      <c r="CC231" s="172">
        <f t="array" aca="1" ref="CC231" ca="1">IF(OR($D231&lt;&gt;"Serviço",AND(AUTOEVENTO="Manual",$M231=$A$15),$M231&gt;(ROW(PLE.lastrow)-ROW(PLE.firstrow))),0,
           IF(OFFSET(PLE!$G$15,$M231-$A$15,CC$13)="",10^12,OFFSET(PLE!$G$15,$M231-$A$15,CC$13)))</f>
        <v>1000000000000</v>
      </c>
      <c r="CD231" s="172">
        <f t="array" aca="1" ref="CD231" ca="1">IF(OR($D231&lt;&gt;"Serviço",AND(AUTOEVENTO="Manual",$M231=$A$15),$M231&gt;(ROW(PLE.lastrow)-ROW(PLE.firstrow))),0,
           IF(OFFSET(PLE!$G$15,$M231-$A$15,CD$13)="",10^12,OFFSET(PLE!$G$15,$M231-$A$15,CD$13)))</f>
        <v>1000000000000</v>
      </c>
      <c r="CE231" s="172">
        <f t="array" aca="1" ref="CE231" ca="1">IF(OR($D231&lt;&gt;"Serviço",AND(AUTOEVENTO="Manual",$M231=$A$15),$M231&gt;(ROW(PLE.lastrow)-ROW(PLE.firstrow))),0,
           IF(OFFSET(PLE!$G$15,$M231-$A$15,CE$13)="",10^12,OFFSET(PLE!$G$15,$M231-$A$15,CE$13)))</f>
        <v>1000000000000</v>
      </c>
      <c r="CF231" s="172">
        <f t="array" aca="1" ref="CF231" ca="1">IF(OR($D231&lt;&gt;"Serviço",AND(AUTOEVENTO="Manual",$M231=$A$15),$M231&gt;(ROW(PLE.lastrow)-ROW(PLE.firstrow))),0,
           IF(OFFSET(PLE!$G$15,$M231-$A$15,CF$13)="",10^12,OFFSET(PLE!$G$15,$M231-$A$15,CF$13)))</f>
        <v>1000000000000</v>
      </c>
      <c r="CG231" s="172">
        <f t="array" aca="1" ref="CG231" ca="1">IF(OR($D231&lt;&gt;"Serviço",AND(AUTOEVENTO="Manual",$M231=$A$15),$M231&gt;(ROW(PLE.lastrow)-ROW(PLE.firstrow))),0,
           IF(OFFSET(PLE!$G$15,$M231-$A$15,CG$13)="",10^12,OFFSET(PLE!$G$15,$M231-$A$15,CG$13)))</f>
        <v>1000000000000</v>
      </c>
      <c r="CH231" s="172">
        <f t="array" aca="1" ref="CH231" ca="1">IF(OR($D231&lt;&gt;"Serviço",AND(AUTOEVENTO="Manual",$M231=$A$15),$M231&gt;(ROW(PLE.lastrow)-ROW(PLE.firstrow))),0,
           IF(OFFSET(PLE!$G$15,$M231-$A$15,CH$13)="",10^12,OFFSET(PLE!$G$15,$M231-$A$15,CH$13)))</f>
        <v>1000000000000</v>
      </c>
      <c r="CI231" s="172">
        <f t="array" aca="1" ref="CI231" ca="1">IF(OR($D231&lt;&gt;"Serviço",AND(AUTOEVENTO="Manual",$M231=$A$15),$M231&gt;(ROW(PLE.lastrow)-ROW(PLE.firstrow))),0,
           IF(OFFSET(PLE!$G$15,$M231-$A$15,CI$13)="",10^12,OFFSET(PLE!$G$15,$M231-$A$15,CI$13)))</f>
        <v>1000000000000</v>
      </c>
      <c r="CJ231" s="172">
        <f t="array" aca="1" ref="CJ231" ca="1">IF(OR($D231&lt;&gt;"Serviço",AND(AUTOEVENTO="Manual",$M231=$A$15),$M231&gt;(ROW(PLE.lastrow)-ROW(PLE.firstrow))),0,
           IF(OFFSET(PLE!$G$15,$M231-$A$15,CJ$13)="",10^12,OFFSET(PLE!$G$15,$M231-$A$15,CJ$13)))</f>
        <v>1000000000000</v>
      </c>
      <c r="CK231" s="172">
        <f t="array" aca="1" ref="CK231" ca="1">IF(OR($D231&lt;&gt;"Serviço",AND(AUTOEVENTO="Manual",$M231=$A$15),$M231&gt;(ROW(PLE.lastrow)-ROW(PLE.firstrow))),0,
           IF(OFFSET(PLE!$G$15,$M231-$A$15,CK$13)="",10^12,OFFSET(PLE!$G$15,$M231-$A$15,CK$13)))</f>
        <v>1000000000000</v>
      </c>
      <c r="CL231" s="172">
        <f t="array" aca="1" ref="CL231" ca="1">IF(OR($D231&lt;&gt;"Serviço",AND(AUTOEVENTO="Manual",$M231=$A$15),$M231&gt;(ROW(PLE.lastrow)-ROW(PLE.firstrow))),0,
           IF(OFFSET(PLE!$G$15,$M231-$A$15,CL$13)="",10^12,OFFSET(PLE!$G$15,$M231-$A$15,CL$13)))</f>
        <v>1000000000000</v>
      </c>
      <c r="CM231" s="172">
        <f t="array" aca="1" ref="CM231" ca="1">IF(OR($D231&lt;&gt;"Serviço",AND(AUTOEVENTO="Manual",$M231=$A$15),$M231&gt;(ROW(PLE.lastrow)-ROW(PLE.firstrow))),0,
           IF(OFFSET(PLE!$G$15,$M231-$A$15,CM$13)="",10^12,OFFSET(PLE!$G$15,$M231-$A$15,CM$13)))</f>
        <v>1000000000000</v>
      </c>
    </row>
    <row r="232" spans="1:91" s="696" customFormat="1" ht="51" x14ac:dyDescent="0.2">
      <c r="A232" s="694">
        <f t="shared" ca="1" si="98"/>
        <v>41</v>
      </c>
      <c r="B232" s="694" t="str">
        <f ca="1">OFFSET(ORÇAMENTO!C$15,$L232,0)</f>
        <v>S</v>
      </c>
      <c r="C232" s="694" t="str">
        <f ca="1">OFFSET(ORÇAMENTO!L$15,$L232,0)</f>
        <v>F</v>
      </c>
      <c r="D232" s="116" t="str">
        <f ca="1">OFFSET(ORÇAMENTO!N$15,$L232,0)</f>
        <v>Serviço</v>
      </c>
      <c r="E232" s="117" t="str">
        <f ca="1">OFFSET(ORÇAMENTO!O$15,$L232,0)</f>
        <v>1.34.7.</v>
      </c>
      <c r="F232" s="163" t="str">
        <f ca="1">OFFSET(ORÇAMENTO!R$15,$L232,0)</f>
        <v>LIMPEZA DE PORTA DE MADEIRA. AF_04/2019</v>
      </c>
      <c r="G232" s="164" t="str">
        <f ca="1">IF($D232&lt;&gt;"Serviço","",OFFSET(ORÇAMENTO!S$15,$L232,0))</f>
        <v>M2</v>
      </c>
      <c r="H232" s="122">
        <f t="array" aca="1" ref="H232" ca="1">IF($D232&lt;&gt;"Serviço",0,IF(ACOMPANHAMENTO="BM",ROUND(OFFSET(ORÇAMENTO!AJ$15,$L232,0),15-13*ORÇAMENTO!$AF$7),IF(IFERROR(CÁLCULO.FrentesPreenchidas,0)=0,0,SUM(ROUND(OFFSET($P232,0,1,1,CÁLCULO.FrentesPreenchidas),15-13*ORÇAMENTO!$AF$7)))))</f>
        <v>336</v>
      </c>
      <c r="I232" s="467" t="s">
        <v>1353</v>
      </c>
      <c r="J232" s="653" t="str">
        <f t="array" aca="1" ref="J232" ca="1">IF(OR(B232&lt;&gt;"S",CÁLCULO.FrentesPreenchidas=0),"",IF(AND(ACOMPANHAMENTO="PLE",AUTOEVENTO="Manual",OR(H232&gt;0,ORÇAMENTO!AC232="QUANT."),OR(K232="",M232=0,N232="")),"►E",IF(AND(ACOMPANHAMENTO="PLE",ORÇAMENTO!AC232="QUANT."),"►Q",IF(AND(ACOMPANHAMENTO="PLE",H232&lt;&gt;SUMPRODUCT(($Q$1:$AI$1=1)*ROUND(Q232:AI232,15))),"►S",IF(AND(COUNTIF($P$11:$AI$11,"▼")=0,H232&gt;0,I232=""),"◄M","")))))</f>
        <v/>
      </c>
      <c r="K232" s="654" t="s">
        <v>1451</v>
      </c>
      <c r="L232" s="165">
        <f t="shared" ca="1" si="99"/>
        <v>217</v>
      </c>
      <c r="M232" s="166">
        <f ca="1">IF($D232&lt;&gt;"Serviço","",
          IF(AUTOEVENTO="manual",$A232,
                IF(ISERROR(MATCH($A232,$A$15:OFFSET($A232,-1,0),0)),MAX($M$15:OFFSET(M232,-1,0))+1,
                      INDEX($M$15:OFFSET(M232,-1,0),MATCH($A232,$A$15:OFFSET($A232,-1,0),0)))))</f>
        <v>41</v>
      </c>
      <c r="N232" s="167" t="str">
        <f ca="1">IF($D232&lt;&gt;"Serviço","",
         IF(AUTOEVENTO="Manual",
                IF($A232=0,"&lt;-- defina o número do agrupador",
                       OFFSET(EVENTOS!$D$15,$A232-$A$15,0)),
                OFFSET($F$15,$A232,0)))</f>
        <v>LIMPEZA FINAL DA OBRA</v>
      </c>
      <c r="O232" s="168"/>
      <c r="Q232" s="169">
        <f>16.8*5</f>
        <v>84</v>
      </c>
      <c r="R232" s="169">
        <f t="shared" ref="R232:T232" si="107">16.8*5</f>
        <v>84</v>
      </c>
      <c r="S232" s="169">
        <f t="shared" si="107"/>
        <v>84</v>
      </c>
      <c r="T232" s="169">
        <f t="shared" si="107"/>
        <v>84</v>
      </c>
      <c r="U232" s="169"/>
      <c r="V232" s="169"/>
      <c r="W232" s="169"/>
      <c r="X232" s="169"/>
      <c r="Y232" s="169"/>
      <c r="Z232" s="170"/>
      <c r="AA232" s="169"/>
      <c r="AB232" s="169"/>
      <c r="AC232" s="169"/>
      <c r="AD232" s="169"/>
      <c r="AE232" s="169"/>
      <c r="AF232" s="169"/>
      <c r="AG232" s="169"/>
      <c r="AH232" s="170"/>
      <c r="AJ232" s="452">
        <f ca="1">IF(AND($D232="Serviço",AJ$12&lt;&gt;0,$H232&gt;0,OR(AUTOEVENTO&lt;&gt;"manual",$M232&lt;&gt;$A$15)),
        IF(Import.TipoArredondamento&lt;&gt;"TransfereGOV",
              ROUND(OFFSET($P232,0,AJ$13),15-13*ORÇAMENTO!$AF$7)/$H232*OFFSET(ORÇAMENTO!$X$15,ROW(AJ232)-ROW(AJ$15),0),
              ROUND(ROUND(OFFSET($P232,0,AJ$13),15-13*ORÇAMENTO!$AF$7)*OFFSET(ORÇAMENTO!$W$15,ROW(AJ232)-ROW(AJ$15),0),15-13*ORÇAMENTO!$AF$11)),
         0)</f>
        <v>100.8</v>
      </c>
      <c r="AK232" s="452">
        <f ca="1">IF(AND($D232="Serviço",AK$12&lt;&gt;0,$H232&gt;0,OR(AUTOEVENTO&lt;&gt;"manual",$M232&lt;&gt;$A$15)),
        IF(Import.TipoArredondamento&lt;&gt;"TransfereGOV",
              ROUND(OFFSET($P232,0,AK$13),15-13*ORÇAMENTO!$AF$7)/$H232*OFFSET(ORÇAMENTO!$X$15,ROW(AK232)-ROW(AK$15),0),
              ROUND(ROUND(OFFSET($P232,0,AK$13),15-13*ORÇAMENTO!$AF$7)*OFFSET(ORÇAMENTO!$W$15,ROW(AK232)-ROW(AK$15),0),15-13*ORÇAMENTO!$AF$11)),
         0)</f>
        <v>100.8</v>
      </c>
      <c r="AL232" s="452">
        <f ca="1">IF(AND($D232="Serviço",AL$12&lt;&gt;0,$H232&gt;0,OR(AUTOEVENTO&lt;&gt;"manual",$M232&lt;&gt;$A$15)),
        IF(Import.TipoArredondamento&lt;&gt;"TransfereGOV",
              ROUND(OFFSET($P232,0,AL$13),15-13*ORÇAMENTO!$AF$7)/$H232*OFFSET(ORÇAMENTO!$X$15,ROW(AL232)-ROW(AL$15),0),
              ROUND(ROUND(OFFSET($P232,0,AL$13),15-13*ORÇAMENTO!$AF$7)*OFFSET(ORÇAMENTO!$W$15,ROW(AL232)-ROW(AL$15),0),15-13*ORÇAMENTO!$AF$11)),
         0)</f>
        <v>100.8</v>
      </c>
      <c r="AM232" s="452">
        <f ca="1">IF(AND($D232="Serviço",AM$12&lt;&gt;0,$H232&gt;0,OR(AUTOEVENTO&lt;&gt;"manual",$M232&lt;&gt;$A$15)),
        IF(Import.TipoArredondamento&lt;&gt;"TransfereGOV",
              ROUND(OFFSET($P232,0,AM$13),15-13*ORÇAMENTO!$AF$7)/$H232*OFFSET(ORÇAMENTO!$X$15,ROW(AM232)-ROW(AM$15),0),
              ROUND(ROUND(OFFSET($P232,0,AM$13),15-13*ORÇAMENTO!$AF$7)*OFFSET(ORÇAMENTO!$W$15,ROW(AM232)-ROW(AM$15),0),15-13*ORÇAMENTO!$AF$11)),
         0)</f>
        <v>100.8</v>
      </c>
      <c r="AN232" s="452">
        <f ca="1">IF(AND($D232="Serviço",AN$12&lt;&gt;0,$H232&gt;0,OR(AUTOEVENTO&lt;&gt;"manual",$M232&lt;&gt;$A$15)),
        IF(Import.TipoArredondamento&lt;&gt;"TransfereGOV",
              ROUND(OFFSET($P232,0,AN$13),15-13*ORÇAMENTO!$AF$7)/$H232*OFFSET(ORÇAMENTO!$X$15,ROW(AN232)-ROW(AN$15),0),
              ROUND(ROUND(OFFSET($P232,0,AN$13),15-13*ORÇAMENTO!$AF$7)*OFFSET(ORÇAMENTO!$W$15,ROW(AN232)-ROW(AN$15),0),15-13*ORÇAMENTO!$AF$11)),
         0)</f>
        <v>0</v>
      </c>
      <c r="AO232" s="452">
        <f ca="1">IF(AND($D232="Serviço",AO$12&lt;&gt;0,$H232&gt;0,OR(AUTOEVENTO&lt;&gt;"manual",$M232&lt;&gt;$A$15)),
        IF(Import.TipoArredondamento&lt;&gt;"TransfereGOV",
              ROUND(OFFSET($P232,0,AO$13),15-13*ORÇAMENTO!$AF$7)/$H232*OFFSET(ORÇAMENTO!$X$15,ROW(AO232)-ROW(AO$15),0),
              ROUND(ROUND(OFFSET($P232,0,AO$13),15-13*ORÇAMENTO!$AF$7)*OFFSET(ORÇAMENTO!$W$15,ROW(AO232)-ROW(AO$15),0),15-13*ORÇAMENTO!$AF$11)),
         0)</f>
        <v>0</v>
      </c>
      <c r="AP232" s="452">
        <f ca="1">IF(AND($D232="Serviço",AP$12&lt;&gt;0,$H232&gt;0,OR(AUTOEVENTO&lt;&gt;"manual",$M232&lt;&gt;$A$15)),
        IF(Import.TipoArredondamento&lt;&gt;"TransfereGOV",
              ROUND(OFFSET($P232,0,AP$13),15-13*ORÇAMENTO!$AF$7)/$H232*OFFSET(ORÇAMENTO!$X$15,ROW(AP232)-ROW(AP$15),0),
              ROUND(ROUND(OFFSET($P232,0,AP$13),15-13*ORÇAMENTO!$AF$7)*OFFSET(ORÇAMENTO!$W$15,ROW(AP232)-ROW(AP$15),0),15-13*ORÇAMENTO!$AF$11)),
         0)</f>
        <v>0</v>
      </c>
      <c r="AQ232" s="452">
        <f ca="1">IF(AND($D232="Serviço",AQ$12&lt;&gt;0,$H232&gt;0,OR(AUTOEVENTO&lt;&gt;"manual",$M232&lt;&gt;$A$15)),
        IF(Import.TipoArredondamento&lt;&gt;"TransfereGOV",
              ROUND(OFFSET($P232,0,AQ$13),15-13*ORÇAMENTO!$AF$7)/$H232*OFFSET(ORÇAMENTO!$X$15,ROW(AQ232)-ROW(AQ$15),0),
              ROUND(ROUND(OFFSET($P232,0,AQ$13),15-13*ORÇAMENTO!$AF$7)*OFFSET(ORÇAMENTO!$W$15,ROW(AQ232)-ROW(AQ$15),0),15-13*ORÇAMENTO!$AF$11)),
         0)</f>
        <v>0</v>
      </c>
      <c r="AR232" s="452">
        <f ca="1">IF(AND($D232="Serviço",AR$12&lt;&gt;0,$H232&gt;0,OR(AUTOEVENTO&lt;&gt;"manual",$M232&lt;&gt;$A$15)),
        IF(Import.TipoArredondamento&lt;&gt;"TransfereGOV",
              ROUND(OFFSET($P232,0,AR$13),15-13*ORÇAMENTO!$AF$7)/$H232*OFFSET(ORÇAMENTO!$X$15,ROW(AR232)-ROW(AR$15),0),
              ROUND(ROUND(OFFSET($P232,0,AR$13),15-13*ORÇAMENTO!$AF$7)*OFFSET(ORÇAMENTO!$W$15,ROW(AR232)-ROW(AR$15),0),15-13*ORÇAMENTO!$AF$11)),
         0)</f>
        <v>0</v>
      </c>
      <c r="AS232" s="452">
        <f ca="1">IF(AND($D232="Serviço",AS$12&lt;&gt;0,$H232&gt;0,OR(AUTOEVENTO&lt;&gt;"manual",$M232&lt;&gt;$A$15)),
        IF(Import.TipoArredondamento&lt;&gt;"TransfereGOV",
              ROUND(OFFSET($P232,0,AS$13),15-13*ORÇAMENTO!$AF$7)/$H232*OFFSET(ORÇAMENTO!$X$15,ROW(AS232)-ROW(AS$15),0),
              ROUND(ROUND(OFFSET($P232,0,AS$13),15-13*ORÇAMENTO!$AF$7)*OFFSET(ORÇAMENTO!$W$15,ROW(AS232)-ROW(AS$15),0),15-13*ORÇAMENTO!$AF$11)),
         0)</f>
        <v>0</v>
      </c>
      <c r="AT232" s="452">
        <f ca="1">IF(AND($D232="Serviço",AT$12&lt;&gt;0,$H232&gt;0,OR(AUTOEVENTO&lt;&gt;"manual",$M232&lt;&gt;$A$15)),
        IF(Import.TipoArredondamento&lt;&gt;"TransfereGOV",
              ROUND(OFFSET($P232,0,AT$13),15-13*ORÇAMENTO!$AF$7)/$H232*OFFSET(ORÇAMENTO!$X$15,ROW(AT232)-ROW(AT$15),0),
              ROUND(ROUND(OFFSET($P232,0,AT$13),15-13*ORÇAMENTO!$AF$7)*OFFSET(ORÇAMENTO!$W$15,ROW(AT232)-ROW(AT$15),0),15-13*ORÇAMENTO!$AF$11)),
         0)</f>
        <v>0</v>
      </c>
      <c r="AU232" s="452">
        <f ca="1">IF(AND($D232="Serviço",AU$12&lt;&gt;0,$H232&gt;0,OR(AUTOEVENTO&lt;&gt;"manual",$M232&lt;&gt;$A$15)),
        IF(Import.TipoArredondamento&lt;&gt;"TransfereGOV",
              ROUND(OFFSET($P232,0,AU$13),15-13*ORÇAMENTO!$AF$7)/$H232*OFFSET(ORÇAMENTO!$X$15,ROW(AU232)-ROW(AU$15),0),
              ROUND(ROUND(OFFSET($P232,0,AU$13),15-13*ORÇAMENTO!$AF$7)*OFFSET(ORÇAMENTO!$W$15,ROW(AU232)-ROW(AU$15),0),15-13*ORÇAMENTO!$AF$11)),
         0)</f>
        <v>0</v>
      </c>
      <c r="AV232" s="452">
        <f ca="1">IF(AND($D232="Serviço",AV$12&lt;&gt;0,$H232&gt;0,OR(AUTOEVENTO&lt;&gt;"manual",$M232&lt;&gt;$A$15)),
        IF(Import.TipoArredondamento&lt;&gt;"TransfereGOV",
              ROUND(OFFSET($P232,0,AV$13),15-13*ORÇAMENTO!$AF$7)/$H232*OFFSET(ORÇAMENTO!$X$15,ROW(AV232)-ROW(AV$15),0),
              ROUND(ROUND(OFFSET($P232,0,AV$13),15-13*ORÇAMENTO!$AF$7)*OFFSET(ORÇAMENTO!$W$15,ROW(AV232)-ROW(AV$15),0),15-13*ORÇAMENTO!$AF$11)),
         0)</f>
        <v>0</v>
      </c>
      <c r="AW232" s="452">
        <f ca="1">IF(AND($D232="Serviço",AW$12&lt;&gt;0,$H232&gt;0,OR(AUTOEVENTO&lt;&gt;"manual",$M232&lt;&gt;$A$15)),
        IF(Import.TipoArredondamento&lt;&gt;"TransfereGOV",
              ROUND(OFFSET($P232,0,AW$13),15-13*ORÇAMENTO!$AF$7)/$H232*OFFSET(ORÇAMENTO!$X$15,ROW(AW232)-ROW(AW$15),0),
              ROUND(ROUND(OFFSET($P232,0,AW$13),15-13*ORÇAMENTO!$AF$7)*OFFSET(ORÇAMENTO!$W$15,ROW(AW232)-ROW(AW$15),0),15-13*ORÇAMENTO!$AF$11)),
         0)</f>
        <v>0</v>
      </c>
      <c r="AX232" s="452">
        <f ca="1">IF(AND($D232="Serviço",AX$12&lt;&gt;0,$H232&gt;0,OR(AUTOEVENTO&lt;&gt;"manual",$M232&lt;&gt;$A$15)),
        IF(Import.TipoArredondamento&lt;&gt;"TransfereGOV",
              ROUND(OFFSET($P232,0,AX$13),15-13*ORÇAMENTO!$AF$7)/$H232*OFFSET(ORÇAMENTO!$X$15,ROW(AX232)-ROW(AX$15),0),
              ROUND(ROUND(OFFSET($P232,0,AX$13),15-13*ORÇAMENTO!$AF$7)*OFFSET(ORÇAMENTO!$W$15,ROW(AX232)-ROW(AX$15),0),15-13*ORÇAMENTO!$AF$11)),
         0)</f>
        <v>0</v>
      </c>
      <c r="AY232" s="452">
        <f ca="1">IF(AND($D232="Serviço",AY$12&lt;&gt;0,$H232&gt;0,OR(AUTOEVENTO&lt;&gt;"manual",$M232&lt;&gt;$A$15)),
        IF(Import.TipoArredondamento&lt;&gt;"TransfereGOV",
              ROUND(OFFSET($P232,0,AY$13),15-13*ORÇAMENTO!$AF$7)/$H232*OFFSET(ORÇAMENTO!$X$15,ROW(AY232)-ROW(AY$15),0),
              ROUND(ROUND(OFFSET($P232,0,AY$13),15-13*ORÇAMENTO!$AF$7)*OFFSET(ORÇAMENTO!$W$15,ROW(AY232)-ROW(AY$15),0),15-13*ORÇAMENTO!$AF$11)),
         0)</f>
        <v>0</v>
      </c>
      <c r="AZ232" s="452">
        <f ca="1">IF(AND($D232="Serviço",AZ$12&lt;&gt;0,$H232&gt;0,OR(AUTOEVENTO&lt;&gt;"manual",$M232&lt;&gt;$A$15)),
        IF(Import.TipoArredondamento&lt;&gt;"TransfereGOV",
              ROUND(OFFSET($P232,0,AZ$13),15-13*ORÇAMENTO!$AF$7)/$H232*OFFSET(ORÇAMENTO!$X$15,ROW(AZ232)-ROW(AZ$15),0),
              ROUND(ROUND(OFFSET($P232,0,AZ$13),15-13*ORÇAMENTO!$AF$7)*OFFSET(ORÇAMENTO!$W$15,ROW(AZ232)-ROW(AZ$15),0),15-13*ORÇAMENTO!$AF$11)),
         0)</f>
        <v>0</v>
      </c>
      <c r="BA232" s="452">
        <f ca="1">IF(AND($D232="Serviço",BA$12&lt;&gt;0,$H232&gt;0,OR(AUTOEVENTO&lt;&gt;"manual",$M232&lt;&gt;$A$15)),
        IF(Import.TipoArredondamento&lt;&gt;"TransfereGOV",
              ROUND(OFFSET($P232,0,BA$13),15-13*ORÇAMENTO!$AF$7)/$H232*OFFSET(ORÇAMENTO!$X$15,ROW(BA232)-ROW(BA$15),0),
              ROUND(ROUND(OFFSET($P232,0,BA$13),15-13*ORÇAMENTO!$AF$7)*OFFSET(ORÇAMENTO!$W$15,ROW(BA232)-ROW(BA$15),0),15-13*ORÇAMENTO!$AF$11)),
         0)</f>
        <v>0</v>
      </c>
      <c r="BC232" s="171">
        <f ca="1">IF(OR($D232&lt;&gt;"Serviço",AND(AUTOEVENTO="Manual",$M232=$A$15)),0,
         IF(OFFSET(CRONOPLE!$F$15,$M232-$A$15,BC$13)=0,10^12,OFFSET(CRONOPLE!$F$15,$M232-$A$15,BC$13)))</f>
        <v>9</v>
      </c>
      <c r="BD232" s="171">
        <f ca="1">IF(OR($D232&lt;&gt;"Serviço",AND(AUTOEVENTO="Manual",$M232=$A$15)),0,
         IF(OFFSET(CRONOPLE!$F$15,$M232-$A$15,BD$13)=0,10^12,OFFSET(CRONOPLE!$F$15,$M232-$A$15,BD$13)))</f>
        <v>9</v>
      </c>
      <c r="BE232" s="171">
        <f ca="1">IF(OR($D232&lt;&gt;"Serviço",AND(AUTOEVENTO="Manual",$M232=$A$15)),0,
         IF(OFFSET(CRONOPLE!$F$15,$M232-$A$15,BE$13)=0,10^12,OFFSET(CRONOPLE!$F$15,$M232-$A$15,BE$13)))</f>
        <v>9</v>
      </c>
      <c r="BF232" s="171">
        <f ca="1">IF(OR($D232&lt;&gt;"Serviço",AND(AUTOEVENTO="Manual",$M232=$A$15)),0,
         IF(OFFSET(CRONOPLE!$F$15,$M232-$A$15,BF$13)=0,10^12,OFFSET(CRONOPLE!$F$15,$M232-$A$15,BF$13)))</f>
        <v>9</v>
      </c>
      <c r="BG232" s="171">
        <f ca="1">IF(OR($D232&lt;&gt;"Serviço",AND(AUTOEVENTO="Manual",$M232=$A$15)),0,
         IF(OFFSET(CRONOPLE!$F$15,$M232-$A$15,BG$13)=0,10^12,OFFSET(CRONOPLE!$F$15,$M232-$A$15,BG$13)))</f>
        <v>9</v>
      </c>
      <c r="BH232" s="171">
        <f ca="1">IF(OR($D232&lt;&gt;"Serviço",AND(AUTOEVENTO="Manual",$M232=$A$15)),0,
         IF(OFFSET(CRONOPLE!$F$15,$M232-$A$15,BH$13)=0,10^12,OFFSET(CRONOPLE!$F$15,$M232-$A$15,BH$13)))</f>
        <v>1000000000000</v>
      </c>
      <c r="BI232" s="171">
        <f ca="1">IF(OR($D232&lt;&gt;"Serviço",AND(AUTOEVENTO="Manual",$M232=$A$15)),0,
         IF(OFFSET(CRONOPLE!$F$15,$M232-$A$15,BI$13)=0,10^12,OFFSET(CRONOPLE!$F$15,$M232-$A$15,BI$13)))</f>
        <v>1000000000000</v>
      </c>
      <c r="BJ232" s="171">
        <f ca="1">IF(OR($D232&lt;&gt;"Serviço",AND(AUTOEVENTO="Manual",$M232=$A$15)),0,
         IF(OFFSET(CRONOPLE!$F$15,$M232-$A$15,BJ$13)=0,10^12,OFFSET(CRONOPLE!$F$15,$M232-$A$15,BJ$13)))</f>
        <v>1000000000000</v>
      </c>
      <c r="BK232" s="171">
        <f ca="1">IF(OR($D232&lt;&gt;"Serviço",AND(AUTOEVENTO="Manual",$M232=$A$15)),0,
         IF(OFFSET(CRONOPLE!$F$15,$M232-$A$15,BK$13)=0,10^12,OFFSET(CRONOPLE!$F$15,$M232-$A$15,BK$13)))</f>
        <v>1000000000000</v>
      </c>
      <c r="BL232" s="171">
        <f ca="1">IF(OR($D232&lt;&gt;"Serviço",AND(AUTOEVENTO="Manual",$M232=$A$15)),0,
         IF(OFFSET(CRONOPLE!$F$15,$M232-$A$15,BL$13)=0,10^12,OFFSET(CRONOPLE!$F$15,$M232-$A$15,BL$13)))</f>
        <v>1000000000000</v>
      </c>
      <c r="BM232" s="171">
        <f ca="1">IF(OR($D232&lt;&gt;"Serviço",AND(AUTOEVENTO="Manual",$M232=$A$15)),0,
         IF(OFFSET(CRONOPLE!$F$15,$M232-$A$15,BM$13)=0,10^12,OFFSET(CRONOPLE!$F$15,$M232-$A$15,BM$13)))</f>
        <v>1000000000000</v>
      </c>
      <c r="BN232" s="171">
        <f ca="1">IF(OR($D232&lt;&gt;"Serviço",AND(AUTOEVENTO="Manual",$M232=$A$15)),0,
         IF(OFFSET(CRONOPLE!$F$15,$M232-$A$15,BN$13)=0,10^12,OFFSET(CRONOPLE!$F$15,$M232-$A$15,BN$13)))</f>
        <v>1000000000000</v>
      </c>
      <c r="BO232" s="171">
        <f ca="1">IF(OR($D232&lt;&gt;"Serviço",AND(AUTOEVENTO="Manual",$M232=$A$15)),0,
         IF(OFFSET(CRONOPLE!$F$15,$M232-$A$15,BO$13)=0,10^12,OFFSET(CRONOPLE!$F$15,$M232-$A$15,BO$13)))</f>
        <v>1000000000000</v>
      </c>
      <c r="BP232" s="171">
        <f ca="1">IF(OR($D232&lt;&gt;"Serviço",AND(AUTOEVENTO="Manual",$M232=$A$15)),0,
         IF(OFFSET(CRONOPLE!$F$15,$M232-$A$15,BP$13)=0,10^12,OFFSET(CRONOPLE!$F$15,$M232-$A$15,BP$13)))</f>
        <v>1000000000000</v>
      </c>
      <c r="BQ232" s="171">
        <f ca="1">IF(OR($D232&lt;&gt;"Serviço",AND(AUTOEVENTO="Manual",$M232=$A$15)),0,
         IF(OFFSET(CRONOPLE!$F$15,$M232-$A$15,BQ$13)=0,10^12,OFFSET(CRONOPLE!$F$15,$M232-$A$15,BQ$13)))</f>
        <v>1000000000000</v>
      </c>
      <c r="BR232" s="171">
        <f ca="1">IF(OR($D232&lt;&gt;"Serviço",AND(AUTOEVENTO="Manual",$M232=$A$15)),0,
         IF(OFFSET(CRONOPLE!$F$15,$M232-$A$15,BR$13)=0,10^12,OFFSET(CRONOPLE!$F$15,$M232-$A$15,BR$13)))</f>
        <v>1000000000000</v>
      </c>
      <c r="BS232" s="171">
        <f ca="1">IF(OR($D232&lt;&gt;"Serviço",AND(AUTOEVENTO="Manual",$M232=$A$15)),0,
         IF(OFFSET(CRONOPLE!$F$15,$M232-$A$15,BS$13)=0,10^12,OFFSET(CRONOPLE!$F$15,$M232-$A$15,BS$13)))</f>
        <v>1000000000000</v>
      </c>
      <c r="BT232" s="171">
        <f ca="1">IF(OR($D232&lt;&gt;"Serviço",AND(AUTOEVENTO="Manual",$M232=$A$15)),0,
         IF(OFFSET(CRONOPLE!$F$15,$M232-$A$15,BT$13)=0,10^12,OFFSET(CRONOPLE!$F$15,$M232-$A$15,BT$13)))</f>
        <v>1000000000000</v>
      </c>
      <c r="BV232" s="172">
        <f t="array" aca="1" ref="BV232" ca="1">IF(OR($D232&lt;&gt;"Serviço",AND(AUTOEVENTO="Manual",$M232=$A$15),$M232&gt;(ROW(PLE.lastrow)-ROW(PLE.firstrow))),0,
           IF(OFFSET(PLE!$G$15,$M232-$A$15,BV$13)="",10^12,OFFSET(PLE!$G$15,$M232-$A$15,BV$13)))</f>
        <v>1000000000000</v>
      </c>
      <c r="BW232" s="172">
        <f t="array" aca="1" ref="BW232" ca="1">IF(OR($D232&lt;&gt;"Serviço",AND(AUTOEVENTO="Manual",$M232=$A$15),$M232&gt;(ROW(PLE.lastrow)-ROW(PLE.firstrow))),0,
           IF(OFFSET(PLE!$G$15,$M232-$A$15,BW$13)="",10^12,OFFSET(PLE!$G$15,$M232-$A$15,BW$13)))</f>
        <v>1000000000000</v>
      </c>
      <c r="BX232" s="172">
        <f t="array" aca="1" ref="BX232" ca="1">IF(OR($D232&lt;&gt;"Serviço",AND(AUTOEVENTO="Manual",$M232=$A$15),$M232&gt;(ROW(PLE.lastrow)-ROW(PLE.firstrow))),0,
           IF(OFFSET(PLE!$G$15,$M232-$A$15,BX$13)="",10^12,OFFSET(PLE!$G$15,$M232-$A$15,BX$13)))</f>
        <v>1000000000000</v>
      </c>
      <c r="BY232" s="172">
        <f t="array" aca="1" ref="BY232" ca="1">IF(OR($D232&lt;&gt;"Serviço",AND(AUTOEVENTO="Manual",$M232=$A$15),$M232&gt;(ROW(PLE.lastrow)-ROW(PLE.firstrow))),0,
           IF(OFFSET(PLE!$G$15,$M232-$A$15,BY$13)="",10^12,OFFSET(PLE!$G$15,$M232-$A$15,BY$13)))</f>
        <v>1000000000000</v>
      </c>
      <c r="BZ232" s="172">
        <f t="array" aca="1" ref="BZ232" ca="1">IF(OR($D232&lt;&gt;"Serviço",AND(AUTOEVENTO="Manual",$M232=$A$15),$M232&gt;(ROW(PLE.lastrow)-ROW(PLE.firstrow))),0,
           IF(OFFSET(PLE!$G$15,$M232-$A$15,BZ$13)="",10^12,OFFSET(PLE!$G$15,$M232-$A$15,BZ$13)))</f>
        <v>1000000000000</v>
      </c>
      <c r="CA232" s="172">
        <f t="array" aca="1" ref="CA232" ca="1">IF(OR($D232&lt;&gt;"Serviço",AND(AUTOEVENTO="Manual",$M232=$A$15),$M232&gt;(ROW(PLE.lastrow)-ROW(PLE.firstrow))),0,
           IF(OFFSET(PLE!$G$15,$M232-$A$15,CA$13)="",10^12,OFFSET(PLE!$G$15,$M232-$A$15,CA$13)))</f>
        <v>1000000000000</v>
      </c>
      <c r="CB232" s="172">
        <f t="array" aca="1" ref="CB232" ca="1">IF(OR($D232&lt;&gt;"Serviço",AND(AUTOEVENTO="Manual",$M232=$A$15),$M232&gt;(ROW(PLE.lastrow)-ROW(PLE.firstrow))),0,
           IF(OFFSET(PLE!$G$15,$M232-$A$15,CB$13)="",10^12,OFFSET(PLE!$G$15,$M232-$A$15,CB$13)))</f>
        <v>1000000000000</v>
      </c>
      <c r="CC232" s="172">
        <f t="array" aca="1" ref="CC232" ca="1">IF(OR($D232&lt;&gt;"Serviço",AND(AUTOEVENTO="Manual",$M232=$A$15),$M232&gt;(ROW(PLE.lastrow)-ROW(PLE.firstrow))),0,
           IF(OFFSET(PLE!$G$15,$M232-$A$15,CC$13)="",10^12,OFFSET(PLE!$G$15,$M232-$A$15,CC$13)))</f>
        <v>1000000000000</v>
      </c>
      <c r="CD232" s="172">
        <f t="array" aca="1" ref="CD232" ca="1">IF(OR($D232&lt;&gt;"Serviço",AND(AUTOEVENTO="Manual",$M232=$A$15),$M232&gt;(ROW(PLE.lastrow)-ROW(PLE.firstrow))),0,
           IF(OFFSET(PLE!$G$15,$M232-$A$15,CD$13)="",10^12,OFFSET(PLE!$G$15,$M232-$A$15,CD$13)))</f>
        <v>1000000000000</v>
      </c>
      <c r="CE232" s="172">
        <f t="array" aca="1" ref="CE232" ca="1">IF(OR($D232&lt;&gt;"Serviço",AND(AUTOEVENTO="Manual",$M232=$A$15),$M232&gt;(ROW(PLE.lastrow)-ROW(PLE.firstrow))),0,
           IF(OFFSET(PLE!$G$15,$M232-$A$15,CE$13)="",10^12,OFFSET(PLE!$G$15,$M232-$A$15,CE$13)))</f>
        <v>1000000000000</v>
      </c>
      <c r="CF232" s="172">
        <f t="array" aca="1" ref="CF232" ca="1">IF(OR($D232&lt;&gt;"Serviço",AND(AUTOEVENTO="Manual",$M232=$A$15),$M232&gt;(ROW(PLE.lastrow)-ROW(PLE.firstrow))),0,
           IF(OFFSET(PLE!$G$15,$M232-$A$15,CF$13)="",10^12,OFFSET(PLE!$G$15,$M232-$A$15,CF$13)))</f>
        <v>1000000000000</v>
      </c>
      <c r="CG232" s="172">
        <f t="array" aca="1" ref="CG232" ca="1">IF(OR($D232&lt;&gt;"Serviço",AND(AUTOEVENTO="Manual",$M232=$A$15),$M232&gt;(ROW(PLE.lastrow)-ROW(PLE.firstrow))),0,
           IF(OFFSET(PLE!$G$15,$M232-$A$15,CG$13)="",10^12,OFFSET(PLE!$G$15,$M232-$A$15,CG$13)))</f>
        <v>1000000000000</v>
      </c>
      <c r="CH232" s="172">
        <f t="array" aca="1" ref="CH232" ca="1">IF(OR($D232&lt;&gt;"Serviço",AND(AUTOEVENTO="Manual",$M232=$A$15),$M232&gt;(ROW(PLE.lastrow)-ROW(PLE.firstrow))),0,
           IF(OFFSET(PLE!$G$15,$M232-$A$15,CH$13)="",10^12,OFFSET(PLE!$G$15,$M232-$A$15,CH$13)))</f>
        <v>1000000000000</v>
      </c>
      <c r="CI232" s="172">
        <f t="array" aca="1" ref="CI232" ca="1">IF(OR($D232&lt;&gt;"Serviço",AND(AUTOEVENTO="Manual",$M232=$A$15),$M232&gt;(ROW(PLE.lastrow)-ROW(PLE.firstrow))),0,
           IF(OFFSET(PLE!$G$15,$M232-$A$15,CI$13)="",10^12,OFFSET(PLE!$G$15,$M232-$A$15,CI$13)))</f>
        <v>1000000000000</v>
      </c>
      <c r="CJ232" s="172">
        <f t="array" aca="1" ref="CJ232" ca="1">IF(OR($D232&lt;&gt;"Serviço",AND(AUTOEVENTO="Manual",$M232=$A$15),$M232&gt;(ROW(PLE.lastrow)-ROW(PLE.firstrow))),0,
           IF(OFFSET(PLE!$G$15,$M232-$A$15,CJ$13)="",10^12,OFFSET(PLE!$G$15,$M232-$A$15,CJ$13)))</f>
        <v>1000000000000</v>
      </c>
      <c r="CK232" s="172">
        <f t="array" aca="1" ref="CK232" ca="1">IF(OR($D232&lt;&gt;"Serviço",AND(AUTOEVENTO="Manual",$M232=$A$15),$M232&gt;(ROW(PLE.lastrow)-ROW(PLE.firstrow))),0,
           IF(OFFSET(PLE!$G$15,$M232-$A$15,CK$13)="",10^12,OFFSET(PLE!$G$15,$M232-$A$15,CK$13)))</f>
        <v>1000000000000</v>
      </c>
      <c r="CL232" s="172">
        <f t="array" aca="1" ref="CL232" ca="1">IF(OR($D232&lt;&gt;"Serviço",AND(AUTOEVENTO="Manual",$M232=$A$15),$M232&gt;(ROW(PLE.lastrow)-ROW(PLE.firstrow))),0,
           IF(OFFSET(PLE!$G$15,$M232-$A$15,CL$13)="",10^12,OFFSET(PLE!$G$15,$M232-$A$15,CL$13)))</f>
        <v>1000000000000</v>
      </c>
      <c r="CM232" s="172">
        <f t="array" aca="1" ref="CM232" ca="1">IF(OR($D232&lt;&gt;"Serviço",AND(AUTOEVENTO="Manual",$M232=$A$15),$M232&gt;(ROW(PLE.lastrow)-ROW(PLE.firstrow))),0,
           IF(OFFSET(PLE!$G$15,$M232-$A$15,CM$13)="",10^12,OFFSET(PLE!$G$15,$M232-$A$15,CM$13)))</f>
        <v>1000000000000</v>
      </c>
    </row>
    <row r="233" spans="1:91" s="696" customFormat="1" ht="51" x14ac:dyDescent="0.2">
      <c r="A233" s="694">
        <f t="shared" ca="1" si="98"/>
        <v>41</v>
      </c>
      <c r="B233" s="694" t="str">
        <f ca="1">OFFSET(ORÇAMENTO!C$15,$L233,0)</f>
        <v>S</v>
      </c>
      <c r="C233" s="694" t="str">
        <f ca="1">OFFSET(ORÇAMENTO!L$15,$L233,0)</f>
        <v>F</v>
      </c>
      <c r="D233" s="116" t="str">
        <f ca="1">OFFSET(ORÇAMENTO!N$15,$L233,0)</f>
        <v>Serviço</v>
      </c>
      <c r="E233" s="117" t="str">
        <f ca="1">OFFSET(ORÇAMENTO!O$15,$L233,0)</f>
        <v>1.34.8.</v>
      </c>
      <c r="F233" s="163" t="str">
        <f ca="1">OFFSET(ORÇAMENTO!R$15,$L233,0)</f>
        <v>LIMPEZA DE REVESTIMENTO CERÂMICO EM PAREDE UTILIZANDO DETERGENTE NEUTRO E ESCOVAÇÃO MANUAL. AF_04/2019</v>
      </c>
      <c r="G233" s="164" t="str">
        <f ca="1">IF($D233&lt;&gt;"Serviço","",OFFSET(ORÇAMENTO!S$15,$L233,0))</f>
        <v>M2</v>
      </c>
      <c r="H233" s="122">
        <f t="array" aca="1" ref="H233" ca="1">IF($D233&lt;&gt;"Serviço",0,IF(ACOMPANHAMENTO="BM",ROUND(OFFSET(ORÇAMENTO!AJ$15,$L233,0),15-13*ORÇAMENTO!$AF$7),IF(IFERROR(CÁLCULO.FrentesPreenchidas,0)=0,0,SUM(ROUND(OFFSET($P233,0,1,1,CÁLCULO.FrentesPreenchidas),15-13*ORÇAMENTO!$AF$7)))))</f>
        <v>316.39999999999998</v>
      </c>
      <c r="I233" s="467" t="s">
        <v>1351</v>
      </c>
      <c r="J233" s="653" t="str">
        <f t="array" aca="1" ref="J233" ca="1">IF(OR(B233&lt;&gt;"S",CÁLCULO.FrentesPreenchidas=0),"",IF(AND(ACOMPANHAMENTO="PLE",AUTOEVENTO="Manual",OR(H233&gt;0,ORÇAMENTO!AC233="QUANT."),OR(K233="",M233=0,N233="")),"►E",IF(AND(ACOMPANHAMENTO="PLE",ORÇAMENTO!AC233="QUANT."),"►Q",IF(AND(ACOMPANHAMENTO="PLE",H233&lt;&gt;SUMPRODUCT(($Q$1:$AI$1=1)*ROUND(Q233:AI233,15))),"►S",IF(AND(COUNTIF($P$11:$AI$11,"▼")=0,H233&gt;0,I233=""),"◄M","")))))</f>
        <v/>
      </c>
      <c r="K233" s="654" t="s">
        <v>1451</v>
      </c>
      <c r="L233" s="165">
        <f t="shared" ca="1" si="99"/>
        <v>218</v>
      </c>
      <c r="M233" s="166">
        <f ca="1">IF($D233&lt;&gt;"Serviço","",
          IF(AUTOEVENTO="manual",$A233,
                IF(ISERROR(MATCH($A233,$A$15:OFFSET($A233,-1,0),0)),MAX($M$15:OFFSET(M233,-1,0))+1,
                      INDEX($M$15:OFFSET(M233,-1,0),MATCH($A233,$A$15:OFFSET($A233,-1,0),0)))))</f>
        <v>41</v>
      </c>
      <c r="N233" s="167" t="str">
        <f ca="1">IF($D233&lt;&gt;"Serviço","",
         IF(AUTOEVENTO="Manual",
                IF($A233=0,"&lt;-- defina o número do agrupador",
                       OFFSET(EVENTOS!$D$15,$A233-$A$15,0)),
                OFFSET($F$15,$A233,0)))</f>
        <v>LIMPEZA FINAL DA OBRA</v>
      </c>
      <c r="O233" s="168"/>
      <c r="Q233" s="169">
        <f>15.82*5</f>
        <v>79.099999999999994</v>
      </c>
      <c r="R233" s="169">
        <f t="shared" ref="R233:T233" si="108">15.82*5</f>
        <v>79.099999999999994</v>
      </c>
      <c r="S233" s="169">
        <f t="shared" si="108"/>
        <v>79.099999999999994</v>
      </c>
      <c r="T233" s="169">
        <f t="shared" si="108"/>
        <v>79.099999999999994</v>
      </c>
      <c r="U233" s="169"/>
      <c r="V233" s="169"/>
      <c r="W233" s="169"/>
      <c r="X233" s="169"/>
      <c r="Y233" s="169"/>
      <c r="Z233" s="170"/>
      <c r="AA233" s="169"/>
      <c r="AB233" s="169"/>
      <c r="AC233" s="169"/>
      <c r="AD233" s="169"/>
      <c r="AE233" s="169"/>
      <c r="AF233" s="169"/>
      <c r="AG233" s="169"/>
      <c r="AH233" s="170"/>
      <c r="AJ233" s="452">
        <f ca="1">IF(AND($D233="Serviço",AJ$12&lt;&gt;0,$H233&gt;0,OR(AUTOEVENTO&lt;&gt;"manual",$M233&lt;&gt;$A$15)),
        IF(Import.TipoArredondamento&lt;&gt;"TransfereGOV",
              ROUND(OFFSET($P233,0,AJ$13),15-13*ORÇAMENTO!$AF$7)/$H233*OFFSET(ORÇAMENTO!$X$15,ROW(AJ233)-ROW(AJ$15),0),
              ROUND(ROUND(OFFSET($P233,0,AJ$13),15-13*ORÇAMENTO!$AF$7)*OFFSET(ORÇAMENTO!$W$15,ROW(AJ233)-ROW(AJ$15),0),15-13*ORÇAMENTO!$AF$11)),
         0)</f>
        <v>157.41</v>
      </c>
      <c r="AK233" s="452">
        <f ca="1">IF(AND($D233="Serviço",AK$12&lt;&gt;0,$H233&gt;0,OR(AUTOEVENTO&lt;&gt;"manual",$M233&lt;&gt;$A$15)),
        IF(Import.TipoArredondamento&lt;&gt;"TransfereGOV",
              ROUND(OFFSET($P233,0,AK$13),15-13*ORÇAMENTO!$AF$7)/$H233*OFFSET(ORÇAMENTO!$X$15,ROW(AK233)-ROW(AK$15),0),
              ROUND(ROUND(OFFSET($P233,0,AK$13),15-13*ORÇAMENTO!$AF$7)*OFFSET(ORÇAMENTO!$W$15,ROW(AK233)-ROW(AK$15),0),15-13*ORÇAMENTO!$AF$11)),
         0)</f>
        <v>157.41</v>
      </c>
      <c r="AL233" s="452">
        <f ca="1">IF(AND($D233="Serviço",AL$12&lt;&gt;0,$H233&gt;0,OR(AUTOEVENTO&lt;&gt;"manual",$M233&lt;&gt;$A$15)),
        IF(Import.TipoArredondamento&lt;&gt;"TransfereGOV",
              ROUND(OFFSET($P233,0,AL$13),15-13*ORÇAMENTO!$AF$7)/$H233*OFFSET(ORÇAMENTO!$X$15,ROW(AL233)-ROW(AL$15),0),
              ROUND(ROUND(OFFSET($P233,0,AL$13),15-13*ORÇAMENTO!$AF$7)*OFFSET(ORÇAMENTO!$W$15,ROW(AL233)-ROW(AL$15),0),15-13*ORÇAMENTO!$AF$11)),
         0)</f>
        <v>157.41</v>
      </c>
      <c r="AM233" s="452">
        <f ca="1">IF(AND($D233="Serviço",AM$12&lt;&gt;0,$H233&gt;0,OR(AUTOEVENTO&lt;&gt;"manual",$M233&lt;&gt;$A$15)),
        IF(Import.TipoArredondamento&lt;&gt;"TransfereGOV",
              ROUND(OFFSET($P233,0,AM$13),15-13*ORÇAMENTO!$AF$7)/$H233*OFFSET(ORÇAMENTO!$X$15,ROW(AM233)-ROW(AM$15),0),
              ROUND(ROUND(OFFSET($P233,0,AM$13),15-13*ORÇAMENTO!$AF$7)*OFFSET(ORÇAMENTO!$W$15,ROW(AM233)-ROW(AM$15),0),15-13*ORÇAMENTO!$AF$11)),
         0)</f>
        <v>157.41</v>
      </c>
      <c r="AN233" s="452">
        <f ca="1">IF(AND($D233="Serviço",AN$12&lt;&gt;0,$H233&gt;0,OR(AUTOEVENTO&lt;&gt;"manual",$M233&lt;&gt;$A$15)),
        IF(Import.TipoArredondamento&lt;&gt;"TransfereGOV",
              ROUND(OFFSET($P233,0,AN$13),15-13*ORÇAMENTO!$AF$7)/$H233*OFFSET(ORÇAMENTO!$X$15,ROW(AN233)-ROW(AN$15),0),
              ROUND(ROUND(OFFSET($P233,0,AN$13),15-13*ORÇAMENTO!$AF$7)*OFFSET(ORÇAMENTO!$W$15,ROW(AN233)-ROW(AN$15),0),15-13*ORÇAMENTO!$AF$11)),
         0)</f>
        <v>0</v>
      </c>
      <c r="AO233" s="452">
        <f ca="1">IF(AND($D233="Serviço",AO$12&lt;&gt;0,$H233&gt;0,OR(AUTOEVENTO&lt;&gt;"manual",$M233&lt;&gt;$A$15)),
        IF(Import.TipoArredondamento&lt;&gt;"TransfereGOV",
              ROUND(OFFSET($P233,0,AO$13),15-13*ORÇAMENTO!$AF$7)/$H233*OFFSET(ORÇAMENTO!$X$15,ROW(AO233)-ROW(AO$15),0),
              ROUND(ROUND(OFFSET($P233,0,AO$13),15-13*ORÇAMENTO!$AF$7)*OFFSET(ORÇAMENTO!$W$15,ROW(AO233)-ROW(AO$15),0),15-13*ORÇAMENTO!$AF$11)),
         0)</f>
        <v>0</v>
      </c>
      <c r="AP233" s="452">
        <f ca="1">IF(AND($D233="Serviço",AP$12&lt;&gt;0,$H233&gt;0,OR(AUTOEVENTO&lt;&gt;"manual",$M233&lt;&gt;$A$15)),
        IF(Import.TipoArredondamento&lt;&gt;"TransfereGOV",
              ROUND(OFFSET($P233,0,AP$13),15-13*ORÇAMENTO!$AF$7)/$H233*OFFSET(ORÇAMENTO!$X$15,ROW(AP233)-ROW(AP$15),0),
              ROUND(ROUND(OFFSET($P233,0,AP$13),15-13*ORÇAMENTO!$AF$7)*OFFSET(ORÇAMENTO!$W$15,ROW(AP233)-ROW(AP$15),0),15-13*ORÇAMENTO!$AF$11)),
         0)</f>
        <v>0</v>
      </c>
      <c r="AQ233" s="452">
        <f ca="1">IF(AND($D233="Serviço",AQ$12&lt;&gt;0,$H233&gt;0,OR(AUTOEVENTO&lt;&gt;"manual",$M233&lt;&gt;$A$15)),
        IF(Import.TipoArredondamento&lt;&gt;"TransfereGOV",
              ROUND(OFFSET($P233,0,AQ$13),15-13*ORÇAMENTO!$AF$7)/$H233*OFFSET(ORÇAMENTO!$X$15,ROW(AQ233)-ROW(AQ$15),0),
              ROUND(ROUND(OFFSET($P233,0,AQ$13),15-13*ORÇAMENTO!$AF$7)*OFFSET(ORÇAMENTO!$W$15,ROW(AQ233)-ROW(AQ$15),0),15-13*ORÇAMENTO!$AF$11)),
         0)</f>
        <v>0</v>
      </c>
      <c r="AR233" s="452">
        <f ca="1">IF(AND($D233="Serviço",AR$12&lt;&gt;0,$H233&gt;0,OR(AUTOEVENTO&lt;&gt;"manual",$M233&lt;&gt;$A$15)),
        IF(Import.TipoArredondamento&lt;&gt;"TransfereGOV",
              ROUND(OFFSET($P233,0,AR$13),15-13*ORÇAMENTO!$AF$7)/$H233*OFFSET(ORÇAMENTO!$X$15,ROW(AR233)-ROW(AR$15),0),
              ROUND(ROUND(OFFSET($P233,0,AR$13),15-13*ORÇAMENTO!$AF$7)*OFFSET(ORÇAMENTO!$W$15,ROW(AR233)-ROW(AR$15),0),15-13*ORÇAMENTO!$AF$11)),
         0)</f>
        <v>0</v>
      </c>
      <c r="AS233" s="452">
        <f ca="1">IF(AND($D233="Serviço",AS$12&lt;&gt;0,$H233&gt;0,OR(AUTOEVENTO&lt;&gt;"manual",$M233&lt;&gt;$A$15)),
        IF(Import.TipoArredondamento&lt;&gt;"TransfereGOV",
              ROUND(OFFSET($P233,0,AS$13),15-13*ORÇAMENTO!$AF$7)/$H233*OFFSET(ORÇAMENTO!$X$15,ROW(AS233)-ROW(AS$15),0),
              ROUND(ROUND(OFFSET($P233,0,AS$13),15-13*ORÇAMENTO!$AF$7)*OFFSET(ORÇAMENTO!$W$15,ROW(AS233)-ROW(AS$15),0),15-13*ORÇAMENTO!$AF$11)),
         0)</f>
        <v>0</v>
      </c>
      <c r="AT233" s="452">
        <f ca="1">IF(AND($D233="Serviço",AT$12&lt;&gt;0,$H233&gt;0,OR(AUTOEVENTO&lt;&gt;"manual",$M233&lt;&gt;$A$15)),
        IF(Import.TipoArredondamento&lt;&gt;"TransfereGOV",
              ROUND(OFFSET($P233,0,AT$13),15-13*ORÇAMENTO!$AF$7)/$H233*OFFSET(ORÇAMENTO!$X$15,ROW(AT233)-ROW(AT$15),0),
              ROUND(ROUND(OFFSET($P233,0,AT$13),15-13*ORÇAMENTO!$AF$7)*OFFSET(ORÇAMENTO!$W$15,ROW(AT233)-ROW(AT$15),0),15-13*ORÇAMENTO!$AF$11)),
         0)</f>
        <v>0</v>
      </c>
      <c r="AU233" s="452">
        <f ca="1">IF(AND($D233="Serviço",AU$12&lt;&gt;0,$H233&gt;0,OR(AUTOEVENTO&lt;&gt;"manual",$M233&lt;&gt;$A$15)),
        IF(Import.TipoArredondamento&lt;&gt;"TransfereGOV",
              ROUND(OFFSET($P233,0,AU$13),15-13*ORÇAMENTO!$AF$7)/$H233*OFFSET(ORÇAMENTO!$X$15,ROW(AU233)-ROW(AU$15),0),
              ROUND(ROUND(OFFSET($P233,0,AU$13),15-13*ORÇAMENTO!$AF$7)*OFFSET(ORÇAMENTO!$W$15,ROW(AU233)-ROW(AU$15),0),15-13*ORÇAMENTO!$AF$11)),
         0)</f>
        <v>0</v>
      </c>
      <c r="AV233" s="452">
        <f ca="1">IF(AND($D233="Serviço",AV$12&lt;&gt;0,$H233&gt;0,OR(AUTOEVENTO&lt;&gt;"manual",$M233&lt;&gt;$A$15)),
        IF(Import.TipoArredondamento&lt;&gt;"TransfereGOV",
              ROUND(OFFSET($P233,0,AV$13),15-13*ORÇAMENTO!$AF$7)/$H233*OFFSET(ORÇAMENTO!$X$15,ROW(AV233)-ROW(AV$15),0),
              ROUND(ROUND(OFFSET($P233,0,AV$13),15-13*ORÇAMENTO!$AF$7)*OFFSET(ORÇAMENTO!$W$15,ROW(AV233)-ROW(AV$15),0),15-13*ORÇAMENTO!$AF$11)),
         0)</f>
        <v>0</v>
      </c>
      <c r="AW233" s="452">
        <f ca="1">IF(AND($D233="Serviço",AW$12&lt;&gt;0,$H233&gt;0,OR(AUTOEVENTO&lt;&gt;"manual",$M233&lt;&gt;$A$15)),
        IF(Import.TipoArredondamento&lt;&gt;"TransfereGOV",
              ROUND(OFFSET($P233,0,AW$13),15-13*ORÇAMENTO!$AF$7)/$H233*OFFSET(ORÇAMENTO!$X$15,ROW(AW233)-ROW(AW$15),0),
              ROUND(ROUND(OFFSET($P233,0,AW$13),15-13*ORÇAMENTO!$AF$7)*OFFSET(ORÇAMENTO!$W$15,ROW(AW233)-ROW(AW$15),0),15-13*ORÇAMENTO!$AF$11)),
         0)</f>
        <v>0</v>
      </c>
      <c r="AX233" s="452">
        <f ca="1">IF(AND($D233="Serviço",AX$12&lt;&gt;0,$H233&gt;0,OR(AUTOEVENTO&lt;&gt;"manual",$M233&lt;&gt;$A$15)),
        IF(Import.TipoArredondamento&lt;&gt;"TransfereGOV",
              ROUND(OFFSET($P233,0,AX$13),15-13*ORÇAMENTO!$AF$7)/$H233*OFFSET(ORÇAMENTO!$X$15,ROW(AX233)-ROW(AX$15),0),
              ROUND(ROUND(OFFSET($P233,0,AX$13),15-13*ORÇAMENTO!$AF$7)*OFFSET(ORÇAMENTO!$W$15,ROW(AX233)-ROW(AX$15),0),15-13*ORÇAMENTO!$AF$11)),
         0)</f>
        <v>0</v>
      </c>
      <c r="AY233" s="452">
        <f ca="1">IF(AND($D233="Serviço",AY$12&lt;&gt;0,$H233&gt;0,OR(AUTOEVENTO&lt;&gt;"manual",$M233&lt;&gt;$A$15)),
        IF(Import.TipoArredondamento&lt;&gt;"TransfereGOV",
              ROUND(OFFSET($P233,0,AY$13),15-13*ORÇAMENTO!$AF$7)/$H233*OFFSET(ORÇAMENTO!$X$15,ROW(AY233)-ROW(AY$15),0),
              ROUND(ROUND(OFFSET($P233,0,AY$13),15-13*ORÇAMENTO!$AF$7)*OFFSET(ORÇAMENTO!$W$15,ROW(AY233)-ROW(AY$15),0),15-13*ORÇAMENTO!$AF$11)),
         0)</f>
        <v>0</v>
      </c>
      <c r="AZ233" s="452">
        <f ca="1">IF(AND($D233="Serviço",AZ$12&lt;&gt;0,$H233&gt;0,OR(AUTOEVENTO&lt;&gt;"manual",$M233&lt;&gt;$A$15)),
        IF(Import.TipoArredondamento&lt;&gt;"TransfereGOV",
              ROUND(OFFSET($P233,0,AZ$13),15-13*ORÇAMENTO!$AF$7)/$H233*OFFSET(ORÇAMENTO!$X$15,ROW(AZ233)-ROW(AZ$15),0),
              ROUND(ROUND(OFFSET($P233,0,AZ$13),15-13*ORÇAMENTO!$AF$7)*OFFSET(ORÇAMENTO!$W$15,ROW(AZ233)-ROW(AZ$15),0),15-13*ORÇAMENTO!$AF$11)),
         0)</f>
        <v>0</v>
      </c>
      <c r="BA233" s="452">
        <f ca="1">IF(AND($D233="Serviço",BA$12&lt;&gt;0,$H233&gt;0,OR(AUTOEVENTO&lt;&gt;"manual",$M233&lt;&gt;$A$15)),
        IF(Import.TipoArredondamento&lt;&gt;"TransfereGOV",
              ROUND(OFFSET($P233,0,BA$13),15-13*ORÇAMENTO!$AF$7)/$H233*OFFSET(ORÇAMENTO!$X$15,ROW(BA233)-ROW(BA$15),0),
              ROUND(ROUND(OFFSET($P233,0,BA$13),15-13*ORÇAMENTO!$AF$7)*OFFSET(ORÇAMENTO!$W$15,ROW(BA233)-ROW(BA$15),0),15-13*ORÇAMENTO!$AF$11)),
         0)</f>
        <v>0</v>
      </c>
      <c r="BC233" s="171">
        <f ca="1">IF(OR($D233&lt;&gt;"Serviço",AND(AUTOEVENTO="Manual",$M233=$A$15)),0,
         IF(OFFSET(CRONOPLE!$F$15,$M233-$A$15,BC$13)=0,10^12,OFFSET(CRONOPLE!$F$15,$M233-$A$15,BC$13)))</f>
        <v>9</v>
      </c>
      <c r="BD233" s="171">
        <f ca="1">IF(OR($D233&lt;&gt;"Serviço",AND(AUTOEVENTO="Manual",$M233=$A$15)),0,
         IF(OFFSET(CRONOPLE!$F$15,$M233-$A$15,BD$13)=0,10^12,OFFSET(CRONOPLE!$F$15,$M233-$A$15,BD$13)))</f>
        <v>9</v>
      </c>
      <c r="BE233" s="171">
        <f ca="1">IF(OR($D233&lt;&gt;"Serviço",AND(AUTOEVENTO="Manual",$M233=$A$15)),0,
         IF(OFFSET(CRONOPLE!$F$15,$M233-$A$15,BE$13)=0,10^12,OFFSET(CRONOPLE!$F$15,$M233-$A$15,BE$13)))</f>
        <v>9</v>
      </c>
      <c r="BF233" s="171">
        <f ca="1">IF(OR($D233&lt;&gt;"Serviço",AND(AUTOEVENTO="Manual",$M233=$A$15)),0,
         IF(OFFSET(CRONOPLE!$F$15,$M233-$A$15,BF$13)=0,10^12,OFFSET(CRONOPLE!$F$15,$M233-$A$15,BF$13)))</f>
        <v>9</v>
      </c>
      <c r="BG233" s="171">
        <f ca="1">IF(OR($D233&lt;&gt;"Serviço",AND(AUTOEVENTO="Manual",$M233=$A$15)),0,
         IF(OFFSET(CRONOPLE!$F$15,$M233-$A$15,BG$13)=0,10^12,OFFSET(CRONOPLE!$F$15,$M233-$A$15,BG$13)))</f>
        <v>9</v>
      </c>
      <c r="BH233" s="171">
        <f ca="1">IF(OR($D233&lt;&gt;"Serviço",AND(AUTOEVENTO="Manual",$M233=$A$15)),0,
         IF(OFFSET(CRONOPLE!$F$15,$M233-$A$15,BH$13)=0,10^12,OFFSET(CRONOPLE!$F$15,$M233-$A$15,BH$13)))</f>
        <v>1000000000000</v>
      </c>
      <c r="BI233" s="171">
        <f ca="1">IF(OR($D233&lt;&gt;"Serviço",AND(AUTOEVENTO="Manual",$M233=$A$15)),0,
         IF(OFFSET(CRONOPLE!$F$15,$M233-$A$15,BI$13)=0,10^12,OFFSET(CRONOPLE!$F$15,$M233-$A$15,BI$13)))</f>
        <v>1000000000000</v>
      </c>
      <c r="BJ233" s="171">
        <f ca="1">IF(OR($D233&lt;&gt;"Serviço",AND(AUTOEVENTO="Manual",$M233=$A$15)),0,
         IF(OFFSET(CRONOPLE!$F$15,$M233-$A$15,BJ$13)=0,10^12,OFFSET(CRONOPLE!$F$15,$M233-$A$15,BJ$13)))</f>
        <v>1000000000000</v>
      </c>
      <c r="BK233" s="171">
        <f ca="1">IF(OR($D233&lt;&gt;"Serviço",AND(AUTOEVENTO="Manual",$M233=$A$15)),0,
         IF(OFFSET(CRONOPLE!$F$15,$M233-$A$15,BK$13)=0,10^12,OFFSET(CRONOPLE!$F$15,$M233-$A$15,BK$13)))</f>
        <v>1000000000000</v>
      </c>
      <c r="BL233" s="171">
        <f ca="1">IF(OR($D233&lt;&gt;"Serviço",AND(AUTOEVENTO="Manual",$M233=$A$15)),0,
         IF(OFFSET(CRONOPLE!$F$15,$M233-$A$15,BL$13)=0,10^12,OFFSET(CRONOPLE!$F$15,$M233-$A$15,BL$13)))</f>
        <v>1000000000000</v>
      </c>
      <c r="BM233" s="171">
        <f ca="1">IF(OR($D233&lt;&gt;"Serviço",AND(AUTOEVENTO="Manual",$M233=$A$15)),0,
         IF(OFFSET(CRONOPLE!$F$15,$M233-$A$15,BM$13)=0,10^12,OFFSET(CRONOPLE!$F$15,$M233-$A$15,BM$13)))</f>
        <v>1000000000000</v>
      </c>
      <c r="BN233" s="171">
        <f ca="1">IF(OR($D233&lt;&gt;"Serviço",AND(AUTOEVENTO="Manual",$M233=$A$15)),0,
         IF(OFFSET(CRONOPLE!$F$15,$M233-$A$15,BN$13)=0,10^12,OFFSET(CRONOPLE!$F$15,$M233-$A$15,BN$13)))</f>
        <v>1000000000000</v>
      </c>
      <c r="BO233" s="171">
        <f ca="1">IF(OR($D233&lt;&gt;"Serviço",AND(AUTOEVENTO="Manual",$M233=$A$15)),0,
         IF(OFFSET(CRONOPLE!$F$15,$M233-$A$15,BO$13)=0,10^12,OFFSET(CRONOPLE!$F$15,$M233-$A$15,BO$13)))</f>
        <v>1000000000000</v>
      </c>
      <c r="BP233" s="171">
        <f ca="1">IF(OR($D233&lt;&gt;"Serviço",AND(AUTOEVENTO="Manual",$M233=$A$15)),0,
         IF(OFFSET(CRONOPLE!$F$15,$M233-$A$15,BP$13)=0,10^12,OFFSET(CRONOPLE!$F$15,$M233-$A$15,BP$13)))</f>
        <v>1000000000000</v>
      </c>
      <c r="BQ233" s="171">
        <f ca="1">IF(OR($D233&lt;&gt;"Serviço",AND(AUTOEVENTO="Manual",$M233=$A$15)),0,
         IF(OFFSET(CRONOPLE!$F$15,$M233-$A$15,BQ$13)=0,10^12,OFFSET(CRONOPLE!$F$15,$M233-$A$15,BQ$13)))</f>
        <v>1000000000000</v>
      </c>
      <c r="BR233" s="171">
        <f ca="1">IF(OR($D233&lt;&gt;"Serviço",AND(AUTOEVENTO="Manual",$M233=$A$15)),0,
         IF(OFFSET(CRONOPLE!$F$15,$M233-$A$15,BR$13)=0,10^12,OFFSET(CRONOPLE!$F$15,$M233-$A$15,BR$13)))</f>
        <v>1000000000000</v>
      </c>
      <c r="BS233" s="171">
        <f ca="1">IF(OR($D233&lt;&gt;"Serviço",AND(AUTOEVENTO="Manual",$M233=$A$15)),0,
         IF(OFFSET(CRONOPLE!$F$15,$M233-$A$15,BS$13)=0,10^12,OFFSET(CRONOPLE!$F$15,$M233-$A$15,BS$13)))</f>
        <v>1000000000000</v>
      </c>
      <c r="BT233" s="171">
        <f ca="1">IF(OR($D233&lt;&gt;"Serviço",AND(AUTOEVENTO="Manual",$M233=$A$15)),0,
         IF(OFFSET(CRONOPLE!$F$15,$M233-$A$15,BT$13)=0,10^12,OFFSET(CRONOPLE!$F$15,$M233-$A$15,BT$13)))</f>
        <v>1000000000000</v>
      </c>
      <c r="BV233" s="172">
        <f t="array" aca="1" ref="BV233" ca="1">IF(OR($D233&lt;&gt;"Serviço",AND(AUTOEVENTO="Manual",$M233=$A$15),$M233&gt;(ROW(PLE.lastrow)-ROW(PLE.firstrow))),0,
           IF(OFFSET(PLE!$G$15,$M233-$A$15,BV$13)="",10^12,OFFSET(PLE!$G$15,$M233-$A$15,BV$13)))</f>
        <v>1000000000000</v>
      </c>
      <c r="BW233" s="172">
        <f t="array" aca="1" ref="BW233" ca="1">IF(OR($D233&lt;&gt;"Serviço",AND(AUTOEVENTO="Manual",$M233=$A$15),$M233&gt;(ROW(PLE.lastrow)-ROW(PLE.firstrow))),0,
           IF(OFFSET(PLE!$G$15,$M233-$A$15,BW$13)="",10^12,OFFSET(PLE!$G$15,$M233-$A$15,BW$13)))</f>
        <v>1000000000000</v>
      </c>
      <c r="BX233" s="172">
        <f t="array" aca="1" ref="BX233" ca="1">IF(OR($D233&lt;&gt;"Serviço",AND(AUTOEVENTO="Manual",$M233=$A$15),$M233&gt;(ROW(PLE.lastrow)-ROW(PLE.firstrow))),0,
           IF(OFFSET(PLE!$G$15,$M233-$A$15,BX$13)="",10^12,OFFSET(PLE!$G$15,$M233-$A$15,BX$13)))</f>
        <v>1000000000000</v>
      </c>
      <c r="BY233" s="172">
        <f t="array" aca="1" ref="BY233" ca="1">IF(OR($D233&lt;&gt;"Serviço",AND(AUTOEVENTO="Manual",$M233=$A$15),$M233&gt;(ROW(PLE.lastrow)-ROW(PLE.firstrow))),0,
           IF(OFFSET(PLE!$G$15,$M233-$A$15,BY$13)="",10^12,OFFSET(PLE!$G$15,$M233-$A$15,BY$13)))</f>
        <v>1000000000000</v>
      </c>
      <c r="BZ233" s="172">
        <f t="array" aca="1" ref="BZ233" ca="1">IF(OR($D233&lt;&gt;"Serviço",AND(AUTOEVENTO="Manual",$M233=$A$15),$M233&gt;(ROW(PLE.lastrow)-ROW(PLE.firstrow))),0,
           IF(OFFSET(PLE!$G$15,$M233-$A$15,BZ$13)="",10^12,OFFSET(PLE!$G$15,$M233-$A$15,BZ$13)))</f>
        <v>1000000000000</v>
      </c>
      <c r="CA233" s="172">
        <f t="array" aca="1" ref="CA233" ca="1">IF(OR($D233&lt;&gt;"Serviço",AND(AUTOEVENTO="Manual",$M233=$A$15),$M233&gt;(ROW(PLE.lastrow)-ROW(PLE.firstrow))),0,
           IF(OFFSET(PLE!$G$15,$M233-$A$15,CA$13)="",10^12,OFFSET(PLE!$G$15,$M233-$A$15,CA$13)))</f>
        <v>1000000000000</v>
      </c>
      <c r="CB233" s="172">
        <f t="array" aca="1" ref="CB233" ca="1">IF(OR($D233&lt;&gt;"Serviço",AND(AUTOEVENTO="Manual",$M233=$A$15),$M233&gt;(ROW(PLE.lastrow)-ROW(PLE.firstrow))),0,
           IF(OFFSET(PLE!$G$15,$M233-$A$15,CB$13)="",10^12,OFFSET(PLE!$G$15,$M233-$A$15,CB$13)))</f>
        <v>1000000000000</v>
      </c>
      <c r="CC233" s="172">
        <f t="array" aca="1" ref="CC233" ca="1">IF(OR($D233&lt;&gt;"Serviço",AND(AUTOEVENTO="Manual",$M233=$A$15),$M233&gt;(ROW(PLE.lastrow)-ROW(PLE.firstrow))),0,
           IF(OFFSET(PLE!$G$15,$M233-$A$15,CC$13)="",10^12,OFFSET(PLE!$G$15,$M233-$A$15,CC$13)))</f>
        <v>1000000000000</v>
      </c>
      <c r="CD233" s="172">
        <f t="array" aca="1" ref="CD233" ca="1">IF(OR($D233&lt;&gt;"Serviço",AND(AUTOEVENTO="Manual",$M233=$A$15),$M233&gt;(ROW(PLE.lastrow)-ROW(PLE.firstrow))),0,
           IF(OFFSET(PLE!$G$15,$M233-$A$15,CD$13)="",10^12,OFFSET(PLE!$G$15,$M233-$A$15,CD$13)))</f>
        <v>1000000000000</v>
      </c>
      <c r="CE233" s="172">
        <f t="array" aca="1" ref="CE233" ca="1">IF(OR($D233&lt;&gt;"Serviço",AND(AUTOEVENTO="Manual",$M233=$A$15),$M233&gt;(ROW(PLE.lastrow)-ROW(PLE.firstrow))),0,
           IF(OFFSET(PLE!$G$15,$M233-$A$15,CE$13)="",10^12,OFFSET(PLE!$G$15,$M233-$A$15,CE$13)))</f>
        <v>1000000000000</v>
      </c>
      <c r="CF233" s="172">
        <f t="array" aca="1" ref="CF233" ca="1">IF(OR($D233&lt;&gt;"Serviço",AND(AUTOEVENTO="Manual",$M233=$A$15),$M233&gt;(ROW(PLE.lastrow)-ROW(PLE.firstrow))),0,
           IF(OFFSET(PLE!$G$15,$M233-$A$15,CF$13)="",10^12,OFFSET(PLE!$G$15,$M233-$A$15,CF$13)))</f>
        <v>1000000000000</v>
      </c>
      <c r="CG233" s="172">
        <f t="array" aca="1" ref="CG233" ca="1">IF(OR($D233&lt;&gt;"Serviço",AND(AUTOEVENTO="Manual",$M233=$A$15),$M233&gt;(ROW(PLE.lastrow)-ROW(PLE.firstrow))),0,
           IF(OFFSET(PLE!$G$15,$M233-$A$15,CG$13)="",10^12,OFFSET(PLE!$G$15,$M233-$A$15,CG$13)))</f>
        <v>1000000000000</v>
      </c>
      <c r="CH233" s="172">
        <f t="array" aca="1" ref="CH233" ca="1">IF(OR($D233&lt;&gt;"Serviço",AND(AUTOEVENTO="Manual",$M233=$A$15),$M233&gt;(ROW(PLE.lastrow)-ROW(PLE.firstrow))),0,
           IF(OFFSET(PLE!$G$15,$M233-$A$15,CH$13)="",10^12,OFFSET(PLE!$G$15,$M233-$A$15,CH$13)))</f>
        <v>1000000000000</v>
      </c>
      <c r="CI233" s="172">
        <f t="array" aca="1" ref="CI233" ca="1">IF(OR($D233&lt;&gt;"Serviço",AND(AUTOEVENTO="Manual",$M233=$A$15),$M233&gt;(ROW(PLE.lastrow)-ROW(PLE.firstrow))),0,
           IF(OFFSET(PLE!$G$15,$M233-$A$15,CI$13)="",10^12,OFFSET(PLE!$G$15,$M233-$A$15,CI$13)))</f>
        <v>1000000000000</v>
      </c>
      <c r="CJ233" s="172">
        <f t="array" aca="1" ref="CJ233" ca="1">IF(OR($D233&lt;&gt;"Serviço",AND(AUTOEVENTO="Manual",$M233=$A$15),$M233&gt;(ROW(PLE.lastrow)-ROW(PLE.firstrow))),0,
           IF(OFFSET(PLE!$G$15,$M233-$A$15,CJ$13)="",10^12,OFFSET(PLE!$G$15,$M233-$A$15,CJ$13)))</f>
        <v>1000000000000</v>
      </c>
      <c r="CK233" s="172">
        <f t="array" aca="1" ref="CK233" ca="1">IF(OR($D233&lt;&gt;"Serviço",AND(AUTOEVENTO="Manual",$M233=$A$15),$M233&gt;(ROW(PLE.lastrow)-ROW(PLE.firstrow))),0,
           IF(OFFSET(PLE!$G$15,$M233-$A$15,CK$13)="",10^12,OFFSET(PLE!$G$15,$M233-$A$15,CK$13)))</f>
        <v>1000000000000</v>
      </c>
      <c r="CL233" s="172">
        <f t="array" aca="1" ref="CL233" ca="1">IF(OR($D233&lt;&gt;"Serviço",AND(AUTOEVENTO="Manual",$M233=$A$15),$M233&gt;(ROW(PLE.lastrow)-ROW(PLE.firstrow))),0,
           IF(OFFSET(PLE!$G$15,$M233-$A$15,CL$13)="",10^12,OFFSET(PLE!$G$15,$M233-$A$15,CL$13)))</f>
        <v>1000000000000</v>
      </c>
      <c r="CM233" s="172">
        <f t="array" aca="1" ref="CM233" ca="1">IF(OR($D233&lt;&gt;"Serviço",AND(AUTOEVENTO="Manual",$M233=$A$15),$M233&gt;(ROW(PLE.lastrow)-ROW(PLE.firstrow))),0,
           IF(OFFSET(PLE!$G$15,$M233-$A$15,CM$13)="",10^12,OFFSET(PLE!$G$15,$M233-$A$15,CM$13)))</f>
        <v>1000000000000</v>
      </c>
    </row>
    <row r="234" spans="1:91" s="696" customFormat="1" ht="63.75" x14ac:dyDescent="0.2">
      <c r="A234" s="694">
        <f t="shared" ca="1" si="98"/>
        <v>41</v>
      </c>
      <c r="B234" s="694" t="str">
        <f ca="1">OFFSET(ORÇAMENTO!C$15,$L234,0)</f>
        <v>S</v>
      </c>
      <c r="C234" s="694" t="str">
        <f ca="1">OFFSET(ORÇAMENTO!L$15,$L234,0)</f>
        <v>F</v>
      </c>
      <c r="D234" s="116" t="str">
        <f ca="1">OFFSET(ORÇAMENTO!N$15,$L234,0)</f>
        <v>Serviço</v>
      </c>
      <c r="E234" s="117" t="str">
        <f ca="1">OFFSET(ORÇAMENTO!O$15,$L234,0)</f>
        <v>1.34.9.</v>
      </c>
      <c r="F234" s="163" t="str">
        <f ca="1">OFFSET(ORÇAMENTO!R$15,$L234,0)</f>
        <v>LIMPEZA DE TANQUE OU LAVATÓRIO DE LOUÇA ISOLADO, INCLUSIVE METAIS CORRESPONDENTES. AF_04/2019</v>
      </c>
      <c r="G234" s="164" t="str">
        <f ca="1">IF($D234&lt;&gt;"Serviço","",OFFSET(ORÇAMENTO!S$15,$L234,0))</f>
        <v>UN</v>
      </c>
      <c r="H234" s="122">
        <f t="array" aca="1" ref="H234" ca="1">IF($D234&lt;&gt;"Serviço",0,IF(ACOMPANHAMENTO="BM",ROUND(OFFSET(ORÇAMENTO!AJ$15,$L234,0),15-13*ORÇAMENTO!$AF$7),IF(IFERROR(CÁLCULO.FrentesPreenchidas,0)=0,0,SUM(ROUND(OFFSET($P234,0,1,1,CÁLCULO.FrentesPreenchidas),15-13*ORÇAMENTO!$AF$7)))))</f>
        <v>40</v>
      </c>
      <c r="I234" s="467" t="s">
        <v>1350</v>
      </c>
      <c r="J234" s="653" t="str">
        <f t="array" aca="1" ref="J234" ca="1">IF(OR(B234&lt;&gt;"S",CÁLCULO.FrentesPreenchidas=0),"",IF(AND(ACOMPANHAMENTO="PLE",AUTOEVENTO="Manual",OR(H234&gt;0,ORÇAMENTO!AC234="QUANT."),OR(K234="",M234=0,N234="")),"►E",IF(AND(ACOMPANHAMENTO="PLE",ORÇAMENTO!AC234="QUANT."),"►Q",IF(AND(ACOMPANHAMENTO="PLE",H234&lt;&gt;SUMPRODUCT(($Q$1:$AI$1=1)*ROUND(Q234:AI234,15))),"►S",IF(AND(COUNTIF($P$11:$AI$11,"▼")=0,H234&gt;0,I234=""),"◄M","")))))</f>
        <v/>
      </c>
      <c r="K234" s="654" t="s">
        <v>1451</v>
      </c>
      <c r="L234" s="165">
        <f t="shared" ca="1" si="99"/>
        <v>219</v>
      </c>
      <c r="M234" s="166">
        <f ca="1">IF($D234&lt;&gt;"Serviço","",
          IF(AUTOEVENTO="manual",$A234,
                IF(ISERROR(MATCH($A234,$A$15:OFFSET($A234,-1,0),0)),MAX($M$15:OFFSET(M234,-1,0))+1,
                      INDEX($M$15:OFFSET(M234,-1,0),MATCH($A234,$A$15:OFFSET($A234,-1,0),0)))))</f>
        <v>41</v>
      </c>
      <c r="N234" s="167" t="str">
        <f ca="1">IF($D234&lt;&gt;"Serviço","",
         IF(AUTOEVENTO="Manual",
                IF($A234=0,"&lt;-- defina o número do agrupador",
                       OFFSET(EVENTOS!$D$15,$A234-$A$15,0)),
                OFFSET($F$15,$A234,0)))</f>
        <v>LIMPEZA FINAL DA OBRA</v>
      </c>
      <c r="O234" s="168"/>
      <c r="Q234" s="169">
        <v>10</v>
      </c>
      <c r="R234" s="169">
        <v>10</v>
      </c>
      <c r="S234" s="169">
        <v>10</v>
      </c>
      <c r="T234" s="169">
        <v>10</v>
      </c>
      <c r="U234" s="169"/>
      <c r="V234" s="169"/>
      <c r="W234" s="169"/>
      <c r="X234" s="169"/>
      <c r="Y234" s="169"/>
      <c r="Z234" s="170"/>
      <c r="AA234" s="169"/>
      <c r="AB234" s="169"/>
      <c r="AC234" s="169"/>
      <c r="AD234" s="169"/>
      <c r="AE234" s="169"/>
      <c r="AF234" s="169"/>
      <c r="AG234" s="169"/>
      <c r="AH234" s="170"/>
      <c r="AJ234" s="452">
        <f ca="1">IF(AND($D234="Serviço",AJ$12&lt;&gt;0,$H234&gt;0,OR(AUTOEVENTO&lt;&gt;"manual",$M234&lt;&gt;$A$15)),
        IF(Import.TipoArredondamento&lt;&gt;"TransfereGOV",
              ROUND(OFFSET($P234,0,AJ$13),15-13*ORÇAMENTO!$AF$7)/$H234*OFFSET(ORÇAMENTO!$X$15,ROW(AJ234)-ROW(AJ$15),0),
              ROUND(ROUND(OFFSET($P234,0,AJ$13),15-13*ORÇAMENTO!$AF$7)*OFFSET(ORÇAMENTO!$W$15,ROW(AJ234)-ROW(AJ$15),0),15-13*ORÇAMENTO!$AF$11)),
         0)</f>
        <v>120</v>
      </c>
      <c r="AK234" s="452">
        <f ca="1">IF(AND($D234="Serviço",AK$12&lt;&gt;0,$H234&gt;0,OR(AUTOEVENTO&lt;&gt;"manual",$M234&lt;&gt;$A$15)),
        IF(Import.TipoArredondamento&lt;&gt;"TransfereGOV",
              ROUND(OFFSET($P234,0,AK$13),15-13*ORÇAMENTO!$AF$7)/$H234*OFFSET(ORÇAMENTO!$X$15,ROW(AK234)-ROW(AK$15),0),
              ROUND(ROUND(OFFSET($P234,0,AK$13),15-13*ORÇAMENTO!$AF$7)*OFFSET(ORÇAMENTO!$W$15,ROW(AK234)-ROW(AK$15),0),15-13*ORÇAMENTO!$AF$11)),
         0)</f>
        <v>120</v>
      </c>
      <c r="AL234" s="452">
        <f ca="1">IF(AND($D234="Serviço",AL$12&lt;&gt;0,$H234&gt;0,OR(AUTOEVENTO&lt;&gt;"manual",$M234&lt;&gt;$A$15)),
        IF(Import.TipoArredondamento&lt;&gt;"TransfereGOV",
              ROUND(OFFSET($P234,0,AL$13),15-13*ORÇAMENTO!$AF$7)/$H234*OFFSET(ORÇAMENTO!$X$15,ROW(AL234)-ROW(AL$15),0),
              ROUND(ROUND(OFFSET($P234,0,AL$13),15-13*ORÇAMENTO!$AF$7)*OFFSET(ORÇAMENTO!$W$15,ROW(AL234)-ROW(AL$15),0),15-13*ORÇAMENTO!$AF$11)),
         0)</f>
        <v>120</v>
      </c>
      <c r="AM234" s="452">
        <f ca="1">IF(AND($D234="Serviço",AM$12&lt;&gt;0,$H234&gt;0,OR(AUTOEVENTO&lt;&gt;"manual",$M234&lt;&gt;$A$15)),
        IF(Import.TipoArredondamento&lt;&gt;"TransfereGOV",
              ROUND(OFFSET($P234,0,AM$13),15-13*ORÇAMENTO!$AF$7)/$H234*OFFSET(ORÇAMENTO!$X$15,ROW(AM234)-ROW(AM$15),0),
              ROUND(ROUND(OFFSET($P234,0,AM$13),15-13*ORÇAMENTO!$AF$7)*OFFSET(ORÇAMENTO!$W$15,ROW(AM234)-ROW(AM$15),0),15-13*ORÇAMENTO!$AF$11)),
         0)</f>
        <v>120</v>
      </c>
      <c r="AN234" s="452">
        <f ca="1">IF(AND($D234="Serviço",AN$12&lt;&gt;0,$H234&gt;0,OR(AUTOEVENTO&lt;&gt;"manual",$M234&lt;&gt;$A$15)),
        IF(Import.TipoArredondamento&lt;&gt;"TransfereGOV",
              ROUND(OFFSET($P234,0,AN$13),15-13*ORÇAMENTO!$AF$7)/$H234*OFFSET(ORÇAMENTO!$X$15,ROW(AN234)-ROW(AN$15),0),
              ROUND(ROUND(OFFSET($P234,0,AN$13),15-13*ORÇAMENTO!$AF$7)*OFFSET(ORÇAMENTO!$W$15,ROW(AN234)-ROW(AN$15),0),15-13*ORÇAMENTO!$AF$11)),
         0)</f>
        <v>0</v>
      </c>
      <c r="AO234" s="452">
        <f ca="1">IF(AND($D234="Serviço",AO$12&lt;&gt;0,$H234&gt;0,OR(AUTOEVENTO&lt;&gt;"manual",$M234&lt;&gt;$A$15)),
        IF(Import.TipoArredondamento&lt;&gt;"TransfereGOV",
              ROUND(OFFSET($P234,0,AO$13),15-13*ORÇAMENTO!$AF$7)/$H234*OFFSET(ORÇAMENTO!$X$15,ROW(AO234)-ROW(AO$15),0),
              ROUND(ROUND(OFFSET($P234,0,AO$13),15-13*ORÇAMENTO!$AF$7)*OFFSET(ORÇAMENTO!$W$15,ROW(AO234)-ROW(AO$15),0),15-13*ORÇAMENTO!$AF$11)),
         0)</f>
        <v>0</v>
      </c>
      <c r="AP234" s="452">
        <f ca="1">IF(AND($D234="Serviço",AP$12&lt;&gt;0,$H234&gt;0,OR(AUTOEVENTO&lt;&gt;"manual",$M234&lt;&gt;$A$15)),
        IF(Import.TipoArredondamento&lt;&gt;"TransfereGOV",
              ROUND(OFFSET($P234,0,AP$13),15-13*ORÇAMENTO!$AF$7)/$H234*OFFSET(ORÇAMENTO!$X$15,ROW(AP234)-ROW(AP$15),0),
              ROUND(ROUND(OFFSET($P234,0,AP$13),15-13*ORÇAMENTO!$AF$7)*OFFSET(ORÇAMENTO!$W$15,ROW(AP234)-ROW(AP$15),0),15-13*ORÇAMENTO!$AF$11)),
         0)</f>
        <v>0</v>
      </c>
      <c r="AQ234" s="452">
        <f ca="1">IF(AND($D234="Serviço",AQ$12&lt;&gt;0,$H234&gt;0,OR(AUTOEVENTO&lt;&gt;"manual",$M234&lt;&gt;$A$15)),
        IF(Import.TipoArredondamento&lt;&gt;"TransfereGOV",
              ROUND(OFFSET($P234,0,AQ$13),15-13*ORÇAMENTO!$AF$7)/$H234*OFFSET(ORÇAMENTO!$X$15,ROW(AQ234)-ROW(AQ$15),0),
              ROUND(ROUND(OFFSET($P234,0,AQ$13),15-13*ORÇAMENTO!$AF$7)*OFFSET(ORÇAMENTO!$W$15,ROW(AQ234)-ROW(AQ$15),0),15-13*ORÇAMENTO!$AF$11)),
         0)</f>
        <v>0</v>
      </c>
      <c r="AR234" s="452">
        <f ca="1">IF(AND($D234="Serviço",AR$12&lt;&gt;0,$H234&gt;0,OR(AUTOEVENTO&lt;&gt;"manual",$M234&lt;&gt;$A$15)),
        IF(Import.TipoArredondamento&lt;&gt;"TransfereGOV",
              ROUND(OFFSET($P234,0,AR$13),15-13*ORÇAMENTO!$AF$7)/$H234*OFFSET(ORÇAMENTO!$X$15,ROW(AR234)-ROW(AR$15),0),
              ROUND(ROUND(OFFSET($P234,0,AR$13),15-13*ORÇAMENTO!$AF$7)*OFFSET(ORÇAMENTO!$W$15,ROW(AR234)-ROW(AR$15),0),15-13*ORÇAMENTO!$AF$11)),
         0)</f>
        <v>0</v>
      </c>
      <c r="AS234" s="452">
        <f ca="1">IF(AND($D234="Serviço",AS$12&lt;&gt;0,$H234&gt;0,OR(AUTOEVENTO&lt;&gt;"manual",$M234&lt;&gt;$A$15)),
        IF(Import.TipoArredondamento&lt;&gt;"TransfereGOV",
              ROUND(OFFSET($P234,0,AS$13),15-13*ORÇAMENTO!$AF$7)/$H234*OFFSET(ORÇAMENTO!$X$15,ROW(AS234)-ROW(AS$15),0),
              ROUND(ROUND(OFFSET($P234,0,AS$13),15-13*ORÇAMENTO!$AF$7)*OFFSET(ORÇAMENTO!$W$15,ROW(AS234)-ROW(AS$15),0),15-13*ORÇAMENTO!$AF$11)),
         0)</f>
        <v>0</v>
      </c>
      <c r="AT234" s="452">
        <f ca="1">IF(AND($D234="Serviço",AT$12&lt;&gt;0,$H234&gt;0,OR(AUTOEVENTO&lt;&gt;"manual",$M234&lt;&gt;$A$15)),
        IF(Import.TipoArredondamento&lt;&gt;"TransfereGOV",
              ROUND(OFFSET($P234,0,AT$13),15-13*ORÇAMENTO!$AF$7)/$H234*OFFSET(ORÇAMENTO!$X$15,ROW(AT234)-ROW(AT$15),0),
              ROUND(ROUND(OFFSET($P234,0,AT$13),15-13*ORÇAMENTO!$AF$7)*OFFSET(ORÇAMENTO!$W$15,ROW(AT234)-ROW(AT$15),0),15-13*ORÇAMENTO!$AF$11)),
         0)</f>
        <v>0</v>
      </c>
      <c r="AU234" s="452">
        <f ca="1">IF(AND($D234="Serviço",AU$12&lt;&gt;0,$H234&gt;0,OR(AUTOEVENTO&lt;&gt;"manual",$M234&lt;&gt;$A$15)),
        IF(Import.TipoArredondamento&lt;&gt;"TransfereGOV",
              ROUND(OFFSET($P234,0,AU$13),15-13*ORÇAMENTO!$AF$7)/$H234*OFFSET(ORÇAMENTO!$X$15,ROW(AU234)-ROW(AU$15),0),
              ROUND(ROUND(OFFSET($P234,0,AU$13),15-13*ORÇAMENTO!$AF$7)*OFFSET(ORÇAMENTO!$W$15,ROW(AU234)-ROW(AU$15),0),15-13*ORÇAMENTO!$AF$11)),
         0)</f>
        <v>0</v>
      </c>
      <c r="AV234" s="452">
        <f ca="1">IF(AND($D234="Serviço",AV$12&lt;&gt;0,$H234&gt;0,OR(AUTOEVENTO&lt;&gt;"manual",$M234&lt;&gt;$A$15)),
        IF(Import.TipoArredondamento&lt;&gt;"TransfereGOV",
              ROUND(OFFSET($P234,0,AV$13),15-13*ORÇAMENTO!$AF$7)/$H234*OFFSET(ORÇAMENTO!$X$15,ROW(AV234)-ROW(AV$15),0),
              ROUND(ROUND(OFFSET($P234,0,AV$13),15-13*ORÇAMENTO!$AF$7)*OFFSET(ORÇAMENTO!$W$15,ROW(AV234)-ROW(AV$15),0),15-13*ORÇAMENTO!$AF$11)),
         0)</f>
        <v>0</v>
      </c>
      <c r="AW234" s="452">
        <f ca="1">IF(AND($D234="Serviço",AW$12&lt;&gt;0,$H234&gt;0,OR(AUTOEVENTO&lt;&gt;"manual",$M234&lt;&gt;$A$15)),
        IF(Import.TipoArredondamento&lt;&gt;"TransfereGOV",
              ROUND(OFFSET($P234,0,AW$13),15-13*ORÇAMENTO!$AF$7)/$H234*OFFSET(ORÇAMENTO!$X$15,ROW(AW234)-ROW(AW$15),0),
              ROUND(ROUND(OFFSET($P234,0,AW$13),15-13*ORÇAMENTO!$AF$7)*OFFSET(ORÇAMENTO!$W$15,ROW(AW234)-ROW(AW$15),0),15-13*ORÇAMENTO!$AF$11)),
         0)</f>
        <v>0</v>
      </c>
      <c r="AX234" s="452">
        <f ca="1">IF(AND($D234="Serviço",AX$12&lt;&gt;0,$H234&gt;0,OR(AUTOEVENTO&lt;&gt;"manual",$M234&lt;&gt;$A$15)),
        IF(Import.TipoArredondamento&lt;&gt;"TransfereGOV",
              ROUND(OFFSET($P234,0,AX$13),15-13*ORÇAMENTO!$AF$7)/$H234*OFFSET(ORÇAMENTO!$X$15,ROW(AX234)-ROW(AX$15),0),
              ROUND(ROUND(OFFSET($P234,0,AX$13),15-13*ORÇAMENTO!$AF$7)*OFFSET(ORÇAMENTO!$W$15,ROW(AX234)-ROW(AX$15),0),15-13*ORÇAMENTO!$AF$11)),
         0)</f>
        <v>0</v>
      </c>
      <c r="AY234" s="452">
        <f ca="1">IF(AND($D234="Serviço",AY$12&lt;&gt;0,$H234&gt;0,OR(AUTOEVENTO&lt;&gt;"manual",$M234&lt;&gt;$A$15)),
        IF(Import.TipoArredondamento&lt;&gt;"TransfereGOV",
              ROUND(OFFSET($P234,0,AY$13),15-13*ORÇAMENTO!$AF$7)/$H234*OFFSET(ORÇAMENTO!$X$15,ROW(AY234)-ROW(AY$15),0),
              ROUND(ROUND(OFFSET($P234,0,AY$13),15-13*ORÇAMENTO!$AF$7)*OFFSET(ORÇAMENTO!$W$15,ROW(AY234)-ROW(AY$15),0),15-13*ORÇAMENTO!$AF$11)),
         0)</f>
        <v>0</v>
      </c>
      <c r="AZ234" s="452">
        <f ca="1">IF(AND($D234="Serviço",AZ$12&lt;&gt;0,$H234&gt;0,OR(AUTOEVENTO&lt;&gt;"manual",$M234&lt;&gt;$A$15)),
        IF(Import.TipoArredondamento&lt;&gt;"TransfereGOV",
              ROUND(OFFSET($P234,0,AZ$13),15-13*ORÇAMENTO!$AF$7)/$H234*OFFSET(ORÇAMENTO!$X$15,ROW(AZ234)-ROW(AZ$15),0),
              ROUND(ROUND(OFFSET($P234,0,AZ$13),15-13*ORÇAMENTO!$AF$7)*OFFSET(ORÇAMENTO!$W$15,ROW(AZ234)-ROW(AZ$15),0),15-13*ORÇAMENTO!$AF$11)),
         0)</f>
        <v>0</v>
      </c>
      <c r="BA234" s="452">
        <f ca="1">IF(AND($D234="Serviço",BA$12&lt;&gt;0,$H234&gt;0,OR(AUTOEVENTO&lt;&gt;"manual",$M234&lt;&gt;$A$15)),
        IF(Import.TipoArredondamento&lt;&gt;"TransfereGOV",
              ROUND(OFFSET($P234,0,BA$13),15-13*ORÇAMENTO!$AF$7)/$H234*OFFSET(ORÇAMENTO!$X$15,ROW(BA234)-ROW(BA$15),0),
              ROUND(ROUND(OFFSET($P234,0,BA$13),15-13*ORÇAMENTO!$AF$7)*OFFSET(ORÇAMENTO!$W$15,ROW(BA234)-ROW(BA$15),0),15-13*ORÇAMENTO!$AF$11)),
         0)</f>
        <v>0</v>
      </c>
      <c r="BC234" s="171">
        <f ca="1">IF(OR($D234&lt;&gt;"Serviço",AND(AUTOEVENTO="Manual",$M234=$A$15)),0,
         IF(OFFSET(CRONOPLE!$F$15,$M234-$A$15,BC$13)=0,10^12,OFFSET(CRONOPLE!$F$15,$M234-$A$15,BC$13)))</f>
        <v>9</v>
      </c>
      <c r="BD234" s="171">
        <f ca="1">IF(OR($D234&lt;&gt;"Serviço",AND(AUTOEVENTO="Manual",$M234=$A$15)),0,
         IF(OFFSET(CRONOPLE!$F$15,$M234-$A$15,BD$13)=0,10^12,OFFSET(CRONOPLE!$F$15,$M234-$A$15,BD$13)))</f>
        <v>9</v>
      </c>
      <c r="BE234" s="171">
        <f ca="1">IF(OR($D234&lt;&gt;"Serviço",AND(AUTOEVENTO="Manual",$M234=$A$15)),0,
         IF(OFFSET(CRONOPLE!$F$15,$M234-$A$15,BE$13)=0,10^12,OFFSET(CRONOPLE!$F$15,$M234-$A$15,BE$13)))</f>
        <v>9</v>
      </c>
      <c r="BF234" s="171">
        <f ca="1">IF(OR($D234&lt;&gt;"Serviço",AND(AUTOEVENTO="Manual",$M234=$A$15)),0,
         IF(OFFSET(CRONOPLE!$F$15,$M234-$A$15,BF$13)=0,10^12,OFFSET(CRONOPLE!$F$15,$M234-$A$15,BF$13)))</f>
        <v>9</v>
      </c>
      <c r="BG234" s="171">
        <f ca="1">IF(OR($D234&lt;&gt;"Serviço",AND(AUTOEVENTO="Manual",$M234=$A$15)),0,
         IF(OFFSET(CRONOPLE!$F$15,$M234-$A$15,BG$13)=0,10^12,OFFSET(CRONOPLE!$F$15,$M234-$A$15,BG$13)))</f>
        <v>9</v>
      </c>
      <c r="BH234" s="171">
        <f ca="1">IF(OR($D234&lt;&gt;"Serviço",AND(AUTOEVENTO="Manual",$M234=$A$15)),0,
         IF(OFFSET(CRONOPLE!$F$15,$M234-$A$15,BH$13)=0,10^12,OFFSET(CRONOPLE!$F$15,$M234-$A$15,BH$13)))</f>
        <v>1000000000000</v>
      </c>
      <c r="BI234" s="171">
        <f ca="1">IF(OR($D234&lt;&gt;"Serviço",AND(AUTOEVENTO="Manual",$M234=$A$15)),0,
         IF(OFFSET(CRONOPLE!$F$15,$M234-$A$15,BI$13)=0,10^12,OFFSET(CRONOPLE!$F$15,$M234-$A$15,BI$13)))</f>
        <v>1000000000000</v>
      </c>
      <c r="BJ234" s="171">
        <f ca="1">IF(OR($D234&lt;&gt;"Serviço",AND(AUTOEVENTO="Manual",$M234=$A$15)),0,
         IF(OFFSET(CRONOPLE!$F$15,$M234-$A$15,BJ$13)=0,10^12,OFFSET(CRONOPLE!$F$15,$M234-$A$15,BJ$13)))</f>
        <v>1000000000000</v>
      </c>
      <c r="BK234" s="171">
        <f ca="1">IF(OR($D234&lt;&gt;"Serviço",AND(AUTOEVENTO="Manual",$M234=$A$15)),0,
         IF(OFFSET(CRONOPLE!$F$15,$M234-$A$15,BK$13)=0,10^12,OFFSET(CRONOPLE!$F$15,$M234-$A$15,BK$13)))</f>
        <v>1000000000000</v>
      </c>
      <c r="BL234" s="171">
        <f ca="1">IF(OR($D234&lt;&gt;"Serviço",AND(AUTOEVENTO="Manual",$M234=$A$15)),0,
         IF(OFFSET(CRONOPLE!$F$15,$M234-$A$15,BL$13)=0,10^12,OFFSET(CRONOPLE!$F$15,$M234-$A$15,BL$13)))</f>
        <v>1000000000000</v>
      </c>
      <c r="BM234" s="171">
        <f ca="1">IF(OR($D234&lt;&gt;"Serviço",AND(AUTOEVENTO="Manual",$M234=$A$15)),0,
         IF(OFFSET(CRONOPLE!$F$15,$M234-$A$15,BM$13)=0,10^12,OFFSET(CRONOPLE!$F$15,$M234-$A$15,BM$13)))</f>
        <v>1000000000000</v>
      </c>
      <c r="BN234" s="171">
        <f ca="1">IF(OR($D234&lt;&gt;"Serviço",AND(AUTOEVENTO="Manual",$M234=$A$15)),0,
         IF(OFFSET(CRONOPLE!$F$15,$M234-$A$15,BN$13)=0,10^12,OFFSET(CRONOPLE!$F$15,$M234-$A$15,BN$13)))</f>
        <v>1000000000000</v>
      </c>
      <c r="BO234" s="171">
        <f ca="1">IF(OR($D234&lt;&gt;"Serviço",AND(AUTOEVENTO="Manual",$M234=$A$15)),0,
         IF(OFFSET(CRONOPLE!$F$15,$M234-$A$15,BO$13)=0,10^12,OFFSET(CRONOPLE!$F$15,$M234-$A$15,BO$13)))</f>
        <v>1000000000000</v>
      </c>
      <c r="BP234" s="171">
        <f ca="1">IF(OR($D234&lt;&gt;"Serviço",AND(AUTOEVENTO="Manual",$M234=$A$15)),0,
         IF(OFFSET(CRONOPLE!$F$15,$M234-$A$15,BP$13)=0,10^12,OFFSET(CRONOPLE!$F$15,$M234-$A$15,BP$13)))</f>
        <v>1000000000000</v>
      </c>
      <c r="BQ234" s="171">
        <f ca="1">IF(OR($D234&lt;&gt;"Serviço",AND(AUTOEVENTO="Manual",$M234=$A$15)),0,
         IF(OFFSET(CRONOPLE!$F$15,$M234-$A$15,BQ$13)=0,10^12,OFFSET(CRONOPLE!$F$15,$M234-$A$15,BQ$13)))</f>
        <v>1000000000000</v>
      </c>
      <c r="BR234" s="171">
        <f ca="1">IF(OR($D234&lt;&gt;"Serviço",AND(AUTOEVENTO="Manual",$M234=$A$15)),0,
         IF(OFFSET(CRONOPLE!$F$15,$M234-$A$15,BR$13)=0,10^12,OFFSET(CRONOPLE!$F$15,$M234-$A$15,BR$13)))</f>
        <v>1000000000000</v>
      </c>
      <c r="BS234" s="171">
        <f ca="1">IF(OR($D234&lt;&gt;"Serviço",AND(AUTOEVENTO="Manual",$M234=$A$15)),0,
         IF(OFFSET(CRONOPLE!$F$15,$M234-$A$15,BS$13)=0,10^12,OFFSET(CRONOPLE!$F$15,$M234-$A$15,BS$13)))</f>
        <v>1000000000000</v>
      </c>
      <c r="BT234" s="171">
        <f ca="1">IF(OR($D234&lt;&gt;"Serviço",AND(AUTOEVENTO="Manual",$M234=$A$15)),0,
         IF(OFFSET(CRONOPLE!$F$15,$M234-$A$15,BT$13)=0,10^12,OFFSET(CRONOPLE!$F$15,$M234-$A$15,BT$13)))</f>
        <v>1000000000000</v>
      </c>
      <c r="BV234" s="172">
        <f t="array" aca="1" ref="BV234" ca="1">IF(OR($D234&lt;&gt;"Serviço",AND(AUTOEVENTO="Manual",$M234=$A$15),$M234&gt;(ROW(PLE.lastrow)-ROW(PLE.firstrow))),0,
           IF(OFFSET(PLE!$G$15,$M234-$A$15,BV$13)="",10^12,OFFSET(PLE!$G$15,$M234-$A$15,BV$13)))</f>
        <v>1000000000000</v>
      </c>
      <c r="BW234" s="172">
        <f t="array" aca="1" ref="BW234" ca="1">IF(OR($D234&lt;&gt;"Serviço",AND(AUTOEVENTO="Manual",$M234=$A$15),$M234&gt;(ROW(PLE.lastrow)-ROW(PLE.firstrow))),0,
           IF(OFFSET(PLE!$G$15,$M234-$A$15,BW$13)="",10^12,OFFSET(PLE!$G$15,$M234-$A$15,BW$13)))</f>
        <v>1000000000000</v>
      </c>
      <c r="BX234" s="172">
        <f t="array" aca="1" ref="BX234" ca="1">IF(OR($D234&lt;&gt;"Serviço",AND(AUTOEVENTO="Manual",$M234=$A$15),$M234&gt;(ROW(PLE.lastrow)-ROW(PLE.firstrow))),0,
           IF(OFFSET(PLE!$G$15,$M234-$A$15,BX$13)="",10^12,OFFSET(PLE!$G$15,$M234-$A$15,BX$13)))</f>
        <v>1000000000000</v>
      </c>
      <c r="BY234" s="172">
        <f t="array" aca="1" ref="BY234" ca="1">IF(OR($D234&lt;&gt;"Serviço",AND(AUTOEVENTO="Manual",$M234=$A$15),$M234&gt;(ROW(PLE.lastrow)-ROW(PLE.firstrow))),0,
           IF(OFFSET(PLE!$G$15,$M234-$A$15,BY$13)="",10^12,OFFSET(PLE!$G$15,$M234-$A$15,BY$13)))</f>
        <v>1000000000000</v>
      </c>
      <c r="BZ234" s="172">
        <f t="array" aca="1" ref="BZ234" ca="1">IF(OR($D234&lt;&gt;"Serviço",AND(AUTOEVENTO="Manual",$M234=$A$15),$M234&gt;(ROW(PLE.lastrow)-ROW(PLE.firstrow))),0,
           IF(OFFSET(PLE!$G$15,$M234-$A$15,BZ$13)="",10^12,OFFSET(PLE!$G$15,$M234-$A$15,BZ$13)))</f>
        <v>1000000000000</v>
      </c>
      <c r="CA234" s="172">
        <f t="array" aca="1" ref="CA234" ca="1">IF(OR($D234&lt;&gt;"Serviço",AND(AUTOEVENTO="Manual",$M234=$A$15),$M234&gt;(ROW(PLE.lastrow)-ROW(PLE.firstrow))),0,
           IF(OFFSET(PLE!$G$15,$M234-$A$15,CA$13)="",10^12,OFFSET(PLE!$G$15,$M234-$A$15,CA$13)))</f>
        <v>1000000000000</v>
      </c>
      <c r="CB234" s="172">
        <f t="array" aca="1" ref="CB234" ca="1">IF(OR($D234&lt;&gt;"Serviço",AND(AUTOEVENTO="Manual",$M234=$A$15),$M234&gt;(ROW(PLE.lastrow)-ROW(PLE.firstrow))),0,
           IF(OFFSET(PLE!$G$15,$M234-$A$15,CB$13)="",10^12,OFFSET(PLE!$G$15,$M234-$A$15,CB$13)))</f>
        <v>1000000000000</v>
      </c>
      <c r="CC234" s="172">
        <f t="array" aca="1" ref="CC234" ca="1">IF(OR($D234&lt;&gt;"Serviço",AND(AUTOEVENTO="Manual",$M234=$A$15),$M234&gt;(ROW(PLE.lastrow)-ROW(PLE.firstrow))),0,
           IF(OFFSET(PLE!$G$15,$M234-$A$15,CC$13)="",10^12,OFFSET(PLE!$G$15,$M234-$A$15,CC$13)))</f>
        <v>1000000000000</v>
      </c>
      <c r="CD234" s="172">
        <f t="array" aca="1" ref="CD234" ca="1">IF(OR($D234&lt;&gt;"Serviço",AND(AUTOEVENTO="Manual",$M234=$A$15),$M234&gt;(ROW(PLE.lastrow)-ROW(PLE.firstrow))),0,
           IF(OFFSET(PLE!$G$15,$M234-$A$15,CD$13)="",10^12,OFFSET(PLE!$G$15,$M234-$A$15,CD$13)))</f>
        <v>1000000000000</v>
      </c>
      <c r="CE234" s="172">
        <f t="array" aca="1" ref="CE234" ca="1">IF(OR($D234&lt;&gt;"Serviço",AND(AUTOEVENTO="Manual",$M234=$A$15),$M234&gt;(ROW(PLE.lastrow)-ROW(PLE.firstrow))),0,
           IF(OFFSET(PLE!$G$15,$M234-$A$15,CE$13)="",10^12,OFFSET(PLE!$G$15,$M234-$A$15,CE$13)))</f>
        <v>1000000000000</v>
      </c>
      <c r="CF234" s="172">
        <f t="array" aca="1" ref="CF234" ca="1">IF(OR($D234&lt;&gt;"Serviço",AND(AUTOEVENTO="Manual",$M234=$A$15),$M234&gt;(ROW(PLE.lastrow)-ROW(PLE.firstrow))),0,
           IF(OFFSET(PLE!$G$15,$M234-$A$15,CF$13)="",10^12,OFFSET(PLE!$G$15,$M234-$A$15,CF$13)))</f>
        <v>1000000000000</v>
      </c>
      <c r="CG234" s="172">
        <f t="array" aca="1" ref="CG234" ca="1">IF(OR($D234&lt;&gt;"Serviço",AND(AUTOEVENTO="Manual",$M234=$A$15),$M234&gt;(ROW(PLE.lastrow)-ROW(PLE.firstrow))),0,
           IF(OFFSET(PLE!$G$15,$M234-$A$15,CG$13)="",10^12,OFFSET(PLE!$G$15,$M234-$A$15,CG$13)))</f>
        <v>1000000000000</v>
      </c>
      <c r="CH234" s="172">
        <f t="array" aca="1" ref="CH234" ca="1">IF(OR($D234&lt;&gt;"Serviço",AND(AUTOEVENTO="Manual",$M234=$A$15),$M234&gt;(ROW(PLE.lastrow)-ROW(PLE.firstrow))),0,
           IF(OFFSET(PLE!$G$15,$M234-$A$15,CH$13)="",10^12,OFFSET(PLE!$G$15,$M234-$A$15,CH$13)))</f>
        <v>1000000000000</v>
      </c>
      <c r="CI234" s="172">
        <f t="array" aca="1" ref="CI234" ca="1">IF(OR($D234&lt;&gt;"Serviço",AND(AUTOEVENTO="Manual",$M234=$A$15),$M234&gt;(ROW(PLE.lastrow)-ROW(PLE.firstrow))),0,
           IF(OFFSET(PLE!$G$15,$M234-$A$15,CI$13)="",10^12,OFFSET(PLE!$G$15,$M234-$A$15,CI$13)))</f>
        <v>1000000000000</v>
      </c>
      <c r="CJ234" s="172">
        <f t="array" aca="1" ref="CJ234" ca="1">IF(OR($D234&lt;&gt;"Serviço",AND(AUTOEVENTO="Manual",$M234=$A$15),$M234&gt;(ROW(PLE.lastrow)-ROW(PLE.firstrow))),0,
           IF(OFFSET(PLE!$G$15,$M234-$A$15,CJ$13)="",10^12,OFFSET(PLE!$G$15,$M234-$A$15,CJ$13)))</f>
        <v>1000000000000</v>
      </c>
      <c r="CK234" s="172">
        <f t="array" aca="1" ref="CK234" ca="1">IF(OR($D234&lt;&gt;"Serviço",AND(AUTOEVENTO="Manual",$M234=$A$15),$M234&gt;(ROW(PLE.lastrow)-ROW(PLE.firstrow))),0,
           IF(OFFSET(PLE!$G$15,$M234-$A$15,CK$13)="",10^12,OFFSET(PLE!$G$15,$M234-$A$15,CK$13)))</f>
        <v>1000000000000</v>
      </c>
      <c r="CL234" s="172">
        <f t="array" aca="1" ref="CL234" ca="1">IF(OR($D234&lt;&gt;"Serviço",AND(AUTOEVENTO="Manual",$M234=$A$15),$M234&gt;(ROW(PLE.lastrow)-ROW(PLE.firstrow))),0,
           IF(OFFSET(PLE!$G$15,$M234-$A$15,CL$13)="",10^12,OFFSET(PLE!$G$15,$M234-$A$15,CL$13)))</f>
        <v>1000000000000</v>
      </c>
      <c r="CM234" s="172">
        <f t="array" aca="1" ref="CM234" ca="1">IF(OR($D234&lt;&gt;"Serviço",AND(AUTOEVENTO="Manual",$M234=$A$15),$M234&gt;(ROW(PLE.lastrow)-ROW(PLE.firstrow))),0,
           IF(OFFSET(PLE!$G$15,$M234-$A$15,CM$13)="",10^12,OFFSET(PLE!$G$15,$M234-$A$15,CM$13)))</f>
        <v>1000000000000</v>
      </c>
    </row>
    <row r="235" spans="1:91" ht="5.0999999999999996" customHeight="1" x14ac:dyDescent="0.2">
      <c r="B235" s="7">
        <f ca="1">OFFSET(ORÇAMENTO!C$15,ROW(B235)-ROW(B$15),0)</f>
        <v>-1</v>
      </c>
      <c r="C235" s="7" t="str">
        <f ca="1">OFFSET(ORÇAMENTO!L$15,ROW(C235)-ROW(C$15),0)</f>
        <v>F</v>
      </c>
      <c r="D235" s="632" t="s">
        <v>700</v>
      </c>
      <c r="E235" s="616"/>
      <c r="F235" s="617"/>
      <c r="G235" s="617"/>
      <c r="H235" s="617"/>
      <c r="I235" s="419"/>
      <c r="K235" s="567"/>
      <c r="L235" s="165">
        <f ca="1">OFFSET(L235,-1,0)+1</f>
        <v>220</v>
      </c>
      <c r="M235" s="421"/>
      <c r="N235" s="420"/>
      <c r="O235" s="633"/>
      <c r="Q235" s="616"/>
      <c r="R235" s="617"/>
      <c r="S235" s="617"/>
      <c r="T235" s="617"/>
      <c r="U235" s="617"/>
      <c r="V235" s="617"/>
      <c r="W235" s="617"/>
      <c r="X235" s="617"/>
      <c r="Y235" s="617"/>
      <c r="Z235" s="419"/>
      <c r="AA235" s="617"/>
      <c r="AB235" s="617"/>
      <c r="AC235" s="617"/>
      <c r="AD235" s="617"/>
      <c r="AE235" s="617"/>
      <c r="AF235" s="617"/>
      <c r="AG235" s="617"/>
      <c r="AH235" s="419"/>
      <c r="AJ235" s="634"/>
      <c r="AK235" s="635"/>
      <c r="AL235" s="635"/>
      <c r="AM235" s="635"/>
      <c r="AN235" s="635"/>
      <c r="AO235" s="635"/>
      <c r="AP235" s="635"/>
      <c r="AQ235" s="635"/>
      <c r="AR235" s="635"/>
      <c r="AS235" s="133"/>
      <c r="AT235" s="635"/>
      <c r="AU235" s="635"/>
      <c r="AV235" s="635"/>
      <c r="AW235" s="635"/>
      <c r="AX235" s="635"/>
      <c r="AY235" s="635"/>
      <c r="AZ235" s="635"/>
      <c r="BA235" s="133"/>
      <c r="BC235" s="634"/>
      <c r="BD235" s="635"/>
      <c r="BE235" s="635"/>
      <c r="BF235" s="635"/>
      <c r="BG235" s="635"/>
      <c r="BH235" s="635"/>
      <c r="BI235" s="635"/>
      <c r="BJ235" s="635"/>
      <c r="BK235" s="635"/>
      <c r="BL235" s="133"/>
      <c r="BM235" s="635"/>
      <c r="BN235" s="635"/>
      <c r="BO235" s="635"/>
      <c r="BP235" s="635"/>
      <c r="BQ235" s="635"/>
      <c r="BR235" s="635"/>
      <c r="BS235" s="635"/>
      <c r="BT235" s="133"/>
      <c r="BV235" s="634"/>
      <c r="BW235" s="635"/>
      <c r="BX235" s="635"/>
      <c r="BY235" s="635"/>
      <c r="BZ235" s="635"/>
      <c r="CA235" s="635"/>
      <c r="CB235" s="635"/>
      <c r="CC235" s="635"/>
      <c r="CD235" s="635"/>
      <c r="CE235" s="133"/>
      <c r="CF235" s="635"/>
      <c r="CG235" s="635"/>
      <c r="CH235" s="635"/>
      <c r="CI235" s="635"/>
      <c r="CJ235" s="635"/>
      <c r="CK235" s="635"/>
      <c r="CL235" s="635"/>
      <c r="CM235" s="133"/>
    </row>
    <row r="236" spans="1:91" ht="12.75" customHeight="1" x14ac:dyDescent="0.2"/>
    <row r="237" spans="1:91" ht="12.75" customHeight="1" x14ac:dyDescent="0.2"/>
    <row r="238" spans="1:91" ht="12.75" customHeight="1" x14ac:dyDescent="0.2"/>
    <row r="239" spans="1:91" ht="15" customHeight="1" x14ac:dyDescent="0.2">
      <c r="F239" s="179" t="str">
        <f>Import.Município</f>
        <v>PIRANGUÇU-MG</v>
      </c>
      <c r="I239" s="459"/>
      <c r="J239" s="459"/>
      <c r="K239" s="459"/>
      <c r="L239" s="459"/>
      <c r="M239" s="460"/>
      <c r="N239" s="417"/>
      <c r="T239" s="139"/>
      <c r="U239" s="139"/>
      <c r="V239" s="180"/>
      <c r="W239" s="180"/>
      <c r="X239" s="180"/>
      <c r="Y239" s="180"/>
      <c r="AB239" s="139"/>
      <c r="AC239" s="139"/>
      <c r="AD239" s="180"/>
      <c r="AE239" s="180"/>
      <c r="AF239" s="180"/>
      <c r="AG239" s="180"/>
    </row>
    <row r="240" spans="1:91" ht="12.75" customHeight="1" x14ac:dyDescent="0.2">
      <c r="F240" s="9" t="s">
        <v>693</v>
      </c>
      <c r="I240" s="181" t="s">
        <v>696</v>
      </c>
      <c r="J240" s="181"/>
      <c r="K240" s="181"/>
      <c r="L240" s="181"/>
      <c r="T240" s="181" t="s">
        <v>696</v>
      </c>
      <c r="U240" s="181"/>
      <c r="AB240" s="713" t="s">
        <v>696</v>
      </c>
      <c r="AC240" s="713"/>
    </row>
    <row r="241" spans="3:29" ht="12.75" customHeight="1" x14ac:dyDescent="0.2">
      <c r="I241" s="398" t="str">
        <f t="array" aca="1" ref="I241:I243" ca="1">OFFSET(Import.RespOrçamento,0,-1) &amp; " " &amp; Import.RespOrçamento</f>
        <v>Nome: NILCEZAR AUGUSTO PERES</v>
      </c>
      <c r="K241" s="79"/>
      <c r="L241" s="79"/>
      <c r="T241" s="398" t="str">
        <f t="array" aca="1" ref="T241:T243" ca="1">OFFSET(Import.RespOrçamento,0,-1) &amp; " " &amp; Import.RespOrçamento</f>
        <v>Nome: NILCEZAR AUGUSTO PERES</v>
      </c>
      <c r="U241" s="78"/>
      <c r="AB241" s="398" t="str">
        <f t="array" aca="1" ref="AB241:AB243" ca="1">OFFSET(Import.RespOrçamento,0,-1) &amp; " " &amp; Import.RespOrçamento</f>
        <v>Nome: NILCEZAR AUGUSTO PERES</v>
      </c>
      <c r="AC241" s="78"/>
    </row>
    <row r="242" spans="3:29" ht="12.75" customHeight="1" x14ac:dyDescent="0.2">
      <c r="F242" s="458">
        <f>DADOS!$C$25</f>
        <v>45939</v>
      </c>
      <c r="I242" s="398" t="str">
        <f ca="1"/>
        <v>CREA/CAU: 161.233/D-MG</v>
      </c>
      <c r="K242" s="79"/>
      <c r="L242" s="79"/>
      <c r="T242" s="398" t="str">
        <f ca="1"/>
        <v>CREA/CAU: 161.233/D-MG</v>
      </c>
      <c r="U242" s="78"/>
      <c r="AB242" s="398" t="str">
        <f ca="1"/>
        <v>CREA/CAU: 161.233/D-MG</v>
      </c>
      <c r="AC242" s="78"/>
    </row>
    <row r="243" spans="3:29" ht="12.75" customHeight="1" x14ac:dyDescent="0.2">
      <c r="F243" s="140" t="s">
        <v>694</v>
      </c>
      <c r="I243" s="398" t="str">
        <f ca="1"/>
        <v>ART/RRT: MG2025435540</v>
      </c>
      <c r="K243" s="79"/>
      <c r="L243" s="79"/>
      <c r="T243" s="398" t="str">
        <f ca="1"/>
        <v>ART/RRT: MG2025435540</v>
      </c>
      <c r="U243" s="78"/>
      <c r="AB243" s="398" t="str">
        <f ca="1"/>
        <v>ART/RRT: MG2025435540</v>
      </c>
      <c r="AC243" s="78"/>
    </row>
    <row r="244" spans="3:29" ht="12.75" customHeight="1" x14ac:dyDescent="0.2">
      <c r="C244"/>
      <c r="M244"/>
    </row>
    <row r="245" spans="3:29" ht="12.75" customHeight="1" x14ac:dyDescent="0.2">
      <c r="C245"/>
      <c r="M245"/>
    </row>
    <row r="246" spans="3:29" ht="12.75" customHeight="1" x14ac:dyDescent="0.2">
      <c r="C246"/>
      <c r="M246"/>
    </row>
    <row r="247" spans="3:29" ht="12.75" customHeight="1" x14ac:dyDescent="0.2">
      <c r="C247"/>
      <c r="M247"/>
    </row>
    <row r="248" spans="3:29" ht="12.75" customHeight="1" x14ac:dyDescent="0.2">
      <c r="C248"/>
      <c r="M248"/>
    </row>
    <row r="249" spans="3:29" ht="12.75" customHeight="1" x14ac:dyDescent="0.2">
      <c r="C249"/>
      <c r="M249"/>
    </row>
    <row r="250" spans="3:29" ht="12.75" customHeight="1" x14ac:dyDescent="0.2">
      <c r="C250"/>
      <c r="M250"/>
    </row>
    <row r="251" spans="3:29" ht="12.75" customHeight="1" x14ac:dyDescent="0.2">
      <c r="C251"/>
      <c r="M251"/>
    </row>
    <row r="252" spans="3:29" ht="12.75" customHeight="1" x14ac:dyDescent="0.2">
      <c r="C252"/>
      <c r="M252"/>
    </row>
    <row r="253" spans="3:29" ht="12.75" customHeight="1" x14ac:dyDescent="0.2">
      <c r="C253"/>
      <c r="M253"/>
    </row>
    <row r="254" spans="3:29" ht="12.75" customHeight="1" x14ac:dyDescent="0.2">
      <c r="C254"/>
      <c r="M254"/>
    </row>
    <row r="255" spans="3:29" ht="12.75" customHeight="1" x14ac:dyDescent="0.2">
      <c r="C255"/>
      <c r="M255"/>
    </row>
    <row r="256" spans="3:29"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23" spans="3:13" ht="12.75" customHeight="1" x14ac:dyDescent="0.2">
      <c r="C4323"/>
      <c r="M4323"/>
    </row>
    <row r="4324" spans="3:13" ht="12.75" customHeight="1" x14ac:dyDescent="0.2">
      <c r="C4324"/>
      <c r="M4324"/>
    </row>
    <row r="4325" spans="3:13" ht="12.75" customHeight="1" x14ac:dyDescent="0.2">
      <c r="C4325"/>
      <c r="M4325"/>
    </row>
    <row r="4326" spans="3:13" ht="12.75" customHeight="1" x14ac:dyDescent="0.2">
      <c r="C4326"/>
      <c r="M4326"/>
    </row>
    <row r="4327" spans="3:13" ht="12.75" customHeight="1" x14ac:dyDescent="0.2">
      <c r="C4327"/>
      <c r="M4327"/>
    </row>
    <row r="4328" spans="3:13" ht="12.75" customHeight="1" x14ac:dyDescent="0.2">
      <c r="C4328"/>
      <c r="M4328"/>
    </row>
    <row r="4329" spans="3:13" ht="12.75" customHeight="1" x14ac:dyDescent="0.2">
      <c r="C4329"/>
      <c r="M4329"/>
    </row>
    <row r="4330" spans="3:13" ht="12.75" customHeight="1" x14ac:dyDescent="0.2">
      <c r="C4330"/>
      <c r="M4330"/>
    </row>
    <row r="4331" spans="3:13" ht="12.75" customHeight="1" x14ac:dyDescent="0.2">
      <c r="C4331"/>
      <c r="M4331"/>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4336" spans="3:13" ht="12.75" customHeight="1" x14ac:dyDescent="0.2">
      <c r="C4336"/>
      <c r="M4336"/>
    </row>
    <row r="4337" spans="3:13" ht="12.75" customHeight="1" x14ac:dyDescent="0.2">
      <c r="C4337"/>
      <c r="M4337"/>
    </row>
    <row r="4338" spans="3:13" ht="12.75" customHeight="1" x14ac:dyDescent="0.2">
      <c r="C4338"/>
      <c r="M4338"/>
    </row>
    <row r="4339" spans="3:13" ht="12.75" customHeight="1" x14ac:dyDescent="0.2">
      <c r="C4339"/>
      <c r="M4339"/>
    </row>
    <row r="4340" spans="3:13" ht="12.75" customHeight="1" x14ac:dyDescent="0.2">
      <c r="C4340"/>
      <c r="M4340"/>
    </row>
    <row r="4341" spans="3:13" ht="12.75" customHeight="1" x14ac:dyDescent="0.2">
      <c r="C4341"/>
      <c r="M4341"/>
    </row>
    <row r="4342" spans="3:13" ht="12.75" customHeight="1" x14ac:dyDescent="0.2">
      <c r="C4342"/>
      <c r="M4342"/>
    </row>
    <row r="4343" spans="3:13" ht="12.75" customHeight="1" x14ac:dyDescent="0.2">
      <c r="C4343"/>
      <c r="M4343"/>
    </row>
    <row r="4344" spans="3:13" ht="12.75" customHeight="1" x14ac:dyDescent="0.2">
      <c r="C4344"/>
      <c r="M4344"/>
    </row>
    <row r="4345" spans="3:13" ht="12.75" customHeight="1" x14ac:dyDescent="0.2">
      <c r="C4345"/>
      <c r="M4345"/>
    </row>
    <row r="4346" spans="3:13" ht="12.75" customHeight="1" x14ac:dyDescent="0.2">
      <c r="C4346"/>
      <c r="M4346"/>
    </row>
    <row r="4347" spans="3:13" ht="12.75" customHeight="1" x14ac:dyDescent="0.2">
      <c r="C4347"/>
      <c r="M4347"/>
    </row>
    <row r="4348" spans="3:13" ht="12.75" customHeight="1" x14ac:dyDescent="0.2">
      <c r="C4348"/>
      <c r="M4348"/>
    </row>
    <row r="4349" spans="3:13" ht="12.75" customHeight="1" x14ac:dyDescent="0.2">
      <c r="C4349"/>
      <c r="M4349"/>
    </row>
    <row r="4350" spans="3:13" ht="12.75" customHeight="1" x14ac:dyDescent="0.2">
      <c r="C4350"/>
      <c r="M4350"/>
    </row>
    <row r="4351" spans="3:13" ht="12.75" customHeight="1" x14ac:dyDescent="0.2">
      <c r="C4351"/>
      <c r="M4351"/>
    </row>
    <row r="4352" spans="3:13" ht="12.75" customHeight="1" x14ac:dyDescent="0.2">
      <c r="C4352"/>
      <c r="M4352"/>
    </row>
    <row r="4353" spans="3:13" ht="12.75" customHeight="1" x14ac:dyDescent="0.2">
      <c r="C4353"/>
      <c r="M4353"/>
    </row>
    <row r="4354" spans="3:13" ht="12.75" customHeight="1" x14ac:dyDescent="0.2">
      <c r="C4354"/>
      <c r="M4354"/>
    </row>
    <row r="4355" spans="3:13" ht="12.75" customHeight="1" x14ac:dyDescent="0.2">
      <c r="C4355"/>
      <c r="M4355"/>
    </row>
    <row r="4356" spans="3:13" ht="12.75" customHeight="1" x14ac:dyDescent="0.2">
      <c r="C4356"/>
      <c r="M4356"/>
    </row>
    <row r="4357" spans="3:13" ht="12.75" customHeight="1" x14ac:dyDescent="0.2">
      <c r="C4357"/>
      <c r="M4357"/>
    </row>
    <row r="4358" spans="3:13" ht="12.75" customHeight="1" x14ac:dyDescent="0.2">
      <c r="C4358"/>
      <c r="M4358"/>
    </row>
    <row r="4359" spans="3:13" ht="12.75" customHeight="1" x14ac:dyDescent="0.2">
      <c r="C4359"/>
      <c r="M4359"/>
    </row>
    <row r="4360" spans="3:13" ht="12.75" customHeight="1" x14ac:dyDescent="0.2">
      <c r="C4360"/>
      <c r="M4360"/>
    </row>
    <row r="4361" spans="3:13" ht="12.75" customHeight="1" x14ac:dyDescent="0.2">
      <c r="C4361"/>
      <c r="M4361"/>
    </row>
    <row r="4362" spans="3:13" ht="12.75" customHeight="1" x14ac:dyDescent="0.2">
      <c r="C4362"/>
      <c r="M4362"/>
    </row>
    <row r="4363" spans="3:13" ht="12.75" customHeight="1" x14ac:dyDescent="0.2">
      <c r="C4363"/>
      <c r="M4363"/>
    </row>
    <row r="4364" spans="3:13" ht="12.75" customHeight="1" x14ac:dyDescent="0.2">
      <c r="C4364"/>
      <c r="M4364"/>
    </row>
    <row r="4365" spans="3:13" ht="12.75" customHeight="1" x14ac:dyDescent="0.2">
      <c r="C4365"/>
      <c r="M4365"/>
    </row>
    <row r="4366" spans="3:13" ht="12.75" customHeight="1" x14ac:dyDescent="0.2">
      <c r="C4366"/>
      <c r="M4366"/>
    </row>
    <row r="4367" spans="3:13" ht="12.75" customHeight="1" x14ac:dyDescent="0.2">
      <c r="C4367"/>
      <c r="M4367"/>
    </row>
    <row r="4368" spans="3:13" ht="12.75" customHeight="1" x14ac:dyDescent="0.2">
      <c r="C4368"/>
      <c r="M4368"/>
    </row>
    <row r="4369" spans="3:13" ht="12.75" customHeight="1" x14ac:dyDescent="0.2">
      <c r="C4369"/>
      <c r="M4369"/>
    </row>
    <row r="4370" spans="3:13" ht="12.75" customHeight="1" x14ac:dyDescent="0.2">
      <c r="C4370"/>
      <c r="M4370"/>
    </row>
    <row r="4371" spans="3:13" ht="12.75" customHeight="1" x14ac:dyDescent="0.2">
      <c r="C4371"/>
      <c r="M4371"/>
    </row>
    <row r="4372" spans="3:13" ht="12.75" customHeight="1" x14ac:dyDescent="0.2">
      <c r="C4372"/>
      <c r="M4372"/>
    </row>
    <row r="4373" spans="3:13" ht="12.75" customHeight="1" x14ac:dyDescent="0.2">
      <c r="C4373"/>
      <c r="M4373"/>
    </row>
    <row r="4374" spans="3:13" ht="12.75" customHeight="1" x14ac:dyDescent="0.2">
      <c r="C4374"/>
      <c r="M4374"/>
    </row>
    <row r="4375" spans="3:13" ht="12.75" customHeight="1" x14ac:dyDescent="0.2">
      <c r="C4375"/>
      <c r="M4375"/>
    </row>
    <row r="4376" spans="3:13" ht="12.75" customHeight="1" x14ac:dyDescent="0.2">
      <c r="C4376"/>
      <c r="M4376"/>
    </row>
    <row r="4377" spans="3:13" ht="12.75" customHeight="1" x14ac:dyDescent="0.2">
      <c r="C4377"/>
      <c r="M4377"/>
    </row>
    <row r="4378" spans="3:13" ht="12.75" customHeight="1" x14ac:dyDescent="0.2">
      <c r="C4378"/>
      <c r="M4378"/>
    </row>
    <row r="4379" spans="3:13" ht="12.75" customHeight="1" x14ac:dyDescent="0.2">
      <c r="C4379"/>
      <c r="M4379"/>
    </row>
    <row r="4380" spans="3:13" ht="12.75" customHeight="1" x14ac:dyDescent="0.2">
      <c r="C4380"/>
      <c r="M4380"/>
    </row>
    <row r="4381" spans="3:13" ht="12.75" customHeight="1" x14ac:dyDescent="0.2">
      <c r="C4381"/>
      <c r="M4381"/>
    </row>
    <row r="4382" spans="3:13" ht="12.75" customHeight="1" x14ac:dyDescent="0.2">
      <c r="C4382"/>
      <c r="M4382"/>
    </row>
    <row r="4383" spans="3:13" ht="12.75" customHeight="1" x14ac:dyDescent="0.2">
      <c r="C4383"/>
      <c r="M4383"/>
    </row>
    <row r="4384" spans="3:13" ht="12.75" customHeight="1" x14ac:dyDescent="0.2">
      <c r="C4384"/>
      <c r="M4384"/>
    </row>
    <row r="4385" spans="3:13" ht="12.75" customHeight="1" x14ac:dyDescent="0.2">
      <c r="C4385"/>
      <c r="M4385"/>
    </row>
    <row r="4386" spans="3:13" ht="12.75" customHeight="1" x14ac:dyDescent="0.2">
      <c r="C4386"/>
      <c r="M4386"/>
    </row>
    <row r="4387" spans="3:13" ht="12.75" customHeight="1" x14ac:dyDescent="0.2">
      <c r="C4387"/>
      <c r="M4387"/>
    </row>
    <row r="4388" spans="3:13" ht="12.75" customHeight="1" x14ac:dyDescent="0.2">
      <c r="C4388"/>
      <c r="M4388"/>
    </row>
    <row r="4389" spans="3:13" ht="12.75" customHeight="1" x14ac:dyDescent="0.2">
      <c r="C4389"/>
      <c r="M4389"/>
    </row>
    <row r="4390" spans="3:13" ht="12.75" customHeight="1" x14ac:dyDescent="0.2">
      <c r="C4390"/>
      <c r="M4390"/>
    </row>
    <row r="4391" spans="3:13" ht="12.75" customHeight="1" x14ac:dyDescent="0.2">
      <c r="C4391"/>
      <c r="M4391"/>
    </row>
    <row r="4392" spans="3:13" ht="12.75" customHeight="1" x14ac:dyDescent="0.2">
      <c r="C4392"/>
      <c r="M4392"/>
    </row>
    <row r="4393" spans="3:13" ht="12.75" customHeight="1" x14ac:dyDescent="0.2">
      <c r="C4393"/>
      <c r="M4393"/>
    </row>
    <row r="4394" spans="3:13" ht="12.75" customHeight="1" x14ac:dyDescent="0.2">
      <c r="C4394"/>
      <c r="M4394"/>
    </row>
    <row r="4395" spans="3:13" ht="12.75" customHeight="1" x14ac:dyDescent="0.2">
      <c r="C4395"/>
      <c r="M4395"/>
    </row>
    <row r="4396" spans="3:13" ht="12.75" customHeight="1" x14ac:dyDescent="0.2">
      <c r="C4396"/>
      <c r="M4396"/>
    </row>
    <row r="4397" spans="3:13" ht="12.75" customHeight="1" x14ac:dyDescent="0.2">
      <c r="C4397"/>
      <c r="M4397"/>
    </row>
    <row r="4398" spans="3:13" ht="12.75" customHeight="1" x14ac:dyDescent="0.2">
      <c r="C4398"/>
      <c r="M4398"/>
    </row>
    <row r="4399" spans="3:13" ht="12.75" customHeight="1" x14ac:dyDescent="0.2">
      <c r="C4399"/>
      <c r="M4399"/>
    </row>
    <row r="4400" spans="3:13" ht="12.75" customHeight="1" x14ac:dyDescent="0.2">
      <c r="C4400"/>
      <c r="M4400"/>
    </row>
    <row r="4401" spans="3:13" ht="12.75" customHeight="1" x14ac:dyDescent="0.2">
      <c r="C4401"/>
      <c r="M4401"/>
    </row>
    <row r="4402" spans="3:13" ht="12.75" customHeight="1" x14ac:dyDescent="0.2">
      <c r="C4402"/>
      <c r="M4402"/>
    </row>
    <row r="4403" spans="3:13" ht="12.75" customHeight="1" x14ac:dyDescent="0.2">
      <c r="C4403"/>
      <c r="M4403"/>
    </row>
    <row r="4404" spans="3:13" ht="12.75" customHeight="1" x14ac:dyDescent="0.2">
      <c r="C4404"/>
      <c r="M4404"/>
    </row>
    <row r="4405" spans="3:13" ht="12.75" customHeight="1" x14ac:dyDescent="0.2">
      <c r="C4405"/>
      <c r="M4405"/>
    </row>
    <row r="4406" spans="3:13" ht="12.75" customHeight="1" x14ac:dyDescent="0.2">
      <c r="C4406"/>
      <c r="M4406"/>
    </row>
    <row r="4407" spans="3:13" ht="12.75" customHeight="1" x14ac:dyDescent="0.2">
      <c r="C4407"/>
      <c r="M4407"/>
    </row>
    <row r="4408" spans="3:13" ht="12.75" customHeight="1" x14ac:dyDescent="0.2">
      <c r="C4408"/>
      <c r="M4408"/>
    </row>
    <row r="4409" spans="3:13" ht="12.75" customHeight="1" x14ac:dyDescent="0.2">
      <c r="C4409"/>
      <c r="M4409"/>
    </row>
    <row r="4410" spans="3:13" ht="12.75" customHeight="1" x14ac:dyDescent="0.2">
      <c r="C4410"/>
      <c r="M4410"/>
    </row>
    <row r="4411" spans="3:13" ht="12.75" customHeight="1" x14ac:dyDescent="0.2">
      <c r="C4411"/>
      <c r="M4411"/>
    </row>
    <row r="4412" spans="3:13" ht="12.75" customHeight="1" x14ac:dyDescent="0.2">
      <c r="C4412"/>
      <c r="M4412"/>
    </row>
    <row r="4413" spans="3:13" ht="12.75" customHeight="1" x14ac:dyDescent="0.2">
      <c r="C4413"/>
      <c r="M4413"/>
    </row>
    <row r="4414" spans="3:13" ht="12.75" customHeight="1" x14ac:dyDescent="0.2">
      <c r="C4414"/>
      <c r="M4414"/>
    </row>
    <row r="4415" spans="3:13" ht="12.75" customHeight="1" x14ac:dyDescent="0.2">
      <c r="C4415"/>
      <c r="M4415"/>
    </row>
    <row r="4416" spans="3:13" ht="12.75" customHeight="1" x14ac:dyDescent="0.2">
      <c r="C4416"/>
      <c r="M4416"/>
    </row>
    <row r="4417" spans="3:13" ht="12.75" customHeight="1" x14ac:dyDescent="0.2">
      <c r="C4417"/>
      <c r="M4417"/>
    </row>
    <row r="4418" spans="3:13" ht="12.75" customHeight="1" x14ac:dyDescent="0.2">
      <c r="C4418"/>
      <c r="M4418"/>
    </row>
    <row r="4419" spans="3:13" ht="12.75" customHeight="1" x14ac:dyDescent="0.2">
      <c r="C4419"/>
      <c r="M4419"/>
    </row>
    <row r="4420" spans="3:13" ht="12.75" customHeight="1" x14ac:dyDescent="0.2">
      <c r="C4420"/>
      <c r="M4420"/>
    </row>
    <row r="4421" spans="3:13" ht="12.75" customHeight="1" x14ac:dyDescent="0.2">
      <c r="C4421"/>
      <c r="M4421"/>
    </row>
    <row r="4422" spans="3:13" ht="12.75" customHeight="1" x14ac:dyDescent="0.2">
      <c r="C4422"/>
      <c r="M4422"/>
    </row>
    <row r="4423" spans="3:13" ht="12.75" customHeight="1" x14ac:dyDescent="0.2">
      <c r="C4423"/>
      <c r="M4423"/>
    </row>
    <row r="4424" spans="3:13" ht="12.75" customHeight="1" x14ac:dyDescent="0.2">
      <c r="C4424"/>
      <c r="M4424"/>
    </row>
    <row r="4425" spans="3:13" ht="12.75" customHeight="1" x14ac:dyDescent="0.2">
      <c r="C4425"/>
      <c r="M4425"/>
    </row>
    <row r="4426" spans="3:13" ht="12.75" customHeight="1" x14ac:dyDescent="0.2">
      <c r="C4426"/>
      <c r="M4426"/>
    </row>
    <row r="4427" spans="3:13" ht="12.75" customHeight="1" x14ac:dyDescent="0.2">
      <c r="C4427"/>
      <c r="M4427"/>
    </row>
    <row r="4428" spans="3:13" ht="12.75" customHeight="1" x14ac:dyDescent="0.2">
      <c r="C4428"/>
      <c r="M4428"/>
    </row>
    <row r="4429" spans="3:13" ht="12.75" customHeight="1" x14ac:dyDescent="0.2">
      <c r="C4429"/>
      <c r="M4429"/>
    </row>
    <row r="4430" spans="3:13" ht="12.75" customHeight="1" x14ac:dyDescent="0.2">
      <c r="C4430"/>
      <c r="M4430"/>
    </row>
    <row r="4431" spans="3:13" ht="12.75" customHeight="1" x14ac:dyDescent="0.2">
      <c r="C4431"/>
      <c r="M4431"/>
    </row>
    <row r="4432" spans="3:13" ht="12.75" customHeight="1" x14ac:dyDescent="0.2">
      <c r="C4432"/>
      <c r="M4432"/>
    </row>
    <row r="4433" spans="3:13" ht="12.75" customHeight="1" x14ac:dyDescent="0.2">
      <c r="C4433"/>
      <c r="M4433"/>
    </row>
    <row r="4434" spans="3:13" ht="12.75" customHeight="1" x14ac:dyDescent="0.2">
      <c r="C4434"/>
      <c r="M4434"/>
    </row>
    <row r="4435" spans="3:13" ht="12.75" customHeight="1" x14ac:dyDescent="0.2">
      <c r="C4435"/>
      <c r="M4435"/>
    </row>
    <row r="4436" spans="3:13" ht="12.75" customHeight="1" x14ac:dyDescent="0.2">
      <c r="C4436"/>
      <c r="M4436"/>
    </row>
    <row r="4437" spans="3:13" ht="12.75" customHeight="1" x14ac:dyDescent="0.2">
      <c r="C4437"/>
      <c r="M4437"/>
    </row>
    <row r="4438" spans="3:13" ht="12.75" customHeight="1" x14ac:dyDescent="0.2">
      <c r="C4438"/>
      <c r="M4438"/>
    </row>
    <row r="4439" spans="3:13" ht="12.75" customHeight="1" x14ac:dyDescent="0.2">
      <c r="C4439"/>
      <c r="M4439"/>
    </row>
    <row r="4440" spans="3:13" ht="12.75" customHeight="1" x14ac:dyDescent="0.2">
      <c r="C4440"/>
      <c r="M4440"/>
    </row>
    <row r="4441" spans="3:13" ht="12.75" customHeight="1" x14ac:dyDescent="0.2">
      <c r="C4441"/>
      <c r="M4441"/>
    </row>
    <row r="4442" spans="3:13" ht="12.75" customHeight="1" x14ac:dyDescent="0.2">
      <c r="C4442"/>
      <c r="M4442"/>
    </row>
    <row r="4443" spans="3:13" ht="12.75" customHeight="1" x14ac:dyDescent="0.2">
      <c r="C4443"/>
      <c r="M4443"/>
    </row>
    <row r="4444" spans="3:13" ht="12.75" customHeight="1" x14ac:dyDescent="0.2">
      <c r="C4444"/>
      <c r="M4444"/>
    </row>
    <row r="4445" spans="3:13" ht="12.75" customHeight="1" x14ac:dyDescent="0.2">
      <c r="C4445"/>
      <c r="M4445"/>
    </row>
    <row r="4446" spans="3:13" ht="12.75" customHeight="1" x14ac:dyDescent="0.2">
      <c r="C4446"/>
      <c r="M4446"/>
    </row>
    <row r="4447" spans="3:13" ht="12.75" customHeight="1" x14ac:dyDescent="0.2">
      <c r="C4447"/>
      <c r="M4447"/>
    </row>
    <row r="4448" spans="3:13" ht="12.75" customHeight="1" x14ac:dyDescent="0.2">
      <c r="C4448"/>
      <c r="M4448"/>
    </row>
    <row r="4449" spans="3:13" ht="12.75" customHeight="1" x14ac:dyDescent="0.2">
      <c r="C4449"/>
      <c r="M4449"/>
    </row>
    <row r="4450" spans="3:13" ht="12.75" customHeight="1" x14ac:dyDescent="0.2">
      <c r="C4450"/>
      <c r="M4450"/>
    </row>
    <row r="4451" spans="3:13" ht="12.75" customHeight="1" x14ac:dyDescent="0.2">
      <c r="C4451"/>
      <c r="M4451"/>
    </row>
    <row r="4452" spans="3:13" ht="12.75" customHeight="1" x14ac:dyDescent="0.2">
      <c r="C4452"/>
      <c r="M4452"/>
    </row>
    <row r="4453" spans="3:13" ht="12.75" customHeight="1" x14ac:dyDescent="0.2">
      <c r="C4453"/>
      <c r="M4453"/>
    </row>
    <row r="4454" spans="3:13" ht="12.75" customHeight="1" x14ac:dyDescent="0.2">
      <c r="C4454"/>
      <c r="M4454"/>
    </row>
    <row r="4455" spans="3:13" ht="12.75" customHeight="1" x14ac:dyDescent="0.2">
      <c r="C4455"/>
      <c r="M4455"/>
    </row>
    <row r="4456" spans="3:13" ht="12.75" customHeight="1" x14ac:dyDescent="0.2">
      <c r="C4456"/>
      <c r="M4456"/>
    </row>
    <row r="4457" spans="3:13" ht="12.75" customHeight="1" x14ac:dyDescent="0.2">
      <c r="C4457"/>
      <c r="M4457"/>
    </row>
    <row r="4458" spans="3:13" ht="12.75" customHeight="1" x14ac:dyDescent="0.2">
      <c r="C4458"/>
      <c r="M4458"/>
    </row>
    <row r="4459" spans="3:13" ht="12.75" customHeight="1" x14ac:dyDescent="0.2">
      <c r="C4459"/>
      <c r="M4459"/>
    </row>
    <row r="4460" spans="3:13" ht="12.75" customHeight="1" x14ac:dyDescent="0.2">
      <c r="C4460"/>
      <c r="M4460"/>
    </row>
    <row r="4461" spans="3:13" ht="12.75" customHeight="1" x14ac:dyDescent="0.2">
      <c r="C4461"/>
      <c r="M4461"/>
    </row>
    <row r="4462" spans="3:13" ht="12.75" customHeight="1" x14ac:dyDescent="0.2">
      <c r="C4462"/>
      <c r="M4462"/>
    </row>
    <row r="4463" spans="3:13" ht="12.75" customHeight="1" x14ac:dyDescent="0.2">
      <c r="C4463"/>
      <c r="M4463"/>
    </row>
    <row r="4464" spans="3:13" ht="12.75" customHeight="1" x14ac:dyDescent="0.2">
      <c r="C4464"/>
      <c r="M4464"/>
    </row>
    <row r="4465" spans="3:13" ht="12.75" customHeight="1" x14ac:dyDescent="0.2">
      <c r="C4465"/>
      <c r="M4465"/>
    </row>
    <row r="4466" spans="3:13" ht="12.75" customHeight="1" x14ac:dyDescent="0.2">
      <c r="C4466"/>
      <c r="M4466"/>
    </row>
    <row r="4467" spans="3:13" ht="12.75" customHeight="1" x14ac:dyDescent="0.2">
      <c r="C4467"/>
      <c r="M4467"/>
    </row>
    <row r="4468" spans="3:13" ht="12.75" customHeight="1" x14ac:dyDescent="0.2">
      <c r="C4468"/>
      <c r="M4468"/>
    </row>
    <row r="4469" spans="3:13" ht="12.75" customHeight="1" x14ac:dyDescent="0.2">
      <c r="C4469"/>
      <c r="M4469"/>
    </row>
    <row r="4470" spans="3:13" ht="12.75" customHeight="1" x14ac:dyDescent="0.2">
      <c r="C4470"/>
      <c r="M4470"/>
    </row>
    <row r="4471" spans="3:13" ht="12.75" customHeight="1" x14ac:dyDescent="0.2">
      <c r="C4471"/>
      <c r="M4471"/>
    </row>
    <row r="4472" spans="3:13" ht="12.75" customHeight="1" x14ac:dyDescent="0.2">
      <c r="C4472"/>
      <c r="M4472"/>
    </row>
    <row r="4473" spans="3:13" ht="12.75" customHeight="1" x14ac:dyDescent="0.2">
      <c r="C4473"/>
      <c r="M4473"/>
    </row>
    <row r="4474" spans="3:13" ht="12.75" customHeight="1" x14ac:dyDescent="0.2">
      <c r="C4474"/>
      <c r="M4474"/>
    </row>
    <row r="4475" spans="3:13" ht="12.75" customHeight="1" x14ac:dyDescent="0.2">
      <c r="C4475"/>
      <c r="M4475"/>
    </row>
    <row r="4476" spans="3:13" ht="12.75" customHeight="1" x14ac:dyDescent="0.2">
      <c r="C4476"/>
      <c r="M4476"/>
    </row>
    <row r="4486" spans="3:13" ht="12.75" customHeight="1" x14ac:dyDescent="0.2">
      <c r="C4486"/>
      <c r="M4486"/>
    </row>
    <row r="4487" spans="3:13" ht="12.75" customHeight="1" x14ac:dyDescent="0.2">
      <c r="C4487"/>
      <c r="M4487"/>
    </row>
    <row r="4488" spans="3:13" ht="12.75" customHeight="1" x14ac:dyDescent="0.2">
      <c r="C4488"/>
      <c r="M4488"/>
    </row>
    <row r="4489" spans="3:13" ht="12.75" customHeight="1" x14ac:dyDescent="0.2">
      <c r="C4489"/>
      <c r="M4489"/>
    </row>
    <row r="61147" spans="3:13" ht="12.75" customHeight="1" x14ac:dyDescent="0.2">
      <c r="C61147"/>
      <c r="M61147"/>
    </row>
    <row r="61163" spans="3:13" ht="12.75" customHeight="1" x14ac:dyDescent="0.2">
      <c r="C61163"/>
      <c r="M61163"/>
    </row>
    <row r="61179" spans="3:13" ht="12.75" customHeight="1" x14ac:dyDescent="0.2">
      <c r="C61179"/>
      <c r="M61179"/>
    </row>
    <row r="61195" spans="3:13" ht="12.75" customHeight="1" x14ac:dyDescent="0.2">
      <c r="C61195"/>
      <c r="M61195"/>
    </row>
    <row r="61208" spans="3:13" ht="12.75" customHeight="1" x14ac:dyDescent="0.2">
      <c r="C61208"/>
      <c r="M61208"/>
    </row>
    <row r="61209" spans="3:13" ht="12.75" customHeight="1" x14ac:dyDescent="0.2">
      <c r="C61209"/>
      <c r="M61209"/>
    </row>
    <row r="61211" spans="3:13" ht="12.75" customHeight="1" x14ac:dyDescent="0.2">
      <c r="C61211"/>
      <c r="M61211"/>
    </row>
    <row r="61222" spans="3:13" ht="12.75" customHeight="1" x14ac:dyDescent="0.2">
      <c r="C61222"/>
      <c r="M61222"/>
    </row>
    <row r="61223" spans="3:13" ht="12.75" customHeight="1" x14ac:dyDescent="0.2">
      <c r="C61223"/>
      <c r="M61223"/>
    </row>
    <row r="61224" spans="3:13" ht="12.75" customHeight="1" x14ac:dyDescent="0.2">
      <c r="C61224"/>
      <c r="M61224"/>
    </row>
    <row r="61225" spans="3:13" ht="12.75" customHeight="1" x14ac:dyDescent="0.2">
      <c r="C61225"/>
      <c r="M61225"/>
    </row>
    <row r="61227" spans="3:13" ht="12.75" customHeight="1" x14ac:dyDescent="0.2">
      <c r="C61227"/>
      <c r="M61227"/>
    </row>
    <row r="61238" spans="3:13" ht="12.75" customHeight="1" x14ac:dyDescent="0.2">
      <c r="C61238"/>
      <c r="M61238"/>
    </row>
    <row r="61239" spans="3:13" ht="12.75" customHeight="1" x14ac:dyDescent="0.2">
      <c r="C61239"/>
      <c r="M61239"/>
    </row>
    <row r="61240" spans="3:13" ht="12.75" customHeight="1" x14ac:dyDescent="0.2">
      <c r="C61240"/>
      <c r="M61240"/>
    </row>
    <row r="61241" spans="3:13" ht="12.75" customHeight="1" x14ac:dyDescent="0.2">
      <c r="C61241"/>
      <c r="M61241"/>
    </row>
    <row r="61243" spans="3:13" ht="12.75" customHeight="1" x14ac:dyDescent="0.2">
      <c r="C61243"/>
      <c r="M61243"/>
    </row>
    <row r="61254" spans="3:13" ht="12.75" customHeight="1" x14ac:dyDescent="0.2">
      <c r="C61254"/>
      <c r="M61254"/>
    </row>
    <row r="61255" spans="3:13" ht="12.75" customHeight="1" x14ac:dyDescent="0.2">
      <c r="C61255"/>
      <c r="M61255"/>
    </row>
    <row r="61256" spans="3:13" ht="12.75" customHeight="1" x14ac:dyDescent="0.2">
      <c r="C61256"/>
      <c r="M61256"/>
    </row>
    <row r="61257" spans="3:13" ht="12.75" customHeight="1" x14ac:dyDescent="0.2">
      <c r="C61257"/>
      <c r="M61257"/>
    </row>
    <row r="61259" spans="3:13" ht="12.75" customHeight="1" x14ac:dyDescent="0.2">
      <c r="C61259"/>
      <c r="M61259"/>
    </row>
    <row r="61270" spans="3:13" ht="12.75" customHeight="1" x14ac:dyDescent="0.2">
      <c r="C61270"/>
      <c r="M61270"/>
    </row>
    <row r="61271" spans="3:13" ht="12.75" customHeight="1" x14ac:dyDescent="0.2">
      <c r="C61271"/>
      <c r="M61271"/>
    </row>
    <row r="61272" spans="3:13" ht="12.75" customHeight="1" x14ac:dyDescent="0.2">
      <c r="C61272"/>
      <c r="M61272"/>
    </row>
    <row r="61273" spans="3:13" ht="12.75" customHeight="1" x14ac:dyDescent="0.2">
      <c r="C61273"/>
      <c r="M61273"/>
    </row>
    <row r="61275" spans="3:13" ht="12.75" customHeight="1" x14ac:dyDescent="0.2">
      <c r="C61275"/>
      <c r="M61275"/>
    </row>
    <row r="61286" spans="3:13" ht="12.75" customHeight="1" x14ac:dyDescent="0.2">
      <c r="C61286"/>
      <c r="M61286"/>
    </row>
    <row r="61287" spans="3:13" ht="12.75" customHeight="1" x14ac:dyDescent="0.2">
      <c r="C61287"/>
      <c r="M61287"/>
    </row>
    <row r="61288" spans="3:13" ht="12.75" customHeight="1" x14ac:dyDescent="0.2">
      <c r="C61288"/>
      <c r="M61288"/>
    </row>
    <row r="61289" spans="3:13" ht="12.75" customHeight="1" x14ac:dyDescent="0.2">
      <c r="C61289"/>
      <c r="M61289"/>
    </row>
    <row r="61291" spans="3:13" ht="12.75" customHeight="1" x14ac:dyDescent="0.2">
      <c r="C61291"/>
      <c r="M61291"/>
    </row>
    <row r="61302" spans="3:13" ht="12.75" customHeight="1" x14ac:dyDescent="0.2">
      <c r="C61302"/>
      <c r="M61302"/>
    </row>
    <row r="61303" spans="3:13" ht="12.75" customHeight="1" x14ac:dyDescent="0.2">
      <c r="C61303"/>
      <c r="M61303"/>
    </row>
    <row r="61304" spans="3:13" ht="12.75" customHeight="1" x14ac:dyDescent="0.2">
      <c r="C61304"/>
      <c r="M61304"/>
    </row>
    <row r="61305" spans="3:13" ht="12.75" customHeight="1" x14ac:dyDescent="0.2">
      <c r="C61305"/>
      <c r="M61305"/>
    </row>
    <row r="61307" spans="3:13" ht="12.75" customHeight="1" x14ac:dyDescent="0.2">
      <c r="C61307"/>
      <c r="M61307"/>
    </row>
    <row r="61318" spans="3:13" ht="12.75" customHeight="1" x14ac:dyDescent="0.2">
      <c r="C61318"/>
      <c r="M61318"/>
    </row>
    <row r="61319" spans="3:13" ht="12.75" customHeight="1" x14ac:dyDescent="0.2">
      <c r="C61319"/>
      <c r="M61319"/>
    </row>
    <row r="61320" spans="3:13" ht="12.75" customHeight="1" x14ac:dyDescent="0.2">
      <c r="C61320"/>
      <c r="M61320"/>
    </row>
    <row r="61321" spans="3:13" ht="12.75" customHeight="1" x14ac:dyDescent="0.2">
      <c r="C61321"/>
      <c r="M61321"/>
    </row>
    <row r="61323" spans="3:13" ht="12.75" customHeight="1" x14ac:dyDescent="0.2">
      <c r="C61323"/>
      <c r="M61323"/>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9" spans="3:13" ht="12.75" customHeight="1" x14ac:dyDescent="0.2">
      <c r="C61339"/>
      <c r="M61339"/>
    </row>
    <row r="61347" spans="3:13" ht="12.75" customHeight="1" x14ac:dyDescent="0.2">
      <c r="C61347"/>
      <c r="M61347"/>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5" spans="3:13" ht="12.75" customHeight="1" x14ac:dyDescent="0.2">
      <c r="C61355"/>
      <c r="M61355"/>
    </row>
    <row r="61363" spans="3:13" ht="12.75" customHeight="1" x14ac:dyDescent="0.2">
      <c r="C61363"/>
      <c r="M61363"/>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1" spans="3:13" ht="12.75" customHeight="1" x14ac:dyDescent="0.2">
      <c r="C61371"/>
      <c r="M61371"/>
    </row>
    <row r="61379" spans="3:13" ht="12.75" customHeight="1" x14ac:dyDescent="0.2">
      <c r="C61379"/>
      <c r="M61379"/>
    </row>
    <row r="61380" spans="3:13" ht="12.75" customHeight="1" x14ac:dyDescent="0.2">
      <c r="C61380"/>
      <c r="M61380"/>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7" spans="3:13" ht="12.75" customHeight="1" x14ac:dyDescent="0.2">
      <c r="C61387"/>
      <c r="M61387"/>
    </row>
    <row r="61395" spans="3:13" ht="12.75" customHeight="1" x14ac:dyDescent="0.2">
      <c r="C61395"/>
      <c r="M61395"/>
    </row>
    <row r="61396" spans="3:13" ht="12.75" customHeight="1" x14ac:dyDescent="0.2">
      <c r="C61396"/>
      <c r="M61396"/>
    </row>
    <row r="61397" spans="3:13" ht="12.75" customHeight="1" x14ac:dyDescent="0.2">
      <c r="C61397"/>
      <c r="M61397"/>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3" spans="3:13" ht="12.75" customHeight="1" x14ac:dyDescent="0.2">
      <c r="C61403"/>
      <c r="M61403"/>
    </row>
    <row r="61411" spans="3:13" ht="12.75" customHeight="1" x14ac:dyDescent="0.2">
      <c r="C61411"/>
      <c r="M61411"/>
    </row>
    <row r="61412" spans="3:13" ht="12.75" customHeight="1" x14ac:dyDescent="0.2">
      <c r="C61412"/>
      <c r="M61412"/>
    </row>
    <row r="61413" spans="3:13" ht="12.75" customHeight="1" x14ac:dyDescent="0.2">
      <c r="C61413"/>
      <c r="M61413"/>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9" spans="3:13" ht="12.75" customHeight="1" x14ac:dyDescent="0.2">
      <c r="C61419"/>
      <c r="M61419"/>
    </row>
    <row r="61425" spans="3:13" ht="12.75" customHeight="1" x14ac:dyDescent="0.2">
      <c r="C61425"/>
      <c r="M61425"/>
    </row>
    <row r="61426" spans="3:13" ht="12.75" customHeight="1" x14ac:dyDescent="0.2">
      <c r="C61426"/>
      <c r="M61426"/>
    </row>
    <row r="61427" spans="3:13" ht="12.75" customHeight="1" x14ac:dyDescent="0.2">
      <c r="C61427"/>
      <c r="M61427"/>
    </row>
    <row r="61428" spans="3:13" ht="12.75" customHeight="1" x14ac:dyDescent="0.2">
      <c r="C61428"/>
      <c r="M61428"/>
    </row>
    <row r="61429" spans="3:13" ht="12.75" customHeight="1" x14ac:dyDescent="0.2">
      <c r="C61429"/>
      <c r="M61429"/>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41" spans="3:13" ht="12.75" customHeight="1" x14ac:dyDescent="0.2">
      <c r="C61441"/>
      <c r="M61441"/>
    </row>
    <row r="61442" spans="3:13" ht="12.75" customHeight="1" x14ac:dyDescent="0.2">
      <c r="C61442"/>
      <c r="M61442"/>
    </row>
    <row r="61443" spans="3:13" ht="12.75" customHeight="1" x14ac:dyDescent="0.2">
      <c r="C61443"/>
      <c r="M61443"/>
    </row>
    <row r="61444" spans="3:13" ht="12.75" customHeight="1" x14ac:dyDescent="0.2">
      <c r="C61444"/>
      <c r="M61444"/>
    </row>
    <row r="61445" spans="3:13" ht="12.75" customHeight="1" x14ac:dyDescent="0.2">
      <c r="C61445"/>
      <c r="M61445"/>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7" spans="3:13" ht="12.75" customHeight="1" x14ac:dyDescent="0.2">
      <c r="C61457"/>
      <c r="M61457"/>
    </row>
    <row r="61458" spans="3:13" ht="12.75" customHeight="1" x14ac:dyDescent="0.2">
      <c r="C61458"/>
      <c r="M61458"/>
    </row>
    <row r="61459" spans="3:13" ht="12.75" customHeight="1" x14ac:dyDescent="0.2">
      <c r="C61459"/>
      <c r="M61459"/>
    </row>
    <row r="61460" spans="3:13" ht="12.75" customHeight="1" x14ac:dyDescent="0.2">
      <c r="C61460"/>
      <c r="M61460"/>
    </row>
    <row r="61461" spans="3:13" ht="12.75" customHeight="1" x14ac:dyDescent="0.2">
      <c r="C61461"/>
      <c r="M61461"/>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73" spans="3:13" ht="12.75" customHeight="1" x14ac:dyDescent="0.2">
      <c r="C61473"/>
      <c r="M61473"/>
    </row>
    <row r="61474" spans="3:13" ht="12.75" customHeight="1" x14ac:dyDescent="0.2">
      <c r="C61474"/>
      <c r="M61474"/>
    </row>
    <row r="61475" spans="3:13" ht="12.75" customHeight="1" x14ac:dyDescent="0.2">
      <c r="C61475"/>
      <c r="M61475"/>
    </row>
    <row r="61476" spans="3:13" ht="12.75" customHeight="1" x14ac:dyDescent="0.2">
      <c r="C61476"/>
      <c r="M61476"/>
    </row>
    <row r="61477" spans="3:13" ht="12.75" customHeight="1" x14ac:dyDescent="0.2">
      <c r="C61477"/>
      <c r="M61477"/>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3" spans="3:13" ht="12.75" customHeight="1" x14ac:dyDescent="0.2">
      <c r="C61493"/>
      <c r="M61493"/>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row r="65350" spans="3:13" ht="12.75" customHeight="1" x14ac:dyDescent="0.2">
      <c r="C65350"/>
      <c r="M65350"/>
    </row>
    <row r="65351" spans="3:13" ht="12.75" customHeight="1" x14ac:dyDescent="0.2">
      <c r="C65351"/>
      <c r="M65351"/>
    </row>
    <row r="65352" spans="3:13" ht="12.75" customHeight="1" x14ac:dyDescent="0.2">
      <c r="C65352"/>
      <c r="M65352"/>
    </row>
    <row r="65353" spans="3:13" ht="12.75" customHeight="1" x14ac:dyDescent="0.2">
      <c r="C65353"/>
      <c r="M65353"/>
    </row>
    <row r="65354" spans="3:13" ht="12.75" customHeight="1" x14ac:dyDescent="0.2">
      <c r="C65354"/>
      <c r="M65354"/>
    </row>
    <row r="65355" spans="3:13" ht="12.75" customHeight="1" x14ac:dyDescent="0.2">
      <c r="C65355"/>
      <c r="M65355"/>
    </row>
    <row r="65356" spans="3:13" ht="12.75" customHeight="1" x14ac:dyDescent="0.2">
      <c r="C65356"/>
      <c r="M65356"/>
    </row>
    <row r="65357" spans="3:13" ht="12.75" customHeight="1" x14ac:dyDescent="0.2">
      <c r="C65357"/>
      <c r="M65357"/>
    </row>
    <row r="65358" spans="3:13" ht="12.75" customHeight="1" x14ac:dyDescent="0.2">
      <c r="C65358"/>
      <c r="M65358"/>
    </row>
    <row r="65359" spans="3:13" ht="12.75" customHeight="1" x14ac:dyDescent="0.2">
      <c r="C65359"/>
      <c r="M65359"/>
    </row>
    <row r="65360" spans="3:13" ht="12.75" customHeight="1" x14ac:dyDescent="0.2">
      <c r="C65360"/>
      <c r="M65360"/>
    </row>
    <row r="65361" spans="3:13" ht="12.75" customHeight="1" x14ac:dyDescent="0.2">
      <c r="C65361"/>
      <c r="M65361"/>
    </row>
    <row r="65362" spans="3:13" ht="12.75" customHeight="1" x14ac:dyDescent="0.2">
      <c r="C65362"/>
      <c r="M65362"/>
    </row>
    <row r="65363" spans="3:13" ht="12.75" customHeight="1" x14ac:dyDescent="0.2">
      <c r="C65363"/>
      <c r="M65363"/>
    </row>
    <row r="65364" spans="3:13" ht="12.75" customHeight="1" x14ac:dyDescent="0.2">
      <c r="C65364"/>
      <c r="M65364"/>
    </row>
    <row r="65365" spans="3:13" ht="12.75" customHeight="1" x14ac:dyDescent="0.2">
      <c r="C65365"/>
      <c r="M65365"/>
    </row>
    <row r="65366" spans="3:13" ht="12.75" customHeight="1" x14ac:dyDescent="0.2">
      <c r="C65366"/>
      <c r="M65366"/>
    </row>
    <row r="65367" spans="3:13" ht="12.75" customHeight="1" x14ac:dyDescent="0.2">
      <c r="C65367"/>
      <c r="M65367"/>
    </row>
    <row r="65368" spans="3:13" ht="12.75" customHeight="1" x14ac:dyDescent="0.2">
      <c r="C65368"/>
      <c r="M65368"/>
    </row>
    <row r="65369" spans="3:13" ht="12.75" customHeight="1" x14ac:dyDescent="0.2">
      <c r="C65369"/>
      <c r="M65369"/>
    </row>
    <row r="65370" spans="3:13" ht="12.75" customHeight="1" x14ac:dyDescent="0.2">
      <c r="C65370"/>
      <c r="M65370"/>
    </row>
    <row r="65371" spans="3:13" ht="12.75" customHeight="1" x14ac:dyDescent="0.2">
      <c r="C65371"/>
      <c r="M65371"/>
    </row>
    <row r="65372" spans="3:13" ht="12.75" customHeight="1" x14ac:dyDescent="0.2">
      <c r="C65372"/>
      <c r="M65372"/>
    </row>
    <row r="65373" spans="3:13" ht="12.75" customHeight="1" x14ac:dyDescent="0.2">
      <c r="C65373"/>
      <c r="M65373"/>
    </row>
    <row r="65374" spans="3:13" ht="12.75" customHeight="1" x14ac:dyDescent="0.2">
      <c r="C65374"/>
      <c r="M65374"/>
    </row>
    <row r="65375" spans="3:13" ht="12.75" customHeight="1" x14ac:dyDescent="0.2">
      <c r="C65375"/>
      <c r="M65375"/>
    </row>
    <row r="65376" spans="3:13" ht="12.75" customHeight="1" x14ac:dyDescent="0.2">
      <c r="C65376"/>
      <c r="M65376"/>
    </row>
    <row r="65377" spans="3:13" ht="12.75" customHeight="1" x14ac:dyDescent="0.2">
      <c r="C65377"/>
      <c r="M65377"/>
    </row>
    <row r="65378" spans="3:13" ht="12.75" customHeight="1" x14ac:dyDescent="0.2">
      <c r="C65378"/>
      <c r="M65378"/>
    </row>
    <row r="65379" spans="3:13" ht="12.75" customHeight="1" x14ac:dyDescent="0.2">
      <c r="C65379"/>
      <c r="M65379"/>
    </row>
    <row r="65380" spans="3:13" ht="12.75" customHeight="1" x14ac:dyDescent="0.2">
      <c r="C65380"/>
      <c r="M65380"/>
    </row>
    <row r="65381" spans="3:13" ht="12.75" customHeight="1" x14ac:dyDescent="0.2">
      <c r="C65381"/>
      <c r="M65381"/>
    </row>
    <row r="65382" spans="3:13" ht="12.75" customHeight="1" x14ac:dyDescent="0.2">
      <c r="C65382"/>
      <c r="M65382"/>
    </row>
    <row r="65383" spans="3:13" ht="12.75" customHeight="1" x14ac:dyDescent="0.2">
      <c r="C65383"/>
      <c r="M65383"/>
    </row>
    <row r="65384" spans="3:13" ht="12.75" customHeight="1" x14ac:dyDescent="0.2">
      <c r="C65384"/>
      <c r="M65384"/>
    </row>
    <row r="65385" spans="3:13" ht="12.75" customHeight="1" x14ac:dyDescent="0.2">
      <c r="C65385"/>
      <c r="M65385"/>
    </row>
    <row r="65386" spans="3:13" ht="12.75" customHeight="1" x14ac:dyDescent="0.2">
      <c r="C65386"/>
      <c r="M65386"/>
    </row>
    <row r="65387" spans="3:13" ht="12.75" customHeight="1" x14ac:dyDescent="0.2">
      <c r="C65387"/>
      <c r="M65387"/>
    </row>
    <row r="65388" spans="3:13" ht="12.75" customHeight="1" x14ac:dyDescent="0.2">
      <c r="C65388"/>
      <c r="M65388"/>
    </row>
    <row r="65389" spans="3:13" ht="12.75" customHeight="1" x14ac:dyDescent="0.2">
      <c r="C65389"/>
      <c r="M65389"/>
    </row>
    <row r="65390" spans="3:13" ht="12.75" customHeight="1" x14ac:dyDescent="0.2">
      <c r="C65390"/>
      <c r="M65390"/>
    </row>
    <row r="65391" spans="3:13" ht="12.75" customHeight="1" x14ac:dyDescent="0.2">
      <c r="C65391"/>
      <c r="M65391"/>
    </row>
    <row r="65392" spans="3:13" ht="12.75" customHeight="1" x14ac:dyDescent="0.2">
      <c r="C65392"/>
      <c r="M65392"/>
    </row>
    <row r="65393" spans="3:13" ht="12.75" customHeight="1" x14ac:dyDescent="0.2">
      <c r="C65393"/>
      <c r="M65393"/>
    </row>
    <row r="65394" spans="3:13" ht="12.75" customHeight="1" x14ac:dyDescent="0.2">
      <c r="C65394"/>
      <c r="M65394"/>
    </row>
    <row r="65395" spans="3:13" ht="12.75" customHeight="1" x14ac:dyDescent="0.2">
      <c r="C65395"/>
      <c r="M65395"/>
    </row>
    <row r="65396" spans="3:13" ht="12.75" customHeight="1" x14ac:dyDescent="0.2">
      <c r="C65396"/>
      <c r="M65396"/>
    </row>
    <row r="65397" spans="3:13" ht="12.75" customHeight="1" x14ac:dyDescent="0.2">
      <c r="C65397"/>
      <c r="M65397"/>
    </row>
    <row r="65398" spans="3:13" ht="12.75" customHeight="1" x14ac:dyDescent="0.2">
      <c r="C65398"/>
      <c r="M65398"/>
    </row>
    <row r="65399" spans="3:13" ht="12.75" customHeight="1" x14ac:dyDescent="0.2">
      <c r="C65399"/>
      <c r="M65399"/>
    </row>
    <row r="65400" spans="3:13" ht="12.75" customHeight="1" x14ac:dyDescent="0.2">
      <c r="C65400"/>
      <c r="M65400"/>
    </row>
    <row r="65401" spans="3:13" ht="12.75" customHeight="1" x14ac:dyDescent="0.2">
      <c r="C65401"/>
      <c r="M65401"/>
    </row>
    <row r="65402" spans="3:13" ht="12.75" customHeight="1" x14ac:dyDescent="0.2">
      <c r="C65402"/>
      <c r="M65402"/>
    </row>
    <row r="65403" spans="3:13" ht="12.75" customHeight="1" x14ac:dyDescent="0.2">
      <c r="C65403"/>
      <c r="M65403"/>
    </row>
    <row r="65404" spans="3:13" ht="12.75" customHeight="1" x14ac:dyDescent="0.2">
      <c r="C65404"/>
      <c r="M65404"/>
    </row>
    <row r="65405" spans="3:13" ht="12.75" customHeight="1" x14ac:dyDescent="0.2">
      <c r="C65405"/>
      <c r="M65405"/>
    </row>
    <row r="65406" spans="3:13" ht="12.75" customHeight="1" x14ac:dyDescent="0.2">
      <c r="C65406"/>
      <c r="M65406"/>
    </row>
    <row r="65407" spans="3:13" ht="12.75" customHeight="1" x14ac:dyDescent="0.2">
      <c r="C65407"/>
      <c r="M65407"/>
    </row>
    <row r="65408" spans="3:13" ht="12.75" customHeight="1" x14ac:dyDescent="0.2">
      <c r="C65408"/>
      <c r="M65408"/>
    </row>
    <row r="65409" spans="3:13" ht="12.75" customHeight="1" x14ac:dyDescent="0.2">
      <c r="C65409"/>
      <c r="M65409"/>
    </row>
    <row r="65410" spans="3:13" ht="12.75" customHeight="1" x14ac:dyDescent="0.2">
      <c r="C65410"/>
      <c r="M65410"/>
    </row>
    <row r="65411" spans="3:13" ht="12.75" customHeight="1" x14ac:dyDescent="0.2">
      <c r="C65411"/>
      <c r="M65411"/>
    </row>
    <row r="65412" spans="3:13" ht="12.75" customHeight="1" x14ac:dyDescent="0.2">
      <c r="C65412"/>
      <c r="M65412"/>
    </row>
    <row r="65413" spans="3:13" ht="12.75" customHeight="1" x14ac:dyDescent="0.2">
      <c r="C65413"/>
      <c r="M65413"/>
    </row>
    <row r="65414" spans="3:13" ht="12.75" customHeight="1" x14ac:dyDescent="0.2">
      <c r="C65414"/>
      <c r="M65414"/>
    </row>
    <row r="65415" spans="3:13" ht="12.75" customHeight="1" x14ac:dyDescent="0.2">
      <c r="C65415"/>
      <c r="M65415"/>
    </row>
    <row r="65416" spans="3:13" ht="12.75" customHeight="1" x14ac:dyDescent="0.2">
      <c r="C65416"/>
      <c r="M65416"/>
    </row>
    <row r="65417" spans="3:13" ht="12.75" customHeight="1" x14ac:dyDescent="0.2">
      <c r="C65417"/>
      <c r="M65417"/>
    </row>
    <row r="65418" spans="3:13" ht="12.75" customHeight="1" x14ac:dyDescent="0.2">
      <c r="C65418"/>
      <c r="M65418"/>
    </row>
    <row r="65419" spans="3:13" ht="12.75" customHeight="1" x14ac:dyDescent="0.2">
      <c r="C65419"/>
      <c r="M65419"/>
    </row>
    <row r="65420" spans="3:13" ht="12.75" customHeight="1" x14ac:dyDescent="0.2">
      <c r="C65420"/>
      <c r="M65420"/>
    </row>
    <row r="65421" spans="3:13" ht="12.75" customHeight="1" x14ac:dyDescent="0.2">
      <c r="C65421"/>
      <c r="M65421"/>
    </row>
    <row r="65422" spans="3:13" ht="12.75" customHeight="1" x14ac:dyDescent="0.2">
      <c r="C65422"/>
      <c r="M65422"/>
    </row>
    <row r="65423" spans="3:13" ht="12.75" customHeight="1" x14ac:dyDescent="0.2">
      <c r="C65423"/>
      <c r="M65423"/>
    </row>
    <row r="65424" spans="3:13" ht="12.75" customHeight="1" x14ac:dyDescent="0.2">
      <c r="C65424"/>
      <c r="M65424"/>
    </row>
    <row r="65425" spans="3:13" ht="12.75" customHeight="1" x14ac:dyDescent="0.2">
      <c r="C65425"/>
      <c r="M65425"/>
    </row>
    <row r="65426" spans="3:13" ht="12.75" customHeight="1" x14ac:dyDescent="0.2">
      <c r="C65426"/>
      <c r="M65426"/>
    </row>
    <row r="65427" spans="3:13" ht="12.75" customHeight="1" x14ac:dyDescent="0.2">
      <c r="C65427"/>
      <c r="M65427"/>
    </row>
    <row r="65428" spans="3:13" ht="12.75" customHeight="1" x14ac:dyDescent="0.2">
      <c r="C65428"/>
      <c r="M65428"/>
    </row>
    <row r="65429" spans="3:13" ht="12.75" customHeight="1" x14ac:dyDescent="0.2">
      <c r="C65429"/>
      <c r="M65429"/>
    </row>
    <row r="65430" spans="3:13" ht="12.75" customHeight="1" x14ac:dyDescent="0.2">
      <c r="C65430"/>
      <c r="M65430"/>
    </row>
    <row r="65431" spans="3:13" ht="12.75" customHeight="1" x14ac:dyDescent="0.2">
      <c r="C65431"/>
      <c r="M65431"/>
    </row>
    <row r="65432" spans="3:13" ht="12.75" customHeight="1" x14ac:dyDescent="0.2">
      <c r="C65432"/>
      <c r="M65432"/>
    </row>
    <row r="65433" spans="3:13" ht="12.75" customHeight="1" x14ac:dyDescent="0.2">
      <c r="C65433"/>
      <c r="M65433"/>
    </row>
    <row r="65434" spans="3:13" ht="12.75" customHeight="1" x14ac:dyDescent="0.2">
      <c r="C65434"/>
      <c r="M65434"/>
    </row>
    <row r="65435" spans="3:13" ht="12.75" customHeight="1" x14ac:dyDescent="0.2">
      <c r="C65435"/>
      <c r="M65435"/>
    </row>
    <row r="65436" spans="3:13" ht="12.75" customHeight="1" x14ac:dyDescent="0.2">
      <c r="C65436"/>
      <c r="M65436"/>
    </row>
    <row r="65437" spans="3:13" ht="12.75" customHeight="1" x14ac:dyDescent="0.2">
      <c r="C65437"/>
      <c r="M65437"/>
    </row>
    <row r="65438" spans="3:13" ht="12.75" customHeight="1" x14ac:dyDescent="0.2">
      <c r="C65438"/>
      <c r="M65438"/>
    </row>
    <row r="65439" spans="3:13" ht="12.75" customHeight="1" x14ac:dyDescent="0.2">
      <c r="C65439"/>
      <c r="M65439"/>
    </row>
    <row r="65440" spans="3:13" ht="12.75" customHeight="1" x14ac:dyDescent="0.2">
      <c r="C65440"/>
      <c r="M65440"/>
    </row>
    <row r="65441" spans="3:13" ht="12.75" customHeight="1" x14ac:dyDescent="0.2">
      <c r="C65441"/>
      <c r="M65441"/>
    </row>
    <row r="65442" spans="3:13" ht="12.75" customHeight="1" x14ac:dyDescent="0.2">
      <c r="C65442"/>
      <c r="M65442"/>
    </row>
    <row r="65443" spans="3:13" ht="12.75" customHeight="1" x14ac:dyDescent="0.2">
      <c r="C65443"/>
      <c r="M65443"/>
    </row>
    <row r="65444" spans="3:13" ht="12.75" customHeight="1" x14ac:dyDescent="0.2">
      <c r="C65444"/>
      <c r="M65444"/>
    </row>
    <row r="65445" spans="3:13" ht="12.75" customHeight="1" x14ac:dyDescent="0.2">
      <c r="C65445"/>
      <c r="M65445"/>
    </row>
    <row r="65446" spans="3:13" ht="12.75" customHeight="1" x14ac:dyDescent="0.2">
      <c r="C65446"/>
      <c r="M65446"/>
    </row>
    <row r="65447" spans="3:13" ht="12.75" customHeight="1" x14ac:dyDescent="0.2">
      <c r="C65447"/>
      <c r="M65447"/>
    </row>
    <row r="65448" spans="3:13" ht="12.75" customHeight="1" x14ac:dyDescent="0.2">
      <c r="C65448"/>
      <c r="M65448"/>
    </row>
    <row r="65449" spans="3:13" ht="12.75" customHeight="1" x14ac:dyDescent="0.2">
      <c r="C65449"/>
      <c r="M65449"/>
    </row>
    <row r="65450" spans="3:13" ht="12.75" customHeight="1" x14ac:dyDescent="0.2">
      <c r="C65450"/>
      <c r="M65450"/>
    </row>
    <row r="65451" spans="3:13" ht="12.75" customHeight="1" x14ac:dyDescent="0.2">
      <c r="C65451"/>
      <c r="M65451"/>
    </row>
    <row r="65452" spans="3:13" ht="12.75" customHeight="1" x14ac:dyDescent="0.2">
      <c r="C65452"/>
      <c r="M65452"/>
    </row>
    <row r="65453" spans="3:13" ht="12.75" customHeight="1" x14ac:dyDescent="0.2">
      <c r="C65453"/>
      <c r="M65453"/>
    </row>
    <row r="65454" spans="3:13" ht="12.75" customHeight="1" x14ac:dyDescent="0.2">
      <c r="C65454"/>
      <c r="M65454"/>
    </row>
    <row r="65455" spans="3:13" ht="12.75" customHeight="1" x14ac:dyDescent="0.2">
      <c r="C65455"/>
      <c r="M65455"/>
    </row>
    <row r="65456" spans="3:13" ht="12.75" customHeight="1" x14ac:dyDescent="0.2">
      <c r="C65456"/>
      <c r="M65456"/>
    </row>
    <row r="65457" spans="3:13" ht="12.75" customHeight="1" x14ac:dyDescent="0.2">
      <c r="C65457"/>
      <c r="M65457"/>
    </row>
    <row r="65458" spans="3:13" ht="12.75" customHeight="1" x14ac:dyDescent="0.2">
      <c r="C65458"/>
      <c r="M65458"/>
    </row>
    <row r="65459" spans="3:13" ht="12.75" customHeight="1" x14ac:dyDescent="0.2">
      <c r="C65459"/>
      <c r="M65459"/>
    </row>
    <row r="65460" spans="3:13" ht="12.75" customHeight="1" x14ac:dyDescent="0.2">
      <c r="C65460"/>
      <c r="M65460"/>
    </row>
    <row r="65461" spans="3:13" ht="12.75" customHeight="1" x14ac:dyDescent="0.2">
      <c r="C65461"/>
      <c r="M65461"/>
    </row>
    <row r="65462" spans="3:13" ht="12.75" customHeight="1" x14ac:dyDescent="0.2">
      <c r="C65462"/>
      <c r="M65462"/>
    </row>
    <row r="65463" spans="3:13" ht="12.75" customHeight="1" x14ac:dyDescent="0.2">
      <c r="C65463"/>
      <c r="M65463"/>
    </row>
    <row r="65464" spans="3:13" ht="12.75" customHeight="1" x14ac:dyDescent="0.2">
      <c r="C65464"/>
      <c r="M65464"/>
    </row>
    <row r="65465" spans="3:13" ht="12.75" customHeight="1" x14ac:dyDescent="0.2">
      <c r="C65465"/>
      <c r="M65465"/>
    </row>
    <row r="65466" spans="3:13" ht="12.75" customHeight="1" x14ac:dyDescent="0.2">
      <c r="C65466"/>
      <c r="M65466"/>
    </row>
    <row r="65467" spans="3:13" ht="12.75" customHeight="1" x14ac:dyDescent="0.2">
      <c r="C65467"/>
      <c r="M65467"/>
    </row>
    <row r="65468" spans="3:13" ht="12.75" customHeight="1" x14ac:dyDescent="0.2">
      <c r="C65468"/>
      <c r="M65468"/>
    </row>
    <row r="65469" spans="3:13" ht="12.75" customHeight="1" x14ac:dyDescent="0.2">
      <c r="C65469"/>
      <c r="M65469"/>
    </row>
    <row r="65470" spans="3:13" ht="12.75" customHeight="1" x14ac:dyDescent="0.2">
      <c r="C65470"/>
      <c r="M65470"/>
    </row>
    <row r="65471" spans="3:13" ht="12.75" customHeight="1" x14ac:dyDescent="0.2">
      <c r="C65471"/>
      <c r="M65471"/>
    </row>
    <row r="65472" spans="3:13" ht="12.75" customHeight="1" x14ac:dyDescent="0.2">
      <c r="C65472"/>
      <c r="M65472"/>
    </row>
    <row r="65473" spans="3:13" ht="12.75" customHeight="1" x14ac:dyDescent="0.2">
      <c r="C65473"/>
      <c r="M65473"/>
    </row>
    <row r="65474" spans="3:13" ht="12.75" customHeight="1" x14ac:dyDescent="0.2">
      <c r="C65474"/>
      <c r="M65474"/>
    </row>
    <row r="65475" spans="3:13" ht="12.75" customHeight="1" x14ac:dyDescent="0.2">
      <c r="C65475"/>
      <c r="M65475"/>
    </row>
    <row r="65476" spans="3:13" ht="12.75" customHeight="1" x14ac:dyDescent="0.2">
      <c r="C65476"/>
      <c r="M65476"/>
    </row>
    <row r="65477" spans="3:13" ht="12.75" customHeight="1" x14ac:dyDescent="0.2">
      <c r="C65477"/>
      <c r="M65477"/>
    </row>
    <row r="65478" spans="3:13" ht="12.75" customHeight="1" x14ac:dyDescent="0.2">
      <c r="C65478"/>
      <c r="M65478"/>
    </row>
    <row r="65479" spans="3:13" ht="12.75" customHeight="1" x14ac:dyDescent="0.2">
      <c r="C65479"/>
      <c r="M65479"/>
    </row>
    <row r="65480" spans="3:13" ht="12.75" customHeight="1" x14ac:dyDescent="0.2">
      <c r="C65480"/>
      <c r="M65480"/>
    </row>
    <row r="65481" spans="3:13" ht="12.75" customHeight="1" x14ac:dyDescent="0.2">
      <c r="C65481"/>
      <c r="M65481"/>
    </row>
    <row r="65482" spans="3:13" ht="12.75" customHeight="1" x14ac:dyDescent="0.2">
      <c r="C65482"/>
      <c r="M65482"/>
    </row>
    <row r="65483" spans="3:13" ht="12.75" customHeight="1" x14ac:dyDescent="0.2">
      <c r="C65483"/>
      <c r="M65483"/>
    </row>
    <row r="65484" spans="3:13" ht="12.75" customHeight="1" x14ac:dyDescent="0.2">
      <c r="C65484"/>
      <c r="M65484"/>
    </row>
    <row r="65485" spans="3:13" ht="12.75" customHeight="1" x14ac:dyDescent="0.2">
      <c r="C65485"/>
      <c r="M65485"/>
    </row>
    <row r="65486" spans="3:13" ht="12.75" customHeight="1" x14ac:dyDescent="0.2">
      <c r="C65486"/>
      <c r="M65486"/>
    </row>
    <row r="65487" spans="3:13" ht="12.75" customHeight="1" x14ac:dyDescent="0.2">
      <c r="C65487"/>
      <c r="M65487"/>
    </row>
    <row r="65488" spans="3:13" ht="12.75" customHeight="1" x14ac:dyDescent="0.2">
      <c r="C65488"/>
      <c r="M65488"/>
    </row>
    <row r="65489" spans="3:13" ht="12.75" customHeight="1" x14ac:dyDescent="0.2">
      <c r="C65489"/>
      <c r="M65489"/>
    </row>
    <row r="65490" spans="3:13" ht="12.75" customHeight="1" x14ac:dyDescent="0.2">
      <c r="C65490"/>
      <c r="M65490"/>
    </row>
    <row r="65491" spans="3:13" ht="12.75" customHeight="1" x14ac:dyDescent="0.2">
      <c r="C65491"/>
      <c r="M65491"/>
    </row>
    <row r="65492" spans="3:13" ht="12.75" customHeight="1" x14ac:dyDescent="0.2">
      <c r="C65492"/>
      <c r="M65492"/>
    </row>
    <row r="65493" spans="3:13" ht="12.75" customHeight="1" x14ac:dyDescent="0.2">
      <c r="C65493"/>
      <c r="M65493"/>
    </row>
    <row r="65494" spans="3:13" ht="12.75" customHeight="1" x14ac:dyDescent="0.2">
      <c r="C65494"/>
      <c r="M65494"/>
    </row>
    <row r="65495" spans="3:13" ht="12.75" customHeight="1" x14ac:dyDescent="0.2">
      <c r="C65495"/>
      <c r="M65495"/>
    </row>
    <row r="65496" spans="3:13" ht="12.75" customHeight="1" x14ac:dyDescent="0.2">
      <c r="C65496"/>
      <c r="M65496"/>
    </row>
    <row r="65497" spans="3:13" ht="12.75" customHeight="1" x14ac:dyDescent="0.2">
      <c r="C65497"/>
      <c r="M65497"/>
    </row>
    <row r="65498" spans="3:13" ht="12.75" customHeight="1" x14ac:dyDescent="0.2">
      <c r="C65498"/>
      <c r="M65498"/>
    </row>
    <row r="65499" spans="3:13" ht="12.75" customHeight="1" x14ac:dyDescent="0.2">
      <c r="C65499"/>
      <c r="M65499"/>
    </row>
    <row r="65500" spans="3:13" ht="12.75" customHeight="1" x14ac:dyDescent="0.2">
      <c r="C65500"/>
      <c r="M65500"/>
    </row>
    <row r="65501" spans="3:13" ht="12.75" customHeight="1" x14ac:dyDescent="0.2">
      <c r="C65501"/>
      <c r="M65501"/>
    </row>
    <row r="65502" spans="3:13" ht="12.75" customHeight="1" x14ac:dyDescent="0.2">
      <c r="C65502"/>
      <c r="M65502"/>
    </row>
    <row r="65503" spans="3:13" ht="12.75" customHeight="1" x14ac:dyDescent="0.2">
      <c r="C65503"/>
      <c r="M65503"/>
    </row>
  </sheetData>
  <sheetProtection algorithmName="SHA-512" hashValue="i+3PyynSKdjoCKmHR5fXjwhyLS33pKi+NV/W06vAxVV+3LQ1Wv/zJfhk9D60gSDJyQThqS70MjNbWMS1dKJBsw==" saltValue="VTve23iwO9pPuEYZkzAJ6w==" spinCount="100000" sheet="1" objects="1" scenarios="1" autoFilter="0"/>
  <autoFilter ref="C15:C235" xr:uid="{00000000-0009-0000-0000-000006000000}"/>
  <mergeCells count="21">
    <mergeCell ref="AG6:AH6"/>
    <mergeCell ref="AG7:AH7"/>
    <mergeCell ref="AA9:AB9"/>
    <mergeCell ref="AC9:AH9"/>
    <mergeCell ref="AA10:AB10"/>
    <mergeCell ref="AC10:AH10"/>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G14 I14 D16:I21 I52:I57 I109:I113 D98:H113 I101:I105 D58:I88 D210:I217 D218:H221 I220:I221 D123:I129 D193:H200 I196 D158:I165 D23:I27 I44 I42 D42:H44 D51:H57 D37:I40 D46:I49 D29:I35 I225 D225:H234">
    <cfRule type="expression" dxfId="666" priority="14923" stopIfTrue="1">
      <formula>$B14=1</formula>
    </cfRule>
    <cfRule type="expression" dxfId="665" priority="14924" stopIfTrue="1">
      <formula>OR($B14=0,$B14=2,$B14=3,$B14=4)</formula>
    </cfRule>
  </conditionalFormatting>
  <conditionalFormatting sqref="M12:N21 M158:N221 M23:N27 M51:N156 M42:N44 M37:N40 M46:N49 M29:N35 M225:N235">
    <cfRule type="expression" dxfId="664" priority="14925" stopIfTrue="1">
      <formula>ACOMPANHAMENTO="BM"</formula>
    </cfRule>
    <cfRule type="expression" dxfId="663" priority="14926" stopIfTrue="1">
      <formula>OR($B12=0,$B12=2,$B12=3,$B12=4)</formula>
    </cfRule>
    <cfRule type="expression" dxfId="662" priority="14927" stopIfTrue="1">
      <formula>$B12=1</formula>
    </cfRule>
  </conditionalFormatting>
  <conditionalFormatting sqref="K12:K21 K23:K27 K29:K221 K225:K235">
    <cfRule type="expression" dxfId="661" priority="14928" stopIfTrue="1">
      <formula>OR(ACOMPANHAMENTO="BM",$A$12&lt;&gt;"Manual")</formula>
    </cfRule>
    <cfRule type="expression" dxfId="660" priority="14929" stopIfTrue="1">
      <formula>$B12=1</formula>
    </cfRule>
    <cfRule type="expression" dxfId="659" priority="14930" stopIfTrue="1">
      <formula>OR($B12=2,$B12=3,$B12=4,$B12=0)</formula>
    </cfRule>
  </conditionalFormatting>
  <conditionalFormatting sqref="O23:Z27 O12:P12 AI12:AI21 AI23:AI27 U12:AC12 O13:Z21 O32:P35 U32:Z35 U43:U44 U52:U54 V51:AI221 O51:P221 V42:AI44 O42:P44 U37:AI40 O37:P40 O46:P49 U46:AI49 AA31:AI35 O31:Z31 O50:AI50 O41:AI41 O36:AI36 O45:AI45 U56:U221 O225:P234 U225:Z234 O29:AI30 O235:Z235 AA225:AI235">
    <cfRule type="expression" dxfId="658" priority="8514" stopIfTrue="1">
      <formula>ACOMPANHAMENTO="BM"</formula>
    </cfRule>
    <cfRule type="expression" dxfId="657" priority="14932" stopIfTrue="1">
      <formula>AND(O$12&lt;&gt;".",OR($B12=0,$B12=2,$B12=3,$B12=4,AND(O$12="",$B12&lt;&gt;"Empty"),OFFSET(O$1,0,-1)=0))</formula>
    </cfRule>
    <cfRule type="expression" dxfId="656" priority="14933" stopIfTrue="1">
      <formula>AND($B12=1,O$1=1)</formula>
    </cfRule>
  </conditionalFormatting>
  <conditionalFormatting sqref="Q15:Z15">
    <cfRule type="expression" dxfId="655" priority="14931">
      <formula>Q$11="▼"</formula>
    </cfRule>
  </conditionalFormatting>
  <conditionalFormatting sqref="O15">
    <cfRule type="expression" dxfId="654" priority="8513">
      <formula>O$11="▼"</formula>
    </cfRule>
  </conditionalFormatting>
  <conditionalFormatting sqref="N14 N16:N21 N98:N113 N210:N221 N123:N129 N193:N200 N158:N165 N23:N27 N51:N88 N42:N44 N37:N40 N46:N49 N29:N35 N225:N234">
    <cfRule type="expression" dxfId="653" priority="5548">
      <formula>$J14="►"</formula>
    </cfRule>
  </conditionalFormatting>
  <conditionalFormatting sqref="N12">
    <cfRule type="cellIs" dxfId="652" priority="5546" operator="notEqual">
      <formula>"FRENTES DE OBRA:"</formula>
    </cfRule>
  </conditionalFormatting>
  <conditionalFormatting sqref="Q14:Z14 Q23:Z27 AI210:AI221 AI193:AI200 AI158:AI165 AI123:AI129 AI98:AI113 AI66:AI88 AI23:AI27 AI16:AI21 AI14 Q16:Z21 Q32:AI35 AA51:AI57 Q42:AI44 Q37:AI40 Q46:AI49 AI29:AI31 Q29:Z29 Q51:Z221 Q225:Z234 AI225:AI227 Q31:Z31 Q30:AC30">
    <cfRule type="expression" dxfId="651" priority="3331">
      <formula>Q14&lt;&gt;ROUND(Q14,2)</formula>
    </cfRule>
  </conditionalFormatting>
  <conditionalFormatting sqref="H14">
    <cfRule type="expression" dxfId="650" priority="2891" stopIfTrue="1">
      <formula>$B14=1</formula>
    </cfRule>
    <cfRule type="expression" dxfId="649" priority="2892" stopIfTrue="1">
      <formula>OR($B14=0,$B14=2,$B14=3,$B14=4)</formula>
    </cfRule>
  </conditionalFormatting>
  <conditionalFormatting sqref="H14 H16:H21 H98:H113 H210:H221 H123:H129 H193:H200 H158:H165 H23:H27 H51:H88 H42:H44 H37:H40 H46:H49 H29:H35 H225:H234">
    <cfRule type="expression" dxfId="648" priority="2890">
      <formula>$J14="►S"</formula>
    </cfRule>
  </conditionalFormatting>
  <conditionalFormatting sqref="AI58:AI65">
    <cfRule type="expression" dxfId="647" priority="450">
      <formula>AI58&lt;&gt;ROUND(AI58,2)</formula>
    </cfRule>
  </conditionalFormatting>
  <conditionalFormatting sqref="D89:G97 I89:I97">
    <cfRule type="expression" dxfId="646" priority="424" stopIfTrue="1">
      <formula>$B89=1</formula>
    </cfRule>
    <cfRule type="expression" dxfId="645" priority="425" stopIfTrue="1">
      <formula>OR($B89=0,$B89=2,$B89=3,$B89=4)</formula>
    </cfRule>
  </conditionalFormatting>
  <conditionalFormatting sqref="N89:N97">
    <cfRule type="expression" dxfId="644" priority="423">
      <formula>$J89="►"</formula>
    </cfRule>
  </conditionalFormatting>
  <conditionalFormatting sqref="AI89:AI97">
    <cfRule type="expression" dxfId="643" priority="422">
      <formula>AI89&lt;&gt;ROUND(AI89,2)</formula>
    </cfRule>
  </conditionalFormatting>
  <conditionalFormatting sqref="H89:H97">
    <cfRule type="expression" dxfId="642" priority="420" stopIfTrue="1">
      <formula>$B89=1</formula>
    </cfRule>
    <cfRule type="expression" dxfId="641" priority="421" stopIfTrue="1">
      <formula>OR($B89=0,$B89=2,$B89=3,$B89=4)</formula>
    </cfRule>
  </conditionalFormatting>
  <conditionalFormatting sqref="H89:H97">
    <cfRule type="expression" dxfId="640" priority="419">
      <formula>$J89="►S"</formula>
    </cfRule>
  </conditionalFormatting>
  <conditionalFormatting sqref="I106">
    <cfRule type="expression" dxfId="639" priority="410" stopIfTrue="1">
      <formula>$B106=1</formula>
    </cfRule>
    <cfRule type="expression" dxfId="638" priority="411" stopIfTrue="1">
      <formula>OR($B106=0,$B106=2,$B106=3,$B106=4)</formula>
    </cfRule>
  </conditionalFormatting>
  <conditionalFormatting sqref="R114:R116">
    <cfRule type="expression" dxfId="637" priority="408">
      <formula>R114&lt;&gt;ROUND(R114,2)</formula>
    </cfRule>
  </conditionalFormatting>
  <conditionalFormatting sqref="D114:G122 I114:I122">
    <cfRule type="expression" dxfId="636" priority="403" stopIfTrue="1">
      <formula>$B114=1</formula>
    </cfRule>
    <cfRule type="expression" dxfId="635" priority="404" stopIfTrue="1">
      <formula>OR($B114=0,$B114=2,$B114=3,$B114=4)</formula>
    </cfRule>
  </conditionalFormatting>
  <conditionalFormatting sqref="N114:N122">
    <cfRule type="expression" dxfId="634" priority="402">
      <formula>$J114="►"</formula>
    </cfRule>
  </conditionalFormatting>
  <conditionalFormatting sqref="AI114:AI122">
    <cfRule type="expression" dxfId="633" priority="401">
      <formula>AI114&lt;&gt;ROUND(AI114,2)</formula>
    </cfRule>
  </conditionalFormatting>
  <conditionalFormatting sqref="H114:H122">
    <cfRule type="expression" dxfId="632" priority="399" stopIfTrue="1">
      <formula>$B114=1</formula>
    </cfRule>
    <cfRule type="expression" dxfId="631" priority="400" stopIfTrue="1">
      <formula>OR($B114=0,$B114=2,$B114=3,$B114=4)</formula>
    </cfRule>
  </conditionalFormatting>
  <conditionalFormatting sqref="H114:H122">
    <cfRule type="expression" dxfId="630" priority="398">
      <formula>$J114="►S"</formula>
    </cfRule>
  </conditionalFormatting>
  <conditionalFormatting sqref="D130:G138 I130:I138">
    <cfRule type="expression" dxfId="629" priority="389" stopIfTrue="1">
      <formula>$B130=1</formula>
    </cfRule>
    <cfRule type="expression" dxfId="628" priority="390" stopIfTrue="1">
      <formula>OR($B130=0,$B130=2,$B130=3,$B130=4)</formula>
    </cfRule>
  </conditionalFormatting>
  <conditionalFormatting sqref="N130:N138">
    <cfRule type="expression" dxfId="627" priority="388">
      <formula>$J130="►"</formula>
    </cfRule>
  </conditionalFormatting>
  <conditionalFormatting sqref="AI130:AI138">
    <cfRule type="expression" dxfId="626" priority="387">
      <formula>AI130&lt;&gt;ROUND(AI130,2)</formula>
    </cfRule>
  </conditionalFormatting>
  <conditionalFormatting sqref="H130:H138">
    <cfRule type="expression" dxfId="625" priority="385" stopIfTrue="1">
      <formula>$B130=1</formula>
    </cfRule>
    <cfRule type="expression" dxfId="624" priority="386" stopIfTrue="1">
      <formula>OR($B130=0,$B130=2,$B130=3,$B130=4)</formula>
    </cfRule>
  </conditionalFormatting>
  <conditionalFormatting sqref="H130:H138">
    <cfRule type="expression" dxfId="623" priority="384">
      <formula>$J130="►S"</formula>
    </cfRule>
  </conditionalFormatting>
  <conditionalFormatting sqref="D139:G147 I140:I147">
    <cfRule type="expression" dxfId="622" priority="382" stopIfTrue="1">
      <formula>$B139=1</formula>
    </cfRule>
    <cfRule type="expression" dxfId="621" priority="383" stopIfTrue="1">
      <formula>OR($B139=0,$B139=2,$B139=3,$B139=4)</formula>
    </cfRule>
  </conditionalFormatting>
  <conditionalFormatting sqref="N139:N147">
    <cfRule type="expression" dxfId="620" priority="381">
      <formula>$J139="►"</formula>
    </cfRule>
  </conditionalFormatting>
  <conditionalFormatting sqref="AI139:AI147">
    <cfRule type="expression" dxfId="619" priority="380">
      <formula>AI139&lt;&gt;ROUND(AI139,2)</formula>
    </cfRule>
  </conditionalFormatting>
  <conditionalFormatting sqref="H139:H147">
    <cfRule type="expression" dxfId="618" priority="378" stopIfTrue="1">
      <formula>$B139=1</formula>
    </cfRule>
    <cfRule type="expression" dxfId="617" priority="379" stopIfTrue="1">
      <formula>OR($B139=0,$B139=2,$B139=3,$B139=4)</formula>
    </cfRule>
  </conditionalFormatting>
  <conditionalFormatting sqref="H139:H147">
    <cfRule type="expression" dxfId="616" priority="377">
      <formula>$J139="►S"</formula>
    </cfRule>
  </conditionalFormatting>
  <conditionalFormatting sqref="D148:G156 I151:I156">
    <cfRule type="expression" dxfId="615" priority="375" stopIfTrue="1">
      <formula>$B148=1</formula>
    </cfRule>
    <cfRule type="expression" dxfId="614" priority="376" stopIfTrue="1">
      <formula>OR($B148=0,$B148=2,$B148=3,$B148=4)</formula>
    </cfRule>
  </conditionalFormatting>
  <conditionalFormatting sqref="N148:N156">
    <cfRule type="expression" dxfId="613" priority="374">
      <formula>$J148="►"</formula>
    </cfRule>
  </conditionalFormatting>
  <conditionalFormatting sqref="AI148:AI156">
    <cfRule type="expression" dxfId="612" priority="373">
      <formula>AI148&lt;&gt;ROUND(AI148,2)</formula>
    </cfRule>
  </conditionalFormatting>
  <conditionalFormatting sqref="H148:H156">
    <cfRule type="expression" dxfId="611" priority="371" stopIfTrue="1">
      <formula>$B148=1</formula>
    </cfRule>
    <cfRule type="expression" dxfId="610" priority="372" stopIfTrue="1">
      <formula>OR($B148=0,$B148=2,$B148=3,$B148=4)</formula>
    </cfRule>
  </conditionalFormatting>
  <conditionalFormatting sqref="H148:H156">
    <cfRule type="expression" dxfId="609" priority="370">
      <formula>$J148="►S"</formula>
    </cfRule>
  </conditionalFormatting>
  <conditionalFormatting sqref="D166:G174 I167:I174">
    <cfRule type="expression" dxfId="608" priority="361" stopIfTrue="1">
      <formula>$B166=1</formula>
    </cfRule>
    <cfRule type="expression" dxfId="607" priority="362" stopIfTrue="1">
      <formula>OR($B166=0,$B166=2,$B166=3,$B166=4)</formula>
    </cfRule>
  </conditionalFormatting>
  <conditionalFormatting sqref="N166:N174">
    <cfRule type="expression" dxfId="606" priority="360">
      <formula>$J166="►"</formula>
    </cfRule>
  </conditionalFormatting>
  <conditionalFormatting sqref="AI166:AI174">
    <cfRule type="expression" dxfId="605" priority="359">
      <formula>AI166&lt;&gt;ROUND(AI166,2)</formula>
    </cfRule>
  </conditionalFormatting>
  <conditionalFormatting sqref="H166:H174">
    <cfRule type="expression" dxfId="604" priority="357" stopIfTrue="1">
      <formula>$B166=1</formula>
    </cfRule>
    <cfRule type="expression" dxfId="603" priority="358" stopIfTrue="1">
      <formula>OR($B166=0,$B166=2,$B166=3,$B166=4)</formula>
    </cfRule>
  </conditionalFormatting>
  <conditionalFormatting sqref="H166:H174">
    <cfRule type="expression" dxfId="602" priority="356">
      <formula>$J166="►S"</formula>
    </cfRule>
  </conditionalFormatting>
  <conditionalFormatting sqref="D175:G183 I175 I181:I183">
    <cfRule type="expression" dxfId="601" priority="354" stopIfTrue="1">
      <formula>$B175=1</formula>
    </cfRule>
    <cfRule type="expression" dxfId="600" priority="355" stopIfTrue="1">
      <formula>OR($B175=0,$B175=2,$B175=3,$B175=4)</formula>
    </cfRule>
  </conditionalFormatting>
  <conditionalFormatting sqref="N175:N183">
    <cfRule type="expression" dxfId="599" priority="353">
      <formula>$J175="►"</formula>
    </cfRule>
  </conditionalFormatting>
  <conditionalFormatting sqref="AI175:AI183 U183:V195">
    <cfRule type="expression" dxfId="598" priority="352">
      <formula>U175&lt;&gt;ROUND(U175,2)</formula>
    </cfRule>
  </conditionalFormatting>
  <conditionalFormatting sqref="H175:H183">
    <cfRule type="expression" dxfId="597" priority="350" stopIfTrue="1">
      <formula>$B175=1</formula>
    </cfRule>
    <cfRule type="expression" dxfId="596" priority="351" stopIfTrue="1">
      <formula>OR($B175=0,$B175=2,$B175=3,$B175=4)</formula>
    </cfRule>
  </conditionalFormatting>
  <conditionalFormatting sqref="H175:H183">
    <cfRule type="expression" dxfId="595" priority="349">
      <formula>$J175="►S"</formula>
    </cfRule>
  </conditionalFormatting>
  <conditionalFormatting sqref="D184:G192">
    <cfRule type="expression" dxfId="594" priority="347" stopIfTrue="1">
      <formula>$B184=1</formula>
    </cfRule>
    <cfRule type="expression" dxfId="593" priority="348" stopIfTrue="1">
      <formula>OR($B184=0,$B184=2,$B184=3,$B184=4)</formula>
    </cfRule>
  </conditionalFormatting>
  <conditionalFormatting sqref="N184:N192">
    <cfRule type="expression" dxfId="592" priority="346">
      <formula>$J184="►"</formula>
    </cfRule>
  </conditionalFormatting>
  <conditionalFormatting sqref="AI184:AI192">
    <cfRule type="expression" dxfId="591" priority="345">
      <formula>AI184&lt;&gt;ROUND(AI184,2)</formula>
    </cfRule>
  </conditionalFormatting>
  <conditionalFormatting sqref="H184:H192">
    <cfRule type="expression" dxfId="590" priority="343" stopIfTrue="1">
      <formula>$B184=1</formula>
    </cfRule>
    <cfRule type="expression" dxfId="589" priority="344" stopIfTrue="1">
      <formula>OR($B184=0,$B184=2,$B184=3,$B184=4)</formula>
    </cfRule>
  </conditionalFormatting>
  <conditionalFormatting sqref="H184:H192">
    <cfRule type="expression" dxfId="588" priority="342">
      <formula>$J184="►S"</formula>
    </cfRule>
  </conditionalFormatting>
  <conditionalFormatting sqref="D201:G209 I205:I209">
    <cfRule type="expression" dxfId="587" priority="333" stopIfTrue="1">
      <formula>$B201=1</formula>
    </cfRule>
    <cfRule type="expression" dxfId="586" priority="334" stopIfTrue="1">
      <formula>OR($B201=0,$B201=2,$B201=3,$B201=4)</formula>
    </cfRule>
  </conditionalFormatting>
  <conditionalFormatting sqref="N201:N209">
    <cfRule type="expression" dxfId="585" priority="332">
      <formula>$J201="►"</formula>
    </cfRule>
  </conditionalFormatting>
  <conditionalFormatting sqref="AI201:AI209">
    <cfRule type="expression" dxfId="584" priority="331">
      <formula>AI201&lt;&gt;ROUND(AI201,2)</formula>
    </cfRule>
  </conditionalFormatting>
  <conditionalFormatting sqref="H201:H209">
    <cfRule type="expression" dxfId="583" priority="329" stopIfTrue="1">
      <formula>$B201=1</formula>
    </cfRule>
    <cfRule type="expression" dxfId="582" priority="330" stopIfTrue="1">
      <formula>OR($B201=0,$B201=2,$B201=3,$B201=4)</formula>
    </cfRule>
  </conditionalFormatting>
  <conditionalFormatting sqref="H201:H209">
    <cfRule type="expression" dxfId="581" priority="328">
      <formula>$J201="►S"</formula>
    </cfRule>
  </conditionalFormatting>
  <conditionalFormatting sqref="I218:I219 I227">
    <cfRule type="expression" dxfId="580" priority="319" stopIfTrue="1">
      <formula>$B218=1</formula>
    </cfRule>
    <cfRule type="expression" dxfId="579" priority="320" stopIfTrue="1">
      <formula>OR($B218=0,$B218=2,$B218=3,$B218=4)</formula>
    </cfRule>
  </conditionalFormatting>
  <conditionalFormatting sqref="I228:I233">
    <cfRule type="expression" dxfId="578" priority="312" stopIfTrue="1">
      <formula>$B228=1</formula>
    </cfRule>
    <cfRule type="expression" dxfId="577" priority="313" stopIfTrue="1">
      <formula>OR($B228=0,$B228=2,$B228=3,$B228=4)</formula>
    </cfRule>
  </conditionalFormatting>
  <conditionalFormatting sqref="AI228:AI234">
    <cfRule type="expression" dxfId="576" priority="310">
      <formula>AI228&lt;&gt;ROUND(AI228,2)</formula>
    </cfRule>
  </conditionalFormatting>
  <conditionalFormatting sqref="D28:G28 I28">
    <cfRule type="expression" dxfId="575" priority="283" stopIfTrue="1">
      <formula>$B28=1</formula>
    </cfRule>
    <cfRule type="expression" dxfId="574" priority="284" stopIfTrue="1">
      <formula>OR($B28=0,$B28=2,$B28=3,$B28=4)</formula>
    </cfRule>
  </conditionalFormatting>
  <conditionalFormatting sqref="M28:N28">
    <cfRule type="expression" dxfId="573" priority="285" stopIfTrue="1">
      <formula>ACOMPANHAMENTO="BM"</formula>
    </cfRule>
    <cfRule type="expression" dxfId="572" priority="286" stopIfTrue="1">
      <formula>OR($B28=0,$B28=2,$B28=3,$B28=4)</formula>
    </cfRule>
    <cfRule type="expression" dxfId="571" priority="287" stopIfTrue="1">
      <formula>$B28=1</formula>
    </cfRule>
  </conditionalFormatting>
  <conditionalFormatting sqref="K28">
    <cfRule type="expression" dxfId="570" priority="288" stopIfTrue="1">
      <formula>OR(ACOMPANHAMENTO="BM",$A$12&lt;&gt;"Manual")</formula>
    </cfRule>
    <cfRule type="expression" dxfId="569" priority="289" stopIfTrue="1">
      <formula>$B28=1</formula>
    </cfRule>
    <cfRule type="expression" dxfId="568" priority="290" stopIfTrue="1">
      <formula>OR($B28=2,$B28=3,$B28=4,$B28=0)</formula>
    </cfRule>
  </conditionalFormatting>
  <conditionalFormatting sqref="O28:Z28 AI28">
    <cfRule type="expression" dxfId="567" priority="282" stopIfTrue="1">
      <formula>ACOMPANHAMENTO="BM"</formula>
    </cfRule>
    <cfRule type="expression" dxfId="566" priority="291" stopIfTrue="1">
      <formula>AND(O$12&lt;&gt;".",OR($B28=0,$B28=2,$B28=3,$B28=4,AND(O$12="",$B28&lt;&gt;"Empty"),OFFSET(O$1,0,-1)=0))</formula>
    </cfRule>
    <cfRule type="expression" dxfId="565" priority="292" stopIfTrue="1">
      <formula>AND($B28=1,O$1=1)</formula>
    </cfRule>
  </conditionalFormatting>
  <conditionalFormatting sqref="N28">
    <cfRule type="expression" dxfId="564" priority="281">
      <formula>$J28="►"</formula>
    </cfRule>
  </conditionalFormatting>
  <conditionalFormatting sqref="Q28:Z28 AI28">
    <cfRule type="expression" dxfId="563" priority="280">
      <formula>Q28&lt;&gt;ROUND(Q28,2)</formula>
    </cfRule>
  </conditionalFormatting>
  <conditionalFormatting sqref="H28">
    <cfRule type="expression" dxfId="562" priority="278" stopIfTrue="1">
      <formula>$B28=1</formula>
    </cfRule>
    <cfRule type="expression" dxfId="561" priority="279" stopIfTrue="1">
      <formula>OR($B28=0,$B28=2,$B28=3,$B28=4)</formula>
    </cfRule>
  </conditionalFormatting>
  <conditionalFormatting sqref="H28">
    <cfRule type="expression" dxfId="560" priority="277">
      <formula>$J28="►S"</formula>
    </cfRule>
  </conditionalFormatting>
  <conditionalFormatting sqref="I51">
    <cfRule type="expression" dxfId="559" priority="273" stopIfTrue="1">
      <formula>$B51=1</formula>
    </cfRule>
    <cfRule type="expression" dxfId="558" priority="274" stopIfTrue="1">
      <formula>OR($B51=0,$B51=2,$B51=3,$B51=4)</formula>
    </cfRule>
  </conditionalFormatting>
  <conditionalFormatting sqref="I139">
    <cfRule type="expression" dxfId="557" priority="249" stopIfTrue="1">
      <formula>$B139=1</formula>
    </cfRule>
    <cfRule type="expression" dxfId="556" priority="250" stopIfTrue="1">
      <formula>OR($B139=0,$B139=2,$B139=3,$B139=4)</formula>
    </cfRule>
  </conditionalFormatting>
  <conditionalFormatting sqref="I148:I150">
    <cfRule type="expression" dxfId="555" priority="247" stopIfTrue="1">
      <formula>$B148=1</formula>
    </cfRule>
    <cfRule type="expression" dxfId="554" priority="248" stopIfTrue="1">
      <formula>OR($B148=0,$B148=2,$B148=3,$B148=4)</formula>
    </cfRule>
  </conditionalFormatting>
  <conditionalFormatting sqref="I43">
    <cfRule type="expression" dxfId="553" priority="267" stopIfTrue="1">
      <formula>$B43=1</formula>
    </cfRule>
    <cfRule type="expression" dxfId="552" priority="268" stopIfTrue="1">
      <formula>OR($B43=0,$B43=2,$B43=3,$B43=4)</formula>
    </cfRule>
  </conditionalFormatting>
  <conditionalFormatting sqref="I98">
    <cfRule type="expression" dxfId="551" priority="261" stopIfTrue="1">
      <formula>$B98=1</formula>
    </cfRule>
    <cfRule type="expression" dxfId="550" priority="262" stopIfTrue="1">
      <formula>OR($B98=0,$B98=2,$B98=3,$B98=4)</formula>
    </cfRule>
  </conditionalFormatting>
  <conditionalFormatting sqref="I99">
    <cfRule type="expression" dxfId="549" priority="259" stopIfTrue="1">
      <formula>$B99=1</formula>
    </cfRule>
    <cfRule type="expression" dxfId="548" priority="260" stopIfTrue="1">
      <formula>OR($B99=0,$B99=2,$B99=3,$B99=4)</formula>
    </cfRule>
  </conditionalFormatting>
  <conditionalFormatting sqref="I100">
    <cfRule type="expression" dxfId="547" priority="257" stopIfTrue="1">
      <formula>$B100=1</formula>
    </cfRule>
    <cfRule type="expression" dxfId="546" priority="258" stopIfTrue="1">
      <formula>OR($B100=0,$B100=2,$B100=3,$B100=4)</formula>
    </cfRule>
  </conditionalFormatting>
  <conditionalFormatting sqref="I107">
    <cfRule type="expression" dxfId="545" priority="255" stopIfTrue="1">
      <formula>$B107=1</formula>
    </cfRule>
    <cfRule type="expression" dxfId="544" priority="256" stopIfTrue="1">
      <formula>OR($B107=0,$B107=2,$B107=3,$B107=4)</formula>
    </cfRule>
  </conditionalFormatting>
  <conditionalFormatting sqref="I158">
    <cfRule type="expression" dxfId="543" priority="245" stopIfTrue="1">
      <formula>$B158=1</formula>
    </cfRule>
    <cfRule type="expression" dxfId="542" priority="246" stopIfTrue="1">
      <formula>OR($B158=0,$B158=2,$B158=3,$B158=4)</formula>
    </cfRule>
  </conditionalFormatting>
  <conditionalFormatting sqref="I108">
    <cfRule type="expression" dxfId="541" priority="251" stopIfTrue="1">
      <formula>$B108=1</formula>
    </cfRule>
    <cfRule type="expression" dxfId="540" priority="252" stopIfTrue="1">
      <formula>OR($B108=0,$B108=2,$B108=3,$B108=4)</formula>
    </cfRule>
  </conditionalFormatting>
  <conditionalFormatting sqref="D157:G157 I157">
    <cfRule type="expression" dxfId="539" priority="235" stopIfTrue="1">
      <formula>$B157=1</formula>
    </cfRule>
    <cfRule type="expression" dxfId="538" priority="236" stopIfTrue="1">
      <formula>OR($B157=0,$B157=2,$B157=3,$B157=4)</formula>
    </cfRule>
  </conditionalFormatting>
  <conditionalFormatting sqref="M157:N157">
    <cfRule type="expression" dxfId="537" priority="237" stopIfTrue="1">
      <formula>ACOMPANHAMENTO="BM"</formula>
    </cfRule>
    <cfRule type="expression" dxfId="536" priority="238" stopIfTrue="1">
      <formula>OR($B157=0,$B157=2,$B157=3,$B157=4)</formula>
    </cfRule>
    <cfRule type="expression" dxfId="535" priority="239" stopIfTrue="1">
      <formula>$B157=1</formula>
    </cfRule>
  </conditionalFormatting>
  <conditionalFormatting sqref="N157">
    <cfRule type="expression" dxfId="534" priority="233">
      <formula>$J157="►"</formula>
    </cfRule>
  </conditionalFormatting>
  <conditionalFormatting sqref="AI157">
    <cfRule type="expression" dxfId="533" priority="232">
      <formula>AI157&lt;&gt;ROUND(AI157,2)</formula>
    </cfRule>
  </conditionalFormatting>
  <conditionalFormatting sqref="H157">
    <cfRule type="expression" dxfId="532" priority="230" stopIfTrue="1">
      <formula>$B157=1</formula>
    </cfRule>
    <cfRule type="expression" dxfId="531" priority="231" stopIfTrue="1">
      <formula>OR($B157=0,$B157=2,$B157=3,$B157=4)</formula>
    </cfRule>
  </conditionalFormatting>
  <conditionalFormatting sqref="H157">
    <cfRule type="expression" dxfId="530" priority="229">
      <formula>$J157="►S"</formula>
    </cfRule>
  </conditionalFormatting>
  <conditionalFormatting sqref="I157">
    <cfRule type="expression" dxfId="529" priority="227" stopIfTrue="1">
      <formula>$B157=1</formula>
    </cfRule>
    <cfRule type="expression" dxfId="528" priority="228" stopIfTrue="1">
      <formula>OR($B157=0,$B157=2,$B157=3,$B157=4)</formula>
    </cfRule>
  </conditionalFormatting>
  <conditionalFormatting sqref="I234">
    <cfRule type="expression" dxfId="527" priority="173" stopIfTrue="1">
      <formula>$B234=1</formula>
    </cfRule>
    <cfRule type="expression" dxfId="526" priority="174" stopIfTrue="1">
      <formula>OR($B234=0,$B234=2,$B234=3,$B234=4)</formula>
    </cfRule>
  </conditionalFormatting>
  <conditionalFormatting sqref="I166">
    <cfRule type="expression" dxfId="525" priority="223" stopIfTrue="1">
      <formula>$B166=1</formula>
    </cfRule>
    <cfRule type="expression" dxfId="524" priority="224" stopIfTrue="1">
      <formula>OR($B166=0,$B166=2,$B166=3,$B166=4)</formula>
    </cfRule>
  </conditionalFormatting>
  <conditionalFormatting sqref="I176">
    <cfRule type="expression" dxfId="523" priority="221" stopIfTrue="1">
      <formula>$B176=1</formula>
    </cfRule>
    <cfRule type="expression" dxfId="522" priority="222" stopIfTrue="1">
      <formula>OR($B176=0,$B176=2,$B176=3,$B176=4)</formula>
    </cfRule>
  </conditionalFormatting>
  <conditionalFormatting sqref="I177:I178">
    <cfRule type="expression" dxfId="521" priority="217" stopIfTrue="1">
      <formula>$B177=1</formula>
    </cfRule>
    <cfRule type="expression" dxfId="520" priority="218" stopIfTrue="1">
      <formula>OR($B177=0,$B177=2,$B177=3,$B177=4)</formula>
    </cfRule>
  </conditionalFormatting>
  <conditionalFormatting sqref="I179">
    <cfRule type="expression" dxfId="519" priority="215" stopIfTrue="1">
      <formula>$B179=1</formula>
    </cfRule>
    <cfRule type="expression" dxfId="518" priority="216" stopIfTrue="1">
      <formula>OR($B179=0,$B179=2,$B179=3,$B179=4)</formula>
    </cfRule>
  </conditionalFormatting>
  <conditionalFormatting sqref="I180">
    <cfRule type="expression" dxfId="517" priority="213" stopIfTrue="1">
      <formula>$B180=1</formula>
    </cfRule>
    <cfRule type="expression" dxfId="516" priority="214" stopIfTrue="1">
      <formula>OR($B180=0,$B180=2,$B180=3,$B180=4)</formula>
    </cfRule>
  </conditionalFormatting>
  <conditionalFormatting sqref="I184">
    <cfRule type="expression" dxfId="515" priority="211" stopIfTrue="1">
      <formula>$B184=1</formula>
    </cfRule>
    <cfRule type="expression" dxfId="514" priority="212" stopIfTrue="1">
      <formula>OR($B184=0,$B184=2,$B184=3,$B184=4)</formula>
    </cfRule>
  </conditionalFormatting>
  <conditionalFormatting sqref="I185">
    <cfRule type="expression" dxfId="513" priority="209" stopIfTrue="1">
      <formula>$B185=1</formula>
    </cfRule>
    <cfRule type="expression" dxfId="512" priority="210" stopIfTrue="1">
      <formula>OR($B185=0,$B185=2,$B185=3,$B185=4)</formula>
    </cfRule>
  </conditionalFormatting>
  <conditionalFormatting sqref="I186">
    <cfRule type="expression" dxfId="511" priority="207" stopIfTrue="1">
      <formula>$B186=1</formula>
    </cfRule>
    <cfRule type="expression" dxfId="510" priority="208" stopIfTrue="1">
      <formula>OR($B186=0,$B186=2,$B186=3,$B186=4)</formula>
    </cfRule>
  </conditionalFormatting>
  <conditionalFormatting sqref="I187">
    <cfRule type="expression" dxfId="509" priority="205" stopIfTrue="1">
      <formula>$B187=1</formula>
    </cfRule>
    <cfRule type="expression" dxfId="508" priority="206" stopIfTrue="1">
      <formula>OR($B187=0,$B187=2,$B187=3,$B187=4)</formula>
    </cfRule>
  </conditionalFormatting>
  <conditionalFormatting sqref="I188">
    <cfRule type="expression" dxfId="507" priority="203" stopIfTrue="1">
      <formula>$B188=1</formula>
    </cfRule>
    <cfRule type="expression" dxfId="506" priority="204" stopIfTrue="1">
      <formula>OR($B188=0,$B188=2,$B188=3,$B188=4)</formula>
    </cfRule>
  </conditionalFormatting>
  <conditionalFormatting sqref="I189">
    <cfRule type="expression" dxfId="505" priority="201" stopIfTrue="1">
      <formula>$B189=1</formula>
    </cfRule>
    <cfRule type="expression" dxfId="504" priority="202" stopIfTrue="1">
      <formula>OR($B189=0,$B189=2,$B189=3,$B189=4)</formula>
    </cfRule>
  </conditionalFormatting>
  <conditionalFormatting sqref="I190">
    <cfRule type="expression" dxfId="503" priority="199" stopIfTrue="1">
      <formula>$B190=1</formula>
    </cfRule>
    <cfRule type="expression" dxfId="502" priority="200" stopIfTrue="1">
      <formula>OR($B190=0,$B190=2,$B190=3,$B190=4)</formula>
    </cfRule>
  </conditionalFormatting>
  <conditionalFormatting sqref="I193">
    <cfRule type="expression" dxfId="501" priority="197" stopIfTrue="1">
      <formula>$B193=1</formula>
    </cfRule>
    <cfRule type="expression" dxfId="500" priority="198" stopIfTrue="1">
      <formula>OR($B193=0,$B193=2,$B193=3,$B193=4)</formula>
    </cfRule>
  </conditionalFormatting>
  <conditionalFormatting sqref="I191">
    <cfRule type="expression" dxfId="499" priority="195" stopIfTrue="1">
      <formula>$B191=1</formula>
    </cfRule>
    <cfRule type="expression" dxfId="498" priority="196" stopIfTrue="1">
      <formula>OR($B191=0,$B191=2,$B191=3,$B191=4)</formula>
    </cfRule>
  </conditionalFormatting>
  <conditionalFormatting sqref="I192">
    <cfRule type="expression" dxfId="497" priority="193" stopIfTrue="1">
      <formula>$B192=1</formula>
    </cfRule>
    <cfRule type="expression" dxfId="496" priority="194" stopIfTrue="1">
      <formula>OR($B192=0,$B192=2,$B192=3,$B192=4)</formula>
    </cfRule>
  </conditionalFormatting>
  <conditionalFormatting sqref="I194">
    <cfRule type="expression" dxfId="495" priority="191" stopIfTrue="1">
      <formula>$B194=1</formula>
    </cfRule>
    <cfRule type="expression" dxfId="494" priority="192" stopIfTrue="1">
      <formula>OR($B194=0,$B194=2,$B194=3,$B194=4)</formula>
    </cfRule>
  </conditionalFormatting>
  <conditionalFormatting sqref="I195">
    <cfRule type="expression" dxfId="493" priority="189" stopIfTrue="1">
      <formula>$B195=1</formula>
    </cfRule>
    <cfRule type="expression" dxfId="492" priority="190" stopIfTrue="1">
      <formula>OR($B195=0,$B195=2,$B195=3,$B195=4)</formula>
    </cfRule>
  </conditionalFormatting>
  <conditionalFormatting sqref="I197">
    <cfRule type="expression" dxfId="491" priority="187" stopIfTrue="1">
      <formula>$B197=1</formula>
    </cfRule>
    <cfRule type="expression" dxfId="490" priority="188" stopIfTrue="1">
      <formula>OR($B197=0,$B197=2,$B197=3,$B197=4)</formula>
    </cfRule>
  </conditionalFormatting>
  <conditionalFormatting sqref="I198">
    <cfRule type="expression" dxfId="489" priority="185" stopIfTrue="1">
      <formula>$B198=1</formula>
    </cfRule>
    <cfRule type="expression" dxfId="488" priority="186" stopIfTrue="1">
      <formula>OR($B198=0,$B198=2,$B198=3,$B198=4)</formula>
    </cfRule>
  </conditionalFormatting>
  <conditionalFormatting sqref="I199">
    <cfRule type="expression" dxfId="487" priority="183" stopIfTrue="1">
      <formula>$B199=1</formula>
    </cfRule>
    <cfRule type="expression" dxfId="486" priority="184" stopIfTrue="1">
      <formula>OR($B199=0,$B199=2,$B199=3,$B199=4)</formula>
    </cfRule>
  </conditionalFormatting>
  <conditionalFormatting sqref="I200">
    <cfRule type="expression" dxfId="485" priority="181" stopIfTrue="1">
      <formula>$B200=1</formula>
    </cfRule>
    <cfRule type="expression" dxfId="484" priority="182" stopIfTrue="1">
      <formula>OR($B200=0,$B200=2,$B200=3,$B200=4)</formula>
    </cfRule>
  </conditionalFormatting>
  <conditionalFormatting sqref="I201:I204">
    <cfRule type="expression" dxfId="483" priority="179" stopIfTrue="1">
      <formula>$B201=1</formula>
    </cfRule>
    <cfRule type="expression" dxfId="482" priority="180" stopIfTrue="1">
      <formula>OR($B201=0,$B201=2,$B201=3,$B201=4)</formula>
    </cfRule>
  </conditionalFormatting>
  <conditionalFormatting sqref="I226">
    <cfRule type="expression" dxfId="481" priority="175" stopIfTrue="1">
      <formula>$B226=1</formula>
    </cfRule>
    <cfRule type="expression" dxfId="480" priority="176" stopIfTrue="1">
      <formula>OR($B226=0,$B226=2,$B226=3,$B226=4)</formula>
    </cfRule>
  </conditionalFormatting>
  <conditionalFormatting sqref="D22:G22 I22">
    <cfRule type="expression" dxfId="479" priority="163" stopIfTrue="1">
      <formula>$B22=1</formula>
    </cfRule>
    <cfRule type="expression" dxfId="478" priority="164" stopIfTrue="1">
      <formula>OR($B22=0,$B22=2,$B22=3,$B22=4)</formula>
    </cfRule>
  </conditionalFormatting>
  <conditionalFormatting sqref="M22:N22">
    <cfRule type="expression" dxfId="477" priority="165" stopIfTrue="1">
      <formula>ACOMPANHAMENTO="BM"</formula>
    </cfRule>
    <cfRule type="expression" dxfId="476" priority="166" stopIfTrue="1">
      <formula>OR($B22=0,$B22=2,$B22=3,$B22=4)</formula>
    </cfRule>
    <cfRule type="expression" dxfId="475" priority="167" stopIfTrue="1">
      <formula>$B22=1</formula>
    </cfRule>
  </conditionalFormatting>
  <conditionalFormatting sqref="K22">
    <cfRule type="expression" dxfId="474" priority="168" stopIfTrue="1">
      <formula>OR(ACOMPANHAMENTO="BM",$A$12&lt;&gt;"Manual")</formula>
    </cfRule>
    <cfRule type="expression" dxfId="473" priority="169" stopIfTrue="1">
      <formula>$B22=1</formula>
    </cfRule>
    <cfRule type="expression" dxfId="472" priority="170" stopIfTrue="1">
      <formula>OR($B22=2,$B22=3,$B22=4,$B22=0)</formula>
    </cfRule>
  </conditionalFormatting>
  <conditionalFormatting sqref="AI22 O22:Z22">
    <cfRule type="expression" dxfId="471" priority="162" stopIfTrue="1">
      <formula>ACOMPANHAMENTO="BM"</formula>
    </cfRule>
    <cfRule type="expression" dxfId="470" priority="171" stopIfTrue="1">
      <formula>AND(O$12&lt;&gt;".",OR($B22=0,$B22=2,$B22=3,$B22=4,AND(O$12="",$B22&lt;&gt;"Empty"),OFFSET(O$1,0,-1)=0))</formula>
    </cfRule>
    <cfRule type="expression" dxfId="469" priority="172" stopIfTrue="1">
      <formula>AND($B22=1,O$1=1)</formula>
    </cfRule>
  </conditionalFormatting>
  <conditionalFormatting sqref="N22">
    <cfRule type="expression" dxfId="468" priority="161">
      <formula>$J22="►"</formula>
    </cfRule>
  </conditionalFormatting>
  <conditionalFormatting sqref="AI22 Q22:Z22">
    <cfRule type="expression" dxfId="467" priority="160">
      <formula>Q22&lt;&gt;ROUND(Q22,2)</formula>
    </cfRule>
  </conditionalFormatting>
  <conditionalFormatting sqref="H22">
    <cfRule type="expression" dxfId="466" priority="158" stopIfTrue="1">
      <formula>$B22=1</formula>
    </cfRule>
    <cfRule type="expression" dxfId="465" priority="159" stopIfTrue="1">
      <formula>OR($B22=0,$B22=2,$B22=3,$B22=4)</formula>
    </cfRule>
  </conditionalFormatting>
  <conditionalFormatting sqref="H22">
    <cfRule type="expression" dxfId="464" priority="157">
      <formula>$J22="►S"</formula>
    </cfRule>
  </conditionalFormatting>
  <conditionalFormatting sqref="Q12:T12">
    <cfRule type="expression" dxfId="463" priority="154" stopIfTrue="1">
      <formula>ACOMPANHAMENTO="BM"</formula>
    </cfRule>
    <cfRule type="expression" dxfId="462" priority="155" stopIfTrue="1">
      <formula>AND(Q$12&lt;&gt;".",OR($B12=0,$B12=2,$B12=3,$B12=4,AND(Q$12="",$B12&lt;&gt;"Empty"),OFFSET(Q$1,0,-1)=0))</formula>
    </cfRule>
    <cfRule type="expression" dxfId="461" priority="156" stopIfTrue="1">
      <formula>AND($B12=1,Q$1=1)</formula>
    </cfRule>
  </conditionalFormatting>
  <conditionalFormatting sqref="AA23:AH27 AA13:AH21 AD12:AH12">
    <cfRule type="expression" dxfId="460" priority="150" stopIfTrue="1">
      <formula>ACOMPANHAMENTO="BM"</formula>
    </cfRule>
    <cfRule type="expression" dxfId="459" priority="152" stopIfTrue="1">
      <formula>AND(AA$12&lt;&gt;".",OR($B12=0,$B12=2,$B12=3,$B12=4,AND(AA$12="",$B12&lt;&gt;"Empty"),OFFSET(AA$1,0,-1)=0))</formula>
    </cfRule>
    <cfRule type="expression" dxfId="458" priority="153" stopIfTrue="1">
      <formula>AND($B12=1,AA$1=1)</formula>
    </cfRule>
  </conditionalFormatting>
  <conditionalFormatting sqref="AA15:AH15">
    <cfRule type="expression" dxfId="457" priority="151">
      <formula>AA$11="▼"</formula>
    </cfRule>
  </conditionalFormatting>
  <conditionalFormatting sqref="AA14:AH14 AA16:AH21 AA23:AH27 AA66:AH88 AA98:AH113 AA123:AH129 AA158:AH165 AA193:AH200 AA210:AH221 AA29:AH29 AA225:AH227 AA31:AH31 AD30:AH30">
    <cfRule type="expression" dxfId="456" priority="149">
      <formula>AA14&lt;&gt;ROUND(AA14,2)</formula>
    </cfRule>
  </conditionalFormatting>
  <conditionalFormatting sqref="AA58:AH65">
    <cfRule type="expression" dxfId="455" priority="146">
      <formula>AA58&lt;&gt;ROUND(AA58,2)</formula>
    </cfRule>
  </conditionalFormatting>
  <conditionalFormatting sqref="AA89:AH97">
    <cfRule type="expression" dxfId="454" priority="145">
      <formula>AA89&lt;&gt;ROUND(AA89,2)</formula>
    </cfRule>
  </conditionalFormatting>
  <conditionalFormatting sqref="AA114:AA116">
    <cfRule type="expression" dxfId="453" priority="144">
      <formula>AA114&lt;&gt;ROUND(AA114,2)</formula>
    </cfRule>
  </conditionalFormatting>
  <conditionalFormatting sqref="AA114:AH122">
    <cfRule type="expression" dxfId="452" priority="143">
      <formula>AA114&lt;&gt;ROUND(AA114,2)</formula>
    </cfRule>
  </conditionalFormatting>
  <conditionalFormatting sqref="AA130:AH138">
    <cfRule type="expression" dxfId="451" priority="142">
      <formula>AA130&lt;&gt;ROUND(AA130,2)</formula>
    </cfRule>
  </conditionalFormatting>
  <conditionalFormatting sqref="AA139:AH147">
    <cfRule type="expression" dxfId="450" priority="141">
      <formula>AA139&lt;&gt;ROUND(AA139,2)</formula>
    </cfRule>
  </conditionalFormatting>
  <conditionalFormatting sqref="AA148:AH156">
    <cfRule type="expression" dxfId="449" priority="140">
      <formula>AA148&lt;&gt;ROUND(AA148,2)</formula>
    </cfRule>
  </conditionalFormatting>
  <conditionalFormatting sqref="AA166:AH174">
    <cfRule type="expression" dxfId="448" priority="139">
      <formula>AA166&lt;&gt;ROUND(AA166,2)</formula>
    </cfRule>
  </conditionalFormatting>
  <conditionalFormatting sqref="AD175:AD195 AA175:AC183 AE175:AH183">
    <cfRule type="expression" dxfId="447" priority="138">
      <formula>AA175&lt;&gt;ROUND(AA175,2)</formula>
    </cfRule>
  </conditionalFormatting>
  <conditionalFormatting sqref="AA184:AH192">
    <cfRule type="expression" dxfId="446" priority="137">
      <formula>AA184&lt;&gt;ROUND(AA184,2)</formula>
    </cfRule>
  </conditionalFormatting>
  <conditionalFormatting sqref="AA201:AH209">
    <cfRule type="expression" dxfId="445" priority="136">
      <formula>AA201&lt;&gt;ROUND(AA201,2)</formula>
    </cfRule>
  </conditionalFormatting>
  <conditionalFormatting sqref="AA228:AH234">
    <cfRule type="expression" dxfId="444" priority="135">
      <formula>AA228&lt;&gt;ROUND(AA228,2)</formula>
    </cfRule>
  </conditionalFormatting>
  <conditionalFormatting sqref="AA28:AH28">
    <cfRule type="expression" dxfId="443" priority="130" stopIfTrue="1">
      <formula>ACOMPANHAMENTO="BM"</formula>
    </cfRule>
    <cfRule type="expression" dxfId="442" priority="131" stopIfTrue="1">
      <formula>AND(AA$12&lt;&gt;".",OR($B28=0,$B28=2,$B28=3,$B28=4,AND(AA$12="",$B28&lt;&gt;"Empty"),OFFSET(AA$1,0,-1)=0))</formula>
    </cfRule>
    <cfRule type="expression" dxfId="441" priority="132" stopIfTrue="1">
      <formula>AND($B28=1,AA$1=1)</formula>
    </cfRule>
  </conditionalFormatting>
  <conditionalFormatting sqref="AA28:AH28">
    <cfRule type="expression" dxfId="440" priority="129">
      <formula>AA28&lt;&gt;ROUND(AA28,2)</formula>
    </cfRule>
  </conditionalFormatting>
  <conditionalFormatting sqref="AA157:AH157">
    <cfRule type="expression" dxfId="439" priority="128">
      <formula>AA157&lt;&gt;ROUND(AA157,2)</formula>
    </cfRule>
  </conditionalFormatting>
  <conditionalFormatting sqref="AA22:AH22">
    <cfRule type="expression" dxfId="438" priority="125" stopIfTrue="1">
      <formula>ACOMPANHAMENTO="BM"</formula>
    </cfRule>
    <cfRule type="expression" dxfId="437" priority="126" stopIfTrue="1">
      <formula>AND(AA$12&lt;&gt;".",OR($B22=0,$B22=2,$B22=3,$B22=4,AND(AA$12="",$B22&lt;&gt;"Empty"),OFFSET(AA$1,0,-1)=0))</formula>
    </cfRule>
    <cfRule type="expression" dxfId="436" priority="127" stopIfTrue="1">
      <formula>AND($B22=1,AA$1=1)</formula>
    </cfRule>
  </conditionalFormatting>
  <conditionalFormatting sqref="AA22:AH22">
    <cfRule type="expression" dxfId="435" priority="124">
      <formula>AA22&lt;&gt;ROUND(AA22,2)</formula>
    </cfRule>
  </conditionalFormatting>
  <conditionalFormatting sqref="U42 Q32:T35 U51 U55 Q51:T221 Q42:T44 Q37:T40 Q46:T49 Q225:T234">
    <cfRule type="expression" dxfId="434" priority="43398" stopIfTrue="1">
      <formula>ACOMPANHAMENTO="BM"</formula>
    </cfRule>
    <cfRule type="expression" dxfId="433" priority="43399" stopIfTrue="1">
      <formula>AND(R$12&lt;&gt;".",OR($B32=0,$B32=2,$B32=3,$B32=4,AND(R$12="",$B32&lt;&gt;"Empty"),OFFSET(R$1,0,-1)=0))</formula>
    </cfRule>
    <cfRule type="expression" dxfId="432" priority="43400" stopIfTrue="1">
      <formula>AND($B32=1,R$1=1)</formula>
    </cfRule>
  </conditionalFormatting>
  <conditionalFormatting sqref="D50:G50 I50">
    <cfRule type="expression" dxfId="431" priority="111" stopIfTrue="1">
      <formula>$B50=1</formula>
    </cfRule>
    <cfRule type="expression" dxfId="430" priority="112" stopIfTrue="1">
      <formula>OR($B50=0,$B50=2,$B50=3,$B50=4)</formula>
    </cfRule>
  </conditionalFormatting>
  <conditionalFormatting sqref="M50:N50">
    <cfRule type="expression" dxfId="429" priority="113" stopIfTrue="1">
      <formula>ACOMPANHAMENTO="BM"</formula>
    </cfRule>
    <cfRule type="expression" dxfId="428" priority="114" stopIfTrue="1">
      <formula>OR($B50=0,$B50=2,$B50=3,$B50=4)</formula>
    </cfRule>
    <cfRule type="expression" dxfId="427" priority="115" stopIfTrue="1">
      <formula>$B50=1</formula>
    </cfRule>
  </conditionalFormatting>
  <conditionalFormatting sqref="N50">
    <cfRule type="expression" dxfId="426" priority="109">
      <formula>$J50="►"</formula>
    </cfRule>
  </conditionalFormatting>
  <conditionalFormatting sqref="AI50 Q50:Z50">
    <cfRule type="expression" dxfId="425" priority="108">
      <formula>Q50&lt;&gt;ROUND(Q50,2)</formula>
    </cfRule>
  </conditionalFormatting>
  <conditionalFormatting sqref="H50">
    <cfRule type="expression" dxfId="424" priority="106" stopIfTrue="1">
      <formula>$B50=1</formula>
    </cfRule>
    <cfRule type="expression" dxfId="423" priority="107" stopIfTrue="1">
      <formula>OR($B50=0,$B50=2,$B50=3,$B50=4)</formula>
    </cfRule>
  </conditionalFormatting>
  <conditionalFormatting sqref="H50">
    <cfRule type="expression" dxfId="422" priority="105">
      <formula>$J50="►S"</formula>
    </cfRule>
  </conditionalFormatting>
  <conditionalFormatting sqref="AA50:AH50">
    <cfRule type="expression" dxfId="421" priority="101">
      <formula>AA50&lt;&gt;ROUND(AA50,2)</formula>
    </cfRule>
  </conditionalFormatting>
  <conditionalFormatting sqref="D41:G41 I41">
    <cfRule type="expression" dxfId="420" priority="91" stopIfTrue="1">
      <formula>$B41=1</formula>
    </cfRule>
    <cfRule type="expression" dxfId="419" priority="92" stopIfTrue="1">
      <formula>OR($B41=0,$B41=2,$B41=3,$B41=4)</formula>
    </cfRule>
  </conditionalFormatting>
  <conditionalFormatting sqref="M41:N41">
    <cfRule type="expression" dxfId="418" priority="93" stopIfTrue="1">
      <formula>ACOMPANHAMENTO="BM"</formula>
    </cfRule>
    <cfRule type="expression" dxfId="417" priority="94" stopIfTrue="1">
      <formula>OR($B41=0,$B41=2,$B41=3,$B41=4)</formula>
    </cfRule>
    <cfRule type="expression" dxfId="416" priority="95" stopIfTrue="1">
      <formula>$B41=1</formula>
    </cfRule>
  </conditionalFormatting>
  <conditionalFormatting sqref="N41">
    <cfRule type="expression" dxfId="415" priority="89">
      <formula>$J41="►"</formula>
    </cfRule>
  </conditionalFormatting>
  <conditionalFormatting sqref="AI41 Q41:Z41">
    <cfRule type="expression" dxfId="414" priority="88">
      <formula>Q41&lt;&gt;ROUND(Q41,2)</formula>
    </cfRule>
  </conditionalFormatting>
  <conditionalFormatting sqref="H41">
    <cfRule type="expression" dxfId="413" priority="86" stopIfTrue="1">
      <formula>$B41=1</formula>
    </cfRule>
    <cfRule type="expression" dxfId="412" priority="87" stopIfTrue="1">
      <formula>OR($B41=0,$B41=2,$B41=3,$B41=4)</formula>
    </cfRule>
  </conditionalFormatting>
  <conditionalFormatting sqref="H41">
    <cfRule type="expression" dxfId="411" priority="85">
      <formula>$J41="►S"</formula>
    </cfRule>
  </conditionalFormatting>
  <conditionalFormatting sqref="AA41:AH41">
    <cfRule type="expression" dxfId="410" priority="81">
      <formula>AA41&lt;&gt;ROUND(AA41,2)</formula>
    </cfRule>
  </conditionalFormatting>
  <conditionalFormatting sqref="D36:G36 I36">
    <cfRule type="expression" dxfId="409" priority="71" stopIfTrue="1">
      <formula>$B36=1</formula>
    </cfRule>
    <cfRule type="expression" dxfId="408" priority="72" stopIfTrue="1">
      <formula>OR($B36=0,$B36=2,$B36=3,$B36=4)</formula>
    </cfRule>
  </conditionalFormatting>
  <conditionalFormatting sqref="M36:N36">
    <cfRule type="expression" dxfId="407" priority="73" stopIfTrue="1">
      <formula>ACOMPANHAMENTO="BM"</formula>
    </cfRule>
    <cfRule type="expression" dxfId="406" priority="74" stopIfTrue="1">
      <formula>OR($B36=0,$B36=2,$B36=3,$B36=4)</formula>
    </cfRule>
    <cfRule type="expression" dxfId="405" priority="75" stopIfTrue="1">
      <formula>$B36=1</formula>
    </cfRule>
  </conditionalFormatting>
  <conditionalFormatting sqref="N36">
    <cfRule type="expression" dxfId="404" priority="69">
      <formula>$J36="►"</formula>
    </cfRule>
  </conditionalFormatting>
  <conditionalFormatting sqref="AI36 Q36:Z36">
    <cfRule type="expression" dxfId="403" priority="68">
      <formula>Q36&lt;&gt;ROUND(Q36,2)</formula>
    </cfRule>
  </conditionalFormatting>
  <conditionalFormatting sqref="H36">
    <cfRule type="expression" dxfId="402" priority="66" stopIfTrue="1">
      <formula>$B36=1</formula>
    </cfRule>
    <cfRule type="expression" dxfId="401" priority="67" stopIfTrue="1">
      <formula>OR($B36=0,$B36=2,$B36=3,$B36=4)</formula>
    </cfRule>
  </conditionalFormatting>
  <conditionalFormatting sqref="H36">
    <cfRule type="expression" dxfId="400" priority="65">
      <formula>$J36="►S"</formula>
    </cfRule>
  </conditionalFormatting>
  <conditionalFormatting sqref="AA36:AH36">
    <cfRule type="expression" dxfId="399" priority="61">
      <formula>AA36&lt;&gt;ROUND(AA36,2)</formula>
    </cfRule>
  </conditionalFormatting>
  <conditionalFormatting sqref="D45:G45 I45">
    <cfRule type="expression" dxfId="398" priority="51" stopIfTrue="1">
      <formula>$B45=1</formula>
    </cfRule>
    <cfRule type="expression" dxfId="397" priority="52" stopIfTrue="1">
      <formula>OR($B45=0,$B45=2,$B45=3,$B45=4)</formula>
    </cfRule>
  </conditionalFormatting>
  <conditionalFormatting sqref="M45:N45">
    <cfRule type="expression" dxfId="396" priority="53" stopIfTrue="1">
      <formula>ACOMPANHAMENTO="BM"</formula>
    </cfRule>
    <cfRule type="expression" dxfId="395" priority="54" stopIfTrue="1">
      <formula>OR($B45=0,$B45=2,$B45=3,$B45=4)</formula>
    </cfRule>
    <cfRule type="expression" dxfId="394" priority="55" stopIfTrue="1">
      <formula>$B45=1</formula>
    </cfRule>
  </conditionalFormatting>
  <conditionalFormatting sqref="N45">
    <cfRule type="expression" dxfId="393" priority="49">
      <formula>$J45="►"</formula>
    </cfRule>
  </conditionalFormatting>
  <conditionalFormatting sqref="AI45 Q45:Z45">
    <cfRule type="expression" dxfId="392" priority="48">
      <formula>Q45&lt;&gt;ROUND(Q45,2)</formula>
    </cfRule>
  </conditionalFormatting>
  <conditionalFormatting sqref="H45">
    <cfRule type="expression" dxfId="391" priority="46" stopIfTrue="1">
      <formula>$B45=1</formula>
    </cfRule>
    <cfRule type="expression" dxfId="390" priority="47" stopIfTrue="1">
      <formula>OR($B45=0,$B45=2,$B45=3,$B45=4)</formula>
    </cfRule>
  </conditionalFormatting>
  <conditionalFormatting sqref="H45">
    <cfRule type="expression" dxfId="389" priority="45">
      <formula>$J45="►S"</formula>
    </cfRule>
  </conditionalFormatting>
  <conditionalFormatting sqref="AA45:AH45">
    <cfRule type="expression" dxfId="388" priority="41">
      <formula>AA45&lt;&gt;ROUND(AA45,2)</formula>
    </cfRule>
  </conditionalFormatting>
  <conditionalFormatting sqref="D222:G224 I222:I224">
    <cfRule type="expression" dxfId="387" priority="11" stopIfTrue="1">
      <formula>$B222=1</formula>
    </cfRule>
    <cfRule type="expression" dxfId="386" priority="12" stopIfTrue="1">
      <formula>OR($B222=0,$B222=2,$B222=3,$B222=4)</formula>
    </cfRule>
  </conditionalFormatting>
  <conditionalFormatting sqref="M222:N224">
    <cfRule type="expression" dxfId="385" priority="13" stopIfTrue="1">
      <formula>ACOMPANHAMENTO="BM"</formula>
    </cfRule>
    <cfRule type="expression" dxfId="384" priority="14" stopIfTrue="1">
      <formula>OR($B222=0,$B222=2,$B222=3,$B222=4)</formula>
    </cfRule>
    <cfRule type="expression" dxfId="383" priority="15" stopIfTrue="1">
      <formula>$B222=1</formula>
    </cfRule>
  </conditionalFormatting>
  <conditionalFormatting sqref="K222:K224">
    <cfRule type="expression" dxfId="382" priority="16" stopIfTrue="1">
      <formula>OR(ACOMPANHAMENTO="BM",$A$12&lt;&gt;"Manual")</formula>
    </cfRule>
    <cfRule type="expression" dxfId="381" priority="17" stopIfTrue="1">
      <formula>$B222=1</formula>
    </cfRule>
    <cfRule type="expression" dxfId="380" priority="18" stopIfTrue="1">
      <formula>OR($B222=2,$B222=3,$B222=4,$B222=0)</formula>
    </cfRule>
  </conditionalFormatting>
  <conditionalFormatting sqref="AI222:AI224 O222:Z224">
    <cfRule type="expression" dxfId="379" priority="10" stopIfTrue="1">
      <formula>ACOMPANHAMENTO="BM"</formula>
    </cfRule>
    <cfRule type="expression" dxfId="378" priority="19" stopIfTrue="1">
      <formula>AND(O$12&lt;&gt;".",OR($B222=0,$B222=2,$B222=3,$B222=4,AND(O$12="",$B222&lt;&gt;"Empty"),OFFSET(O$1,0,-1)=0))</formula>
    </cfRule>
    <cfRule type="expression" dxfId="377" priority="20" stopIfTrue="1">
      <formula>AND($B222=1,O$1=1)</formula>
    </cfRule>
  </conditionalFormatting>
  <conditionalFormatting sqref="N222:N224">
    <cfRule type="expression" dxfId="376" priority="9">
      <formula>$J222="►"</formula>
    </cfRule>
  </conditionalFormatting>
  <conditionalFormatting sqref="Q222:Z224 AI222:AI224">
    <cfRule type="expression" dxfId="375" priority="8">
      <formula>Q222&lt;&gt;ROUND(Q222,2)</formula>
    </cfRule>
  </conditionalFormatting>
  <conditionalFormatting sqref="H222:H224">
    <cfRule type="expression" dxfId="374" priority="6" stopIfTrue="1">
      <formula>$B222=1</formula>
    </cfRule>
    <cfRule type="expression" dxfId="373" priority="7" stopIfTrue="1">
      <formula>OR($B222=0,$B222=2,$B222=3,$B222=4)</formula>
    </cfRule>
  </conditionalFormatting>
  <conditionalFormatting sqref="H222:H224">
    <cfRule type="expression" dxfId="372" priority="5">
      <formula>$J222="►S"</formula>
    </cfRule>
  </conditionalFormatting>
  <conditionalFormatting sqref="AA222:AH224">
    <cfRule type="expression" dxfId="371" priority="2" stopIfTrue="1">
      <formula>ACOMPANHAMENTO="BM"</formula>
    </cfRule>
    <cfRule type="expression" dxfId="370" priority="3" stopIfTrue="1">
      <formula>AND(AA$12&lt;&gt;".",OR($B222=0,$B222=2,$B222=3,$B222=4,AND(AA$12="",$B222&lt;&gt;"Empty"),OFFSET(AA$1,0,-1)=0))</formula>
    </cfRule>
    <cfRule type="expression" dxfId="369" priority="4" stopIfTrue="1">
      <formula>AND($B222=1,AA$1=1)</formula>
    </cfRule>
  </conditionalFormatting>
  <conditionalFormatting sqref="AA222:AH224">
    <cfRule type="expression" dxfId="368" priority="1">
      <formula>AA222&lt;&gt;ROUND(AA222,2)</formula>
    </cfRule>
  </conditionalFormatting>
  <dataValidations count="4">
    <dataValidation type="decimal" operator="greaterThan" allowBlank="1" showErrorMessage="1" error="Apenas números decimais maiores que zero." sqref="O14 Q14:AH14 V225:AH234 V46:AH49 Q50:AH50 Q37:T40 V37:AH40 Q41:AH41 V32:AH35 Q32:T35 Q36:AH36 Q45:AH45 V42:AH44 Q42:T44 Q46:T49 Q16:AH31 O16:O234 V51:AH221 Q51:T221 Q225:T234 Q222:AH224" xr:uid="{00000000-0002-0000-0600-000000000000}">
      <formula1>0</formula1>
      <formula2>0</formula2>
    </dataValidation>
    <dataValidation allowBlank="1" showInputMessage="1" showErrorMessage="1" prompt="A quantidade é digitada nas colunas Q em diante, após preencher o nome das frentes de obra na célula Q12 em diante" sqref="H14 H16:H234" xr:uid="{00000000-0002-0000-0600-000001000000}"/>
    <dataValidation allowBlank="1" showInputMessage="1" showErrorMessage="1" prompt="A frente de obra é uma porção física da obra. Exemplos: Única; Rua A; Rua B; Trecho 01; Trecho 02; 1º Andar; 2º Andar; Copa; Banheiro" sqref="Q12" xr:uid="{00000000-0002-0000-0600-000002000000}"/>
    <dataValidation type="list" allowBlank="1" showInputMessage="1" showErrorMessage="1" errorTitle="Erro:" error="Selecione um dos eventos da lista suspensa." prompt="Selecione um dos eventos da lista suspensa._x000a_" sqref="K14 K16:K234" xr:uid="{00000000-0002-0000-0600-000003000000}">
      <formula1>EVENTOS.ListaValidacao</formula1>
    </dataValidation>
  </dataValidations>
  <printOptions horizontalCentered="1" verticalCentered="1"/>
  <pageMargins left="0.23622047244094491" right="0.23622047244094491" top="0.74803149606299213" bottom="0.74803149606299213" header="0.31496062992125984" footer="0.31496062992125984"/>
  <pageSetup paperSize="9" scale="30" firstPageNumber="0" fitToHeight="0" orientation="landscape" r:id="rId1"/>
  <headerFooter alignWithMargins="0">
    <oddHeader>&amp;C&amp;14I</oddHeader>
    <oddFooter>&amp;LPMv3.16&amp;R&amp;P / &amp;N</oddFooter>
  </headerFooter>
  <colBreaks count="1" manualBreakCount="1">
    <brk id="3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10" filterMode="1">
    <pageSetUpPr fitToPage="1"/>
  </sheetPr>
  <dimension ref="A1:AF72"/>
  <sheetViews>
    <sheetView showGridLines="0" zoomScale="91" zoomScaleNormal="91"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657" t="e">
        <f ca="1">IF(AUTOEVENTO="Manual",IF(EVENTOS!$F1&gt;0,"F",""),IF(AND(B1&gt;0,B1&lt;=MAX(CÁLCULO!$M$15:$M$235)),"F",""))</f>
        <v>#REF!</v>
      </c>
      <c r="B1" s="247" t="e">
        <f ca="1">OFFSET(B1,-1,0)+1</f>
        <v>#REF!</v>
      </c>
      <c r="C1" s="513" t="e">
        <f ca="1">IF(AUTOEVENTO="Manual",IF($B1&gt;0,OFFSET(EVENTOS!$D$15,$B1-$B$15,0),0),IF(B1&lt;=MAX(CÁLCULO!$M$15:$M$235),VLOOKUP($B1,CÁLCULO!$M$15:$N$235,2,FALSE),0))</f>
        <v>#REF!</v>
      </c>
      <c r="D1" s="552"/>
      <c r="E1" s="248"/>
      <c r="F1" t="e">
        <f ca="1">IF($C1=0,"",CONCATENATE($B1,". ",$C1))</f>
        <v>#REF!</v>
      </c>
      <c r="G1" s="551"/>
      <c r="H1" s="551"/>
      <c r="I1" s="551"/>
      <c r="J1" s="551"/>
      <c r="K1" s="551"/>
      <c r="L1" s="551"/>
      <c r="M1" s="551"/>
      <c r="N1" s="551"/>
      <c r="O1" s="551"/>
      <c r="P1" s="551"/>
      <c r="Q1" s="551"/>
      <c r="R1" s="551"/>
      <c r="S1" s="551"/>
      <c r="T1" s="551"/>
      <c r="U1" s="551"/>
      <c r="V1" s="551"/>
      <c r="W1" s="551"/>
      <c r="X1" s="551"/>
      <c r="Y1" s="551"/>
      <c r="Z1" s="551"/>
      <c r="AA1" s="551"/>
      <c r="AB1" s="551"/>
      <c r="AC1" s="551"/>
      <c r="AD1" s="551"/>
      <c r="AE1" s="551"/>
    </row>
    <row r="2" spans="1:31" ht="30" customHeight="1" x14ac:dyDescent="0.2">
      <c r="G2" s="82" t="s">
        <v>777</v>
      </c>
      <c r="AC2" s="793" t="s">
        <v>757</v>
      </c>
      <c r="AD2" s="794"/>
      <c r="AE2" s="795"/>
    </row>
    <row r="3" spans="1:31" ht="12.75" customHeight="1" x14ac:dyDescent="0.2">
      <c r="G3" s="82"/>
      <c r="AD3" s="482"/>
      <c r="AE3" s="482"/>
    </row>
    <row r="4" spans="1:31" ht="12.75" customHeight="1" x14ac:dyDescent="0.2">
      <c r="B4" s="725" t="s">
        <v>652</v>
      </c>
      <c r="C4" s="725"/>
      <c r="D4" s="725"/>
      <c r="G4" s="763" t="s">
        <v>650</v>
      </c>
      <c r="H4" s="763"/>
      <c r="I4" s="763"/>
      <c r="J4" s="763" t="s">
        <v>707</v>
      </c>
      <c r="K4" s="763"/>
      <c r="L4" s="763"/>
      <c r="M4" s="208" t="s">
        <v>758</v>
      </c>
      <c r="N4" s="212"/>
      <c r="P4" s="186"/>
      <c r="Q4" s="186"/>
      <c r="R4" s="186"/>
      <c r="U4" s="483"/>
      <c r="V4" s="186"/>
      <c r="W4" s="186"/>
      <c r="X4" s="186"/>
      <c r="Y4" s="186"/>
      <c r="AD4" s="482"/>
      <c r="AE4" s="484"/>
    </row>
    <row r="5" spans="1:31" ht="12.75" customHeight="1" x14ac:dyDescent="0.2">
      <c r="B5" s="722" t="str">
        <f>Import.Proponente</f>
        <v>PREFEITURA MUNICIPAL DE PIRANGUÇU-MG</v>
      </c>
      <c r="C5" s="722"/>
      <c r="D5" s="722"/>
      <c r="G5" s="761" t="str">
        <f>Import.CR</f>
        <v>1103833-63</v>
      </c>
      <c r="H5" s="761"/>
      <c r="I5" s="761"/>
      <c r="J5" s="761" t="str">
        <f>Import.SICONV</f>
        <v>39994/2025</v>
      </c>
      <c r="K5" s="761"/>
      <c r="L5" s="761"/>
      <c r="M5" s="774" t="str">
        <f>Import.Apelido</f>
        <v>CONSTRUÇÃO DE VINTE UNIDADES HABITACIONAIS</v>
      </c>
      <c r="N5" s="775"/>
      <c r="O5" s="775"/>
      <c r="P5" s="775"/>
      <c r="Q5" s="775"/>
      <c r="R5" s="775"/>
      <c r="S5" s="775"/>
      <c r="T5" s="775"/>
      <c r="U5" s="775"/>
      <c r="V5" s="775"/>
      <c r="W5" s="775"/>
      <c r="X5" s="775"/>
      <c r="Y5" s="775"/>
      <c r="Z5" s="775"/>
      <c r="AA5" s="775"/>
      <c r="AB5" s="775"/>
      <c r="AC5" s="775"/>
      <c r="AD5" s="775"/>
      <c r="AE5" s="796"/>
    </row>
    <row r="6" spans="1:31" ht="14.25" customHeight="1" x14ac:dyDescent="0.25">
      <c r="B6" s="249" t="str">
        <f t="array" aca="1" ref="B6" ca="1">IF(ACOMPANHAMENTO="BM","NO ACOMPANHAMENTO POR BM, UTILIZE A ABA CRONO",
  IF(MAX($B$14:$B$58)&lt;MAX(CÁLCULO!$M$15:$M$235),"ERRO: NÚMERO DE EVENTOS INSUFICIENTE, CLIQUE EM ATUALIZAR LINHAS",
  IF(ROUND(OFFSET(CRONO!$AG$129,0,-1),2)&lt;&gt;CRONO!$R$120,"ERRO: CRONOGRAMA NÃO FECHA 100%","")))</f>
        <v/>
      </c>
    </row>
    <row r="7" spans="1:31" ht="15" customHeight="1" thickBot="1" x14ac:dyDescent="0.25">
      <c r="B7" s="520" t="str">
        <f t="array" ref="B7">IF(AdmLocal="Automática","","1. Selecione o Título do Evento da Administração Local:")</f>
        <v>1. Selecione o Título do Evento da Administração Local:</v>
      </c>
    </row>
    <row r="8" spans="1:31" ht="13.5" thickBot="1" x14ac:dyDescent="0.25">
      <c r="A8" s="546" t="str">
        <f>MID(Import.EventoAdmLocal,1,SEARCH(".",Import.EventoAdmLocal)-1)</f>
        <v>3</v>
      </c>
      <c r="B8" s="770" t="s">
        <v>1359</v>
      </c>
      <c r="C8" s="771"/>
      <c r="D8" s="569" t="str">
        <f ca="1">IF($B$7="","",IF(AND($B$15=0,$B$8=""),"◄ Não foi indicado o Evento de Administração Local",IF(ISERROR(MATCH(Import.EventoAdmLocal,$F$15:$F$58,0)),"◄ Selecione um Título de Evento válido para a Administração Local","")))</f>
        <v/>
      </c>
    </row>
    <row r="9" spans="1:31" ht="3.95" customHeight="1" x14ac:dyDescent="0.2">
      <c r="A9" s="546"/>
    </row>
    <row r="10" spans="1:31" ht="15" customHeight="1" x14ac:dyDescent="0.2">
      <c r="A10" s="546">
        <f ca="1">MATCH(VALUE(A8),CÁLCULO!$M$15:$M$235,0)-2</f>
        <v>14</v>
      </c>
      <c r="B10" s="520"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8" t="s">
        <v>655</v>
      </c>
      <c r="C11" s="251"/>
      <c r="E11" s="252" t="str">
        <f ca="1">IF(E$12&gt;CÁLCULO.FrentesPreenchidas,"",OFFSET(CÁLCULO!$P$12,0,E$12))</f>
        <v>ETAPA 01 - EXECUÇÃO DAS UNIDADES DE 01 A 05</v>
      </c>
      <c r="G11" s="252" t="str">
        <f ca="1">IF(G$12&gt;CÁLCULO.FrentesPreenchidas,"",OFFSET(CÁLCULO!$P$12,0,G$12))</f>
        <v>ETAPA 01 - EXECUÇÃO DAS UNIDADES DE 01 A 05</v>
      </c>
      <c r="H11" s="252" t="str">
        <f ca="1">IF(H$12&gt;CÁLCULO.FrentesPreenchidas,"",OFFSET(CÁLCULO!$P$12,0,H$12))</f>
        <v>ETAPA 02 - EXECUÇÃO DAS UNIDADES  DE 06 A 10</v>
      </c>
      <c r="I11" s="252" t="str">
        <f ca="1">IF(I$12&gt;CÁLCULO.FrentesPreenchidas,"",OFFSET(CÁLCULO!$P$12,0,I$12))</f>
        <v>ETAPA 03 - EXECUÇÃO UNIDADES 11 A 15</v>
      </c>
      <c r="J11" s="252" t="str">
        <f ca="1">IF(J$12&gt;CÁLCULO.FrentesPreenchidas,"",OFFSET(CÁLCULO!$P$12,0,J$12))</f>
        <v>ETAPA 04 - EXECUÇÃO DAS UNIDADES  DE 16 A 20</v>
      </c>
      <c r="K11" s="252" t="str">
        <f ca="1">IF(K$12&gt;CÁLCULO.FrentesPreenchidas,"",OFFSET(CÁLCULO!$P$12,0,K$12))</f>
        <v>MÊS 01</v>
      </c>
      <c r="L11" s="252" t="str">
        <f ca="1">IF(L$12&gt;CÁLCULO.FrentesPreenchidas,"",OFFSET(CÁLCULO!$P$12,0,L$12))</f>
        <v>MÊS 02</v>
      </c>
      <c r="M11" s="252" t="str">
        <f ca="1">IF(M$12&gt;CÁLCULO.FrentesPreenchidas,"",OFFSET(CÁLCULO!$P$12,0,M$12))</f>
        <v>MÊS 03</v>
      </c>
      <c r="N11" s="252" t="str">
        <f ca="1">IF(N$12&gt;CÁLCULO.FrentesPreenchidas,"",OFFSET(CÁLCULO!$P$12,0,N$12))</f>
        <v>MÊS 04</v>
      </c>
      <c r="O11" s="252" t="str">
        <f ca="1">IF(O$12&gt;CÁLCULO.FrentesPreenchidas,"",OFFSET(CÁLCULO!$P$12,0,O$12))</f>
        <v>MÊS 05</v>
      </c>
      <c r="P11" s="252" t="str">
        <f ca="1">IF(P$12&gt;CÁLCULO.FrentesPreenchidas,"",OFFSET(CÁLCULO!$P$12,0,P$12))</f>
        <v>MÊS 06</v>
      </c>
      <c r="Q11" s="252" t="str">
        <f ca="1">IF(Q$12&gt;CÁLCULO.FrentesPreenchidas,"",OFFSET(CÁLCULO!$P$12,0,Q$12))</f>
        <v>MÊS 07</v>
      </c>
      <c r="R11" s="252" t="str">
        <f ca="1">IF(R$12&gt;CÁLCULO.FrentesPreenchidas,"",OFFSET(CÁLCULO!$P$12,0,R$12))</f>
        <v>MÊS 08</v>
      </c>
      <c r="S11" s="252" t="str">
        <f ca="1">IF(S$12&gt;CÁLCULO.FrentesPreenchidas,"",OFFSET(CÁLCULO!$P$12,0,S$12))</f>
        <v>MÊS 09</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89" t="s">
        <v>660</v>
      </c>
      <c r="B12" s="801" t="s">
        <v>760</v>
      </c>
      <c r="C12" s="801"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801"/>
      <c r="C13" s="801"/>
      <c r="E13" s="254"/>
      <c r="G13" s="255"/>
      <c r="H13" s="254"/>
      <c r="I13" s="254"/>
      <c r="J13" s="254"/>
      <c r="K13" s="254"/>
      <c r="L13" s="254"/>
      <c r="M13" s="574"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hidden="1" x14ac:dyDescent="0.2">
      <c r="A15" s="7" t="str">
        <f>IF(AUTOEVENTO="Manual",IF(EVENTOS!$F15&gt;0,"F",""),IF(AND(B15&gt;0,B15&lt;=MAX(CÁLCULO!$M$15:$M$235)),"F",""))</f>
        <v/>
      </c>
      <c r="B15" s="257">
        <f>EVENTOS!$C$15</f>
        <v>0</v>
      </c>
      <c r="C15" s="258" t="str">
        <f>EVENTOS!$D$15</f>
        <v/>
      </c>
      <c r="D15" s="552"/>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s="696" customFormat="1" x14ac:dyDescent="0.2">
      <c r="A16" s="694" t="str">
        <f ca="1">IF(AUTOEVENTO="Manual",IF(EVENTOS!$F16&gt;0,"F",""),IF(AND(B16&gt;0,B16&lt;=MAX(CÁLCULO!$M$15:$M$235)),"F",""))</f>
        <v>F</v>
      </c>
      <c r="B16" s="247">
        <f t="shared" ref="B16:B57" ca="1" si="1">OFFSET(B16,-1,0)+1</f>
        <v>1</v>
      </c>
      <c r="C16" s="692" t="str">
        <f ca="1">IF(AUTOEVENTO="Manual",IF($B16&gt;0,OFFSET(EVENTOS!$D$15,$B16-$B$15,0),0),IF(B16&lt;=MAX(CÁLCULO!$M$15:$M$235),VLOOKUP($B16,CÁLCULO!$M$15:$N$235,2,FALSE),0))</f>
        <v>SERVIÇOS TÉCNICOS (PROJETOS, ORÇAMENTOS, SONDAGENS E OUTROS)</v>
      </c>
      <c r="D16" s="552"/>
      <c r="E16" s="248"/>
      <c r="F16" s="696" t="str">
        <f t="shared" ref="F16:F57" ca="1" si="2">IF($C16=0,"",CONCATENATE($B16,". ",$C16))</f>
        <v>1. SERVIÇOS TÉCNICOS (PROJETOS, ORÇAMENTOS, SONDAGENS E OUTROS)</v>
      </c>
      <c r="G16" s="551">
        <v>1</v>
      </c>
      <c r="H16" s="551"/>
      <c r="I16" s="551"/>
      <c r="J16" s="551"/>
      <c r="K16" s="551">
        <v>1</v>
      </c>
      <c r="L16" s="551"/>
      <c r="M16" s="551"/>
      <c r="N16" s="551"/>
      <c r="O16" s="551"/>
      <c r="P16" s="551"/>
      <c r="Q16" s="551"/>
      <c r="R16" s="551"/>
      <c r="S16" s="551"/>
      <c r="T16" s="551"/>
      <c r="U16" s="551"/>
      <c r="V16" s="551"/>
      <c r="W16" s="551"/>
      <c r="X16" s="551"/>
      <c r="Y16" s="551"/>
      <c r="Z16" s="551"/>
      <c r="AA16" s="551"/>
      <c r="AB16" s="551"/>
      <c r="AC16" s="551"/>
      <c r="AD16" s="551"/>
      <c r="AE16" s="551"/>
    </row>
    <row r="17" spans="1:31" s="696" customFormat="1" x14ac:dyDescent="0.2">
      <c r="A17" s="694" t="str">
        <f ca="1">IF(AUTOEVENTO="Manual",IF(EVENTOS!$F17&gt;0,"F",""),IF(AND(B17&gt;0,B17&lt;=MAX(CÁLCULO!$M$15:$M$235)),"F",""))</f>
        <v>F</v>
      </c>
      <c r="B17" s="247">
        <f t="shared" ca="1" si="1"/>
        <v>2</v>
      </c>
      <c r="C17" s="692" t="str">
        <f ca="1">IF(AUTOEVENTO="Manual",IF($B17&gt;0,OFFSET(EVENTOS!$D$15,$B17-$B$15,0),0),IF(B17&lt;=MAX(CÁLCULO!$M$15:$M$235),VLOOKUP($B17,CÁLCULO!$M$15:$N$235,2,FALSE),0))</f>
        <v>INTALAÇÃO DE CANTEIRO (BARRACÃO, PLACA DE OBRA)</v>
      </c>
      <c r="D17" s="552"/>
      <c r="E17" s="248"/>
      <c r="F17" s="696" t="str">
        <f t="shared" ca="1" si="2"/>
        <v>2. INTALAÇÃO DE CANTEIRO (BARRACÃO, PLACA DE OBRA)</v>
      </c>
      <c r="G17" s="551">
        <v>1</v>
      </c>
      <c r="H17" s="551"/>
      <c r="I17" s="551"/>
      <c r="J17" s="551"/>
      <c r="K17" s="551"/>
      <c r="L17" s="551">
        <v>2</v>
      </c>
      <c r="M17" s="551"/>
      <c r="N17" s="551"/>
      <c r="O17" s="551"/>
      <c r="P17" s="551"/>
      <c r="Q17" s="551"/>
      <c r="R17" s="551"/>
      <c r="S17" s="551"/>
      <c r="T17" s="551"/>
      <c r="U17" s="551"/>
      <c r="V17" s="551"/>
      <c r="W17" s="551"/>
      <c r="X17" s="551"/>
      <c r="Y17" s="551"/>
      <c r="Z17" s="551"/>
      <c r="AA17" s="551"/>
      <c r="AB17" s="551"/>
      <c r="AC17" s="551"/>
      <c r="AD17" s="551"/>
      <c r="AE17" s="551"/>
    </row>
    <row r="18" spans="1:31" s="696" customFormat="1" x14ac:dyDescent="0.2">
      <c r="A18" s="694" t="str">
        <f ca="1">IF(AUTOEVENTO="Manual",IF(EVENTOS!$F18&gt;0,"F",""),IF(AND(B18&gt;0,B18&lt;=MAX(CÁLCULO!$M$15:$M$235)),"F",""))</f>
        <v>F</v>
      </c>
      <c r="B18" s="247">
        <f t="shared" ca="1" si="1"/>
        <v>3</v>
      </c>
      <c r="C18" s="692" t="str">
        <f ca="1">IF(AUTOEVENTO="Manual",IF($B18&gt;0,OFFSET(EVENTOS!$D$15,$B18-$B$15,0),0),IF(B18&lt;=MAX(CÁLCULO!$M$15:$M$235),VLOOKUP($B18,CÁLCULO!$M$15:$N$235,2,FALSE),0))</f>
        <v>ADMINISTRAÇÃO LOCAL</v>
      </c>
      <c r="D18" s="552"/>
      <c r="E18" s="248"/>
      <c r="F18" s="696" t="str">
        <f t="shared" ca="1" si="2"/>
        <v>3. ADMINISTRAÇÃO LOCAL</v>
      </c>
      <c r="G18" s="551"/>
      <c r="H18" s="551"/>
      <c r="I18" s="551"/>
      <c r="J18" s="551"/>
      <c r="K18" s="551">
        <v>1</v>
      </c>
      <c r="L18" s="551">
        <v>2</v>
      </c>
      <c r="M18" s="551">
        <v>3</v>
      </c>
      <c r="N18" s="551">
        <v>4</v>
      </c>
      <c r="O18" s="551">
        <v>5</v>
      </c>
      <c r="P18" s="551">
        <v>6</v>
      </c>
      <c r="Q18" s="551">
        <v>7</v>
      </c>
      <c r="R18" s="551">
        <v>8</v>
      </c>
      <c r="S18" s="551">
        <v>9</v>
      </c>
      <c r="T18" s="551"/>
      <c r="U18" s="551"/>
      <c r="V18" s="551"/>
      <c r="W18" s="551"/>
      <c r="X18" s="551"/>
      <c r="Y18" s="551"/>
      <c r="Z18" s="551"/>
      <c r="AA18" s="551"/>
      <c r="AB18" s="551"/>
      <c r="AC18" s="551"/>
      <c r="AD18" s="551"/>
      <c r="AE18" s="551"/>
    </row>
    <row r="19" spans="1:31" s="696" customFormat="1" x14ac:dyDescent="0.2">
      <c r="A19" s="694" t="str">
        <f ca="1">IF(AUTOEVENTO="Manual",IF(EVENTOS!$F19&gt;0,"F",""),IF(AND(B19&gt;0,B19&lt;=MAX(CÁLCULO!$M$15:$M$235)),"F",""))</f>
        <v>F</v>
      </c>
      <c r="B19" s="247">
        <f t="shared" ca="1" si="1"/>
        <v>4</v>
      </c>
      <c r="C19" s="692" t="str">
        <f ca="1">IF(AUTOEVENTO="Manual",IF($B19&gt;0,OFFSET(EVENTOS!$D$15,$B19-$B$15,0),0),IF(B19&lt;=MAX(CÁLCULO!$M$15:$M$235),VLOOKUP($B19,CÁLCULO!$M$15:$N$235,2,FALSE),0))</f>
        <v>SAPATAS (LOCAÇÃO,ESCAVAÇÕES, FORMAS, AÇO, CONCRETAGEM)</v>
      </c>
      <c r="D19" s="552"/>
      <c r="E19" s="248"/>
      <c r="F19" s="696" t="str">
        <f t="shared" ca="1" si="2"/>
        <v>4. SAPATAS (LOCAÇÃO,ESCAVAÇÕES, FORMAS, AÇO, CONCRETAGEM)</v>
      </c>
      <c r="G19" s="551">
        <v>2</v>
      </c>
      <c r="H19" s="551">
        <v>2</v>
      </c>
      <c r="I19" s="551">
        <v>3</v>
      </c>
      <c r="J19" s="551">
        <v>3</v>
      </c>
      <c r="K19" s="551">
        <v>3</v>
      </c>
      <c r="L19" s="551"/>
      <c r="M19" s="551"/>
      <c r="N19" s="551"/>
      <c r="O19" s="551"/>
      <c r="P19" s="551"/>
      <c r="Q19" s="551"/>
      <c r="R19" s="551"/>
      <c r="S19" s="551"/>
      <c r="T19" s="551"/>
      <c r="U19" s="551"/>
      <c r="V19" s="551"/>
      <c r="W19" s="551"/>
      <c r="X19" s="551"/>
      <c r="Y19" s="551"/>
      <c r="Z19" s="551"/>
      <c r="AA19" s="551"/>
      <c r="AB19" s="551"/>
      <c r="AC19" s="551"/>
      <c r="AD19" s="551"/>
      <c r="AE19" s="551"/>
    </row>
    <row r="20" spans="1:31" s="696" customFormat="1" x14ac:dyDescent="0.2">
      <c r="A20" s="694" t="str">
        <f ca="1">IF(AUTOEVENTO="Manual",IF(EVENTOS!$F20&gt;0,"F",""),IF(AND(B20&gt;0,B20&lt;=MAX(CÁLCULO!$M$15:$M$235)),"F",""))</f>
        <v>F</v>
      </c>
      <c r="B20" s="247">
        <f t="shared" ca="1" si="1"/>
        <v>5</v>
      </c>
      <c r="C20" s="692" t="str">
        <f ca="1">IF(AUTOEVENTO="Manual",IF($B20&gt;0,OFFSET(EVENTOS!$D$15,$B20-$B$15,0),0),IF(B20&lt;=MAX(CÁLCULO!$M$15:$M$235),VLOOKUP($B20,CÁLCULO!$M$15:$N$235,2,FALSE),0))</f>
        <v>BALDRAMES (ESCAVAÇÕES, FORMAS, AÇO, CONCRETAGEM)</v>
      </c>
      <c r="D20" s="552"/>
      <c r="E20" s="248"/>
      <c r="F20" s="696" t="str">
        <f t="shared" ca="1" si="2"/>
        <v>5. BALDRAMES (ESCAVAÇÕES, FORMAS, AÇO, CONCRETAGEM)</v>
      </c>
      <c r="G20" s="551">
        <v>2</v>
      </c>
      <c r="H20" s="551">
        <v>2</v>
      </c>
      <c r="I20" s="551">
        <v>3</v>
      </c>
      <c r="J20" s="551">
        <v>4</v>
      </c>
      <c r="K20" s="551">
        <v>4</v>
      </c>
      <c r="L20" s="551"/>
      <c r="M20" s="551"/>
      <c r="N20" s="551"/>
      <c r="O20" s="551"/>
      <c r="P20" s="551"/>
      <c r="Q20" s="551"/>
      <c r="R20" s="551"/>
      <c r="S20" s="551"/>
      <c r="T20" s="551"/>
      <c r="U20" s="551"/>
      <c r="V20" s="551"/>
      <c r="W20" s="551"/>
      <c r="X20" s="551"/>
      <c r="Y20" s="551"/>
      <c r="Z20" s="551"/>
      <c r="AA20" s="551"/>
      <c r="AB20" s="551"/>
      <c r="AC20" s="551"/>
      <c r="AD20" s="551"/>
      <c r="AE20" s="551"/>
    </row>
    <row r="21" spans="1:31" s="696" customFormat="1" x14ac:dyDescent="0.2">
      <c r="A21" s="694" t="str">
        <f ca="1">IF(AUTOEVENTO="Manual",IF(EVENTOS!$F21&gt;0,"F",""),IF(AND(B21&gt;0,B21&lt;=MAX(CÁLCULO!$M$15:$M$235)),"F",""))</f>
        <v>F</v>
      </c>
      <c r="B21" s="247">
        <f t="shared" ca="1" si="1"/>
        <v>6</v>
      </c>
      <c r="C21" s="692" t="str">
        <f ca="1">IF(AUTOEVENTO="Manual",IF($B21&gt;0,OFFSET(EVENTOS!$D$15,$B21-$B$15,0),0),IF(B21&lt;=MAX(CÁLCULO!$M$15:$M$235),VLOOKUP($B21,CÁLCULO!$M$15:$N$235,2,FALSE),0))</f>
        <v>IMPERMEABILIZAÇÕES DE ESTRUTURAS DE FUNDAÇÃO</v>
      </c>
      <c r="D21" s="552"/>
      <c r="E21" s="248"/>
      <c r="F21" s="696" t="str">
        <f t="shared" ca="1" si="2"/>
        <v>6. IMPERMEABILIZAÇÕES DE ESTRUTURAS DE FUNDAÇÃO</v>
      </c>
      <c r="G21" s="551">
        <v>2</v>
      </c>
      <c r="H21" s="551">
        <v>2</v>
      </c>
      <c r="I21" s="551">
        <v>4</v>
      </c>
      <c r="J21" s="551">
        <v>4</v>
      </c>
      <c r="K21" s="551">
        <v>4</v>
      </c>
      <c r="L21" s="551"/>
      <c r="M21" s="551"/>
      <c r="N21" s="551"/>
      <c r="O21" s="551"/>
      <c r="P21" s="551"/>
      <c r="Q21" s="551"/>
      <c r="R21" s="551"/>
      <c r="S21" s="551"/>
      <c r="T21" s="551"/>
      <c r="U21" s="551"/>
      <c r="V21" s="551"/>
      <c r="W21" s="551"/>
      <c r="X21" s="551"/>
      <c r="Y21" s="551"/>
      <c r="Z21" s="551"/>
      <c r="AA21" s="551"/>
      <c r="AB21" s="551"/>
      <c r="AC21" s="551"/>
      <c r="AD21" s="551"/>
      <c r="AE21" s="551"/>
    </row>
    <row r="22" spans="1:31" s="696" customFormat="1" x14ac:dyDescent="0.2">
      <c r="A22" s="694" t="str">
        <f ca="1">IF(AUTOEVENTO="Manual",IF(EVENTOS!$F22&gt;0,"F",""),IF(AND(B22&gt;0,B22&lt;=MAX(CÁLCULO!$M$15:$M$235)),"F",""))</f>
        <v>F</v>
      </c>
      <c r="B22" s="247">
        <f t="shared" ca="1" si="1"/>
        <v>7</v>
      </c>
      <c r="C22" s="692" t="str">
        <f ca="1">IF(AUTOEVENTO="Manual",IF($B22&gt;0,OFFSET(EVENTOS!$D$15,$B22-$B$15,0),0),IF(B22&lt;=MAX(CÁLCULO!$M$15:$M$235),VLOOKUP($B22,CÁLCULO!$M$15:$N$235,2,FALSE),0))</f>
        <v>VIGAS DE RESPALDO</v>
      </c>
      <c r="D22" s="552"/>
      <c r="E22" s="248"/>
      <c r="F22" s="696" t="str">
        <f t="shared" ca="1" si="2"/>
        <v>7. VIGAS DE RESPALDO</v>
      </c>
      <c r="G22" s="551">
        <v>3</v>
      </c>
      <c r="H22" s="551">
        <v>4</v>
      </c>
      <c r="I22" s="551">
        <v>5</v>
      </c>
      <c r="J22" s="551">
        <v>5</v>
      </c>
      <c r="K22" s="551">
        <v>5</v>
      </c>
      <c r="L22" s="551"/>
      <c r="M22" s="551"/>
      <c r="N22" s="551"/>
      <c r="O22" s="551"/>
      <c r="P22" s="551"/>
      <c r="Q22" s="551"/>
      <c r="R22" s="551"/>
      <c r="S22" s="551"/>
      <c r="T22" s="551"/>
      <c r="U22" s="551"/>
      <c r="V22" s="551"/>
      <c r="W22" s="551"/>
      <c r="X22" s="551"/>
      <c r="Y22" s="551"/>
      <c r="Z22" s="551"/>
      <c r="AA22" s="551"/>
      <c r="AB22" s="551"/>
      <c r="AC22" s="551"/>
      <c r="AD22" s="551"/>
      <c r="AE22" s="551"/>
    </row>
    <row r="23" spans="1:31" s="696" customFormat="1" x14ac:dyDescent="0.2">
      <c r="A23" s="694" t="str">
        <f ca="1">IF(AUTOEVENTO="Manual",IF(EVENTOS!$F23&gt;0,"F",""),IF(AND(B23&gt;0,B23&lt;=MAX(CÁLCULO!$M$15:$M$235)),"F",""))</f>
        <v>F</v>
      </c>
      <c r="B23" s="247">
        <f t="shared" ca="1" si="1"/>
        <v>8</v>
      </c>
      <c r="C23" s="692" t="str">
        <f ca="1">IF(AUTOEVENTO="Manual",IF($B23&gt;0,OFFSET(EVENTOS!$D$15,$B23-$B$15,0),0),IF(B23&lt;=MAX(CÁLCULO!$M$15:$M$235),VLOOKUP($B23,CÁLCULO!$M$15:$N$235,2,FALSE),0))</f>
        <v>PILARES</v>
      </c>
      <c r="D23" s="552"/>
      <c r="E23" s="248"/>
      <c r="F23" s="696" t="str">
        <f t="shared" ca="1" si="2"/>
        <v>8. PILARES</v>
      </c>
      <c r="G23" s="551">
        <v>3</v>
      </c>
      <c r="H23" s="551">
        <v>3</v>
      </c>
      <c r="I23" s="551">
        <v>4</v>
      </c>
      <c r="J23" s="551">
        <v>4</v>
      </c>
      <c r="K23" s="551">
        <v>4</v>
      </c>
      <c r="L23" s="551"/>
      <c r="M23" s="551"/>
      <c r="N23" s="551"/>
      <c r="O23" s="551"/>
      <c r="P23" s="551"/>
      <c r="Q23" s="551"/>
      <c r="R23" s="551"/>
      <c r="S23" s="551"/>
      <c r="T23" s="551"/>
      <c r="U23" s="551"/>
      <c r="V23" s="551"/>
      <c r="W23" s="551"/>
      <c r="X23" s="551"/>
      <c r="Y23" s="551"/>
      <c r="Z23" s="551"/>
      <c r="AA23" s="551"/>
      <c r="AB23" s="551"/>
      <c r="AC23" s="551"/>
      <c r="AD23" s="551"/>
      <c r="AE23" s="551"/>
    </row>
    <row r="24" spans="1:31" s="696" customFormat="1" x14ac:dyDescent="0.2">
      <c r="A24" s="694" t="str">
        <f ca="1">IF(AUTOEVENTO="Manual",IF(EVENTOS!$F24&gt;0,"F",""),IF(AND(B24&gt;0,B24&lt;=MAX(CÁLCULO!$M$15:$M$235)),"F",""))</f>
        <v>F</v>
      </c>
      <c r="B24" s="247">
        <f t="shared" ca="1" si="1"/>
        <v>9</v>
      </c>
      <c r="C24" s="692" t="str">
        <f ca="1">IF(AUTOEVENTO="Manual",IF($B24&gt;0,OFFSET(EVENTOS!$D$15,$B24-$B$15,0),0),IF(B24&lt;=MAX(CÁLCULO!$M$15:$M$235),VLOOKUP($B24,CÁLCULO!$M$15:$N$235,2,FALSE),0))</f>
        <v>LAJES</v>
      </c>
      <c r="D24" s="552"/>
      <c r="E24" s="248"/>
      <c r="F24" s="696" t="str">
        <f t="shared" ca="1" si="2"/>
        <v>9. LAJES</v>
      </c>
      <c r="G24" s="551">
        <v>3</v>
      </c>
      <c r="H24" s="551">
        <v>4</v>
      </c>
      <c r="I24" s="551">
        <v>5</v>
      </c>
      <c r="J24" s="551">
        <v>5</v>
      </c>
      <c r="K24" s="551">
        <v>5</v>
      </c>
      <c r="L24" s="551">
        <v>6</v>
      </c>
      <c r="M24" s="551">
        <v>7</v>
      </c>
      <c r="N24" s="551">
        <v>8</v>
      </c>
      <c r="O24" s="551">
        <v>9</v>
      </c>
      <c r="P24" s="551"/>
      <c r="Q24" s="551"/>
      <c r="R24" s="551"/>
      <c r="S24" s="551"/>
      <c r="T24" s="551"/>
      <c r="U24" s="551"/>
      <c r="V24" s="551"/>
      <c r="W24" s="551"/>
      <c r="X24" s="551"/>
      <c r="Y24" s="551"/>
      <c r="Z24" s="551"/>
      <c r="AA24" s="551"/>
      <c r="AB24" s="551"/>
      <c r="AC24" s="551"/>
      <c r="AD24" s="551"/>
      <c r="AE24" s="551"/>
    </row>
    <row r="25" spans="1:31" s="696" customFormat="1" x14ac:dyDescent="0.2">
      <c r="A25" s="694" t="str">
        <f ca="1">IF(AUTOEVENTO="Manual",IF(EVENTOS!$F25&gt;0,"F",""),IF(AND(B25&gt;0,B25&lt;=MAX(CÁLCULO!$M$15:$M$235)),"F",""))</f>
        <v>F</v>
      </c>
      <c r="B25" s="247">
        <f t="shared" ca="1" si="1"/>
        <v>10</v>
      </c>
      <c r="C25" s="692" t="str">
        <f ca="1">IF(AUTOEVENTO="Manual",IF($B25&gt;0,OFFSET(EVENTOS!$D$15,$B25-$B$15,0),0),IF(B25&lt;=MAX(CÁLCULO!$M$15:$M$235),VLOOKUP($B25,CÁLCULO!$M$15:$N$235,2,FALSE),0))</f>
        <v>ALVENARIAS</v>
      </c>
      <c r="D25" s="552"/>
      <c r="E25" s="248"/>
      <c r="F25" s="696" t="str">
        <f t="shared" ca="1" si="2"/>
        <v>10. ALVENARIAS</v>
      </c>
      <c r="G25" s="551">
        <v>3</v>
      </c>
      <c r="H25" s="551">
        <v>3</v>
      </c>
      <c r="I25" s="551">
        <v>4</v>
      </c>
      <c r="J25" s="551">
        <v>4</v>
      </c>
      <c r="K25" s="551">
        <v>4</v>
      </c>
      <c r="L25" s="551"/>
      <c r="M25" s="551">
        <v>7</v>
      </c>
      <c r="N25" s="551">
        <v>8</v>
      </c>
      <c r="O25" s="551"/>
      <c r="P25" s="551"/>
      <c r="Q25" s="551"/>
      <c r="R25" s="551"/>
      <c r="S25" s="551"/>
      <c r="T25" s="551"/>
      <c r="U25" s="551"/>
      <c r="V25" s="551"/>
      <c r="W25" s="551"/>
      <c r="X25" s="551"/>
      <c r="Y25" s="551"/>
      <c r="Z25" s="551"/>
      <c r="AA25" s="551"/>
      <c r="AB25" s="551"/>
      <c r="AC25" s="551"/>
      <c r="AD25" s="551"/>
      <c r="AE25" s="551"/>
    </row>
    <row r="26" spans="1:31" s="696" customFormat="1" x14ac:dyDescent="0.2">
      <c r="A26" s="694" t="str">
        <f ca="1">IF(AUTOEVENTO="Manual",IF(EVENTOS!$F26&gt;0,"F",""),IF(AND(B26&gt;0,B26&lt;=MAX(CÁLCULO!$M$15:$M$235)),"F",""))</f>
        <v>F</v>
      </c>
      <c r="B26" s="247">
        <f t="shared" ca="1" si="1"/>
        <v>11</v>
      </c>
      <c r="C26" s="692" t="str">
        <f ca="1">IF(AUTOEVENTO="Manual",IF($B26&gt;0,OFFSET(EVENTOS!$D$15,$B26-$B$15,0),0),IF(B26&lt;=MAX(CÁLCULO!$M$15:$M$235),VLOOKUP($B26,CÁLCULO!$M$15:$N$235,2,FALSE),0))</f>
        <v>ESQUADRIAS DE ALUMÍNIO</v>
      </c>
      <c r="D26" s="552"/>
      <c r="E26" s="248"/>
      <c r="F26" s="696" t="str">
        <f t="shared" ca="1" si="2"/>
        <v>11. ESQUADRIAS DE ALUMÍNIO</v>
      </c>
      <c r="G26" s="551">
        <v>7</v>
      </c>
      <c r="H26" s="551">
        <v>7</v>
      </c>
      <c r="I26" s="551">
        <v>8</v>
      </c>
      <c r="J26" s="551">
        <v>9</v>
      </c>
      <c r="K26" s="551">
        <v>9</v>
      </c>
      <c r="L26" s="551"/>
      <c r="M26" s="551"/>
      <c r="N26" s="551">
        <v>9</v>
      </c>
      <c r="O26" s="551"/>
      <c r="P26" s="551"/>
      <c r="Q26" s="551"/>
      <c r="R26" s="551"/>
      <c r="S26" s="551"/>
      <c r="T26" s="551"/>
      <c r="U26" s="551"/>
      <c r="V26" s="551"/>
      <c r="W26" s="551"/>
      <c r="X26" s="551"/>
      <c r="Y26" s="551"/>
      <c r="Z26" s="551"/>
      <c r="AA26" s="551"/>
      <c r="AB26" s="551"/>
      <c r="AC26" s="551"/>
      <c r="AD26" s="551"/>
      <c r="AE26" s="551"/>
    </row>
    <row r="27" spans="1:31" s="696" customFormat="1" x14ac:dyDescent="0.2">
      <c r="A27" s="694" t="str">
        <f ca="1">IF(AUTOEVENTO="Manual",IF(EVENTOS!$F27&gt;0,"F",""),IF(AND(B27&gt;0,B27&lt;=MAX(CÁLCULO!$M$15:$M$235)),"F",""))</f>
        <v>F</v>
      </c>
      <c r="B27" s="247">
        <f t="shared" ca="1" si="1"/>
        <v>12</v>
      </c>
      <c r="C27" s="692" t="str">
        <f ca="1">IF(AUTOEVENTO="Manual",IF($B27&gt;0,OFFSET(EVENTOS!$D$15,$B27-$B$15,0),0),IF(B27&lt;=MAX(CÁLCULO!$M$15:$M$235),VLOOKUP($B27,CÁLCULO!$M$15:$N$235,2,FALSE),0))</f>
        <v>ESQUADRIAS DE MADEIRA</v>
      </c>
      <c r="D27" s="552"/>
      <c r="E27" s="248"/>
      <c r="F27" s="696" t="str">
        <f t="shared" ca="1" si="2"/>
        <v>12. ESQUADRIAS DE MADEIRA</v>
      </c>
      <c r="G27" s="551">
        <v>7</v>
      </c>
      <c r="H27" s="551">
        <v>7</v>
      </c>
      <c r="I27" s="551">
        <v>8</v>
      </c>
      <c r="J27" s="551">
        <v>9</v>
      </c>
      <c r="K27" s="551">
        <v>8</v>
      </c>
      <c r="L27" s="551">
        <v>6</v>
      </c>
      <c r="M27" s="551"/>
      <c r="N27" s="551"/>
      <c r="O27" s="551"/>
      <c r="P27" s="551"/>
      <c r="Q27" s="551"/>
      <c r="R27" s="551"/>
      <c r="S27" s="551"/>
      <c r="T27" s="551"/>
      <c r="U27" s="551"/>
      <c r="V27" s="551"/>
      <c r="W27" s="551"/>
      <c r="X27" s="551"/>
      <c r="Y27" s="551"/>
      <c r="Z27" s="551"/>
      <c r="AA27" s="551"/>
      <c r="AB27" s="551"/>
      <c r="AC27" s="551"/>
      <c r="AD27" s="551"/>
      <c r="AE27" s="551"/>
    </row>
    <row r="28" spans="1:31" s="696" customFormat="1" x14ac:dyDescent="0.2">
      <c r="A28" s="694" t="str">
        <f ca="1">IF(AUTOEVENTO="Manual",IF(EVENTOS!$F28&gt;0,"F",""),IF(AND(B28&gt;0,B28&lt;=MAX(CÁLCULO!$M$15:$M$235)),"F",""))</f>
        <v>F</v>
      </c>
      <c r="B28" s="247">
        <f t="shared" ca="1" si="1"/>
        <v>13</v>
      </c>
      <c r="C28" s="692" t="str">
        <f ca="1">IF(AUTOEVENTO="Manual",IF($B28&gt;0,OFFSET(EVENTOS!$D$15,$B28-$B$15,0),0),IF(B28&lt;=MAX(CÁLCULO!$M$15:$M$235),VLOOKUP($B28,CÁLCULO!$M$15:$N$235,2,FALSE),0))</f>
        <v>ESTRUTURA DE COBERTURA</v>
      </c>
      <c r="D28" s="552"/>
      <c r="E28" s="248"/>
      <c r="F28" s="696" t="str">
        <f t="shared" ca="1" si="2"/>
        <v>13. ESTRUTURA DE COBERTURA</v>
      </c>
      <c r="G28" s="551">
        <v>4</v>
      </c>
      <c r="H28" s="551">
        <v>5</v>
      </c>
      <c r="I28" s="551">
        <v>6</v>
      </c>
      <c r="J28" s="551">
        <v>6</v>
      </c>
      <c r="K28" s="551">
        <v>6</v>
      </c>
      <c r="L28" s="551"/>
      <c r="M28" s="551">
        <v>7</v>
      </c>
      <c r="N28" s="551"/>
      <c r="O28" s="551"/>
      <c r="P28" s="551"/>
      <c r="Q28" s="551"/>
      <c r="R28" s="551"/>
      <c r="S28" s="551"/>
      <c r="T28" s="551"/>
      <c r="U28" s="551"/>
      <c r="V28" s="551"/>
      <c r="W28" s="551"/>
      <c r="X28" s="551"/>
      <c r="Y28" s="551"/>
      <c r="Z28" s="551"/>
      <c r="AA28" s="551"/>
      <c r="AB28" s="551"/>
      <c r="AC28" s="551"/>
      <c r="AD28" s="551"/>
      <c r="AE28" s="551"/>
    </row>
    <row r="29" spans="1:31" s="696" customFormat="1" x14ac:dyDescent="0.2">
      <c r="A29" s="694" t="str">
        <f ca="1">IF(AUTOEVENTO="Manual",IF(EVENTOS!$F29&gt;0,"F",""),IF(AND(B29&gt;0,B29&lt;=MAX(CÁLCULO!$M$15:$M$235)),"F",""))</f>
        <v>F</v>
      </c>
      <c r="B29" s="247">
        <f t="shared" ca="1" si="1"/>
        <v>14</v>
      </c>
      <c r="C29" s="692" t="str">
        <f ca="1">IF(AUTOEVENTO="Manual",IF($B29&gt;0,OFFSET(EVENTOS!$D$15,$B29-$B$15,0),0),IF(B29&lt;=MAX(CÁLCULO!$M$15:$M$235),VLOOKUP($B29,CÁLCULO!$M$15:$N$235,2,FALSE),0))</f>
        <v>TELHAMENTO</v>
      </c>
      <c r="D29" s="552"/>
      <c r="E29" s="248"/>
      <c r="F29" s="696" t="str">
        <f t="shared" ca="1" si="2"/>
        <v>14. TELHAMENTO</v>
      </c>
      <c r="G29" s="551">
        <v>4</v>
      </c>
      <c r="H29" s="551">
        <v>5</v>
      </c>
      <c r="I29" s="551">
        <v>6</v>
      </c>
      <c r="J29" s="551">
        <v>6</v>
      </c>
      <c r="K29" s="551">
        <v>6</v>
      </c>
      <c r="L29" s="551">
        <v>6</v>
      </c>
      <c r="M29" s="551">
        <v>7</v>
      </c>
      <c r="N29" s="551"/>
      <c r="O29" s="551"/>
      <c r="P29" s="551"/>
      <c r="Q29" s="551"/>
      <c r="R29" s="551"/>
      <c r="S29" s="551"/>
      <c r="T29" s="551"/>
      <c r="U29" s="551"/>
      <c r="V29" s="551"/>
      <c r="W29" s="551"/>
      <c r="X29" s="551"/>
      <c r="Y29" s="551"/>
      <c r="Z29" s="551"/>
      <c r="AA29" s="551"/>
      <c r="AB29" s="551"/>
      <c r="AC29" s="551"/>
      <c r="AD29" s="551"/>
      <c r="AE29" s="551"/>
    </row>
    <row r="30" spans="1:31" s="696" customFormat="1" x14ac:dyDescent="0.2">
      <c r="A30" s="694" t="str">
        <f ca="1">IF(AUTOEVENTO="Manual",IF(EVENTOS!$F30&gt;0,"F",""),IF(AND(B30&gt;0,B30&lt;=MAX(CÁLCULO!$M$15:$M$235)),"F",""))</f>
        <v>F</v>
      </c>
      <c r="B30" s="247">
        <f t="shared" ca="1" si="1"/>
        <v>15</v>
      </c>
      <c r="C30" s="692" t="str">
        <f ca="1">IF(AUTOEVENTO="Manual",IF($B30&gt;0,OFFSET(EVENTOS!$D$15,$B30-$B$15,0),0),IF(B30&lt;=MAX(CÁLCULO!$M$15:$M$235),VLOOKUP($B30,CÁLCULO!$M$15:$N$235,2,FALSE),0))</f>
        <v>FORROS</v>
      </c>
      <c r="D30" s="552"/>
      <c r="E30" s="248"/>
      <c r="F30" s="696" t="str">
        <f t="shared" ca="1" si="2"/>
        <v>15. FORROS</v>
      </c>
      <c r="G30" s="551">
        <v>6</v>
      </c>
      <c r="H30" s="551">
        <v>7</v>
      </c>
      <c r="I30" s="551">
        <v>7</v>
      </c>
      <c r="J30" s="551">
        <v>8</v>
      </c>
      <c r="K30" s="551">
        <v>8</v>
      </c>
      <c r="L30" s="551">
        <v>6</v>
      </c>
      <c r="M30" s="551">
        <v>7</v>
      </c>
      <c r="N30" s="551">
        <v>8</v>
      </c>
      <c r="O30" s="551"/>
      <c r="P30" s="551"/>
      <c r="Q30" s="551"/>
      <c r="R30" s="551"/>
      <c r="S30" s="551"/>
      <c r="T30" s="551"/>
      <c r="U30" s="551"/>
      <c r="V30" s="551"/>
      <c r="W30" s="551"/>
      <c r="X30" s="551"/>
      <c r="Y30" s="551"/>
      <c r="Z30" s="551"/>
      <c r="AA30" s="551"/>
      <c r="AB30" s="551"/>
      <c r="AC30" s="551"/>
      <c r="AD30" s="551"/>
      <c r="AE30" s="551"/>
    </row>
    <row r="31" spans="1:31" s="696" customFormat="1" x14ac:dyDescent="0.2">
      <c r="A31" s="694" t="str">
        <f ca="1">IF(AUTOEVENTO="Manual",IF(EVENTOS!$F31&gt;0,"F",""),IF(AND(B31&gt;0,B31&lt;=MAX(CÁLCULO!$M$15:$M$235)),"F",""))</f>
        <v>F</v>
      </c>
      <c r="B31" s="247">
        <f t="shared" ca="1" si="1"/>
        <v>16</v>
      </c>
      <c r="C31" s="692" t="str">
        <f ca="1">IF(AUTOEVENTO="Manual",IF($B31&gt;0,OFFSET(EVENTOS!$D$15,$B31-$B$15,0),0),IF(B31&lt;=MAX(CÁLCULO!$M$15:$M$235),VLOOKUP($B31,CÁLCULO!$M$15:$N$235,2,FALSE),0))</f>
        <v>REVESTIMENTOS INTERNOS DE PAREDES</v>
      </c>
      <c r="D31" s="552"/>
      <c r="E31" s="248"/>
      <c r="F31" s="696" t="str">
        <f t="shared" ca="1" si="2"/>
        <v>16. REVESTIMENTOS INTERNOS DE PAREDES</v>
      </c>
      <c r="G31" s="551">
        <v>5</v>
      </c>
      <c r="H31" s="551">
        <v>5</v>
      </c>
      <c r="I31" s="551">
        <v>7</v>
      </c>
      <c r="J31" s="551">
        <v>7</v>
      </c>
      <c r="K31" s="551">
        <v>7</v>
      </c>
      <c r="L31" s="551"/>
      <c r="M31" s="551">
        <v>7</v>
      </c>
      <c r="N31" s="551">
        <v>8</v>
      </c>
      <c r="O31" s="551"/>
      <c r="P31" s="551"/>
      <c r="Q31" s="551"/>
      <c r="R31" s="551"/>
      <c r="S31" s="551"/>
      <c r="T31" s="551"/>
      <c r="U31" s="551"/>
      <c r="V31" s="551"/>
      <c r="W31" s="551"/>
      <c r="X31" s="551"/>
      <c r="Y31" s="551"/>
      <c r="Z31" s="551"/>
      <c r="AA31" s="551"/>
      <c r="AB31" s="551"/>
      <c r="AC31" s="551"/>
      <c r="AD31" s="551"/>
      <c r="AE31" s="551"/>
    </row>
    <row r="32" spans="1:31" s="696" customFormat="1" x14ac:dyDescent="0.2">
      <c r="A32" s="694" t="str">
        <f ca="1">IF(AUTOEVENTO="Manual",IF(EVENTOS!$F32&gt;0,"F",""),IF(AND(B32&gt;0,B32&lt;=MAX(CÁLCULO!$M$15:$M$235)),"F",""))</f>
        <v>F</v>
      </c>
      <c r="B32" s="247">
        <f t="shared" ca="1" si="1"/>
        <v>17</v>
      </c>
      <c r="C32" s="692" t="str">
        <f ca="1">IF(AUTOEVENTO="Manual",IF($B32&gt;0,OFFSET(EVENTOS!$D$15,$B32-$B$15,0),0),IF(B32&lt;=MAX(CÁLCULO!$M$15:$M$235),VLOOKUP($B32,CÁLCULO!$M$15:$N$235,2,FALSE),0))</f>
        <v>REVESTIMENTOS INTERNOS DE TETO</v>
      </c>
      <c r="D32" s="552"/>
      <c r="E32" s="248"/>
      <c r="F32" s="696" t="str">
        <f t="shared" ca="1" si="2"/>
        <v>17. REVESTIMENTOS INTERNOS DE TETO</v>
      </c>
      <c r="G32" s="551">
        <v>5</v>
      </c>
      <c r="H32" s="551">
        <v>6</v>
      </c>
      <c r="I32" s="551">
        <v>7</v>
      </c>
      <c r="J32" s="551">
        <v>7</v>
      </c>
      <c r="K32" s="551">
        <v>7</v>
      </c>
      <c r="L32" s="551">
        <v>6</v>
      </c>
      <c r="M32" s="551">
        <v>7</v>
      </c>
      <c r="N32" s="551">
        <v>8</v>
      </c>
      <c r="O32" s="551"/>
      <c r="P32" s="551"/>
      <c r="Q32" s="551"/>
      <c r="R32" s="551"/>
      <c r="S32" s="551"/>
      <c r="T32" s="551"/>
      <c r="U32" s="551"/>
      <c r="V32" s="551"/>
      <c r="W32" s="551"/>
      <c r="X32" s="551"/>
      <c r="Y32" s="551"/>
      <c r="Z32" s="551"/>
      <c r="AA32" s="551"/>
      <c r="AB32" s="551"/>
      <c r="AC32" s="551"/>
      <c r="AD32" s="551"/>
      <c r="AE32" s="551"/>
    </row>
    <row r="33" spans="1:31" s="696" customFormat="1" x14ac:dyDescent="0.2">
      <c r="A33" s="694" t="str">
        <f ca="1">IF(AUTOEVENTO="Manual",IF(EVENTOS!$F33&gt;0,"F",""),IF(AND(B33&gt;0,B33&lt;=MAX(CÁLCULO!$M$15:$M$235)),"F",""))</f>
        <v>F</v>
      </c>
      <c r="B33" s="247">
        <f t="shared" ca="1" si="1"/>
        <v>18</v>
      </c>
      <c r="C33" s="692" t="str">
        <f ca="1">IF(AUTOEVENTO="Manual",IF($B33&gt;0,OFFSET(EVENTOS!$D$15,$B33-$B$15,0),0),IF(B33&lt;=MAX(CÁLCULO!$M$15:$M$235),VLOOKUP($B33,CÁLCULO!$M$15:$N$235,2,FALSE),0))</f>
        <v>REVESTIMENTOS INTERNOS DE PISO</v>
      </c>
      <c r="D33" s="552"/>
      <c r="E33" s="248"/>
      <c r="F33" s="696" t="str">
        <f t="shared" ca="1" si="2"/>
        <v>18. REVESTIMENTOS INTERNOS DE PISO</v>
      </c>
      <c r="G33" s="551">
        <v>6</v>
      </c>
      <c r="H33" s="551">
        <v>6</v>
      </c>
      <c r="I33" s="551">
        <v>7</v>
      </c>
      <c r="J33" s="551">
        <v>8</v>
      </c>
      <c r="K33" s="551">
        <v>8</v>
      </c>
      <c r="L33" s="551"/>
      <c r="M33" s="551"/>
      <c r="N33" s="551">
        <v>8</v>
      </c>
      <c r="O33" s="551">
        <v>9</v>
      </c>
      <c r="P33" s="551"/>
      <c r="Q33" s="551"/>
      <c r="R33" s="551"/>
      <c r="S33" s="551"/>
      <c r="T33" s="551"/>
      <c r="U33" s="551"/>
      <c r="V33" s="551"/>
      <c r="W33" s="551"/>
      <c r="X33" s="551"/>
      <c r="Y33" s="551"/>
      <c r="Z33" s="551"/>
      <c r="AA33" s="551"/>
      <c r="AB33" s="551"/>
      <c r="AC33" s="551"/>
      <c r="AD33" s="551"/>
      <c r="AE33" s="551"/>
    </row>
    <row r="34" spans="1:31" s="696" customFormat="1" x14ac:dyDescent="0.2">
      <c r="A34" s="694" t="str">
        <f ca="1">IF(AUTOEVENTO="Manual",IF(EVENTOS!$F34&gt;0,"F",""),IF(AND(B34&gt;0,B34&lt;=MAX(CÁLCULO!$M$15:$M$235)),"F",""))</f>
        <v>F</v>
      </c>
      <c r="B34" s="247">
        <f t="shared" ca="1" si="1"/>
        <v>19</v>
      </c>
      <c r="C34" s="692" t="str">
        <f ca="1">IF(AUTOEVENTO="Manual",IF($B34&gt;0,OFFSET(EVENTOS!$D$15,$B34-$B$15,0),0),IF(B34&lt;=MAX(CÁLCULO!$M$15:$M$235),VLOOKUP($B34,CÁLCULO!$M$15:$N$235,2,FALSE),0))</f>
        <v>REVESTIMENTOS EXTERNOS DE PAREDES</v>
      </c>
      <c r="D34" s="552"/>
      <c r="E34" s="248"/>
      <c r="F34" s="696" t="str">
        <f t="shared" ca="1" si="2"/>
        <v>19. REVESTIMENTOS EXTERNOS DE PAREDES</v>
      </c>
      <c r="G34" s="551">
        <v>4</v>
      </c>
      <c r="H34" s="551">
        <v>5</v>
      </c>
      <c r="I34" s="551">
        <v>6</v>
      </c>
      <c r="J34" s="551">
        <v>7</v>
      </c>
      <c r="K34" s="551">
        <v>7</v>
      </c>
      <c r="L34" s="551"/>
      <c r="M34" s="551"/>
      <c r="N34" s="551"/>
      <c r="O34" s="551">
        <v>9</v>
      </c>
      <c r="P34" s="551"/>
      <c r="Q34" s="551"/>
      <c r="R34" s="551"/>
      <c r="S34" s="551"/>
      <c r="T34" s="551"/>
      <c r="U34" s="551"/>
      <c r="V34" s="551"/>
      <c r="W34" s="551"/>
      <c r="X34" s="551"/>
      <c r="Y34" s="551"/>
      <c r="Z34" s="551"/>
      <c r="AA34" s="551"/>
      <c r="AB34" s="551"/>
      <c r="AC34" s="551"/>
      <c r="AD34" s="551"/>
      <c r="AE34" s="551"/>
    </row>
    <row r="35" spans="1:31" s="696" customFormat="1" x14ac:dyDescent="0.2">
      <c r="A35" s="694" t="str">
        <f ca="1">IF(AUTOEVENTO="Manual",IF(EVENTOS!$F35&gt;0,"F",""),IF(AND(B35&gt;0,B35&lt;=MAX(CÁLCULO!$M$15:$M$235)),"F",""))</f>
        <v>F</v>
      </c>
      <c r="B35" s="247">
        <f t="shared" ca="1" si="1"/>
        <v>20</v>
      </c>
      <c r="C35" s="692" t="str">
        <f ca="1">IF(AUTOEVENTO="Manual",IF($B35&gt;0,OFFSET(EVENTOS!$D$15,$B35-$B$15,0),0),IF(B35&lt;=MAX(CÁLCULO!$M$15:$M$235),VLOOKUP($B35,CÁLCULO!$M$15:$N$235,2,FALSE),0))</f>
        <v>REVESTIMENTOS EXTERNOS DE PISO</v>
      </c>
      <c r="D35" s="552"/>
      <c r="E35" s="248"/>
      <c r="F35" s="696" t="str">
        <f t="shared" ca="1" si="2"/>
        <v>20. REVESTIMENTOS EXTERNOS DE PISO</v>
      </c>
      <c r="G35" s="551">
        <v>4</v>
      </c>
      <c r="H35" s="551">
        <v>4</v>
      </c>
      <c r="I35" s="551">
        <v>5</v>
      </c>
      <c r="J35" s="551">
        <v>5</v>
      </c>
      <c r="K35" s="551">
        <v>5</v>
      </c>
      <c r="L35" s="551">
        <v>6</v>
      </c>
      <c r="M35" s="551">
        <v>7</v>
      </c>
      <c r="N35" s="551">
        <v>8</v>
      </c>
      <c r="O35" s="551"/>
      <c r="P35" s="551"/>
      <c r="Q35" s="551"/>
      <c r="R35" s="551"/>
      <c r="S35" s="551"/>
      <c r="T35" s="551"/>
      <c r="U35" s="551"/>
      <c r="V35" s="551"/>
      <c r="W35" s="551"/>
      <c r="X35" s="551"/>
      <c r="Y35" s="551"/>
      <c r="Z35" s="551"/>
      <c r="AA35" s="551"/>
      <c r="AB35" s="551"/>
      <c r="AC35" s="551"/>
      <c r="AD35" s="551"/>
      <c r="AE35" s="551"/>
    </row>
    <row r="36" spans="1:31" s="696" customFormat="1" x14ac:dyDescent="0.2">
      <c r="A36" s="694" t="str">
        <f ca="1">IF(AUTOEVENTO="Manual",IF(EVENTOS!$F36&gt;0,"F",""),IF(AND(B36&gt;0,B36&lt;=MAX(CÁLCULO!$M$15:$M$235)),"F",""))</f>
        <v>F</v>
      </c>
      <c r="B36" s="247">
        <f t="shared" ca="1" si="1"/>
        <v>21</v>
      </c>
      <c r="C36" s="692" t="str">
        <f ca="1">IF(AUTOEVENTO="Manual",IF($B36&gt;0,OFFSET(EVENTOS!$D$15,$B36-$B$15,0),0),IF(B36&lt;=MAX(CÁLCULO!$M$15:$M$235),VLOOKUP($B36,CÁLCULO!$M$15:$N$235,2,FALSE),0))</f>
        <v>IMPERMEABILIZAÇÕES DE PISOS</v>
      </c>
      <c r="D36" s="552"/>
      <c r="E36" s="248"/>
      <c r="F36" s="696" t="str">
        <f t="shared" ca="1" si="2"/>
        <v>21. IMPERMEABILIZAÇÕES DE PISOS</v>
      </c>
      <c r="G36" s="551">
        <v>2</v>
      </c>
      <c r="H36" s="551">
        <v>2</v>
      </c>
      <c r="I36" s="551">
        <v>5</v>
      </c>
      <c r="J36" s="551">
        <v>5</v>
      </c>
      <c r="K36" s="551">
        <v>5</v>
      </c>
      <c r="L36" s="551"/>
      <c r="M36" s="551"/>
      <c r="N36" s="551"/>
      <c r="O36" s="551"/>
      <c r="P36" s="551"/>
      <c r="Q36" s="551"/>
      <c r="R36" s="551"/>
      <c r="S36" s="551"/>
      <c r="T36" s="551"/>
      <c r="U36" s="551"/>
      <c r="V36" s="551"/>
      <c r="W36" s="551"/>
      <c r="X36" s="551"/>
      <c r="Y36" s="551"/>
      <c r="Z36" s="551"/>
      <c r="AA36" s="551"/>
      <c r="AB36" s="551"/>
      <c r="AC36" s="551"/>
      <c r="AD36" s="551"/>
      <c r="AE36" s="551"/>
    </row>
    <row r="37" spans="1:31" s="696" customFormat="1" x14ac:dyDescent="0.2">
      <c r="A37" s="694" t="str">
        <f ca="1">IF(AUTOEVENTO="Manual",IF(EVENTOS!$F37&gt;0,"F",""),IF(AND(B37&gt;0,B37&lt;=MAX(CÁLCULO!$M$15:$M$235)),"F",""))</f>
        <v>F</v>
      </c>
      <c r="B37" s="247">
        <f t="shared" ca="1" si="1"/>
        <v>22</v>
      </c>
      <c r="C37" s="692" t="str">
        <f ca="1">IF(AUTOEVENTO="Manual",IF($B37&gt;0,OFFSET(EVENTOS!$D$15,$B37-$B$15,0),0),IF(B37&lt;=MAX(CÁLCULO!$M$15:$M$235),VLOOKUP($B37,CÁLCULO!$M$15:$N$235,2,FALSE),0))</f>
        <v>PINTURA DD PAREDES INTERNAS</v>
      </c>
      <c r="D37" s="552"/>
      <c r="E37" s="248"/>
      <c r="F37" s="696" t="str">
        <f t="shared" ca="1" si="2"/>
        <v>22. PINTURA DD PAREDES INTERNAS</v>
      </c>
      <c r="G37" s="551">
        <v>7</v>
      </c>
      <c r="H37" s="551">
        <v>7</v>
      </c>
      <c r="I37" s="551">
        <v>8</v>
      </c>
      <c r="J37" s="551">
        <v>9</v>
      </c>
      <c r="K37" s="551">
        <v>9</v>
      </c>
      <c r="L37" s="551"/>
      <c r="M37" s="551">
        <v>7</v>
      </c>
      <c r="N37" s="551">
        <v>8</v>
      </c>
      <c r="O37" s="551"/>
      <c r="P37" s="551"/>
      <c r="Q37" s="551"/>
      <c r="R37" s="551"/>
      <c r="S37" s="551"/>
      <c r="T37" s="551"/>
      <c r="U37" s="551"/>
      <c r="V37" s="551"/>
      <c r="W37" s="551"/>
      <c r="X37" s="551"/>
      <c r="Y37" s="551"/>
      <c r="Z37" s="551"/>
      <c r="AA37" s="551"/>
      <c r="AB37" s="551"/>
      <c r="AC37" s="551"/>
      <c r="AD37" s="551"/>
      <c r="AE37" s="551"/>
    </row>
    <row r="38" spans="1:31" s="696" customFormat="1" x14ac:dyDescent="0.2">
      <c r="A38" s="694" t="str">
        <f ca="1">IF(AUTOEVENTO="Manual",IF(EVENTOS!$F38&gt;0,"F",""),IF(AND(B38&gt;0,B38&lt;=MAX(CÁLCULO!$M$15:$M$235)),"F",""))</f>
        <v>F</v>
      </c>
      <c r="B38" s="247">
        <f t="shared" ca="1" si="1"/>
        <v>23</v>
      </c>
      <c r="C38" s="692" t="str">
        <f ca="1">IF(AUTOEVENTO="Manual",IF($B38&gt;0,OFFSET(EVENTOS!$D$15,$B38-$B$15,0),0),IF(B38&lt;=MAX(CÁLCULO!$M$15:$M$235),VLOOKUP($B38,CÁLCULO!$M$15:$N$235,2,FALSE),0))</f>
        <v>PINTURA DD TETO INTERNAS</v>
      </c>
      <c r="D38" s="552"/>
      <c r="E38" s="248"/>
      <c r="F38" s="696" t="str">
        <f t="shared" ca="1" si="2"/>
        <v>23. PINTURA DD TETO INTERNAS</v>
      </c>
      <c r="G38" s="551">
        <v>7</v>
      </c>
      <c r="H38" s="551">
        <v>7</v>
      </c>
      <c r="I38" s="551">
        <v>8</v>
      </c>
      <c r="J38" s="551">
        <v>9</v>
      </c>
      <c r="K38" s="551">
        <v>9</v>
      </c>
      <c r="L38" s="551"/>
      <c r="M38" s="551"/>
      <c r="N38" s="551">
        <v>8</v>
      </c>
      <c r="O38" s="551"/>
      <c r="P38" s="551"/>
      <c r="Q38" s="551"/>
      <c r="R38" s="551"/>
      <c r="S38" s="551"/>
      <c r="T38" s="551"/>
      <c r="U38" s="551"/>
      <c r="V38" s="551"/>
      <c r="W38" s="551"/>
      <c r="X38" s="551"/>
      <c r="Y38" s="551"/>
      <c r="Z38" s="551"/>
      <c r="AA38" s="551"/>
      <c r="AB38" s="551"/>
      <c r="AC38" s="551"/>
      <c r="AD38" s="551"/>
      <c r="AE38" s="551"/>
    </row>
    <row r="39" spans="1:31" s="696" customFormat="1" x14ac:dyDescent="0.2">
      <c r="A39" s="694" t="str">
        <f ca="1">IF(AUTOEVENTO="Manual",IF(EVENTOS!$F39&gt;0,"F",""),IF(AND(B39&gt;0,B39&lt;=MAX(CÁLCULO!$M$15:$M$235)),"F",""))</f>
        <v>F</v>
      </c>
      <c r="B39" s="247">
        <f t="shared" ca="1" si="1"/>
        <v>24</v>
      </c>
      <c r="C39" s="692" t="str">
        <f ca="1">IF(AUTOEVENTO="Manual",IF($B39&gt;0,OFFSET(EVENTOS!$D$15,$B39-$B$15,0),0),IF(B39&lt;=MAX(CÁLCULO!$M$15:$M$235),VLOOKUP($B39,CÁLCULO!$M$15:$N$235,2,FALSE),0))</f>
        <v>PINTURA DE PAREDES EXTERNAS</v>
      </c>
      <c r="D39" s="552"/>
      <c r="E39" s="248"/>
      <c r="F39" s="696" t="str">
        <f t="shared" ca="1" si="2"/>
        <v>24. PINTURA DE PAREDES EXTERNAS</v>
      </c>
      <c r="G39" s="551">
        <v>6</v>
      </c>
      <c r="H39" s="551">
        <v>6</v>
      </c>
      <c r="I39" s="551">
        <v>8</v>
      </c>
      <c r="J39" s="551">
        <v>9</v>
      </c>
      <c r="K39" s="551">
        <v>9</v>
      </c>
      <c r="L39" s="551">
        <v>6</v>
      </c>
      <c r="M39" s="551"/>
      <c r="N39" s="551"/>
      <c r="O39" s="551">
        <v>9</v>
      </c>
      <c r="P39" s="551"/>
      <c r="Q39" s="551"/>
      <c r="R39" s="551"/>
      <c r="S39" s="551"/>
      <c r="T39" s="551"/>
      <c r="U39" s="551"/>
      <c r="V39" s="551"/>
      <c r="W39" s="551"/>
      <c r="X39" s="551"/>
      <c r="Y39" s="551"/>
      <c r="Z39" s="551"/>
      <c r="AA39" s="551"/>
      <c r="AB39" s="551"/>
      <c r="AC39" s="551"/>
      <c r="AD39" s="551"/>
      <c r="AE39" s="551"/>
    </row>
    <row r="40" spans="1:31" s="696" customFormat="1" x14ac:dyDescent="0.2">
      <c r="A40" s="694" t="str">
        <f ca="1">IF(AUTOEVENTO="Manual",IF(EVENTOS!$F40&gt;0,"F",""),IF(AND(B40&gt;0,B40&lt;=MAX(CÁLCULO!$M$15:$M$235)),"F",""))</f>
        <v>F</v>
      </c>
      <c r="B40" s="247">
        <f t="shared" ca="1" si="1"/>
        <v>25</v>
      </c>
      <c r="C40" s="692" t="str">
        <f ca="1">IF(AUTOEVENTO="Manual",IF($B40&gt;0,OFFSET(EVENTOS!$D$15,$B40-$B$15,0),0),IF(B40&lt;=MAX(CÁLCULO!$M$15:$M$235),VLOOKUP($B40,CÁLCULO!$M$15:$N$235,2,FALSE),0))</f>
        <v>PINTURA DE ESQUADRIA DE MADEIRA</v>
      </c>
      <c r="D40" s="552"/>
      <c r="E40" s="248"/>
      <c r="F40" s="696" t="str">
        <f t="shared" ca="1" si="2"/>
        <v>25. PINTURA DE ESQUADRIA DE MADEIRA</v>
      </c>
      <c r="G40" s="551">
        <v>8</v>
      </c>
      <c r="H40" s="551">
        <v>8</v>
      </c>
      <c r="I40" s="551">
        <v>9</v>
      </c>
      <c r="J40" s="551">
        <v>9</v>
      </c>
      <c r="K40" s="551">
        <v>9</v>
      </c>
      <c r="L40" s="551"/>
      <c r="M40" s="551"/>
      <c r="N40" s="551"/>
      <c r="O40" s="551">
        <v>9</v>
      </c>
      <c r="P40" s="551"/>
      <c r="Q40" s="551"/>
      <c r="R40" s="551"/>
      <c r="S40" s="551"/>
      <c r="T40" s="551"/>
      <c r="U40" s="551"/>
      <c r="V40" s="551"/>
      <c r="W40" s="551"/>
      <c r="X40" s="551"/>
      <c r="Y40" s="551"/>
      <c r="Z40" s="551"/>
      <c r="AA40" s="551"/>
      <c r="AB40" s="551"/>
      <c r="AC40" s="551"/>
      <c r="AD40" s="551"/>
      <c r="AE40" s="551"/>
    </row>
    <row r="41" spans="1:31" s="696" customFormat="1" x14ac:dyDescent="0.2">
      <c r="A41" s="694" t="str">
        <f ca="1">IF(AUTOEVENTO="Manual",IF(EVENTOS!$F41&gt;0,"F",""),IF(AND(B41&gt;0,B41&lt;=MAX(CÁLCULO!$M$15:$M$235)),"F",""))</f>
        <v>F</v>
      </c>
      <c r="B41" s="247">
        <f t="shared" ca="1" si="1"/>
        <v>26</v>
      </c>
      <c r="C41" s="692" t="str">
        <f ca="1">IF(AUTOEVENTO="Manual",IF($B41&gt;0,OFFSET(EVENTOS!$D$15,$B41-$B$15,0),0),IF(B41&lt;=MAX(CÁLCULO!$M$15:$M$235),VLOOKUP($B41,CÁLCULO!$M$15:$N$235,2,FALSE),0))</f>
        <v>ACABAMENTO EM PEDRA NATURAL</v>
      </c>
      <c r="D41" s="552"/>
      <c r="E41" s="248"/>
      <c r="F41" s="696" t="str">
        <f t="shared" ca="1" si="2"/>
        <v>26. ACABAMENTO EM PEDRA NATURAL</v>
      </c>
      <c r="G41" s="551">
        <v>6</v>
      </c>
      <c r="H41" s="551">
        <v>6</v>
      </c>
      <c r="I41" s="551">
        <v>7</v>
      </c>
      <c r="J41" s="551">
        <v>8</v>
      </c>
      <c r="K41" s="551">
        <v>8</v>
      </c>
      <c r="L41" s="551">
        <v>6</v>
      </c>
      <c r="M41" s="551"/>
      <c r="N41" s="551"/>
      <c r="O41" s="551"/>
      <c r="P41" s="551"/>
      <c r="Q41" s="551"/>
      <c r="R41" s="551"/>
      <c r="S41" s="551"/>
      <c r="T41" s="551"/>
      <c r="U41" s="551"/>
      <c r="V41" s="551"/>
      <c r="W41" s="551"/>
      <c r="X41" s="551"/>
      <c r="Y41" s="551"/>
      <c r="Z41" s="551"/>
      <c r="AA41" s="551"/>
      <c r="AB41" s="551"/>
      <c r="AC41" s="551"/>
      <c r="AD41" s="551"/>
      <c r="AE41" s="551"/>
    </row>
    <row r="42" spans="1:31" s="696" customFormat="1" x14ac:dyDescent="0.2">
      <c r="A42" s="694" t="str">
        <f ca="1">IF(AUTOEVENTO="Manual",IF(EVENTOS!$F42&gt;0,"F",""),IF(AND(B42&gt;0,B42&lt;=MAX(CÁLCULO!$M$15:$M$235)),"F",""))</f>
        <v>F</v>
      </c>
      <c r="B42" s="247">
        <f t="shared" ca="1" si="1"/>
        <v>27</v>
      </c>
      <c r="C42" s="692" t="str">
        <f ca="1">IF(AUTOEVENTO="Manual",IF($B42&gt;0,OFFSET(EVENTOS!$D$15,$B42-$B$15,0),0),IF(B42&lt;=MAX(CÁLCULO!$M$15:$M$235),VLOOKUP($B42,CÁLCULO!$M$15:$N$235,2,FALSE),0))</f>
        <v>CAIXAS E DISJUNTORES</v>
      </c>
      <c r="D42" s="552"/>
      <c r="E42" s="248"/>
      <c r="F42" s="696" t="str">
        <f t="shared" ca="1" si="2"/>
        <v>27. CAIXAS E DISJUNTORES</v>
      </c>
      <c r="G42" s="551">
        <v>7</v>
      </c>
      <c r="H42" s="551">
        <v>7</v>
      </c>
      <c r="I42" s="551">
        <v>8</v>
      </c>
      <c r="J42" s="551">
        <v>9</v>
      </c>
      <c r="K42" s="551">
        <v>9</v>
      </c>
      <c r="L42" s="551">
        <v>6</v>
      </c>
      <c r="M42" s="551"/>
      <c r="N42" s="551"/>
      <c r="O42" s="551"/>
      <c r="P42" s="551"/>
      <c r="Q42" s="551"/>
      <c r="R42" s="551"/>
      <c r="S42" s="551"/>
      <c r="T42" s="551"/>
      <c r="U42" s="551"/>
      <c r="V42" s="551"/>
      <c r="W42" s="551"/>
      <c r="X42" s="551"/>
      <c r="Y42" s="551"/>
      <c r="Z42" s="551"/>
      <c r="AA42" s="551"/>
      <c r="AB42" s="551"/>
      <c r="AC42" s="551"/>
      <c r="AD42" s="551"/>
      <c r="AE42" s="551"/>
    </row>
    <row r="43" spans="1:31" s="696" customFormat="1" x14ac:dyDescent="0.2">
      <c r="A43" s="694" t="str">
        <f ca="1">IF(AUTOEVENTO="Manual",IF(EVENTOS!$F43&gt;0,"F",""),IF(AND(B43&gt;0,B43&lt;=MAX(CÁLCULO!$M$15:$M$235)),"F",""))</f>
        <v>F</v>
      </c>
      <c r="B43" s="247">
        <f t="shared" ca="1" si="1"/>
        <v>28</v>
      </c>
      <c r="C43" s="692" t="str">
        <f ca="1">IF(AUTOEVENTO="Manual",IF($B43&gt;0,OFFSET(EVENTOS!$D$15,$B43-$B$15,0),0),IF(B43&lt;=MAX(CÁLCULO!$M$15:$M$235),VLOOKUP($B43,CÁLCULO!$M$15:$N$235,2,FALSE),0))</f>
        <v xml:space="preserve">FIOS E CABOS </v>
      </c>
      <c r="D43" s="552"/>
      <c r="E43" s="248"/>
      <c r="F43" s="696" t="str">
        <f t="shared" ca="1" si="2"/>
        <v xml:space="preserve">28. FIOS E CABOS </v>
      </c>
      <c r="G43" s="551">
        <v>8</v>
      </c>
      <c r="H43" s="551">
        <v>8</v>
      </c>
      <c r="I43" s="551">
        <v>9</v>
      </c>
      <c r="J43" s="551">
        <v>9</v>
      </c>
      <c r="K43" s="551">
        <v>9</v>
      </c>
      <c r="L43" s="551"/>
      <c r="M43" s="551">
        <v>7</v>
      </c>
      <c r="N43" s="551"/>
      <c r="O43" s="551"/>
      <c r="P43" s="551"/>
      <c r="Q43" s="551"/>
      <c r="R43" s="551"/>
      <c r="S43" s="551"/>
      <c r="T43" s="551"/>
      <c r="U43" s="551"/>
      <c r="V43" s="551"/>
      <c r="W43" s="551"/>
      <c r="X43" s="551"/>
      <c r="Y43" s="551"/>
      <c r="Z43" s="551"/>
      <c r="AA43" s="551"/>
      <c r="AB43" s="551"/>
      <c r="AC43" s="551"/>
      <c r="AD43" s="551"/>
      <c r="AE43" s="551"/>
    </row>
    <row r="44" spans="1:31" s="706" customFormat="1" x14ac:dyDescent="0.2">
      <c r="A44" s="703" t="str">
        <f ca="1">IF(AUTOEVENTO="Manual",IF(EVENTOS!$F44&gt;0,"F",""),IF(AND(B44&gt;0,B44&lt;=MAX(CÁLCULO!$M$15:$M$235)),"F",""))</f>
        <v>F</v>
      </c>
      <c r="B44" s="247">
        <f t="shared" ca="1" si="1"/>
        <v>29</v>
      </c>
      <c r="C44" s="704" t="str">
        <f ca="1">IF(AUTOEVENTO="Manual",IF($B44&gt;0,OFFSET(EVENTOS!$D$15,$B44-$B$15,0),0),IF(B44&lt;=MAX(CÁLCULO!$M$15:$M$235),VLOOKUP($B44,CÁLCULO!$M$15:$N$235,2,FALSE),0))</f>
        <v>ENTRADA DE ENERGIA</v>
      </c>
      <c r="D44" s="552"/>
      <c r="E44" s="248"/>
      <c r="F44" s="706" t="str">
        <f t="shared" ca="1" si="2"/>
        <v>29. ENTRADA DE ENERGIA</v>
      </c>
      <c r="G44" s="551">
        <v>7</v>
      </c>
      <c r="H44" s="551">
        <v>7</v>
      </c>
      <c r="I44" s="551">
        <v>8</v>
      </c>
      <c r="J44" s="551">
        <v>8</v>
      </c>
      <c r="K44" s="551">
        <v>8</v>
      </c>
      <c r="L44" s="551">
        <v>6</v>
      </c>
      <c r="M44" s="551"/>
      <c r="N44" s="551"/>
      <c r="O44" s="551"/>
      <c r="P44" s="551"/>
      <c r="Q44" s="551"/>
      <c r="R44" s="551"/>
      <c r="S44" s="551"/>
      <c r="T44" s="551"/>
      <c r="U44" s="551"/>
      <c r="V44" s="551"/>
      <c r="W44" s="551"/>
      <c r="X44" s="551"/>
      <c r="Y44" s="551"/>
      <c r="Z44" s="551"/>
      <c r="AA44" s="551"/>
      <c r="AB44" s="551"/>
      <c r="AC44" s="551"/>
      <c r="AD44" s="551"/>
      <c r="AE44" s="551"/>
    </row>
    <row r="45" spans="1:31" s="706" customFormat="1" x14ac:dyDescent="0.2">
      <c r="A45" s="703" t="str">
        <f ca="1">IF(AUTOEVENTO="Manual",IF(EVENTOS!$F45&gt;0,"F",""),IF(AND(B45&gt;0,B45&lt;=MAX(CÁLCULO!$M$15:$M$235)),"F",""))</f>
        <v>F</v>
      </c>
      <c r="B45" s="247">
        <f t="shared" ca="1" si="1"/>
        <v>30</v>
      </c>
      <c r="C45" s="704" t="str">
        <f ca="1">IF(AUTOEVENTO="Manual",IF($B45&gt;0,OFFSET(EVENTOS!$D$15,$B45-$B$15,0),0),IF(B45&lt;=MAX(CÁLCULO!$M$15:$M$235),VLOOKUP($B45,CÁLCULO!$M$15:$N$235,2,FALSE),0))</f>
        <v>ENTRADA DE ÁGUA</v>
      </c>
      <c r="D45" s="552"/>
      <c r="E45" s="248"/>
      <c r="F45" s="706" t="str">
        <f t="shared" ca="1" si="2"/>
        <v>30. ENTRADA DE ÁGUA</v>
      </c>
      <c r="G45" s="551">
        <v>6</v>
      </c>
      <c r="H45" s="551">
        <v>6</v>
      </c>
      <c r="I45" s="551">
        <v>7</v>
      </c>
      <c r="J45" s="551">
        <v>7</v>
      </c>
      <c r="K45" s="551">
        <v>7</v>
      </c>
      <c r="L45" s="551">
        <v>6</v>
      </c>
      <c r="M45" s="551"/>
      <c r="N45" s="551"/>
      <c r="O45" s="551"/>
      <c r="P45" s="551"/>
      <c r="Q45" s="551"/>
      <c r="R45" s="551"/>
      <c r="S45" s="551"/>
      <c r="T45" s="551"/>
      <c r="U45" s="551"/>
      <c r="V45" s="551"/>
      <c r="W45" s="551"/>
      <c r="X45" s="551"/>
      <c r="Y45" s="551"/>
      <c r="Z45" s="551"/>
      <c r="AA45" s="551"/>
      <c r="AB45" s="551"/>
      <c r="AC45" s="551"/>
      <c r="AD45" s="551"/>
      <c r="AE45" s="551"/>
    </row>
    <row r="46" spans="1:31" s="706" customFormat="1" x14ac:dyDescent="0.2">
      <c r="A46" s="703" t="str">
        <f ca="1">IF(AUTOEVENTO="Manual",IF(EVENTOS!$F46&gt;0,"F",""),IF(AND(B46&gt;0,B46&lt;=MAX(CÁLCULO!$M$15:$M$235)),"F",""))</f>
        <v>F</v>
      </c>
      <c r="B46" s="247">
        <f t="shared" ca="1" si="1"/>
        <v>31</v>
      </c>
      <c r="C46" s="704" t="str">
        <f ca="1">IF(AUTOEVENTO="Manual",IF($B46&gt;0,OFFSET(EVENTOS!$D$15,$B46-$B$15,0),0),IF(B46&lt;=MAX(CÁLCULO!$M$15:$M$235),VLOOKUP($B46,CÁLCULO!$M$15:$N$235,2,FALSE),0))</f>
        <v>REDE PLUVIAL E ESGOTO</v>
      </c>
      <c r="D46" s="552"/>
      <c r="E46" s="248"/>
      <c r="F46" s="706" t="str">
        <f t="shared" ca="1" si="2"/>
        <v>31. REDE PLUVIAL E ESGOTO</v>
      </c>
      <c r="G46" s="551">
        <v>5</v>
      </c>
      <c r="H46" s="551">
        <v>5</v>
      </c>
      <c r="I46" s="551">
        <v>6</v>
      </c>
      <c r="J46" s="551">
        <v>6</v>
      </c>
      <c r="K46" s="551">
        <v>6</v>
      </c>
      <c r="L46" s="551"/>
      <c r="M46" s="551"/>
      <c r="N46" s="551"/>
      <c r="O46" s="551">
        <v>9</v>
      </c>
      <c r="P46" s="551"/>
      <c r="Q46" s="551"/>
      <c r="R46" s="551"/>
      <c r="S46" s="551"/>
      <c r="T46" s="551"/>
      <c r="U46" s="551"/>
      <c r="V46" s="551"/>
      <c r="W46" s="551"/>
      <c r="X46" s="551"/>
      <c r="Y46" s="551"/>
      <c r="Z46" s="551"/>
      <c r="AA46" s="551"/>
      <c r="AB46" s="551"/>
      <c r="AC46" s="551"/>
      <c r="AD46" s="551"/>
      <c r="AE46" s="551"/>
    </row>
    <row r="47" spans="1:31" s="706" customFormat="1" x14ac:dyDescent="0.2">
      <c r="A47" s="703" t="str">
        <f ca="1">IF(AUTOEVENTO="Manual",IF(EVENTOS!$F47&gt;0,"F",""),IF(AND(B47&gt;0,B47&lt;=MAX(CÁLCULO!$M$15:$M$235)),"F",""))</f>
        <v>F</v>
      </c>
      <c r="B47" s="247">
        <f t="shared" ca="1" si="1"/>
        <v>32</v>
      </c>
      <c r="C47" s="704" t="str">
        <f ca="1">IF(AUTOEVENTO="Manual",IF($B47&gt;0,OFFSET(EVENTOS!$D$15,$B47-$B$15,0),0),IF(B47&lt;=MAX(CÁLCULO!$M$15:$M$235),VLOOKUP($B47,CÁLCULO!$M$15:$N$235,2,FALSE),0))</f>
        <v>ACABAMENTOS ELÉTRICOS</v>
      </c>
      <c r="D47" s="552"/>
      <c r="E47" s="248"/>
      <c r="F47" s="706" t="str">
        <f t="shared" ca="1" si="2"/>
        <v>32. ACABAMENTOS ELÉTRICOS</v>
      </c>
      <c r="G47" s="551">
        <v>8</v>
      </c>
      <c r="H47" s="551">
        <v>8</v>
      </c>
      <c r="I47" s="551">
        <v>9</v>
      </c>
      <c r="J47" s="551">
        <v>9</v>
      </c>
      <c r="K47" s="551">
        <v>9</v>
      </c>
      <c r="L47" s="551"/>
      <c r="M47" s="551"/>
      <c r="N47" s="551">
        <v>8</v>
      </c>
      <c r="O47" s="551">
        <v>9</v>
      </c>
      <c r="P47" s="551"/>
      <c r="Q47" s="551"/>
      <c r="R47" s="551"/>
      <c r="S47" s="551"/>
      <c r="T47" s="551"/>
      <c r="U47" s="551"/>
      <c r="V47" s="551"/>
      <c r="W47" s="551"/>
      <c r="X47" s="551"/>
      <c r="Y47" s="551"/>
      <c r="Z47" s="551"/>
      <c r="AA47" s="551"/>
      <c r="AB47" s="551"/>
      <c r="AC47" s="551"/>
      <c r="AD47" s="551"/>
      <c r="AE47" s="551"/>
    </row>
    <row r="48" spans="1:31" s="706" customFormat="1" x14ac:dyDescent="0.2">
      <c r="A48" s="703" t="str">
        <f ca="1">IF(AUTOEVENTO="Manual",IF(EVENTOS!$F48&gt;0,"F",""),IF(AND(B48&gt;0,B48&lt;=MAX(CÁLCULO!$M$15:$M$235)),"F",""))</f>
        <v>F</v>
      </c>
      <c r="B48" s="247">
        <f t="shared" ca="1" si="1"/>
        <v>33</v>
      </c>
      <c r="C48" s="704" t="str">
        <f ca="1">IF(AUTOEVENTO="Manual",IF($B48&gt;0,OFFSET(EVENTOS!$D$15,$B48-$B$15,0),0),IF(B48&lt;=MAX(CÁLCULO!$M$15:$M$235),VLOOKUP($B48,CÁLCULO!$M$15:$N$235,2,FALSE),0))</f>
        <v>LOUÇAS</v>
      </c>
      <c r="D48" s="552"/>
      <c r="E48" s="248"/>
      <c r="F48" s="706" t="str">
        <f t="shared" ca="1" si="2"/>
        <v>33. LOUÇAS</v>
      </c>
      <c r="G48" s="551">
        <v>9</v>
      </c>
      <c r="H48" s="551">
        <v>9</v>
      </c>
      <c r="I48" s="551">
        <v>9</v>
      </c>
      <c r="J48" s="551">
        <v>9</v>
      </c>
      <c r="K48" s="551">
        <v>9</v>
      </c>
      <c r="L48" s="551"/>
      <c r="M48" s="551"/>
      <c r="N48" s="551"/>
      <c r="O48" s="551">
        <v>9</v>
      </c>
      <c r="P48" s="551"/>
      <c r="Q48" s="551"/>
      <c r="R48" s="551"/>
      <c r="S48" s="551"/>
      <c r="T48" s="551"/>
      <c r="U48" s="551"/>
      <c r="V48" s="551"/>
      <c r="W48" s="551"/>
      <c r="X48" s="551"/>
      <c r="Y48" s="551"/>
      <c r="Z48" s="551"/>
      <c r="AA48" s="551"/>
      <c r="AB48" s="551"/>
      <c r="AC48" s="551"/>
      <c r="AD48" s="551"/>
      <c r="AE48" s="551"/>
    </row>
    <row r="49" spans="1:31" s="709" customFormat="1" x14ac:dyDescent="0.2">
      <c r="A49" s="707" t="str">
        <f ca="1">IF(AUTOEVENTO="Manual",IF(EVENTOS!$F49&gt;0,"F",""),IF(AND(B49&gt;0,B49&lt;=MAX(CÁLCULO!$M$15:$M$235)),"F",""))</f>
        <v>F</v>
      </c>
      <c r="B49" s="247">
        <f t="shared" ca="1" si="1"/>
        <v>34</v>
      </c>
      <c r="C49" s="708" t="str">
        <f ca="1">IF(AUTOEVENTO="Manual",IF($B49&gt;0,OFFSET(EVENTOS!$D$15,$B49-$B$15,0),0),IF(B49&lt;=MAX(CÁLCULO!$M$15:$M$235),VLOOKUP($B49,CÁLCULO!$M$15:$N$235,2,FALSE),0))</f>
        <v xml:space="preserve">METAIS </v>
      </c>
      <c r="D49" s="552"/>
      <c r="E49" s="248"/>
      <c r="F49" s="709" t="str">
        <f t="shared" ca="1" si="2"/>
        <v xml:space="preserve">34. METAIS </v>
      </c>
      <c r="G49" s="551">
        <v>9</v>
      </c>
      <c r="H49" s="551">
        <v>9</v>
      </c>
      <c r="I49" s="551">
        <v>9</v>
      </c>
      <c r="J49" s="551">
        <v>9</v>
      </c>
      <c r="K49" s="551">
        <v>9</v>
      </c>
      <c r="L49" s="551"/>
      <c r="M49" s="551"/>
      <c r="N49" s="551"/>
      <c r="O49" s="551"/>
      <c r="P49" s="551"/>
      <c r="Q49" s="551"/>
      <c r="R49" s="551"/>
      <c r="S49" s="551"/>
      <c r="T49" s="551"/>
      <c r="U49" s="551"/>
      <c r="V49" s="551"/>
      <c r="W49" s="551"/>
      <c r="X49" s="551"/>
      <c r="Y49" s="551"/>
      <c r="Z49" s="551"/>
      <c r="AA49" s="551"/>
      <c r="AB49" s="551"/>
      <c r="AC49" s="551"/>
      <c r="AD49" s="551"/>
      <c r="AE49" s="551"/>
    </row>
    <row r="50" spans="1:31" s="709" customFormat="1" x14ac:dyDescent="0.2">
      <c r="A50" s="707" t="str">
        <f ca="1">IF(AUTOEVENTO="Manual",IF(EVENTOS!$F50&gt;0,"F",""),IF(AND(B50&gt;0,B50&lt;=MAX(CÁLCULO!$M$15:$M$235)),"F",""))</f>
        <v>F</v>
      </c>
      <c r="B50" s="247">
        <f t="shared" ca="1" si="1"/>
        <v>35</v>
      </c>
      <c r="C50" s="708" t="str">
        <f ca="1">IF(AUTOEVENTO="Manual",IF($B50&gt;0,OFFSET(EVENTOS!$D$15,$B50-$B$15,0),0),IF(B50&lt;=MAX(CÁLCULO!$M$15:$M$235),VLOOKUP($B50,CÁLCULO!$M$15:$N$235,2,FALSE),0))</f>
        <v>EQUIPAMENTOS</v>
      </c>
      <c r="D50" s="552"/>
      <c r="E50" s="248"/>
      <c r="F50" s="709" t="str">
        <f t="shared" ca="1" si="2"/>
        <v>35. EQUIPAMENTOS</v>
      </c>
      <c r="G50" s="551">
        <v>9</v>
      </c>
      <c r="H50" s="551">
        <v>9</v>
      </c>
      <c r="I50" s="551">
        <v>9</v>
      </c>
      <c r="J50" s="551">
        <v>9</v>
      </c>
      <c r="K50" s="551">
        <v>9</v>
      </c>
      <c r="L50" s="551"/>
      <c r="M50" s="551"/>
      <c r="N50" s="551"/>
      <c r="O50" s="551"/>
      <c r="P50" s="551"/>
      <c r="Q50" s="551"/>
      <c r="R50" s="551"/>
      <c r="S50" s="551"/>
      <c r="T50" s="551"/>
      <c r="U50" s="551"/>
      <c r="V50" s="551"/>
      <c r="W50" s="551"/>
      <c r="X50" s="551"/>
      <c r="Y50" s="551"/>
      <c r="Z50" s="551"/>
      <c r="AA50" s="551"/>
      <c r="AB50" s="551"/>
      <c r="AC50" s="551"/>
      <c r="AD50" s="551"/>
      <c r="AE50" s="551"/>
    </row>
    <row r="51" spans="1:31" s="709" customFormat="1" x14ac:dyDescent="0.2">
      <c r="A51" s="707" t="str">
        <f ca="1">IF(AUTOEVENTO="Manual",IF(EVENTOS!$F51&gt;0,"F",""),IF(AND(B51&gt;0,B51&lt;=MAX(CÁLCULO!$M$15:$M$235)),"F",""))</f>
        <v>F</v>
      </c>
      <c r="B51" s="247">
        <f t="shared" ca="1" si="1"/>
        <v>36</v>
      </c>
      <c r="C51" s="708" t="str">
        <f ca="1">IF(AUTOEVENTO="Manual",IF($B51&gt;0,OFFSET(EVENTOS!$D$15,$B51-$B$15,0),0),IF(B51&lt;=MAX(CÁLCULO!$M$15:$M$235),VLOOKUP($B51,CÁLCULO!$M$15:$N$235,2,FALSE),0))</f>
        <v>ELÉTRICA EMBITIDA EM LAJE E FORROS</v>
      </c>
      <c r="D51" s="552"/>
      <c r="E51" s="248"/>
      <c r="F51" s="709" t="str">
        <f t="shared" ca="1" si="2"/>
        <v>36. ELÉTRICA EMBITIDA EM LAJE E FORROS</v>
      </c>
      <c r="G51" s="551">
        <v>6</v>
      </c>
      <c r="H51" s="551">
        <v>5</v>
      </c>
      <c r="I51" s="551">
        <v>7</v>
      </c>
      <c r="J51" s="551">
        <v>7</v>
      </c>
      <c r="K51" s="551">
        <v>7</v>
      </c>
      <c r="L51" s="551"/>
      <c r="M51" s="551"/>
      <c r="N51" s="551"/>
      <c r="O51" s="551"/>
      <c r="P51" s="551"/>
      <c r="Q51" s="551"/>
      <c r="R51" s="551"/>
      <c r="S51" s="551"/>
      <c r="T51" s="551"/>
      <c r="U51" s="551"/>
      <c r="V51" s="551"/>
      <c r="W51" s="551"/>
      <c r="X51" s="551"/>
      <c r="Y51" s="551"/>
      <c r="Z51" s="551"/>
      <c r="AA51" s="551"/>
      <c r="AB51" s="551"/>
      <c r="AC51" s="551"/>
      <c r="AD51" s="551"/>
      <c r="AE51" s="551"/>
    </row>
    <row r="52" spans="1:31" s="709" customFormat="1" x14ac:dyDescent="0.2">
      <c r="A52" s="707" t="str">
        <f ca="1">IF(AUTOEVENTO="Manual",IF(EVENTOS!$F52&gt;0,"F",""),IF(AND(B52&gt;0,B52&lt;=MAX(CÁLCULO!$M$15:$M$235)),"F",""))</f>
        <v>F</v>
      </c>
      <c r="B52" s="247">
        <f t="shared" ca="1" si="1"/>
        <v>37</v>
      </c>
      <c r="C52" s="708" t="str">
        <f ca="1">IF(AUTOEVENTO="Manual",IF($B52&gt;0,OFFSET(EVENTOS!$D$15,$B52-$B$15,0),0),IF(B52&lt;=MAX(CÁLCULO!$M$15:$M$235),VLOOKUP($B52,CÁLCULO!$M$15:$N$235,2,FALSE),0))</f>
        <v>ELÉTRICA EMBUTIDA EM PAREDE</v>
      </c>
      <c r="D52" s="552"/>
      <c r="E52" s="248"/>
      <c r="F52" s="709" t="str">
        <f t="shared" ca="1" si="2"/>
        <v>37. ELÉTRICA EMBUTIDA EM PAREDE</v>
      </c>
      <c r="G52" s="551">
        <v>5</v>
      </c>
      <c r="H52" s="551">
        <v>5</v>
      </c>
      <c r="I52" s="551">
        <v>6</v>
      </c>
      <c r="J52" s="551">
        <v>6</v>
      </c>
      <c r="K52" s="551">
        <v>6</v>
      </c>
      <c r="L52" s="551"/>
      <c r="M52" s="551"/>
      <c r="N52" s="551"/>
      <c r="O52" s="551"/>
      <c r="P52" s="551"/>
      <c r="Q52" s="551"/>
      <c r="R52" s="551"/>
      <c r="S52" s="551"/>
      <c r="T52" s="551"/>
      <c r="U52" s="551"/>
      <c r="V52" s="551"/>
      <c r="W52" s="551"/>
      <c r="X52" s="551"/>
      <c r="Y52" s="551"/>
      <c r="Z52" s="551"/>
      <c r="AA52" s="551"/>
      <c r="AB52" s="551"/>
      <c r="AC52" s="551"/>
      <c r="AD52" s="551"/>
      <c r="AE52" s="551"/>
    </row>
    <row r="53" spans="1:31" s="709" customFormat="1" x14ac:dyDescent="0.2">
      <c r="A53" s="707" t="str">
        <f ca="1">IF(AUTOEVENTO="Manual",IF(EVENTOS!$F53&gt;0,"F",""),IF(AND(B53&gt;0,B53&lt;=MAX(CÁLCULO!$M$15:$M$235)),"F",""))</f>
        <v>F</v>
      </c>
      <c r="B53" s="247">
        <f t="shared" ca="1" si="1"/>
        <v>38</v>
      </c>
      <c r="C53" s="708" t="str">
        <f ca="1">IF(AUTOEVENTO="Manual",IF($B53&gt;0,OFFSET(EVENTOS!$D$15,$B53-$B$15,0),0),IF(B53&lt;=MAX(CÁLCULO!$M$15:$M$235),VLOOKUP($B53,CÁLCULO!$M$15:$N$235,2,FALSE),0))</f>
        <v>HIDRÁULICA EMBUTIDA EM PAREDE</v>
      </c>
      <c r="D53" s="552"/>
      <c r="E53" s="248"/>
      <c r="F53" s="709" t="str">
        <f t="shared" ca="1" si="2"/>
        <v>38. HIDRÁULICA EMBUTIDA EM PAREDE</v>
      </c>
      <c r="G53" s="551">
        <v>5</v>
      </c>
      <c r="H53" s="551">
        <v>5</v>
      </c>
      <c r="I53" s="551">
        <v>6</v>
      </c>
      <c r="J53" s="551">
        <v>6</v>
      </c>
      <c r="K53" s="551">
        <v>6</v>
      </c>
      <c r="L53" s="551"/>
      <c r="M53" s="551"/>
      <c r="N53" s="551"/>
      <c r="O53" s="551"/>
      <c r="P53" s="551"/>
      <c r="Q53" s="551"/>
      <c r="R53" s="551"/>
      <c r="S53" s="551"/>
      <c r="T53" s="551"/>
      <c r="U53" s="551"/>
      <c r="V53" s="551"/>
      <c r="W53" s="551"/>
      <c r="X53" s="551"/>
      <c r="Y53" s="551"/>
      <c r="Z53" s="551"/>
      <c r="AA53" s="551"/>
      <c r="AB53" s="551"/>
      <c r="AC53" s="551"/>
      <c r="AD53" s="551"/>
      <c r="AE53" s="551"/>
    </row>
    <row r="54" spans="1:31" s="709" customFormat="1" x14ac:dyDescent="0.2">
      <c r="A54" s="707" t="str">
        <f ca="1">IF(AUTOEVENTO="Manual",IF(EVENTOS!$F54&gt;0,"F",""),IF(AND(B54&gt;0,B54&lt;=MAX(CÁLCULO!$M$15:$M$235)),"F",""))</f>
        <v>F</v>
      </c>
      <c r="B54" s="247">
        <f t="shared" ca="1" si="1"/>
        <v>39</v>
      </c>
      <c r="C54" s="708" t="str">
        <f ca="1">IF(AUTOEVENTO="Manual",IF($B54&gt;0,OFFSET(EVENTOS!$D$15,$B54-$B$15,0),0),IF(B54&lt;=MAX(CÁLCULO!$M$15:$M$235),VLOOKUP($B54,CÁLCULO!$M$15:$N$235,2,FALSE),0))</f>
        <v>RESERVATÓRIO DE ÁGUA</v>
      </c>
      <c r="D54" s="552"/>
      <c r="E54" s="248"/>
      <c r="F54" s="709" t="str">
        <f t="shared" ca="1" si="2"/>
        <v>39. RESERVATÓRIO DE ÁGUA</v>
      </c>
      <c r="G54" s="551">
        <v>4</v>
      </c>
      <c r="H54" s="551">
        <v>4</v>
      </c>
      <c r="I54" s="551">
        <v>5</v>
      </c>
      <c r="J54" s="551">
        <v>5</v>
      </c>
      <c r="K54" s="551">
        <v>5</v>
      </c>
      <c r="L54" s="551"/>
      <c r="M54" s="551"/>
      <c r="N54" s="551"/>
      <c r="O54" s="551"/>
      <c r="P54" s="551"/>
      <c r="Q54" s="551"/>
      <c r="R54" s="551"/>
      <c r="S54" s="551"/>
      <c r="T54" s="551"/>
      <c r="U54" s="551"/>
      <c r="V54" s="551"/>
      <c r="W54" s="551"/>
      <c r="X54" s="551"/>
      <c r="Y54" s="551"/>
      <c r="Z54" s="551"/>
      <c r="AA54" s="551"/>
      <c r="AB54" s="551"/>
      <c r="AC54" s="551"/>
      <c r="AD54" s="551"/>
      <c r="AE54" s="551"/>
    </row>
    <row r="55" spans="1:31" s="709" customFormat="1" x14ac:dyDescent="0.2">
      <c r="A55" s="707" t="str">
        <f ca="1">IF(AUTOEVENTO="Manual",IF(EVENTOS!$F55&gt;0,"F",""),IF(AND(B55&gt;0,B55&lt;=MAX(CÁLCULO!$M$15:$M$235)),"F",""))</f>
        <v>F</v>
      </c>
      <c r="B55" s="247">
        <f t="shared" ca="1" si="1"/>
        <v>40</v>
      </c>
      <c r="C55" s="708" t="str">
        <f ca="1">IF(AUTOEVENTO="Manual",IF($B55&gt;0,OFFSET(EVENTOS!$D$15,$B55-$B$15,0),0),IF(B55&lt;=MAX(CÁLCULO!$M$15:$M$235),VLOOKUP($B55,CÁLCULO!$M$15:$N$235,2,FALSE),0))</f>
        <v>PLASTICOS E SINTÉTICOS</v>
      </c>
      <c r="D55" s="552"/>
      <c r="E55" s="248"/>
      <c r="F55" s="709" t="str">
        <f t="shared" ca="1" si="2"/>
        <v>40. PLASTICOS E SINTÉTICOS</v>
      </c>
      <c r="G55" s="551">
        <v>8</v>
      </c>
      <c r="H55" s="551">
        <v>8</v>
      </c>
      <c r="I55" s="551">
        <v>9</v>
      </c>
      <c r="J55" s="551">
        <v>9</v>
      </c>
      <c r="K55" s="551">
        <v>9</v>
      </c>
      <c r="L55" s="551"/>
      <c r="M55" s="551"/>
      <c r="N55" s="551"/>
      <c r="O55" s="551"/>
      <c r="P55" s="551"/>
      <c r="Q55" s="551"/>
      <c r="R55" s="551"/>
      <c r="S55" s="551"/>
      <c r="T55" s="551"/>
      <c r="U55" s="551"/>
      <c r="V55" s="551"/>
      <c r="W55" s="551"/>
      <c r="X55" s="551"/>
      <c r="Y55" s="551"/>
      <c r="Z55" s="551"/>
      <c r="AA55" s="551"/>
      <c r="AB55" s="551"/>
      <c r="AC55" s="551"/>
      <c r="AD55" s="551"/>
      <c r="AE55" s="551"/>
    </row>
    <row r="56" spans="1:31" s="709" customFormat="1" x14ac:dyDescent="0.2">
      <c r="A56" s="707" t="str">
        <f ca="1">IF(AUTOEVENTO="Manual",IF(EVENTOS!$F56&gt;0,"F",""),IF(AND(B56&gt;0,B56&lt;=MAX(CÁLCULO!$M$15:$M$235)),"F",""))</f>
        <v>F</v>
      </c>
      <c r="B56" s="247">
        <f t="shared" ca="1" si="1"/>
        <v>41</v>
      </c>
      <c r="C56" s="708" t="str">
        <f ca="1">IF(AUTOEVENTO="Manual",IF($B56&gt;0,OFFSET(EVENTOS!$D$15,$B56-$B$15,0),0),IF(B56&lt;=MAX(CÁLCULO!$M$15:$M$235),VLOOKUP($B56,CÁLCULO!$M$15:$N$235,2,FALSE),0))</f>
        <v>LIMPEZA FINAL DA OBRA</v>
      </c>
      <c r="D56" s="552"/>
      <c r="E56" s="248"/>
      <c r="F56" s="709" t="str">
        <f t="shared" ca="1" si="2"/>
        <v>41. LIMPEZA FINAL DA OBRA</v>
      </c>
      <c r="G56" s="551">
        <v>9</v>
      </c>
      <c r="H56" s="551">
        <v>9</v>
      </c>
      <c r="I56" s="551">
        <v>9</v>
      </c>
      <c r="J56" s="551">
        <v>9</v>
      </c>
      <c r="K56" s="551">
        <v>9</v>
      </c>
      <c r="L56" s="551"/>
      <c r="M56" s="551"/>
      <c r="N56" s="551"/>
      <c r="O56" s="551"/>
      <c r="P56" s="551"/>
      <c r="Q56" s="551"/>
      <c r="R56" s="551"/>
      <c r="S56" s="551"/>
      <c r="T56" s="551"/>
      <c r="U56" s="551"/>
      <c r="V56" s="551"/>
      <c r="W56" s="551"/>
      <c r="X56" s="551"/>
      <c r="Y56" s="551"/>
      <c r="Z56" s="551"/>
      <c r="AA56" s="551"/>
      <c r="AB56" s="551"/>
      <c r="AC56" s="551"/>
      <c r="AD56" s="551"/>
      <c r="AE56" s="551"/>
    </row>
    <row r="57" spans="1:31" s="709" customFormat="1" hidden="1" x14ac:dyDescent="0.2">
      <c r="A57" s="707" t="str">
        <f ca="1">IF(AUTOEVENTO="Manual",IF(EVENTOS!$F57&gt;0,"F",""),IF(AND(B57&gt;0,B57&lt;=MAX(CÁLCULO!$M$15:$M$235)),"F",""))</f>
        <v/>
      </c>
      <c r="B57" s="247">
        <f t="shared" ca="1" si="1"/>
        <v>42</v>
      </c>
      <c r="C57" s="708">
        <f ca="1">IF(AUTOEVENTO="Manual",IF($B57&gt;0,OFFSET(EVENTOS!$D$15,$B57-$B$15,0),0),IF(B57&lt;=MAX(CÁLCULO!$M$15:$M$235),VLOOKUP($B57,CÁLCULO!$M$15:$N$235,2,FALSE),0))</f>
        <v>0</v>
      </c>
      <c r="D57" s="552"/>
      <c r="E57" s="248"/>
      <c r="F57" s="709" t="str">
        <f t="shared" ca="1" si="2"/>
        <v/>
      </c>
      <c r="G57" s="551"/>
      <c r="H57" s="551"/>
      <c r="I57" s="551"/>
      <c r="J57" s="551"/>
      <c r="K57" s="551"/>
      <c r="L57" s="551"/>
      <c r="M57" s="551"/>
      <c r="N57" s="551"/>
      <c r="O57" s="551"/>
      <c r="P57" s="551"/>
      <c r="Q57" s="551"/>
      <c r="R57" s="551"/>
      <c r="S57" s="551"/>
      <c r="T57" s="551"/>
      <c r="U57" s="551"/>
      <c r="V57" s="551"/>
      <c r="W57" s="551"/>
      <c r="X57" s="551"/>
      <c r="Y57" s="551"/>
      <c r="Z57" s="551"/>
      <c r="AA57" s="551"/>
      <c r="AB57" s="551"/>
      <c r="AC57" s="551"/>
      <c r="AD57" s="551"/>
      <c r="AE57" s="551"/>
    </row>
    <row r="58" spans="1:31" ht="5.0999999999999996" customHeight="1" x14ac:dyDescent="0.2">
      <c r="A58" t="s">
        <v>536</v>
      </c>
      <c r="B58" s="636"/>
      <c r="C58" s="433"/>
      <c r="D58" s="553"/>
      <c r="E58" s="262"/>
      <c r="F58" s="262"/>
      <c r="G58" s="636"/>
      <c r="H58" s="637"/>
      <c r="I58" s="637"/>
      <c r="J58" s="637"/>
      <c r="K58" s="637"/>
      <c r="L58" s="637"/>
      <c r="M58" s="637"/>
      <c r="N58" s="637"/>
      <c r="O58" s="637"/>
      <c r="P58" s="637"/>
      <c r="Q58" s="637"/>
      <c r="R58" s="637"/>
      <c r="S58" s="637"/>
      <c r="T58" s="637"/>
      <c r="U58" s="637"/>
      <c r="V58" s="637"/>
      <c r="W58" s="637"/>
      <c r="X58" s="637"/>
      <c r="Y58" s="637"/>
      <c r="Z58" s="637"/>
      <c r="AA58" s="637"/>
      <c r="AB58" s="637"/>
      <c r="AC58" s="637"/>
      <c r="AD58" s="637"/>
      <c r="AE58" s="433"/>
    </row>
    <row r="59" spans="1:31" ht="6" customHeight="1" x14ac:dyDescent="0.2">
      <c r="A59" s="7" t="s">
        <v>536</v>
      </c>
    </row>
    <row r="60" spans="1:31" ht="15" x14ac:dyDescent="0.2">
      <c r="A60" s="7" t="s">
        <v>536</v>
      </c>
      <c r="C60" s="485" t="s">
        <v>779</v>
      </c>
      <c r="H60" s="800">
        <f>(ROW($G60)-ROW($G$60))/8*12+1</f>
        <v>1</v>
      </c>
      <c r="I60" s="800"/>
      <c r="J60" s="800">
        <f>H60+1</f>
        <v>2</v>
      </c>
      <c r="K60" s="800"/>
      <c r="L60" s="800">
        <f>J60+1</f>
        <v>3</v>
      </c>
      <c r="M60" s="800"/>
      <c r="N60" s="800">
        <f>L60+1</f>
        <v>4</v>
      </c>
      <c r="O60" s="800"/>
      <c r="P60" s="800">
        <f>N60+1</f>
        <v>5</v>
      </c>
      <c r="Q60" s="800"/>
      <c r="R60" s="800">
        <f>P60+1</f>
        <v>6</v>
      </c>
      <c r="S60" s="800"/>
      <c r="T60" s="800">
        <f>R60+1</f>
        <v>7</v>
      </c>
      <c r="U60" s="800"/>
      <c r="V60" s="800">
        <f>T60+1</f>
        <v>8</v>
      </c>
      <c r="W60" s="800"/>
      <c r="X60" s="800">
        <f>V60+1</f>
        <v>9</v>
      </c>
      <c r="Y60" s="800"/>
      <c r="Z60" s="800">
        <f>X60+1</f>
        <v>10</v>
      </c>
      <c r="AA60" s="800"/>
      <c r="AB60" s="800">
        <f>Z60+1</f>
        <v>11</v>
      </c>
      <c r="AC60" s="800"/>
      <c r="AD60" s="800">
        <f>AB60+1</f>
        <v>12</v>
      </c>
      <c r="AE60" s="800"/>
    </row>
    <row r="61" spans="1:31" ht="12.75" customHeight="1" x14ac:dyDescent="0.2">
      <c r="A61" s="7" t="s">
        <v>536</v>
      </c>
      <c r="C61" s="797" t="s">
        <v>780</v>
      </c>
      <c r="G61" s="549" t="s">
        <v>781</v>
      </c>
      <c r="H61" s="786">
        <f ca="1">OFFSET(CRONO!$T$120,0,CRONOPLE!H60)</f>
        <v>7.0606638909233342E-3</v>
      </c>
      <c r="I61" s="786"/>
      <c r="J61" s="786">
        <f ca="1">OFFSET(CRONO!$T$120,0,CRONOPLE!J60)</f>
        <v>9.0111130520167046E-2</v>
      </c>
      <c r="K61" s="786"/>
      <c r="L61" s="786">
        <f ca="1">OFFSET(CRONO!$T$120,0,CRONOPLE!L60)</f>
        <v>0.11078303710370727</v>
      </c>
      <c r="M61" s="786"/>
      <c r="N61" s="786">
        <f ca="1">OFFSET(CRONO!$T$120,0,CRONOPLE!N60)</f>
        <v>0.16624620841011045</v>
      </c>
      <c r="O61" s="786"/>
      <c r="P61" s="786">
        <f ca="1">OFFSET(CRONO!$T$120,0,CRONOPLE!P60)</f>
        <v>0.17827081621933868</v>
      </c>
      <c r="Q61" s="786"/>
      <c r="R61" s="786">
        <f ca="1">OFFSET(CRONO!$T$120,0,CRONOPLE!R60)</f>
        <v>0.19079270083519795</v>
      </c>
      <c r="S61" s="786"/>
      <c r="T61" s="786">
        <f ca="1">OFFSET(CRONO!$T$120,0,CRONOPLE!T60)</f>
        <v>0.11698387167749805</v>
      </c>
      <c r="U61" s="786"/>
      <c r="V61" s="786">
        <f ca="1">OFFSET(CRONO!$T$120,0,CRONOPLE!V60)</f>
        <v>6.7602593951182219E-2</v>
      </c>
      <c r="W61" s="786"/>
      <c r="X61" s="786">
        <f ca="1">OFFSET(CRONO!$T$120,0,CRONOPLE!X60)</f>
        <v>7.2148977391875022E-2</v>
      </c>
      <c r="Y61" s="786"/>
      <c r="Z61" s="786">
        <f ca="1">OFFSET(CRONO!$T$120,0,CRONOPLE!Z60)</f>
        <v>0</v>
      </c>
      <c r="AA61" s="786"/>
      <c r="AB61" s="786">
        <f ca="1">OFFSET(CRONO!$T$120,0,CRONOPLE!AB60)</f>
        <v>0</v>
      </c>
      <c r="AC61" s="786"/>
      <c r="AD61" s="786">
        <f ca="1">OFFSET(CRONO!$T$120,0,CRONOPLE!AD60)</f>
        <v>0</v>
      </c>
      <c r="AE61" s="786"/>
    </row>
    <row r="62" spans="1:31" ht="12.75" customHeight="1" x14ac:dyDescent="0.2">
      <c r="A62" s="7" t="s">
        <v>536</v>
      </c>
      <c r="C62" s="798"/>
      <c r="G62" s="486" t="s">
        <v>782</v>
      </c>
      <c r="H62" s="799">
        <f ca="1">OFFSET(CRONO!$T$124,0,CRONOPLE!H60)</f>
        <v>18891.599999999999</v>
      </c>
      <c r="I62" s="799"/>
      <c r="J62" s="784">
        <f ca="1">OFFSET(CRONO!$T$124,0,CRONOPLE!J60)</f>
        <v>241102.46</v>
      </c>
      <c r="K62" s="785"/>
      <c r="L62" s="784">
        <f ca="1">OFFSET(CRONO!$T$124,0,CRONOPLE!L60)</f>
        <v>296412.47000000003</v>
      </c>
      <c r="M62" s="785"/>
      <c r="N62" s="784">
        <f ca="1">OFFSET(CRONO!$T$124,0,CRONOPLE!N60)</f>
        <v>444810.41999999993</v>
      </c>
      <c r="O62" s="785"/>
      <c r="P62" s="784">
        <f ca="1">OFFSET(CRONO!$T$124,0,CRONOPLE!P60)</f>
        <v>476983.6100000001</v>
      </c>
      <c r="Q62" s="785"/>
      <c r="R62" s="784">
        <f ca="1">OFFSET(CRONO!$T$124,0,CRONOPLE!R60)</f>
        <v>510487.31999999983</v>
      </c>
      <c r="S62" s="785"/>
      <c r="T62" s="784">
        <f ca="1">OFFSET(CRONO!$T$124,0,CRONOPLE!T60)</f>
        <v>313003.5</v>
      </c>
      <c r="U62" s="785"/>
      <c r="V62" s="784">
        <f ca="1">OFFSET(CRONO!$T$124,0,CRONOPLE!V60)</f>
        <v>180878.34000000032</v>
      </c>
      <c r="W62" s="785"/>
      <c r="X62" s="784">
        <f ca="1">OFFSET(CRONO!$T$124,0,CRONOPLE!X60)</f>
        <v>193042.69999999972</v>
      </c>
      <c r="Y62" s="785"/>
      <c r="Z62" s="784">
        <f ca="1">OFFSET(CRONO!$T$124,0,CRONOPLE!Z60)</f>
        <v>0</v>
      </c>
      <c r="AA62" s="785"/>
      <c r="AB62" s="784">
        <f ca="1">OFFSET(CRONO!$T$124,0,CRONOPLE!AB60)</f>
        <v>0</v>
      </c>
      <c r="AC62" s="785"/>
      <c r="AD62" s="784">
        <f ca="1">OFFSET(CRONO!$T$124,0,CRONOPLE!AD60)</f>
        <v>0</v>
      </c>
      <c r="AE62" s="785"/>
    </row>
    <row r="63" spans="1:31" ht="12.75" customHeight="1" x14ac:dyDescent="0.2">
      <c r="A63" s="7" t="s">
        <v>536</v>
      </c>
      <c r="C63" s="797" t="s">
        <v>783</v>
      </c>
      <c r="G63" s="549" t="s">
        <v>781</v>
      </c>
      <c r="H63" s="786">
        <f ca="1">OFFSET(CRONO!$T$125,0,CRONOPLE!H60)</f>
        <v>7.1000000000000004E-3</v>
      </c>
      <c r="I63" s="786"/>
      <c r="J63" s="789">
        <f ca="1">OFFSET(CRONO!$T$125,0,CRONOPLE!J60)</f>
        <v>9.7199999999999995E-2</v>
      </c>
      <c r="K63" s="790"/>
      <c r="L63" s="789">
        <f ca="1">OFFSET(CRONO!$T$125,0,CRONOPLE!L60)</f>
        <v>0.20799999999999999</v>
      </c>
      <c r="M63" s="790"/>
      <c r="N63" s="789">
        <f ca="1">OFFSET(CRONO!$T$125,0,CRONOPLE!N60)</f>
        <v>0.37419999999999998</v>
      </c>
      <c r="O63" s="790"/>
      <c r="P63" s="789">
        <f ca="1">OFFSET(CRONO!$T$125,0,CRONOPLE!P60)</f>
        <v>0.55249999999999999</v>
      </c>
      <c r="Q63" s="790"/>
      <c r="R63" s="789">
        <f ca="1">OFFSET(CRONO!$T$125,0,CRONOPLE!R60)</f>
        <v>0.74329999999999996</v>
      </c>
      <c r="S63" s="790"/>
      <c r="T63" s="789">
        <f ca="1">OFFSET(CRONO!$T$125,0,CRONOPLE!T60)</f>
        <v>0.86019999999999996</v>
      </c>
      <c r="U63" s="790"/>
      <c r="V63" s="789">
        <f ca="1">OFFSET(CRONO!$T$125,0,CRONOPLE!V60)</f>
        <v>0.92789999999999995</v>
      </c>
      <c r="W63" s="790"/>
      <c r="X63" s="789">
        <f ca="1">OFFSET(CRONO!$T$125,0,CRONOPLE!X60)</f>
        <v>1</v>
      </c>
      <c r="Y63" s="790"/>
      <c r="Z63" s="789">
        <f ca="1">OFFSET(CRONO!$T$125,0,CRONOPLE!Z60)</f>
        <v>1</v>
      </c>
      <c r="AA63" s="790"/>
      <c r="AB63" s="789">
        <f ca="1">OFFSET(CRONO!$T$125,0,CRONOPLE!AB60)</f>
        <v>1</v>
      </c>
      <c r="AC63" s="790"/>
      <c r="AD63" s="789">
        <f ca="1">OFFSET(CRONO!$T$125,0,CRONOPLE!AD60)</f>
        <v>1</v>
      </c>
      <c r="AE63" s="790"/>
    </row>
    <row r="64" spans="1:31" ht="12.75" customHeight="1" x14ac:dyDescent="0.2">
      <c r="A64" s="7" t="s">
        <v>536</v>
      </c>
      <c r="C64" s="803"/>
      <c r="G64" s="486" t="s">
        <v>782</v>
      </c>
      <c r="H64" s="802">
        <f ca="1">OFFSET(CRONO!$T$129,0,CRONOPLE!H60)</f>
        <v>18891.599999999999</v>
      </c>
      <c r="I64" s="802"/>
      <c r="J64" s="791">
        <f ca="1">OFFSET(CRONO!$T$129,0,CRONOPLE!J60)</f>
        <v>259994.06000000003</v>
      </c>
      <c r="K64" s="792"/>
      <c r="L64" s="791">
        <f ca="1">OFFSET(CRONO!$T$129,0,CRONOPLE!L60)</f>
        <v>556406.53</v>
      </c>
      <c r="M64" s="792"/>
      <c r="N64" s="791">
        <f ca="1">OFFSET(CRONO!$T$129,0,CRONOPLE!N60)</f>
        <v>1001216.95</v>
      </c>
      <c r="O64" s="792"/>
      <c r="P64" s="791">
        <f ca="1">OFFSET(CRONO!$T$129,0,CRONOPLE!P60)</f>
        <v>1478200.56</v>
      </c>
      <c r="Q64" s="792"/>
      <c r="R64" s="791">
        <f ca="1">OFFSET(CRONO!$T$129,0,CRONOPLE!R60)</f>
        <v>1988687.8800000001</v>
      </c>
      <c r="S64" s="792"/>
      <c r="T64" s="791">
        <f ca="1">OFFSET(CRONO!$T$129,0,CRONOPLE!T60)</f>
        <v>2301691.38</v>
      </c>
      <c r="U64" s="792"/>
      <c r="V64" s="791">
        <f ca="1">OFFSET(CRONO!$T$129,0,CRONOPLE!V60)</f>
        <v>2482569.7199999997</v>
      </c>
      <c r="W64" s="792"/>
      <c r="X64" s="791">
        <f ca="1">OFFSET(CRONO!$T$129,0,CRONOPLE!X60)</f>
        <v>2675612.42</v>
      </c>
      <c r="Y64" s="792"/>
      <c r="Z64" s="791">
        <f ca="1">OFFSET(CRONO!$T$129,0,CRONOPLE!Z60)</f>
        <v>2675612.42</v>
      </c>
      <c r="AA64" s="792"/>
      <c r="AB64" s="791">
        <f ca="1">OFFSET(CRONO!$T$129,0,CRONOPLE!AB60)</f>
        <v>2675612.42</v>
      </c>
      <c r="AC64" s="792"/>
      <c r="AD64" s="791">
        <f ca="1">OFFSET(CRONO!$T$129,0,CRONOPLE!AD60)</f>
        <v>2675612.42</v>
      </c>
      <c r="AE64" s="792"/>
    </row>
    <row r="65" spans="1:31" ht="12.75" customHeight="1" x14ac:dyDescent="0.2">
      <c r="A65" s="7" t="s">
        <v>536</v>
      </c>
      <c r="C65" s="550" t="s">
        <v>784</v>
      </c>
      <c r="D65" s="548"/>
      <c r="G65" s="549" t="s">
        <v>781</v>
      </c>
      <c r="H65" s="786">
        <f ca="1">OFFSET(CRONO!$T$130,0,CRONOPLE!H60)</f>
        <v>3.2000385692030945E-3</v>
      </c>
      <c r="I65" s="786"/>
      <c r="J65" s="787">
        <f ca="1">OFFSET(CRONO!$T$130,0,CRONOPLE!J60)</f>
        <v>9.34000686819529E-2</v>
      </c>
      <c r="K65" s="788"/>
      <c r="L65" s="787">
        <f ca="1">OFFSET(CRONO!$T$130,0,CRONOPLE!L60)</f>
        <v>0.20440005789268489</v>
      </c>
      <c r="M65" s="788"/>
      <c r="N65" s="787">
        <f ca="1">OFFSET(CRONO!$T$130,0,CRONOPLE!N60)</f>
        <v>0.37130002222978009</v>
      </c>
      <c r="O65" s="788"/>
      <c r="P65" s="787">
        <f ca="1">OFFSET(CRONO!$T$130,0,CRONOPLE!P60)</f>
        <v>0.55040002426127299</v>
      </c>
      <c r="Q65" s="788"/>
      <c r="R65" s="787">
        <f ca="1">OFFSET(CRONO!$T$130,0,CRONOPLE!R60)</f>
        <v>0.74210004450816069</v>
      </c>
      <c r="S65" s="788"/>
      <c r="T65" s="787">
        <f ca="1">OFFSET(CRONO!$T$130,0,CRONOPLE!T60)</f>
        <v>0.85960003308708866</v>
      </c>
      <c r="U65" s="788"/>
      <c r="V65" s="787">
        <f ca="1">OFFSET(CRONO!$T$130,0,CRONOPLE!V60)</f>
        <v>0.92750000704704449</v>
      </c>
      <c r="W65" s="788"/>
      <c r="X65" s="787">
        <f ca="1">OFFSET(CRONO!$T$130,0,CRONOPLE!X60)</f>
        <v>1.0000000000000002</v>
      </c>
      <c r="Y65" s="788"/>
      <c r="Z65" s="787">
        <f ca="1">OFFSET(CRONO!$T$130,0,CRONOPLE!Z60)</f>
        <v>1.0000000000000002</v>
      </c>
      <c r="AA65" s="788"/>
      <c r="AB65" s="787">
        <f ca="1">OFFSET(CRONO!$T$130,0,CRONOPLE!AB60)</f>
        <v>1.0000000000000002</v>
      </c>
      <c r="AC65" s="788"/>
      <c r="AD65" s="787">
        <f ca="1">OFFSET(CRONO!$T$130,0,CRONOPLE!AD60)</f>
        <v>1.0000000000000002</v>
      </c>
      <c r="AE65" s="788"/>
    </row>
    <row r="66" spans="1:31" ht="15" customHeight="1" x14ac:dyDescent="0.25">
      <c r="A66" s="7" t="s">
        <v>536</v>
      </c>
      <c r="C66" s="547"/>
      <c r="G66" s="581" t="str">
        <f ca="1">IF(COUNTIF(H66:AF66,"%Adm&gt;%Global")&gt;0,"Verificar proporcionalidade da Administração Local","")</f>
        <v/>
      </c>
      <c r="H66" s="533" t="str">
        <f ca="1">IF(H65="","",IF(ROUND(H65,4)&gt;ROUND(H63,4),"%Adm&gt;%Global",""))</f>
        <v/>
      </c>
      <c r="J66" s="533" t="str">
        <f ca="1">IF(J65="","",IF(ROUND(J65,4)&gt;ROUND(J63,4),"%Adm&gt;%Global",""))</f>
        <v/>
      </c>
      <c r="L66" s="533" t="str">
        <f ca="1">IF(L65="","",IF(ROUND(L65,4)&gt;ROUND(L63,4),"%Adm&gt;%Global",""))</f>
        <v/>
      </c>
      <c r="N66" s="533" t="str">
        <f ca="1">IF(N65="","",IF(ROUND(N65,4)&gt;ROUND(N63,4),"%Adm&gt;%Global",""))</f>
        <v/>
      </c>
      <c r="P66" s="533" t="str">
        <f ca="1">IF(P65="","",IF(ROUND(P65,4)&gt;ROUND(P63,4),"%Adm&gt;%Global",""))</f>
        <v/>
      </c>
      <c r="R66" s="533" t="str">
        <f ca="1">IF(R65="","",IF(ROUND(R65,4)&gt;ROUND(R63,4),"%Adm&gt;%Global",""))</f>
        <v/>
      </c>
      <c r="T66" s="533" t="str">
        <f ca="1">IF(T65="","",IF(ROUND(T65,4)&gt;ROUND(T63,4),"%Adm&gt;%Global",""))</f>
        <v/>
      </c>
      <c r="V66" s="533" t="str">
        <f ca="1">IF(V65="","",IF(ROUND(V65,4)&gt;ROUND(V63,4),"%Adm&gt;%Global",""))</f>
        <v/>
      </c>
      <c r="X66" s="533" t="str">
        <f ca="1">IF(X65="","",IF(ROUND(X65,4)&gt;ROUND(X63,4),"%Adm&gt;%Global",""))</f>
        <v/>
      </c>
      <c r="Z66" s="533" t="str">
        <f ca="1">IF(Z65="","",IF(ROUND(Z65,4)&gt;ROUND(Z63,4),"%Adm&gt;%Global",""))</f>
        <v/>
      </c>
      <c r="AB66" s="533" t="str">
        <f ca="1">IF(AB65="","",IF(ROUND(AB65,4)&gt;ROUND(AB63,4),"%Adm&gt;%Global",""))</f>
        <v/>
      </c>
      <c r="AD66" s="533" t="str">
        <f ca="1">IF(AD65="","",IF(ROUND(AD65,4)&gt;ROUND(AD63,4),"%Adm&gt;%Global",""))</f>
        <v/>
      </c>
    </row>
    <row r="67" spans="1:31" x14ac:dyDescent="0.2">
      <c r="A67" s="7" t="s">
        <v>536</v>
      </c>
    </row>
    <row r="68" spans="1:31" ht="15" x14ac:dyDescent="0.2">
      <c r="A68" s="7" t="s">
        <v>536</v>
      </c>
      <c r="B68" s="138" t="str">
        <f>Import.Município</f>
        <v>PIRANGUÇU-MG</v>
      </c>
      <c r="C68" s="138"/>
      <c r="E68" s="487"/>
      <c r="F68" s="487"/>
      <c r="G68" s="487"/>
      <c r="H68" s="487"/>
      <c r="I68" s="487"/>
      <c r="J68" s="487"/>
      <c r="K68" s="487"/>
      <c r="L68" s="487"/>
      <c r="V68" s="459"/>
      <c r="W68" s="417"/>
      <c r="X68" s="417"/>
      <c r="Y68" s="417"/>
      <c r="Z68" s="417"/>
      <c r="AA68" s="417"/>
      <c r="AB68" s="417"/>
      <c r="AC68" s="417"/>
      <c r="AD68" s="417"/>
      <c r="AE68" s="417"/>
    </row>
    <row r="69" spans="1:31" x14ac:dyDescent="0.2">
      <c r="A69" s="7" t="s">
        <v>536</v>
      </c>
      <c r="B69" s="9" t="s">
        <v>693</v>
      </c>
      <c r="F69" s="185"/>
      <c r="G69" s="185"/>
      <c r="H69" s="185"/>
      <c r="I69" s="185"/>
      <c r="J69" s="185"/>
      <c r="K69" s="185"/>
      <c r="L69" s="187"/>
      <c r="V69" s="181" t="s">
        <v>696</v>
      </c>
    </row>
    <row r="70" spans="1:31" x14ac:dyDescent="0.2">
      <c r="A70" s="7" t="s">
        <v>536</v>
      </c>
      <c r="F70" s="185"/>
      <c r="G70" s="185"/>
      <c r="H70" s="185"/>
      <c r="I70" s="185"/>
      <c r="J70" s="185"/>
      <c r="K70" s="185"/>
      <c r="L70" s="187"/>
      <c r="V70" s="398" t="str">
        <f t="array" aca="1" ref="V70:V72" ca="1">OFFSET(Import.RespOrçamento,0,-1) &amp; " " &amp; Import.RespOrçamento</f>
        <v>Nome: NILCEZAR AUGUSTO PERES</v>
      </c>
    </row>
    <row r="71" spans="1:31" ht="16.5" x14ac:dyDescent="0.3">
      <c r="A71" s="7" t="s">
        <v>536</v>
      </c>
      <c r="B71" s="804">
        <f>DADOS!$C$25</f>
        <v>45939</v>
      </c>
      <c r="C71" s="804"/>
      <c r="F71" s="185"/>
      <c r="G71" s="185"/>
      <c r="H71" s="185"/>
      <c r="I71" s="185"/>
      <c r="J71" s="185"/>
      <c r="K71" s="185"/>
      <c r="L71" s="187"/>
      <c r="V71" s="398" t="str">
        <f ca="1"/>
        <v>CREA/CAU: 161.233/D-MG</v>
      </c>
    </row>
    <row r="72" spans="1:31" x14ac:dyDescent="0.2">
      <c r="A72" s="7" t="s">
        <v>536</v>
      </c>
      <c r="B72" s="9" t="s">
        <v>694</v>
      </c>
      <c r="F72" s="185"/>
      <c r="G72" s="185"/>
      <c r="H72" s="185"/>
      <c r="I72" s="185"/>
      <c r="J72" s="185"/>
      <c r="K72" s="185"/>
      <c r="L72" s="187"/>
      <c r="V72" s="398" t="str">
        <f ca="1"/>
        <v>ART/RRT: MG2025435540</v>
      </c>
    </row>
  </sheetData>
  <sheetProtection algorithmName="SHA-512" hashValue="ZlKPVnT0EftQeN4yzhLtHsK6/qlJET6eee6+7sPKizj8/NkAxMOGnLMPOA5QWlUEEs3+r9BMLER4HdLTqn4rTA==" saltValue="ykLE3yYJDHQm5ALc2P49Qw==" spinCount="100000" sheet="1" objects="1" scenarios="1" autoFilter="0"/>
  <autoFilter ref="A13:A72" xr:uid="{00000000-0009-0000-0000-000007000000}">
    <filterColumn colId="0">
      <customFilters>
        <customFilter operator="notEqual" val=" "/>
      </customFilters>
    </filterColumn>
  </autoFilter>
  <mergeCells count="86">
    <mergeCell ref="C63:C64"/>
    <mergeCell ref="H65:I65"/>
    <mergeCell ref="J65:K65"/>
    <mergeCell ref="X63:Y63"/>
    <mergeCell ref="B71:C71"/>
    <mergeCell ref="V64:W64"/>
    <mergeCell ref="X64:Y64"/>
    <mergeCell ref="L65:M65"/>
    <mergeCell ref="N65:O65"/>
    <mergeCell ref="Z64:AA64"/>
    <mergeCell ref="H63:I63"/>
    <mergeCell ref="J63:K63"/>
    <mergeCell ref="L63:M63"/>
    <mergeCell ref="N63:O63"/>
    <mergeCell ref="H64:I64"/>
    <mergeCell ref="J64:K64"/>
    <mergeCell ref="N64:O64"/>
    <mergeCell ref="P64:Q64"/>
    <mergeCell ref="R64:S64"/>
    <mergeCell ref="T64:U64"/>
    <mergeCell ref="P63:Q63"/>
    <mergeCell ref="R63:S63"/>
    <mergeCell ref="V63:W63"/>
    <mergeCell ref="L64:M64"/>
    <mergeCell ref="T63:U63"/>
    <mergeCell ref="T62:U62"/>
    <mergeCell ref="V62:W62"/>
    <mergeCell ref="L61:M61"/>
    <mergeCell ref="N61:O61"/>
    <mergeCell ref="L62:M62"/>
    <mergeCell ref="N62:O62"/>
    <mergeCell ref="P61:Q61"/>
    <mergeCell ref="R61:S61"/>
    <mergeCell ref="T61:U61"/>
    <mergeCell ref="H60:I60"/>
    <mergeCell ref="J60:K60"/>
    <mergeCell ref="L60:M60"/>
    <mergeCell ref="T60:U60"/>
    <mergeCell ref="B8:C8"/>
    <mergeCell ref="B12:B13"/>
    <mergeCell ref="C12:C13"/>
    <mergeCell ref="N60:O60"/>
    <mergeCell ref="P60:Q60"/>
    <mergeCell ref="R60:S60"/>
    <mergeCell ref="AD60:AE60"/>
    <mergeCell ref="X61:Y61"/>
    <mergeCell ref="Z61:AA61"/>
    <mergeCell ref="V61:W61"/>
    <mergeCell ref="AB60:AC60"/>
    <mergeCell ref="X60:Y60"/>
    <mergeCell ref="Z60:AA60"/>
    <mergeCell ref="V60:W60"/>
    <mergeCell ref="C61:C62"/>
    <mergeCell ref="H61:I61"/>
    <mergeCell ref="J61:K61"/>
    <mergeCell ref="H62:I62"/>
    <mergeCell ref="J62:K62"/>
    <mergeCell ref="AC2:AE2"/>
    <mergeCell ref="B4:D4"/>
    <mergeCell ref="G4:I4"/>
    <mergeCell ref="J4:L4"/>
    <mergeCell ref="B5:D5"/>
    <mergeCell ref="G5:I5"/>
    <mergeCell ref="J5:L5"/>
    <mergeCell ref="M5:AE5"/>
    <mergeCell ref="AB65:AC65"/>
    <mergeCell ref="R62:S62"/>
    <mergeCell ref="X62:Y62"/>
    <mergeCell ref="P62:Q62"/>
    <mergeCell ref="AD63:AE63"/>
    <mergeCell ref="P65:Q65"/>
    <mergeCell ref="AD64:AE64"/>
    <mergeCell ref="AD65:AE65"/>
    <mergeCell ref="R65:S65"/>
    <mergeCell ref="T65:U65"/>
    <mergeCell ref="V65:W65"/>
    <mergeCell ref="X65:Y65"/>
    <mergeCell ref="Z65:AA65"/>
    <mergeCell ref="AB64:AC64"/>
    <mergeCell ref="Z63:AA63"/>
    <mergeCell ref="AB63:AC63"/>
    <mergeCell ref="AB62:AC62"/>
    <mergeCell ref="AB61:AC61"/>
    <mergeCell ref="AD61:AE61"/>
    <mergeCell ref="AD62:AE62"/>
    <mergeCell ref="Z62:AA62"/>
  </mergeCells>
  <phoneticPr fontId="38" type="noConversion"/>
  <conditionalFormatting sqref="E1 G1:AE1 E44:E48 G44:G48 L44:AE48">
    <cfRule type="expression" dxfId="367" priority="805" stopIfTrue="1">
      <formula>IF(OR(E$12&gt;CÁLCULO.NúmeroDeFrentes,ACOMPANHAMENTO="BM"),TRUE,CRONOPLE.ValorDoEvento=0)</formula>
    </cfRule>
  </conditionalFormatting>
  <conditionalFormatting sqref="U4:Y4">
    <cfRule type="expression" dxfId="366" priority="695" stopIfTrue="1">
      <formula>QCI.ExisteManual</formula>
    </cfRule>
  </conditionalFormatting>
  <conditionalFormatting sqref="J60:AE60">
    <cfRule type="expression" dxfId="365" priority="694" stopIfTrue="1">
      <formula>OFFSET(J60,3,-2)=1</formula>
    </cfRule>
  </conditionalFormatting>
  <conditionalFormatting sqref="J61:AE61">
    <cfRule type="expression" dxfId="364" priority="689" stopIfTrue="1">
      <formula>OFFSET(J61,2,-2)=1</formula>
    </cfRule>
  </conditionalFormatting>
  <conditionalFormatting sqref="J62:AE62">
    <cfRule type="expression" dxfId="363" priority="688" stopIfTrue="1">
      <formula>OFFSET(J62,1,-2)=1</formula>
    </cfRule>
  </conditionalFormatting>
  <conditionalFormatting sqref="J63:AE63">
    <cfRule type="expression" dxfId="362" priority="687" stopIfTrue="1">
      <formula>OFFSET(J63,0,-2)=1</formula>
    </cfRule>
  </conditionalFormatting>
  <conditionalFormatting sqref="J64:AE64">
    <cfRule type="expression" dxfId="361" priority="686" stopIfTrue="1">
      <formula>OFFSET(J64,-1,-2)=1</formula>
    </cfRule>
  </conditionalFormatting>
  <conditionalFormatting sqref="B15:C15 E15 G15:AF15">
    <cfRule type="expression" dxfId="360" priority="510">
      <formula>$B$15=0</formula>
    </cfRule>
  </conditionalFormatting>
  <conditionalFormatting sqref="B8:C8">
    <cfRule type="expression" dxfId="359" priority="509">
      <formula>$B$7=""</formula>
    </cfRule>
  </conditionalFormatting>
  <conditionalFormatting sqref="J65:AE65">
    <cfRule type="expression" dxfId="358" priority="508">
      <formula>OFFSET(J65,-2,-2)=1</formula>
    </cfRule>
  </conditionalFormatting>
  <conditionalFormatting sqref="H65:AE65">
    <cfRule type="expression" dxfId="357" priority="507">
      <formula>ROUND(H65,4)&gt;ROUND(H63,4)</formula>
    </cfRule>
  </conditionalFormatting>
  <conditionalFormatting sqref="E16:E24 G16:AE24">
    <cfRule type="expression" dxfId="356" priority="9" stopIfTrue="1">
      <formula>IF(OR(E$12&gt;CÁLCULO.NúmeroDeFrentes,ACOMPANHAMENTO="BM"),TRUE,CRONOPLE.ValorDoEvento=0)</formula>
    </cfRule>
  </conditionalFormatting>
  <conditionalFormatting sqref="E25:E33 G25:AE33">
    <cfRule type="expression" dxfId="355" priority="8" stopIfTrue="1">
      <formula>IF(OR(E$12&gt;CÁLCULO.NúmeroDeFrentes,ACOMPANHAMENTO="BM"),TRUE,CRONOPLE.ValorDoEvento=0)</formula>
    </cfRule>
  </conditionalFormatting>
  <conditionalFormatting sqref="E34:E42 G39:G42 L34:AE42 H39:K56 G34:K38">
    <cfRule type="expression" dxfId="354" priority="7" stopIfTrue="1">
      <formula>IF(OR(E$12&gt;CÁLCULO.NúmeroDeFrentes,ACOMPANHAMENTO="BM"),TRUE,CRONOPLE.ValorDoEvento=0)</formula>
    </cfRule>
  </conditionalFormatting>
  <conditionalFormatting sqref="E43 G43 L43:AE43">
    <cfRule type="expression" dxfId="353" priority="6" stopIfTrue="1">
      <formula>IF(OR(E$12&gt;CÁLCULO.NúmeroDeFrentes,ACOMPANHAMENTO="BM"),TRUE,CRONOPLE.ValorDoEvento=0)</formula>
    </cfRule>
  </conditionalFormatting>
  <conditionalFormatting sqref="E49:E52 G49:G52 L49:AE52">
    <cfRule type="expression" dxfId="352" priority="2" stopIfTrue="1">
      <formula>IF(OR(E$12&gt;CÁLCULO.NúmeroDeFrentes,ACOMPANHAMENTO="BM"),TRUE,CRONOPLE.ValorDoEvento=0)</formula>
    </cfRule>
  </conditionalFormatting>
  <conditionalFormatting sqref="E53:E57 G57:AE57 G53:G56 L53:AE56">
    <cfRule type="expression" dxfId="351"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57 E16:E57" xr:uid="{00000000-0002-0000-0700-000000000000}">
      <formula1>0</formula1>
      <formula2>0</formula2>
    </dataValidation>
    <dataValidation type="list" allowBlank="1" showInputMessage="1" showErrorMessage="1" errorTitle="Atenção" error="Selecione uma opção da lista." prompt="Selecione uma opção da lista." sqref="B8:C8" xr:uid="{00000000-0002-0000-0700-000001000000}">
      <formula1>CRONOPLE.Lista.AdmLocal</formula1>
    </dataValidation>
  </dataValidations>
  <pageMargins left="0.7" right="0.7" top="0.75" bottom="0.75" header="0.3" footer="0.3"/>
  <pageSetup paperSize="9" scale="71" firstPageNumber="0" fitToHeight="0" orientation="landscape" horizontalDpi="300" verticalDpi="300" r:id="rId1"/>
  <headerFooter alignWithMargins="0">
    <oddHeader>&amp;L_&amp;C&amp;14I</oddHeader>
    <oddFooter>&amp;LPMv3.16&amp;R&amp;P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9"/>
  <dimension ref="A1:AG136"/>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f t="array" aca="1" ref="E1" ca="1">IF(AND($R1=2,ACOMPANHAMENTO="BM"),ROUND(E2,4),E3/$S1)</f>
        <v>#REF!</v>
      </c>
      <c r="F1" s="185" t="e">
        <f t="array" aca="1" ref="F1" ca="1">IF(B1&lt;=ORÇAMENTO.MáximoListaCrono,MATCH(B1,ORÇAMENTO.ListaCrono,0),NA())</f>
        <v>#REF!</v>
      </c>
      <c r="G1" s="185" t="e">
        <f ca="1">IF(AND($F2&lt;&gt;-1,$S1&gt;0),"F","")</f>
        <v>#REF!</v>
      </c>
      <c r="H1" s="189" t="e">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IF($F2=-1,0,IF(N$13&lt;=$M1,IF(ISERROR(MATCH(N$13,OFFSET($M1,1,0,ROW($M$119)-ROW($M1)-1),0)),ROW($M$119)-ROW($M1)-1,MATCH(N$13,OFFSET($M1,1,0,ROW($M$119)-ROW($M1)-1),0)-1),0))</f>
        <v>#REF!</v>
      </c>
      <c r="O1" s="193" t="e">
        <f ca="1">IF($F2=-1,0,IF(O$13&lt;=$M1,IF(ISERROR(MATCH(O$13,OFFSET($M1,1,0,ROW($M$119)-ROW($M1)-1),0)),ROW($M$119)-ROW($M1)-1,MATCH(O$13,OFFSET($M1,1,0,ROW($M$119)-ROW($M1)-1),0)-1),0))</f>
        <v>#REF!</v>
      </c>
      <c r="P1" s="193" t="e">
        <f ca="1">IF($F2=-1,0,IF(P$13&lt;=$M1,IF(ISERROR(MATCH(P$13,OFFSET($M1,1,0,ROW($M$119)-ROW($M1)-1),0)),ROW($M$119)-ROW($M1)-1,MATCH(P$13,OFFSET($M1,1,0,ROW($M$119)-ROW($M1)-1),0)-1),0))</f>
        <v>#REF!</v>
      </c>
      <c r="Q1" s="193" t="e">
        <f ca="1">IF($F2=-1,0,IF(Q$13&lt;=$M1,IF(ISERROR(MATCH(Q$13,OFFSET($M1,1,0,ROW($M$119)-ROW($M1)-1),0)),ROW($M$119)-ROW($M1)-1,MATCH(Q$13,OFFSET($M1,1,0,ROW($M$119)-ROW($M1)-1),0)-1),0))</f>
        <v>#REF!</v>
      </c>
      <c r="R1" s="193" t="e">
        <f ca="1">MIN(OFFSET(M1,0,1,,M1))</f>
        <v>#REF!</v>
      </c>
      <c r="S1" s="194" t="e">
        <f ca="1">IF($F2=0,OFFSET(ORÇAMENTO!X$15,$F1,0),IF($F2&lt;&gt;-1,OFFSET(QCI!$O$13,$F2,0),""))</f>
        <v>#REF!</v>
      </c>
      <c r="T1" s="195" t="s">
        <v>785</v>
      </c>
      <c r="U1" s="188" t="e">
        <f t="array" aca="1" ref="U1" ca="1">IF(AND($R1=2,ACOMPANHAMENTO="BM"),ROUND(U2,4),U3/$S1)</f>
        <v>#REF!</v>
      </c>
      <c r="V1" s="188" t="e">
        <f t="array" aca="1" ref="V1" ca="1">IF(AND($R1=2,ACOMPANHAMENTO="BM"),ROUND(V2,4),V3/$S1)</f>
        <v>#REF!</v>
      </c>
      <c r="W1" s="188" t="e">
        <f t="array" aca="1" ref="W1" ca="1">IF(AND($R1=2,ACOMPANHAMENTO="BM"),ROUND(W2,4),W3/$S1)</f>
        <v>#REF!</v>
      </c>
      <c r="X1" s="188" t="e">
        <f t="array" aca="1" ref="X1" ca="1">IF(AND($R1=2,ACOMPANHAMENTO="BM"),ROUND(X2,4),X3/$S1)</f>
        <v>#REF!</v>
      </c>
      <c r="Y1" s="188" t="e">
        <f t="array" aca="1" ref="Y1" ca="1">IF(AND($R1=2,ACOMPANHAMENTO="BM"),ROUND(Y2,4),Y3/$S1)</f>
        <v>#REF!</v>
      </c>
      <c r="Z1" s="188" t="e">
        <f t="array" aca="1" ref="Z1" ca="1">IF(AND($R1=2,ACOMPANHAMENTO="BM"),ROUND(Z2,4),Z3/$S1)</f>
        <v>#REF!</v>
      </c>
      <c r="AA1" s="188" t="e">
        <f t="array" aca="1" ref="AA1" ca="1">IF(AND($R1=2,ACOMPANHAMENTO="BM"),ROUND(AA2,4),AA3/$S1)</f>
        <v>#REF!</v>
      </c>
      <c r="AB1" s="188" t="e">
        <f t="array" aca="1" ref="AB1" ca="1">IF(AND($R1=2,ACOMPANHAMENTO="BM"),ROUND(AB2,4),AB3/$S1)</f>
        <v>#REF!</v>
      </c>
      <c r="AC1" s="188" t="e">
        <f t="array" aca="1" ref="AC1" ca="1">IF(AND($R1=2,ACOMPANHAMENTO="BM"),ROUND(AC2,4),AC3/$S1)</f>
        <v>#REF!</v>
      </c>
      <c r="AD1" s="188" t="e">
        <f t="array" aca="1" ref="AD1" ca="1">IF(AND($R1=2,ACOMPANHAMENTO="BM"),ROUND(AD2,4),AD3/$S1)</f>
        <v>#REF!</v>
      </c>
      <c r="AE1" s="188" t="e">
        <f t="array" aca="1" ref="AE1" ca="1">IF(AND($R1=2,ACOMPANHAMENTO="BM"),ROUND(AE2,4),AE3/$S1)</f>
        <v>#REF!</v>
      </c>
      <c r="AF1" s="188" t="e">
        <f t="array" aca="1" ref="AF1" ca="1">IF(AND($R1=2,ACOMPANHAMENTO="BM"),ROUND(AF2,4),AF3/$S1)</f>
        <v>#REF!</v>
      </c>
      <c r="AG1" s="532"/>
    </row>
    <row r="2" spans="1:33" ht="12.75" hidden="1" customHeight="1" x14ac:dyDescent="0.2">
      <c r="E2" s="585"/>
      <c r="F2" s="185" t="e">
        <f ca="1">IF(ISERROR(F1),IF(1+COUNTIF($M$13:OFFSET(M1,-1,0),1)&lt;=MAX(QCI!$D$13:$D$24),1+COUNTIF($M$13:OFFSET(M1,-1,0),1),-1),0)</f>
        <v>#REF!</v>
      </c>
      <c r="G2" s="185" t="str">
        <f t="array" aca="1" ref="G2" ca="1">IF(ACOMPANHAMENTO="BM",OFFSET(G2,-1,0),"")</f>
        <v/>
      </c>
      <c r="H2" s="196" t="e">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5"/>
      <c r="V2" s="585"/>
      <c r="W2" s="585"/>
      <c r="X2" s="585"/>
      <c r="Y2" s="585"/>
      <c r="Z2" s="585"/>
      <c r="AA2" s="585"/>
      <c r="AB2" s="585"/>
      <c r="AC2" s="585"/>
      <c r="AD2" s="585"/>
      <c r="AE2" s="585"/>
      <c r="AF2" s="585"/>
      <c r="AG2" s="532"/>
    </row>
    <row r="3" spans="1:33" ht="12.75" hidden="1" customHeight="1" x14ac:dyDescent="0.2">
      <c r="D3" s="531"/>
      <c r="E3" s="202" t="e">
        <f t="array" aca="1" ref="E3" ca="1">IF($R1=2,
         IF(AND(ACOMPANHAMENTO="PLE",ISNUMBER($F1)),
                SUMIF((OFFSET(CÁLCULO!$BC$15:$BU$15,$F1,0,OFFSET(ORÇAMENTO!$D$15,CRONO!$F1,0))),CRONO!E$12,OFFSET(CÁLCULO!$AJ$15:$BB$15,$F1,0,OFFSET(ORÇAMENTO!$D$15,CRONO!$F1,0)))
                +IF(AND($F3&lt;&gt;"",$F3&lt;&gt;0),
                        SUMIF(CÁLCULO!$BC$15:$BU$235,CRONO!E$12,CÁLCULO!$AJ$15:$BB$235)/(ORÇAMENTO!$X$15-CÁLCULO.TotalAdmLocal)*CRONO!$F3,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f t="array" aca="1" ref="U3" ca="1">IF($R1=2,
         IF(AND(ACOMPANHAMENTO="PLE",ISNUMBER($F1)),
                SUMIF((OFFSET(CÁLCULO!$BC$15:$BU$15,$F1,0,OFFSET(ORÇAMENTO!$D$15,CRONO!$F1,0))),CRONO!U$12,OFFSET(CÁLCULO!$AJ$15:$BB$15,$F1,0,OFFSET(ORÇAMENTO!$D$15,CRONO!$F1,0)))
                +IF(AND($F3&lt;&gt;"",$F3&lt;&gt;0),
                        SUMIF(CÁLCULO!$BC$15:$BU$235,CRONO!U$12,CÁLCULO!$AJ$15:$BB$235)/(ORÇAMENTO!$X$15-CÁLCULO.TotalAdmLocal)*CRONO!$F3,
                        0),
                 U2*$S1),
          SUMIF(OFFSET($S3,1,0,$R1-2),($M1+1)&amp;"$",OFFSET(U3,1,0,$R1-2)))</f>
        <v>#REF!</v>
      </c>
      <c r="V3" s="202" t="e">
        <f t="array" aca="1" ref="V3" ca="1">IF($R1=2,
         IF(AND(ACOMPANHAMENTO="PLE",ISNUMBER($F1)),
                SUMIF((OFFSET(CÁLCULO!$BC$15:$BU$15,$F1,0,OFFSET(ORÇAMENTO!$D$15,CRONO!$F1,0))),CRONO!V$12,OFFSET(CÁLCULO!$AJ$15:$BB$15,$F1,0,OFFSET(ORÇAMENTO!$D$15,CRONO!$F1,0)))
                +IF(AND($F3&lt;&gt;"",$F3&lt;&gt;0),
                        SUMIF(CÁLCULO!$BC$15:$BU$235,CRONO!V$12,CÁLCULO!$AJ$15:$BB$235)/(ORÇAMENTO!$X$15-CÁLCULO.TotalAdmLocal)*CRONO!$F3,
                        0),
                 V2*$S1),
          SUMIF(OFFSET($S3,1,0,$R1-2),($M1+1)&amp;"$",OFFSET(V3,1,0,$R1-2)))</f>
        <v>#REF!</v>
      </c>
      <c r="W3" s="202" t="e">
        <f t="array" aca="1" ref="W3" ca="1">IF($R1=2,
         IF(AND(ACOMPANHAMENTO="PLE",ISNUMBER($F1)),
                SUMIF((OFFSET(CÁLCULO!$BC$15:$BU$15,$F1,0,OFFSET(ORÇAMENTO!$D$15,CRONO!$F1,0))),CRONO!W$12,OFFSET(CÁLCULO!$AJ$15:$BB$15,$F1,0,OFFSET(ORÇAMENTO!$D$15,CRONO!$F1,0)))
                +IF(AND($F3&lt;&gt;"",$F3&lt;&gt;0),
                        SUMIF(CÁLCULO!$BC$15:$BU$235,CRONO!W$12,CÁLCULO!$AJ$15:$BB$235)/(ORÇAMENTO!$X$15-CÁLCULO.TotalAdmLocal)*CRONO!$F3,
                        0),
                 W2*$S1),
          SUMIF(OFFSET($S3,1,0,$R1-2),($M1+1)&amp;"$",OFFSET(W3,1,0,$R1-2)))</f>
        <v>#REF!</v>
      </c>
      <c r="X3" s="202" t="e">
        <f t="array" aca="1" ref="X3" ca="1">IF($R1=2,
         IF(AND(ACOMPANHAMENTO="PLE",ISNUMBER($F1)),
                SUMIF((OFFSET(CÁLCULO!$BC$15:$BU$15,$F1,0,OFFSET(ORÇAMENTO!$D$15,CRONO!$F1,0))),CRONO!X$12,OFFSET(CÁLCULO!$AJ$15:$BB$15,$F1,0,OFFSET(ORÇAMENTO!$D$15,CRONO!$F1,0)))
                +IF(AND($F3&lt;&gt;"",$F3&lt;&gt;0),
                        SUMIF(CÁLCULO!$BC$15:$BU$235,CRONO!X$12,CÁLCULO!$AJ$15:$BB$235)/(ORÇAMENTO!$X$15-CÁLCULO.TotalAdmLocal)*CRONO!$F3,
                        0),
                 X2*$S1),
          SUMIF(OFFSET($S3,1,0,$R1-2),($M1+1)&amp;"$",OFFSET(X3,1,0,$R1-2)))</f>
        <v>#REF!</v>
      </c>
      <c r="Y3" s="202" t="e">
        <f t="array" aca="1" ref="Y3" ca="1">IF($R1=2,
         IF(AND(ACOMPANHAMENTO="PLE",ISNUMBER($F1)),
                SUMIF((OFFSET(CÁLCULO!$BC$15:$BU$15,$F1,0,OFFSET(ORÇAMENTO!$D$15,CRONO!$F1,0))),CRONO!Y$12,OFFSET(CÁLCULO!$AJ$15:$BB$15,$F1,0,OFFSET(ORÇAMENTO!$D$15,CRONO!$F1,0)))
                +IF(AND($F3&lt;&gt;"",$F3&lt;&gt;0),
                        SUMIF(CÁLCULO!$BC$15:$BU$235,CRONO!Y$12,CÁLCULO!$AJ$15:$BB$235)/(ORÇAMENTO!$X$15-CÁLCULO.TotalAdmLocal)*CRONO!$F3,
                        0),
                 Y2*$S1),
          SUMIF(OFFSET($S3,1,0,$R1-2),($M1+1)&amp;"$",OFFSET(Y3,1,0,$R1-2)))</f>
        <v>#REF!</v>
      </c>
      <c r="Z3" s="202" t="e">
        <f t="array" aca="1" ref="Z3" ca="1">IF($R1=2,
         IF(AND(ACOMPANHAMENTO="PLE",ISNUMBER($F1)),
                SUMIF((OFFSET(CÁLCULO!$BC$15:$BU$15,$F1,0,OFFSET(ORÇAMENTO!$D$15,CRONO!$F1,0))),CRONO!Z$12,OFFSET(CÁLCULO!$AJ$15:$BB$15,$F1,0,OFFSET(ORÇAMENTO!$D$15,CRONO!$F1,0)))
                +IF(AND($F3&lt;&gt;"",$F3&lt;&gt;0),
                        SUMIF(CÁLCULO!$BC$15:$BU$235,CRONO!Z$12,CÁLCULO!$AJ$15:$BB$235)/(ORÇAMENTO!$X$15-CÁLCULO.TotalAdmLocal)*CRONO!$F3,
                        0),
                 Z2*$S1),
          SUMIF(OFFSET($S3,1,0,$R1-2),($M1+1)&amp;"$",OFFSET(Z3,1,0,$R1-2)))</f>
        <v>#REF!</v>
      </c>
      <c r="AA3" s="202" t="e">
        <f t="array" aca="1" ref="AA3" ca="1">IF($R1=2,
         IF(AND(ACOMPANHAMENTO="PLE",ISNUMBER($F1)),
                SUMIF((OFFSET(CÁLCULO!$BC$15:$BU$15,$F1,0,OFFSET(ORÇAMENTO!$D$15,CRONO!$F1,0))),CRONO!AA$12,OFFSET(CÁLCULO!$AJ$15:$BB$15,$F1,0,OFFSET(ORÇAMENTO!$D$15,CRONO!$F1,0)))
                +IF(AND($F3&lt;&gt;"",$F3&lt;&gt;0),
                        SUMIF(CÁLCULO!$BC$15:$BU$235,CRONO!AA$12,CÁLCULO!$AJ$15:$BB$235)/(ORÇAMENTO!$X$15-CÁLCULO.TotalAdmLocal)*CRONO!$F3,
                        0),
                 AA2*$S1),
          SUMIF(OFFSET($S3,1,0,$R1-2),($M1+1)&amp;"$",OFFSET(AA3,1,0,$R1-2)))</f>
        <v>#REF!</v>
      </c>
      <c r="AB3" s="202" t="e">
        <f t="array" aca="1" ref="AB3" ca="1">IF($R1=2,
         IF(AND(ACOMPANHAMENTO="PLE",ISNUMBER($F1)),
                SUMIF((OFFSET(CÁLCULO!$BC$15:$BU$15,$F1,0,OFFSET(ORÇAMENTO!$D$15,CRONO!$F1,0))),CRONO!AB$12,OFFSET(CÁLCULO!$AJ$15:$BB$15,$F1,0,OFFSET(ORÇAMENTO!$D$15,CRONO!$F1,0)))
                +IF(AND($F3&lt;&gt;"",$F3&lt;&gt;0),
                        SUMIF(CÁLCULO!$BC$15:$BU$235,CRONO!AB$12,CÁLCULO!$AJ$15:$BB$235)/(ORÇAMENTO!$X$15-CÁLCULO.TotalAdmLocal)*CRONO!$F3,
                        0),
                 AB2*$S1),
          SUMIF(OFFSET($S3,1,0,$R1-2),($M1+1)&amp;"$",OFFSET(AB3,1,0,$R1-2)))</f>
        <v>#REF!</v>
      </c>
      <c r="AC3" s="202" t="e">
        <f t="array" aca="1" ref="AC3" ca="1">IF($R1=2,
         IF(AND(ACOMPANHAMENTO="PLE",ISNUMBER($F1)),
                SUMIF((OFFSET(CÁLCULO!$BC$15:$BU$15,$F1,0,OFFSET(ORÇAMENTO!$D$15,CRONO!$F1,0))),CRONO!AC$12,OFFSET(CÁLCULO!$AJ$15:$BB$15,$F1,0,OFFSET(ORÇAMENTO!$D$15,CRONO!$F1,0)))
                +IF(AND($F3&lt;&gt;"",$F3&lt;&gt;0),
                        SUMIF(CÁLCULO!$BC$15:$BU$235,CRONO!AC$12,CÁLCULO!$AJ$15:$BB$235)/(ORÇAMENTO!$X$15-CÁLCULO.TotalAdmLocal)*CRONO!$F3,
                        0),
                 AC2*$S1),
          SUMIF(OFFSET($S3,1,0,$R1-2),($M1+1)&amp;"$",OFFSET(AC3,1,0,$R1-2)))</f>
        <v>#REF!</v>
      </c>
      <c r="AD3" s="202" t="e">
        <f t="array" aca="1" ref="AD3" ca="1">IF($R1=2,
         IF(AND(ACOMPANHAMENTO="PLE",ISNUMBER($F1)),
                SUMIF((OFFSET(CÁLCULO!$BC$15:$BU$15,$F1,0,OFFSET(ORÇAMENTO!$D$15,CRONO!$F1,0))),CRONO!AD$12,OFFSET(CÁLCULO!$AJ$15:$BB$15,$F1,0,OFFSET(ORÇAMENTO!$D$15,CRONO!$F1,0)))
                +IF(AND($F3&lt;&gt;"",$F3&lt;&gt;0),
                        SUMIF(CÁLCULO!$BC$15:$BU$235,CRONO!AD$12,CÁLCULO!$AJ$15:$BB$235)/(ORÇAMENTO!$X$15-CÁLCULO.TotalAdmLocal)*CRONO!$F3,
                        0),
                 AD2*$S1),
          SUMIF(OFFSET($S3,1,0,$R1-2),($M1+1)&amp;"$",OFFSET(AD3,1,0,$R1-2)))</f>
        <v>#REF!</v>
      </c>
      <c r="AE3" s="202" t="e">
        <f t="array" aca="1" ref="AE3" ca="1">IF($R1=2,
         IF(AND(ACOMPANHAMENTO="PLE",ISNUMBER($F1)),
                SUMIF((OFFSET(CÁLCULO!$BC$15:$BU$15,$F1,0,OFFSET(ORÇAMENTO!$D$15,CRONO!$F1,0))),CRONO!AE$12,OFFSET(CÁLCULO!$AJ$15:$BB$15,$F1,0,OFFSET(ORÇAMENTO!$D$15,CRONO!$F1,0)))
                +IF(AND($F3&lt;&gt;"",$F3&lt;&gt;0),
                        SUMIF(CÁLCULO!$BC$15:$BU$235,CRONO!AE$12,CÁLCULO!$AJ$15:$BB$235)/(ORÇAMENTO!$X$15-CÁLCULO.TotalAdmLocal)*CRONO!$F3,
                        0),
                 AE2*$S1),
          SUMIF(OFFSET($S3,1,0,$R1-2),($M1+1)&amp;"$",OFFSET(AE3,1,0,$R1-2)))</f>
        <v>#REF!</v>
      </c>
      <c r="AF3" s="202" t="e">
        <f t="array" aca="1" ref="AF3" ca="1">IF($R1=2,
         IF(AND(ACOMPANHAMENTO="PLE",ISNUMBER($F1)),
                SUMIF((OFFSET(CÁLCULO!$BC$15:$BU$15,$F1,0,OFFSET(ORÇAMENTO!$D$15,CRONO!$F1,0))),CRONO!AF$12,OFFSET(CÁLCULO!$AJ$15:$BB$15,$F1,0,OFFSET(ORÇAMENTO!$D$15,CRONO!$F1,0)))
                +IF(AND($F3&lt;&gt;"",$F3&lt;&gt;0),
                        SUMIF(CÁLCULO!$BC$15:$BU$235,CRONO!AF$12,CÁLCULO!$AJ$15:$BB$235)/(ORÇAMENTO!$X$15-CÁLCULO.TotalAdmLocal)*CRONO!$F3,
                        0),
                 AF2*$S1),
          SUMIF(OFFSET($S3,1,0,$R1-2),($M1+1)&amp;"$",OFFSET(AF3,1,0,$R1-2)))</f>
        <v>#REF!</v>
      </c>
      <c r="AG3" s="532"/>
    </row>
    <row r="4" spans="1:33" ht="15" customHeight="1" x14ac:dyDescent="0.25">
      <c r="S4" s="206" t="str">
        <f t="array" ref="S4">IF(TIPOORCAMENTO="licitado","CFF - CRONOGRAMA FÍSICO-FINANCEIRO LICITADO","CFF - CRONOGRAMA FÍSICO-FINANCEIRO")</f>
        <v>CFF - CRONOGRAMA FÍSICO-FINANCEIRO</v>
      </c>
      <c r="AE4" s="723" t="s">
        <v>644</v>
      </c>
      <c r="AF4" s="723"/>
    </row>
    <row r="5" spans="1:33" ht="15" x14ac:dyDescent="0.2">
      <c r="S5" s="83" t="str">
        <f>import.recurso</f>
        <v>OGU</v>
      </c>
      <c r="AE5" s="724" t="s">
        <v>647</v>
      </c>
      <c r="AF5" s="724"/>
    </row>
    <row r="6" spans="1:33" ht="12.75" customHeight="1" x14ac:dyDescent="0.2"/>
    <row r="7" spans="1:33" ht="12.75" customHeight="1" x14ac:dyDescent="0.2">
      <c r="F7" s="207"/>
      <c r="H7" s="806" t="s">
        <v>786</v>
      </c>
      <c r="I7" s="208" t="s">
        <v>650</v>
      </c>
      <c r="J7" s="209"/>
      <c r="K7" s="210" t="s">
        <v>787</v>
      </c>
      <c r="L7" s="211" t="s">
        <v>788</v>
      </c>
      <c r="M7" s="186"/>
      <c r="N7" s="186"/>
      <c r="O7" s="186"/>
      <c r="T7" s="212"/>
      <c r="U7" s="208" t="s">
        <v>758</v>
      </c>
      <c r="Y7" s="209"/>
      <c r="Z7" s="208" t="str">
        <f t="array" ref="Z7">IF(TIPOORCAMENTO="Licitado","NOME DA EMPRESA","DESCRIÇÃO DO LOTE")</f>
        <v>DESCRIÇÃO DO LOTE</v>
      </c>
      <c r="AF7" s="213" t="str">
        <f t="array" ref="AF7">IF(TIPOORCAMENTO="Licitado","Nº CTEF","")</f>
        <v/>
      </c>
    </row>
    <row r="8" spans="1:33" x14ac:dyDescent="0.2">
      <c r="A8" s="186" t="s">
        <v>974</v>
      </c>
      <c r="E8" s="185"/>
      <c r="F8" s="114"/>
      <c r="G8" s="751" t="s">
        <v>655</v>
      </c>
      <c r="H8" s="806"/>
      <c r="I8" s="805" t="str">
        <f>Import.CR</f>
        <v>1103833-63</v>
      </c>
      <c r="J8" s="805"/>
      <c r="K8" s="214" t="str">
        <f>Import.TransfereGOV</f>
        <v>39994/2025</v>
      </c>
      <c r="L8" s="815" t="str">
        <f>Import.Proponente</f>
        <v>PREFEITURA MUNICIPAL DE PIRANGUÇU-MG</v>
      </c>
      <c r="M8" s="815"/>
      <c r="N8" s="815"/>
      <c r="O8" s="815"/>
      <c r="P8" s="815"/>
      <c r="Q8" s="815"/>
      <c r="R8" s="815"/>
      <c r="S8" s="815"/>
      <c r="T8" s="815"/>
      <c r="U8" s="805" t="str">
        <f>Import.Apelido</f>
        <v>CONSTRUÇÃO DE VINTE UNIDADES HABITACIONAIS</v>
      </c>
      <c r="V8" s="805"/>
      <c r="W8" s="805"/>
      <c r="X8" s="805"/>
      <c r="Y8" s="805"/>
      <c r="Z8" s="807" t="str">
        <f t="array" ref="Z8">IF(TIPOORCAMENTO="Licitado",Import.empresa,Import.DescLote)</f>
        <v>CONSTRUÇÃO DE VINTE UNIDADES HABITACIONAIS</v>
      </c>
      <c r="AA8" s="807"/>
      <c r="AB8" s="807"/>
      <c r="AC8" s="807"/>
      <c r="AD8" s="807"/>
      <c r="AE8" s="807"/>
      <c r="AF8" s="203" t="str">
        <f t="array" ref="AF8">IF(TIPOORCAMENTO="Licitado",Import.CTEF,"")</f>
        <v/>
      </c>
    </row>
    <row r="9" spans="1:33" x14ac:dyDescent="0.2">
      <c r="A9" s="662">
        <v>2</v>
      </c>
      <c r="F9" s="114"/>
      <c r="G9" s="751"/>
      <c r="H9" s="806"/>
    </row>
    <row r="10" spans="1:33" x14ac:dyDescent="0.2">
      <c r="A10" s="663">
        <v>3</v>
      </c>
      <c r="F10" s="185">
        <f t="array" aca="1" ref="F10" ca="1">CRONO.LinhasNecessarias</f>
        <v>35</v>
      </c>
      <c r="G10" s="751"/>
      <c r="H10" s="215">
        <v>2</v>
      </c>
      <c r="K10" s="816" t="str">
        <f t="array" aca="1" ref="K10" ca="1">IF(MAX($B$13:$B$119)&lt;CRONO.LinhasNecessarias,"ERRO: NÚMERO DE LINHAS DO CRONOGRAMA INSUFICIENTE. CLIQUE EM ATUALIZAR LINHAS.",IF(AND(ACOMPANHAMENTO="PLE",ROUND(OFFSET($AG$129,0,-1),2)=0),"CRONOGRAMA DEVE SER PREENCHIDO POR EVENTOS",IF(ROUND(OFFSET($AG$129,0,-1),2)&lt;&gt;$R$120,"ERRO: CRONOGRAMA NÃO FECHA 100%","")))</f>
        <v/>
      </c>
      <c r="L10" s="816"/>
      <c r="M10" s="816"/>
      <c r="N10" s="816"/>
      <c r="O10" s="816"/>
      <c r="P10" s="816"/>
      <c r="Q10" s="816"/>
      <c r="R10" s="816"/>
      <c r="S10" s="816"/>
      <c r="T10" s="816"/>
    </row>
    <row r="11" spans="1:33" ht="12.75" customHeight="1" x14ac:dyDescent="0.2">
      <c r="A11" s="664">
        <v>4</v>
      </c>
      <c r="F11" s="185">
        <f t="array" aca="1" ref="F11" ca="1">CRONO.ParcelaFinal</f>
        <v>9</v>
      </c>
      <c r="G11" s="751"/>
      <c r="I11" s="216"/>
      <c r="J11" s="216"/>
      <c r="K11" s="816"/>
      <c r="L11" s="816"/>
      <c r="M11" s="816"/>
      <c r="N11" s="816"/>
      <c r="O11" s="816"/>
      <c r="P11" s="816"/>
      <c r="Q11" s="816"/>
      <c r="R11" s="816"/>
      <c r="S11" s="816"/>
      <c r="T11" s="816"/>
    </row>
    <row r="12" spans="1:33" ht="12.75" customHeight="1" x14ac:dyDescent="0.2">
      <c r="A12" s="186" t="s">
        <v>789</v>
      </c>
      <c r="E12" s="217">
        <f ca="1">OFFSET(E12,0,-1)+1</f>
        <v>1</v>
      </c>
      <c r="G12" s="106" t="s">
        <v>660</v>
      </c>
      <c r="H12" s="808" t="s">
        <v>790</v>
      </c>
      <c r="I12" s="809" t="s">
        <v>735</v>
      </c>
      <c r="J12" s="810" t="s">
        <v>118</v>
      </c>
      <c r="K12" s="218"/>
      <c r="L12" s="218"/>
      <c r="M12" s="219"/>
      <c r="N12" s="219"/>
      <c r="O12" s="219"/>
      <c r="P12" s="219"/>
      <c r="Q12" s="219"/>
      <c r="R12" s="219"/>
      <c r="S12" s="813" t="s">
        <v>791</v>
      </c>
      <c r="T12" s="814"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5">
        <f t="shared" ca="1" si="0"/>
        <v>12</v>
      </c>
      <c r="AG12" s="532"/>
    </row>
    <row r="13" spans="1:33" ht="24.95" customHeight="1" x14ac:dyDescent="0.2">
      <c r="B13" s="221" t="s">
        <v>793</v>
      </c>
      <c r="C13" s="221" t="s">
        <v>456</v>
      </c>
      <c r="D13" s="221" t="s">
        <v>794</v>
      </c>
      <c r="E13" s="222" t="e">
        <f ca="1">OFFSET(E13,0,-1)+41-DAY(OFFSET(E13,0,-1)+40)</f>
        <v>#VALUE!</v>
      </c>
      <c r="F13" s="221" t="s">
        <v>795</v>
      </c>
      <c r="H13" s="808"/>
      <c r="I13" s="809"/>
      <c r="J13" s="810"/>
      <c r="K13" s="223"/>
      <c r="L13" s="223"/>
      <c r="M13" s="224" t="s">
        <v>733</v>
      </c>
      <c r="N13" s="224">
        <v>1</v>
      </c>
      <c r="O13" s="224">
        <v>2</v>
      </c>
      <c r="P13" s="224">
        <v>3</v>
      </c>
      <c r="Q13" s="224">
        <v>4</v>
      </c>
      <c r="R13" s="225" t="s">
        <v>796</v>
      </c>
      <c r="S13" s="813"/>
      <c r="T13" s="814"/>
      <c r="U13" s="226">
        <v>45870</v>
      </c>
      <c r="V13" s="222">
        <f ca="1">OFFSET(V13,0,-1)+41-DAY(OFFSET(V13,0,-1)+40)</f>
        <v>45901</v>
      </c>
      <c r="W13" s="222">
        <f ca="1">OFFSET(W13,0,-1)+41-DAY(OFFSET(W13,0,-1)+40)</f>
        <v>45931</v>
      </c>
      <c r="X13" s="222">
        <f t="shared" ref="X13:AF13" ca="1" si="1">OFFSET(X13,0,-1)+41-DAY(OFFSET(X13,0,-1)+40)</f>
        <v>45962</v>
      </c>
      <c r="Y13" s="222">
        <f t="shared" ca="1" si="1"/>
        <v>45992</v>
      </c>
      <c r="Z13" s="222">
        <f t="shared" ca="1" si="1"/>
        <v>46023</v>
      </c>
      <c r="AA13" s="222">
        <f t="shared" ca="1" si="1"/>
        <v>46054</v>
      </c>
      <c r="AB13" s="222">
        <f t="shared" ca="1" si="1"/>
        <v>46082</v>
      </c>
      <c r="AC13" s="222">
        <f t="shared" ca="1" si="1"/>
        <v>46113</v>
      </c>
      <c r="AD13" s="222">
        <f t="shared" ca="1" si="1"/>
        <v>46143</v>
      </c>
      <c r="AE13" s="222">
        <f t="shared" ca="1" si="1"/>
        <v>46174</v>
      </c>
      <c r="AF13" s="536">
        <f t="shared" ca="1" si="1"/>
        <v>46204</v>
      </c>
      <c r="AG13" s="532"/>
    </row>
    <row r="14" spans="1:33" x14ac:dyDescent="0.2">
      <c r="A14" s="186" t="str">
        <f ca="1">IF($M14&gt;1,_xlfn.CONCAT($I14," ",$J14),"")</f>
        <v/>
      </c>
      <c r="B14" s="185">
        <f ca="1">OFFSET(B14,-3,0)+1</f>
        <v>1</v>
      </c>
      <c r="C14" s="185">
        <f ca="1">IF($R14&lt;&gt;2,0,IF($S14=0,1,IF(F15&gt;0,OFFSET(QCI!$M$13,SUBSTITUTE(F15,".",""),0),OFFSET(ORÇAMENTO!$AA$15,CRONO!$F14,0))/$S14))</f>
        <v>0</v>
      </c>
      <c r="D14" s="185">
        <f ca="1">IF($R14&lt;&gt;2,0,IF($S14=0,1,IF(F15&gt;0,OFFSET(QCI!$N$13,SUBSTITUTE(F15,".",""),0),OFFSET(ORÇAMENTO!$AB$15,CRONO!$F14,0))/$S14))</f>
        <v>0</v>
      </c>
      <c r="E14" s="188">
        <f t="array" aca="1" ref="E14" ca="1">IF(AND($R14=2,ACOMPANHAMENTO="BM"),ROUND(E15,4),E16/$S14)</f>
        <v>7.0606638909233342E-3</v>
      </c>
      <c r="F14" s="185">
        <f t="array" aca="1" ref="F14" ca="1">IF(B14&lt;=ORÇAMENTO.MáximoListaCrono,MATCH(B14,ORÇAMENTO.ListaCrono,0),NA())</f>
        <v>1</v>
      </c>
      <c r="G14" s="185" t="str">
        <f ca="1">IF(AND($F15&lt;&gt;-1,$S14&gt;0),"F","")</f>
        <v>F</v>
      </c>
      <c r="H14" s="189" t="str">
        <f t="array" aca="1" ref="H14" ca="1">IF(OR(S14=0,S14=""),"Linha",IF(AND(OR(ACOMPANHAMENTO="PLE",$R14&lt;&gt;2),$F15=0),"Linha",ROUND(1-SUM(U14:AG14),4)))</f>
        <v>Linha</v>
      </c>
      <c r="I14" s="190" t="str">
        <f ca="1">IF($F15=0,OFFSET(ORÇAMENTO!O$15,$F14,0),IF($F15&lt;&gt;-1,OFFSET(QCI!$D$13,$F15,0),""))</f>
        <v>1.</v>
      </c>
      <c r="J14" s="191" t="str">
        <f ca="1">IF($F15=0,OFFSET(ORÇAMENTO!R$15,$F14,0),IF($F15&lt;&gt;-1,OFFSET(QCI!$G$13,$F15,0),""))</f>
        <v>CONTRUÇÃO DE VINTE UNIDADES HABITACIONAIS</v>
      </c>
      <c r="K14" s="191"/>
      <c r="L14" s="191"/>
      <c r="M14" s="192">
        <f ca="1">IF($F15=0,OFFSET(ORÇAMENTO!C$15,$F14,0),1)</f>
        <v>1</v>
      </c>
      <c r="N14" s="193">
        <f ca="1">IF($F15=-1,0,IF(N$13&lt;=$M14,IF(ISERROR(MATCH(N$13,OFFSET($M14,1,0,ROW($M$119)-ROW($M14)-1),0)),ROW($M$119)-ROW($M14)-1,MATCH(N$13,OFFSET($M14,1,0,ROW($M$119)-ROW($M14)-1),0)-1),0))</f>
        <v>104</v>
      </c>
      <c r="O14" s="193">
        <f ca="1">IF($F15=-1,0,IF(O$13&lt;=$M14,IF(ISERROR(MATCH(O$13,OFFSET($M14,1,0,ROW($M$119)-ROW($M14)-1),0)),ROW($M$119)-ROW($M14)-1,MATCH(O$13,OFFSET($M14,1,0,ROW($M$119)-ROW($M14)-1),0)-1),0))</f>
        <v>0</v>
      </c>
      <c r="P14" s="193">
        <f ca="1">IF($F15=-1,0,IF(P$13&lt;=$M14,IF(ISERROR(MATCH(P$13,OFFSET($M14,1,0,ROW($M$119)-ROW($M14)-1),0)),ROW($M$119)-ROW($M14)-1,MATCH(P$13,OFFSET($M14,1,0,ROW($M$119)-ROW($M14)-1),0)-1),0))</f>
        <v>0</v>
      </c>
      <c r="Q14" s="193">
        <f ca="1">IF($F15=-1,0,IF(Q$13&lt;=$M14,IF(ISERROR(MATCH(Q$13,OFFSET($M14,1,0,ROW($M$119)-ROW($M14)-1),0)),ROW($M$119)-ROW($M14)-1,MATCH(Q$13,OFFSET($M14,1,0,ROW($M$119)-ROW($M14)-1),0)-1),0))</f>
        <v>0</v>
      </c>
      <c r="R14" s="193">
        <f ca="1">MIN(OFFSET(M14,0,1,,M14))</f>
        <v>104</v>
      </c>
      <c r="S14" s="194">
        <f ca="1">IF($F15=0,OFFSET(ORÇAMENTO!X$15,$F14,0),IF($F15&lt;&gt;-1,OFFSET(QCI!$O$13,$F15,0),""))</f>
        <v>2675612.42</v>
      </c>
      <c r="T14" s="195" t="s">
        <v>785</v>
      </c>
      <c r="U14" s="188">
        <f t="array" aca="1" ref="U14" ca="1">IF(AND($R14=2,ACOMPANHAMENTO="BM"),ROUND(U15,4),U16/$S14)</f>
        <v>7.0606638909233342E-3</v>
      </c>
      <c r="V14" s="188">
        <f t="array" aca="1" ref="V14" ca="1">IF(AND($R14=2,ACOMPANHAMENTO="BM"),ROUND(V15,4),V16/$S14)</f>
        <v>9.011113052016706E-2</v>
      </c>
      <c r="W14" s="188">
        <f t="array" aca="1" ref="W14" ca="1">IF(AND($R14=2,ACOMPANHAMENTO="BM"),ROUND(W15,4),W16/$S14)</f>
        <v>0.11078303710370727</v>
      </c>
      <c r="X14" s="188">
        <f t="array" aca="1" ref="X14" ca="1">IF(AND($R14=2,ACOMPANHAMENTO="BM"),ROUND(X15,4),X16/$S14)</f>
        <v>0.16624620841011045</v>
      </c>
      <c r="Y14" s="188">
        <f t="array" aca="1" ref="Y14" ca="1">IF(AND($R14=2,ACOMPANHAMENTO="BM"),ROUND(Y15,4),Y16/$S14)</f>
        <v>0.17827081621933868</v>
      </c>
      <c r="Z14" s="188">
        <f t="array" aca="1" ref="Z14" ca="1">IF(AND($R14=2,ACOMPANHAMENTO="BM"),ROUND(Z15,4),Z16/$S14)</f>
        <v>0.19079270083519795</v>
      </c>
      <c r="AA14" s="188">
        <f t="array" aca="1" ref="AA14" ca="1">IF(AND($R14=2,ACOMPANHAMENTO="BM"),ROUND(AA15,4),AA16/$S14)</f>
        <v>0.11698387167749802</v>
      </c>
      <c r="AB14" s="188">
        <f t="array" aca="1" ref="AB14" ca="1">IF(AND($R14=2,ACOMPANHAMENTO="BM"),ROUND(AB15,4),AB16/$S14)</f>
        <v>6.7602593951182219E-2</v>
      </c>
      <c r="AC14" s="188">
        <f t="array" aca="1" ref="AC14" ca="1">IF(AND($R14=2,ACOMPANHAMENTO="BM"),ROUND(AC15,4),AC16/$S14)</f>
        <v>7.2148977391875022E-2</v>
      </c>
      <c r="AD14" s="188">
        <f t="array" aca="1" ref="AD14" ca="1">IF(AND($R14=2,ACOMPANHAMENTO="BM"),ROUND(AD15,4),AD16/$S14)</f>
        <v>0</v>
      </c>
      <c r="AE14" s="188">
        <f t="array" aca="1" ref="AE14" ca="1">IF(AND($R14=2,ACOMPANHAMENTO="BM"),ROUND(AE15,4),AE16/$S14)</f>
        <v>0</v>
      </c>
      <c r="AF14" s="188">
        <f t="array" aca="1" ref="AF14" ca="1">IF(AND($R14=2,ACOMPANHAMENTO="BM"),ROUND(AF15,4),AF16/$S14)</f>
        <v>0</v>
      </c>
      <c r="AG14" s="532"/>
    </row>
    <row r="15" spans="1:33" ht="12.75" customHeight="1" x14ac:dyDescent="0.2">
      <c r="E15" s="585"/>
      <c r="F15" s="185">
        <f ca="1">IF(ISERROR(F14),IF(1+COUNTIF($M$13:OFFSET(M14,-1,0),1)&lt;=MAX(QCI!$D$13:$D$24),1+COUNTIF($M$13:OFFSET(M14,-1,0),1),-1),0)</f>
        <v>0</v>
      </c>
      <c r="G15" s="185" t="str">
        <f t="array" aca="1" ref="G15" ca="1">IF(ACOMPANHAMENTO="BM",OFFSET(G15,-1,0),"")</f>
        <v/>
      </c>
      <c r="H15" s="196" t="str">
        <f t="array" aca="1" ref="H15" ca="1">IF(OR(S14=0,S14=""),"vazia",IF(AND(OR(ACOMPANHAMENTO="PLE",$R14&lt;&gt;2),$F15=0),"calculada","--&gt;"))</f>
        <v>calculada</v>
      </c>
      <c r="I15" s="197"/>
      <c r="J15" s="198" t="str">
        <f ca="1">IF(AND(H14&lt;&gt;0,ISNUMBER(H14)),"PREENCHA ESTA LINHA --&gt;","")</f>
        <v/>
      </c>
      <c r="K15" s="198"/>
      <c r="L15" s="198"/>
      <c r="M15" s="199"/>
      <c r="N15" s="199"/>
      <c r="O15" s="199"/>
      <c r="P15" s="199"/>
      <c r="Q15" s="199"/>
      <c r="R15" s="199"/>
      <c r="S15" s="200"/>
      <c r="T15" s="201"/>
      <c r="U15" s="585"/>
      <c r="V15" s="585"/>
      <c r="W15" s="585"/>
      <c r="X15" s="585"/>
      <c r="Y15" s="585"/>
      <c r="Z15" s="585"/>
      <c r="AA15" s="585"/>
      <c r="AB15" s="585"/>
      <c r="AC15" s="585"/>
      <c r="AD15" s="585"/>
      <c r="AE15" s="585"/>
      <c r="AF15" s="585"/>
      <c r="AG15" s="532"/>
    </row>
    <row r="16" spans="1:33" ht="12.75" customHeight="1" x14ac:dyDescent="0.2">
      <c r="D16" s="531"/>
      <c r="E16" s="202">
        <f t="array" aca="1" ref="E16" ca="1">IF($R14=2,
         IF(AND(ACOMPANHAMENTO="PLE",ISNUMBER($F14)),
                SUMIF((OFFSET(CÁLCULO!$BC$15:$BU$15,$F14,0,OFFSET(ORÇAMENTO!$D$15,CRONO!$F14,0))),CRONO!E$12,OFFSET(CÁLCULO!$AJ$15:$BB$15,$F14,0,OFFSET(ORÇAMENTO!$D$15,CRONO!$F14,0)))
                +IF(AND($F16&lt;&gt;"",$F16&lt;&gt;0),
                        SUMIF(CÁLCULO!$BC$15:$BU$235,CRONO!E$12,CÁLCULO!$AJ$15:$BB$235)/(ORÇAMENTO!$X$15-CÁLCULO.TotalAdmLocal)*CRONO!$F16,
                        0),
                 E15*$S14),
          SUMIF(OFFSET($S16,1,0,$R14-2),($M14+1)&amp;"$",OFFSET(E16,1,0,$R14-2)))</f>
        <v>18891.599999999999</v>
      </c>
      <c r="F16" s="185" t="str">
        <f ca="1">IF(OR($R14&lt;&gt;2,AUTOEVENTO&lt;&gt;"manual",$F15&gt;0),"",
        IF(Import.TipoArredondamento="Tradicional",
              SUMIF(OFFSET(CÁLCULO!$M$15,CRONO!$F14,0,OFFSET(ORÇAMENTO!$D$15,CRONO!$F14,0)),1,OFFSET(ORÇAMENTO!$X$15,CRONO!$F14,0,OFFSET(ORÇAMENTO!$D$15,CRONO!$F14,0))),
              0))</f>
        <v/>
      </c>
      <c r="H16" s="693"/>
      <c r="S16" s="204" t="str">
        <f ca="1">M14&amp;"$"</f>
        <v>1$</v>
      </c>
      <c r="T16" s="205"/>
      <c r="U16" s="202">
        <f t="array" aca="1" ref="U16" ca="1">IF($R14=2,
         IF(AND(ACOMPANHAMENTO="PLE",ISNUMBER($F14)),
                SUMIF((OFFSET(CÁLCULO!$BC$15:$BU$15,$F14,0,OFFSET(ORÇAMENTO!$D$15,CRONO!$F14,0))),CRONO!U$12,OFFSET(CÁLCULO!$AJ$15:$BB$15,$F14,0,OFFSET(ORÇAMENTO!$D$15,CRONO!$F14,0)))
                +IF(AND($F16&lt;&gt;"",$F16&lt;&gt;0),
                        SUMIF(CÁLCULO!$BC$15:$BU$235,CRONO!U$12,CÁLCULO!$AJ$15:$BB$235)/(ORÇAMENTO!$X$15-CÁLCULO.TotalAdmLocal)*CRONO!$F16,
                        0),
                 U15*$S14),
          SUMIF(OFFSET($S16,1,0,$R14-2),($M14+1)&amp;"$",OFFSET(U16,1,0,$R14-2)))</f>
        <v>18891.599999999999</v>
      </c>
      <c r="V16" s="202">
        <f t="array" aca="1" ref="V16" ca="1">IF($R14=2,
         IF(AND(ACOMPANHAMENTO="PLE",ISNUMBER($F14)),
                SUMIF((OFFSET(CÁLCULO!$BC$15:$BU$15,$F14,0,OFFSET(ORÇAMENTO!$D$15,CRONO!$F14,0))),CRONO!V$12,OFFSET(CÁLCULO!$AJ$15:$BB$15,$F14,0,OFFSET(ORÇAMENTO!$D$15,CRONO!$F14,0)))
                +IF(AND($F16&lt;&gt;"",$F16&lt;&gt;0),
                        SUMIF(CÁLCULO!$BC$15:$BU$235,CRONO!V$12,CÁLCULO!$AJ$15:$BB$235)/(ORÇAMENTO!$X$15-CÁLCULO.TotalAdmLocal)*CRONO!$F16,
                        0),
                 V15*$S14),
          SUMIF(OFFSET($S16,1,0,$R14-2),($M14+1)&amp;"$",OFFSET(V16,1,0,$R14-2)))</f>
        <v>241102.46000000002</v>
      </c>
      <c r="W16" s="202">
        <f t="array" aca="1" ref="W16" ca="1">IF($R14=2,
         IF(AND(ACOMPANHAMENTO="PLE",ISNUMBER($F14)),
                SUMIF((OFFSET(CÁLCULO!$BC$15:$BU$15,$F14,0,OFFSET(ORÇAMENTO!$D$15,CRONO!$F14,0))),CRONO!W$12,OFFSET(CÁLCULO!$AJ$15:$BB$15,$F14,0,OFFSET(ORÇAMENTO!$D$15,CRONO!$F14,0)))
                +IF(AND($F16&lt;&gt;"",$F16&lt;&gt;0),
                        SUMIF(CÁLCULO!$BC$15:$BU$235,CRONO!W$12,CÁLCULO!$AJ$15:$BB$235)/(ORÇAMENTO!$X$15-CÁLCULO.TotalAdmLocal)*CRONO!$F16,
                        0),
                 W15*$S14),
          SUMIF(OFFSET($S16,1,0,$R14-2),($M14+1)&amp;"$",OFFSET(W16,1,0,$R14-2)))</f>
        <v>296412.46999999997</v>
      </c>
      <c r="X16" s="202">
        <f t="array" aca="1" ref="X16" ca="1">IF($R14=2,
         IF(AND(ACOMPANHAMENTO="PLE",ISNUMBER($F14)),
                SUMIF((OFFSET(CÁLCULO!$BC$15:$BU$15,$F14,0,OFFSET(ORÇAMENTO!$D$15,CRONO!$F14,0))),CRONO!X$12,OFFSET(CÁLCULO!$AJ$15:$BB$15,$F14,0,OFFSET(ORÇAMENTO!$D$15,CRONO!$F14,0)))
                +IF(AND($F16&lt;&gt;"",$F16&lt;&gt;0),
                        SUMIF(CÁLCULO!$BC$15:$BU$235,CRONO!X$12,CÁLCULO!$AJ$15:$BB$235)/(ORÇAMENTO!$X$15-CÁLCULO.TotalAdmLocal)*CRONO!$F16,
                        0),
                 X15*$S14),
          SUMIF(OFFSET($S16,1,0,$R14-2),($M14+1)&amp;"$",OFFSET(X16,1,0,$R14-2)))</f>
        <v>444810.42</v>
      </c>
      <c r="Y16" s="202">
        <f t="array" aca="1" ref="Y16" ca="1">IF($R14=2,
         IF(AND(ACOMPANHAMENTO="PLE",ISNUMBER($F14)),
                SUMIF((OFFSET(CÁLCULO!$BC$15:$BU$15,$F14,0,OFFSET(ORÇAMENTO!$D$15,CRONO!$F14,0))),CRONO!Y$12,OFFSET(CÁLCULO!$AJ$15:$BB$15,$F14,0,OFFSET(ORÇAMENTO!$D$15,CRONO!$F14,0)))
                +IF(AND($F16&lt;&gt;"",$F16&lt;&gt;0),
                        SUMIF(CÁLCULO!$BC$15:$BU$235,CRONO!Y$12,CÁLCULO!$AJ$15:$BB$235)/(ORÇAMENTO!$X$15-CÁLCULO.TotalAdmLocal)*CRONO!$F16,
                        0),
                 Y15*$S14),
          SUMIF(OFFSET($S16,1,0,$R14-2),($M14+1)&amp;"$",OFFSET(Y16,1,0,$R14-2)))</f>
        <v>476983.61000000004</v>
      </c>
      <c r="Z16" s="202">
        <f t="array" aca="1" ref="Z16" ca="1">IF($R14=2,
         IF(AND(ACOMPANHAMENTO="PLE",ISNUMBER($F14)),
                SUMIF((OFFSET(CÁLCULO!$BC$15:$BU$15,$F14,0,OFFSET(ORÇAMENTO!$D$15,CRONO!$F14,0))),CRONO!Z$12,OFFSET(CÁLCULO!$AJ$15:$BB$15,$F14,0,OFFSET(ORÇAMENTO!$D$15,CRONO!$F14,0)))
                +IF(AND($F16&lt;&gt;"",$F16&lt;&gt;0),
                        SUMIF(CÁLCULO!$BC$15:$BU$235,CRONO!Z$12,CÁLCULO!$AJ$15:$BB$235)/(ORÇAMENTO!$X$15-CÁLCULO.TotalAdmLocal)*CRONO!$F16,
                        0),
                 Z15*$S14),
          SUMIF(OFFSET($S16,1,0,$R14-2),($M14+1)&amp;"$",OFFSET(Z16,1,0,$R14-2)))</f>
        <v>510487.32</v>
      </c>
      <c r="AA16" s="202">
        <f t="array" aca="1" ref="AA16" ca="1">IF($R14=2,
         IF(AND(ACOMPANHAMENTO="PLE",ISNUMBER($F14)),
                SUMIF((OFFSET(CÁLCULO!$BC$15:$BU$15,$F14,0,OFFSET(ORÇAMENTO!$D$15,CRONO!$F14,0))),CRONO!AA$12,OFFSET(CÁLCULO!$AJ$15:$BB$15,$F14,0,OFFSET(ORÇAMENTO!$D$15,CRONO!$F14,0)))
                +IF(AND($F16&lt;&gt;"",$F16&lt;&gt;0),
                        SUMIF(CÁLCULO!$BC$15:$BU$235,CRONO!AA$12,CÁLCULO!$AJ$15:$BB$235)/(ORÇAMENTO!$X$15-CÁLCULO.TotalAdmLocal)*CRONO!$F16,
                        0),
                 AA15*$S14),
          SUMIF(OFFSET($S16,1,0,$R14-2),($M14+1)&amp;"$",OFFSET(AA16,1,0,$R14-2)))</f>
        <v>313003.49999999994</v>
      </c>
      <c r="AB16" s="202">
        <f t="array" aca="1" ref="AB16" ca="1">IF($R14=2,
         IF(AND(ACOMPANHAMENTO="PLE",ISNUMBER($F14)),
                SUMIF((OFFSET(CÁLCULO!$BC$15:$BU$15,$F14,0,OFFSET(ORÇAMENTO!$D$15,CRONO!$F14,0))),CRONO!AB$12,OFFSET(CÁLCULO!$AJ$15:$BB$15,$F14,0,OFFSET(ORÇAMENTO!$D$15,CRONO!$F14,0)))
                +IF(AND($F16&lt;&gt;"",$F16&lt;&gt;0),
                        SUMIF(CÁLCULO!$BC$15:$BU$235,CRONO!AB$12,CÁLCULO!$AJ$15:$BB$235)/(ORÇAMENTO!$X$15-CÁLCULO.TotalAdmLocal)*CRONO!$F16,
                        0),
                 AB15*$S14),
          SUMIF(OFFSET($S16,1,0,$R14-2),($M14+1)&amp;"$",OFFSET(AB16,1,0,$R14-2)))</f>
        <v>180878.34</v>
      </c>
      <c r="AC16" s="202">
        <f t="array" aca="1" ref="AC16" ca="1">IF($R14=2,
         IF(AND(ACOMPANHAMENTO="PLE",ISNUMBER($F14)),
                SUMIF((OFFSET(CÁLCULO!$BC$15:$BU$15,$F14,0,OFFSET(ORÇAMENTO!$D$15,CRONO!$F14,0))),CRONO!AC$12,OFFSET(CÁLCULO!$AJ$15:$BB$15,$F14,0,OFFSET(ORÇAMENTO!$D$15,CRONO!$F14,0)))
                +IF(AND($F16&lt;&gt;"",$F16&lt;&gt;0),
                        SUMIF(CÁLCULO!$BC$15:$BU$235,CRONO!AC$12,CÁLCULO!$AJ$15:$BB$235)/(ORÇAMENTO!$X$15-CÁLCULO.TotalAdmLocal)*CRONO!$F16,
                        0),
                 AC15*$S14),
          SUMIF(OFFSET($S16,1,0,$R14-2),($M14+1)&amp;"$",OFFSET(AC16,1,0,$R14-2)))</f>
        <v>193042.7</v>
      </c>
      <c r="AD16" s="202">
        <f t="array" aca="1" ref="AD16" ca="1">IF($R14=2,
         IF(AND(ACOMPANHAMENTO="PLE",ISNUMBER($F14)),
                SUMIF((OFFSET(CÁLCULO!$BC$15:$BU$15,$F14,0,OFFSET(ORÇAMENTO!$D$15,CRONO!$F14,0))),CRONO!AD$12,OFFSET(CÁLCULO!$AJ$15:$BB$15,$F14,0,OFFSET(ORÇAMENTO!$D$15,CRONO!$F14,0)))
                +IF(AND($F16&lt;&gt;"",$F16&lt;&gt;0),
                        SUMIF(CÁLCULO!$BC$15:$BU$235,CRONO!AD$12,CÁLCULO!$AJ$15:$BB$235)/(ORÇAMENTO!$X$15-CÁLCULO.TotalAdmLocal)*CRONO!$F16,
                        0),
                 AD15*$S14),
          SUMIF(OFFSET($S16,1,0,$R14-2),($M14+1)&amp;"$",OFFSET(AD16,1,0,$R14-2)))</f>
        <v>0</v>
      </c>
      <c r="AE16" s="202">
        <f t="array" aca="1" ref="AE16" ca="1">IF($R14=2,
         IF(AND(ACOMPANHAMENTO="PLE",ISNUMBER($F14)),
                SUMIF((OFFSET(CÁLCULO!$BC$15:$BU$15,$F14,0,OFFSET(ORÇAMENTO!$D$15,CRONO!$F14,0))),CRONO!AE$12,OFFSET(CÁLCULO!$AJ$15:$BB$15,$F14,0,OFFSET(ORÇAMENTO!$D$15,CRONO!$F14,0)))
                +IF(AND($F16&lt;&gt;"",$F16&lt;&gt;0),
                        SUMIF(CÁLCULO!$BC$15:$BU$235,CRONO!AE$12,CÁLCULO!$AJ$15:$BB$235)/(ORÇAMENTO!$X$15-CÁLCULO.TotalAdmLocal)*CRONO!$F16,
                        0),
                 AE15*$S14),
          SUMIF(OFFSET($S16,1,0,$R14-2),($M14+1)&amp;"$",OFFSET(AE16,1,0,$R14-2)))</f>
        <v>0</v>
      </c>
      <c r="AF16" s="202">
        <f t="array" aca="1" ref="AF16" ca="1">IF($R14=2,
         IF(AND(ACOMPANHAMENTO="PLE",ISNUMBER($F14)),
                SUMIF((OFFSET(CÁLCULO!$BC$15:$BU$15,$F14,0,OFFSET(ORÇAMENTO!$D$15,CRONO!$F14,0))),CRONO!AF$12,OFFSET(CÁLCULO!$AJ$15:$BB$15,$F14,0,OFFSET(ORÇAMENTO!$D$15,CRONO!$F14,0)))
                +IF(AND($F16&lt;&gt;"",$F16&lt;&gt;0),
                        SUMIF(CÁLCULO!$BC$15:$BU$235,CRONO!AF$12,CÁLCULO!$AJ$15:$BB$235)/(ORÇAMENTO!$X$15-CÁLCULO.TotalAdmLocal)*CRONO!$F16,
                        0),
                 AF15*$S14),
          SUMIF(OFFSET($S16,1,0,$R14-2),($M14+1)&amp;"$",OFFSET(AF16,1,0,$R14-2)))</f>
        <v>0</v>
      </c>
      <c r="AG16" s="532"/>
    </row>
    <row r="17" spans="1:33" x14ac:dyDescent="0.2">
      <c r="A17" s="186" t="str">
        <f ca="1">IF($M17&gt;1,_xlfn.CONCAT($I17," ",$J17),"")</f>
        <v xml:space="preserve">1.1. PROJETOS (OS PROJETOS INDICADOS SE REFEREM A PROJETOS BÁSICOS E EXECUTIVOS </v>
      </c>
      <c r="B17" s="185">
        <f ca="1">OFFSET(B17,-3,0)+1</f>
        <v>2</v>
      </c>
      <c r="C17" s="185">
        <f ca="1">IF($R17&lt;&gt;2,0,IF($S17=0,1,IF(F18&gt;0,OFFSET(QCI!$M$13,SUBSTITUTE(F18,".",""),0),OFFSET(ORÇAMENTO!$AA$15,CRONO!$F17,0))/$S17))</f>
        <v>0</v>
      </c>
      <c r="D17" s="185">
        <f ca="1">IF($R17&lt;&gt;2,0,IF($S17=0,1,IF(F18&gt;0,OFFSET(QCI!$N$13,SUBSTITUTE(F18,".",""),0),OFFSET(ORÇAMENTO!$AB$15,CRONO!$F17,0))/$S17))</f>
        <v>0</v>
      </c>
      <c r="E17" s="188">
        <f t="array" aca="1" ref="E17" ca="1">IF(AND($R17=2,ACOMPANHAMENTO="BM"),ROUND(E18,4),E19/$S17)</f>
        <v>0.99999999999999978</v>
      </c>
      <c r="F17" s="185">
        <f t="array" aca="1" ref="F17" ca="1">IF(B17&lt;=ORÇAMENTO.MáximoListaCrono,MATCH(B17,ORÇAMENTO.ListaCrono,0),NA())</f>
        <v>2</v>
      </c>
      <c r="G17" s="185" t="str">
        <f ca="1">IF(AND($F18&lt;&gt;-1,$S17&gt;0),"F","")</f>
        <v>F</v>
      </c>
      <c r="H17" s="189" t="str">
        <f t="array" aca="1" ref="H17" ca="1">IF(OR(S17=0,S17=""),"Linha",IF(AND(OR(ACOMPANHAMENTO="PLE",$R17&lt;&gt;2),$F18=0),"Linha",ROUND(1-SUM(U17:AG17),4)))</f>
        <v>Linha</v>
      </c>
      <c r="I17" s="190" t="str">
        <f ca="1">IF($F18=0,OFFSET(ORÇAMENTO!O$15,$F17,0),IF($F18&lt;&gt;-1,OFFSET(QCI!$D$13,$F18,0),""))</f>
        <v>1.1.</v>
      </c>
      <c r="J17" s="191" t="str">
        <f ca="1">IF($F18=0,OFFSET(ORÇAMENTO!R$15,$F17,0),IF($F18&lt;&gt;-1,OFFSET(QCI!$G$13,$F18,0),""))</f>
        <v xml:space="preserve">PROJETOS (OS PROJETOS INDICADOS SE REFEREM A PROJETOS BÁSICOS E EXECUTIVOS </v>
      </c>
      <c r="K17" s="191"/>
      <c r="L17" s="191"/>
      <c r="M17" s="192">
        <f ca="1">IF($F18=0,OFFSET(ORÇAMENTO!C$15,$F17,0),1)</f>
        <v>2</v>
      </c>
      <c r="N17" s="193">
        <f ca="1">IF($F18=-1,0,IF(N$13&lt;=$M17,IF(ISERROR(MATCH(N$13,OFFSET($M17,1,0,ROW($M$119)-ROW($M17)-1),0)),ROW($M$119)-ROW($M17)-1,MATCH(N$13,OFFSET($M17,1,0,ROW($M$119)-ROW($M17)-1),0)-1),0))</f>
        <v>101</v>
      </c>
      <c r="O17" s="193">
        <f ca="1">IF($F18=-1,0,IF(O$13&lt;=$M17,IF(ISERROR(MATCH(O$13,OFFSET($M17,1,0,ROW($M$119)-ROW($M17)-1),0)),ROW($M$119)-ROW($M17)-1,MATCH(O$13,OFFSET($M17,1,0,ROW($M$119)-ROW($M17)-1),0)-1),0))</f>
        <v>2</v>
      </c>
      <c r="P17" s="193">
        <f ca="1">IF($F18=-1,0,IF(P$13&lt;=$M17,IF(ISERROR(MATCH(P$13,OFFSET($M17,1,0,ROW($M$119)-ROW($M17)-1),0)),ROW($M$119)-ROW($M17)-1,MATCH(P$13,OFFSET($M17,1,0,ROW($M$119)-ROW($M17)-1),0)-1),0))</f>
        <v>0</v>
      </c>
      <c r="Q17" s="193">
        <f ca="1">IF($F18=-1,0,IF(Q$13&lt;=$M17,IF(ISERROR(MATCH(Q$13,OFFSET($M17,1,0,ROW($M$119)-ROW($M17)-1),0)),ROW($M$119)-ROW($M17)-1,MATCH(Q$13,OFFSET($M17,1,0,ROW($M$119)-ROW($M17)-1),0)-1),0))</f>
        <v>0</v>
      </c>
      <c r="R17" s="193">
        <f ca="1">MIN(OFFSET(M17,0,1,,M17))</f>
        <v>2</v>
      </c>
      <c r="S17" s="194">
        <f ca="1">IF($F18=0,OFFSET(ORÇAMENTO!X$15,$F17,0),IF($F18&lt;&gt;-1,OFFSET(QCI!$O$13,$F18,0),""))</f>
        <v>10301.870000000001</v>
      </c>
      <c r="T17" s="195" t="s">
        <v>785</v>
      </c>
      <c r="U17" s="188">
        <f t="array" aca="1" ref="U17" ca="1">IF(AND($R17=2,ACOMPANHAMENTO="BM"),ROUND(U18,4),U19/$S17)</f>
        <v>0.99999999999999978</v>
      </c>
      <c r="V17" s="188">
        <f t="array" aca="1" ref="V17" ca="1">IF(AND($R17=2,ACOMPANHAMENTO="BM"),ROUND(V18,4),V19/$S17)</f>
        <v>0</v>
      </c>
      <c r="W17" s="188">
        <f t="array" aca="1" ref="W17" ca="1">IF(AND($R17=2,ACOMPANHAMENTO="BM"),ROUND(W18,4),W19/$S17)</f>
        <v>0</v>
      </c>
      <c r="X17" s="188">
        <f t="array" aca="1" ref="X17" ca="1">IF(AND($R17=2,ACOMPANHAMENTO="BM"),ROUND(X18,4),X19/$S17)</f>
        <v>0</v>
      </c>
      <c r="Y17" s="188">
        <f t="array" aca="1" ref="Y17" ca="1">IF(AND($R17=2,ACOMPANHAMENTO="BM"),ROUND(Y18,4),Y19/$S17)</f>
        <v>0</v>
      </c>
      <c r="Z17" s="188">
        <f t="array" aca="1" ref="Z17" ca="1">IF(AND($R17=2,ACOMPANHAMENTO="BM"),ROUND(Z18,4),Z19/$S17)</f>
        <v>0</v>
      </c>
      <c r="AA17" s="188">
        <f t="array" aca="1" ref="AA17" ca="1">IF(AND($R17=2,ACOMPANHAMENTO="BM"),ROUND(AA18,4),AA19/$S17)</f>
        <v>0</v>
      </c>
      <c r="AB17" s="188">
        <f t="array" aca="1" ref="AB17" ca="1">IF(AND($R17=2,ACOMPANHAMENTO="BM"),ROUND(AB18,4),AB19/$S17)</f>
        <v>0</v>
      </c>
      <c r="AC17" s="188">
        <f t="array" aca="1" ref="AC17" ca="1">IF(AND($R17=2,ACOMPANHAMENTO="BM"),ROUND(AC18,4),AC19/$S17)</f>
        <v>0</v>
      </c>
      <c r="AD17" s="188">
        <f t="array" aca="1" ref="AD17" ca="1">IF(AND($R17=2,ACOMPANHAMENTO="BM"),ROUND(AD18,4),AD19/$S17)</f>
        <v>0</v>
      </c>
      <c r="AE17" s="188">
        <f t="array" aca="1" ref="AE17" ca="1">IF(AND($R17=2,ACOMPANHAMENTO="BM"),ROUND(AE18,4),AE19/$S17)</f>
        <v>0</v>
      </c>
      <c r="AF17" s="188">
        <f t="array" aca="1" ref="AF17" ca="1">IF(AND($R17=2,ACOMPANHAMENTO="BM"),ROUND(AF18,4),AF19/$S17)</f>
        <v>0</v>
      </c>
      <c r="AG17" s="532"/>
    </row>
    <row r="18" spans="1:33" ht="12.75" customHeight="1" x14ac:dyDescent="0.2">
      <c r="E18" s="585"/>
      <c r="F18" s="185">
        <f ca="1">IF(ISERROR(F17),IF(1+COUNTIF($M$13:OFFSET(M17,-1,0),1)&lt;=MAX(QCI!$D$13:$D$24),1+COUNTIF($M$13:OFFSET(M17,-1,0),1),-1),0)</f>
        <v>0</v>
      </c>
      <c r="G18" s="185" t="str">
        <f t="array" aca="1" ref="G18" ca="1">IF(ACOMPANHAMENTO="BM",OFFSET(G18,-1,0),"")</f>
        <v/>
      </c>
      <c r="H18" s="196" t="str">
        <f t="array" aca="1" ref="H18" ca="1">IF(OR(S17=0,S17=""),"vazia",IF(AND(OR(ACOMPANHAMENTO="PLE",$R17&lt;&gt;2),$F18=0),"calculada","--&gt;"))</f>
        <v>calculada</v>
      </c>
      <c r="I18" s="197"/>
      <c r="J18" s="198" t="str">
        <f ca="1">IF(AND(H17&lt;&gt;0,ISNUMBER(H17)),"PREENCHA ESTA LINHA --&gt;","")</f>
        <v/>
      </c>
      <c r="K18" s="198"/>
      <c r="L18" s="198"/>
      <c r="M18" s="199"/>
      <c r="N18" s="199"/>
      <c r="O18" s="199"/>
      <c r="P18" s="199"/>
      <c r="Q18" s="199"/>
      <c r="R18" s="199"/>
      <c r="S18" s="200"/>
      <c r="T18" s="201"/>
      <c r="U18" s="585"/>
      <c r="V18" s="585"/>
      <c r="W18" s="585"/>
      <c r="X18" s="585"/>
      <c r="Y18" s="585"/>
      <c r="Z18" s="585"/>
      <c r="AA18" s="585"/>
      <c r="AB18" s="585"/>
      <c r="AC18" s="585"/>
      <c r="AD18" s="585"/>
      <c r="AE18" s="585"/>
      <c r="AF18" s="585"/>
      <c r="AG18" s="532"/>
    </row>
    <row r="19" spans="1:33" ht="12.75" customHeight="1" x14ac:dyDescent="0.2">
      <c r="D19" s="531"/>
      <c r="E19" s="202">
        <f t="array" aca="1" ref="E19" ca="1">IF($R17=2,
         IF(AND(ACOMPANHAMENTO="PLE",ISNUMBER($F17)),
                SUMIF((OFFSET(CÁLCULO!$BC$15:$BU$15,$F17,0,OFFSET(ORÇAMENTO!$D$15,CRONO!$F17,0))),CRONO!E$12,OFFSET(CÁLCULO!$AJ$15:$BB$15,$F17,0,OFFSET(ORÇAMENTO!$D$15,CRONO!$F17,0)))
                +IF(AND($F19&lt;&gt;"",$F19&lt;&gt;0),
                        SUMIF(CÁLCULO!$BC$15:$BU$235,CRONO!E$12,CÁLCULO!$AJ$15:$BB$235)/(ORÇAMENTO!$X$15-CÁLCULO.TotalAdmLocal)*CRONO!$F19,
                        0),
                 E18*$S17),
          SUMIF(OFFSET($S19,1,0,$R17-2),($M17+1)&amp;"$",OFFSET(E19,1,0,$R17-2)))</f>
        <v>10301.869999999999</v>
      </c>
      <c r="F19" s="185">
        <f ca="1">IF(OR($R17&lt;&gt;2,AUTOEVENTO&lt;&gt;"manual",$F18&gt;0),"",
        IF(Import.TipoArredondamento="Tradicional",
              SUMIF(OFFSET(CÁLCULO!$M$15,CRONO!$F17,0,OFFSET(ORÇAMENTO!$D$15,CRONO!$F17,0)),1,OFFSET(ORÇAMENTO!$X$15,CRONO!$F17,0,OFFSET(ORÇAMENTO!$D$15,CRONO!$F17,0))),
              0))</f>
        <v>0</v>
      </c>
      <c r="H19" s="693"/>
      <c r="S19" s="204" t="str">
        <f ca="1">M17&amp;"$"</f>
        <v>2$</v>
      </c>
      <c r="T19" s="205"/>
      <c r="U19" s="202">
        <f t="array" aca="1" ref="U19" ca="1">IF($R17=2,
         IF(AND(ACOMPANHAMENTO="PLE",ISNUMBER($F17)),
                SUMIF((OFFSET(CÁLCULO!$BC$15:$BU$15,$F17,0,OFFSET(ORÇAMENTO!$D$15,CRONO!$F17,0))),CRONO!U$12,OFFSET(CÁLCULO!$AJ$15:$BB$15,$F17,0,OFFSET(ORÇAMENTO!$D$15,CRONO!$F17,0)))
                +IF(AND($F19&lt;&gt;"",$F19&lt;&gt;0),
                        SUMIF(CÁLCULO!$BC$15:$BU$235,CRONO!U$12,CÁLCULO!$AJ$15:$BB$235)/(ORÇAMENTO!$X$15-CÁLCULO.TotalAdmLocal)*CRONO!$F19,
                        0),
                 U18*$S17),
          SUMIF(OFFSET($S19,1,0,$R17-2),($M17+1)&amp;"$",OFFSET(U19,1,0,$R17-2)))</f>
        <v>10301.869999999999</v>
      </c>
      <c r="V19" s="202">
        <f t="array" aca="1" ref="V19" ca="1">IF($R17=2,
         IF(AND(ACOMPANHAMENTO="PLE",ISNUMBER($F17)),
                SUMIF((OFFSET(CÁLCULO!$BC$15:$BU$15,$F17,0,OFFSET(ORÇAMENTO!$D$15,CRONO!$F17,0))),CRONO!V$12,OFFSET(CÁLCULO!$AJ$15:$BB$15,$F17,0,OFFSET(ORÇAMENTO!$D$15,CRONO!$F17,0)))
                +IF(AND($F19&lt;&gt;"",$F19&lt;&gt;0),
                        SUMIF(CÁLCULO!$BC$15:$BU$235,CRONO!V$12,CÁLCULO!$AJ$15:$BB$235)/(ORÇAMENTO!$X$15-CÁLCULO.TotalAdmLocal)*CRONO!$F19,
                        0),
                 V18*$S17),
          SUMIF(OFFSET($S19,1,0,$R17-2),($M17+1)&amp;"$",OFFSET(V19,1,0,$R17-2)))</f>
        <v>0</v>
      </c>
      <c r="W19" s="202">
        <f t="array" aca="1" ref="W19" ca="1">IF($R17=2,
         IF(AND(ACOMPANHAMENTO="PLE",ISNUMBER($F17)),
                SUMIF((OFFSET(CÁLCULO!$BC$15:$BU$15,$F17,0,OFFSET(ORÇAMENTO!$D$15,CRONO!$F17,0))),CRONO!W$12,OFFSET(CÁLCULO!$AJ$15:$BB$15,$F17,0,OFFSET(ORÇAMENTO!$D$15,CRONO!$F17,0)))
                +IF(AND($F19&lt;&gt;"",$F19&lt;&gt;0),
                        SUMIF(CÁLCULO!$BC$15:$BU$235,CRONO!W$12,CÁLCULO!$AJ$15:$BB$235)/(ORÇAMENTO!$X$15-CÁLCULO.TotalAdmLocal)*CRONO!$F19,
                        0),
                 W18*$S17),
          SUMIF(OFFSET($S19,1,0,$R17-2),($M17+1)&amp;"$",OFFSET(W19,1,0,$R17-2)))</f>
        <v>0</v>
      </c>
      <c r="X19" s="202">
        <f t="array" aca="1" ref="X19" ca="1">IF($R17=2,
         IF(AND(ACOMPANHAMENTO="PLE",ISNUMBER($F17)),
                SUMIF((OFFSET(CÁLCULO!$BC$15:$BU$15,$F17,0,OFFSET(ORÇAMENTO!$D$15,CRONO!$F17,0))),CRONO!X$12,OFFSET(CÁLCULO!$AJ$15:$BB$15,$F17,0,OFFSET(ORÇAMENTO!$D$15,CRONO!$F17,0)))
                +IF(AND($F19&lt;&gt;"",$F19&lt;&gt;0),
                        SUMIF(CÁLCULO!$BC$15:$BU$235,CRONO!X$12,CÁLCULO!$AJ$15:$BB$235)/(ORÇAMENTO!$X$15-CÁLCULO.TotalAdmLocal)*CRONO!$F19,
                        0),
                 X18*$S17),
          SUMIF(OFFSET($S19,1,0,$R17-2),($M17+1)&amp;"$",OFFSET(X19,1,0,$R17-2)))</f>
        <v>0</v>
      </c>
      <c r="Y19" s="202">
        <f t="array" aca="1" ref="Y19" ca="1">IF($R17=2,
         IF(AND(ACOMPANHAMENTO="PLE",ISNUMBER($F17)),
                SUMIF((OFFSET(CÁLCULO!$BC$15:$BU$15,$F17,0,OFFSET(ORÇAMENTO!$D$15,CRONO!$F17,0))),CRONO!Y$12,OFFSET(CÁLCULO!$AJ$15:$BB$15,$F17,0,OFFSET(ORÇAMENTO!$D$15,CRONO!$F17,0)))
                +IF(AND($F19&lt;&gt;"",$F19&lt;&gt;0),
                        SUMIF(CÁLCULO!$BC$15:$BU$235,CRONO!Y$12,CÁLCULO!$AJ$15:$BB$235)/(ORÇAMENTO!$X$15-CÁLCULO.TotalAdmLocal)*CRONO!$F19,
                        0),
                 Y18*$S17),
          SUMIF(OFFSET($S19,1,0,$R17-2),($M17+1)&amp;"$",OFFSET(Y19,1,0,$R17-2)))</f>
        <v>0</v>
      </c>
      <c r="Z19" s="202">
        <f t="array" aca="1" ref="Z19" ca="1">IF($R17=2,
         IF(AND(ACOMPANHAMENTO="PLE",ISNUMBER($F17)),
                SUMIF((OFFSET(CÁLCULO!$BC$15:$BU$15,$F17,0,OFFSET(ORÇAMENTO!$D$15,CRONO!$F17,0))),CRONO!Z$12,OFFSET(CÁLCULO!$AJ$15:$BB$15,$F17,0,OFFSET(ORÇAMENTO!$D$15,CRONO!$F17,0)))
                +IF(AND($F19&lt;&gt;"",$F19&lt;&gt;0),
                        SUMIF(CÁLCULO!$BC$15:$BU$235,CRONO!Z$12,CÁLCULO!$AJ$15:$BB$235)/(ORÇAMENTO!$X$15-CÁLCULO.TotalAdmLocal)*CRONO!$F19,
                        0),
                 Z18*$S17),
          SUMIF(OFFSET($S19,1,0,$R17-2),($M17+1)&amp;"$",OFFSET(Z19,1,0,$R17-2)))</f>
        <v>0</v>
      </c>
      <c r="AA19" s="202">
        <f t="array" aca="1" ref="AA19" ca="1">IF($R17=2,
         IF(AND(ACOMPANHAMENTO="PLE",ISNUMBER($F17)),
                SUMIF((OFFSET(CÁLCULO!$BC$15:$BU$15,$F17,0,OFFSET(ORÇAMENTO!$D$15,CRONO!$F17,0))),CRONO!AA$12,OFFSET(CÁLCULO!$AJ$15:$BB$15,$F17,0,OFFSET(ORÇAMENTO!$D$15,CRONO!$F17,0)))
                +IF(AND($F19&lt;&gt;"",$F19&lt;&gt;0),
                        SUMIF(CÁLCULO!$BC$15:$BU$235,CRONO!AA$12,CÁLCULO!$AJ$15:$BB$235)/(ORÇAMENTO!$X$15-CÁLCULO.TotalAdmLocal)*CRONO!$F19,
                        0),
                 AA18*$S17),
          SUMIF(OFFSET($S19,1,0,$R17-2),($M17+1)&amp;"$",OFFSET(AA19,1,0,$R17-2)))</f>
        <v>0</v>
      </c>
      <c r="AB19" s="202">
        <f t="array" aca="1" ref="AB19" ca="1">IF($R17=2,
         IF(AND(ACOMPANHAMENTO="PLE",ISNUMBER($F17)),
                SUMIF((OFFSET(CÁLCULO!$BC$15:$BU$15,$F17,0,OFFSET(ORÇAMENTO!$D$15,CRONO!$F17,0))),CRONO!AB$12,OFFSET(CÁLCULO!$AJ$15:$BB$15,$F17,0,OFFSET(ORÇAMENTO!$D$15,CRONO!$F17,0)))
                +IF(AND($F19&lt;&gt;"",$F19&lt;&gt;0),
                        SUMIF(CÁLCULO!$BC$15:$BU$235,CRONO!AB$12,CÁLCULO!$AJ$15:$BB$235)/(ORÇAMENTO!$X$15-CÁLCULO.TotalAdmLocal)*CRONO!$F19,
                        0),
                 AB18*$S17),
          SUMIF(OFFSET($S19,1,0,$R17-2),($M17+1)&amp;"$",OFFSET(AB19,1,0,$R17-2)))</f>
        <v>0</v>
      </c>
      <c r="AC19" s="202">
        <f t="array" aca="1" ref="AC19" ca="1">IF($R17=2,
         IF(AND(ACOMPANHAMENTO="PLE",ISNUMBER($F17)),
                SUMIF((OFFSET(CÁLCULO!$BC$15:$BU$15,$F17,0,OFFSET(ORÇAMENTO!$D$15,CRONO!$F17,0))),CRONO!AC$12,OFFSET(CÁLCULO!$AJ$15:$BB$15,$F17,0,OFFSET(ORÇAMENTO!$D$15,CRONO!$F17,0)))
                +IF(AND($F19&lt;&gt;"",$F19&lt;&gt;0),
                        SUMIF(CÁLCULO!$BC$15:$BU$235,CRONO!AC$12,CÁLCULO!$AJ$15:$BB$235)/(ORÇAMENTO!$X$15-CÁLCULO.TotalAdmLocal)*CRONO!$F19,
                        0),
                 AC18*$S17),
          SUMIF(OFFSET($S19,1,0,$R17-2),($M17+1)&amp;"$",OFFSET(AC19,1,0,$R17-2)))</f>
        <v>0</v>
      </c>
      <c r="AD19" s="202">
        <f t="array" aca="1" ref="AD19" ca="1">IF($R17=2,
         IF(AND(ACOMPANHAMENTO="PLE",ISNUMBER($F17)),
                SUMIF((OFFSET(CÁLCULO!$BC$15:$BU$15,$F17,0,OFFSET(ORÇAMENTO!$D$15,CRONO!$F17,0))),CRONO!AD$12,OFFSET(CÁLCULO!$AJ$15:$BB$15,$F17,0,OFFSET(ORÇAMENTO!$D$15,CRONO!$F17,0)))
                +IF(AND($F19&lt;&gt;"",$F19&lt;&gt;0),
                        SUMIF(CÁLCULO!$BC$15:$BU$235,CRONO!AD$12,CÁLCULO!$AJ$15:$BB$235)/(ORÇAMENTO!$X$15-CÁLCULO.TotalAdmLocal)*CRONO!$F19,
                        0),
                 AD18*$S17),
          SUMIF(OFFSET($S19,1,0,$R17-2),($M17+1)&amp;"$",OFFSET(AD19,1,0,$R17-2)))</f>
        <v>0</v>
      </c>
      <c r="AE19" s="202">
        <f t="array" aca="1" ref="AE19" ca="1">IF($R17=2,
         IF(AND(ACOMPANHAMENTO="PLE",ISNUMBER($F17)),
                SUMIF((OFFSET(CÁLCULO!$BC$15:$BU$15,$F17,0,OFFSET(ORÇAMENTO!$D$15,CRONO!$F17,0))),CRONO!AE$12,OFFSET(CÁLCULO!$AJ$15:$BB$15,$F17,0,OFFSET(ORÇAMENTO!$D$15,CRONO!$F17,0)))
                +IF(AND($F19&lt;&gt;"",$F19&lt;&gt;0),
                        SUMIF(CÁLCULO!$BC$15:$BU$235,CRONO!AE$12,CÁLCULO!$AJ$15:$BB$235)/(ORÇAMENTO!$X$15-CÁLCULO.TotalAdmLocal)*CRONO!$F19,
                        0),
                 AE18*$S17),
          SUMIF(OFFSET($S19,1,0,$R17-2),($M17+1)&amp;"$",OFFSET(AE19,1,0,$R17-2)))</f>
        <v>0</v>
      </c>
      <c r="AF19" s="202">
        <f t="array" aca="1" ref="AF19" ca="1">IF($R17=2,
         IF(AND(ACOMPANHAMENTO="PLE",ISNUMBER($F17)),
                SUMIF((OFFSET(CÁLCULO!$BC$15:$BU$15,$F17,0,OFFSET(ORÇAMENTO!$D$15,CRONO!$F17,0))),CRONO!AF$12,OFFSET(CÁLCULO!$AJ$15:$BB$15,$F17,0,OFFSET(ORÇAMENTO!$D$15,CRONO!$F17,0)))
                +IF(AND($F19&lt;&gt;"",$F19&lt;&gt;0),
                        SUMIF(CÁLCULO!$BC$15:$BU$235,CRONO!AF$12,CÁLCULO!$AJ$15:$BB$235)/(ORÇAMENTO!$X$15-CÁLCULO.TotalAdmLocal)*CRONO!$F19,
                        0),
                 AF18*$S17),
          SUMIF(OFFSET($S19,1,0,$R17-2),($M17+1)&amp;"$",OFFSET(AF19,1,0,$R17-2)))</f>
        <v>0</v>
      </c>
      <c r="AG19" s="532"/>
    </row>
    <row r="20" spans="1:33" x14ac:dyDescent="0.2">
      <c r="A20" s="186" t="str">
        <f ca="1">IF($M20&gt;1,_xlfn.CONCAT($I20," ",$J20),"")</f>
        <v>1.2. SERVIÇOS INICIAIS GERAIS</v>
      </c>
      <c r="B20" s="185">
        <f ca="1">OFFSET(B20,-3,0)+1</f>
        <v>3</v>
      </c>
      <c r="C20" s="185">
        <f ca="1">IF($R20&lt;&gt;2,0,IF($S20=0,1,IF(F21&gt;0,OFFSET(QCI!$M$13,SUBSTITUTE(F21,".",""),0),OFFSET(ORÇAMENTO!$AA$15,CRONO!$F20,0))/$S20))</f>
        <v>0</v>
      </c>
      <c r="D20" s="185">
        <f ca="1">IF($R20&lt;&gt;2,0,IF($S20=0,1,IF(F21&gt;0,OFFSET(QCI!$N$13,SUBSTITUTE(F21,".",""),0),OFFSET(ORÇAMENTO!$AB$15,CRONO!$F20,0))/$S20))</f>
        <v>0</v>
      </c>
      <c r="E20" s="188">
        <f t="array" aca="1" ref="E20" ca="1">IF(AND($R20=2,ACOMPANHAMENTO="BM"),ROUND(E21,4),E22/$S20)</f>
        <v>0.3530514196620404</v>
      </c>
      <c r="F20" s="185">
        <f t="array" aca="1" ref="F20" ca="1">IF(B20&lt;=ORÇAMENTO.MáximoListaCrono,MATCH(B20,ORÇAMENTO.ListaCrono,0),NA())</f>
        <v>8</v>
      </c>
      <c r="G20" s="185" t="str">
        <f ca="1">IF(AND($F21&lt;&gt;-1,$S20&gt;0),"F","")</f>
        <v>F</v>
      </c>
      <c r="H20" s="189" t="str">
        <f t="array" aca="1" ref="H20" ca="1">IF(OR(S20=0,S20=""),"Linha",IF(AND(OR(ACOMPANHAMENTO="PLE",$R20&lt;&gt;2),$F21=0),"Linha",ROUND(1-SUM(U20:AG20),4)))</f>
        <v>Linha</v>
      </c>
      <c r="I20" s="190" t="str">
        <f ca="1">IF($F21=0,OFFSET(ORÇAMENTO!O$15,$F20,0),IF($F21&lt;&gt;-1,OFFSET(QCI!$D$13,$F21,0),""))</f>
        <v>1.2.</v>
      </c>
      <c r="J20" s="191" t="str">
        <f ca="1">IF($F21=0,OFFSET(ORÇAMENTO!R$15,$F20,0),IF($F21&lt;&gt;-1,OFFSET(QCI!$G$13,$F21,0),""))</f>
        <v>SERVIÇOS INICIAIS GERAIS</v>
      </c>
      <c r="K20" s="191"/>
      <c r="L20" s="191"/>
      <c r="M20" s="192">
        <f ca="1">IF($F21=0,OFFSET(ORÇAMENTO!C$15,$F20,0),1)</f>
        <v>2</v>
      </c>
      <c r="N20" s="193">
        <f ca="1">IF($F21=-1,0,IF(N$13&lt;=$M20,IF(ISERROR(MATCH(N$13,OFFSET($M20,1,0,ROW($M$119)-ROW($M20)-1),0)),ROW($M$119)-ROW($M20)-1,MATCH(N$13,OFFSET($M20,1,0,ROW($M$119)-ROW($M20)-1),0)-1),0))</f>
        <v>98</v>
      </c>
      <c r="O20" s="193">
        <f ca="1">IF($F21=-1,0,IF(O$13&lt;=$M20,IF(ISERROR(MATCH(O$13,OFFSET($M20,1,0,ROW($M$119)-ROW($M20)-1),0)),ROW($M$119)-ROW($M20)-1,MATCH(O$13,OFFSET($M20,1,0,ROW($M$119)-ROW($M20)-1),0)-1),0))</f>
        <v>2</v>
      </c>
      <c r="P20" s="193">
        <f ca="1">IF($F21=-1,0,IF(P$13&lt;=$M20,IF(ISERROR(MATCH(P$13,OFFSET($M20,1,0,ROW($M$119)-ROW($M20)-1),0)),ROW($M$119)-ROW($M20)-1,MATCH(P$13,OFFSET($M20,1,0,ROW($M$119)-ROW($M20)-1),0)-1),0))</f>
        <v>0</v>
      </c>
      <c r="Q20" s="193">
        <f ca="1">IF($F21=-1,0,IF(Q$13&lt;=$M20,IF(ISERROR(MATCH(Q$13,OFFSET($M20,1,0,ROW($M$119)-ROW($M20)-1),0)),ROW($M$119)-ROW($M20)-1,MATCH(Q$13,OFFSET($M20,1,0,ROW($M$119)-ROW($M20)-1),0)-1),0))</f>
        <v>0</v>
      </c>
      <c r="R20" s="193">
        <f ca="1">MIN(OFFSET(M20,0,1,,M20))</f>
        <v>2</v>
      </c>
      <c r="S20" s="194">
        <f ca="1">IF($F21=0,OFFSET(ORÇAMENTO!X$15,$F20,0),IF($F21&lt;&gt;-1,OFFSET(QCI!$O$13,$F21,0),""))</f>
        <v>23397.47</v>
      </c>
      <c r="T20" s="195" t="s">
        <v>785</v>
      </c>
      <c r="U20" s="188">
        <f t="array" aca="1" ref="U20" ca="1">IF(AND($R20=2,ACOMPANHAMENTO="BM"),ROUND(U21,4),U22/$S20)</f>
        <v>0.3530514196620404</v>
      </c>
      <c r="V20" s="188">
        <f t="array" aca="1" ref="V20" ca="1">IF(AND($R20=2,ACOMPANHAMENTO="BM"),ROUND(V21,4),V22/$S20)</f>
        <v>0.64694858033795954</v>
      </c>
      <c r="W20" s="188">
        <f t="array" aca="1" ref="W20" ca="1">IF(AND($R20=2,ACOMPANHAMENTO="BM"),ROUND(W21,4),W22/$S20)</f>
        <v>0</v>
      </c>
      <c r="X20" s="188">
        <f t="array" aca="1" ref="X20" ca="1">IF(AND($R20=2,ACOMPANHAMENTO="BM"),ROUND(X21,4),X22/$S20)</f>
        <v>0</v>
      </c>
      <c r="Y20" s="188">
        <f t="array" aca="1" ref="Y20" ca="1">IF(AND($R20=2,ACOMPANHAMENTO="BM"),ROUND(Y21,4),Y22/$S20)</f>
        <v>0</v>
      </c>
      <c r="Z20" s="188">
        <f t="array" aca="1" ref="Z20" ca="1">IF(AND($R20=2,ACOMPANHAMENTO="BM"),ROUND(Z21,4),Z22/$S20)</f>
        <v>0</v>
      </c>
      <c r="AA20" s="188">
        <f t="array" aca="1" ref="AA20" ca="1">IF(AND($R20=2,ACOMPANHAMENTO="BM"),ROUND(AA21,4),AA22/$S20)</f>
        <v>0</v>
      </c>
      <c r="AB20" s="188">
        <f t="array" aca="1" ref="AB20" ca="1">IF(AND($R20=2,ACOMPANHAMENTO="BM"),ROUND(AB21,4),AB22/$S20)</f>
        <v>0</v>
      </c>
      <c r="AC20" s="188">
        <f t="array" aca="1" ref="AC20" ca="1">IF(AND($R20=2,ACOMPANHAMENTO="BM"),ROUND(AC21,4),AC22/$S20)</f>
        <v>0</v>
      </c>
      <c r="AD20" s="188">
        <f t="array" aca="1" ref="AD20" ca="1">IF(AND($R20=2,ACOMPANHAMENTO="BM"),ROUND(AD21,4),AD22/$S20)</f>
        <v>0</v>
      </c>
      <c r="AE20" s="188">
        <f t="array" aca="1" ref="AE20" ca="1">IF(AND($R20=2,ACOMPANHAMENTO="BM"),ROUND(AE21,4),AE22/$S20)</f>
        <v>0</v>
      </c>
      <c r="AF20" s="188">
        <f t="array" aca="1" ref="AF20" ca="1">IF(AND($R20=2,ACOMPANHAMENTO="BM"),ROUND(AF21,4),AF22/$S20)</f>
        <v>0</v>
      </c>
      <c r="AG20" s="532"/>
    </row>
    <row r="21" spans="1:33" ht="12.75" customHeight="1" x14ac:dyDescent="0.2">
      <c r="E21" s="585"/>
      <c r="F21" s="185">
        <f ca="1">IF(ISERROR(F20),IF(1+COUNTIF($M$13:OFFSET(M20,-1,0),1)&lt;=MAX(QCI!$D$13:$D$24),1+COUNTIF($M$13:OFFSET(M20,-1,0),1),-1),0)</f>
        <v>0</v>
      </c>
      <c r="G21" s="185" t="str">
        <f t="array" aca="1" ref="G21" ca="1">IF(ACOMPANHAMENTO="BM",OFFSET(G21,-1,0),"")</f>
        <v/>
      </c>
      <c r="H21" s="196" t="str">
        <f t="array" aca="1" ref="H21" ca="1">IF(OR(S20=0,S20=""),"vazia",IF(AND(OR(ACOMPANHAMENTO="PLE",$R20&lt;&gt;2),$F21=0),"calculada","--&gt;"))</f>
        <v>calculada</v>
      </c>
      <c r="I21" s="197"/>
      <c r="J21" s="198" t="str">
        <f ca="1">IF(AND(H20&lt;&gt;0,ISNUMBER(H20)),"PREENCHA ESTA LINHA --&gt;","")</f>
        <v/>
      </c>
      <c r="K21" s="198"/>
      <c r="L21" s="198"/>
      <c r="M21" s="199"/>
      <c r="N21" s="199"/>
      <c r="O21" s="199"/>
      <c r="P21" s="199"/>
      <c r="Q21" s="199"/>
      <c r="R21" s="199"/>
      <c r="S21" s="200"/>
      <c r="T21" s="201"/>
      <c r="U21" s="585"/>
      <c r="V21" s="585"/>
      <c r="W21" s="585"/>
      <c r="X21" s="585"/>
      <c r="Y21" s="585"/>
      <c r="Z21" s="585"/>
      <c r="AA21" s="585"/>
      <c r="AB21" s="585"/>
      <c r="AC21" s="585"/>
      <c r="AD21" s="585"/>
      <c r="AE21" s="585"/>
      <c r="AF21" s="585"/>
      <c r="AG21" s="532"/>
    </row>
    <row r="22" spans="1:33" ht="12.75" customHeight="1" x14ac:dyDescent="0.2">
      <c r="D22" s="531"/>
      <c r="E22" s="202">
        <f t="array" aca="1" ref="E22" ca="1">IF($R20=2,
         IF(AND(ACOMPANHAMENTO="PLE",ISNUMBER($F20)),
                SUMIF((OFFSET(CÁLCULO!$BC$15:$BU$15,$F20,0,OFFSET(ORÇAMENTO!$D$15,CRONO!$F20,0))),CRONO!E$12,OFFSET(CÁLCULO!$AJ$15:$BB$15,$F20,0,OFFSET(ORÇAMENTO!$D$15,CRONO!$F20,0)))
                +IF(AND($F22&lt;&gt;"",$F22&lt;&gt;0),
                        SUMIF(CÁLCULO!$BC$15:$BU$235,CRONO!E$12,CÁLCULO!$AJ$15:$BB$235)/(ORÇAMENTO!$X$15-CÁLCULO.TotalAdmLocal)*CRONO!$F22,
                        0),
                 E21*$S20),
          SUMIF(OFFSET($S22,1,0,$R20-2),($M20+1)&amp;"$",OFFSET(E22,1,0,$R20-2)))</f>
        <v>8260.51</v>
      </c>
      <c r="F22" s="185">
        <f ca="1">IF(OR($R20&lt;&gt;2,AUTOEVENTO&lt;&gt;"manual",$F21&gt;0),"",
        IF(Import.TipoArredondamento="Tradicional",
              SUMIF(OFFSET(CÁLCULO!$M$15,CRONO!$F20,0,OFFSET(ORÇAMENTO!$D$15,CRONO!$F20,0)),1,OFFSET(ORÇAMENTO!$X$15,CRONO!$F20,0,OFFSET(ORÇAMENTO!$D$15,CRONO!$F20,0))),
              0))</f>
        <v>0</v>
      </c>
      <c r="H22" s="693"/>
      <c r="S22" s="204" t="str">
        <f ca="1">M20&amp;"$"</f>
        <v>2$</v>
      </c>
      <c r="T22" s="205"/>
      <c r="U22" s="202">
        <f t="array" aca="1" ref="U22" ca="1">IF($R20=2,
         IF(AND(ACOMPANHAMENTO="PLE",ISNUMBER($F20)),
                SUMIF((OFFSET(CÁLCULO!$BC$15:$BU$15,$F20,0,OFFSET(ORÇAMENTO!$D$15,CRONO!$F20,0))),CRONO!U$12,OFFSET(CÁLCULO!$AJ$15:$BB$15,$F20,0,OFFSET(ORÇAMENTO!$D$15,CRONO!$F20,0)))
                +IF(AND($F22&lt;&gt;"",$F22&lt;&gt;0),
                        SUMIF(CÁLCULO!$BC$15:$BU$235,CRONO!U$12,CÁLCULO!$AJ$15:$BB$235)/(ORÇAMENTO!$X$15-CÁLCULO.TotalAdmLocal)*CRONO!$F22,
                        0),
                 U21*$S20),
          SUMIF(OFFSET($S22,1,0,$R20-2),($M20+1)&amp;"$",OFFSET(U22,1,0,$R20-2)))</f>
        <v>8260.51</v>
      </c>
      <c r="V22" s="202">
        <f t="array" aca="1" ref="V22" ca="1">IF($R20=2,
         IF(AND(ACOMPANHAMENTO="PLE",ISNUMBER($F20)),
                SUMIF((OFFSET(CÁLCULO!$BC$15:$BU$15,$F20,0,OFFSET(ORÇAMENTO!$D$15,CRONO!$F20,0))),CRONO!V$12,OFFSET(CÁLCULO!$AJ$15:$BB$15,$F20,0,OFFSET(ORÇAMENTO!$D$15,CRONO!$F20,0)))
                +IF(AND($F22&lt;&gt;"",$F22&lt;&gt;0),
                        SUMIF(CÁLCULO!$BC$15:$BU$235,CRONO!V$12,CÁLCULO!$AJ$15:$BB$235)/(ORÇAMENTO!$X$15-CÁLCULO.TotalAdmLocal)*CRONO!$F22,
                        0),
                 V21*$S20),
          SUMIF(OFFSET($S22,1,0,$R20-2),($M20+1)&amp;"$",OFFSET(V22,1,0,$R20-2)))</f>
        <v>15136.96</v>
      </c>
      <c r="W22" s="202">
        <f t="array" aca="1" ref="W22" ca="1">IF($R20=2,
         IF(AND(ACOMPANHAMENTO="PLE",ISNUMBER($F20)),
                SUMIF((OFFSET(CÁLCULO!$BC$15:$BU$15,$F20,0,OFFSET(ORÇAMENTO!$D$15,CRONO!$F20,0))),CRONO!W$12,OFFSET(CÁLCULO!$AJ$15:$BB$15,$F20,0,OFFSET(ORÇAMENTO!$D$15,CRONO!$F20,0)))
                +IF(AND($F22&lt;&gt;"",$F22&lt;&gt;0),
                        SUMIF(CÁLCULO!$BC$15:$BU$235,CRONO!W$12,CÁLCULO!$AJ$15:$BB$235)/(ORÇAMENTO!$X$15-CÁLCULO.TotalAdmLocal)*CRONO!$F22,
                        0),
                 W21*$S20),
          SUMIF(OFFSET($S22,1,0,$R20-2),($M20+1)&amp;"$",OFFSET(W22,1,0,$R20-2)))</f>
        <v>0</v>
      </c>
      <c r="X22" s="202">
        <f t="array" aca="1" ref="X22" ca="1">IF($R20=2,
         IF(AND(ACOMPANHAMENTO="PLE",ISNUMBER($F20)),
                SUMIF((OFFSET(CÁLCULO!$BC$15:$BU$15,$F20,0,OFFSET(ORÇAMENTO!$D$15,CRONO!$F20,0))),CRONO!X$12,OFFSET(CÁLCULO!$AJ$15:$BB$15,$F20,0,OFFSET(ORÇAMENTO!$D$15,CRONO!$F20,0)))
                +IF(AND($F22&lt;&gt;"",$F22&lt;&gt;0),
                        SUMIF(CÁLCULO!$BC$15:$BU$235,CRONO!X$12,CÁLCULO!$AJ$15:$BB$235)/(ORÇAMENTO!$X$15-CÁLCULO.TotalAdmLocal)*CRONO!$F22,
                        0),
                 X21*$S20),
          SUMIF(OFFSET($S22,1,0,$R20-2),($M20+1)&amp;"$",OFFSET(X22,1,0,$R20-2)))</f>
        <v>0</v>
      </c>
      <c r="Y22" s="202">
        <f t="array" aca="1" ref="Y22" ca="1">IF($R20=2,
         IF(AND(ACOMPANHAMENTO="PLE",ISNUMBER($F20)),
                SUMIF((OFFSET(CÁLCULO!$BC$15:$BU$15,$F20,0,OFFSET(ORÇAMENTO!$D$15,CRONO!$F20,0))),CRONO!Y$12,OFFSET(CÁLCULO!$AJ$15:$BB$15,$F20,0,OFFSET(ORÇAMENTO!$D$15,CRONO!$F20,0)))
                +IF(AND($F22&lt;&gt;"",$F22&lt;&gt;0),
                        SUMIF(CÁLCULO!$BC$15:$BU$235,CRONO!Y$12,CÁLCULO!$AJ$15:$BB$235)/(ORÇAMENTO!$X$15-CÁLCULO.TotalAdmLocal)*CRONO!$F22,
                        0),
                 Y21*$S20),
          SUMIF(OFFSET($S22,1,0,$R20-2),($M20+1)&amp;"$",OFFSET(Y22,1,0,$R20-2)))</f>
        <v>0</v>
      </c>
      <c r="Z22" s="202">
        <f t="array" aca="1" ref="Z22" ca="1">IF($R20=2,
         IF(AND(ACOMPANHAMENTO="PLE",ISNUMBER($F20)),
                SUMIF((OFFSET(CÁLCULO!$BC$15:$BU$15,$F20,0,OFFSET(ORÇAMENTO!$D$15,CRONO!$F20,0))),CRONO!Z$12,OFFSET(CÁLCULO!$AJ$15:$BB$15,$F20,0,OFFSET(ORÇAMENTO!$D$15,CRONO!$F20,0)))
                +IF(AND($F22&lt;&gt;"",$F22&lt;&gt;0),
                        SUMIF(CÁLCULO!$BC$15:$BU$235,CRONO!Z$12,CÁLCULO!$AJ$15:$BB$235)/(ORÇAMENTO!$X$15-CÁLCULO.TotalAdmLocal)*CRONO!$F22,
                        0),
                 Z21*$S20),
          SUMIF(OFFSET($S22,1,0,$R20-2),($M20+1)&amp;"$",OFFSET(Z22,1,0,$R20-2)))</f>
        <v>0</v>
      </c>
      <c r="AA22" s="202">
        <f t="array" aca="1" ref="AA22" ca="1">IF($R20=2,
         IF(AND(ACOMPANHAMENTO="PLE",ISNUMBER($F20)),
                SUMIF((OFFSET(CÁLCULO!$BC$15:$BU$15,$F20,0,OFFSET(ORÇAMENTO!$D$15,CRONO!$F20,0))),CRONO!AA$12,OFFSET(CÁLCULO!$AJ$15:$BB$15,$F20,0,OFFSET(ORÇAMENTO!$D$15,CRONO!$F20,0)))
                +IF(AND($F22&lt;&gt;"",$F22&lt;&gt;0),
                        SUMIF(CÁLCULO!$BC$15:$BU$235,CRONO!AA$12,CÁLCULO!$AJ$15:$BB$235)/(ORÇAMENTO!$X$15-CÁLCULO.TotalAdmLocal)*CRONO!$F22,
                        0),
                 AA21*$S20),
          SUMIF(OFFSET($S22,1,0,$R20-2),($M20+1)&amp;"$",OFFSET(AA22,1,0,$R20-2)))</f>
        <v>0</v>
      </c>
      <c r="AB22" s="202">
        <f t="array" aca="1" ref="AB22" ca="1">IF($R20=2,
         IF(AND(ACOMPANHAMENTO="PLE",ISNUMBER($F20)),
                SUMIF((OFFSET(CÁLCULO!$BC$15:$BU$15,$F20,0,OFFSET(ORÇAMENTO!$D$15,CRONO!$F20,0))),CRONO!AB$12,OFFSET(CÁLCULO!$AJ$15:$BB$15,$F20,0,OFFSET(ORÇAMENTO!$D$15,CRONO!$F20,0)))
                +IF(AND($F22&lt;&gt;"",$F22&lt;&gt;0),
                        SUMIF(CÁLCULO!$BC$15:$BU$235,CRONO!AB$12,CÁLCULO!$AJ$15:$BB$235)/(ORÇAMENTO!$X$15-CÁLCULO.TotalAdmLocal)*CRONO!$F22,
                        0),
                 AB21*$S20),
          SUMIF(OFFSET($S22,1,0,$R20-2),($M20+1)&amp;"$",OFFSET(AB22,1,0,$R20-2)))</f>
        <v>0</v>
      </c>
      <c r="AC22" s="202">
        <f t="array" aca="1" ref="AC22" ca="1">IF($R20=2,
         IF(AND(ACOMPANHAMENTO="PLE",ISNUMBER($F20)),
                SUMIF((OFFSET(CÁLCULO!$BC$15:$BU$15,$F20,0,OFFSET(ORÇAMENTO!$D$15,CRONO!$F20,0))),CRONO!AC$12,OFFSET(CÁLCULO!$AJ$15:$BB$15,$F20,0,OFFSET(ORÇAMENTO!$D$15,CRONO!$F20,0)))
                +IF(AND($F22&lt;&gt;"",$F22&lt;&gt;0),
                        SUMIF(CÁLCULO!$BC$15:$BU$235,CRONO!AC$12,CÁLCULO!$AJ$15:$BB$235)/(ORÇAMENTO!$X$15-CÁLCULO.TotalAdmLocal)*CRONO!$F22,
                        0),
                 AC21*$S20),
          SUMIF(OFFSET($S22,1,0,$R20-2),($M20+1)&amp;"$",OFFSET(AC22,1,0,$R20-2)))</f>
        <v>0</v>
      </c>
      <c r="AD22" s="202">
        <f t="array" aca="1" ref="AD22" ca="1">IF($R20=2,
         IF(AND(ACOMPANHAMENTO="PLE",ISNUMBER($F20)),
                SUMIF((OFFSET(CÁLCULO!$BC$15:$BU$15,$F20,0,OFFSET(ORÇAMENTO!$D$15,CRONO!$F20,0))),CRONO!AD$12,OFFSET(CÁLCULO!$AJ$15:$BB$15,$F20,0,OFFSET(ORÇAMENTO!$D$15,CRONO!$F20,0)))
                +IF(AND($F22&lt;&gt;"",$F22&lt;&gt;0),
                        SUMIF(CÁLCULO!$BC$15:$BU$235,CRONO!AD$12,CÁLCULO!$AJ$15:$BB$235)/(ORÇAMENTO!$X$15-CÁLCULO.TotalAdmLocal)*CRONO!$F22,
                        0),
                 AD21*$S20),
          SUMIF(OFFSET($S22,1,0,$R20-2),($M20+1)&amp;"$",OFFSET(AD22,1,0,$R20-2)))</f>
        <v>0</v>
      </c>
      <c r="AE22" s="202">
        <f t="array" aca="1" ref="AE22" ca="1">IF($R20=2,
         IF(AND(ACOMPANHAMENTO="PLE",ISNUMBER($F20)),
                SUMIF((OFFSET(CÁLCULO!$BC$15:$BU$15,$F20,0,OFFSET(ORÇAMENTO!$D$15,CRONO!$F20,0))),CRONO!AE$12,OFFSET(CÁLCULO!$AJ$15:$BB$15,$F20,0,OFFSET(ORÇAMENTO!$D$15,CRONO!$F20,0)))
                +IF(AND($F22&lt;&gt;"",$F22&lt;&gt;0),
                        SUMIF(CÁLCULO!$BC$15:$BU$235,CRONO!AE$12,CÁLCULO!$AJ$15:$BB$235)/(ORÇAMENTO!$X$15-CÁLCULO.TotalAdmLocal)*CRONO!$F22,
                        0),
                 AE21*$S20),
          SUMIF(OFFSET($S22,1,0,$R20-2),($M20+1)&amp;"$",OFFSET(AE22,1,0,$R20-2)))</f>
        <v>0</v>
      </c>
      <c r="AF22" s="202">
        <f t="array" aca="1" ref="AF22" ca="1">IF($R20=2,
         IF(AND(ACOMPANHAMENTO="PLE",ISNUMBER($F20)),
                SUMIF((OFFSET(CÁLCULO!$BC$15:$BU$15,$F20,0,OFFSET(ORÇAMENTO!$D$15,CRONO!$F20,0))),CRONO!AF$12,OFFSET(CÁLCULO!$AJ$15:$BB$15,$F20,0,OFFSET(ORÇAMENTO!$D$15,CRONO!$F20,0)))
                +IF(AND($F22&lt;&gt;"",$F22&lt;&gt;0),
                        SUMIF(CÁLCULO!$BC$15:$BU$235,CRONO!AF$12,CÁLCULO!$AJ$15:$BB$235)/(ORÇAMENTO!$X$15-CÁLCULO.TotalAdmLocal)*CRONO!$F22,
                        0),
                 AF21*$S20),
          SUMIF(OFFSET($S22,1,0,$R20-2),($M20+1)&amp;"$",OFFSET(AF22,1,0,$R20-2)))</f>
        <v>0</v>
      </c>
      <c r="AG22" s="532"/>
    </row>
    <row r="23" spans="1:33" x14ac:dyDescent="0.2">
      <c r="A23" s="186" t="str">
        <f ca="1">IF($M23&gt;1,_xlfn.CONCAT($I23," ",$J23),"")</f>
        <v>1.3. ADMINISTRAÇÃO LOCAL</v>
      </c>
      <c r="B23" s="185">
        <f ca="1">OFFSET(B23,-3,0)+1</f>
        <v>4</v>
      </c>
      <c r="C23" s="185">
        <f ca="1">IF($R23&lt;&gt;2,0,IF($S23=0,1,IF(F24&gt;0,OFFSET(QCI!$M$13,SUBSTITUTE(F24,".",""),0),OFFSET(ORÇAMENTO!$AA$15,CRONO!$F23,0))/$S23))</f>
        <v>0</v>
      </c>
      <c r="D23" s="185">
        <f ca="1">IF($R23&lt;&gt;2,0,IF($S23=0,1,IF(F24&gt;0,OFFSET(QCI!$N$13,SUBSTITUTE(F24,".",""),0),OFFSET(ORÇAMENTO!$AB$15,CRONO!$F23,0))/$S23))</f>
        <v>0</v>
      </c>
      <c r="E23" s="188">
        <f t="array" aca="1" ref="E23" ca="1">IF(AND($R23=2,ACOMPANHAMENTO="BM"),ROUND(E24,4),E25/$S23)</f>
        <v>3.2000385692030945E-3</v>
      </c>
      <c r="F23" s="185">
        <f t="array" aca="1" ref="F23" ca="1">IF(B23&lt;=ORÇAMENTO.MáximoListaCrono,MATCH(B23,ORÇAMENTO.ListaCrono,0),NA())</f>
        <v>14</v>
      </c>
      <c r="G23" s="185" t="str">
        <f ca="1">IF(AND($F24&lt;&gt;-1,$S23&gt;0),"F","")</f>
        <v>F</v>
      </c>
      <c r="H23" s="189" t="str">
        <f t="array" aca="1" ref="H23" ca="1">IF(OR(S23=0,S23=""),"Linha",IF(AND(OR(ACOMPANHAMENTO="PLE",$R23&lt;&gt;2),$F24=0),"Linha",ROUND(1-SUM(U23:AG23),4)))</f>
        <v>Linha</v>
      </c>
      <c r="I23" s="190" t="str">
        <f ca="1">IF($F24=0,OFFSET(ORÇAMENTO!O$15,$F23,0),IF($F24&lt;&gt;-1,OFFSET(QCI!$D$13,$F24,0),""))</f>
        <v>1.3.</v>
      </c>
      <c r="J23" s="191" t="str">
        <f ca="1">IF($F24=0,OFFSET(ORÇAMENTO!R$15,$F23,0),IF($F24&lt;&gt;-1,OFFSET(QCI!$G$13,$F24,0),""))</f>
        <v>ADMINISTRAÇÃO LOCAL</v>
      </c>
      <c r="K23" s="191"/>
      <c r="L23" s="191"/>
      <c r="M23" s="192">
        <f ca="1">IF($F24=0,OFFSET(ORÇAMENTO!C$15,$F23,0),1)</f>
        <v>2</v>
      </c>
      <c r="N23" s="193">
        <f ca="1">IF($F24=-1,0,IF(N$13&lt;=$M23,IF(ISERROR(MATCH(N$13,OFFSET($M23,1,0,ROW($M$119)-ROW($M23)-1),0)),ROW($M$119)-ROW($M23)-1,MATCH(N$13,OFFSET($M23,1,0,ROW($M$119)-ROW($M23)-1),0)-1),0))</f>
        <v>95</v>
      </c>
      <c r="O23" s="193">
        <f ca="1">IF($F24=-1,0,IF(O$13&lt;=$M23,IF(ISERROR(MATCH(O$13,OFFSET($M23,1,0,ROW($M$119)-ROW($M23)-1),0)),ROW($M$119)-ROW($M23)-1,MATCH(O$13,OFFSET($M23,1,0,ROW($M$119)-ROW($M23)-1),0)-1),0))</f>
        <v>2</v>
      </c>
      <c r="P23" s="193">
        <f ca="1">IF($F24=-1,0,IF(P$13&lt;=$M23,IF(ISERROR(MATCH(P$13,OFFSET($M23,1,0,ROW($M$119)-ROW($M23)-1),0)),ROW($M$119)-ROW($M23)-1,MATCH(P$13,OFFSET($M23,1,0,ROW($M$119)-ROW($M23)-1),0)-1),0))</f>
        <v>0</v>
      </c>
      <c r="Q23" s="193">
        <f ca="1">IF($F24=-1,0,IF(Q$13&lt;=$M23,IF(ISERROR(MATCH(Q$13,OFFSET($M23,1,0,ROW($M$119)-ROW($M23)-1),0)),ROW($M$119)-ROW($M23)-1,MATCH(Q$13,OFFSET($M23,1,0,ROW($M$119)-ROW($M23)-1),0)-1),0))</f>
        <v>0</v>
      </c>
      <c r="R23" s="193">
        <f ca="1">MIN(OFFSET(M23,0,1,,M23))</f>
        <v>2</v>
      </c>
      <c r="S23" s="194">
        <f ca="1">IF($F24=0,OFFSET(ORÇAMENTO!X$15,$F23,0),IF($F24&lt;&gt;-1,OFFSET(QCI!$O$13,$F24,0),""))</f>
        <v>102880.01</v>
      </c>
      <c r="T23" s="195" t="s">
        <v>785</v>
      </c>
      <c r="U23" s="188">
        <f t="array" aca="1" ref="U23" ca="1">IF(AND($R23=2,ACOMPANHAMENTO="BM"),ROUND(U24,4),U25/$S23)</f>
        <v>3.2000385692030945E-3</v>
      </c>
      <c r="V23" s="188">
        <f t="array" aca="1" ref="V23" ca="1">IF(AND($R23=2,ACOMPANHAMENTO="BM"),ROUND(V24,4),V25/$S23)</f>
        <v>9.020003011274981E-2</v>
      </c>
      <c r="W23" s="188">
        <f t="array" aca="1" ref="W23" ca="1">IF(AND($R23=2,ACOMPANHAMENTO="BM"),ROUND(W24,4),W25/$S23)</f>
        <v>0.11099998921073201</v>
      </c>
      <c r="X23" s="188">
        <f t="array" aca="1" ref="X23" ca="1">IF(AND($R23=2,ACOMPANHAMENTO="BM"),ROUND(X24,4),X25/$S23)</f>
        <v>0.16689996433709522</v>
      </c>
      <c r="Y23" s="188">
        <f t="array" aca="1" ref="Y23" ca="1">IF(AND($R23=2,ACOMPANHAMENTO="BM"),ROUND(Y24,4),Y25/$S23)</f>
        <v>0.17910000203149282</v>
      </c>
      <c r="Z23" s="188">
        <f t="array" aca="1" ref="Z23" ca="1">IF(AND($R23=2,ACOMPANHAMENTO="BM"),ROUND(Z24,4),Z25/$S23)</f>
        <v>0.19170002024688762</v>
      </c>
      <c r="AA23" s="188">
        <f t="array" aca="1" ref="AA23" ca="1">IF(AND($R23=2,ACOMPANHAMENTO="BM"),ROUND(AA24,4),AA25/$S23)</f>
        <v>0.11749998857892802</v>
      </c>
      <c r="AB23" s="188">
        <f t="array" aca="1" ref="AB23" ca="1">IF(AND($R23=2,ACOMPANHAMENTO="BM"),ROUND(AB24,4),AB25/$S23)</f>
        <v>6.7899973959955881E-2</v>
      </c>
      <c r="AC23" s="188">
        <f t="array" aca="1" ref="AC23" ca="1">IF(AND($R23=2,ACOMPANHAMENTO="BM"),ROUND(AC24,4),AC25/$S23)</f>
        <v>7.2499992952955589E-2</v>
      </c>
      <c r="AD23" s="188">
        <f t="array" aca="1" ref="AD23" ca="1">IF(AND($R23=2,ACOMPANHAMENTO="BM"),ROUND(AD24,4),AD25/$S23)</f>
        <v>0</v>
      </c>
      <c r="AE23" s="188">
        <f t="array" aca="1" ref="AE23" ca="1">IF(AND($R23=2,ACOMPANHAMENTO="BM"),ROUND(AE24,4),AE25/$S23)</f>
        <v>0</v>
      </c>
      <c r="AF23" s="188">
        <f t="array" aca="1" ref="AF23" ca="1">IF(AND($R23=2,ACOMPANHAMENTO="BM"),ROUND(AF24,4),AF25/$S23)</f>
        <v>0</v>
      </c>
      <c r="AG23" s="532"/>
    </row>
    <row r="24" spans="1:33" ht="12.75" customHeight="1" x14ac:dyDescent="0.2">
      <c r="E24" s="585"/>
      <c r="F24" s="185">
        <f ca="1">IF(ISERROR(F23),IF(1+COUNTIF($M$13:OFFSET(M23,-1,0),1)&lt;=MAX(QCI!$D$13:$D$24),1+COUNTIF($M$13:OFFSET(M23,-1,0),1),-1),0)</f>
        <v>0</v>
      </c>
      <c r="G24" s="185" t="str">
        <f t="array" aca="1" ref="G24" ca="1">IF(ACOMPANHAMENTO="BM",OFFSET(G24,-1,0),"")</f>
        <v/>
      </c>
      <c r="H24" s="196" t="str">
        <f t="array" aca="1" ref="H24" ca="1">IF(OR(S23=0,S23=""),"vazia",IF(AND(OR(ACOMPANHAMENTO="PLE",$R23&lt;&gt;2),$F24=0),"calculada","--&gt;"))</f>
        <v>calculada</v>
      </c>
      <c r="I24" s="197"/>
      <c r="J24" s="198" t="str">
        <f ca="1">IF(AND(H23&lt;&gt;0,ISNUMBER(H23)),"PREENCHA ESTA LINHA --&gt;","")</f>
        <v/>
      </c>
      <c r="K24" s="198"/>
      <c r="L24" s="198"/>
      <c r="M24" s="199"/>
      <c r="N24" s="199"/>
      <c r="O24" s="199"/>
      <c r="P24" s="199"/>
      <c r="Q24" s="199"/>
      <c r="R24" s="199"/>
      <c r="S24" s="200"/>
      <c r="T24" s="201"/>
      <c r="U24" s="585"/>
      <c r="V24" s="585"/>
      <c r="W24" s="585"/>
      <c r="X24" s="585"/>
      <c r="Y24" s="585"/>
      <c r="Z24" s="585"/>
      <c r="AA24" s="585"/>
      <c r="AB24" s="585"/>
      <c r="AC24" s="585"/>
      <c r="AD24" s="585"/>
      <c r="AE24" s="585"/>
      <c r="AF24" s="585"/>
      <c r="AG24" s="532"/>
    </row>
    <row r="25" spans="1:33" ht="12.75" customHeight="1" x14ac:dyDescent="0.2">
      <c r="D25" s="531"/>
      <c r="E25" s="202">
        <f t="array" aca="1" ref="E25" ca="1">IF($R23=2,
         IF(AND(ACOMPANHAMENTO="PLE",ISNUMBER($F23)),
                SUMIF((OFFSET(CÁLCULO!$BC$15:$BU$15,$F23,0,OFFSET(ORÇAMENTO!$D$15,CRONO!$F23,0))),CRONO!E$12,OFFSET(CÁLCULO!$AJ$15:$BB$15,$F23,0,OFFSET(ORÇAMENTO!$D$15,CRONO!$F23,0)))
                +IF(AND($F25&lt;&gt;"",$F25&lt;&gt;0),
                        SUMIF(CÁLCULO!$BC$15:$BU$235,CRONO!E$12,CÁLCULO!$AJ$15:$BB$235)/(ORÇAMENTO!$X$15-CÁLCULO.TotalAdmLocal)*CRONO!$F25,
                        0),
                 E24*$S23),
          SUMIF(OFFSET($S25,1,0,$R23-2),($M23+1)&amp;"$",OFFSET(E25,1,0,$R23-2)))</f>
        <v>329.22</v>
      </c>
      <c r="F25" s="185">
        <f ca="1">IF(OR($R23&lt;&gt;2,AUTOEVENTO&lt;&gt;"manual",$F24&gt;0),"",
        IF(Import.TipoArredondamento="Tradicional",
              SUMIF(OFFSET(CÁLCULO!$M$15,CRONO!$F23,0,OFFSET(ORÇAMENTO!$D$15,CRONO!$F23,0)),1,OFFSET(ORÇAMENTO!$X$15,CRONO!$F23,0,OFFSET(ORÇAMENTO!$D$15,CRONO!$F23,0))),
              0))</f>
        <v>0</v>
      </c>
      <c r="H25" s="693"/>
      <c r="S25" s="204" t="str">
        <f ca="1">M23&amp;"$"</f>
        <v>2$</v>
      </c>
      <c r="T25" s="205"/>
      <c r="U25" s="202">
        <f t="array" aca="1" ref="U25" ca="1">IF($R23=2,
         IF(AND(ACOMPANHAMENTO="PLE",ISNUMBER($F23)),
                SUMIF((OFFSET(CÁLCULO!$BC$15:$BU$15,$F23,0,OFFSET(ORÇAMENTO!$D$15,CRONO!$F23,0))),CRONO!U$12,OFFSET(CÁLCULO!$AJ$15:$BB$15,$F23,0,OFFSET(ORÇAMENTO!$D$15,CRONO!$F23,0)))
                +IF(AND($F25&lt;&gt;"",$F25&lt;&gt;0),
                        SUMIF(CÁLCULO!$BC$15:$BU$235,CRONO!U$12,CÁLCULO!$AJ$15:$BB$235)/(ORÇAMENTO!$X$15-CÁLCULO.TotalAdmLocal)*CRONO!$F25,
                        0),
                 U24*$S23),
          SUMIF(OFFSET($S25,1,0,$R23-2),($M23+1)&amp;"$",OFFSET(U25,1,0,$R23-2)))</f>
        <v>329.22</v>
      </c>
      <c r="V25" s="202">
        <f t="array" aca="1" ref="V25" ca="1">IF($R23=2,
         IF(AND(ACOMPANHAMENTO="PLE",ISNUMBER($F23)),
                SUMIF((OFFSET(CÁLCULO!$BC$15:$BU$15,$F23,0,OFFSET(ORÇAMENTO!$D$15,CRONO!$F23,0))),CRONO!V$12,OFFSET(CÁLCULO!$AJ$15:$BB$15,$F23,0,OFFSET(ORÇAMENTO!$D$15,CRONO!$F23,0)))
                +IF(AND($F25&lt;&gt;"",$F25&lt;&gt;0),
                        SUMIF(CÁLCULO!$BC$15:$BU$235,CRONO!V$12,CÁLCULO!$AJ$15:$BB$235)/(ORÇAMENTO!$X$15-CÁLCULO.TotalAdmLocal)*CRONO!$F25,
                        0),
                 V24*$S23),
          SUMIF(OFFSET($S25,1,0,$R23-2),($M23+1)&amp;"$",OFFSET(V25,1,0,$R23-2)))</f>
        <v>9279.7800000000007</v>
      </c>
      <c r="W25" s="202">
        <f t="array" aca="1" ref="W25" ca="1">IF($R23=2,
         IF(AND(ACOMPANHAMENTO="PLE",ISNUMBER($F23)),
                SUMIF((OFFSET(CÁLCULO!$BC$15:$BU$15,$F23,0,OFFSET(ORÇAMENTO!$D$15,CRONO!$F23,0))),CRONO!W$12,OFFSET(CÁLCULO!$AJ$15:$BB$15,$F23,0,OFFSET(ORÇAMENTO!$D$15,CRONO!$F23,0)))
                +IF(AND($F25&lt;&gt;"",$F25&lt;&gt;0),
                        SUMIF(CÁLCULO!$BC$15:$BU$235,CRONO!W$12,CÁLCULO!$AJ$15:$BB$235)/(ORÇAMENTO!$X$15-CÁLCULO.TotalAdmLocal)*CRONO!$F25,
                        0),
                 W24*$S23),
          SUMIF(OFFSET($S25,1,0,$R23-2),($M23+1)&amp;"$",OFFSET(W25,1,0,$R23-2)))</f>
        <v>11419.68</v>
      </c>
      <c r="X25" s="202">
        <f t="array" aca="1" ref="X25" ca="1">IF($R23=2,
         IF(AND(ACOMPANHAMENTO="PLE",ISNUMBER($F23)),
                SUMIF((OFFSET(CÁLCULO!$BC$15:$BU$15,$F23,0,OFFSET(ORÇAMENTO!$D$15,CRONO!$F23,0))),CRONO!X$12,OFFSET(CÁLCULO!$AJ$15:$BB$15,$F23,0,OFFSET(ORÇAMENTO!$D$15,CRONO!$F23,0)))
                +IF(AND($F25&lt;&gt;"",$F25&lt;&gt;0),
                        SUMIF(CÁLCULO!$BC$15:$BU$235,CRONO!X$12,CÁLCULO!$AJ$15:$BB$235)/(ORÇAMENTO!$X$15-CÁLCULO.TotalAdmLocal)*CRONO!$F25,
                        0),
                 X24*$S23),
          SUMIF(OFFSET($S25,1,0,$R23-2),($M23+1)&amp;"$",OFFSET(X25,1,0,$R23-2)))</f>
        <v>17170.669999999998</v>
      </c>
      <c r="Y25" s="202">
        <f t="array" aca="1" ref="Y25" ca="1">IF($R23=2,
         IF(AND(ACOMPANHAMENTO="PLE",ISNUMBER($F23)),
                SUMIF((OFFSET(CÁLCULO!$BC$15:$BU$15,$F23,0,OFFSET(ORÇAMENTO!$D$15,CRONO!$F23,0))),CRONO!Y$12,OFFSET(CÁLCULO!$AJ$15:$BB$15,$F23,0,OFFSET(ORÇAMENTO!$D$15,CRONO!$F23,0)))
                +IF(AND($F25&lt;&gt;"",$F25&lt;&gt;0),
                        SUMIF(CÁLCULO!$BC$15:$BU$235,CRONO!Y$12,CÁLCULO!$AJ$15:$BB$235)/(ORÇAMENTO!$X$15-CÁLCULO.TotalAdmLocal)*CRONO!$F25,
                        0),
                 Y24*$S23),
          SUMIF(OFFSET($S25,1,0,$R23-2),($M23+1)&amp;"$",OFFSET(Y25,1,0,$R23-2)))</f>
        <v>18425.810000000001</v>
      </c>
      <c r="Z25" s="202">
        <f t="array" aca="1" ref="Z25" ca="1">IF($R23=2,
         IF(AND(ACOMPANHAMENTO="PLE",ISNUMBER($F23)),
                SUMIF((OFFSET(CÁLCULO!$BC$15:$BU$15,$F23,0,OFFSET(ORÇAMENTO!$D$15,CRONO!$F23,0))),CRONO!Z$12,OFFSET(CÁLCULO!$AJ$15:$BB$15,$F23,0,OFFSET(ORÇAMENTO!$D$15,CRONO!$F23,0)))
                +IF(AND($F25&lt;&gt;"",$F25&lt;&gt;0),
                        SUMIF(CÁLCULO!$BC$15:$BU$235,CRONO!Z$12,CÁLCULO!$AJ$15:$BB$235)/(ORÇAMENTO!$X$15-CÁLCULO.TotalAdmLocal)*CRONO!$F25,
                        0),
                 Z24*$S23),
          SUMIF(OFFSET($S25,1,0,$R23-2),($M23+1)&amp;"$",OFFSET(Z25,1,0,$R23-2)))</f>
        <v>19722.099999999999</v>
      </c>
      <c r="AA25" s="202">
        <f t="array" aca="1" ref="AA25" ca="1">IF($R23=2,
         IF(AND(ACOMPANHAMENTO="PLE",ISNUMBER($F23)),
                SUMIF((OFFSET(CÁLCULO!$BC$15:$BU$15,$F23,0,OFFSET(ORÇAMENTO!$D$15,CRONO!$F23,0))),CRONO!AA$12,OFFSET(CÁLCULO!$AJ$15:$BB$15,$F23,0,OFFSET(ORÇAMENTO!$D$15,CRONO!$F23,0)))
                +IF(AND($F25&lt;&gt;"",$F25&lt;&gt;0),
                        SUMIF(CÁLCULO!$BC$15:$BU$235,CRONO!AA$12,CÁLCULO!$AJ$15:$BB$235)/(ORÇAMENTO!$X$15-CÁLCULO.TotalAdmLocal)*CRONO!$F25,
                        0),
                 AA24*$S23),
          SUMIF(OFFSET($S25,1,0,$R23-2),($M23+1)&amp;"$",OFFSET(AA25,1,0,$R23-2)))</f>
        <v>12088.4</v>
      </c>
      <c r="AB25" s="202">
        <f t="array" aca="1" ref="AB25" ca="1">IF($R23=2,
         IF(AND(ACOMPANHAMENTO="PLE",ISNUMBER($F23)),
                SUMIF((OFFSET(CÁLCULO!$BC$15:$BU$15,$F23,0,OFFSET(ORÇAMENTO!$D$15,CRONO!$F23,0))),CRONO!AB$12,OFFSET(CÁLCULO!$AJ$15:$BB$15,$F23,0,OFFSET(ORÇAMENTO!$D$15,CRONO!$F23,0)))
                +IF(AND($F25&lt;&gt;"",$F25&lt;&gt;0),
                        SUMIF(CÁLCULO!$BC$15:$BU$235,CRONO!AB$12,CÁLCULO!$AJ$15:$BB$235)/(ORÇAMENTO!$X$15-CÁLCULO.TotalAdmLocal)*CRONO!$F25,
                        0),
                 AB24*$S23),
          SUMIF(OFFSET($S25,1,0,$R23-2),($M23+1)&amp;"$",OFFSET(AB25,1,0,$R23-2)))</f>
        <v>6985.55</v>
      </c>
      <c r="AC25" s="202">
        <f t="array" aca="1" ref="AC25" ca="1">IF($R23=2,
         IF(AND(ACOMPANHAMENTO="PLE",ISNUMBER($F23)),
                SUMIF((OFFSET(CÁLCULO!$BC$15:$BU$15,$F23,0,OFFSET(ORÇAMENTO!$D$15,CRONO!$F23,0))),CRONO!AC$12,OFFSET(CÁLCULO!$AJ$15:$BB$15,$F23,0,OFFSET(ORÇAMENTO!$D$15,CRONO!$F23,0)))
                +IF(AND($F25&lt;&gt;"",$F25&lt;&gt;0),
                        SUMIF(CÁLCULO!$BC$15:$BU$235,CRONO!AC$12,CÁLCULO!$AJ$15:$BB$235)/(ORÇAMENTO!$X$15-CÁLCULO.TotalAdmLocal)*CRONO!$F25,
                        0),
                 AC24*$S23),
          SUMIF(OFFSET($S25,1,0,$R23-2),($M23+1)&amp;"$",OFFSET(AC25,1,0,$R23-2)))</f>
        <v>7458.8</v>
      </c>
      <c r="AD25" s="202">
        <f t="array" aca="1" ref="AD25" ca="1">IF($R23=2,
         IF(AND(ACOMPANHAMENTO="PLE",ISNUMBER($F23)),
                SUMIF((OFFSET(CÁLCULO!$BC$15:$BU$15,$F23,0,OFFSET(ORÇAMENTO!$D$15,CRONO!$F23,0))),CRONO!AD$12,OFFSET(CÁLCULO!$AJ$15:$BB$15,$F23,0,OFFSET(ORÇAMENTO!$D$15,CRONO!$F23,0)))
                +IF(AND($F25&lt;&gt;"",$F25&lt;&gt;0),
                        SUMIF(CÁLCULO!$BC$15:$BU$235,CRONO!AD$12,CÁLCULO!$AJ$15:$BB$235)/(ORÇAMENTO!$X$15-CÁLCULO.TotalAdmLocal)*CRONO!$F25,
                        0),
                 AD24*$S23),
          SUMIF(OFFSET($S25,1,0,$R23-2),($M23+1)&amp;"$",OFFSET(AD25,1,0,$R23-2)))</f>
        <v>0</v>
      </c>
      <c r="AE25" s="202">
        <f t="array" aca="1" ref="AE25" ca="1">IF($R23=2,
         IF(AND(ACOMPANHAMENTO="PLE",ISNUMBER($F23)),
                SUMIF((OFFSET(CÁLCULO!$BC$15:$BU$15,$F23,0,OFFSET(ORÇAMENTO!$D$15,CRONO!$F23,0))),CRONO!AE$12,OFFSET(CÁLCULO!$AJ$15:$BB$15,$F23,0,OFFSET(ORÇAMENTO!$D$15,CRONO!$F23,0)))
                +IF(AND($F25&lt;&gt;"",$F25&lt;&gt;0),
                        SUMIF(CÁLCULO!$BC$15:$BU$235,CRONO!AE$12,CÁLCULO!$AJ$15:$BB$235)/(ORÇAMENTO!$X$15-CÁLCULO.TotalAdmLocal)*CRONO!$F25,
                        0),
                 AE24*$S23),
          SUMIF(OFFSET($S25,1,0,$R23-2),($M23+1)&amp;"$",OFFSET(AE25,1,0,$R23-2)))</f>
        <v>0</v>
      </c>
      <c r="AF25" s="202">
        <f t="array" aca="1" ref="AF25" ca="1">IF($R23=2,
         IF(AND(ACOMPANHAMENTO="PLE",ISNUMBER($F23)),
                SUMIF((OFFSET(CÁLCULO!$BC$15:$BU$15,$F23,0,OFFSET(ORÇAMENTO!$D$15,CRONO!$F23,0))),CRONO!AF$12,OFFSET(CÁLCULO!$AJ$15:$BB$15,$F23,0,OFFSET(ORÇAMENTO!$D$15,CRONO!$F23,0)))
                +IF(AND($F25&lt;&gt;"",$F25&lt;&gt;0),
                        SUMIF(CÁLCULO!$BC$15:$BU$235,CRONO!AF$12,CÁLCULO!$AJ$15:$BB$235)/(ORÇAMENTO!$X$15-CÁLCULO.TotalAdmLocal)*CRONO!$F25,
                        0),
                 AF24*$S23),
          SUMIF(OFFSET($S25,1,0,$R23-2),($M23+1)&amp;"$",OFFSET(AF25,1,0,$R23-2)))</f>
        <v>0</v>
      </c>
      <c r="AG25" s="532"/>
    </row>
    <row r="26" spans="1:33" x14ac:dyDescent="0.2">
      <c r="A26" s="186" t="str">
        <f ca="1">IF($M26&gt;1,_xlfn.CONCAT($I26," ",$J26),"")</f>
        <v>1.4. SAPATAS</v>
      </c>
      <c r="B26" s="185">
        <f ca="1">OFFSET(B26,-3,0)+1</f>
        <v>5</v>
      </c>
      <c r="C26" s="185">
        <f ca="1">IF($R26&lt;&gt;2,0,IF($S26=0,1,IF(F27&gt;0,OFFSET(QCI!$M$13,SUBSTITUTE(F27,".",""),0),OFFSET(ORÇAMENTO!$AA$15,CRONO!$F26,0))/$S26))</f>
        <v>0</v>
      </c>
      <c r="D26" s="185">
        <f ca="1">IF($R26&lt;&gt;2,0,IF($S26=0,1,IF(F27&gt;0,OFFSET(QCI!$N$13,SUBSTITUTE(F27,".",""),0),OFFSET(ORÇAMENTO!$AB$15,CRONO!$F26,0))/$S26))</f>
        <v>0</v>
      </c>
      <c r="E26" s="188">
        <f t="array" aca="1" ref="E26" ca="1">IF(AND($R26=2,ACOMPANHAMENTO="BM"),ROUND(E27,4),E28/$S26)</f>
        <v>0</v>
      </c>
      <c r="F26" s="185">
        <f t="array" aca="1" ref="F26" ca="1">IF(B26&lt;=ORÇAMENTO.MáximoListaCrono,MATCH(B26,ORÇAMENTO.ListaCrono,0),NA())</f>
        <v>16</v>
      </c>
      <c r="G26" s="185" t="str">
        <f ca="1">IF(AND($F27&lt;&gt;-1,$S26&gt;0),"F","")</f>
        <v>F</v>
      </c>
      <c r="H26" s="189" t="str">
        <f t="array" aca="1" ref="H26" ca="1">IF(OR(S26=0,S26=""),"Linha",IF(AND(OR(ACOMPANHAMENTO="PLE",$R26&lt;&gt;2),$F27=0),"Linha",ROUND(1-SUM(U26:AG26),4)))</f>
        <v>Linha</v>
      </c>
      <c r="I26" s="190" t="str">
        <f ca="1">IF($F27=0,OFFSET(ORÇAMENTO!O$15,$F26,0),IF($F27&lt;&gt;-1,OFFSET(QCI!$D$13,$F27,0),""))</f>
        <v>1.4.</v>
      </c>
      <c r="J26" s="191" t="str">
        <f ca="1">IF($F27=0,OFFSET(ORÇAMENTO!R$15,$F26,0),IF($F27&lt;&gt;-1,OFFSET(QCI!$G$13,$F27,0),""))</f>
        <v>SAPATAS</v>
      </c>
      <c r="K26" s="191"/>
      <c r="L26" s="191"/>
      <c r="M26" s="192">
        <f ca="1">IF($F27=0,OFFSET(ORÇAMENTO!C$15,$F26,0),1)</f>
        <v>2</v>
      </c>
      <c r="N26" s="193">
        <f ca="1">IF($F27=-1,0,IF(N$13&lt;=$M26,IF(ISERROR(MATCH(N$13,OFFSET($M26,1,0,ROW($M$119)-ROW($M26)-1),0)),ROW($M$119)-ROW($M26)-1,MATCH(N$13,OFFSET($M26,1,0,ROW($M$119)-ROW($M26)-1),0)-1),0))</f>
        <v>92</v>
      </c>
      <c r="O26" s="193">
        <f ca="1">IF($F27=-1,0,IF(O$13&lt;=$M26,IF(ISERROR(MATCH(O$13,OFFSET($M26,1,0,ROW($M$119)-ROW($M26)-1),0)),ROW($M$119)-ROW($M26)-1,MATCH(O$13,OFFSET($M26,1,0,ROW($M$119)-ROW($M26)-1),0)-1),0))</f>
        <v>2</v>
      </c>
      <c r="P26" s="193">
        <f ca="1">IF($F27=-1,0,IF(P$13&lt;=$M26,IF(ISERROR(MATCH(P$13,OFFSET($M26,1,0,ROW($M$119)-ROW($M26)-1),0)),ROW($M$119)-ROW($M26)-1,MATCH(P$13,OFFSET($M26,1,0,ROW($M$119)-ROW($M26)-1),0)-1),0))</f>
        <v>0</v>
      </c>
      <c r="Q26" s="193">
        <f ca="1">IF($F27=-1,0,IF(Q$13&lt;=$M26,IF(ISERROR(MATCH(Q$13,OFFSET($M26,1,0,ROW($M$119)-ROW($M26)-1),0)),ROW($M$119)-ROW($M26)-1,MATCH(Q$13,OFFSET($M26,1,0,ROW($M$119)-ROW($M26)-1),0)-1),0))</f>
        <v>0</v>
      </c>
      <c r="R26" s="193">
        <f ca="1">MIN(OFFSET(M26,0,1,,M26))</f>
        <v>2</v>
      </c>
      <c r="S26" s="194">
        <f ca="1">IF($F27=0,OFFSET(ORÇAMENTO!X$15,$F26,0),IF($F27&lt;&gt;-1,OFFSET(QCI!$O$13,$F27,0),""))</f>
        <v>138162.01</v>
      </c>
      <c r="T26" s="195" t="s">
        <v>785</v>
      </c>
      <c r="U26" s="188">
        <f t="array" aca="1" ref="U26" ca="1">IF(AND($R26=2,ACOMPANHAMENTO="BM"),ROUND(U27,4),U28/$S26)</f>
        <v>0</v>
      </c>
      <c r="V26" s="188">
        <f t="array" aca="1" ref="V26" ca="1">IF(AND($R26=2,ACOMPANHAMENTO="BM"),ROUND(V27,4),V28/$S26)</f>
        <v>0.49333778511184073</v>
      </c>
      <c r="W26" s="188">
        <f t="array" aca="1" ref="W26" ca="1">IF(AND($R26=2,ACOMPANHAMENTO="BM"),ROUND(W27,4),W28/$S26)</f>
        <v>0.50666221488815921</v>
      </c>
      <c r="X26" s="188">
        <f t="array" aca="1" ref="X26" ca="1">IF(AND($R26=2,ACOMPANHAMENTO="BM"),ROUND(X27,4),X28/$S26)</f>
        <v>0</v>
      </c>
      <c r="Y26" s="188">
        <f t="array" aca="1" ref="Y26" ca="1">IF(AND($R26=2,ACOMPANHAMENTO="BM"),ROUND(Y27,4),Y28/$S26)</f>
        <v>0</v>
      </c>
      <c r="Z26" s="188">
        <f t="array" aca="1" ref="Z26" ca="1">IF(AND($R26=2,ACOMPANHAMENTO="BM"),ROUND(Z27,4),Z28/$S26)</f>
        <v>0</v>
      </c>
      <c r="AA26" s="188">
        <f t="array" aca="1" ref="AA26" ca="1">IF(AND($R26=2,ACOMPANHAMENTO="BM"),ROUND(AA27,4),AA28/$S26)</f>
        <v>0</v>
      </c>
      <c r="AB26" s="188">
        <f t="array" aca="1" ref="AB26" ca="1">IF(AND($R26=2,ACOMPANHAMENTO="BM"),ROUND(AB27,4),AB28/$S26)</f>
        <v>0</v>
      </c>
      <c r="AC26" s="188">
        <f t="array" aca="1" ref="AC26" ca="1">IF(AND($R26=2,ACOMPANHAMENTO="BM"),ROUND(AC27,4),AC28/$S26)</f>
        <v>0</v>
      </c>
      <c r="AD26" s="188">
        <f t="array" aca="1" ref="AD26" ca="1">IF(AND($R26=2,ACOMPANHAMENTO="BM"),ROUND(AD27,4),AD28/$S26)</f>
        <v>0</v>
      </c>
      <c r="AE26" s="188">
        <f t="array" aca="1" ref="AE26" ca="1">IF(AND($R26=2,ACOMPANHAMENTO="BM"),ROUND(AE27,4),AE28/$S26)</f>
        <v>0</v>
      </c>
      <c r="AF26" s="188">
        <f t="array" aca="1" ref="AF26" ca="1">IF(AND($R26=2,ACOMPANHAMENTO="BM"),ROUND(AF27,4),AF28/$S26)</f>
        <v>0</v>
      </c>
      <c r="AG26" s="532"/>
    </row>
    <row r="27" spans="1:33" ht="12.75" customHeight="1" x14ac:dyDescent="0.2">
      <c r="E27" s="585"/>
      <c r="F27" s="185">
        <f ca="1">IF(ISERROR(F26),IF(1+COUNTIF($M$13:OFFSET(M26,-1,0),1)&lt;=MAX(QCI!$D$13:$D$24),1+COUNTIF($M$13:OFFSET(M26,-1,0),1),-1),0)</f>
        <v>0</v>
      </c>
      <c r="G27" s="185" t="str">
        <f t="array" aca="1" ref="G27" ca="1">IF(ACOMPANHAMENTO="BM",OFFSET(G27,-1,0),"")</f>
        <v/>
      </c>
      <c r="H27" s="196" t="str">
        <f t="array" aca="1" ref="H27" ca="1">IF(OR(S26=0,S26=""),"vazia",IF(AND(OR(ACOMPANHAMENTO="PLE",$R26&lt;&gt;2),$F27=0),"calculada","--&gt;"))</f>
        <v>calculada</v>
      </c>
      <c r="I27" s="197"/>
      <c r="J27" s="198" t="str">
        <f ca="1">IF(AND(H26&lt;&gt;0,ISNUMBER(H26)),"PREENCHA ESTA LINHA --&gt;","")</f>
        <v/>
      </c>
      <c r="K27" s="198"/>
      <c r="L27" s="198"/>
      <c r="M27" s="199"/>
      <c r="N27" s="199"/>
      <c r="O27" s="199"/>
      <c r="P27" s="199"/>
      <c r="Q27" s="199"/>
      <c r="R27" s="199"/>
      <c r="S27" s="200"/>
      <c r="T27" s="201"/>
      <c r="U27" s="585"/>
      <c r="V27" s="585"/>
      <c r="W27" s="585"/>
      <c r="X27" s="585"/>
      <c r="Y27" s="585"/>
      <c r="Z27" s="585"/>
      <c r="AA27" s="585"/>
      <c r="AB27" s="585"/>
      <c r="AC27" s="585"/>
      <c r="AD27" s="585"/>
      <c r="AE27" s="585"/>
      <c r="AF27" s="585"/>
      <c r="AG27" s="532"/>
    </row>
    <row r="28" spans="1:33" ht="12.75" customHeight="1" x14ac:dyDescent="0.2">
      <c r="D28" s="531"/>
      <c r="E28" s="202">
        <f t="array" aca="1" ref="E28" ca="1">IF($R26=2,
         IF(AND(ACOMPANHAMENTO="PLE",ISNUMBER($F26)),
                SUMIF((OFFSET(CÁLCULO!$BC$15:$BU$15,$F26,0,OFFSET(ORÇAMENTO!$D$15,CRONO!$F26,0))),CRONO!E$12,OFFSET(CÁLCULO!$AJ$15:$BB$15,$F26,0,OFFSET(ORÇAMENTO!$D$15,CRONO!$F26,0)))
                +IF(AND($F28&lt;&gt;"",$F28&lt;&gt;0),
                        SUMIF(CÁLCULO!$BC$15:$BU$235,CRONO!E$12,CÁLCULO!$AJ$15:$BB$235)/(ORÇAMENTO!$X$15-CÁLCULO.TotalAdmLocal)*CRONO!$F28,
                        0),
                 E27*$S26),
          SUMIF(OFFSET($S28,1,0,$R26-2),($M26+1)&amp;"$",OFFSET(E28,1,0,$R26-2)))</f>
        <v>0</v>
      </c>
      <c r="F28" s="185">
        <f ca="1">IF(OR($R26&lt;&gt;2,AUTOEVENTO&lt;&gt;"manual",$F27&gt;0),"",
        IF(Import.TipoArredondamento="Tradicional",
              SUMIF(OFFSET(CÁLCULO!$M$15,CRONO!$F26,0,OFFSET(ORÇAMENTO!$D$15,CRONO!$F26,0)),1,OFFSET(ORÇAMENTO!$X$15,CRONO!$F26,0,OFFSET(ORÇAMENTO!$D$15,CRONO!$F26,0))),
              0))</f>
        <v>0</v>
      </c>
      <c r="H28" s="693"/>
      <c r="S28" s="204" t="str">
        <f ca="1">M26&amp;"$"</f>
        <v>2$</v>
      </c>
      <c r="T28" s="205"/>
      <c r="U28" s="202">
        <f t="array" aca="1" ref="U28" ca="1">IF($R26=2,
         IF(AND(ACOMPANHAMENTO="PLE",ISNUMBER($F26)),
                SUMIF((OFFSET(CÁLCULO!$BC$15:$BU$15,$F26,0,OFFSET(ORÇAMENTO!$D$15,CRONO!$F26,0))),CRONO!U$12,OFFSET(CÁLCULO!$AJ$15:$BB$15,$F26,0,OFFSET(ORÇAMENTO!$D$15,CRONO!$F26,0)))
                +IF(AND($F28&lt;&gt;"",$F28&lt;&gt;0),
                        SUMIF(CÁLCULO!$BC$15:$BU$235,CRONO!U$12,CÁLCULO!$AJ$15:$BB$235)/(ORÇAMENTO!$X$15-CÁLCULO.TotalAdmLocal)*CRONO!$F28,
                        0),
                 U27*$S26),
          SUMIF(OFFSET($S28,1,0,$R26-2),($M26+1)&amp;"$",OFFSET(U28,1,0,$R26-2)))</f>
        <v>0</v>
      </c>
      <c r="V28" s="202">
        <f t="array" aca="1" ref="V28" ca="1">IF($R26=2,
         IF(AND(ACOMPANHAMENTO="PLE",ISNUMBER($F26)),
                SUMIF((OFFSET(CÁLCULO!$BC$15:$BU$15,$F26,0,OFFSET(ORÇAMENTO!$D$15,CRONO!$F26,0))),CRONO!V$12,OFFSET(CÁLCULO!$AJ$15:$BB$15,$F26,0,OFFSET(ORÇAMENTO!$D$15,CRONO!$F26,0)))
                +IF(AND($F28&lt;&gt;"",$F28&lt;&gt;0),
                        SUMIF(CÁLCULO!$BC$15:$BU$235,CRONO!V$12,CÁLCULO!$AJ$15:$BB$235)/(ORÇAMENTO!$X$15-CÁLCULO.TotalAdmLocal)*CRONO!$F28,
                        0),
                 V27*$S26),
          SUMIF(OFFSET($S28,1,0,$R26-2),($M26+1)&amp;"$",OFFSET(V28,1,0,$R26-2)))</f>
        <v>68160.539999999994</v>
      </c>
      <c r="W28" s="202">
        <f t="array" aca="1" ref="W28" ca="1">IF($R26=2,
         IF(AND(ACOMPANHAMENTO="PLE",ISNUMBER($F26)),
                SUMIF((OFFSET(CÁLCULO!$BC$15:$BU$15,$F26,0,OFFSET(ORÇAMENTO!$D$15,CRONO!$F26,0))),CRONO!W$12,OFFSET(CÁLCULO!$AJ$15:$BB$15,$F26,0,OFFSET(ORÇAMENTO!$D$15,CRONO!$F26,0)))
                +IF(AND($F28&lt;&gt;"",$F28&lt;&gt;0),
                        SUMIF(CÁLCULO!$BC$15:$BU$235,CRONO!W$12,CÁLCULO!$AJ$15:$BB$235)/(ORÇAMENTO!$X$15-CÁLCULO.TotalAdmLocal)*CRONO!$F28,
                        0),
                 W27*$S26),
          SUMIF(OFFSET($S28,1,0,$R26-2),($M26+1)&amp;"$",OFFSET(W28,1,0,$R26-2)))</f>
        <v>70001.47</v>
      </c>
      <c r="X28" s="202">
        <f t="array" aca="1" ref="X28" ca="1">IF($R26=2,
         IF(AND(ACOMPANHAMENTO="PLE",ISNUMBER($F26)),
                SUMIF((OFFSET(CÁLCULO!$BC$15:$BU$15,$F26,0,OFFSET(ORÇAMENTO!$D$15,CRONO!$F26,0))),CRONO!X$12,OFFSET(CÁLCULO!$AJ$15:$BB$15,$F26,0,OFFSET(ORÇAMENTO!$D$15,CRONO!$F26,0)))
                +IF(AND($F28&lt;&gt;"",$F28&lt;&gt;0),
                        SUMIF(CÁLCULO!$BC$15:$BU$235,CRONO!X$12,CÁLCULO!$AJ$15:$BB$235)/(ORÇAMENTO!$X$15-CÁLCULO.TotalAdmLocal)*CRONO!$F28,
                        0),
                 X27*$S26),
          SUMIF(OFFSET($S28,1,0,$R26-2),($M26+1)&amp;"$",OFFSET(X28,1,0,$R26-2)))</f>
        <v>0</v>
      </c>
      <c r="Y28" s="202">
        <f t="array" aca="1" ref="Y28" ca="1">IF($R26=2,
         IF(AND(ACOMPANHAMENTO="PLE",ISNUMBER($F26)),
                SUMIF((OFFSET(CÁLCULO!$BC$15:$BU$15,$F26,0,OFFSET(ORÇAMENTO!$D$15,CRONO!$F26,0))),CRONO!Y$12,OFFSET(CÁLCULO!$AJ$15:$BB$15,$F26,0,OFFSET(ORÇAMENTO!$D$15,CRONO!$F26,0)))
                +IF(AND($F28&lt;&gt;"",$F28&lt;&gt;0),
                        SUMIF(CÁLCULO!$BC$15:$BU$235,CRONO!Y$12,CÁLCULO!$AJ$15:$BB$235)/(ORÇAMENTO!$X$15-CÁLCULO.TotalAdmLocal)*CRONO!$F28,
                        0),
                 Y27*$S26),
          SUMIF(OFFSET($S28,1,0,$R26-2),($M26+1)&amp;"$",OFFSET(Y28,1,0,$R26-2)))</f>
        <v>0</v>
      </c>
      <c r="Z28" s="202">
        <f t="array" aca="1" ref="Z28" ca="1">IF($R26=2,
         IF(AND(ACOMPANHAMENTO="PLE",ISNUMBER($F26)),
                SUMIF((OFFSET(CÁLCULO!$BC$15:$BU$15,$F26,0,OFFSET(ORÇAMENTO!$D$15,CRONO!$F26,0))),CRONO!Z$12,OFFSET(CÁLCULO!$AJ$15:$BB$15,$F26,0,OFFSET(ORÇAMENTO!$D$15,CRONO!$F26,0)))
                +IF(AND($F28&lt;&gt;"",$F28&lt;&gt;0),
                        SUMIF(CÁLCULO!$BC$15:$BU$235,CRONO!Z$12,CÁLCULO!$AJ$15:$BB$235)/(ORÇAMENTO!$X$15-CÁLCULO.TotalAdmLocal)*CRONO!$F28,
                        0),
                 Z27*$S26),
          SUMIF(OFFSET($S28,1,0,$R26-2),($M26+1)&amp;"$",OFFSET(Z28,1,0,$R26-2)))</f>
        <v>0</v>
      </c>
      <c r="AA28" s="202">
        <f t="array" aca="1" ref="AA28" ca="1">IF($R26=2,
         IF(AND(ACOMPANHAMENTO="PLE",ISNUMBER($F26)),
                SUMIF((OFFSET(CÁLCULO!$BC$15:$BU$15,$F26,0,OFFSET(ORÇAMENTO!$D$15,CRONO!$F26,0))),CRONO!AA$12,OFFSET(CÁLCULO!$AJ$15:$BB$15,$F26,0,OFFSET(ORÇAMENTO!$D$15,CRONO!$F26,0)))
                +IF(AND($F28&lt;&gt;"",$F28&lt;&gt;0),
                        SUMIF(CÁLCULO!$BC$15:$BU$235,CRONO!AA$12,CÁLCULO!$AJ$15:$BB$235)/(ORÇAMENTO!$X$15-CÁLCULO.TotalAdmLocal)*CRONO!$F28,
                        0),
                 AA27*$S26),
          SUMIF(OFFSET($S28,1,0,$R26-2),($M26+1)&amp;"$",OFFSET(AA28,1,0,$R26-2)))</f>
        <v>0</v>
      </c>
      <c r="AB28" s="202">
        <f t="array" aca="1" ref="AB28" ca="1">IF($R26=2,
         IF(AND(ACOMPANHAMENTO="PLE",ISNUMBER($F26)),
                SUMIF((OFFSET(CÁLCULO!$BC$15:$BU$15,$F26,0,OFFSET(ORÇAMENTO!$D$15,CRONO!$F26,0))),CRONO!AB$12,OFFSET(CÁLCULO!$AJ$15:$BB$15,$F26,0,OFFSET(ORÇAMENTO!$D$15,CRONO!$F26,0)))
                +IF(AND($F28&lt;&gt;"",$F28&lt;&gt;0),
                        SUMIF(CÁLCULO!$BC$15:$BU$235,CRONO!AB$12,CÁLCULO!$AJ$15:$BB$235)/(ORÇAMENTO!$X$15-CÁLCULO.TotalAdmLocal)*CRONO!$F28,
                        0),
                 AB27*$S26),
          SUMIF(OFFSET($S28,1,0,$R26-2),($M26+1)&amp;"$",OFFSET(AB28,1,0,$R26-2)))</f>
        <v>0</v>
      </c>
      <c r="AC28" s="202">
        <f t="array" aca="1" ref="AC28" ca="1">IF($R26=2,
         IF(AND(ACOMPANHAMENTO="PLE",ISNUMBER($F26)),
                SUMIF((OFFSET(CÁLCULO!$BC$15:$BU$15,$F26,0,OFFSET(ORÇAMENTO!$D$15,CRONO!$F26,0))),CRONO!AC$12,OFFSET(CÁLCULO!$AJ$15:$BB$15,$F26,0,OFFSET(ORÇAMENTO!$D$15,CRONO!$F26,0)))
                +IF(AND($F28&lt;&gt;"",$F28&lt;&gt;0),
                        SUMIF(CÁLCULO!$BC$15:$BU$235,CRONO!AC$12,CÁLCULO!$AJ$15:$BB$235)/(ORÇAMENTO!$X$15-CÁLCULO.TotalAdmLocal)*CRONO!$F28,
                        0),
                 AC27*$S26),
          SUMIF(OFFSET($S28,1,0,$R26-2),($M26+1)&amp;"$",OFFSET(AC28,1,0,$R26-2)))</f>
        <v>0</v>
      </c>
      <c r="AD28" s="202">
        <f t="array" aca="1" ref="AD28" ca="1">IF($R26=2,
         IF(AND(ACOMPANHAMENTO="PLE",ISNUMBER($F26)),
                SUMIF((OFFSET(CÁLCULO!$BC$15:$BU$15,$F26,0,OFFSET(ORÇAMENTO!$D$15,CRONO!$F26,0))),CRONO!AD$12,OFFSET(CÁLCULO!$AJ$15:$BB$15,$F26,0,OFFSET(ORÇAMENTO!$D$15,CRONO!$F26,0)))
                +IF(AND($F28&lt;&gt;"",$F28&lt;&gt;0),
                        SUMIF(CÁLCULO!$BC$15:$BU$235,CRONO!AD$12,CÁLCULO!$AJ$15:$BB$235)/(ORÇAMENTO!$X$15-CÁLCULO.TotalAdmLocal)*CRONO!$F28,
                        0),
                 AD27*$S26),
          SUMIF(OFFSET($S28,1,0,$R26-2),($M26+1)&amp;"$",OFFSET(AD28,1,0,$R26-2)))</f>
        <v>0</v>
      </c>
      <c r="AE28" s="202">
        <f t="array" aca="1" ref="AE28" ca="1">IF($R26=2,
         IF(AND(ACOMPANHAMENTO="PLE",ISNUMBER($F26)),
                SUMIF((OFFSET(CÁLCULO!$BC$15:$BU$15,$F26,0,OFFSET(ORÇAMENTO!$D$15,CRONO!$F26,0))),CRONO!AE$12,OFFSET(CÁLCULO!$AJ$15:$BB$15,$F26,0,OFFSET(ORÇAMENTO!$D$15,CRONO!$F26,0)))
                +IF(AND($F28&lt;&gt;"",$F28&lt;&gt;0),
                        SUMIF(CÁLCULO!$BC$15:$BU$235,CRONO!AE$12,CÁLCULO!$AJ$15:$BB$235)/(ORÇAMENTO!$X$15-CÁLCULO.TotalAdmLocal)*CRONO!$F28,
                        0),
                 AE27*$S26),
          SUMIF(OFFSET($S28,1,0,$R26-2),($M26+1)&amp;"$",OFFSET(AE28,1,0,$R26-2)))</f>
        <v>0</v>
      </c>
      <c r="AF28" s="202">
        <f t="array" aca="1" ref="AF28" ca="1">IF($R26=2,
         IF(AND(ACOMPANHAMENTO="PLE",ISNUMBER($F26)),
                SUMIF((OFFSET(CÁLCULO!$BC$15:$BU$15,$F26,0,OFFSET(ORÇAMENTO!$D$15,CRONO!$F26,0))),CRONO!AF$12,OFFSET(CÁLCULO!$AJ$15:$BB$15,$F26,0,OFFSET(ORÇAMENTO!$D$15,CRONO!$F26,0)))
                +IF(AND($F28&lt;&gt;"",$F28&lt;&gt;0),
                        SUMIF(CÁLCULO!$BC$15:$BU$235,CRONO!AF$12,CÁLCULO!$AJ$15:$BB$235)/(ORÇAMENTO!$X$15-CÁLCULO.TotalAdmLocal)*CRONO!$F28,
                        0),
                 AF27*$S26),
          SUMIF(OFFSET($S28,1,0,$R26-2),($M26+1)&amp;"$",OFFSET(AF28,1,0,$R26-2)))</f>
        <v>0</v>
      </c>
      <c r="AG28" s="532"/>
    </row>
    <row r="29" spans="1:33" x14ac:dyDescent="0.2">
      <c r="A29" s="186" t="str">
        <f ca="1">IF($M29&gt;1,_xlfn.CONCAT($I29," ",$J29),"")</f>
        <v>1.5. BALDRAMES</v>
      </c>
      <c r="B29" s="185">
        <f ca="1">OFFSET(B29,-3,0)+1</f>
        <v>6</v>
      </c>
      <c r="C29" s="185">
        <f ca="1">IF($R29&lt;&gt;2,0,IF($S29=0,1,IF(F30&gt;0,OFFSET(QCI!$M$13,SUBSTITUTE(F30,".",""),0),OFFSET(ORÇAMENTO!$AA$15,CRONO!$F29,0))/$S29))</f>
        <v>0</v>
      </c>
      <c r="D29" s="185">
        <f ca="1">IF($R29&lt;&gt;2,0,IF($S29=0,1,IF(F30&gt;0,OFFSET(QCI!$N$13,SUBSTITUTE(F30,".",""),0),OFFSET(ORÇAMENTO!$AB$15,CRONO!$F29,0))/$S29))</f>
        <v>0</v>
      </c>
      <c r="E29" s="188">
        <f t="array" aca="1" ref="E29" ca="1">IF(AND($R29=2,ACOMPANHAMENTO="BM"),ROUND(E30,4),E31/$S29)</f>
        <v>0</v>
      </c>
      <c r="F29" s="185">
        <f t="array" aca="1" ref="F29" ca="1">IF(B29&lt;=ORÇAMENTO.MáximoListaCrono,MATCH(B29,ORÇAMENTO.ListaCrono,0),NA())</f>
        <v>27</v>
      </c>
      <c r="G29" s="185" t="str">
        <f ca="1">IF(AND($F30&lt;&gt;-1,$S29&gt;0),"F","")</f>
        <v>F</v>
      </c>
      <c r="H29" s="189" t="str">
        <f t="array" aca="1" ref="H29" ca="1">IF(OR(S29=0,S29=""),"Linha",IF(AND(OR(ACOMPANHAMENTO="PLE",$R29&lt;&gt;2),$F30=0),"Linha",ROUND(1-SUM(U29:AG29),4)))</f>
        <v>Linha</v>
      </c>
      <c r="I29" s="190" t="str">
        <f ca="1">IF($F30=0,OFFSET(ORÇAMENTO!O$15,$F29,0),IF($F30&lt;&gt;-1,OFFSET(QCI!$D$13,$F30,0),""))</f>
        <v>1.5.</v>
      </c>
      <c r="J29" s="191" t="str">
        <f ca="1">IF($F30=0,OFFSET(ORÇAMENTO!R$15,$F29,0),IF($F30&lt;&gt;-1,OFFSET(QCI!$G$13,$F30,0),""))</f>
        <v>BALDRAMES</v>
      </c>
      <c r="K29" s="191"/>
      <c r="L29" s="191"/>
      <c r="M29" s="192">
        <f ca="1">IF($F30=0,OFFSET(ORÇAMENTO!C$15,$F29,0),1)</f>
        <v>2</v>
      </c>
      <c r="N29" s="193">
        <f ca="1">IF($F30=-1,0,IF(N$13&lt;=$M29,IF(ISERROR(MATCH(N$13,OFFSET($M29,1,0,ROW($M$119)-ROW($M29)-1),0)),ROW($M$119)-ROW($M29)-1,MATCH(N$13,OFFSET($M29,1,0,ROW($M$119)-ROW($M29)-1),0)-1),0))</f>
        <v>89</v>
      </c>
      <c r="O29" s="193">
        <f ca="1">IF($F30=-1,0,IF(O$13&lt;=$M29,IF(ISERROR(MATCH(O$13,OFFSET($M29,1,0,ROW($M$119)-ROW($M29)-1),0)),ROW($M$119)-ROW($M29)-1,MATCH(O$13,OFFSET($M29,1,0,ROW($M$119)-ROW($M29)-1),0)-1),0))</f>
        <v>2</v>
      </c>
      <c r="P29" s="193">
        <f ca="1">IF($F30=-1,0,IF(P$13&lt;=$M29,IF(ISERROR(MATCH(P$13,OFFSET($M29,1,0,ROW($M$119)-ROW($M29)-1),0)),ROW($M$119)-ROW($M29)-1,MATCH(P$13,OFFSET($M29,1,0,ROW($M$119)-ROW($M29)-1),0)-1),0))</f>
        <v>0</v>
      </c>
      <c r="Q29" s="193">
        <f ca="1">IF($F30=-1,0,IF(Q$13&lt;=$M29,IF(ISERROR(MATCH(Q$13,OFFSET($M29,1,0,ROW($M$119)-ROW($M29)-1),0)),ROW($M$119)-ROW($M29)-1,MATCH(Q$13,OFFSET($M29,1,0,ROW($M$119)-ROW($M29)-1),0)-1),0))</f>
        <v>0</v>
      </c>
      <c r="R29" s="193">
        <f ca="1">MIN(OFFSET(M29,0,1,,M29))</f>
        <v>2</v>
      </c>
      <c r="S29" s="194">
        <f ca="1">IF($F30=0,OFFSET(ORÇAMENTO!X$15,$F29,0),IF($F30&lt;&gt;-1,OFFSET(QCI!$O$13,$F30,0),""))</f>
        <v>138717.84</v>
      </c>
      <c r="T29" s="195" t="s">
        <v>785</v>
      </c>
      <c r="U29" s="188">
        <f t="array" aca="1" ref="U29" ca="1">IF(AND($R29=2,ACOMPANHAMENTO="BM"),ROUND(U30,4),U31/$S29)</f>
        <v>0</v>
      </c>
      <c r="V29" s="188">
        <f t="array" aca="1" ref="V29" ca="1">IF(AND($R29=2,ACOMPANHAMENTO="BM"),ROUND(V30,4),V31/$S29)</f>
        <v>0.50000000000000011</v>
      </c>
      <c r="W29" s="188">
        <f t="array" aca="1" ref="W29" ca="1">IF(AND($R29=2,ACOMPANHAMENTO="BM"),ROUND(W30,4),W31/$S29)</f>
        <v>0.25</v>
      </c>
      <c r="X29" s="188">
        <f t="array" aca="1" ref="X29" ca="1">IF(AND($R29=2,ACOMPANHAMENTO="BM"),ROUND(X30,4),X31/$S29)</f>
        <v>0.25</v>
      </c>
      <c r="Y29" s="188">
        <f t="array" aca="1" ref="Y29" ca="1">IF(AND($R29=2,ACOMPANHAMENTO="BM"),ROUND(Y30,4),Y31/$S29)</f>
        <v>0</v>
      </c>
      <c r="Z29" s="188">
        <f t="array" aca="1" ref="Z29" ca="1">IF(AND($R29=2,ACOMPANHAMENTO="BM"),ROUND(Z30,4),Z31/$S29)</f>
        <v>0</v>
      </c>
      <c r="AA29" s="188">
        <f t="array" aca="1" ref="AA29" ca="1">IF(AND($R29=2,ACOMPANHAMENTO="BM"),ROUND(AA30,4),AA31/$S29)</f>
        <v>0</v>
      </c>
      <c r="AB29" s="188">
        <f t="array" aca="1" ref="AB29" ca="1">IF(AND($R29=2,ACOMPANHAMENTO="BM"),ROUND(AB30,4),AB31/$S29)</f>
        <v>0</v>
      </c>
      <c r="AC29" s="188">
        <f t="array" aca="1" ref="AC29" ca="1">IF(AND($R29=2,ACOMPANHAMENTO="BM"),ROUND(AC30,4),AC31/$S29)</f>
        <v>0</v>
      </c>
      <c r="AD29" s="188">
        <f t="array" aca="1" ref="AD29" ca="1">IF(AND($R29=2,ACOMPANHAMENTO="BM"),ROUND(AD30,4),AD31/$S29)</f>
        <v>0</v>
      </c>
      <c r="AE29" s="188">
        <f t="array" aca="1" ref="AE29" ca="1">IF(AND($R29=2,ACOMPANHAMENTO="BM"),ROUND(AE30,4),AE31/$S29)</f>
        <v>0</v>
      </c>
      <c r="AF29" s="188">
        <f t="array" aca="1" ref="AF29" ca="1">IF(AND($R29=2,ACOMPANHAMENTO="BM"),ROUND(AF30,4),AF31/$S29)</f>
        <v>0</v>
      </c>
      <c r="AG29" s="532"/>
    </row>
    <row r="30" spans="1:33" ht="12.75" customHeight="1" x14ac:dyDescent="0.2">
      <c r="E30" s="585"/>
      <c r="F30" s="185">
        <f ca="1">IF(ISERROR(F29),IF(1+COUNTIF($M$13:OFFSET(M29,-1,0),1)&lt;=MAX(QCI!$D$13:$D$24),1+COUNTIF($M$13:OFFSET(M29,-1,0),1),-1),0)</f>
        <v>0</v>
      </c>
      <c r="G30" s="185" t="str">
        <f t="array" aca="1" ref="G30" ca="1">IF(ACOMPANHAMENTO="BM",OFFSET(G30,-1,0),"")</f>
        <v/>
      </c>
      <c r="H30" s="196" t="str">
        <f t="array" aca="1" ref="H30" ca="1">IF(OR(S29=0,S29=""),"vazia",IF(AND(OR(ACOMPANHAMENTO="PLE",$R29&lt;&gt;2),$F30=0),"calculada","--&gt;"))</f>
        <v>calculada</v>
      </c>
      <c r="I30" s="197"/>
      <c r="J30" s="198" t="str">
        <f ca="1">IF(AND(H29&lt;&gt;0,ISNUMBER(H29)),"PREENCHA ESTA LINHA --&gt;","")</f>
        <v/>
      </c>
      <c r="K30" s="198"/>
      <c r="L30" s="198"/>
      <c r="M30" s="199"/>
      <c r="N30" s="199"/>
      <c r="O30" s="199"/>
      <c r="P30" s="199"/>
      <c r="Q30" s="199"/>
      <c r="R30" s="199"/>
      <c r="S30" s="200"/>
      <c r="T30" s="201"/>
      <c r="U30" s="585"/>
      <c r="V30" s="585"/>
      <c r="W30" s="585"/>
      <c r="X30" s="585"/>
      <c r="Y30" s="585"/>
      <c r="Z30" s="585"/>
      <c r="AA30" s="585"/>
      <c r="AB30" s="585"/>
      <c r="AC30" s="585"/>
      <c r="AD30" s="585"/>
      <c r="AE30" s="585"/>
      <c r="AF30" s="585"/>
      <c r="AG30" s="532"/>
    </row>
    <row r="31" spans="1:33" ht="12.75" customHeight="1" x14ac:dyDescent="0.2">
      <c r="D31" s="531"/>
      <c r="E31" s="202">
        <f t="array" aca="1" ref="E31" ca="1">IF($R29=2,
         IF(AND(ACOMPANHAMENTO="PLE",ISNUMBER($F29)),
                SUMIF((OFFSET(CÁLCULO!$BC$15:$BU$15,$F29,0,OFFSET(ORÇAMENTO!$D$15,CRONO!$F29,0))),CRONO!E$12,OFFSET(CÁLCULO!$AJ$15:$BB$15,$F29,0,OFFSET(ORÇAMENTO!$D$15,CRONO!$F29,0)))
                +IF(AND($F31&lt;&gt;"",$F31&lt;&gt;0),
                        SUMIF(CÁLCULO!$BC$15:$BU$235,CRONO!E$12,CÁLCULO!$AJ$15:$BB$235)/(ORÇAMENTO!$X$15-CÁLCULO.TotalAdmLocal)*CRONO!$F31,
                        0),
                 E30*$S29),
          SUMIF(OFFSET($S31,1,0,$R29-2),($M29+1)&amp;"$",OFFSET(E31,1,0,$R29-2)))</f>
        <v>0</v>
      </c>
      <c r="F31" s="185">
        <f ca="1">IF(OR($R29&lt;&gt;2,AUTOEVENTO&lt;&gt;"manual",$F30&gt;0),"",
        IF(Import.TipoArredondamento="Tradicional",
              SUMIF(OFFSET(CÁLCULO!$M$15,CRONO!$F29,0,OFFSET(ORÇAMENTO!$D$15,CRONO!$F29,0)),1,OFFSET(ORÇAMENTO!$X$15,CRONO!$F29,0,OFFSET(ORÇAMENTO!$D$15,CRONO!$F29,0))),
              0))</f>
        <v>0</v>
      </c>
      <c r="H31" s="693"/>
      <c r="S31" s="204" t="str">
        <f ca="1">M29&amp;"$"</f>
        <v>2$</v>
      </c>
      <c r="T31" s="205"/>
      <c r="U31" s="202">
        <f t="array" aca="1" ref="U31" ca="1">IF($R29=2,
         IF(AND(ACOMPANHAMENTO="PLE",ISNUMBER($F29)),
                SUMIF((OFFSET(CÁLCULO!$BC$15:$BU$15,$F29,0,OFFSET(ORÇAMENTO!$D$15,CRONO!$F29,0))),CRONO!U$12,OFFSET(CÁLCULO!$AJ$15:$BB$15,$F29,0,OFFSET(ORÇAMENTO!$D$15,CRONO!$F29,0)))
                +IF(AND($F31&lt;&gt;"",$F31&lt;&gt;0),
                        SUMIF(CÁLCULO!$BC$15:$BU$235,CRONO!U$12,CÁLCULO!$AJ$15:$BB$235)/(ORÇAMENTO!$X$15-CÁLCULO.TotalAdmLocal)*CRONO!$F31,
                        0),
                 U30*$S29),
          SUMIF(OFFSET($S31,1,0,$R29-2),($M29+1)&amp;"$",OFFSET(U31,1,0,$R29-2)))</f>
        <v>0</v>
      </c>
      <c r="V31" s="202">
        <f t="array" aca="1" ref="V31" ca="1">IF($R29=2,
         IF(AND(ACOMPANHAMENTO="PLE",ISNUMBER($F29)),
                SUMIF((OFFSET(CÁLCULO!$BC$15:$BU$15,$F29,0,OFFSET(ORÇAMENTO!$D$15,CRONO!$F29,0))),CRONO!V$12,OFFSET(CÁLCULO!$AJ$15:$BB$15,$F29,0,OFFSET(ORÇAMENTO!$D$15,CRONO!$F29,0)))
                +IF(AND($F31&lt;&gt;"",$F31&lt;&gt;0),
                        SUMIF(CÁLCULO!$BC$15:$BU$235,CRONO!V$12,CÁLCULO!$AJ$15:$BB$235)/(ORÇAMENTO!$X$15-CÁLCULO.TotalAdmLocal)*CRONO!$F31,
                        0),
                 V30*$S29),
          SUMIF(OFFSET($S31,1,0,$R29-2),($M29+1)&amp;"$",OFFSET(V31,1,0,$R29-2)))</f>
        <v>69358.920000000013</v>
      </c>
      <c r="W31" s="202">
        <f t="array" aca="1" ref="W31" ca="1">IF($R29=2,
         IF(AND(ACOMPANHAMENTO="PLE",ISNUMBER($F29)),
                SUMIF((OFFSET(CÁLCULO!$BC$15:$BU$15,$F29,0,OFFSET(ORÇAMENTO!$D$15,CRONO!$F29,0))),CRONO!W$12,OFFSET(CÁLCULO!$AJ$15:$BB$15,$F29,0,OFFSET(ORÇAMENTO!$D$15,CRONO!$F29,0)))
                +IF(AND($F31&lt;&gt;"",$F31&lt;&gt;0),
                        SUMIF(CÁLCULO!$BC$15:$BU$235,CRONO!W$12,CÁLCULO!$AJ$15:$BB$235)/(ORÇAMENTO!$X$15-CÁLCULO.TotalAdmLocal)*CRONO!$F31,
                        0),
                 W30*$S29),
          SUMIF(OFFSET($S31,1,0,$R29-2),($M29+1)&amp;"$",OFFSET(W31,1,0,$R29-2)))</f>
        <v>34679.46</v>
      </c>
      <c r="X31" s="202">
        <f t="array" aca="1" ref="X31" ca="1">IF($R29=2,
         IF(AND(ACOMPANHAMENTO="PLE",ISNUMBER($F29)),
                SUMIF((OFFSET(CÁLCULO!$BC$15:$BU$15,$F29,0,OFFSET(ORÇAMENTO!$D$15,CRONO!$F29,0))),CRONO!X$12,OFFSET(CÁLCULO!$AJ$15:$BB$15,$F29,0,OFFSET(ORÇAMENTO!$D$15,CRONO!$F29,0)))
                +IF(AND($F31&lt;&gt;"",$F31&lt;&gt;0),
                        SUMIF(CÁLCULO!$BC$15:$BU$235,CRONO!X$12,CÁLCULO!$AJ$15:$BB$235)/(ORÇAMENTO!$X$15-CÁLCULO.TotalAdmLocal)*CRONO!$F31,
                        0),
                 X30*$S29),
          SUMIF(OFFSET($S31,1,0,$R29-2),($M29+1)&amp;"$",OFFSET(X31,1,0,$R29-2)))</f>
        <v>34679.46</v>
      </c>
      <c r="Y31" s="202">
        <f t="array" aca="1" ref="Y31" ca="1">IF($R29=2,
         IF(AND(ACOMPANHAMENTO="PLE",ISNUMBER($F29)),
                SUMIF((OFFSET(CÁLCULO!$BC$15:$BU$15,$F29,0,OFFSET(ORÇAMENTO!$D$15,CRONO!$F29,0))),CRONO!Y$12,OFFSET(CÁLCULO!$AJ$15:$BB$15,$F29,0,OFFSET(ORÇAMENTO!$D$15,CRONO!$F29,0)))
                +IF(AND($F31&lt;&gt;"",$F31&lt;&gt;0),
                        SUMIF(CÁLCULO!$BC$15:$BU$235,CRONO!Y$12,CÁLCULO!$AJ$15:$BB$235)/(ORÇAMENTO!$X$15-CÁLCULO.TotalAdmLocal)*CRONO!$F31,
                        0),
                 Y30*$S29),
          SUMIF(OFFSET($S31,1,0,$R29-2),($M29+1)&amp;"$",OFFSET(Y31,1,0,$R29-2)))</f>
        <v>0</v>
      </c>
      <c r="Z31" s="202">
        <f t="array" aca="1" ref="Z31" ca="1">IF($R29=2,
         IF(AND(ACOMPANHAMENTO="PLE",ISNUMBER($F29)),
                SUMIF((OFFSET(CÁLCULO!$BC$15:$BU$15,$F29,0,OFFSET(ORÇAMENTO!$D$15,CRONO!$F29,0))),CRONO!Z$12,OFFSET(CÁLCULO!$AJ$15:$BB$15,$F29,0,OFFSET(ORÇAMENTO!$D$15,CRONO!$F29,0)))
                +IF(AND($F31&lt;&gt;"",$F31&lt;&gt;0),
                        SUMIF(CÁLCULO!$BC$15:$BU$235,CRONO!Z$12,CÁLCULO!$AJ$15:$BB$235)/(ORÇAMENTO!$X$15-CÁLCULO.TotalAdmLocal)*CRONO!$F31,
                        0),
                 Z30*$S29),
          SUMIF(OFFSET($S31,1,0,$R29-2),($M29+1)&amp;"$",OFFSET(Z31,1,0,$R29-2)))</f>
        <v>0</v>
      </c>
      <c r="AA31" s="202">
        <f t="array" aca="1" ref="AA31" ca="1">IF($R29=2,
         IF(AND(ACOMPANHAMENTO="PLE",ISNUMBER($F29)),
                SUMIF((OFFSET(CÁLCULO!$BC$15:$BU$15,$F29,0,OFFSET(ORÇAMENTO!$D$15,CRONO!$F29,0))),CRONO!AA$12,OFFSET(CÁLCULO!$AJ$15:$BB$15,$F29,0,OFFSET(ORÇAMENTO!$D$15,CRONO!$F29,0)))
                +IF(AND($F31&lt;&gt;"",$F31&lt;&gt;0),
                        SUMIF(CÁLCULO!$BC$15:$BU$235,CRONO!AA$12,CÁLCULO!$AJ$15:$BB$235)/(ORÇAMENTO!$X$15-CÁLCULO.TotalAdmLocal)*CRONO!$F31,
                        0),
                 AA30*$S29),
          SUMIF(OFFSET($S31,1,0,$R29-2),($M29+1)&amp;"$",OFFSET(AA31,1,0,$R29-2)))</f>
        <v>0</v>
      </c>
      <c r="AB31" s="202">
        <f t="array" aca="1" ref="AB31" ca="1">IF($R29=2,
         IF(AND(ACOMPANHAMENTO="PLE",ISNUMBER($F29)),
                SUMIF((OFFSET(CÁLCULO!$BC$15:$BU$15,$F29,0,OFFSET(ORÇAMENTO!$D$15,CRONO!$F29,0))),CRONO!AB$12,OFFSET(CÁLCULO!$AJ$15:$BB$15,$F29,0,OFFSET(ORÇAMENTO!$D$15,CRONO!$F29,0)))
                +IF(AND($F31&lt;&gt;"",$F31&lt;&gt;0),
                        SUMIF(CÁLCULO!$BC$15:$BU$235,CRONO!AB$12,CÁLCULO!$AJ$15:$BB$235)/(ORÇAMENTO!$X$15-CÁLCULO.TotalAdmLocal)*CRONO!$F31,
                        0),
                 AB30*$S29),
          SUMIF(OFFSET($S31,1,0,$R29-2),($M29+1)&amp;"$",OFFSET(AB31,1,0,$R29-2)))</f>
        <v>0</v>
      </c>
      <c r="AC31" s="202">
        <f t="array" aca="1" ref="AC31" ca="1">IF($R29=2,
         IF(AND(ACOMPANHAMENTO="PLE",ISNUMBER($F29)),
                SUMIF((OFFSET(CÁLCULO!$BC$15:$BU$15,$F29,0,OFFSET(ORÇAMENTO!$D$15,CRONO!$F29,0))),CRONO!AC$12,OFFSET(CÁLCULO!$AJ$15:$BB$15,$F29,0,OFFSET(ORÇAMENTO!$D$15,CRONO!$F29,0)))
                +IF(AND($F31&lt;&gt;"",$F31&lt;&gt;0),
                        SUMIF(CÁLCULO!$BC$15:$BU$235,CRONO!AC$12,CÁLCULO!$AJ$15:$BB$235)/(ORÇAMENTO!$X$15-CÁLCULO.TotalAdmLocal)*CRONO!$F31,
                        0),
                 AC30*$S29),
          SUMIF(OFFSET($S31,1,0,$R29-2),($M29+1)&amp;"$",OFFSET(AC31,1,0,$R29-2)))</f>
        <v>0</v>
      </c>
      <c r="AD31" s="202">
        <f t="array" aca="1" ref="AD31" ca="1">IF($R29=2,
         IF(AND(ACOMPANHAMENTO="PLE",ISNUMBER($F29)),
                SUMIF((OFFSET(CÁLCULO!$BC$15:$BU$15,$F29,0,OFFSET(ORÇAMENTO!$D$15,CRONO!$F29,0))),CRONO!AD$12,OFFSET(CÁLCULO!$AJ$15:$BB$15,$F29,0,OFFSET(ORÇAMENTO!$D$15,CRONO!$F29,0)))
                +IF(AND($F31&lt;&gt;"",$F31&lt;&gt;0),
                        SUMIF(CÁLCULO!$BC$15:$BU$235,CRONO!AD$12,CÁLCULO!$AJ$15:$BB$235)/(ORÇAMENTO!$X$15-CÁLCULO.TotalAdmLocal)*CRONO!$F31,
                        0),
                 AD30*$S29),
          SUMIF(OFFSET($S31,1,0,$R29-2),($M29+1)&amp;"$",OFFSET(AD31,1,0,$R29-2)))</f>
        <v>0</v>
      </c>
      <c r="AE31" s="202">
        <f t="array" aca="1" ref="AE31" ca="1">IF($R29=2,
         IF(AND(ACOMPANHAMENTO="PLE",ISNUMBER($F29)),
                SUMIF((OFFSET(CÁLCULO!$BC$15:$BU$15,$F29,0,OFFSET(ORÇAMENTO!$D$15,CRONO!$F29,0))),CRONO!AE$12,OFFSET(CÁLCULO!$AJ$15:$BB$15,$F29,0,OFFSET(ORÇAMENTO!$D$15,CRONO!$F29,0)))
                +IF(AND($F31&lt;&gt;"",$F31&lt;&gt;0),
                        SUMIF(CÁLCULO!$BC$15:$BU$235,CRONO!AE$12,CÁLCULO!$AJ$15:$BB$235)/(ORÇAMENTO!$X$15-CÁLCULO.TotalAdmLocal)*CRONO!$F31,
                        0),
                 AE30*$S29),
          SUMIF(OFFSET($S31,1,0,$R29-2),($M29+1)&amp;"$",OFFSET(AE31,1,0,$R29-2)))</f>
        <v>0</v>
      </c>
      <c r="AF31" s="202">
        <f t="array" aca="1" ref="AF31" ca="1">IF($R29=2,
         IF(AND(ACOMPANHAMENTO="PLE",ISNUMBER($F29)),
                SUMIF((OFFSET(CÁLCULO!$BC$15:$BU$15,$F29,0,OFFSET(ORÇAMENTO!$D$15,CRONO!$F29,0))),CRONO!AF$12,OFFSET(CÁLCULO!$AJ$15:$BB$15,$F29,0,OFFSET(ORÇAMENTO!$D$15,CRONO!$F29,0)))
                +IF(AND($F31&lt;&gt;"",$F31&lt;&gt;0),
                        SUMIF(CÁLCULO!$BC$15:$BU$235,CRONO!AF$12,CÁLCULO!$AJ$15:$BB$235)/(ORÇAMENTO!$X$15-CÁLCULO.TotalAdmLocal)*CRONO!$F31,
                        0),
                 AF30*$S29),
          SUMIF(OFFSET($S31,1,0,$R29-2),($M29+1)&amp;"$",OFFSET(AF31,1,0,$R29-2)))</f>
        <v>0</v>
      </c>
      <c r="AG31" s="532"/>
    </row>
    <row r="32" spans="1:33" x14ac:dyDescent="0.2">
      <c r="A32" s="186" t="str">
        <f ca="1">IF($M32&gt;1,_xlfn.CONCAT($I32," ",$J32),"")</f>
        <v>1.6. IMPERMEABILIZAÇÃO</v>
      </c>
      <c r="B32" s="185">
        <f ca="1">OFFSET(B32,-3,0)+1</f>
        <v>7</v>
      </c>
      <c r="C32" s="185">
        <f ca="1">IF($R32&lt;&gt;2,0,IF($S32=0,1,IF(F33&gt;0,OFFSET(QCI!$M$13,SUBSTITUTE(F33,".",""),0),OFFSET(ORÇAMENTO!$AA$15,CRONO!$F32,0))/$S32))</f>
        <v>0</v>
      </c>
      <c r="D32" s="185">
        <f ca="1">IF($R32&lt;&gt;2,0,IF($S32=0,1,IF(F33&gt;0,OFFSET(QCI!$N$13,SUBSTITUTE(F33,".",""),0),OFFSET(ORÇAMENTO!$AB$15,CRONO!$F32,0))/$S32))</f>
        <v>0</v>
      </c>
      <c r="E32" s="188">
        <f t="array" aca="1" ref="E32" ca="1">IF(AND($R32=2,ACOMPANHAMENTO="BM"),ROUND(E33,4),E34/$S32)</f>
        <v>0</v>
      </c>
      <c r="F32" s="185">
        <f t="array" aca="1" ref="F32" ca="1">IF(B32&lt;=ORÇAMENTO.MáximoListaCrono,MATCH(B32,ORÇAMENTO.ListaCrono,0),NA())</f>
        <v>36</v>
      </c>
      <c r="G32" s="185" t="str">
        <f ca="1">IF(AND($F33&lt;&gt;-1,$S32&gt;0),"F","")</f>
        <v>F</v>
      </c>
      <c r="H32" s="189" t="str">
        <f t="array" aca="1" ref="H32" ca="1">IF(OR(S32=0,S32=""),"Linha",IF(AND(OR(ACOMPANHAMENTO="PLE",$R32&lt;&gt;2),$F33=0),"Linha",ROUND(1-SUM(U32:AG32),4)))</f>
        <v>Linha</v>
      </c>
      <c r="I32" s="190" t="str">
        <f ca="1">IF($F33=0,OFFSET(ORÇAMENTO!O$15,$F32,0),IF($F33&lt;&gt;-1,OFFSET(QCI!$D$13,$F33,0),""))</f>
        <v>1.6.</v>
      </c>
      <c r="J32" s="191" t="str">
        <f ca="1">IF($F33=0,OFFSET(ORÇAMENTO!R$15,$F32,0),IF($F33&lt;&gt;-1,OFFSET(QCI!$G$13,$F33,0),""))</f>
        <v>IMPERMEABILIZAÇÃO</v>
      </c>
      <c r="K32" s="191"/>
      <c r="L32" s="191"/>
      <c r="M32" s="192">
        <f ca="1">IF($F33=0,OFFSET(ORÇAMENTO!C$15,$F32,0),1)</f>
        <v>2</v>
      </c>
      <c r="N32" s="193">
        <f ca="1">IF($F33=-1,0,IF(N$13&lt;=$M32,IF(ISERROR(MATCH(N$13,OFFSET($M32,1,0,ROW($M$119)-ROW($M32)-1),0)),ROW($M$119)-ROW($M32)-1,MATCH(N$13,OFFSET($M32,1,0,ROW($M$119)-ROW($M32)-1),0)-1),0))</f>
        <v>86</v>
      </c>
      <c r="O32" s="193">
        <f ca="1">IF($F33=-1,0,IF(O$13&lt;=$M32,IF(ISERROR(MATCH(O$13,OFFSET($M32,1,0,ROW($M$119)-ROW($M32)-1),0)),ROW($M$119)-ROW($M32)-1,MATCH(O$13,OFFSET($M32,1,0,ROW($M$119)-ROW($M32)-1),0)-1),0))</f>
        <v>2</v>
      </c>
      <c r="P32" s="193">
        <f ca="1">IF($F33=-1,0,IF(P$13&lt;=$M32,IF(ISERROR(MATCH(P$13,OFFSET($M32,1,0,ROW($M$119)-ROW($M32)-1),0)),ROW($M$119)-ROW($M32)-1,MATCH(P$13,OFFSET($M32,1,0,ROW($M$119)-ROW($M32)-1),0)-1),0))</f>
        <v>0</v>
      </c>
      <c r="Q32" s="193">
        <f ca="1">IF($F33=-1,0,IF(Q$13&lt;=$M32,IF(ISERROR(MATCH(Q$13,OFFSET($M32,1,0,ROW($M$119)-ROW($M32)-1),0)),ROW($M$119)-ROW($M32)-1,MATCH(Q$13,OFFSET($M32,1,0,ROW($M$119)-ROW($M32)-1),0)-1),0))</f>
        <v>0</v>
      </c>
      <c r="R32" s="193">
        <f ca="1">MIN(OFFSET(M32,0,1,,M32))</f>
        <v>2</v>
      </c>
      <c r="S32" s="194">
        <f ca="1">IF($F33=0,OFFSET(ORÇAMENTO!X$15,$F32,0),IF($F33&lt;&gt;-1,OFFSET(QCI!$O$13,$F33,0),""))</f>
        <v>77243.08</v>
      </c>
      <c r="T32" s="195" t="s">
        <v>785</v>
      </c>
      <c r="U32" s="188">
        <f t="array" aca="1" ref="U32" ca="1">IF(AND($R32=2,ACOMPANHAMENTO="BM"),ROUND(U33,4),U34/$S32)</f>
        <v>0</v>
      </c>
      <c r="V32" s="188">
        <f t="array" aca="1" ref="V32" ca="1">IF(AND($R32=2,ACOMPANHAMENTO="BM"),ROUND(V33,4),V34/$S32)</f>
        <v>0.5</v>
      </c>
      <c r="W32" s="188">
        <f t="array" aca="1" ref="W32" ca="1">IF(AND($R32=2,ACOMPANHAMENTO="BM"),ROUND(W33,4),W34/$S32)</f>
        <v>0</v>
      </c>
      <c r="X32" s="188">
        <f t="array" aca="1" ref="X32" ca="1">IF(AND($R32=2,ACOMPANHAMENTO="BM"),ROUND(X33,4),X34/$S32)</f>
        <v>0.5</v>
      </c>
      <c r="Y32" s="188">
        <f t="array" aca="1" ref="Y32" ca="1">IF(AND($R32=2,ACOMPANHAMENTO="BM"),ROUND(Y33,4),Y34/$S32)</f>
        <v>0</v>
      </c>
      <c r="Z32" s="188">
        <f t="array" aca="1" ref="Z32" ca="1">IF(AND($R32=2,ACOMPANHAMENTO="BM"),ROUND(Z33,4),Z34/$S32)</f>
        <v>0</v>
      </c>
      <c r="AA32" s="188">
        <f t="array" aca="1" ref="AA32" ca="1">IF(AND($R32=2,ACOMPANHAMENTO="BM"),ROUND(AA33,4),AA34/$S32)</f>
        <v>0</v>
      </c>
      <c r="AB32" s="188">
        <f t="array" aca="1" ref="AB32" ca="1">IF(AND($R32=2,ACOMPANHAMENTO="BM"),ROUND(AB33,4),AB34/$S32)</f>
        <v>0</v>
      </c>
      <c r="AC32" s="188">
        <f t="array" aca="1" ref="AC32" ca="1">IF(AND($R32=2,ACOMPANHAMENTO="BM"),ROUND(AC33,4),AC34/$S32)</f>
        <v>0</v>
      </c>
      <c r="AD32" s="188">
        <f t="array" aca="1" ref="AD32" ca="1">IF(AND($R32=2,ACOMPANHAMENTO="BM"),ROUND(AD33,4),AD34/$S32)</f>
        <v>0</v>
      </c>
      <c r="AE32" s="188">
        <f t="array" aca="1" ref="AE32" ca="1">IF(AND($R32=2,ACOMPANHAMENTO="BM"),ROUND(AE33,4),AE34/$S32)</f>
        <v>0</v>
      </c>
      <c r="AF32" s="188">
        <f t="array" aca="1" ref="AF32" ca="1">IF(AND($R32=2,ACOMPANHAMENTO="BM"),ROUND(AF33,4),AF34/$S32)</f>
        <v>0</v>
      </c>
      <c r="AG32" s="532"/>
    </row>
    <row r="33" spans="1:33" ht="12.75" customHeight="1" x14ac:dyDescent="0.2">
      <c r="E33" s="585"/>
      <c r="F33" s="185">
        <f ca="1">IF(ISERROR(F32),IF(1+COUNTIF($M$13:OFFSET(M32,-1,0),1)&lt;=MAX(QCI!$D$13:$D$24),1+COUNTIF($M$13:OFFSET(M32,-1,0),1),-1),0)</f>
        <v>0</v>
      </c>
      <c r="G33" s="185" t="str">
        <f t="array" aca="1" ref="G33" ca="1">IF(ACOMPANHAMENTO="BM",OFFSET(G33,-1,0),"")</f>
        <v/>
      </c>
      <c r="H33" s="196" t="str">
        <f t="array" aca="1" ref="H33" ca="1">IF(OR(S32=0,S32=""),"vazia",IF(AND(OR(ACOMPANHAMENTO="PLE",$R32&lt;&gt;2),$F33=0),"calculada","--&gt;"))</f>
        <v>calculada</v>
      </c>
      <c r="I33" s="197"/>
      <c r="J33" s="198" t="str">
        <f ca="1">IF(AND(H32&lt;&gt;0,ISNUMBER(H32)),"PREENCHA ESTA LINHA --&gt;","")</f>
        <v/>
      </c>
      <c r="K33" s="198"/>
      <c r="L33" s="198"/>
      <c r="M33" s="199"/>
      <c r="N33" s="199"/>
      <c r="O33" s="199"/>
      <c r="P33" s="199"/>
      <c r="Q33" s="199"/>
      <c r="R33" s="199"/>
      <c r="S33" s="200"/>
      <c r="T33" s="201"/>
      <c r="U33" s="585"/>
      <c r="V33" s="585"/>
      <c r="W33" s="585"/>
      <c r="X33" s="585"/>
      <c r="Y33" s="585"/>
      <c r="Z33" s="585"/>
      <c r="AA33" s="585"/>
      <c r="AB33" s="585"/>
      <c r="AC33" s="585"/>
      <c r="AD33" s="585"/>
      <c r="AE33" s="585"/>
      <c r="AF33" s="585"/>
      <c r="AG33" s="532"/>
    </row>
    <row r="34" spans="1:33" ht="12.75" customHeight="1" x14ac:dyDescent="0.2">
      <c r="D34" s="531"/>
      <c r="E34" s="202">
        <f t="array" aca="1" ref="E34" ca="1">IF($R32=2,
         IF(AND(ACOMPANHAMENTO="PLE",ISNUMBER($F32)),
                SUMIF((OFFSET(CÁLCULO!$BC$15:$BU$15,$F32,0,OFFSET(ORÇAMENTO!$D$15,CRONO!$F32,0))),CRONO!E$12,OFFSET(CÁLCULO!$AJ$15:$BB$15,$F32,0,OFFSET(ORÇAMENTO!$D$15,CRONO!$F32,0)))
                +IF(AND($F34&lt;&gt;"",$F34&lt;&gt;0),
                        SUMIF(CÁLCULO!$BC$15:$BU$235,CRONO!E$12,CÁLCULO!$AJ$15:$BB$235)/(ORÇAMENTO!$X$15-CÁLCULO.TotalAdmLocal)*CRONO!$F34,
                        0),
                 E33*$S32),
          SUMIF(OFFSET($S34,1,0,$R32-2),($M32+1)&amp;"$",OFFSET(E34,1,0,$R32-2)))</f>
        <v>0</v>
      </c>
      <c r="F34" s="185">
        <f ca="1">IF(OR($R32&lt;&gt;2,AUTOEVENTO&lt;&gt;"manual",$F33&gt;0),"",
        IF(Import.TipoArredondamento="Tradicional",
              SUMIF(OFFSET(CÁLCULO!$M$15,CRONO!$F32,0,OFFSET(ORÇAMENTO!$D$15,CRONO!$F32,0)),1,OFFSET(ORÇAMENTO!$X$15,CRONO!$F32,0,OFFSET(ORÇAMENTO!$D$15,CRONO!$F32,0))),
              0))</f>
        <v>0</v>
      </c>
      <c r="H34" s="693"/>
      <c r="S34" s="204" t="str">
        <f ca="1">M32&amp;"$"</f>
        <v>2$</v>
      </c>
      <c r="T34" s="205"/>
      <c r="U34" s="202">
        <f t="array" aca="1" ref="U34" ca="1">IF($R32=2,
         IF(AND(ACOMPANHAMENTO="PLE",ISNUMBER($F32)),
                SUMIF((OFFSET(CÁLCULO!$BC$15:$BU$15,$F32,0,OFFSET(ORÇAMENTO!$D$15,CRONO!$F32,0))),CRONO!U$12,OFFSET(CÁLCULO!$AJ$15:$BB$15,$F32,0,OFFSET(ORÇAMENTO!$D$15,CRONO!$F32,0)))
                +IF(AND($F34&lt;&gt;"",$F34&lt;&gt;0),
                        SUMIF(CÁLCULO!$BC$15:$BU$235,CRONO!U$12,CÁLCULO!$AJ$15:$BB$235)/(ORÇAMENTO!$X$15-CÁLCULO.TotalAdmLocal)*CRONO!$F34,
                        0),
                 U33*$S32),
          SUMIF(OFFSET($S34,1,0,$R32-2),($M32+1)&amp;"$",OFFSET(U34,1,0,$R32-2)))</f>
        <v>0</v>
      </c>
      <c r="V34" s="202">
        <f t="array" aca="1" ref="V34" ca="1">IF($R32=2,
         IF(AND(ACOMPANHAMENTO="PLE",ISNUMBER($F32)),
                SUMIF((OFFSET(CÁLCULO!$BC$15:$BU$15,$F32,0,OFFSET(ORÇAMENTO!$D$15,CRONO!$F32,0))),CRONO!V$12,OFFSET(CÁLCULO!$AJ$15:$BB$15,$F32,0,OFFSET(ORÇAMENTO!$D$15,CRONO!$F32,0)))
                +IF(AND($F34&lt;&gt;"",$F34&lt;&gt;0),
                        SUMIF(CÁLCULO!$BC$15:$BU$235,CRONO!V$12,CÁLCULO!$AJ$15:$BB$235)/(ORÇAMENTO!$X$15-CÁLCULO.TotalAdmLocal)*CRONO!$F34,
                        0),
                 V33*$S32),
          SUMIF(OFFSET($S34,1,0,$R32-2),($M32+1)&amp;"$",OFFSET(V34,1,0,$R32-2)))</f>
        <v>38621.54</v>
      </c>
      <c r="W34" s="202">
        <f t="array" aca="1" ref="W34" ca="1">IF($R32=2,
         IF(AND(ACOMPANHAMENTO="PLE",ISNUMBER($F32)),
                SUMIF((OFFSET(CÁLCULO!$BC$15:$BU$15,$F32,0,OFFSET(ORÇAMENTO!$D$15,CRONO!$F32,0))),CRONO!W$12,OFFSET(CÁLCULO!$AJ$15:$BB$15,$F32,0,OFFSET(ORÇAMENTO!$D$15,CRONO!$F32,0)))
                +IF(AND($F34&lt;&gt;"",$F34&lt;&gt;0),
                        SUMIF(CÁLCULO!$BC$15:$BU$235,CRONO!W$12,CÁLCULO!$AJ$15:$BB$235)/(ORÇAMENTO!$X$15-CÁLCULO.TotalAdmLocal)*CRONO!$F34,
                        0),
                 W33*$S32),
          SUMIF(OFFSET($S34,1,0,$R32-2),($M32+1)&amp;"$",OFFSET(W34,1,0,$R32-2)))</f>
        <v>0</v>
      </c>
      <c r="X34" s="202">
        <f t="array" aca="1" ref="X34" ca="1">IF($R32=2,
         IF(AND(ACOMPANHAMENTO="PLE",ISNUMBER($F32)),
                SUMIF((OFFSET(CÁLCULO!$BC$15:$BU$15,$F32,0,OFFSET(ORÇAMENTO!$D$15,CRONO!$F32,0))),CRONO!X$12,OFFSET(CÁLCULO!$AJ$15:$BB$15,$F32,0,OFFSET(ORÇAMENTO!$D$15,CRONO!$F32,0)))
                +IF(AND($F34&lt;&gt;"",$F34&lt;&gt;0),
                        SUMIF(CÁLCULO!$BC$15:$BU$235,CRONO!X$12,CÁLCULO!$AJ$15:$BB$235)/(ORÇAMENTO!$X$15-CÁLCULO.TotalAdmLocal)*CRONO!$F34,
                        0),
                 X33*$S32),
          SUMIF(OFFSET($S34,1,0,$R32-2),($M32+1)&amp;"$",OFFSET(X34,1,0,$R32-2)))</f>
        <v>38621.54</v>
      </c>
      <c r="Y34" s="202">
        <f t="array" aca="1" ref="Y34" ca="1">IF($R32=2,
         IF(AND(ACOMPANHAMENTO="PLE",ISNUMBER($F32)),
                SUMIF((OFFSET(CÁLCULO!$BC$15:$BU$15,$F32,0,OFFSET(ORÇAMENTO!$D$15,CRONO!$F32,0))),CRONO!Y$12,OFFSET(CÁLCULO!$AJ$15:$BB$15,$F32,0,OFFSET(ORÇAMENTO!$D$15,CRONO!$F32,0)))
                +IF(AND($F34&lt;&gt;"",$F34&lt;&gt;0),
                        SUMIF(CÁLCULO!$BC$15:$BU$235,CRONO!Y$12,CÁLCULO!$AJ$15:$BB$235)/(ORÇAMENTO!$X$15-CÁLCULO.TotalAdmLocal)*CRONO!$F34,
                        0),
                 Y33*$S32),
          SUMIF(OFFSET($S34,1,0,$R32-2),($M32+1)&amp;"$",OFFSET(Y34,1,0,$R32-2)))</f>
        <v>0</v>
      </c>
      <c r="Z34" s="202">
        <f t="array" aca="1" ref="Z34" ca="1">IF($R32=2,
         IF(AND(ACOMPANHAMENTO="PLE",ISNUMBER($F32)),
                SUMIF((OFFSET(CÁLCULO!$BC$15:$BU$15,$F32,0,OFFSET(ORÇAMENTO!$D$15,CRONO!$F32,0))),CRONO!Z$12,OFFSET(CÁLCULO!$AJ$15:$BB$15,$F32,0,OFFSET(ORÇAMENTO!$D$15,CRONO!$F32,0)))
                +IF(AND($F34&lt;&gt;"",$F34&lt;&gt;0),
                        SUMIF(CÁLCULO!$BC$15:$BU$235,CRONO!Z$12,CÁLCULO!$AJ$15:$BB$235)/(ORÇAMENTO!$X$15-CÁLCULO.TotalAdmLocal)*CRONO!$F34,
                        0),
                 Z33*$S32),
          SUMIF(OFFSET($S34,1,0,$R32-2),($M32+1)&amp;"$",OFFSET(Z34,1,0,$R32-2)))</f>
        <v>0</v>
      </c>
      <c r="AA34" s="202">
        <f t="array" aca="1" ref="AA34" ca="1">IF($R32=2,
         IF(AND(ACOMPANHAMENTO="PLE",ISNUMBER($F32)),
                SUMIF((OFFSET(CÁLCULO!$BC$15:$BU$15,$F32,0,OFFSET(ORÇAMENTO!$D$15,CRONO!$F32,0))),CRONO!AA$12,OFFSET(CÁLCULO!$AJ$15:$BB$15,$F32,0,OFFSET(ORÇAMENTO!$D$15,CRONO!$F32,0)))
                +IF(AND($F34&lt;&gt;"",$F34&lt;&gt;0),
                        SUMIF(CÁLCULO!$BC$15:$BU$235,CRONO!AA$12,CÁLCULO!$AJ$15:$BB$235)/(ORÇAMENTO!$X$15-CÁLCULO.TotalAdmLocal)*CRONO!$F34,
                        0),
                 AA33*$S32),
          SUMIF(OFFSET($S34,1,0,$R32-2),($M32+1)&amp;"$",OFFSET(AA34,1,0,$R32-2)))</f>
        <v>0</v>
      </c>
      <c r="AB34" s="202">
        <f t="array" aca="1" ref="AB34" ca="1">IF($R32=2,
         IF(AND(ACOMPANHAMENTO="PLE",ISNUMBER($F32)),
                SUMIF((OFFSET(CÁLCULO!$BC$15:$BU$15,$F32,0,OFFSET(ORÇAMENTO!$D$15,CRONO!$F32,0))),CRONO!AB$12,OFFSET(CÁLCULO!$AJ$15:$BB$15,$F32,0,OFFSET(ORÇAMENTO!$D$15,CRONO!$F32,0)))
                +IF(AND($F34&lt;&gt;"",$F34&lt;&gt;0),
                        SUMIF(CÁLCULO!$BC$15:$BU$235,CRONO!AB$12,CÁLCULO!$AJ$15:$BB$235)/(ORÇAMENTO!$X$15-CÁLCULO.TotalAdmLocal)*CRONO!$F34,
                        0),
                 AB33*$S32),
          SUMIF(OFFSET($S34,1,0,$R32-2),($M32+1)&amp;"$",OFFSET(AB34,1,0,$R32-2)))</f>
        <v>0</v>
      </c>
      <c r="AC34" s="202">
        <f t="array" aca="1" ref="AC34" ca="1">IF($R32=2,
         IF(AND(ACOMPANHAMENTO="PLE",ISNUMBER($F32)),
                SUMIF((OFFSET(CÁLCULO!$BC$15:$BU$15,$F32,0,OFFSET(ORÇAMENTO!$D$15,CRONO!$F32,0))),CRONO!AC$12,OFFSET(CÁLCULO!$AJ$15:$BB$15,$F32,0,OFFSET(ORÇAMENTO!$D$15,CRONO!$F32,0)))
                +IF(AND($F34&lt;&gt;"",$F34&lt;&gt;0),
                        SUMIF(CÁLCULO!$BC$15:$BU$235,CRONO!AC$12,CÁLCULO!$AJ$15:$BB$235)/(ORÇAMENTO!$X$15-CÁLCULO.TotalAdmLocal)*CRONO!$F34,
                        0),
                 AC33*$S32),
          SUMIF(OFFSET($S34,1,0,$R32-2),($M32+1)&amp;"$",OFFSET(AC34,1,0,$R32-2)))</f>
        <v>0</v>
      </c>
      <c r="AD34" s="202">
        <f t="array" aca="1" ref="AD34" ca="1">IF($R32=2,
         IF(AND(ACOMPANHAMENTO="PLE",ISNUMBER($F32)),
                SUMIF((OFFSET(CÁLCULO!$BC$15:$BU$15,$F32,0,OFFSET(ORÇAMENTO!$D$15,CRONO!$F32,0))),CRONO!AD$12,OFFSET(CÁLCULO!$AJ$15:$BB$15,$F32,0,OFFSET(ORÇAMENTO!$D$15,CRONO!$F32,0)))
                +IF(AND($F34&lt;&gt;"",$F34&lt;&gt;0),
                        SUMIF(CÁLCULO!$BC$15:$BU$235,CRONO!AD$12,CÁLCULO!$AJ$15:$BB$235)/(ORÇAMENTO!$X$15-CÁLCULO.TotalAdmLocal)*CRONO!$F34,
                        0),
                 AD33*$S32),
          SUMIF(OFFSET($S34,1,0,$R32-2),($M32+1)&amp;"$",OFFSET(AD34,1,0,$R32-2)))</f>
        <v>0</v>
      </c>
      <c r="AE34" s="202">
        <f t="array" aca="1" ref="AE34" ca="1">IF($R32=2,
         IF(AND(ACOMPANHAMENTO="PLE",ISNUMBER($F32)),
                SUMIF((OFFSET(CÁLCULO!$BC$15:$BU$15,$F32,0,OFFSET(ORÇAMENTO!$D$15,CRONO!$F32,0))),CRONO!AE$12,OFFSET(CÁLCULO!$AJ$15:$BB$15,$F32,0,OFFSET(ORÇAMENTO!$D$15,CRONO!$F32,0)))
                +IF(AND($F34&lt;&gt;"",$F34&lt;&gt;0),
                        SUMIF(CÁLCULO!$BC$15:$BU$235,CRONO!AE$12,CÁLCULO!$AJ$15:$BB$235)/(ORÇAMENTO!$X$15-CÁLCULO.TotalAdmLocal)*CRONO!$F34,
                        0),
                 AE33*$S32),
          SUMIF(OFFSET($S34,1,0,$R32-2),($M32+1)&amp;"$",OFFSET(AE34,1,0,$R32-2)))</f>
        <v>0</v>
      </c>
      <c r="AF34" s="202">
        <f t="array" aca="1" ref="AF34" ca="1">IF($R32=2,
         IF(AND(ACOMPANHAMENTO="PLE",ISNUMBER($F32)),
                SUMIF((OFFSET(CÁLCULO!$BC$15:$BU$15,$F32,0,OFFSET(ORÇAMENTO!$D$15,CRONO!$F32,0))),CRONO!AF$12,OFFSET(CÁLCULO!$AJ$15:$BB$15,$F32,0,OFFSET(ORÇAMENTO!$D$15,CRONO!$F32,0)))
                +IF(AND($F34&lt;&gt;"",$F34&lt;&gt;0),
                        SUMIF(CÁLCULO!$BC$15:$BU$235,CRONO!AF$12,CÁLCULO!$AJ$15:$BB$235)/(ORÇAMENTO!$X$15-CÁLCULO.TotalAdmLocal)*CRONO!$F34,
                        0),
                 AF33*$S32),
          SUMIF(OFFSET($S34,1,0,$R32-2),($M32+1)&amp;"$",OFFSET(AF34,1,0,$R32-2)))</f>
        <v>0</v>
      </c>
      <c r="AG34" s="532"/>
    </row>
    <row r="35" spans="1:33" x14ac:dyDescent="0.2">
      <c r="A35" s="186" t="str">
        <f ca="1">IF($M35&gt;1,_xlfn.CONCAT($I35," ",$J35),"")</f>
        <v>1.7. PILARES, VIGAS E LAJES</v>
      </c>
      <c r="B35" s="185">
        <f ca="1">OFFSET(B35,-3,0)+1</f>
        <v>8</v>
      </c>
      <c r="C35" s="185">
        <f ca="1">IF($R35&lt;&gt;2,0,IF($S35=0,1,IF(F36&gt;0,OFFSET(QCI!$M$13,SUBSTITUTE(F36,".",""),0),OFFSET(ORÇAMENTO!$AA$15,CRONO!$F35,0))/$S35))</f>
        <v>0</v>
      </c>
      <c r="D35" s="185">
        <f ca="1">IF($R35&lt;&gt;2,0,IF($S35=0,1,IF(F36&gt;0,OFFSET(QCI!$N$13,SUBSTITUTE(F36,".",""),0),OFFSET(ORÇAMENTO!$AB$15,CRONO!$F35,0))/$S35))</f>
        <v>0</v>
      </c>
      <c r="E35" s="188">
        <f t="array" aca="1" ref="E35" ca="1">IF(AND($R35=2,ACOMPANHAMENTO="BM"),ROUND(E36,4),E37/$S35)</f>
        <v>0</v>
      </c>
      <c r="F35" s="185">
        <f t="array" aca="1" ref="F35" ca="1">IF(B35&lt;=ORÇAMENTO.MáximoListaCrono,MATCH(B35,ORÇAMENTO.ListaCrono,0),NA())</f>
        <v>40</v>
      </c>
      <c r="G35" s="185" t="str">
        <f ca="1">IF(AND($F36&lt;&gt;-1,$S35&gt;0),"F","")</f>
        <v>F</v>
      </c>
      <c r="H35" s="189" t="str">
        <f t="array" aca="1" ref="H35" ca="1">IF(OR(S35=0,S35=""),"Linha",IF(AND(OR(ACOMPANHAMENTO="PLE",$R35&lt;&gt;2),$F36=0),"Linha",ROUND(1-SUM(U35:AG35),4)))</f>
        <v>Linha</v>
      </c>
      <c r="I35" s="190" t="str">
        <f ca="1">IF($F36=0,OFFSET(ORÇAMENTO!O$15,$F35,0),IF($F36&lt;&gt;-1,OFFSET(QCI!$D$13,$F36,0),""))</f>
        <v>1.7.</v>
      </c>
      <c r="J35" s="191" t="str">
        <f ca="1">IF($F36=0,OFFSET(ORÇAMENTO!R$15,$F35,0),IF($F36&lt;&gt;-1,OFFSET(QCI!$G$13,$F36,0),""))</f>
        <v>PILARES, VIGAS E LAJES</v>
      </c>
      <c r="K35" s="191"/>
      <c r="L35" s="191"/>
      <c r="M35" s="192">
        <f ca="1">IF($F36=0,OFFSET(ORÇAMENTO!C$15,$F35,0),1)</f>
        <v>2</v>
      </c>
      <c r="N35" s="193">
        <f ca="1">IF($F36=-1,0,IF(N$13&lt;=$M35,IF(ISERROR(MATCH(N$13,OFFSET($M35,1,0,ROW($M$119)-ROW($M35)-1),0)),ROW($M$119)-ROW($M35)-1,MATCH(N$13,OFFSET($M35,1,0,ROW($M$119)-ROW($M35)-1),0)-1),0))</f>
        <v>83</v>
      </c>
      <c r="O35" s="193">
        <f ca="1">IF($F36=-1,0,IF(O$13&lt;=$M35,IF(ISERROR(MATCH(O$13,OFFSET($M35,1,0,ROW($M$119)-ROW($M35)-1),0)),ROW($M$119)-ROW($M35)-1,MATCH(O$13,OFFSET($M35,1,0,ROW($M$119)-ROW($M35)-1),0)-1),0))</f>
        <v>2</v>
      </c>
      <c r="P35" s="193">
        <f ca="1">IF($F36=-1,0,IF(P$13&lt;=$M35,IF(ISERROR(MATCH(P$13,OFFSET($M35,1,0,ROW($M$119)-ROW($M35)-1),0)),ROW($M$119)-ROW($M35)-1,MATCH(P$13,OFFSET($M35,1,0,ROW($M$119)-ROW($M35)-1),0)-1),0))</f>
        <v>0</v>
      </c>
      <c r="Q35" s="193">
        <f ca="1">IF($F36=-1,0,IF(Q$13&lt;=$M35,IF(ISERROR(MATCH(Q$13,OFFSET($M35,1,0,ROW($M$119)-ROW($M35)-1),0)),ROW($M$119)-ROW($M35)-1,MATCH(Q$13,OFFSET($M35,1,0,ROW($M$119)-ROW($M35)-1),0)-1),0))</f>
        <v>0</v>
      </c>
      <c r="R35" s="193">
        <f ca="1">MIN(OFFSET(M35,0,1,,M35))</f>
        <v>2</v>
      </c>
      <c r="S35" s="194">
        <f ca="1">IF($F36=0,OFFSET(ORÇAMENTO!X$15,$F35,0),IF($F36&lt;&gt;-1,OFFSET(QCI!$O$13,$F36,0),""))</f>
        <v>221034.12</v>
      </c>
      <c r="T35" s="195" t="s">
        <v>785</v>
      </c>
      <c r="U35" s="188">
        <f t="array" aca="1" ref="U35" ca="1">IF(AND($R35=2,ACOMPANHAMENTO="BM"),ROUND(U36,4),U37/$S35)</f>
        <v>0</v>
      </c>
      <c r="V35" s="188">
        <f t="array" aca="1" ref="V35" ca="1">IF(AND($R35=2,ACOMPANHAMENTO="BM"),ROUND(V36,4),V37/$S35)</f>
        <v>0</v>
      </c>
      <c r="W35" s="188">
        <f t="array" aca="1" ref="W35" ca="1">IF(AND($R35=2,ACOMPANHAMENTO="BM"),ROUND(W36,4),W37/$S35)</f>
        <v>0.33121574171444668</v>
      </c>
      <c r="X35" s="188">
        <f t="array" aca="1" ref="X35" ca="1">IF(AND($R35=2,ACOMPANHAMENTO="BM"),ROUND(X36,4),X37/$S35)</f>
        <v>0.33121574171444668</v>
      </c>
      <c r="Y35" s="188">
        <f t="array" aca="1" ref="Y35" ca="1">IF(AND($R35=2,ACOMPANHAMENTO="BM"),ROUND(Y36,4),Y37/$S35)</f>
        <v>0.33756851657110676</v>
      </c>
      <c r="Z35" s="188">
        <f t="array" aca="1" ref="Z35" ca="1">IF(AND($R35=2,ACOMPANHAMENTO="BM"),ROUND(Z36,4),Z37/$S35)</f>
        <v>0</v>
      </c>
      <c r="AA35" s="188">
        <f t="array" aca="1" ref="AA35" ca="1">IF(AND($R35=2,ACOMPANHAMENTO="BM"),ROUND(AA36,4),AA37/$S35)</f>
        <v>0</v>
      </c>
      <c r="AB35" s="188">
        <f t="array" aca="1" ref="AB35" ca="1">IF(AND($R35=2,ACOMPANHAMENTO="BM"),ROUND(AB36,4),AB37/$S35)</f>
        <v>0</v>
      </c>
      <c r="AC35" s="188">
        <f t="array" aca="1" ref="AC35" ca="1">IF(AND($R35=2,ACOMPANHAMENTO="BM"),ROUND(AC36,4),AC37/$S35)</f>
        <v>0</v>
      </c>
      <c r="AD35" s="188">
        <f t="array" aca="1" ref="AD35" ca="1">IF(AND($R35=2,ACOMPANHAMENTO="BM"),ROUND(AD36,4),AD37/$S35)</f>
        <v>0</v>
      </c>
      <c r="AE35" s="188">
        <f t="array" aca="1" ref="AE35" ca="1">IF(AND($R35=2,ACOMPANHAMENTO="BM"),ROUND(AE36,4),AE37/$S35)</f>
        <v>0</v>
      </c>
      <c r="AF35" s="188">
        <f t="array" aca="1" ref="AF35" ca="1">IF(AND($R35=2,ACOMPANHAMENTO="BM"),ROUND(AF36,4),AF37/$S35)</f>
        <v>0</v>
      </c>
      <c r="AG35" s="532"/>
    </row>
    <row r="36" spans="1:33" ht="12.75" customHeight="1" x14ac:dyDescent="0.2">
      <c r="E36" s="585"/>
      <c r="F36" s="185">
        <f ca="1">IF(ISERROR(F35),IF(1+COUNTIF($M$13:OFFSET(M35,-1,0),1)&lt;=MAX(QCI!$D$13:$D$24),1+COUNTIF($M$13:OFFSET(M35,-1,0),1),-1),0)</f>
        <v>0</v>
      </c>
      <c r="G36" s="185" t="str">
        <f t="array" aca="1" ref="G36" ca="1">IF(ACOMPANHAMENTO="BM",OFFSET(G36,-1,0),"")</f>
        <v/>
      </c>
      <c r="H36" s="196" t="str">
        <f t="array" aca="1" ref="H36" ca="1">IF(OR(S35=0,S35=""),"vazia",IF(AND(OR(ACOMPANHAMENTO="PLE",$R35&lt;&gt;2),$F36=0),"calculada","--&gt;"))</f>
        <v>calculada</v>
      </c>
      <c r="I36" s="197"/>
      <c r="J36" s="198" t="str">
        <f ca="1">IF(AND(H35&lt;&gt;0,ISNUMBER(H35)),"PREENCHA ESTA LINHA --&gt;","")</f>
        <v/>
      </c>
      <c r="K36" s="198"/>
      <c r="L36" s="198"/>
      <c r="M36" s="199"/>
      <c r="N36" s="199"/>
      <c r="O36" s="199"/>
      <c r="P36" s="199"/>
      <c r="Q36" s="199"/>
      <c r="R36" s="199"/>
      <c r="S36" s="200"/>
      <c r="T36" s="201"/>
      <c r="U36" s="585"/>
      <c r="V36" s="585"/>
      <c r="W36" s="585"/>
      <c r="X36" s="585"/>
      <c r="Y36" s="585"/>
      <c r="Z36" s="585"/>
      <c r="AA36" s="585"/>
      <c r="AB36" s="585"/>
      <c r="AC36" s="585"/>
      <c r="AD36" s="585"/>
      <c r="AE36" s="585"/>
      <c r="AF36" s="585"/>
      <c r="AG36" s="532"/>
    </row>
    <row r="37" spans="1:33" ht="12.75" customHeight="1" x14ac:dyDescent="0.2">
      <c r="D37" s="531"/>
      <c r="E37" s="202">
        <f t="array" aca="1" ref="E37" ca="1">IF($R35=2,
         IF(AND(ACOMPANHAMENTO="PLE",ISNUMBER($F35)),
                SUMIF((OFFSET(CÁLCULO!$BC$15:$BU$15,$F35,0,OFFSET(ORÇAMENTO!$D$15,CRONO!$F35,0))),CRONO!E$12,OFFSET(CÁLCULO!$AJ$15:$BB$15,$F35,0,OFFSET(ORÇAMENTO!$D$15,CRONO!$F35,0)))
                +IF(AND($F37&lt;&gt;"",$F37&lt;&gt;0),
                        SUMIF(CÁLCULO!$BC$15:$BU$235,CRONO!E$12,CÁLCULO!$AJ$15:$BB$235)/(ORÇAMENTO!$X$15-CÁLCULO.TotalAdmLocal)*CRONO!$F37,
                        0),
                 E36*$S35),
          SUMIF(OFFSET($S37,1,0,$R35-2),($M35+1)&amp;"$",OFFSET(E37,1,0,$R35-2)))</f>
        <v>0</v>
      </c>
      <c r="F37" s="185">
        <f ca="1">IF(OR($R35&lt;&gt;2,AUTOEVENTO&lt;&gt;"manual",$F36&gt;0),"",
        IF(Import.TipoArredondamento="Tradicional",
              SUMIF(OFFSET(CÁLCULO!$M$15,CRONO!$F35,0,OFFSET(ORÇAMENTO!$D$15,CRONO!$F35,0)),1,OFFSET(ORÇAMENTO!$X$15,CRONO!$F35,0,OFFSET(ORÇAMENTO!$D$15,CRONO!$F35,0))),
              0))</f>
        <v>0</v>
      </c>
      <c r="H37" s="693"/>
      <c r="S37" s="204" t="str">
        <f ca="1">M35&amp;"$"</f>
        <v>2$</v>
      </c>
      <c r="T37" s="205"/>
      <c r="U37" s="202">
        <f t="array" aca="1" ref="U37" ca="1">IF($R35=2,
         IF(AND(ACOMPANHAMENTO="PLE",ISNUMBER($F35)),
                SUMIF((OFFSET(CÁLCULO!$BC$15:$BU$15,$F35,0,OFFSET(ORÇAMENTO!$D$15,CRONO!$F35,0))),CRONO!U$12,OFFSET(CÁLCULO!$AJ$15:$BB$15,$F35,0,OFFSET(ORÇAMENTO!$D$15,CRONO!$F35,0)))
                +IF(AND($F37&lt;&gt;"",$F37&lt;&gt;0),
                        SUMIF(CÁLCULO!$BC$15:$BU$235,CRONO!U$12,CÁLCULO!$AJ$15:$BB$235)/(ORÇAMENTO!$X$15-CÁLCULO.TotalAdmLocal)*CRONO!$F37,
                        0),
                 U36*$S35),
          SUMIF(OFFSET($S37,1,0,$R35-2),($M35+1)&amp;"$",OFFSET(U37,1,0,$R35-2)))</f>
        <v>0</v>
      </c>
      <c r="V37" s="202">
        <f t="array" aca="1" ref="V37" ca="1">IF($R35=2,
         IF(AND(ACOMPANHAMENTO="PLE",ISNUMBER($F35)),
                SUMIF((OFFSET(CÁLCULO!$BC$15:$BU$15,$F35,0,OFFSET(ORÇAMENTO!$D$15,CRONO!$F35,0))),CRONO!V$12,OFFSET(CÁLCULO!$AJ$15:$BB$15,$F35,0,OFFSET(ORÇAMENTO!$D$15,CRONO!$F35,0)))
                +IF(AND($F37&lt;&gt;"",$F37&lt;&gt;0),
                        SUMIF(CÁLCULO!$BC$15:$BU$235,CRONO!V$12,CÁLCULO!$AJ$15:$BB$235)/(ORÇAMENTO!$X$15-CÁLCULO.TotalAdmLocal)*CRONO!$F37,
                        0),
                 V36*$S35),
          SUMIF(OFFSET($S37,1,0,$R35-2),($M35+1)&amp;"$",OFFSET(V37,1,0,$R35-2)))</f>
        <v>0</v>
      </c>
      <c r="W37" s="202">
        <f t="array" aca="1" ref="W37" ca="1">IF($R35=2,
         IF(AND(ACOMPANHAMENTO="PLE",ISNUMBER($F35)),
                SUMIF((OFFSET(CÁLCULO!$BC$15:$BU$15,$F35,0,OFFSET(ORÇAMENTO!$D$15,CRONO!$F35,0))),CRONO!W$12,OFFSET(CÁLCULO!$AJ$15:$BB$15,$F35,0,OFFSET(ORÇAMENTO!$D$15,CRONO!$F35,0)))
                +IF(AND($F37&lt;&gt;"",$F37&lt;&gt;0),
                        SUMIF(CÁLCULO!$BC$15:$BU$235,CRONO!W$12,CÁLCULO!$AJ$15:$BB$235)/(ORÇAMENTO!$X$15-CÁLCULO.TotalAdmLocal)*CRONO!$F37,
                        0),
                 W36*$S35),
          SUMIF(OFFSET($S37,1,0,$R35-2),($M35+1)&amp;"$",OFFSET(W37,1,0,$R35-2)))</f>
        <v>73209.98000000001</v>
      </c>
      <c r="X37" s="202">
        <f t="array" aca="1" ref="X37" ca="1">IF($R35=2,
         IF(AND(ACOMPANHAMENTO="PLE",ISNUMBER($F35)),
                SUMIF((OFFSET(CÁLCULO!$BC$15:$BU$15,$F35,0,OFFSET(ORÇAMENTO!$D$15,CRONO!$F35,0))),CRONO!X$12,OFFSET(CÁLCULO!$AJ$15:$BB$15,$F35,0,OFFSET(ORÇAMENTO!$D$15,CRONO!$F35,0)))
                +IF(AND($F37&lt;&gt;"",$F37&lt;&gt;0),
                        SUMIF(CÁLCULO!$BC$15:$BU$235,CRONO!X$12,CÁLCULO!$AJ$15:$BB$235)/(ORÇAMENTO!$X$15-CÁLCULO.TotalAdmLocal)*CRONO!$F37,
                        0),
                 X36*$S35),
          SUMIF(OFFSET($S37,1,0,$R35-2),($M35+1)&amp;"$",OFFSET(X37,1,0,$R35-2)))</f>
        <v>73209.98000000001</v>
      </c>
      <c r="Y37" s="202">
        <f t="array" aca="1" ref="Y37" ca="1">IF($R35=2,
         IF(AND(ACOMPANHAMENTO="PLE",ISNUMBER($F35)),
                SUMIF((OFFSET(CÁLCULO!$BC$15:$BU$15,$F35,0,OFFSET(ORÇAMENTO!$D$15,CRONO!$F35,0))),CRONO!Y$12,OFFSET(CÁLCULO!$AJ$15:$BB$15,$F35,0,OFFSET(ORÇAMENTO!$D$15,CRONO!$F35,0)))
                +IF(AND($F37&lt;&gt;"",$F37&lt;&gt;0),
                        SUMIF(CÁLCULO!$BC$15:$BU$235,CRONO!Y$12,CÁLCULO!$AJ$15:$BB$235)/(ORÇAMENTO!$X$15-CÁLCULO.TotalAdmLocal)*CRONO!$F37,
                        0),
                 Y36*$S35),
          SUMIF(OFFSET($S37,1,0,$R35-2),($M35+1)&amp;"$",OFFSET(Y37,1,0,$R35-2)))</f>
        <v>74614.16</v>
      </c>
      <c r="Z37" s="202">
        <f t="array" aca="1" ref="Z37" ca="1">IF($R35=2,
         IF(AND(ACOMPANHAMENTO="PLE",ISNUMBER($F35)),
                SUMIF((OFFSET(CÁLCULO!$BC$15:$BU$15,$F35,0,OFFSET(ORÇAMENTO!$D$15,CRONO!$F35,0))),CRONO!Z$12,OFFSET(CÁLCULO!$AJ$15:$BB$15,$F35,0,OFFSET(ORÇAMENTO!$D$15,CRONO!$F35,0)))
                +IF(AND($F37&lt;&gt;"",$F37&lt;&gt;0),
                        SUMIF(CÁLCULO!$BC$15:$BU$235,CRONO!Z$12,CÁLCULO!$AJ$15:$BB$235)/(ORÇAMENTO!$X$15-CÁLCULO.TotalAdmLocal)*CRONO!$F37,
                        0),
                 Z36*$S35),
          SUMIF(OFFSET($S37,1,0,$R35-2),($M35+1)&amp;"$",OFFSET(Z37,1,0,$R35-2)))</f>
        <v>0</v>
      </c>
      <c r="AA37" s="202">
        <f t="array" aca="1" ref="AA37" ca="1">IF($R35=2,
         IF(AND(ACOMPANHAMENTO="PLE",ISNUMBER($F35)),
                SUMIF((OFFSET(CÁLCULO!$BC$15:$BU$15,$F35,0,OFFSET(ORÇAMENTO!$D$15,CRONO!$F35,0))),CRONO!AA$12,OFFSET(CÁLCULO!$AJ$15:$BB$15,$F35,0,OFFSET(ORÇAMENTO!$D$15,CRONO!$F35,0)))
                +IF(AND($F37&lt;&gt;"",$F37&lt;&gt;0),
                        SUMIF(CÁLCULO!$BC$15:$BU$235,CRONO!AA$12,CÁLCULO!$AJ$15:$BB$235)/(ORÇAMENTO!$X$15-CÁLCULO.TotalAdmLocal)*CRONO!$F37,
                        0),
                 AA36*$S35),
          SUMIF(OFFSET($S37,1,0,$R35-2),($M35+1)&amp;"$",OFFSET(AA37,1,0,$R35-2)))</f>
        <v>0</v>
      </c>
      <c r="AB37" s="202">
        <f t="array" aca="1" ref="AB37" ca="1">IF($R35=2,
         IF(AND(ACOMPANHAMENTO="PLE",ISNUMBER($F35)),
                SUMIF((OFFSET(CÁLCULO!$BC$15:$BU$15,$F35,0,OFFSET(ORÇAMENTO!$D$15,CRONO!$F35,0))),CRONO!AB$12,OFFSET(CÁLCULO!$AJ$15:$BB$15,$F35,0,OFFSET(ORÇAMENTO!$D$15,CRONO!$F35,0)))
                +IF(AND($F37&lt;&gt;"",$F37&lt;&gt;0),
                        SUMIF(CÁLCULO!$BC$15:$BU$235,CRONO!AB$12,CÁLCULO!$AJ$15:$BB$235)/(ORÇAMENTO!$X$15-CÁLCULO.TotalAdmLocal)*CRONO!$F37,
                        0),
                 AB36*$S35),
          SUMIF(OFFSET($S37,1,0,$R35-2),($M35+1)&amp;"$",OFFSET(AB37,1,0,$R35-2)))</f>
        <v>0</v>
      </c>
      <c r="AC37" s="202">
        <f t="array" aca="1" ref="AC37" ca="1">IF($R35=2,
         IF(AND(ACOMPANHAMENTO="PLE",ISNUMBER($F35)),
                SUMIF((OFFSET(CÁLCULO!$BC$15:$BU$15,$F35,0,OFFSET(ORÇAMENTO!$D$15,CRONO!$F35,0))),CRONO!AC$12,OFFSET(CÁLCULO!$AJ$15:$BB$15,$F35,0,OFFSET(ORÇAMENTO!$D$15,CRONO!$F35,0)))
                +IF(AND($F37&lt;&gt;"",$F37&lt;&gt;0),
                        SUMIF(CÁLCULO!$BC$15:$BU$235,CRONO!AC$12,CÁLCULO!$AJ$15:$BB$235)/(ORÇAMENTO!$X$15-CÁLCULO.TotalAdmLocal)*CRONO!$F37,
                        0),
                 AC36*$S35),
          SUMIF(OFFSET($S37,1,0,$R35-2),($M35+1)&amp;"$",OFFSET(AC37,1,0,$R35-2)))</f>
        <v>0</v>
      </c>
      <c r="AD37" s="202">
        <f t="array" aca="1" ref="AD37" ca="1">IF($R35=2,
         IF(AND(ACOMPANHAMENTO="PLE",ISNUMBER($F35)),
                SUMIF((OFFSET(CÁLCULO!$BC$15:$BU$15,$F35,0,OFFSET(ORÇAMENTO!$D$15,CRONO!$F35,0))),CRONO!AD$12,OFFSET(CÁLCULO!$AJ$15:$BB$15,$F35,0,OFFSET(ORÇAMENTO!$D$15,CRONO!$F35,0)))
                +IF(AND($F37&lt;&gt;"",$F37&lt;&gt;0),
                        SUMIF(CÁLCULO!$BC$15:$BU$235,CRONO!AD$12,CÁLCULO!$AJ$15:$BB$235)/(ORÇAMENTO!$X$15-CÁLCULO.TotalAdmLocal)*CRONO!$F37,
                        0),
                 AD36*$S35),
          SUMIF(OFFSET($S37,1,0,$R35-2),($M35+1)&amp;"$",OFFSET(AD37,1,0,$R35-2)))</f>
        <v>0</v>
      </c>
      <c r="AE37" s="202">
        <f t="array" aca="1" ref="AE37" ca="1">IF($R35=2,
         IF(AND(ACOMPANHAMENTO="PLE",ISNUMBER($F35)),
                SUMIF((OFFSET(CÁLCULO!$BC$15:$BU$15,$F35,0,OFFSET(ORÇAMENTO!$D$15,CRONO!$F35,0))),CRONO!AE$12,OFFSET(CÁLCULO!$AJ$15:$BB$15,$F35,0,OFFSET(ORÇAMENTO!$D$15,CRONO!$F35,0)))
                +IF(AND($F37&lt;&gt;"",$F37&lt;&gt;0),
                        SUMIF(CÁLCULO!$BC$15:$BU$235,CRONO!AE$12,CÁLCULO!$AJ$15:$BB$235)/(ORÇAMENTO!$X$15-CÁLCULO.TotalAdmLocal)*CRONO!$F37,
                        0),
                 AE36*$S35),
          SUMIF(OFFSET($S37,1,0,$R35-2),($M35+1)&amp;"$",OFFSET(AE37,1,0,$R35-2)))</f>
        <v>0</v>
      </c>
      <c r="AF37" s="202">
        <f t="array" aca="1" ref="AF37" ca="1">IF($R35=2,
         IF(AND(ACOMPANHAMENTO="PLE",ISNUMBER($F35)),
                SUMIF((OFFSET(CÁLCULO!$BC$15:$BU$15,$F35,0,OFFSET(ORÇAMENTO!$D$15,CRONO!$F35,0))),CRONO!AF$12,OFFSET(CÁLCULO!$AJ$15:$BB$15,$F35,0,OFFSET(ORÇAMENTO!$D$15,CRONO!$F35,0)))
                +IF(AND($F37&lt;&gt;"",$F37&lt;&gt;0),
                        SUMIF(CÁLCULO!$BC$15:$BU$235,CRONO!AF$12,CÁLCULO!$AJ$15:$BB$235)/(ORÇAMENTO!$X$15-CÁLCULO.TotalAdmLocal)*CRONO!$F37,
                        0),
                 AF36*$S35),
          SUMIF(OFFSET($S37,1,0,$R35-2),($M35+1)&amp;"$",OFFSET(AF37,1,0,$R35-2)))</f>
        <v>0</v>
      </c>
      <c r="AG37" s="532"/>
    </row>
    <row r="38" spans="1:33" x14ac:dyDescent="0.2">
      <c r="A38" s="186" t="str">
        <f ca="1">IF($M38&gt;1,_xlfn.CONCAT($I38," ",$J38),"")</f>
        <v>1.8. ALVENARIA</v>
      </c>
      <c r="B38" s="185">
        <f ca="1">OFFSET(B38,-3,0)+1</f>
        <v>9</v>
      </c>
      <c r="C38" s="185">
        <f ca="1">IF($R38&lt;&gt;2,0,IF($S38=0,1,IF(F39&gt;0,OFFSET(QCI!$M$13,SUBSTITUTE(F39,".",""),0),OFFSET(ORÇAMENTO!$AA$15,CRONO!$F38,0))/$S38))</f>
        <v>0</v>
      </c>
      <c r="D38" s="185">
        <f ca="1">IF($R38&lt;&gt;2,0,IF($S38=0,1,IF(F39&gt;0,OFFSET(QCI!$N$13,SUBSTITUTE(F39,".",""),0),OFFSET(ORÇAMENTO!$AB$15,CRONO!$F38,0))/$S38))</f>
        <v>0</v>
      </c>
      <c r="E38" s="188">
        <f t="array" aca="1" ref="E38" ca="1">IF(AND($R38=2,ACOMPANHAMENTO="BM"),ROUND(E39,4),E40/$S38)</f>
        <v>0</v>
      </c>
      <c r="F38" s="185">
        <f t="array" aca="1" ref="F38" ca="1">IF(B38&lt;=ORÇAMENTO.MáximoListaCrono,MATCH(B38,ORÇAMENTO.ListaCrono,0),NA())</f>
        <v>51</v>
      </c>
      <c r="G38" s="185" t="str">
        <f ca="1">IF(AND($F39&lt;&gt;-1,$S38&gt;0),"F","")</f>
        <v>F</v>
      </c>
      <c r="H38" s="189" t="str">
        <f t="array" aca="1" ref="H38" ca="1">IF(OR(S38=0,S38=""),"Linha",IF(AND(OR(ACOMPANHAMENTO="PLE",$R38&lt;&gt;2),$F39=0),"Linha",ROUND(1-SUM(U38:AG38),4)))</f>
        <v>Linha</v>
      </c>
      <c r="I38" s="190" t="str">
        <f ca="1">IF($F39=0,OFFSET(ORÇAMENTO!O$15,$F38,0),IF($F39&lt;&gt;-1,OFFSET(QCI!$D$13,$F39,0),""))</f>
        <v>1.8.</v>
      </c>
      <c r="J38" s="191" t="str">
        <f ca="1">IF($F39=0,OFFSET(ORÇAMENTO!R$15,$F38,0),IF($F39&lt;&gt;-1,OFFSET(QCI!$G$13,$F39,0),""))</f>
        <v>ALVENARIA</v>
      </c>
      <c r="K38" s="191"/>
      <c r="L38" s="191"/>
      <c r="M38" s="192">
        <f ca="1">IF($F39=0,OFFSET(ORÇAMENTO!C$15,$F38,0),1)</f>
        <v>2</v>
      </c>
      <c r="N38" s="193">
        <f ca="1">IF($F39=-1,0,IF(N$13&lt;=$M38,IF(ISERROR(MATCH(N$13,OFFSET($M38,1,0,ROW($M$119)-ROW($M38)-1),0)),ROW($M$119)-ROW($M38)-1,MATCH(N$13,OFFSET($M38,1,0,ROW($M$119)-ROW($M38)-1),0)-1),0))</f>
        <v>80</v>
      </c>
      <c r="O38" s="193">
        <f ca="1">IF($F39=-1,0,IF(O$13&lt;=$M38,IF(ISERROR(MATCH(O$13,OFFSET($M38,1,0,ROW($M$119)-ROW($M38)-1),0)),ROW($M$119)-ROW($M38)-1,MATCH(O$13,OFFSET($M38,1,0,ROW($M$119)-ROW($M38)-1),0)-1),0))</f>
        <v>2</v>
      </c>
      <c r="P38" s="193">
        <f ca="1">IF($F39=-1,0,IF(P$13&lt;=$M38,IF(ISERROR(MATCH(P$13,OFFSET($M38,1,0,ROW($M$119)-ROW($M38)-1),0)),ROW($M$119)-ROW($M38)-1,MATCH(P$13,OFFSET($M38,1,0,ROW($M$119)-ROW($M38)-1),0)-1),0))</f>
        <v>0</v>
      </c>
      <c r="Q38" s="193">
        <f ca="1">IF($F39=-1,0,IF(Q$13&lt;=$M38,IF(ISERROR(MATCH(Q$13,OFFSET($M38,1,0,ROW($M$119)-ROW($M38)-1),0)),ROW($M$119)-ROW($M38)-1,MATCH(Q$13,OFFSET($M38,1,0,ROW($M$119)-ROW($M38)-1),0)-1),0))</f>
        <v>0</v>
      </c>
      <c r="R38" s="193">
        <f ca="1">MIN(OFFSET(M38,0,1,,M38))</f>
        <v>2</v>
      </c>
      <c r="S38" s="194">
        <f ca="1">IF($F39=0,OFFSET(ORÇAMENTO!X$15,$F38,0),IF($F39&lt;&gt;-1,OFFSET(QCI!$O$13,$F39,0),""))</f>
        <v>195836</v>
      </c>
      <c r="T38" s="195" t="s">
        <v>785</v>
      </c>
      <c r="U38" s="188">
        <f t="array" aca="1" ref="U38" ca="1">IF(AND($R38=2,ACOMPANHAMENTO="BM"),ROUND(U39,4),U40/$S38)</f>
        <v>0</v>
      </c>
      <c r="V38" s="188">
        <f t="array" aca="1" ref="V38" ca="1">IF(AND($R38=2,ACOMPANHAMENTO="BM"),ROUND(V39,4),V40/$S38)</f>
        <v>0</v>
      </c>
      <c r="W38" s="188">
        <f t="array" aca="1" ref="W38" ca="1">IF(AND($R38=2,ACOMPANHAMENTO="BM"),ROUND(W39,4),W40/$S38)</f>
        <v>0.5</v>
      </c>
      <c r="X38" s="188">
        <f t="array" aca="1" ref="X38" ca="1">IF(AND($R38=2,ACOMPANHAMENTO="BM"),ROUND(X39,4),X40/$S38)</f>
        <v>0.5</v>
      </c>
      <c r="Y38" s="188">
        <f t="array" aca="1" ref="Y38" ca="1">IF(AND($R38=2,ACOMPANHAMENTO="BM"),ROUND(Y39,4),Y40/$S38)</f>
        <v>0</v>
      </c>
      <c r="Z38" s="188">
        <f t="array" aca="1" ref="Z38" ca="1">IF(AND($R38=2,ACOMPANHAMENTO="BM"),ROUND(Z39,4),Z40/$S38)</f>
        <v>0</v>
      </c>
      <c r="AA38" s="188">
        <f t="array" aca="1" ref="AA38" ca="1">IF(AND($R38=2,ACOMPANHAMENTO="BM"),ROUND(AA39,4),AA40/$S38)</f>
        <v>0</v>
      </c>
      <c r="AB38" s="188">
        <f t="array" aca="1" ref="AB38" ca="1">IF(AND($R38=2,ACOMPANHAMENTO="BM"),ROUND(AB39,4),AB40/$S38)</f>
        <v>0</v>
      </c>
      <c r="AC38" s="188">
        <f t="array" aca="1" ref="AC38" ca="1">IF(AND($R38=2,ACOMPANHAMENTO="BM"),ROUND(AC39,4),AC40/$S38)</f>
        <v>0</v>
      </c>
      <c r="AD38" s="188">
        <f t="array" aca="1" ref="AD38" ca="1">IF(AND($R38=2,ACOMPANHAMENTO="BM"),ROUND(AD39,4),AD40/$S38)</f>
        <v>0</v>
      </c>
      <c r="AE38" s="188">
        <f t="array" aca="1" ref="AE38" ca="1">IF(AND($R38=2,ACOMPANHAMENTO="BM"),ROUND(AE39,4),AE40/$S38)</f>
        <v>0</v>
      </c>
      <c r="AF38" s="188">
        <f t="array" aca="1" ref="AF38" ca="1">IF(AND($R38=2,ACOMPANHAMENTO="BM"),ROUND(AF39,4),AF40/$S38)</f>
        <v>0</v>
      </c>
      <c r="AG38" s="532"/>
    </row>
    <row r="39" spans="1:33" ht="12.75" customHeight="1" x14ac:dyDescent="0.2">
      <c r="E39" s="585"/>
      <c r="F39" s="185">
        <f ca="1">IF(ISERROR(F38),IF(1+COUNTIF($M$13:OFFSET(M38,-1,0),1)&lt;=MAX(QCI!$D$13:$D$24),1+COUNTIF($M$13:OFFSET(M38,-1,0),1),-1),0)</f>
        <v>0</v>
      </c>
      <c r="G39" s="185" t="str">
        <f t="array" aca="1" ref="G39" ca="1">IF(ACOMPANHAMENTO="BM",OFFSET(G39,-1,0),"")</f>
        <v/>
      </c>
      <c r="H39" s="196" t="str">
        <f t="array" aca="1" ref="H39" ca="1">IF(OR(S38=0,S38=""),"vazia",IF(AND(OR(ACOMPANHAMENTO="PLE",$R38&lt;&gt;2),$F39=0),"calculada","--&gt;"))</f>
        <v>calculada</v>
      </c>
      <c r="I39" s="197"/>
      <c r="J39" s="198" t="str">
        <f ca="1">IF(AND(H38&lt;&gt;0,ISNUMBER(H38)),"PREENCHA ESTA LINHA --&gt;","")</f>
        <v/>
      </c>
      <c r="K39" s="198"/>
      <c r="L39" s="198"/>
      <c r="M39" s="199"/>
      <c r="N39" s="199"/>
      <c r="O39" s="199"/>
      <c r="P39" s="199"/>
      <c r="Q39" s="199"/>
      <c r="R39" s="199"/>
      <c r="S39" s="200"/>
      <c r="T39" s="201"/>
      <c r="U39" s="585"/>
      <c r="V39" s="585"/>
      <c r="W39" s="585"/>
      <c r="X39" s="585"/>
      <c r="Y39" s="585"/>
      <c r="Z39" s="585"/>
      <c r="AA39" s="585"/>
      <c r="AB39" s="585"/>
      <c r="AC39" s="585"/>
      <c r="AD39" s="585"/>
      <c r="AE39" s="585"/>
      <c r="AF39" s="585"/>
      <c r="AG39" s="532"/>
    </row>
    <row r="40" spans="1:33" ht="12.75" customHeight="1" x14ac:dyDescent="0.2">
      <c r="D40" s="531"/>
      <c r="E40" s="202">
        <f t="array" aca="1" ref="E40" ca="1">IF($R38=2,
         IF(AND(ACOMPANHAMENTO="PLE",ISNUMBER($F38)),
                SUMIF((OFFSET(CÁLCULO!$BC$15:$BU$15,$F38,0,OFFSET(ORÇAMENTO!$D$15,CRONO!$F38,0))),CRONO!E$12,OFFSET(CÁLCULO!$AJ$15:$BB$15,$F38,0,OFFSET(ORÇAMENTO!$D$15,CRONO!$F38,0)))
                +IF(AND($F40&lt;&gt;"",$F40&lt;&gt;0),
                        SUMIF(CÁLCULO!$BC$15:$BU$235,CRONO!E$12,CÁLCULO!$AJ$15:$BB$235)/(ORÇAMENTO!$X$15-CÁLCULO.TotalAdmLocal)*CRONO!$F40,
                        0),
                 E39*$S38),
          SUMIF(OFFSET($S40,1,0,$R38-2),($M38+1)&amp;"$",OFFSET(E40,1,0,$R38-2)))</f>
        <v>0</v>
      </c>
      <c r="F40" s="185">
        <f ca="1">IF(OR($R38&lt;&gt;2,AUTOEVENTO&lt;&gt;"manual",$F39&gt;0),"",
        IF(Import.TipoArredondamento="Tradicional",
              SUMIF(OFFSET(CÁLCULO!$M$15,CRONO!$F38,0,OFFSET(ORÇAMENTO!$D$15,CRONO!$F38,0)),1,OFFSET(ORÇAMENTO!$X$15,CRONO!$F38,0,OFFSET(ORÇAMENTO!$D$15,CRONO!$F38,0))),
              0))</f>
        <v>0</v>
      </c>
      <c r="H40" s="693"/>
      <c r="S40" s="204" t="str">
        <f ca="1">M38&amp;"$"</f>
        <v>2$</v>
      </c>
      <c r="T40" s="205"/>
      <c r="U40" s="202">
        <f t="array" aca="1" ref="U40" ca="1">IF($R38=2,
         IF(AND(ACOMPANHAMENTO="PLE",ISNUMBER($F38)),
                SUMIF((OFFSET(CÁLCULO!$BC$15:$BU$15,$F38,0,OFFSET(ORÇAMENTO!$D$15,CRONO!$F38,0))),CRONO!U$12,OFFSET(CÁLCULO!$AJ$15:$BB$15,$F38,0,OFFSET(ORÇAMENTO!$D$15,CRONO!$F38,0)))
                +IF(AND($F40&lt;&gt;"",$F40&lt;&gt;0),
                        SUMIF(CÁLCULO!$BC$15:$BU$235,CRONO!U$12,CÁLCULO!$AJ$15:$BB$235)/(ORÇAMENTO!$X$15-CÁLCULO.TotalAdmLocal)*CRONO!$F40,
                        0),
                 U39*$S38),
          SUMIF(OFFSET($S40,1,0,$R38-2),($M38+1)&amp;"$",OFFSET(U40,1,0,$R38-2)))</f>
        <v>0</v>
      </c>
      <c r="V40" s="202">
        <f t="array" aca="1" ref="V40" ca="1">IF($R38=2,
         IF(AND(ACOMPANHAMENTO="PLE",ISNUMBER($F38)),
                SUMIF((OFFSET(CÁLCULO!$BC$15:$BU$15,$F38,0,OFFSET(ORÇAMENTO!$D$15,CRONO!$F38,0))),CRONO!V$12,OFFSET(CÁLCULO!$AJ$15:$BB$15,$F38,0,OFFSET(ORÇAMENTO!$D$15,CRONO!$F38,0)))
                +IF(AND($F40&lt;&gt;"",$F40&lt;&gt;0),
                        SUMIF(CÁLCULO!$BC$15:$BU$235,CRONO!V$12,CÁLCULO!$AJ$15:$BB$235)/(ORÇAMENTO!$X$15-CÁLCULO.TotalAdmLocal)*CRONO!$F40,
                        0),
                 V39*$S38),
          SUMIF(OFFSET($S40,1,0,$R38-2),($M38+1)&amp;"$",OFFSET(V40,1,0,$R38-2)))</f>
        <v>0</v>
      </c>
      <c r="W40" s="202">
        <f t="array" aca="1" ref="W40" ca="1">IF($R38=2,
         IF(AND(ACOMPANHAMENTO="PLE",ISNUMBER($F38)),
                SUMIF((OFFSET(CÁLCULO!$BC$15:$BU$15,$F38,0,OFFSET(ORÇAMENTO!$D$15,CRONO!$F38,0))),CRONO!W$12,OFFSET(CÁLCULO!$AJ$15:$BB$15,$F38,0,OFFSET(ORÇAMENTO!$D$15,CRONO!$F38,0)))
                +IF(AND($F40&lt;&gt;"",$F40&lt;&gt;0),
                        SUMIF(CÁLCULO!$BC$15:$BU$235,CRONO!W$12,CÁLCULO!$AJ$15:$BB$235)/(ORÇAMENTO!$X$15-CÁLCULO.TotalAdmLocal)*CRONO!$F40,
                        0),
                 W39*$S38),
          SUMIF(OFFSET($S40,1,0,$R38-2),($M38+1)&amp;"$",OFFSET(W40,1,0,$R38-2)))</f>
        <v>97918</v>
      </c>
      <c r="X40" s="202">
        <f t="array" aca="1" ref="X40" ca="1">IF($R38=2,
         IF(AND(ACOMPANHAMENTO="PLE",ISNUMBER($F38)),
                SUMIF((OFFSET(CÁLCULO!$BC$15:$BU$15,$F38,0,OFFSET(ORÇAMENTO!$D$15,CRONO!$F38,0))),CRONO!X$12,OFFSET(CÁLCULO!$AJ$15:$BB$15,$F38,0,OFFSET(ORÇAMENTO!$D$15,CRONO!$F38,0)))
                +IF(AND($F40&lt;&gt;"",$F40&lt;&gt;0),
                        SUMIF(CÁLCULO!$BC$15:$BU$235,CRONO!X$12,CÁLCULO!$AJ$15:$BB$235)/(ORÇAMENTO!$X$15-CÁLCULO.TotalAdmLocal)*CRONO!$F40,
                        0),
                 X39*$S38),
          SUMIF(OFFSET($S40,1,0,$R38-2),($M38+1)&amp;"$",OFFSET(X40,1,0,$R38-2)))</f>
        <v>97918</v>
      </c>
      <c r="Y40" s="202">
        <f t="array" aca="1" ref="Y40" ca="1">IF($R38=2,
         IF(AND(ACOMPANHAMENTO="PLE",ISNUMBER($F38)),
                SUMIF((OFFSET(CÁLCULO!$BC$15:$BU$15,$F38,0,OFFSET(ORÇAMENTO!$D$15,CRONO!$F38,0))),CRONO!Y$12,OFFSET(CÁLCULO!$AJ$15:$BB$15,$F38,0,OFFSET(ORÇAMENTO!$D$15,CRONO!$F38,0)))
                +IF(AND($F40&lt;&gt;"",$F40&lt;&gt;0),
                        SUMIF(CÁLCULO!$BC$15:$BU$235,CRONO!Y$12,CÁLCULO!$AJ$15:$BB$235)/(ORÇAMENTO!$X$15-CÁLCULO.TotalAdmLocal)*CRONO!$F40,
                        0),
                 Y39*$S38),
          SUMIF(OFFSET($S40,1,0,$R38-2),($M38+1)&amp;"$",OFFSET(Y40,1,0,$R38-2)))</f>
        <v>0</v>
      </c>
      <c r="Z40" s="202">
        <f t="array" aca="1" ref="Z40" ca="1">IF($R38=2,
         IF(AND(ACOMPANHAMENTO="PLE",ISNUMBER($F38)),
                SUMIF((OFFSET(CÁLCULO!$BC$15:$BU$15,$F38,0,OFFSET(ORÇAMENTO!$D$15,CRONO!$F38,0))),CRONO!Z$12,OFFSET(CÁLCULO!$AJ$15:$BB$15,$F38,0,OFFSET(ORÇAMENTO!$D$15,CRONO!$F38,0)))
                +IF(AND($F40&lt;&gt;"",$F40&lt;&gt;0),
                        SUMIF(CÁLCULO!$BC$15:$BU$235,CRONO!Z$12,CÁLCULO!$AJ$15:$BB$235)/(ORÇAMENTO!$X$15-CÁLCULO.TotalAdmLocal)*CRONO!$F40,
                        0),
                 Z39*$S38),
          SUMIF(OFFSET($S40,1,0,$R38-2),($M38+1)&amp;"$",OFFSET(Z40,1,0,$R38-2)))</f>
        <v>0</v>
      </c>
      <c r="AA40" s="202">
        <f t="array" aca="1" ref="AA40" ca="1">IF($R38=2,
         IF(AND(ACOMPANHAMENTO="PLE",ISNUMBER($F38)),
                SUMIF((OFFSET(CÁLCULO!$BC$15:$BU$15,$F38,0,OFFSET(ORÇAMENTO!$D$15,CRONO!$F38,0))),CRONO!AA$12,OFFSET(CÁLCULO!$AJ$15:$BB$15,$F38,0,OFFSET(ORÇAMENTO!$D$15,CRONO!$F38,0)))
                +IF(AND($F40&lt;&gt;"",$F40&lt;&gt;0),
                        SUMIF(CÁLCULO!$BC$15:$BU$235,CRONO!AA$12,CÁLCULO!$AJ$15:$BB$235)/(ORÇAMENTO!$X$15-CÁLCULO.TotalAdmLocal)*CRONO!$F40,
                        0),
                 AA39*$S38),
          SUMIF(OFFSET($S40,1,0,$R38-2),($M38+1)&amp;"$",OFFSET(AA40,1,0,$R38-2)))</f>
        <v>0</v>
      </c>
      <c r="AB40" s="202">
        <f t="array" aca="1" ref="AB40" ca="1">IF($R38=2,
         IF(AND(ACOMPANHAMENTO="PLE",ISNUMBER($F38)),
                SUMIF((OFFSET(CÁLCULO!$BC$15:$BU$15,$F38,0,OFFSET(ORÇAMENTO!$D$15,CRONO!$F38,0))),CRONO!AB$12,OFFSET(CÁLCULO!$AJ$15:$BB$15,$F38,0,OFFSET(ORÇAMENTO!$D$15,CRONO!$F38,0)))
                +IF(AND($F40&lt;&gt;"",$F40&lt;&gt;0),
                        SUMIF(CÁLCULO!$BC$15:$BU$235,CRONO!AB$12,CÁLCULO!$AJ$15:$BB$235)/(ORÇAMENTO!$X$15-CÁLCULO.TotalAdmLocal)*CRONO!$F40,
                        0),
                 AB39*$S38),
          SUMIF(OFFSET($S40,1,0,$R38-2),($M38+1)&amp;"$",OFFSET(AB40,1,0,$R38-2)))</f>
        <v>0</v>
      </c>
      <c r="AC40" s="202">
        <f t="array" aca="1" ref="AC40" ca="1">IF($R38=2,
         IF(AND(ACOMPANHAMENTO="PLE",ISNUMBER($F38)),
                SUMIF((OFFSET(CÁLCULO!$BC$15:$BU$15,$F38,0,OFFSET(ORÇAMENTO!$D$15,CRONO!$F38,0))),CRONO!AC$12,OFFSET(CÁLCULO!$AJ$15:$BB$15,$F38,0,OFFSET(ORÇAMENTO!$D$15,CRONO!$F38,0)))
                +IF(AND($F40&lt;&gt;"",$F40&lt;&gt;0),
                        SUMIF(CÁLCULO!$BC$15:$BU$235,CRONO!AC$12,CÁLCULO!$AJ$15:$BB$235)/(ORÇAMENTO!$X$15-CÁLCULO.TotalAdmLocal)*CRONO!$F40,
                        0),
                 AC39*$S38),
          SUMIF(OFFSET($S40,1,0,$R38-2),($M38+1)&amp;"$",OFFSET(AC40,1,0,$R38-2)))</f>
        <v>0</v>
      </c>
      <c r="AD40" s="202">
        <f t="array" aca="1" ref="AD40" ca="1">IF($R38=2,
         IF(AND(ACOMPANHAMENTO="PLE",ISNUMBER($F38)),
                SUMIF((OFFSET(CÁLCULO!$BC$15:$BU$15,$F38,0,OFFSET(ORÇAMENTO!$D$15,CRONO!$F38,0))),CRONO!AD$12,OFFSET(CÁLCULO!$AJ$15:$BB$15,$F38,0,OFFSET(ORÇAMENTO!$D$15,CRONO!$F38,0)))
                +IF(AND($F40&lt;&gt;"",$F40&lt;&gt;0),
                        SUMIF(CÁLCULO!$BC$15:$BU$235,CRONO!AD$12,CÁLCULO!$AJ$15:$BB$235)/(ORÇAMENTO!$X$15-CÁLCULO.TotalAdmLocal)*CRONO!$F40,
                        0),
                 AD39*$S38),
          SUMIF(OFFSET($S40,1,0,$R38-2),($M38+1)&amp;"$",OFFSET(AD40,1,0,$R38-2)))</f>
        <v>0</v>
      </c>
      <c r="AE40" s="202">
        <f t="array" aca="1" ref="AE40" ca="1">IF($R38=2,
         IF(AND(ACOMPANHAMENTO="PLE",ISNUMBER($F38)),
                SUMIF((OFFSET(CÁLCULO!$BC$15:$BU$15,$F38,0,OFFSET(ORÇAMENTO!$D$15,CRONO!$F38,0))),CRONO!AE$12,OFFSET(CÁLCULO!$AJ$15:$BB$15,$F38,0,OFFSET(ORÇAMENTO!$D$15,CRONO!$F38,0)))
                +IF(AND($F40&lt;&gt;"",$F40&lt;&gt;0),
                        SUMIF(CÁLCULO!$BC$15:$BU$235,CRONO!AE$12,CÁLCULO!$AJ$15:$BB$235)/(ORÇAMENTO!$X$15-CÁLCULO.TotalAdmLocal)*CRONO!$F40,
                        0),
                 AE39*$S38),
          SUMIF(OFFSET($S40,1,0,$R38-2),($M38+1)&amp;"$",OFFSET(AE40,1,0,$R38-2)))</f>
        <v>0</v>
      </c>
      <c r="AF40" s="202">
        <f t="array" aca="1" ref="AF40" ca="1">IF($R38=2,
         IF(AND(ACOMPANHAMENTO="PLE",ISNUMBER($F38)),
                SUMIF((OFFSET(CÁLCULO!$BC$15:$BU$15,$F38,0,OFFSET(ORÇAMENTO!$D$15,CRONO!$F38,0))),CRONO!AF$12,OFFSET(CÁLCULO!$AJ$15:$BB$15,$F38,0,OFFSET(ORÇAMENTO!$D$15,CRONO!$F38,0)))
                +IF(AND($F40&lt;&gt;"",$F40&lt;&gt;0),
                        SUMIF(CÁLCULO!$BC$15:$BU$235,CRONO!AF$12,CÁLCULO!$AJ$15:$BB$235)/(ORÇAMENTO!$X$15-CÁLCULO.TotalAdmLocal)*CRONO!$F40,
                        0),
                 AF39*$S38),
          SUMIF(OFFSET($S40,1,0,$R38-2),($M38+1)&amp;"$",OFFSET(AF40,1,0,$R38-2)))</f>
        <v>0</v>
      </c>
      <c r="AG40" s="532"/>
    </row>
    <row r="41" spans="1:33" x14ac:dyDescent="0.2">
      <c r="A41" s="186" t="str">
        <f ca="1">IF($M41&gt;1,_xlfn.CONCAT($I41," ",$J41),"")</f>
        <v>1.9. VERGAS E CONTRAVERGAS</v>
      </c>
      <c r="B41" s="185">
        <f ca="1">OFFSET(B41,-3,0)+1</f>
        <v>10</v>
      </c>
      <c r="C41" s="185">
        <f ca="1">IF($R41&lt;&gt;2,0,IF($S41=0,1,IF(F42&gt;0,OFFSET(QCI!$M$13,SUBSTITUTE(F42,".",""),0),OFFSET(ORÇAMENTO!$AA$15,CRONO!$F41,0))/$S41))</f>
        <v>0</v>
      </c>
      <c r="D41" s="185">
        <f ca="1">IF($R41&lt;&gt;2,0,IF($S41=0,1,IF(F42&gt;0,OFFSET(QCI!$N$13,SUBSTITUTE(F42,".",""),0),OFFSET(ORÇAMENTO!$AB$15,CRONO!$F41,0))/$S41))</f>
        <v>0</v>
      </c>
      <c r="E41" s="188">
        <f t="array" aca="1" ref="E41" ca="1">IF(AND($R41=2,ACOMPANHAMENTO="BM"),ROUND(E42,4),E43/$S41)</f>
        <v>0</v>
      </c>
      <c r="F41" s="185">
        <f t="array" aca="1" ref="F41" ca="1">IF(B41&lt;=ORÇAMENTO.MáximoListaCrono,MATCH(B41,ORÇAMENTO.ListaCrono,0),NA())</f>
        <v>53</v>
      </c>
      <c r="G41" s="185" t="str">
        <f ca="1">IF(AND($F42&lt;&gt;-1,$S41&gt;0),"F","")</f>
        <v>F</v>
      </c>
      <c r="H41" s="189" t="str">
        <f t="array" aca="1" ref="H41" ca="1">IF(OR(S41=0,S41=""),"Linha",IF(AND(OR(ACOMPANHAMENTO="PLE",$R41&lt;&gt;2),$F42=0),"Linha",ROUND(1-SUM(U41:AG41),4)))</f>
        <v>Linha</v>
      </c>
      <c r="I41" s="190" t="str">
        <f ca="1">IF($F42=0,OFFSET(ORÇAMENTO!O$15,$F41,0),IF($F42&lt;&gt;-1,OFFSET(QCI!$D$13,$F42,0),""))</f>
        <v>1.9.</v>
      </c>
      <c r="J41" s="191" t="str">
        <f ca="1">IF($F42=0,OFFSET(ORÇAMENTO!R$15,$F41,0),IF($F42&lt;&gt;-1,OFFSET(QCI!$G$13,$F42,0),""))</f>
        <v>VERGAS E CONTRAVERGAS</v>
      </c>
      <c r="K41" s="191"/>
      <c r="L41" s="191"/>
      <c r="M41" s="192">
        <f ca="1">IF($F42=0,OFFSET(ORÇAMENTO!C$15,$F41,0),1)</f>
        <v>2</v>
      </c>
      <c r="N41" s="193">
        <f ca="1">IF($F42=-1,0,IF(N$13&lt;=$M41,IF(ISERROR(MATCH(N$13,OFFSET($M41,1,0,ROW($M$119)-ROW($M41)-1),0)),ROW($M$119)-ROW($M41)-1,MATCH(N$13,OFFSET($M41,1,0,ROW($M$119)-ROW($M41)-1),0)-1),0))</f>
        <v>77</v>
      </c>
      <c r="O41" s="193">
        <f ca="1">IF($F42=-1,0,IF(O$13&lt;=$M41,IF(ISERROR(MATCH(O$13,OFFSET($M41,1,0,ROW($M$119)-ROW($M41)-1),0)),ROW($M$119)-ROW($M41)-1,MATCH(O$13,OFFSET($M41,1,0,ROW($M$119)-ROW($M41)-1),0)-1),0))</f>
        <v>2</v>
      </c>
      <c r="P41" s="193">
        <f ca="1">IF($F42=-1,0,IF(P$13&lt;=$M41,IF(ISERROR(MATCH(P$13,OFFSET($M41,1,0,ROW($M$119)-ROW($M41)-1),0)),ROW($M$119)-ROW($M41)-1,MATCH(P$13,OFFSET($M41,1,0,ROW($M$119)-ROW($M41)-1),0)-1),0))</f>
        <v>0</v>
      </c>
      <c r="Q41" s="193">
        <f ca="1">IF($F42=-1,0,IF(Q$13&lt;=$M41,IF(ISERROR(MATCH(Q$13,OFFSET($M41,1,0,ROW($M$119)-ROW($M41)-1),0)),ROW($M$119)-ROW($M41)-1,MATCH(Q$13,OFFSET($M41,1,0,ROW($M$119)-ROW($M41)-1),0)-1),0))</f>
        <v>0</v>
      </c>
      <c r="R41" s="193">
        <f ca="1">MIN(OFFSET(M41,0,1,,M41))</f>
        <v>2</v>
      </c>
      <c r="S41" s="194">
        <f ca="1">IF($F42=0,OFFSET(ORÇAMENTO!X$15,$F41,0),IF($F42&lt;&gt;-1,OFFSET(QCI!$O$13,$F42,0),""))</f>
        <v>18367.759999999998</v>
      </c>
      <c r="T41" s="195" t="s">
        <v>785</v>
      </c>
      <c r="U41" s="188">
        <f t="array" aca="1" ref="U41" ca="1">IF(AND($R41=2,ACOMPANHAMENTO="BM"),ROUND(U42,4),U43/$S41)</f>
        <v>0</v>
      </c>
      <c r="V41" s="188">
        <f t="array" aca="1" ref="V41" ca="1">IF(AND($R41=2,ACOMPANHAMENTO="BM"),ROUND(V42,4),V43/$S41)</f>
        <v>0</v>
      </c>
      <c r="W41" s="188">
        <f t="array" aca="1" ref="W41" ca="1">IF(AND($R41=2,ACOMPANHAMENTO="BM"),ROUND(W42,4),W43/$S41)</f>
        <v>0.5</v>
      </c>
      <c r="X41" s="188">
        <f t="array" aca="1" ref="X41" ca="1">IF(AND($R41=2,ACOMPANHAMENTO="BM"),ROUND(X42,4),X43/$S41)</f>
        <v>0.5</v>
      </c>
      <c r="Y41" s="188">
        <f t="array" aca="1" ref="Y41" ca="1">IF(AND($R41=2,ACOMPANHAMENTO="BM"),ROUND(Y42,4),Y43/$S41)</f>
        <v>0</v>
      </c>
      <c r="Z41" s="188">
        <f t="array" aca="1" ref="Z41" ca="1">IF(AND($R41=2,ACOMPANHAMENTO="BM"),ROUND(Z42,4),Z43/$S41)</f>
        <v>0</v>
      </c>
      <c r="AA41" s="188">
        <f t="array" aca="1" ref="AA41" ca="1">IF(AND($R41=2,ACOMPANHAMENTO="BM"),ROUND(AA42,4),AA43/$S41)</f>
        <v>0</v>
      </c>
      <c r="AB41" s="188">
        <f t="array" aca="1" ref="AB41" ca="1">IF(AND($R41=2,ACOMPANHAMENTO="BM"),ROUND(AB42,4),AB43/$S41)</f>
        <v>0</v>
      </c>
      <c r="AC41" s="188">
        <f t="array" aca="1" ref="AC41" ca="1">IF(AND($R41=2,ACOMPANHAMENTO="BM"),ROUND(AC42,4),AC43/$S41)</f>
        <v>0</v>
      </c>
      <c r="AD41" s="188">
        <f t="array" aca="1" ref="AD41" ca="1">IF(AND($R41=2,ACOMPANHAMENTO="BM"),ROUND(AD42,4),AD43/$S41)</f>
        <v>0</v>
      </c>
      <c r="AE41" s="188">
        <f t="array" aca="1" ref="AE41" ca="1">IF(AND($R41=2,ACOMPANHAMENTO="BM"),ROUND(AE42,4),AE43/$S41)</f>
        <v>0</v>
      </c>
      <c r="AF41" s="188">
        <f t="array" aca="1" ref="AF41" ca="1">IF(AND($R41=2,ACOMPANHAMENTO="BM"),ROUND(AF42,4),AF43/$S41)</f>
        <v>0</v>
      </c>
      <c r="AG41" s="532"/>
    </row>
    <row r="42" spans="1:33" ht="12.75" customHeight="1" x14ac:dyDescent="0.2">
      <c r="E42" s="585"/>
      <c r="F42" s="185">
        <f ca="1">IF(ISERROR(F41),IF(1+COUNTIF($M$13:OFFSET(M41,-1,0),1)&lt;=MAX(QCI!$D$13:$D$24),1+COUNTIF($M$13:OFFSET(M41,-1,0),1),-1),0)</f>
        <v>0</v>
      </c>
      <c r="G42" s="185" t="str">
        <f t="array" aca="1" ref="G42" ca="1">IF(ACOMPANHAMENTO="BM",OFFSET(G42,-1,0),"")</f>
        <v/>
      </c>
      <c r="H42" s="196" t="str">
        <f t="array" aca="1" ref="H42" ca="1">IF(OR(S41=0,S41=""),"vazia",IF(AND(OR(ACOMPANHAMENTO="PLE",$R41&lt;&gt;2),$F42=0),"calculada","--&gt;"))</f>
        <v>calculada</v>
      </c>
      <c r="I42" s="197"/>
      <c r="J42" s="198" t="str">
        <f ca="1">IF(AND(H41&lt;&gt;0,ISNUMBER(H41)),"PREENCHA ESTA LINHA --&gt;","")</f>
        <v/>
      </c>
      <c r="K42" s="198"/>
      <c r="L42" s="198"/>
      <c r="M42" s="199"/>
      <c r="N42" s="199"/>
      <c r="O42" s="199"/>
      <c r="P42" s="199"/>
      <c r="Q42" s="199"/>
      <c r="R42" s="199"/>
      <c r="S42" s="200"/>
      <c r="T42" s="201"/>
      <c r="U42" s="585"/>
      <c r="V42" s="585"/>
      <c r="W42" s="585"/>
      <c r="X42" s="585"/>
      <c r="Y42" s="585"/>
      <c r="Z42" s="585"/>
      <c r="AA42" s="585"/>
      <c r="AB42" s="585"/>
      <c r="AC42" s="585"/>
      <c r="AD42" s="585"/>
      <c r="AE42" s="585"/>
      <c r="AF42" s="585"/>
      <c r="AG42" s="532"/>
    </row>
    <row r="43" spans="1:33" ht="12.75" customHeight="1" x14ac:dyDescent="0.2">
      <c r="D43" s="531"/>
      <c r="E43" s="202">
        <f t="array" aca="1" ref="E43" ca="1">IF($R41=2,
         IF(AND(ACOMPANHAMENTO="PLE",ISNUMBER($F41)),
                SUMIF((OFFSET(CÁLCULO!$BC$15:$BU$15,$F41,0,OFFSET(ORÇAMENTO!$D$15,CRONO!$F41,0))),CRONO!E$12,OFFSET(CÁLCULO!$AJ$15:$BB$15,$F41,0,OFFSET(ORÇAMENTO!$D$15,CRONO!$F41,0)))
                +IF(AND($F43&lt;&gt;"",$F43&lt;&gt;0),
                        SUMIF(CÁLCULO!$BC$15:$BU$235,CRONO!E$12,CÁLCULO!$AJ$15:$BB$235)/(ORÇAMENTO!$X$15-CÁLCULO.TotalAdmLocal)*CRONO!$F43,
                        0),
                 E42*$S41),
          SUMIF(OFFSET($S43,1,0,$R41-2),($M41+1)&amp;"$",OFFSET(E43,1,0,$R41-2)))</f>
        <v>0</v>
      </c>
      <c r="F43" s="185">
        <f ca="1">IF(OR($R41&lt;&gt;2,AUTOEVENTO&lt;&gt;"manual",$F42&gt;0),"",
        IF(Import.TipoArredondamento="Tradicional",
              SUMIF(OFFSET(CÁLCULO!$M$15,CRONO!$F41,0,OFFSET(ORÇAMENTO!$D$15,CRONO!$F41,0)),1,OFFSET(ORÇAMENTO!$X$15,CRONO!$F41,0,OFFSET(ORÇAMENTO!$D$15,CRONO!$F41,0))),
              0))</f>
        <v>0</v>
      </c>
      <c r="H43" s="693"/>
      <c r="S43" s="204" t="str">
        <f ca="1">M41&amp;"$"</f>
        <v>2$</v>
      </c>
      <c r="T43" s="205"/>
      <c r="U43" s="202">
        <f t="array" aca="1" ref="U43" ca="1">IF($R41=2,
         IF(AND(ACOMPANHAMENTO="PLE",ISNUMBER($F41)),
                SUMIF((OFFSET(CÁLCULO!$BC$15:$BU$15,$F41,0,OFFSET(ORÇAMENTO!$D$15,CRONO!$F41,0))),CRONO!U$12,OFFSET(CÁLCULO!$AJ$15:$BB$15,$F41,0,OFFSET(ORÇAMENTO!$D$15,CRONO!$F41,0)))
                +IF(AND($F43&lt;&gt;"",$F43&lt;&gt;0),
                        SUMIF(CÁLCULO!$BC$15:$BU$235,CRONO!U$12,CÁLCULO!$AJ$15:$BB$235)/(ORÇAMENTO!$X$15-CÁLCULO.TotalAdmLocal)*CRONO!$F43,
                        0),
                 U42*$S41),
          SUMIF(OFFSET($S43,1,0,$R41-2),($M41+1)&amp;"$",OFFSET(U43,1,0,$R41-2)))</f>
        <v>0</v>
      </c>
      <c r="V43" s="202">
        <f t="array" aca="1" ref="V43" ca="1">IF($R41=2,
         IF(AND(ACOMPANHAMENTO="PLE",ISNUMBER($F41)),
                SUMIF((OFFSET(CÁLCULO!$BC$15:$BU$15,$F41,0,OFFSET(ORÇAMENTO!$D$15,CRONO!$F41,0))),CRONO!V$12,OFFSET(CÁLCULO!$AJ$15:$BB$15,$F41,0,OFFSET(ORÇAMENTO!$D$15,CRONO!$F41,0)))
                +IF(AND($F43&lt;&gt;"",$F43&lt;&gt;0),
                        SUMIF(CÁLCULO!$BC$15:$BU$235,CRONO!V$12,CÁLCULO!$AJ$15:$BB$235)/(ORÇAMENTO!$X$15-CÁLCULO.TotalAdmLocal)*CRONO!$F43,
                        0),
                 V42*$S41),
          SUMIF(OFFSET($S43,1,0,$R41-2),($M41+1)&amp;"$",OFFSET(V43,1,0,$R41-2)))</f>
        <v>0</v>
      </c>
      <c r="W43" s="202">
        <f t="array" aca="1" ref="W43" ca="1">IF($R41=2,
         IF(AND(ACOMPANHAMENTO="PLE",ISNUMBER($F41)),
                SUMIF((OFFSET(CÁLCULO!$BC$15:$BU$15,$F41,0,OFFSET(ORÇAMENTO!$D$15,CRONO!$F41,0))),CRONO!W$12,OFFSET(CÁLCULO!$AJ$15:$BB$15,$F41,0,OFFSET(ORÇAMENTO!$D$15,CRONO!$F41,0)))
                +IF(AND($F43&lt;&gt;"",$F43&lt;&gt;0),
                        SUMIF(CÁLCULO!$BC$15:$BU$235,CRONO!W$12,CÁLCULO!$AJ$15:$BB$235)/(ORÇAMENTO!$X$15-CÁLCULO.TotalAdmLocal)*CRONO!$F43,
                        0),
                 W42*$S41),
          SUMIF(OFFSET($S43,1,0,$R41-2),($M41+1)&amp;"$",OFFSET(W43,1,0,$R41-2)))</f>
        <v>9183.8799999999992</v>
      </c>
      <c r="X43" s="202">
        <f t="array" aca="1" ref="X43" ca="1">IF($R41=2,
         IF(AND(ACOMPANHAMENTO="PLE",ISNUMBER($F41)),
                SUMIF((OFFSET(CÁLCULO!$BC$15:$BU$15,$F41,0,OFFSET(ORÇAMENTO!$D$15,CRONO!$F41,0))),CRONO!X$12,OFFSET(CÁLCULO!$AJ$15:$BB$15,$F41,0,OFFSET(ORÇAMENTO!$D$15,CRONO!$F41,0)))
                +IF(AND($F43&lt;&gt;"",$F43&lt;&gt;0),
                        SUMIF(CÁLCULO!$BC$15:$BU$235,CRONO!X$12,CÁLCULO!$AJ$15:$BB$235)/(ORÇAMENTO!$X$15-CÁLCULO.TotalAdmLocal)*CRONO!$F43,
                        0),
                 X42*$S41),
          SUMIF(OFFSET($S43,1,0,$R41-2),($M41+1)&amp;"$",OFFSET(X43,1,0,$R41-2)))</f>
        <v>9183.8799999999992</v>
      </c>
      <c r="Y43" s="202">
        <f t="array" aca="1" ref="Y43" ca="1">IF($R41=2,
         IF(AND(ACOMPANHAMENTO="PLE",ISNUMBER($F41)),
                SUMIF((OFFSET(CÁLCULO!$BC$15:$BU$15,$F41,0,OFFSET(ORÇAMENTO!$D$15,CRONO!$F41,0))),CRONO!Y$12,OFFSET(CÁLCULO!$AJ$15:$BB$15,$F41,0,OFFSET(ORÇAMENTO!$D$15,CRONO!$F41,0)))
                +IF(AND($F43&lt;&gt;"",$F43&lt;&gt;0),
                        SUMIF(CÁLCULO!$BC$15:$BU$235,CRONO!Y$12,CÁLCULO!$AJ$15:$BB$235)/(ORÇAMENTO!$X$15-CÁLCULO.TotalAdmLocal)*CRONO!$F43,
                        0),
                 Y42*$S41),
          SUMIF(OFFSET($S43,1,0,$R41-2),($M41+1)&amp;"$",OFFSET(Y43,1,0,$R41-2)))</f>
        <v>0</v>
      </c>
      <c r="Z43" s="202">
        <f t="array" aca="1" ref="Z43" ca="1">IF($R41=2,
         IF(AND(ACOMPANHAMENTO="PLE",ISNUMBER($F41)),
                SUMIF((OFFSET(CÁLCULO!$BC$15:$BU$15,$F41,0,OFFSET(ORÇAMENTO!$D$15,CRONO!$F41,0))),CRONO!Z$12,OFFSET(CÁLCULO!$AJ$15:$BB$15,$F41,0,OFFSET(ORÇAMENTO!$D$15,CRONO!$F41,0)))
                +IF(AND($F43&lt;&gt;"",$F43&lt;&gt;0),
                        SUMIF(CÁLCULO!$BC$15:$BU$235,CRONO!Z$12,CÁLCULO!$AJ$15:$BB$235)/(ORÇAMENTO!$X$15-CÁLCULO.TotalAdmLocal)*CRONO!$F43,
                        0),
                 Z42*$S41),
          SUMIF(OFFSET($S43,1,0,$R41-2),($M41+1)&amp;"$",OFFSET(Z43,1,0,$R41-2)))</f>
        <v>0</v>
      </c>
      <c r="AA43" s="202">
        <f t="array" aca="1" ref="AA43" ca="1">IF($R41=2,
         IF(AND(ACOMPANHAMENTO="PLE",ISNUMBER($F41)),
                SUMIF((OFFSET(CÁLCULO!$BC$15:$BU$15,$F41,0,OFFSET(ORÇAMENTO!$D$15,CRONO!$F41,0))),CRONO!AA$12,OFFSET(CÁLCULO!$AJ$15:$BB$15,$F41,0,OFFSET(ORÇAMENTO!$D$15,CRONO!$F41,0)))
                +IF(AND($F43&lt;&gt;"",$F43&lt;&gt;0),
                        SUMIF(CÁLCULO!$BC$15:$BU$235,CRONO!AA$12,CÁLCULO!$AJ$15:$BB$235)/(ORÇAMENTO!$X$15-CÁLCULO.TotalAdmLocal)*CRONO!$F43,
                        0),
                 AA42*$S41),
          SUMIF(OFFSET($S43,1,0,$R41-2),($M41+1)&amp;"$",OFFSET(AA43,1,0,$R41-2)))</f>
        <v>0</v>
      </c>
      <c r="AB43" s="202">
        <f t="array" aca="1" ref="AB43" ca="1">IF($R41=2,
         IF(AND(ACOMPANHAMENTO="PLE",ISNUMBER($F41)),
                SUMIF((OFFSET(CÁLCULO!$BC$15:$BU$15,$F41,0,OFFSET(ORÇAMENTO!$D$15,CRONO!$F41,0))),CRONO!AB$12,OFFSET(CÁLCULO!$AJ$15:$BB$15,$F41,0,OFFSET(ORÇAMENTO!$D$15,CRONO!$F41,0)))
                +IF(AND($F43&lt;&gt;"",$F43&lt;&gt;0),
                        SUMIF(CÁLCULO!$BC$15:$BU$235,CRONO!AB$12,CÁLCULO!$AJ$15:$BB$235)/(ORÇAMENTO!$X$15-CÁLCULO.TotalAdmLocal)*CRONO!$F43,
                        0),
                 AB42*$S41),
          SUMIF(OFFSET($S43,1,0,$R41-2),($M41+1)&amp;"$",OFFSET(AB43,1,0,$R41-2)))</f>
        <v>0</v>
      </c>
      <c r="AC43" s="202">
        <f t="array" aca="1" ref="AC43" ca="1">IF($R41=2,
         IF(AND(ACOMPANHAMENTO="PLE",ISNUMBER($F41)),
                SUMIF((OFFSET(CÁLCULO!$BC$15:$BU$15,$F41,0,OFFSET(ORÇAMENTO!$D$15,CRONO!$F41,0))),CRONO!AC$12,OFFSET(CÁLCULO!$AJ$15:$BB$15,$F41,0,OFFSET(ORÇAMENTO!$D$15,CRONO!$F41,0)))
                +IF(AND($F43&lt;&gt;"",$F43&lt;&gt;0),
                        SUMIF(CÁLCULO!$BC$15:$BU$235,CRONO!AC$12,CÁLCULO!$AJ$15:$BB$235)/(ORÇAMENTO!$X$15-CÁLCULO.TotalAdmLocal)*CRONO!$F43,
                        0),
                 AC42*$S41),
          SUMIF(OFFSET($S43,1,0,$R41-2),($M41+1)&amp;"$",OFFSET(AC43,1,0,$R41-2)))</f>
        <v>0</v>
      </c>
      <c r="AD43" s="202">
        <f t="array" aca="1" ref="AD43" ca="1">IF($R41=2,
         IF(AND(ACOMPANHAMENTO="PLE",ISNUMBER($F41)),
                SUMIF((OFFSET(CÁLCULO!$BC$15:$BU$15,$F41,0,OFFSET(ORÇAMENTO!$D$15,CRONO!$F41,0))),CRONO!AD$12,OFFSET(CÁLCULO!$AJ$15:$BB$15,$F41,0,OFFSET(ORÇAMENTO!$D$15,CRONO!$F41,0)))
                +IF(AND($F43&lt;&gt;"",$F43&lt;&gt;0),
                        SUMIF(CÁLCULO!$BC$15:$BU$235,CRONO!AD$12,CÁLCULO!$AJ$15:$BB$235)/(ORÇAMENTO!$X$15-CÁLCULO.TotalAdmLocal)*CRONO!$F43,
                        0),
                 AD42*$S41),
          SUMIF(OFFSET($S43,1,0,$R41-2),($M41+1)&amp;"$",OFFSET(AD43,1,0,$R41-2)))</f>
        <v>0</v>
      </c>
      <c r="AE43" s="202">
        <f t="array" aca="1" ref="AE43" ca="1">IF($R41=2,
         IF(AND(ACOMPANHAMENTO="PLE",ISNUMBER($F41)),
                SUMIF((OFFSET(CÁLCULO!$BC$15:$BU$15,$F41,0,OFFSET(ORÇAMENTO!$D$15,CRONO!$F41,0))),CRONO!AE$12,OFFSET(CÁLCULO!$AJ$15:$BB$15,$F41,0,OFFSET(ORÇAMENTO!$D$15,CRONO!$F41,0)))
                +IF(AND($F43&lt;&gt;"",$F43&lt;&gt;0),
                        SUMIF(CÁLCULO!$BC$15:$BU$235,CRONO!AE$12,CÁLCULO!$AJ$15:$BB$235)/(ORÇAMENTO!$X$15-CÁLCULO.TotalAdmLocal)*CRONO!$F43,
                        0),
                 AE42*$S41),
          SUMIF(OFFSET($S43,1,0,$R41-2),($M41+1)&amp;"$",OFFSET(AE43,1,0,$R41-2)))</f>
        <v>0</v>
      </c>
      <c r="AF43" s="202">
        <f t="array" aca="1" ref="AF43" ca="1">IF($R41=2,
         IF(AND(ACOMPANHAMENTO="PLE",ISNUMBER($F41)),
                SUMIF((OFFSET(CÁLCULO!$BC$15:$BU$15,$F41,0,OFFSET(ORÇAMENTO!$D$15,CRONO!$F41,0))),CRONO!AF$12,OFFSET(CÁLCULO!$AJ$15:$BB$15,$F41,0,OFFSET(ORÇAMENTO!$D$15,CRONO!$F41,0)))
                +IF(AND($F43&lt;&gt;"",$F43&lt;&gt;0),
                        SUMIF(CÁLCULO!$BC$15:$BU$235,CRONO!AF$12,CÁLCULO!$AJ$15:$BB$235)/(ORÇAMENTO!$X$15-CÁLCULO.TotalAdmLocal)*CRONO!$F43,
                        0),
                 AF42*$S41),
          SUMIF(OFFSET($S43,1,0,$R41-2),($M41+1)&amp;"$",OFFSET(AF43,1,0,$R41-2)))</f>
        <v>0</v>
      </c>
      <c r="AG43" s="532"/>
    </row>
    <row r="44" spans="1:33" x14ac:dyDescent="0.2">
      <c r="A44" s="186" t="str">
        <f ca="1">IF($M44&gt;1,_xlfn.CONCAT($I44," ",$J44),"")</f>
        <v>1.10. ESQUADRIAS METÁLICAS</v>
      </c>
      <c r="B44" s="185">
        <f ca="1">OFFSET(B44,-3,0)+1</f>
        <v>11</v>
      </c>
      <c r="C44" s="185">
        <f ca="1">IF($R44&lt;&gt;2,0,IF($S44=0,1,IF(F45&gt;0,OFFSET(QCI!$M$13,SUBSTITUTE(F45,".",""),0),OFFSET(ORÇAMENTO!$AA$15,CRONO!$F44,0))/$S44))</f>
        <v>0</v>
      </c>
      <c r="D44" s="185">
        <f ca="1">IF($R44&lt;&gt;2,0,IF($S44=0,1,IF(F45&gt;0,OFFSET(QCI!$N$13,SUBSTITUTE(F45,".",""),0),OFFSET(ORÇAMENTO!$AB$15,CRONO!$F44,0))/$S44))</f>
        <v>0</v>
      </c>
      <c r="E44" s="188">
        <f t="array" aca="1" ref="E44" ca="1">IF(AND($R44=2,ACOMPANHAMENTO="BM"),ROUND(E45,4),E46/$S44)</f>
        <v>0</v>
      </c>
      <c r="F44" s="185">
        <f t="array" aca="1" ref="F44" ca="1">IF(B44&lt;=ORÇAMENTO.MáximoListaCrono,MATCH(B44,ORÇAMENTO.ListaCrono,0),NA())</f>
        <v>56</v>
      </c>
      <c r="G44" s="185" t="str">
        <f ca="1">IF(AND($F45&lt;&gt;-1,$S44&gt;0),"F","")</f>
        <v>F</v>
      </c>
      <c r="H44" s="189" t="str">
        <f t="array" aca="1" ref="H44" ca="1">IF(OR(S44=0,S44=""),"Linha",IF(AND(OR(ACOMPANHAMENTO="PLE",$R44&lt;&gt;2),$F45=0),"Linha",ROUND(1-SUM(U44:AG44),4)))</f>
        <v>Linha</v>
      </c>
      <c r="I44" s="190" t="str">
        <f ca="1">IF($F45=0,OFFSET(ORÇAMENTO!O$15,$F44,0),IF($F45&lt;&gt;-1,OFFSET(QCI!$D$13,$F45,0),""))</f>
        <v>1.10.</v>
      </c>
      <c r="J44" s="191" t="str">
        <f ca="1">IF($F45=0,OFFSET(ORÇAMENTO!R$15,$F44,0),IF($F45&lt;&gt;-1,OFFSET(QCI!$G$13,$F45,0),""))</f>
        <v>ESQUADRIAS METÁLICAS</v>
      </c>
      <c r="K44" s="191"/>
      <c r="L44" s="191"/>
      <c r="M44" s="192">
        <f ca="1">IF($F45=0,OFFSET(ORÇAMENTO!C$15,$F44,0),1)</f>
        <v>2</v>
      </c>
      <c r="N44" s="193">
        <f ca="1">IF($F45=-1,0,IF(N$13&lt;=$M44,IF(ISERROR(MATCH(N$13,OFFSET($M44,1,0,ROW($M$119)-ROW($M44)-1),0)),ROW($M$119)-ROW($M44)-1,MATCH(N$13,OFFSET($M44,1,0,ROW($M$119)-ROW($M44)-1),0)-1),0))</f>
        <v>74</v>
      </c>
      <c r="O44" s="193">
        <f ca="1">IF($F45=-1,0,IF(O$13&lt;=$M44,IF(ISERROR(MATCH(O$13,OFFSET($M44,1,0,ROW($M$119)-ROW($M44)-1),0)),ROW($M$119)-ROW($M44)-1,MATCH(O$13,OFFSET($M44,1,0,ROW($M$119)-ROW($M44)-1),0)-1),0))</f>
        <v>2</v>
      </c>
      <c r="P44" s="193">
        <f ca="1">IF($F45=-1,0,IF(P$13&lt;=$M44,IF(ISERROR(MATCH(P$13,OFFSET($M44,1,0,ROW($M$119)-ROW($M44)-1),0)),ROW($M$119)-ROW($M44)-1,MATCH(P$13,OFFSET($M44,1,0,ROW($M$119)-ROW($M44)-1),0)-1),0))</f>
        <v>0</v>
      </c>
      <c r="Q44" s="193">
        <f ca="1">IF($F45=-1,0,IF(Q$13&lt;=$M44,IF(ISERROR(MATCH(Q$13,OFFSET($M44,1,0,ROW($M$119)-ROW($M44)-1),0)),ROW($M$119)-ROW($M44)-1,MATCH(Q$13,OFFSET($M44,1,0,ROW($M$119)-ROW($M44)-1),0)-1),0))</f>
        <v>0</v>
      </c>
      <c r="R44" s="193">
        <f ca="1">MIN(OFFSET(M44,0,1,,M44))</f>
        <v>2</v>
      </c>
      <c r="S44" s="194">
        <f ca="1">IF($F45=0,OFFSET(ORÇAMENTO!X$15,$F44,0),IF($F45&lt;&gt;-1,OFFSET(QCI!$O$13,$F45,0),""))</f>
        <v>117095.16</v>
      </c>
      <c r="T44" s="195" t="s">
        <v>785</v>
      </c>
      <c r="U44" s="188">
        <f t="array" aca="1" ref="U44" ca="1">IF(AND($R44=2,ACOMPANHAMENTO="BM"),ROUND(U45,4),U46/$S44)</f>
        <v>0</v>
      </c>
      <c r="V44" s="188">
        <f t="array" aca="1" ref="V44" ca="1">IF(AND($R44=2,ACOMPANHAMENTO="BM"),ROUND(V45,4),V46/$S44)</f>
        <v>0</v>
      </c>
      <c r="W44" s="188">
        <f t="array" aca="1" ref="W44" ca="1">IF(AND($R44=2,ACOMPANHAMENTO="BM"),ROUND(W45,4),W46/$S44)</f>
        <v>0</v>
      </c>
      <c r="X44" s="188">
        <f t="array" aca="1" ref="X44" ca="1">IF(AND($R44=2,ACOMPANHAMENTO="BM"),ROUND(X45,4),X46/$S44)</f>
        <v>0</v>
      </c>
      <c r="Y44" s="188">
        <f t="array" aca="1" ref="Y44" ca="1">IF(AND($R44=2,ACOMPANHAMENTO="BM"),ROUND(Y45,4),Y46/$S44)</f>
        <v>0</v>
      </c>
      <c r="Z44" s="188">
        <f t="array" aca="1" ref="Z44" ca="1">IF(AND($R44=2,ACOMPANHAMENTO="BM"),ROUND(Z45,4),Z46/$S44)</f>
        <v>0</v>
      </c>
      <c r="AA44" s="188">
        <f t="array" aca="1" ref="AA44" ca="1">IF(AND($R44=2,ACOMPANHAMENTO="BM"),ROUND(AA45,4),AA46/$S44)</f>
        <v>0.49999999999999994</v>
      </c>
      <c r="AB44" s="188">
        <f t="array" aca="1" ref="AB44" ca="1">IF(AND($R44=2,ACOMPANHAMENTO="BM"),ROUND(AB45,4),AB46/$S44)</f>
        <v>0.25</v>
      </c>
      <c r="AC44" s="188">
        <f t="array" aca="1" ref="AC44" ca="1">IF(AND($R44=2,ACOMPANHAMENTO="BM"),ROUND(AC45,4),AC46/$S44)</f>
        <v>0.25</v>
      </c>
      <c r="AD44" s="188">
        <f t="array" aca="1" ref="AD44" ca="1">IF(AND($R44=2,ACOMPANHAMENTO="BM"),ROUND(AD45,4),AD46/$S44)</f>
        <v>0</v>
      </c>
      <c r="AE44" s="188">
        <f t="array" aca="1" ref="AE44" ca="1">IF(AND($R44=2,ACOMPANHAMENTO="BM"),ROUND(AE45,4),AE46/$S44)</f>
        <v>0</v>
      </c>
      <c r="AF44" s="188">
        <f t="array" aca="1" ref="AF44" ca="1">IF(AND($R44=2,ACOMPANHAMENTO="BM"),ROUND(AF45,4),AF46/$S44)</f>
        <v>0</v>
      </c>
      <c r="AG44" s="532"/>
    </row>
    <row r="45" spans="1:33" ht="12.75" customHeight="1" x14ac:dyDescent="0.2">
      <c r="E45" s="585"/>
      <c r="F45" s="185">
        <f ca="1">IF(ISERROR(F44),IF(1+COUNTIF($M$13:OFFSET(M44,-1,0),1)&lt;=MAX(QCI!$D$13:$D$24),1+COUNTIF($M$13:OFFSET(M44,-1,0),1),-1),0)</f>
        <v>0</v>
      </c>
      <c r="G45" s="185" t="str">
        <f t="array" aca="1" ref="G45" ca="1">IF(ACOMPANHAMENTO="BM",OFFSET(G45,-1,0),"")</f>
        <v/>
      </c>
      <c r="H45" s="196" t="str">
        <f t="array" aca="1" ref="H45" ca="1">IF(OR(S44=0,S44=""),"vazia",IF(AND(OR(ACOMPANHAMENTO="PLE",$R44&lt;&gt;2),$F45=0),"calculada","--&gt;"))</f>
        <v>calculada</v>
      </c>
      <c r="I45" s="197"/>
      <c r="J45" s="198" t="str">
        <f ca="1">IF(AND(H44&lt;&gt;0,ISNUMBER(H44)),"PREENCHA ESTA LINHA --&gt;","")</f>
        <v/>
      </c>
      <c r="K45" s="198"/>
      <c r="L45" s="198"/>
      <c r="M45" s="199"/>
      <c r="N45" s="199"/>
      <c r="O45" s="199"/>
      <c r="P45" s="199"/>
      <c r="Q45" s="199"/>
      <c r="R45" s="199"/>
      <c r="S45" s="200"/>
      <c r="T45" s="201"/>
      <c r="U45" s="585"/>
      <c r="V45" s="585"/>
      <c r="W45" s="585"/>
      <c r="X45" s="585"/>
      <c r="Y45" s="585"/>
      <c r="Z45" s="585"/>
      <c r="AA45" s="585"/>
      <c r="AB45" s="585"/>
      <c r="AC45" s="585"/>
      <c r="AD45" s="585"/>
      <c r="AE45" s="585"/>
      <c r="AF45" s="585"/>
      <c r="AG45" s="532"/>
    </row>
    <row r="46" spans="1:33" ht="12.75" customHeight="1" x14ac:dyDescent="0.2">
      <c r="D46" s="531"/>
      <c r="E46" s="202">
        <f t="array" aca="1" ref="E46" ca="1">IF($R44=2,
         IF(AND(ACOMPANHAMENTO="PLE",ISNUMBER($F44)),
                SUMIF((OFFSET(CÁLCULO!$BC$15:$BU$15,$F44,0,OFFSET(ORÇAMENTO!$D$15,CRONO!$F44,0))),CRONO!E$12,OFFSET(CÁLCULO!$AJ$15:$BB$15,$F44,0,OFFSET(ORÇAMENTO!$D$15,CRONO!$F44,0)))
                +IF(AND($F46&lt;&gt;"",$F46&lt;&gt;0),
                        SUMIF(CÁLCULO!$BC$15:$BU$235,CRONO!E$12,CÁLCULO!$AJ$15:$BB$235)/(ORÇAMENTO!$X$15-CÁLCULO.TotalAdmLocal)*CRONO!$F46,
                        0),
                 E45*$S44),
          SUMIF(OFFSET($S46,1,0,$R44-2),($M44+1)&amp;"$",OFFSET(E46,1,0,$R44-2)))</f>
        <v>0</v>
      </c>
      <c r="F46" s="185">
        <f ca="1">IF(OR($R44&lt;&gt;2,AUTOEVENTO&lt;&gt;"manual",$F45&gt;0),"",
        IF(Import.TipoArredondamento="Tradicional",
              SUMIF(OFFSET(CÁLCULO!$M$15,CRONO!$F44,0,OFFSET(ORÇAMENTO!$D$15,CRONO!$F44,0)),1,OFFSET(ORÇAMENTO!$X$15,CRONO!$F44,0,OFFSET(ORÇAMENTO!$D$15,CRONO!$F44,0))),
              0))</f>
        <v>0</v>
      </c>
      <c r="H46" s="693"/>
      <c r="S46" s="204" t="str">
        <f ca="1">M44&amp;"$"</f>
        <v>2$</v>
      </c>
      <c r="T46" s="205"/>
      <c r="U46" s="202">
        <f t="array" aca="1" ref="U46" ca="1">IF($R44=2,
         IF(AND(ACOMPANHAMENTO="PLE",ISNUMBER($F44)),
                SUMIF((OFFSET(CÁLCULO!$BC$15:$BU$15,$F44,0,OFFSET(ORÇAMENTO!$D$15,CRONO!$F44,0))),CRONO!U$12,OFFSET(CÁLCULO!$AJ$15:$BB$15,$F44,0,OFFSET(ORÇAMENTO!$D$15,CRONO!$F44,0)))
                +IF(AND($F46&lt;&gt;"",$F46&lt;&gt;0),
                        SUMIF(CÁLCULO!$BC$15:$BU$235,CRONO!U$12,CÁLCULO!$AJ$15:$BB$235)/(ORÇAMENTO!$X$15-CÁLCULO.TotalAdmLocal)*CRONO!$F46,
                        0),
                 U45*$S44),
          SUMIF(OFFSET($S46,1,0,$R44-2),($M44+1)&amp;"$",OFFSET(U46,1,0,$R44-2)))</f>
        <v>0</v>
      </c>
      <c r="V46" s="202">
        <f t="array" aca="1" ref="V46" ca="1">IF($R44=2,
         IF(AND(ACOMPANHAMENTO="PLE",ISNUMBER($F44)),
                SUMIF((OFFSET(CÁLCULO!$BC$15:$BU$15,$F44,0,OFFSET(ORÇAMENTO!$D$15,CRONO!$F44,0))),CRONO!V$12,OFFSET(CÁLCULO!$AJ$15:$BB$15,$F44,0,OFFSET(ORÇAMENTO!$D$15,CRONO!$F44,0)))
                +IF(AND($F46&lt;&gt;"",$F46&lt;&gt;0),
                        SUMIF(CÁLCULO!$BC$15:$BU$235,CRONO!V$12,CÁLCULO!$AJ$15:$BB$235)/(ORÇAMENTO!$X$15-CÁLCULO.TotalAdmLocal)*CRONO!$F46,
                        0),
                 V45*$S44),
          SUMIF(OFFSET($S46,1,0,$R44-2),($M44+1)&amp;"$",OFFSET(V46,1,0,$R44-2)))</f>
        <v>0</v>
      </c>
      <c r="W46" s="202">
        <f t="array" aca="1" ref="W46" ca="1">IF($R44=2,
         IF(AND(ACOMPANHAMENTO="PLE",ISNUMBER($F44)),
                SUMIF((OFFSET(CÁLCULO!$BC$15:$BU$15,$F44,0,OFFSET(ORÇAMENTO!$D$15,CRONO!$F44,0))),CRONO!W$12,OFFSET(CÁLCULO!$AJ$15:$BB$15,$F44,0,OFFSET(ORÇAMENTO!$D$15,CRONO!$F44,0)))
                +IF(AND($F46&lt;&gt;"",$F46&lt;&gt;0),
                        SUMIF(CÁLCULO!$BC$15:$BU$235,CRONO!W$12,CÁLCULO!$AJ$15:$BB$235)/(ORÇAMENTO!$X$15-CÁLCULO.TotalAdmLocal)*CRONO!$F46,
                        0),
                 W45*$S44),
          SUMIF(OFFSET($S46,1,0,$R44-2),($M44+1)&amp;"$",OFFSET(W46,1,0,$R44-2)))</f>
        <v>0</v>
      </c>
      <c r="X46" s="202">
        <f t="array" aca="1" ref="X46" ca="1">IF($R44=2,
         IF(AND(ACOMPANHAMENTO="PLE",ISNUMBER($F44)),
                SUMIF((OFFSET(CÁLCULO!$BC$15:$BU$15,$F44,0,OFFSET(ORÇAMENTO!$D$15,CRONO!$F44,0))),CRONO!X$12,OFFSET(CÁLCULO!$AJ$15:$BB$15,$F44,0,OFFSET(ORÇAMENTO!$D$15,CRONO!$F44,0)))
                +IF(AND($F46&lt;&gt;"",$F46&lt;&gt;0),
                        SUMIF(CÁLCULO!$BC$15:$BU$235,CRONO!X$12,CÁLCULO!$AJ$15:$BB$235)/(ORÇAMENTO!$X$15-CÁLCULO.TotalAdmLocal)*CRONO!$F46,
                        0),
                 X45*$S44),
          SUMIF(OFFSET($S46,1,0,$R44-2),($M44+1)&amp;"$",OFFSET(X46,1,0,$R44-2)))</f>
        <v>0</v>
      </c>
      <c r="Y46" s="202">
        <f t="array" aca="1" ref="Y46" ca="1">IF($R44=2,
         IF(AND(ACOMPANHAMENTO="PLE",ISNUMBER($F44)),
                SUMIF((OFFSET(CÁLCULO!$BC$15:$BU$15,$F44,0,OFFSET(ORÇAMENTO!$D$15,CRONO!$F44,0))),CRONO!Y$12,OFFSET(CÁLCULO!$AJ$15:$BB$15,$F44,0,OFFSET(ORÇAMENTO!$D$15,CRONO!$F44,0)))
                +IF(AND($F46&lt;&gt;"",$F46&lt;&gt;0),
                        SUMIF(CÁLCULO!$BC$15:$BU$235,CRONO!Y$12,CÁLCULO!$AJ$15:$BB$235)/(ORÇAMENTO!$X$15-CÁLCULO.TotalAdmLocal)*CRONO!$F46,
                        0),
                 Y45*$S44),
          SUMIF(OFFSET($S46,1,0,$R44-2),($M44+1)&amp;"$",OFFSET(Y46,1,0,$R44-2)))</f>
        <v>0</v>
      </c>
      <c r="Z46" s="202">
        <f t="array" aca="1" ref="Z46" ca="1">IF($R44=2,
         IF(AND(ACOMPANHAMENTO="PLE",ISNUMBER($F44)),
                SUMIF((OFFSET(CÁLCULO!$BC$15:$BU$15,$F44,0,OFFSET(ORÇAMENTO!$D$15,CRONO!$F44,0))),CRONO!Z$12,OFFSET(CÁLCULO!$AJ$15:$BB$15,$F44,0,OFFSET(ORÇAMENTO!$D$15,CRONO!$F44,0)))
                +IF(AND($F46&lt;&gt;"",$F46&lt;&gt;0),
                        SUMIF(CÁLCULO!$BC$15:$BU$235,CRONO!Z$12,CÁLCULO!$AJ$15:$BB$235)/(ORÇAMENTO!$X$15-CÁLCULO.TotalAdmLocal)*CRONO!$F46,
                        0),
                 Z45*$S44),
          SUMIF(OFFSET($S46,1,0,$R44-2),($M44+1)&amp;"$",OFFSET(Z46,1,0,$R44-2)))</f>
        <v>0</v>
      </c>
      <c r="AA46" s="202">
        <f t="array" aca="1" ref="AA46" ca="1">IF($R44=2,
         IF(AND(ACOMPANHAMENTO="PLE",ISNUMBER($F44)),
                SUMIF((OFFSET(CÁLCULO!$BC$15:$BU$15,$F44,0,OFFSET(ORÇAMENTO!$D$15,CRONO!$F44,0))),CRONO!AA$12,OFFSET(CÁLCULO!$AJ$15:$BB$15,$F44,0,OFFSET(ORÇAMENTO!$D$15,CRONO!$F44,0)))
                +IF(AND($F46&lt;&gt;"",$F46&lt;&gt;0),
                        SUMIF(CÁLCULO!$BC$15:$BU$235,CRONO!AA$12,CÁLCULO!$AJ$15:$BB$235)/(ORÇAMENTO!$X$15-CÁLCULO.TotalAdmLocal)*CRONO!$F46,
                        0),
                 AA45*$S44),
          SUMIF(OFFSET($S46,1,0,$R44-2),($M44+1)&amp;"$",OFFSET(AA46,1,0,$R44-2)))</f>
        <v>58547.579999999994</v>
      </c>
      <c r="AB46" s="202">
        <f t="array" aca="1" ref="AB46" ca="1">IF($R44=2,
         IF(AND(ACOMPANHAMENTO="PLE",ISNUMBER($F44)),
                SUMIF((OFFSET(CÁLCULO!$BC$15:$BU$15,$F44,0,OFFSET(ORÇAMENTO!$D$15,CRONO!$F44,0))),CRONO!AB$12,OFFSET(CÁLCULO!$AJ$15:$BB$15,$F44,0,OFFSET(ORÇAMENTO!$D$15,CRONO!$F44,0)))
                +IF(AND($F46&lt;&gt;"",$F46&lt;&gt;0),
                        SUMIF(CÁLCULO!$BC$15:$BU$235,CRONO!AB$12,CÁLCULO!$AJ$15:$BB$235)/(ORÇAMENTO!$X$15-CÁLCULO.TotalAdmLocal)*CRONO!$F46,
                        0),
                 AB45*$S44),
          SUMIF(OFFSET($S46,1,0,$R44-2),($M44+1)&amp;"$",OFFSET(AB46,1,0,$R44-2)))</f>
        <v>29273.79</v>
      </c>
      <c r="AC46" s="202">
        <f t="array" aca="1" ref="AC46" ca="1">IF($R44=2,
         IF(AND(ACOMPANHAMENTO="PLE",ISNUMBER($F44)),
                SUMIF((OFFSET(CÁLCULO!$BC$15:$BU$15,$F44,0,OFFSET(ORÇAMENTO!$D$15,CRONO!$F44,0))),CRONO!AC$12,OFFSET(CÁLCULO!$AJ$15:$BB$15,$F44,0,OFFSET(ORÇAMENTO!$D$15,CRONO!$F44,0)))
                +IF(AND($F46&lt;&gt;"",$F46&lt;&gt;0),
                        SUMIF(CÁLCULO!$BC$15:$BU$235,CRONO!AC$12,CÁLCULO!$AJ$15:$BB$235)/(ORÇAMENTO!$X$15-CÁLCULO.TotalAdmLocal)*CRONO!$F46,
                        0),
                 AC45*$S44),
          SUMIF(OFFSET($S46,1,0,$R44-2),($M44+1)&amp;"$",OFFSET(AC46,1,0,$R44-2)))</f>
        <v>29273.79</v>
      </c>
      <c r="AD46" s="202">
        <f t="array" aca="1" ref="AD46" ca="1">IF($R44=2,
         IF(AND(ACOMPANHAMENTO="PLE",ISNUMBER($F44)),
                SUMIF((OFFSET(CÁLCULO!$BC$15:$BU$15,$F44,0,OFFSET(ORÇAMENTO!$D$15,CRONO!$F44,0))),CRONO!AD$12,OFFSET(CÁLCULO!$AJ$15:$BB$15,$F44,0,OFFSET(ORÇAMENTO!$D$15,CRONO!$F44,0)))
                +IF(AND($F46&lt;&gt;"",$F46&lt;&gt;0),
                        SUMIF(CÁLCULO!$BC$15:$BU$235,CRONO!AD$12,CÁLCULO!$AJ$15:$BB$235)/(ORÇAMENTO!$X$15-CÁLCULO.TotalAdmLocal)*CRONO!$F46,
                        0),
                 AD45*$S44),
          SUMIF(OFFSET($S46,1,0,$R44-2),($M44+1)&amp;"$",OFFSET(AD46,1,0,$R44-2)))</f>
        <v>0</v>
      </c>
      <c r="AE46" s="202">
        <f t="array" aca="1" ref="AE46" ca="1">IF($R44=2,
         IF(AND(ACOMPANHAMENTO="PLE",ISNUMBER($F44)),
                SUMIF((OFFSET(CÁLCULO!$BC$15:$BU$15,$F44,0,OFFSET(ORÇAMENTO!$D$15,CRONO!$F44,0))),CRONO!AE$12,OFFSET(CÁLCULO!$AJ$15:$BB$15,$F44,0,OFFSET(ORÇAMENTO!$D$15,CRONO!$F44,0)))
                +IF(AND($F46&lt;&gt;"",$F46&lt;&gt;0),
                        SUMIF(CÁLCULO!$BC$15:$BU$235,CRONO!AE$12,CÁLCULO!$AJ$15:$BB$235)/(ORÇAMENTO!$X$15-CÁLCULO.TotalAdmLocal)*CRONO!$F46,
                        0),
                 AE45*$S44),
          SUMIF(OFFSET($S46,1,0,$R44-2),($M44+1)&amp;"$",OFFSET(AE46,1,0,$R44-2)))</f>
        <v>0</v>
      </c>
      <c r="AF46" s="202">
        <f t="array" aca="1" ref="AF46" ca="1">IF($R44=2,
         IF(AND(ACOMPANHAMENTO="PLE",ISNUMBER($F44)),
                SUMIF((OFFSET(CÁLCULO!$BC$15:$BU$15,$F44,0,OFFSET(ORÇAMENTO!$D$15,CRONO!$F44,0))),CRONO!AF$12,OFFSET(CÁLCULO!$AJ$15:$BB$15,$F44,0,OFFSET(ORÇAMENTO!$D$15,CRONO!$F44,0)))
                +IF(AND($F46&lt;&gt;"",$F46&lt;&gt;0),
                        SUMIF(CÁLCULO!$BC$15:$BU$235,CRONO!AF$12,CÁLCULO!$AJ$15:$BB$235)/(ORÇAMENTO!$X$15-CÁLCULO.TotalAdmLocal)*CRONO!$F46,
                        0),
                 AF45*$S44),
          SUMIF(OFFSET($S46,1,0,$R44-2),($M44+1)&amp;"$",OFFSET(AF46,1,0,$R44-2)))</f>
        <v>0</v>
      </c>
      <c r="AG46" s="532"/>
    </row>
    <row r="47" spans="1:33" x14ac:dyDescent="0.2">
      <c r="A47" s="186" t="str">
        <f ca="1">IF($M47&gt;1,_xlfn.CONCAT($I47," ",$J47),"")</f>
        <v>1.11. ESQUADRIA DE MADEIRA</v>
      </c>
      <c r="B47" s="185">
        <f ca="1">OFFSET(B47,-3,0)+1</f>
        <v>12</v>
      </c>
      <c r="C47" s="185">
        <f ca="1">IF($R47&lt;&gt;2,0,IF($S47=0,1,IF(F48&gt;0,OFFSET(QCI!$M$13,SUBSTITUTE(F48,".",""),0),OFFSET(ORÇAMENTO!$AA$15,CRONO!$F47,0))/$S47))</f>
        <v>0</v>
      </c>
      <c r="D47" s="185">
        <f ca="1">IF($R47&lt;&gt;2,0,IF($S47=0,1,IF(F48&gt;0,OFFSET(QCI!$N$13,SUBSTITUTE(F48,".",""),0),OFFSET(ORÇAMENTO!$AB$15,CRONO!$F47,0))/$S47))</f>
        <v>0</v>
      </c>
      <c r="E47" s="188">
        <f t="array" aca="1" ref="E47" ca="1">IF(AND($R47=2,ACOMPANHAMENTO="BM"),ROUND(E48,4),E49/$S47)</f>
        <v>0</v>
      </c>
      <c r="F47" s="185">
        <f t="array" aca="1" ref="F47" ca="1">IF(B47&lt;=ORÇAMENTO.MáximoListaCrono,MATCH(B47,ORÇAMENTO.ListaCrono,0),NA())</f>
        <v>61</v>
      </c>
      <c r="G47" s="185" t="str">
        <f ca="1">IF(AND($F48&lt;&gt;-1,$S47&gt;0),"F","")</f>
        <v>F</v>
      </c>
      <c r="H47" s="189" t="str">
        <f t="array" aca="1" ref="H47" ca="1">IF(OR(S47=0,S47=""),"Linha",IF(AND(OR(ACOMPANHAMENTO="PLE",$R47&lt;&gt;2),$F48=0),"Linha",ROUND(1-SUM(U47:AG47),4)))</f>
        <v>Linha</v>
      </c>
      <c r="I47" s="190" t="str">
        <f ca="1">IF($F48=0,OFFSET(ORÇAMENTO!O$15,$F47,0),IF($F48&lt;&gt;-1,OFFSET(QCI!$D$13,$F48,0),""))</f>
        <v>1.11.</v>
      </c>
      <c r="J47" s="191" t="str">
        <f ca="1">IF($F48=0,OFFSET(ORÇAMENTO!R$15,$F47,0),IF($F48&lt;&gt;-1,OFFSET(QCI!$G$13,$F48,0),""))</f>
        <v>ESQUADRIA DE MADEIRA</v>
      </c>
      <c r="K47" s="191"/>
      <c r="L47" s="191"/>
      <c r="M47" s="192">
        <f ca="1">IF($F48=0,OFFSET(ORÇAMENTO!C$15,$F47,0),1)</f>
        <v>2</v>
      </c>
      <c r="N47" s="193">
        <f ca="1">IF($F48=-1,0,IF(N$13&lt;=$M47,IF(ISERROR(MATCH(N$13,OFFSET($M47,1,0,ROW($M$119)-ROW($M47)-1),0)),ROW($M$119)-ROW($M47)-1,MATCH(N$13,OFFSET($M47,1,0,ROW($M$119)-ROW($M47)-1),0)-1),0))</f>
        <v>71</v>
      </c>
      <c r="O47" s="193">
        <f ca="1">IF($F48=-1,0,IF(O$13&lt;=$M47,IF(ISERROR(MATCH(O$13,OFFSET($M47,1,0,ROW($M$119)-ROW($M47)-1),0)),ROW($M$119)-ROW($M47)-1,MATCH(O$13,OFFSET($M47,1,0,ROW($M$119)-ROW($M47)-1),0)-1),0))</f>
        <v>2</v>
      </c>
      <c r="P47" s="193">
        <f ca="1">IF($F48=-1,0,IF(P$13&lt;=$M47,IF(ISERROR(MATCH(P$13,OFFSET($M47,1,0,ROW($M$119)-ROW($M47)-1),0)),ROW($M$119)-ROW($M47)-1,MATCH(P$13,OFFSET($M47,1,0,ROW($M$119)-ROW($M47)-1),0)-1),0))</f>
        <v>0</v>
      </c>
      <c r="Q47" s="193">
        <f ca="1">IF($F48=-1,0,IF(Q$13&lt;=$M47,IF(ISERROR(MATCH(Q$13,OFFSET($M47,1,0,ROW($M$119)-ROW($M47)-1),0)),ROW($M$119)-ROW($M47)-1,MATCH(Q$13,OFFSET($M47,1,0,ROW($M$119)-ROW($M47)-1),0)-1),0))</f>
        <v>0</v>
      </c>
      <c r="R47" s="193">
        <f ca="1">MIN(OFFSET(M47,0,1,,M47))</f>
        <v>2</v>
      </c>
      <c r="S47" s="194">
        <f ca="1">IF($F48=0,OFFSET(ORÇAMENTO!X$15,$F47,0),IF($F48&lt;&gt;-1,OFFSET(QCI!$O$13,$F48,0),""))</f>
        <v>63173.4</v>
      </c>
      <c r="T47" s="195" t="s">
        <v>785</v>
      </c>
      <c r="U47" s="188">
        <f t="array" aca="1" ref="U47" ca="1">IF(AND($R47=2,ACOMPANHAMENTO="BM"),ROUND(U48,4),U49/$S47)</f>
        <v>0</v>
      </c>
      <c r="V47" s="188">
        <f t="array" aca="1" ref="V47" ca="1">IF(AND($R47=2,ACOMPANHAMENTO="BM"),ROUND(V48,4),V49/$S47)</f>
        <v>0</v>
      </c>
      <c r="W47" s="188">
        <f t="array" aca="1" ref="W47" ca="1">IF(AND($R47=2,ACOMPANHAMENTO="BM"),ROUND(W48,4),W49/$S47)</f>
        <v>0</v>
      </c>
      <c r="X47" s="188">
        <f t="array" aca="1" ref="X47" ca="1">IF(AND($R47=2,ACOMPANHAMENTO="BM"),ROUND(X48,4),X49/$S47)</f>
        <v>0</v>
      </c>
      <c r="Y47" s="188">
        <f t="array" aca="1" ref="Y47" ca="1">IF(AND($R47=2,ACOMPANHAMENTO="BM"),ROUND(Y48,4),Y49/$S47)</f>
        <v>0</v>
      </c>
      <c r="Z47" s="188">
        <f t="array" aca="1" ref="Z47" ca="1">IF(AND($R47=2,ACOMPANHAMENTO="BM"),ROUND(Z48,4),Z49/$S47)</f>
        <v>0</v>
      </c>
      <c r="AA47" s="188">
        <f t="array" aca="1" ref="AA47" ca="1">IF(AND($R47=2,ACOMPANHAMENTO="BM"),ROUND(AA48,4),AA49/$S47)</f>
        <v>0.5</v>
      </c>
      <c r="AB47" s="188">
        <f t="array" aca="1" ref="AB47" ca="1">IF(AND($R47=2,ACOMPANHAMENTO="BM"),ROUND(AB48,4),AB49/$S47)</f>
        <v>0.25</v>
      </c>
      <c r="AC47" s="188">
        <f t="array" aca="1" ref="AC47" ca="1">IF(AND($R47=2,ACOMPANHAMENTO="BM"),ROUND(AC48,4),AC49/$S47)</f>
        <v>0.25</v>
      </c>
      <c r="AD47" s="188">
        <f t="array" aca="1" ref="AD47" ca="1">IF(AND($R47=2,ACOMPANHAMENTO="BM"),ROUND(AD48,4),AD49/$S47)</f>
        <v>0</v>
      </c>
      <c r="AE47" s="188">
        <f t="array" aca="1" ref="AE47" ca="1">IF(AND($R47=2,ACOMPANHAMENTO="BM"),ROUND(AE48,4),AE49/$S47)</f>
        <v>0</v>
      </c>
      <c r="AF47" s="188">
        <f t="array" aca="1" ref="AF47" ca="1">IF(AND($R47=2,ACOMPANHAMENTO="BM"),ROUND(AF48,4),AF49/$S47)</f>
        <v>0</v>
      </c>
      <c r="AG47" s="532"/>
    </row>
    <row r="48" spans="1:33" ht="12.75" customHeight="1" x14ac:dyDescent="0.2">
      <c r="E48" s="585"/>
      <c r="F48" s="185">
        <f ca="1">IF(ISERROR(F47),IF(1+COUNTIF($M$13:OFFSET(M47,-1,0),1)&lt;=MAX(QCI!$D$13:$D$24),1+COUNTIF($M$13:OFFSET(M47,-1,0),1),-1),0)</f>
        <v>0</v>
      </c>
      <c r="G48" s="185" t="str">
        <f t="array" aca="1" ref="G48" ca="1">IF(ACOMPANHAMENTO="BM",OFFSET(G48,-1,0),"")</f>
        <v/>
      </c>
      <c r="H48" s="196" t="str">
        <f t="array" aca="1" ref="H48" ca="1">IF(OR(S47=0,S47=""),"vazia",IF(AND(OR(ACOMPANHAMENTO="PLE",$R47&lt;&gt;2),$F48=0),"calculada","--&gt;"))</f>
        <v>calculada</v>
      </c>
      <c r="I48" s="197"/>
      <c r="J48" s="198" t="str">
        <f ca="1">IF(AND(H47&lt;&gt;0,ISNUMBER(H47)),"PREENCHA ESTA LINHA --&gt;","")</f>
        <v/>
      </c>
      <c r="K48" s="198"/>
      <c r="L48" s="198"/>
      <c r="M48" s="199"/>
      <c r="N48" s="199"/>
      <c r="O48" s="199"/>
      <c r="P48" s="199"/>
      <c r="Q48" s="199"/>
      <c r="R48" s="199"/>
      <c r="S48" s="200"/>
      <c r="T48" s="201"/>
      <c r="U48" s="585"/>
      <c r="V48" s="585"/>
      <c r="W48" s="585"/>
      <c r="X48" s="585"/>
      <c r="Y48" s="585"/>
      <c r="Z48" s="585"/>
      <c r="AA48" s="585"/>
      <c r="AB48" s="585"/>
      <c r="AC48" s="585"/>
      <c r="AD48" s="585"/>
      <c r="AE48" s="585"/>
      <c r="AF48" s="585"/>
      <c r="AG48" s="532"/>
    </row>
    <row r="49" spans="1:33" ht="12.75" customHeight="1" x14ac:dyDescent="0.2">
      <c r="D49" s="531"/>
      <c r="E49" s="202">
        <f t="array" aca="1" ref="E49" ca="1">IF($R47=2,
         IF(AND(ACOMPANHAMENTO="PLE",ISNUMBER($F47)),
                SUMIF((OFFSET(CÁLCULO!$BC$15:$BU$15,$F47,0,OFFSET(ORÇAMENTO!$D$15,CRONO!$F47,0))),CRONO!E$12,OFFSET(CÁLCULO!$AJ$15:$BB$15,$F47,0,OFFSET(ORÇAMENTO!$D$15,CRONO!$F47,0)))
                +IF(AND($F49&lt;&gt;"",$F49&lt;&gt;0),
                        SUMIF(CÁLCULO!$BC$15:$BU$235,CRONO!E$12,CÁLCULO!$AJ$15:$BB$235)/(ORÇAMENTO!$X$15-CÁLCULO.TotalAdmLocal)*CRONO!$F49,
                        0),
                 E48*$S47),
          SUMIF(OFFSET($S49,1,0,$R47-2),($M47+1)&amp;"$",OFFSET(E49,1,0,$R47-2)))</f>
        <v>0</v>
      </c>
      <c r="F49" s="185">
        <f ca="1">IF(OR($R47&lt;&gt;2,AUTOEVENTO&lt;&gt;"manual",$F48&gt;0),"",
        IF(Import.TipoArredondamento="Tradicional",
              SUMIF(OFFSET(CÁLCULO!$M$15,CRONO!$F47,0,OFFSET(ORÇAMENTO!$D$15,CRONO!$F47,0)),1,OFFSET(ORÇAMENTO!$X$15,CRONO!$F47,0,OFFSET(ORÇAMENTO!$D$15,CRONO!$F47,0))),
              0))</f>
        <v>0</v>
      </c>
      <c r="H49" s="693"/>
      <c r="S49" s="204" t="str">
        <f ca="1">M47&amp;"$"</f>
        <v>2$</v>
      </c>
      <c r="T49" s="205"/>
      <c r="U49" s="202">
        <f t="array" aca="1" ref="U49" ca="1">IF($R47=2,
         IF(AND(ACOMPANHAMENTO="PLE",ISNUMBER($F47)),
                SUMIF((OFFSET(CÁLCULO!$BC$15:$BU$15,$F47,0,OFFSET(ORÇAMENTO!$D$15,CRONO!$F47,0))),CRONO!U$12,OFFSET(CÁLCULO!$AJ$15:$BB$15,$F47,0,OFFSET(ORÇAMENTO!$D$15,CRONO!$F47,0)))
                +IF(AND($F49&lt;&gt;"",$F49&lt;&gt;0),
                        SUMIF(CÁLCULO!$BC$15:$BU$235,CRONO!U$12,CÁLCULO!$AJ$15:$BB$235)/(ORÇAMENTO!$X$15-CÁLCULO.TotalAdmLocal)*CRONO!$F49,
                        0),
                 U48*$S47),
          SUMIF(OFFSET($S49,1,0,$R47-2),($M47+1)&amp;"$",OFFSET(U49,1,0,$R47-2)))</f>
        <v>0</v>
      </c>
      <c r="V49" s="202">
        <f t="array" aca="1" ref="V49" ca="1">IF($R47=2,
         IF(AND(ACOMPANHAMENTO="PLE",ISNUMBER($F47)),
                SUMIF((OFFSET(CÁLCULO!$BC$15:$BU$15,$F47,0,OFFSET(ORÇAMENTO!$D$15,CRONO!$F47,0))),CRONO!V$12,OFFSET(CÁLCULO!$AJ$15:$BB$15,$F47,0,OFFSET(ORÇAMENTO!$D$15,CRONO!$F47,0)))
                +IF(AND($F49&lt;&gt;"",$F49&lt;&gt;0),
                        SUMIF(CÁLCULO!$BC$15:$BU$235,CRONO!V$12,CÁLCULO!$AJ$15:$BB$235)/(ORÇAMENTO!$X$15-CÁLCULO.TotalAdmLocal)*CRONO!$F49,
                        0),
                 V48*$S47),
          SUMIF(OFFSET($S49,1,0,$R47-2),($M47+1)&amp;"$",OFFSET(V49,1,0,$R47-2)))</f>
        <v>0</v>
      </c>
      <c r="W49" s="202">
        <f t="array" aca="1" ref="W49" ca="1">IF($R47=2,
         IF(AND(ACOMPANHAMENTO="PLE",ISNUMBER($F47)),
                SUMIF((OFFSET(CÁLCULO!$BC$15:$BU$15,$F47,0,OFFSET(ORÇAMENTO!$D$15,CRONO!$F47,0))),CRONO!W$12,OFFSET(CÁLCULO!$AJ$15:$BB$15,$F47,0,OFFSET(ORÇAMENTO!$D$15,CRONO!$F47,0)))
                +IF(AND($F49&lt;&gt;"",$F49&lt;&gt;0),
                        SUMIF(CÁLCULO!$BC$15:$BU$235,CRONO!W$12,CÁLCULO!$AJ$15:$BB$235)/(ORÇAMENTO!$X$15-CÁLCULO.TotalAdmLocal)*CRONO!$F49,
                        0),
                 W48*$S47),
          SUMIF(OFFSET($S49,1,0,$R47-2),($M47+1)&amp;"$",OFFSET(W49,1,0,$R47-2)))</f>
        <v>0</v>
      </c>
      <c r="X49" s="202">
        <f t="array" aca="1" ref="X49" ca="1">IF($R47=2,
         IF(AND(ACOMPANHAMENTO="PLE",ISNUMBER($F47)),
                SUMIF((OFFSET(CÁLCULO!$BC$15:$BU$15,$F47,0,OFFSET(ORÇAMENTO!$D$15,CRONO!$F47,0))),CRONO!X$12,OFFSET(CÁLCULO!$AJ$15:$BB$15,$F47,0,OFFSET(ORÇAMENTO!$D$15,CRONO!$F47,0)))
                +IF(AND($F49&lt;&gt;"",$F49&lt;&gt;0),
                        SUMIF(CÁLCULO!$BC$15:$BU$235,CRONO!X$12,CÁLCULO!$AJ$15:$BB$235)/(ORÇAMENTO!$X$15-CÁLCULO.TotalAdmLocal)*CRONO!$F49,
                        0),
                 X48*$S47),
          SUMIF(OFFSET($S49,1,0,$R47-2),($M47+1)&amp;"$",OFFSET(X49,1,0,$R47-2)))</f>
        <v>0</v>
      </c>
      <c r="Y49" s="202">
        <f t="array" aca="1" ref="Y49" ca="1">IF($R47=2,
         IF(AND(ACOMPANHAMENTO="PLE",ISNUMBER($F47)),
                SUMIF((OFFSET(CÁLCULO!$BC$15:$BU$15,$F47,0,OFFSET(ORÇAMENTO!$D$15,CRONO!$F47,0))),CRONO!Y$12,OFFSET(CÁLCULO!$AJ$15:$BB$15,$F47,0,OFFSET(ORÇAMENTO!$D$15,CRONO!$F47,0)))
                +IF(AND($F49&lt;&gt;"",$F49&lt;&gt;0),
                        SUMIF(CÁLCULO!$BC$15:$BU$235,CRONO!Y$12,CÁLCULO!$AJ$15:$BB$235)/(ORÇAMENTO!$X$15-CÁLCULO.TotalAdmLocal)*CRONO!$F49,
                        0),
                 Y48*$S47),
          SUMIF(OFFSET($S49,1,0,$R47-2),($M47+1)&amp;"$",OFFSET(Y49,1,0,$R47-2)))</f>
        <v>0</v>
      </c>
      <c r="Z49" s="202">
        <f t="array" aca="1" ref="Z49" ca="1">IF($R47=2,
         IF(AND(ACOMPANHAMENTO="PLE",ISNUMBER($F47)),
                SUMIF((OFFSET(CÁLCULO!$BC$15:$BU$15,$F47,0,OFFSET(ORÇAMENTO!$D$15,CRONO!$F47,0))),CRONO!Z$12,OFFSET(CÁLCULO!$AJ$15:$BB$15,$F47,0,OFFSET(ORÇAMENTO!$D$15,CRONO!$F47,0)))
                +IF(AND($F49&lt;&gt;"",$F49&lt;&gt;0),
                        SUMIF(CÁLCULO!$BC$15:$BU$235,CRONO!Z$12,CÁLCULO!$AJ$15:$BB$235)/(ORÇAMENTO!$X$15-CÁLCULO.TotalAdmLocal)*CRONO!$F49,
                        0),
                 Z48*$S47),
          SUMIF(OFFSET($S49,1,0,$R47-2),($M47+1)&amp;"$",OFFSET(Z49,1,0,$R47-2)))</f>
        <v>0</v>
      </c>
      <c r="AA49" s="202">
        <f t="array" aca="1" ref="AA49" ca="1">IF($R47=2,
         IF(AND(ACOMPANHAMENTO="PLE",ISNUMBER($F47)),
                SUMIF((OFFSET(CÁLCULO!$BC$15:$BU$15,$F47,0,OFFSET(ORÇAMENTO!$D$15,CRONO!$F47,0))),CRONO!AA$12,OFFSET(CÁLCULO!$AJ$15:$BB$15,$F47,0,OFFSET(ORÇAMENTO!$D$15,CRONO!$F47,0)))
                +IF(AND($F49&lt;&gt;"",$F49&lt;&gt;0),
                        SUMIF(CÁLCULO!$BC$15:$BU$235,CRONO!AA$12,CÁLCULO!$AJ$15:$BB$235)/(ORÇAMENTO!$X$15-CÁLCULO.TotalAdmLocal)*CRONO!$F49,
                        0),
                 AA48*$S47),
          SUMIF(OFFSET($S49,1,0,$R47-2),($M47+1)&amp;"$",OFFSET(AA49,1,0,$R47-2)))</f>
        <v>31586.7</v>
      </c>
      <c r="AB49" s="202">
        <f t="array" aca="1" ref="AB49" ca="1">IF($R47=2,
         IF(AND(ACOMPANHAMENTO="PLE",ISNUMBER($F47)),
                SUMIF((OFFSET(CÁLCULO!$BC$15:$BU$15,$F47,0,OFFSET(ORÇAMENTO!$D$15,CRONO!$F47,0))),CRONO!AB$12,OFFSET(CÁLCULO!$AJ$15:$BB$15,$F47,0,OFFSET(ORÇAMENTO!$D$15,CRONO!$F47,0)))
                +IF(AND($F49&lt;&gt;"",$F49&lt;&gt;0),
                        SUMIF(CÁLCULO!$BC$15:$BU$235,CRONO!AB$12,CÁLCULO!$AJ$15:$BB$235)/(ORÇAMENTO!$X$15-CÁLCULO.TotalAdmLocal)*CRONO!$F49,
                        0),
                 AB48*$S47),
          SUMIF(OFFSET($S49,1,0,$R47-2),($M47+1)&amp;"$",OFFSET(AB49,1,0,$R47-2)))</f>
        <v>15793.35</v>
      </c>
      <c r="AC49" s="202">
        <f t="array" aca="1" ref="AC49" ca="1">IF($R47=2,
         IF(AND(ACOMPANHAMENTO="PLE",ISNUMBER($F47)),
                SUMIF((OFFSET(CÁLCULO!$BC$15:$BU$15,$F47,0,OFFSET(ORÇAMENTO!$D$15,CRONO!$F47,0))),CRONO!AC$12,OFFSET(CÁLCULO!$AJ$15:$BB$15,$F47,0,OFFSET(ORÇAMENTO!$D$15,CRONO!$F47,0)))
                +IF(AND($F49&lt;&gt;"",$F49&lt;&gt;0),
                        SUMIF(CÁLCULO!$BC$15:$BU$235,CRONO!AC$12,CÁLCULO!$AJ$15:$BB$235)/(ORÇAMENTO!$X$15-CÁLCULO.TotalAdmLocal)*CRONO!$F49,
                        0),
                 AC48*$S47),
          SUMIF(OFFSET($S49,1,0,$R47-2),($M47+1)&amp;"$",OFFSET(AC49,1,0,$R47-2)))</f>
        <v>15793.35</v>
      </c>
      <c r="AD49" s="202">
        <f t="array" aca="1" ref="AD49" ca="1">IF($R47=2,
         IF(AND(ACOMPANHAMENTO="PLE",ISNUMBER($F47)),
                SUMIF((OFFSET(CÁLCULO!$BC$15:$BU$15,$F47,0,OFFSET(ORÇAMENTO!$D$15,CRONO!$F47,0))),CRONO!AD$12,OFFSET(CÁLCULO!$AJ$15:$BB$15,$F47,0,OFFSET(ORÇAMENTO!$D$15,CRONO!$F47,0)))
                +IF(AND($F49&lt;&gt;"",$F49&lt;&gt;0),
                        SUMIF(CÁLCULO!$BC$15:$BU$235,CRONO!AD$12,CÁLCULO!$AJ$15:$BB$235)/(ORÇAMENTO!$X$15-CÁLCULO.TotalAdmLocal)*CRONO!$F49,
                        0),
                 AD48*$S47),
          SUMIF(OFFSET($S49,1,0,$R47-2),($M47+1)&amp;"$",OFFSET(AD49,1,0,$R47-2)))</f>
        <v>0</v>
      </c>
      <c r="AE49" s="202">
        <f t="array" aca="1" ref="AE49" ca="1">IF($R47=2,
         IF(AND(ACOMPANHAMENTO="PLE",ISNUMBER($F47)),
                SUMIF((OFFSET(CÁLCULO!$BC$15:$BU$15,$F47,0,OFFSET(ORÇAMENTO!$D$15,CRONO!$F47,0))),CRONO!AE$12,OFFSET(CÁLCULO!$AJ$15:$BB$15,$F47,0,OFFSET(ORÇAMENTO!$D$15,CRONO!$F47,0)))
                +IF(AND($F49&lt;&gt;"",$F49&lt;&gt;0),
                        SUMIF(CÁLCULO!$BC$15:$BU$235,CRONO!AE$12,CÁLCULO!$AJ$15:$BB$235)/(ORÇAMENTO!$X$15-CÁLCULO.TotalAdmLocal)*CRONO!$F49,
                        0),
                 AE48*$S47),
          SUMIF(OFFSET($S49,1,0,$R47-2),($M47+1)&amp;"$",OFFSET(AE49,1,0,$R47-2)))</f>
        <v>0</v>
      </c>
      <c r="AF49" s="202">
        <f t="array" aca="1" ref="AF49" ca="1">IF($R47=2,
         IF(AND(ACOMPANHAMENTO="PLE",ISNUMBER($F47)),
                SUMIF((OFFSET(CÁLCULO!$BC$15:$BU$15,$F47,0,OFFSET(ORÇAMENTO!$D$15,CRONO!$F47,0))),CRONO!AF$12,OFFSET(CÁLCULO!$AJ$15:$BB$15,$F47,0,OFFSET(ORÇAMENTO!$D$15,CRONO!$F47,0)))
                +IF(AND($F49&lt;&gt;"",$F49&lt;&gt;0),
                        SUMIF(CÁLCULO!$BC$15:$BU$235,CRONO!AF$12,CÁLCULO!$AJ$15:$BB$235)/(ORÇAMENTO!$X$15-CÁLCULO.TotalAdmLocal)*CRONO!$F49,
                        0),
                 AF48*$S47),
          SUMIF(OFFSET($S49,1,0,$R47-2),($M47+1)&amp;"$",OFFSET(AF49,1,0,$R47-2)))</f>
        <v>0</v>
      </c>
      <c r="AG49" s="532"/>
    </row>
    <row r="50" spans="1:33" x14ac:dyDescent="0.2">
      <c r="A50" s="186" t="str">
        <f ca="1">IF($M50&gt;1,_xlfn.CONCAT($I50," ",$J50),"")</f>
        <v>1.12. COBERTURAS</v>
      </c>
      <c r="B50" s="185">
        <f ca="1">OFFSET(B50,-3,0)+1</f>
        <v>13</v>
      </c>
      <c r="C50" s="185">
        <f ca="1">IF($R50&lt;&gt;2,0,IF($S50=0,1,IF(F51&gt;0,OFFSET(QCI!$M$13,SUBSTITUTE(F51,".",""),0),OFFSET(ORÇAMENTO!$AA$15,CRONO!$F50,0))/$S50))</f>
        <v>0</v>
      </c>
      <c r="D50" s="185">
        <f ca="1">IF($R50&lt;&gt;2,0,IF($S50=0,1,IF(F51&gt;0,OFFSET(QCI!$N$13,SUBSTITUTE(F51,".",""),0),OFFSET(ORÇAMENTO!$AB$15,CRONO!$F50,0))/$S50))</f>
        <v>0</v>
      </c>
      <c r="E50" s="188">
        <f t="array" aca="1" ref="E50" ca="1">IF(AND($R50=2,ACOMPANHAMENTO="BM"),ROUND(E51,4),E52/$S50)</f>
        <v>0</v>
      </c>
      <c r="F50" s="185">
        <f t="array" aca="1" ref="F50" ca="1">IF(B50&lt;=ORÇAMENTO.MáximoListaCrono,MATCH(B50,ORÇAMENTO.ListaCrono,0),NA())</f>
        <v>63</v>
      </c>
      <c r="G50" s="185" t="str">
        <f ca="1">IF(AND($F51&lt;&gt;-1,$S50&gt;0),"F","")</f>
        <v>F</v>
      </c>
      <c r="H50" s="189" t="str">
        <f t="array" aca="1" ref="H50" ca="1">IF(OR(S50=0,S50=""),"Linha",IF(AND(OR(ACOMPANHAMENTO="PLE",$R50&lt;&gt;2),$F51=0),"Linha",ROUND(1-SUM(U50:AG50),4)))</f>
        <v>Linha</v>
      </c>
      <c r="I50" s="190" t="str">
        <f ca="1">IF($F51=0,OFFSET(ORÇAMENTO!O$15,$F50,0),IF($F51&lt;&gt;-1,OFFSET(QCI!$D$13,$F51,0),""))</f>
        <v>1.12.</v>
      </c>
      <c r="J50" s="191" t="str">
        <f ca="1">IF($F51=0,OFFSET(ORÇAMENTO!R$15,$F50,0),IF($F51&lt;&gt;-1,OFFSET(QCI!$G$13,$F51,0),""))</f>
        <v>COBERTURAS</v>
      </c>
      <c r="K50" s="191"/>
      <c r="L50" s="191"/>
      <c r="M50" s="192">
        <f ca="1">IF($F51=0,OFFSET(ORÇAMENTO!C$15,$F50,0),1)</f>
        <v>2</v>
      </c>
      <c r="N50" s="193">
        <f ca="1">IF($F51=-1,0,IF(N$13&lt;=$M50,IF(ISERROR(MATCH(N$13,OFFSET($M50,1,0,ROW($M$119)-ROW($M50)-1),0)),ROW($M$119)-ROW($M50)-1,MATCH(N$13,OFFSET($M50,1,0,ROW($M$119)-ROW($M50)-1),0)-1),0))</f>
        <v>68</v>
      </c>
      <c r="O50" s="193">
        <f ca="1">IF($F51=-1,0,IF(O$13&lt;=$M50,IF(ISERROR(MATCH(O$13,OFFSET($M50,1,0,ROW($M$119)-ROW($M50)-1),0)),ROW($M$119)-ROW($M50)-1,MATCH(O$13,OFFSET($M50,1,0,ROW($M$119)-ROW($M50)-1),0)-1),0))</f>
        <v>2</v>
      </c>
      <c r="P50" s="193">
        <f ca="1">IF($F51=-1,0,IF(P$13&lt;=$M50,IF(ISERROR(MATCH(P$13,OFFSET($M50,1,0,ROW($M$119)-ROW($M50)-1),0)),ROW($M$119)-ROW($M50)-1,MATCH(P$13,OFFSET($M50,1,0,ROW($M$119)-ROW($M50)-1),0)-1),0))</f>
        <v>0</v>
      </c>
      <c r="Q50" s="193">
        <f ca="1">IF($F51=-1,0,IF(Q$13&lt;=$M50,IF(ISERROR(MATCH(Q$13,OFFSET($M50,1,0,ROW($M$119)-ROW($M50)-1),0)),ROW($M$119)-ROW($M50)-1,MATCH(Q$13,OFFSET($M50,1,0,ROW($M$119)-ROW($M50)-1),0)-1),0))</f>
        <v>0</v>
      </c>
      <c r="R50" s="193">
        <f ca="1">MIN(OFFSET(M50,0,1,,M50))</f>
        <v>2</v>
      </c>
      <c r="S50" s="194">
        <f ca="1">IF($F51=0,OFFSET(ORÇAMENTO!X$15,$F50,0),IF($F51&lt;&gt;-1,OFFSET(QCI!$O$13,$F51,0),""))</f>
        <v>526174.64</v>
      </c>
      <c r="T50" s="195" t="s">
        <v>785</v>
      </c>
      <c r="U50" s="188">
        <f t="array" aca="1" ref="U50" ca="1">IF(AND($R50=2,ACOMPANHAMENTO="BM"),ROUND(U51,4),U52/$S50)</f>
        <v>0</v>
      </c>
      <c r="V50" s="188">
        <f t="array" aca="1" ref="V50" ca="1">IF(AND($R50=2,ACOMPANHAMENTO="BM"),ROUND(V51,4),V52/$S50)</f>
        <v>0</v>
      </c>
      <c r="W50" s="188">
        <f t="array" aca="1" ref="W50" ca="1">IF(AND($R50=2,ACOMPANHAMENTO="BM"),ROUND(W51,4),W52/$S50)</f>
        <v>0</v>
      </c>
      <c r="X50" s="188">
        <f t="array" aca="1" ref="X50" ca="1">IF(AND($R50=2,ACOMPANHAMENTO="BM"),ROUND(X51,4),X52/$S50)</f>
        <v>0.24999999999999994</v>
      </c>
      <c r="Y50" s="188">
        <f t="array" aca="1" ref="Y50" ca="1">IF(AND($R50=2,ACOMPANHAMENTO="BM"),ROUND(Y51,4),Y52/$S50)</f>
        <v>0.24999999999999994</v>
      </c>
      <c r="Z50" s="188">
        <f t="array" aca="1" ref="Z50" ca="1">IF(AND($R50=2,ACOMPANHAMENTO="BM"),ROUND(Z51,4),Z52/$S50)</f>
        <v>0.50000000000000011</v>
      </c>
      <c r="AA50" s="188">
        <f t="array" aca="1" ref="AA50" ca="1">IF(AND($R50=2,ACOMPANHAMENTO="BM"),ROUND(AA51,4),AA52/$S50)</f>
        <v>0</v>
      </c>
      <c r="AB50" s="188">
        <f t="array" aca="1" ref="AB50" ca="1">IF(AND($R50=2,ACOMPANHAMENTO="BM"),ROUND(AB51,4),AB52/$S50)</f>
        <v>0</v>
      </c>
      <c r="AC50" s="188">
        <f t="array" aca="1" ref="AC50" ca="1">IF(AND($R50=2,ACOMPANHAMENTO="BM"),ROUND(AC51,4),AC52/$S50)</f>
        <v>0</v>
      </c>
      <c r="AD50" s="188">
        <f t="array" aca="1" ref="AD50" ca="1">IF(AND($R50=2,ACOMPANHAMENTO="BM"),ROUND(AD51,4),AD52/$S50)</f>
        <v>0</v>
      </c>
      <c r="AE50" s="188">
        <f t="array" aca="1" ref="AE50" ca="1">IF(AND($R50=2,ACOMPANHAMENTO="BM"),ROUND(AE51,4),AE52/$S50)</f>
        <v>0</v>
      </c>
      <c r="AF50" s="188">
        <f t="array" aca="1" ref="AF50" ca="1">IF(AND($R50=2,ACOMPANHAMENTO="BM"),ROUND(AF51,4),AF52/$S50)</f>
        <v>0</v>
      </c>
      <c r="AG50" s="532"/>
    </row>
    <row r="51" spans="1:33" ht="12.75" customHeight="1" x14ac:dyDescent="0.2">
      <c r="E51" s="585"/>
      <c r="F51" s="185">
        <f ca="1">IF(ISERROR(F50),IF(1+COUNTIF($M$13:OFFSET(M50,-1,0),1)&lt;=MAX(QCI!$D$13:$D$24),1+COUNTIF($M$13:OFFSET(M50,-1,0),1),-1),0)</f>
        <v>0</v>
      </c>
      <c r="G51" s="185" t="str">
        <f t="array" aca="1" ref="G51" ca="1">IF(ACOMPANHAMENTO="BM",OFFSET(G51,-1,0),"")</f>
        <v/>
      </c>
      <c r="H51" s="196" t="str">
        <f t="array" aca="1" ref="H51" ca="1">IF(OR(S50=0,S50=""),"vazia",IF(AND(OR(ACOMPANHAMENTO="PLE",$R50&lt;&gt;2),$F51=0),"calculada","--&gt;"))</f>
        <v>calculada</v>
      </c>
      <c r="I51" s="197"/>
      <c r="J51" s="198" t="str">
        <f ca="1">IF(AND(H50&lt;&gt;0,ISNUMBER(H50)),"PREENCHA ESTA LINHA --&gt;","")</f>
        <v/>
      </c>
      <c r="K51" s="198"/>
      <c r="L51" s="198"/>
      <c r="M51" s="199"/>
      <c r="N51" s="199"/>
      <c r="O51" s="199"/>
      <c r="P51" s="199"/>
      <c r="Q51" s="199"/>
      <c r="R51" s="199"/>
      <c r="S51" s="200"/>
      <c r="T51" s="201"/>
      <c r="U51" s="585"/>
      <c r="V51" s="585"/>
      <c r="W51" s="585"/>
      <c r="X51" s="585"/>
      <c r="Y51" s="585"/>
      <c r="Z51" s="585"/>
      <c r="AA51" s="585"/>
      <c r="AB51" s="585"/>
      <c r="AC51" s="585"/>
      <c r="AD51" s="585"/>
      <c r="AE51" s="585"/>
      <c r="AF51" s="585"/>
      <c r="AG51" s="532"/>
    </row>
    <row r="52" spans="1:33" ht="12.75" customHeight="1" x14ac:dyDescent="0.2">
      <c r="D52" s="531"/>
      <c r="E52" s="202">
        <f t="array" aca="1" ref="E52" ca="1">IF($R50=2,
         IF(AND(ACOMPANHAMENTO="PLE",ISNUMBER($F50)),
                SUMIF((OFFSET(CÁLCULO!$BC$15:$BU$15,$F50,0,OFFSET(ORÇAMENTO!$D$15,CRONO!$F50,0))),CRONO!E$12,OFFSET(CÁLCULO!$AJ$15:$BB$15,$F50,0,OFFSET(ORÇAMENTO!$D$15,CRONO!$F50,0)))
                +IF(AND($F52&lt;&gt;"",$F52&lt;&gt;0),
                        SUMIF(CÁLCULO!$BC$15:$BU$235,CRONO!E$12,CÁLCULO!$AJ$15:$BB$235)/(ORÇAMENTO!$X$15-CÁLCULO.TotalAdmLocal)*CRONO!$F52,
                        0),
                 E51*$S50),
          SUMIF(OFFSET($S52,1,0,$R50-2),($M50+1)&amp;"$",OFFSET(E52,1,0,$R50-2)))</f>
        <v>0</v>
      </c>
      <c r="F52" s="185">
        <f ca="1">IF(OR($R50&lt;&gt;2,AUTOEVENTO&lt;&gt;"manual",$F51&gt;0),"",
        IF(Import.TipoArredondamento="Tradicional",
              SUMIF(OFFSET(CÁLCULO!$M$15,CRONO!$F50,0,OFFSET(ORÇAMENTO!$D$15,CRONO!$F50,0)),1,OFFSET(ORÇAMENTO!$X$15,CRONO!$F50,0,OFFSET(ORÇAMENTO!$D$15,CRONO!$F50,0))),
              0))</f>
        <v>0</v>
      </c>
      <c r="H52" s="693"/>
      <c r="S52" s="204" t="str">
        <f ca="1">M50&amp;"$"</f>
        <v>2$</v>
      </c>
      <c r="T52" s="205"/>
      <c r="U52" s="202">
        <f t="array" aca="1" ref="U52" ca="1">IF($R50=2,
         IF(AND(ACOMPANHAMENTO="PLE",ISNUMBER($F50)),
                SUMIF((OFFSET(CÁLCULO!$BC$15:$BU$15,$F50,0,OFFSET(ORÇAMENTO!$D$15,CRONO!$F50,0))),CRONO!U$12,OFFSET(CÁLCULO!$AJ$15:$BB$15,$F50,0,OFFSET(ORÇAMENTO!$D$15,CRONO!$F50,0)))
                +IF(AND($F52&lt;&gt;"",$F52&lt;&gt;0),
                        SUMIF(CÁLCULO!$BC$15:$BU$235,CRONO!U$12,CÁLCULO!$AJ$15:$BB$235)/(ORÇAMENTO!$X$15-CÁLCULO.TotalAdmLocal)*CRONO!$F52,
                        0),
                 U51*$S50),
          SUMIF(OFFSET($S52,1,0,$R50-2),($M50+1)&amp;"$",OFFSET(U52,1,0,$R50-2)))</f>
        <v>0</v>
      </c>
      <c r="V52" s="202">
        <f t="array" aca="1" ref="V52" ca="1">IF($R50=2,
         IF(AND(ACOMPANHAMENTO="PLE",ISNUMBER($F50)),
                SUMIF((OFFSET(CÁLCULO!$BC$15:$BU$15,$F50,0,OFFSET(ORÇAMENTO!$D$15,CRONO!$F50,0))),CRONO!V$12,OFFSET(CÁLCULO!$AJ$15:$BB$15,$F50,0,OFFSET(ORÇAMENTO!$D$15,CRONO!$F50,0)))
                +IF(AND($F52&lt;&gt;"",$F52&lt;&gt;0),
                        SUMIF(CÁLCULO!$BC$15:$BU$235,CRONO!V$12,CÁLCULO!$AJ$15:$BB$235)/(ORÇAMENTO!$X$15-CÁLCULO.TotalAdmLocal)*CRONO!$F52,
                        0),
                 V51*$S50),
          SUMIF(OFFSET($S52,1,0,$R50-2),($M50+1)&amp;"$",OFFSET(V52,1,0,$R50-2)))</f>
        <v>0</v>
      </c>
      <c r="W52" s="202">
        <f t="array" aca="1" ref="W52" ca="1">IF($R50=2,
         IF(AND(ACOMPANHAMENTO="PLE",ISNUMBER($F50)),
                SUMIF((OFFSET(CÁLCULO!$BC$15:$BU$15,$F50,0,OFFSET(ORÇAMENTO!$D$15,CRONO!$F50,0))),CRONO!W$12,OFFSET(CÁLCULO!$AJ$15:$BB$15,$F50,0,OFFSET(ORÇAMENTO!$D$15,CRONO!$F50,0)))
                +IF(AND($F52&lt;&gt;"",$F52&lt;&gt;0),
                        SUMIF(CÁLCULO!$BC$15:$BU$235,CRONO!W$12,CÁLCULO!$AJ$15:$BB$235)/(ORÇAMENTO!$X$15-CÁLCULO.TotalAdmLocal)*CRONO!$F52,
                        0),
                 W51*$S50),
          SUMIF(OFFSET($S52,1,0,$R50-2),($M50+1)&amp;"$",OFFSET(W52,1,0,$R50-2)))</f>
        <v>0</v>
      </c>
      <c r="X52" s="202">
        <f t="array" aca="1" ref="X52" ca="1">IF($R50=2,
         IF(AND(ACOMPANHAMENTO="PLE",ISNUMBER($F50)),
                SUMIF((OFFSET(CÁLCULO!$BC$15:$BU$15,$F50,0,OFFSET(ORÇAMENTO!$D$15,CRONO!$F50,0))),CRONO!X$12,OFFSET(CÁLCULO!$AJ$15:$BB$15,$F50,0,OFFSET(ORÇAMENTO!$D$15,CRONO!$F50,0)))
                +IF(AND($F52&lt;&gt;"",$F52&lt;&gt;0),
                        SUMIF(CÁLCULO!$BC$15:$BU$235,CRONO!X$12,CÁLCULO!$AJ$15:$BB$235)/(ORÇAMENTO!$X$15-CÁLCULO.TotalAdmLocal)*CRONO!$F52,
                        0),
                 X51*$S50),
          SUMIF(OFFSET($S52,1,0,$R50-2),($M50+1)&amp;"$",OFFSET(X52,1,0,$R50-2)))</f>
        <v>131543.65999999997</v>
      </c>
      <c r="Y52" s="202">
        <f t="array" aca="1" ref="Y52" ca="1">IF($R50=2,
         IF(AND(ACOMPANHAMENTO="PLE",ISNUMBER($F50)),
                SUMIF((OFFSET(CÁLCULO!$BC$15:$BU$15,$F50,0,OFFSET(ORÇAMENTO!$D$15,CRONO!$F50,0))),CRONO!Y$12,OFFSET(CÁLCULO!$AJ$15:$BB$15,$F50,0,OFFSET(ORÇAMENTO!$D$15,CRONO!$F50,0)))
                +IF(AND($F52&lt;&gt;"",$F52&lt;&gt;0),
                        SUMIF(CÁLCULO!$BC$15:$BU$235,CRONO!Y$12,CÁLCULO!$AJ$15:$BB$235)/(ORÇAMENTO!$X$15-CÁLCULO.TotalAdmLocal)*CRONO!$F52,
                        0),
                 Y51*$S50),
          SUMIF(OFFSET($S52,1,0,$R50-2),($M50+1)&amp;"$",OFFSET(Y52,1,0,$R50-2)))</f>
        <v>131543.65999999997</v>
      </c>
      <c r="Z52" s="202">
        <f t="array" aca="1" ref="Z52" ca="1">IF($R50=2,
         IF(AND(ACOMPANHAMENTO="PLE",ISNUMBER($F50)),
                SUMIF((OFFSET(CÁLCULO!$BC$15:$BU$15,$F50,0,OFFSET(ORÇAMENTO!$D$15,CRONO!$F50,0))),CRONO!Z$12,OFFSET(CÁLCULO!$AJ$15:$BB$15,$F50,0,OFFSET(ORÇAMENTO!$D$15,CRONO!$F50,0)))
                +IF(AND($F52&lt;&gt;"",$F52&lt;&gt;0),
                        SUMIF(CÁLCULO!$BC$15:$BU$235,CRONO!Z$12,CÁLCULO!$AJ$15:$BB$235)/(ORÇAMENTO!$X$15-CÁLCULO.TotalAdmLocal)*CRONO!$F52,
                        0),
                 Z51*$S50),
          SUMIF(OFFSET($S52,1,0,$R50-2),($M50+1)&amp;"$",OFFSET(Z52,1,0,$R50-2)))</f>
        <v>263087.32000000007</v>
      </c>
      <c r="AA52" s="202">
        <f t="array" aca="1" ref="AA52" ca="1">IF($R50=2,
         IF(AND(ACOMPANHAMENTO="PLE",ISNUMBER($F50)),
                SUMIF((OFFSET(CÁLCULO!$BC$15:$BU$15,$F50,0,OFFSET(ORÇAMENTO!$D$15,CRONO!$F50,0))),CRONO!AA$12,OFFSET(CÁLCULO!$AJ$15:$BB$15,$F50,0,OFFSET(ORÇAMENTO!$D$15,CRONO!$F50,0)))
                +IF(AND($F52&lt;&gt;"",$F52&lt;&gt;0),
                        SUMIF(CÁLCULO!$BC$15:$BU$235,CRONO!AA$12,CÁLCULO!$AJ$15:$BB$235)/(ORÇAMENTO!$X$15-CÁLCULO.TotalAdmLocal)*CRONO!$F52,
                        0),
                 AA51*$S50),
          SUMIF(OFFSET($S52,1,0,$R50-2),($M50+1)&amp;"$",OFFSET(AA52,1,0,$R50-2)))</f>
        <v>0</v>
      </c>
      <c r="AB52" s="202">
        <f t="array" aca="1" ref="AB52" ca="1">IF($R50=2,
         IF(AND(ACOMPANHAMENTO="PLE",ISNUMBER($F50)),
                SUMIF((OFFSET(CÁLCULO!$BC$15:$BU$15,$F50,0,OFFSET(ORÇAMENTO!$D$15,CRONO!$F50,0))),CRONO!AB$12,OFFSET(CÁLCULO!$AJ$15:$BB$15,$F50,0,OFFSET(ORÇAMENTO!$D$15,CRONO!$F50,0)))
                +IF(AND($F52&lt;&gt;"",$F52&lt;&gt;0),
                        SUMIF(CÁLCULO!$BC$15:$BU$235,CRONO!AB$12,CÁLCULO!$AJ$15:$BB$235)/(ORÇAMENTO!$X$15-CÁLCULO.TotalAdmLocal)*CRONO!$F52,
                        0),
                 AB51*$S50),
          SUMIF(OFFSET($S52,1,0,$R50-2),($M50+1)&amp;"$",OFFSET(AB52,1,0,$R50-2)))</f>
        <v>0</v>
      </c>
      <c r="AC52" s="202">
        <f t="array" aca="1" ref="AC52" ca="1">IF($R50=2,
         IF(AND(ACOMPANHAMENTO="PLE",ISNUMBER($F50)),
                SUMIF((OFFSET(CÁLCULO!$BC$15:$BU$15,$F50,0,OFFSET(ORÇAMENTO!$D$15,CRONO!$F50,0))),CRONO!AC$12,OFFSET(CÁLCULO!$AJ$15:$BB$15,$F50,0,OFFSET(ORÇAMENTO!$D$15,CRONO!$F50,0)))
                +IF(AND($F52&lt;&gt;"",$F52&lt;&gt;0),
                        SUMIF(CÁLCULO!$BC$15:$BU$235,CRONO!AC$12,CÁLCULO!$AJ$15:$BB$235)/(ORÇAMENTO!$X$15-CÁLCULO.TotalAdmLocal)*CRONO!$F52,
                        0),
                 AC51*$S50),
          SUMIF(OFFSET($S52,1,0,$R50-2),($M50+1)&amp;"$",OFFSET(AC52,1,0,$R50-2)))</f>
        <v>0</v>
      </c>
      <c r="AD52" s="202">
        <f t="array" aca="1" ref="AD52" ca="1">IF($R50=2,
         IF(AND(ACOMPANHAMENTO="PLE",ISNUMBER($F50)),
                SUMIF((OFFSET(CÁLCULO!$BC$15:$BU$15,$F50,0,OFFSET(ORÇAMENTO!$D$15,CRONO!$F50,0))),CRONO!AD$12,OFFSET(CÁLCULO!$AJ$15:$BB$15,$F50,0,OFFSET(ORÇAMENTO!$D$15,CRONO!$F50,0)))
                +IF(AND($F52&lt;&gt;"",$F52&lt;&gt;0),
                        SUMIF(CÁLCULO!$BC$15:$BU$235,CRONO!AD$12,CÁLCULO!$AJ$15:$BB$235)/(ORÇAMENTO!$X$15-CÁLCULO.TotalAdmLocal)*CRONO!$F52,
                        0),
                 AD51*$S50),
          SUMIF(OFFSET($S52,1,0,$R50-2),($M50+1)&amp;"$",OFFSET(AD52,1,0,$R50-2)))</f>
        <v>0</v>
      </c>
      <c r="AE52" s="202">
        <f t="array" aca="1" ref="AE52" ca="1">IF($R50=2,
         IF(AND(ACOMPANHAMENTO="PLE",ISNUMBER($F50)),
                SUMIF((OFFSET(CÁLCULO!$BC$15:$BU$15,$F50,0,OFFSET(ORÇAMENTO!$D$15,CRONO!$F50,0))),CRONO!AE$12,OFFSET(CÁLCULO!$AJ$15:$BB$15,$F50,0,OFFSET(ORÇAMENTO!$D$15,CRONO!$F50,0)))
                +IF(AND($F52&lt;&gt;"",$F52&lt;&gt;0),
                        SUMIF(CÁLCULO!$BC$15:$BU$235,CRONO!AE$12,CÁLCULO!$AJ$15:$BB$235)/(ORÇAMENTO!$X$15-CÁLCULO.TotalAdmLocal)*CRONO!$F52,
                        0),
                 AE51*$S50),
          SUMIF(OFFSET($S52,1,0,$R50-2),($M50+1)&amp;"$",OFFSET(AE52,1,0,$R50-2)))</f>
        <v>0</v>
      </c>
      <c r="AF52" s="202">
        <f t="array" aca="1" ref="AF52" ca="1">IF($R50=2,
         IF(AND(ACOMPANHAMENTO="PLE",ISNUMBER($F50)),
                SUMIF((OFFSET(CÁLCULO!$BC$15:$BU$15,$F50,0,OFFSET(ORÇAMENTO!$D$15,CRONO!$F50,0))),CRONO!AF$12,OFFSET(CÁLCULO!$AJ$15:$BB$15,$F50,0,OFFSET(ORÇAMENTO!$D$15,CRONO!$F50,0)))
                +IF(AND($F52&lt;&gt;"",$F52&lt;&gt;0),
                        SUMIF(CÁLCULO!$BC$15:$BU$235,CRONO!AF$12,CÁLCULO!$AJ$15:$BB$235)/(ORÇAMENTO!$X$15-CÁLCULO.TotalAdmLocal)*CRONO!$F52,
                        0),
                 AF51*$S50),
          SUMIF(OFFSET($S52,1,0,$R50-2),($M50+1)&amp;"$",OFFSET(AF52,1,0,$R50-2)))</f>
        <v>0</v>
      </c>
      <c r="AG52" s="532"/>
    </row>
    <row r="53" spans="1:33" x14ac:dyDescent="0.2">
      <c r="A53" s="186" t="str">
        <f ca="1">IF($M53&gt;1,_xlfn.CONCAT($I53," ",$J53),"")</f>
        <v>1.13. FORRO</v>
      </c>
      <c r="B53" s="185">
        <f ca="1">OFFSET(B53,-3,0)+1</f>
        <v>14</v>
      </c>
      <c r="C53" s="185">
        <f ca="1">IF($R53&lt;&gt;2,0,IF($S53=0,1,IF(F54&gt;0,OFFSET(QCI!$M$13,SUBSTITUTE(F54,".",""),0),OFFSET(ORÇAMENTO!$AA$15,CRONO!$F53,0))/$S53))</f>
        <v>0</v>
      </c>
      <c r="D53" s="185">
        <f ca="1">IF($R53&lt;&gt;2,0,IF($S53=0,1,IF(F54&gt;0,OFFSET(QCI!$N$13,SUBSTITUTE(F54,".",""),0),OFFSET(ORÇAMENTO!$AB$15,CRONO!$F53,0))/$S53))</f>
        <v>0</v>
      </c>
      <c r="E53" s="188">
        <f t="array" aca="1" ref="E53" ca="1">IF(AND($R53=2,ACOMPANHAMENTO="BM"),ROUND(E54,4),E55/$S53)</f>
        <v>0</v>
      </c>
      <c r="F53" s="185">
        <f t="array" aca="1" ref="F53" ca="1">IF(B53&lt;=ORÇAMENTO.MáximoListaCrono,MATCH(B53,ORÇAMENTO.ListaCrono,0),NA())</f>
        <v>69</v>
      </c>
      <c r="G53" s="185" t="str">
        <f ca="1">IF(AND($F54&lt;&gt;-1,$S53&gt;0),"F","")</f>
        <v>F</v>
      </c>
      <c r="H53" s="189" t="str">
        <f t="array" aca="1" ref="H53" ca="1">IF(OR(S53=0,S53=""),"Linha",IF(AND(OR(ACOMPANHAMENTO="PLE",$R53&lt;&gt;2),$F54=0),"Linha",ROUND(1-SUM(U53:AG53),4)))</f>
        <v>Linha</v>
      </c>
      <c r="I53" s="190" t="str">
        <f ca="1">IF($F54=0,OFFSET(ORÇAMENTO!O$15,$F53,0),IF($F54&lt;&gt;-1,OFFSET(QCI!$D$13,$F54,0),""))</f>
        <v>1.13.</v>
      </c>
      <c r="J53" s="191" t="str">
        <f ca="1">IF($F54=0,OFFSET(ORÇAMENTO!R$15,$F53,0),IF($F54&lt;&gt;-1,OFFSET(QCI!$G$13,$F54,0),""))</f>
        <v>FORRO</v>
      </c>
      <c r="K53" s="191"/>
      <c r="L53" s="191"/>
      <c r="M53" s="192">
        <f ca="1">IF($F54=0,OFFSET(ORÇAMENTO!C$15,$F53,0),1)</f>
        <v>2</v>
      </c>
      <c r="N53" s="193">
        <f ca="1">IF($F54=-1,0,IF(N$13&lt;=$M53,IF(ISERROR(MATCH(N$13,OFFSET($M53,1,0,ROW($M$119)-ROW($M53)-1),0)),ROW($M$119)-ROW($M53)-1,MATCH(N$13,OFFSET($M53,1,0,ROW($M$119)-ROW($M53)-1),0)-1),0))</f>
        <v>65</v>
      </c>
      <c r="O53" s="193">
        <f ca="1">IF($F54=-1,0,IF(O$13&lt;=$M53,IF(ISERROR(MATCH(O$13,OFFSET($M53,1,0,ROW($M$119)-ROW($M53)-1),0)),ROW($M$119)-ROW($M53)-1,MATCH(O$13,OFFSET($M53,1,0,ROW($M$119)-ROW($M53)-1),0)-1),0))</f>
        <v>2</v>
      </c>
      <c r="P53" s="193">
        <f ca="1">IF($F54=-1,0,IF(P$13&lt;=$M53,IF(ISERROR(MATCH(P$13,OFFSET($M53,1,0,ROW($M$119)-ROW($M53)-1),0)),ROW($M$119)-ROW($M53)-1,MATCH(P$13,OFFSET($M53,1,0,ROW($M$119)-ROW($M53)-1),0)-1),0))</f>
        <v>0</v>
      </c>
      <c r="Q53" s="193">
        <f ca="1">IF($F54=-1,0,IF(Q$13&lt;=$M53,IF(ISERROR(MATCH(Q$13,OFFSET($M53,1,0,ROW($M$119)-ROW($M53)-1),0)),ROW($M$119)-ROW($M53)-1,MATCH(Q$13,OFFSET($M53,1,0,ROW($M$119)-ROW($M53)-1),0)-1),0))</f>
        <v>0</v>
      </c>
      <c r="R53" s="193">
        <f ca="1">MIN(OFFSET(M53,0,1,,M53))</f>
        <v>2</v>
      </c>
      <c r="S53" s="194">
        <f ca="1">IF($F54=0,OFFSET(ORÇAMENTO!X$15,$F53,0),IF($F54&lt;&gt;-1,OFFSET(QCI!$O$13,$F54,0),""))</f>
        <v>49656.88</v>
      </c>
      <c r="T53" s="195" t="s">
        <v>785</v>
      </c>
      <c r="U53" s="188">
        <f t="array" aca="1" ref="U53" ca="1">IF(AND($R53=2,ACOMPANHAMENTO="BM"),ROUND(U54,4),U55/$S53)</f>
        <v>0</v>
      </c>
      <c r="V53" s="188">
        <f t="array" aca="1" ref="V53" ca="1">IF(AND($R53=2,ACOMPANHAMENTO="BM"),ROUND(V54,4),V55/$S53)</f>
        <v>0</v>
      </c>
      <c r="W53" s="188">
        <f t="array" aca="1" ref="W53" ca="1">IF(AND($R53=2,ACOMPANHAMENTO="BM"),ROUND(W54,4),W55/$S53)</f>
        <v>0</v>
      </c>
      <c r="X53" s="188">
        <f t="array" aca="1" ref="X53" ca="1">IF(AND($R53=2,ACOMPANHAMENTO="BM"),ROUND(X54,4),X55/$S53)</f>
        <v>0</v>
      </c>
      <c r="Y53" s="188">
        <f t="array" aca="1" ref="Y53" ca="1">IF(AND($R53=2,ACOMPANHAMENTO="BM"),ROUND(Y54,4),Y55/$S53)</f>
        <v>0</v>
      </c>
      <c r="Z53" s="188">
        <f t="array" aca="1" ref="Z53" ca="1">IF(AND($R53=2,ACOMPANHAMENTO="BM"),ROUND(Z54,4),Z55/$S53)</f>
        <v>0.25</v>
      </c>
      <c r="AA53" s="188">
        <f t="array" aca="1" ref="AA53" ca="1">IF(AND($R53=2,ACOMPANHAMENTO="BM"),ROUND(AA54,4),AA55/$S53)</f>
        <v>0.5</v>
      </c>
      <c r="AB53" s="188">
        <f t="array" aca="1" ref="AB53" ca="1">IF(AND($R53=2,ACOMPANHAMENTO="BM"),ROUND(AB54,4),AB55/$S53)</f>
        <v>0.25</v>
      </c>
      <c r="AC53" s="188">
        <f t="array" aca="1" ref="AC53" ca="1">IF(AND($R53=2,ACOMPANHAMENTO="BM"),ROUND(AC54,4),AC55/$S53)</f>
        <v>0</v>
      </c>
      <c r="AD53" s="188">
        <f t="array" aca="1" ref="AD53" ca="1">IF(AND($R53=2,ACOMPANHAMENTO="BM"),ROUND(AD54,4),AD55/$S53)</f>
        <v>0</v>
      </c>
      <c r="AE53" s="188">
        <f t="array" aca="1" ref="AE53" ca="1">IF(AND($R53=2,ACOMPANHAMENTO="BM"),ROUND(AE54,4),AE55/$S53)</f>
        <v>0</v>
      </c>
      <c r="AF53" s="188">
        <f t="array" aca="1" ref="AF53" ca="1">IF(AND($R53=2,ACOMPANHAMENTO="BM"),ROUND(AF54,4),AF55/$S53)</f>
        <v>0</v>
      </c>
      <c r="AG53" s="532"/>
    </row>
    <row r="54" spans="1:33" ht="12.75" customHeight="1" x14ac:dyDescent="0.2">
      <c r="E54" s="585"/>
      <c r="F54" s="185">
        <f ca="1">IF(ISERROR(F53),IF(1+COUNTIF($M$13:OFFSET(M53,-1,0),1)&lt;=MAX(QCI!$D$13:$D$24),1+COUNTIF($M$13:OFFSET(M53,-1,0),1),-1),0)</f>
        <v>0</v>
      </c>
      <c r="G54" s="185" t="str">
        <f t="array" aca="1" ref="G54" ca="1">IF(ACOMPANHAMENTO="BM",OFFSET(G54,-1,0),"")</f>
        <v/>
      </c>
      <c r="H54" s="196" t="str">
        <f t="array" aca="1" ref="H54" ca="1">IF(OR(S53=0,S53=""),"vazia",IF(AND(OR(ACOMPANHAMENTO="PLE",$R53&lt;&gt;2),$F54=0),"calculada","--&gt;"))</f>
        <v>calculada</v>
      </c>
      <c r="I54" s="197"/>
      <c r="J54" s="198" t="str">
        <f ca="1">IF(AND(H53&lt;&gt;0,ISNUMBER(H53)),"PREENCHA ESTA LINHA --&gt;","")</f>
        <v/>
      </c>
      <c r="K54" s="198"/>
      <c r="L54" s="198"/>
      <c r="M54" s="199"/>
      <c r="N54" s="199"/>
      <c r="O54" s="199"/>
      <c r="P54" s="199"/>
      <c r="Q54" s="199"/>
      <c r="R54" s="199"/>
      <c r="S54" s="200"/>
      <c r="T54" s="201"/>
      <c r="U54" s="585"/>
      <c r="V54" s="585"/>
      <c r="W54" s="585"/>
      <c r="X54" s="585"/>
      <c r="Y54" s="585"/>
      <c r="Z54" s="585"/>
      <c r="AA54" s="585"/>
      <c r="AB54" s="585"/>
      <c r="AC54" s="585"/>
      <c r="AD54" s="585"/>
      <c r="AE54" s="585"/>
      <c r="AF54" s="585"/>
      <c r="AG54" s="532"/>
    </row>
    <row r="55" spans="1:33" ht="12.75" customHeight="1" x14ac:dyDescent="0.2">
      <c r="D55" s="531"/>
      <c r="E55" s="202">
        <f t="array" aca="1" ref="E55" ca="1">IF($R53=2,
         IF(AND(ACOMPANHAMENTO="PLE",ISNUMBER($F53)),
                SUMIF((OFFSET(CÁLCULO!$BC$15:$BU$15,$F53,0,OFFSET(ORÇAMENTO!$D$15,CRONO!$F53,0))),CRONO!E$12,OFFSET(CÁLCULO!$AJ$15:$BB$15,$F53,0,OFFSET(ORÇAMENTO!$D$15,CRONO!$F53,0)))
                +IF(AND($F55&lt;&gt;"",$F55&lt;&gt;0),
                        SUMIF(CÁLCULO!$BC$15:$BU$235,CRONO!E$12,CÁLCULO!$AJ$15:$BB$235)/(ORÇAMENTO!$X$15-CÁLCULO.TotalAdmLocal)*CRONO!$F55,
                        0),
                 E54*$S53),
          SUMIF(OFFSET($S55,1,0,$R53-2),($M53+1)&amp;"$",OFFSET(E55,1,0,$R53-2)))</f>
        <v>0</v>
      </c>
      <c r="F55" s="185">
        <f ca="1">IF(OR($R53&lt;&gt;2,AUTOEVENTO&lt;&gt;"manual",$F54&gt;0),"",
        IF(Import.TipoArredondamento="Tradicional",
              SUMIF(OFFSET(CÁLCULO!$M$15,CRONO!$F53,0,OFFSET(ORÇAMENTO!$D$15,CRONO!$F53,0)),1,OFFSET(ORÇAMENTO!$X$15,CRONO!$F53,0,OFFSET(ORÇAMENTO!$D$15,CRONO!$F53,0))),
              0))</f>
        <v>0</v>
      </c>
      <c r="H55" s="693"/>
      <c r="S55" s="204" t="str">
        <f ca="1">M53&amp;"$"</f>
        <v>2$</v>
      </c>
      <c r="T55" s="205"/>
      <c r="U55" s="202">
        <f t="array" aca="1" ref="U55" ca="1">IF($R53=2,
         IF(AND(ACOMPANHAMENTO="PLE",ISNUMBER($F53)),
                SUMIF((OFFSET(CÁLCULO!$BC$15:$BU$15,$F53,0,OFFSET(ORÇAMENTO!$D$15,CRONO!$F53,0))),CRONO!U$12,OFFSET(CÁLCULO!$AJ$15:$BB$15,$F53,0,OFFSET(ORÇAMENTO!$D$15,CRONO!$F53,0)))
                +IF(AND($F55&lt;&gt;"",$F55&lt;&gt;0),
                        SUMIF(CÁLCULO!$BC$15:$BU$235,CRONO!U$12,CÁLCULO!$AJ$15:$BB$235)/(ORÇAMENTO!$X$15-CÁLCULO.TotalAdmLocal)*CRONO!$F55,
                        0),
                 U54*$S53),
          SUMIF(OFFSET($S55,1,0,$R53-2),($M53+1)&amp;"$",OFFSET(U55,1,0,$R53-2)))</f>
        <v>0</v>
      </c>
      <c r="V55" s="202">
        <f t="array" aca="1" ref="V55" ca="1">IF($R53=2,
         IF(AND(ACOMPANHAMENTO="PLE",ISNUMBER($F53)),
                SUMIF((OFFSET(CÁLCULO!$BC$15:$BU$15,$F53,0,OFFSET(ORÇAMENTO!$D$15,CRONO!$F53,0))),CRONO!V$12,OFFSET(CÁLCULO!$AJ$15:$BB$15,$F53,0,OFFSET(ORÇAMENTO!$D$15,CRONO!$F53,0)))
                +IF(AND($F55&lt;&gt;"",$F55&lt;&gt;0),
                        SUMIF(CÁLCULO!$BC$15:$BU$235,CRONO!V$12,CÁLCULO!$AJ$15:$BB$235)/(ORÇAMENTO!$X$15-CÁLCULO.TotalAdmLocal)*CRONO!$F55,
                        0),
                 V54*$S53),
          SUMIF(OFFSET($S55,1,0,$R53-2),($M53+1)&amp;"$",OFFSET(V55,1,0,$R53-2)))</f>
        <v>0</v>
      </c>
      <c r="W55" s="202">
        <f t="array" aca="1" ref="W55" ca="1">IF($R53=2,
         IF(AND(ACOMPANHAMENTO="PLE",ISNUMBER($F53)),
                SUMIF((OFFSET(CÁLCULO!$BC$15:$BU$15,$F53,0,OFFSET(ORÇAMENTO!$D$15,CRONO!$F53,0))),CRONO!W$12,OFFSET(CÁLCULO!$AJ$15:$BB$15,$F53,0,OFFSET(ORÇAMENTO!$D$15,CRONO!$F53,0)))
                +IF(AND($F55&lt;&gt;"",$F55&lt;&gt;0),
                        SUMIF(CÁLCULO!$BC$15:$BU$235,CRONO!W$12,CÁLCULO!$AJ$15:$BB$235)/(ORÇAMENTO!$X$15-CÁLCULO.TotalAdmLocal)*CRONO!$F55,
                        0),
                 W54*$S53),
          SUMIF(OFFSET($S55,1,0,$R53-2),($M53+1)&amp;"$",OFFSET(W55,1,0,$R53-2)))</f>
        <v>0</v>
      </c>
      <c r="X55" s="202">
        <f t="array" aca="1" ref="X55" ca="1">IF($R53=2,
         IF(AND(ACOMPANHAMENTO="PLE",ISNUMBER($F53)),
                SUMIF((OFFSET(CÁLCULO!$BC$15:$BU$15,$F53,0,OFFSET(ORÇAMENTO!$D$15,CRONO!$F53,0))),CRONO!X$12,OFFSET(CÁLCULO!$AJ$15:$BB$15,$F53,0,OFFSET(ORÇAMENTO!$D$15,CRONO!$F53,0)))
                +IF(AND($F55&lt;&gt;"",$F55&lt;&gt;0),
                        SUMIF(CÁLCULO!$BC$15:$BU$235,CRONO!X$12,CÁLCULO!$AJ$15:$BB$235)/(ORÇAMENTO!$X$15-CÁLCULO.TotalAdmLocal)*CRONO!$F55,
                        0),
                 X54*$S53),
          SUMIF(OFFSET($S55,1,0,$R53-2),($M53+1)&amp;"$",OFFSET(X55,1,0,$R53-2)))</f>
        <v>0</v>
      </c>
      <c r="Y55" s="202">
        <f t="array" aca="1" ref="Y55" ca="1">IF($R53=2,
         IF(AND(ACOMPANHAMENTO="PLE",ISNUMBER($F53)),
                SUMIF((OFFSET(CÁLCULO!$BC$15:$BU$15,$F53,0,OFFSET(ORÇAMENTO!$D$15,CRONO!$F53,0))),CRONO!Y$12,OFFSET(CÁLCULO!$AJ$15:$BB$15,$F53,0,OFFSET(ORÇAMENTO!$D$15,CRONO!$F53,0)))
                +IF(AND($F55&lt;&gt;"",$F55&lt;&gt;0),
                        SUMIF(CÁLCULO!$BC$15:$BU$235,CRONO!Y$12,CÁLCULO!$AJ$15:$BB$235)/(ORÇAMENTO!$X$15-CÁLCULO.TotalAdmLocal)*CRONO!$F55,
                        0),
                 Y54*$S53),
          SUMIF(OFFSET($S55,1,0,$R53-2),($M53+1)&amp;"$",OFFSET(Y55,1,0,$R53-2)))</f>
        <v>0</v>
      </c>
      <c r="Z55" s="202">
        <f t="array" aca="1" ref="Z55" ca="1">IF($R53=2,
         IF(AND(ACOMPANHAMENTO="PLE",ISNUMBER($F53)),
                SUMIF((OFFSET(CÁLCULO!$BC$15:$BU$15,$F53,0,OFFSET(ORÇAMENTO!$D$15,CRONO!$F53,0))),CRONO!Z$12,OFFSET(CÁLCULO!$AJ$15:$BB$15,$F53,0,OFFSET(ORÇAMENTO!$D$15,CRONO!$F53,0)))
                +IF(AND($F55&lt;&gt;"",$F55&lt;&gt;0),
                        SUMIF(CÁLCULO!$BC$15:$BU$235,CRONO!Z$12,CÁLCULO!$AJ$15:$BB$235)/(ORÇAMENTO!$X$15-CÁLCULO.TotalAdmLocal)*CRONO!$F55,
                        0),
                 Z54*$S53),
          SUMIF(OFFSET($S55,1,0,$R53-2),($M53+1)&amp;"$",OFFSET(Z55,1,0,$R53-2)))</f>
        <v>12414.22</v>
      </c>
      <c r="AA55" s="202">
        <f t="array" aca="1" ref="AA55" ca="1">IF($R53=2,
         IF(AND(ACOMPANHAMENTO="PLE",ISNUMBER($F53)),
                SUMIF((OFFSET(CÁLCULO!$BC$15:$BU$15,$F53,0,OFFSET(ORÇAMENTO!$D$15,CRONO!$F53,0))),CRONO!AA$12,OFFSET(CÁLCULO!$AJ$15:$BB$15,$F53,0,OFFSET(ORÇAMENTO!$D$15,CRONO!$F53,0)))
                +IF(AND($F55&lt;&gt;"",$F55&lt;&gt;0),
                        SUMIF(CÁLCULO!$BC$15:$BU$235,CRONO!AA$12,CÁLCULO!$AJ$15:$BB$235)/(ORÇAMENTO!$X$15-CÁLCULO.TotalAdmLocal)*CRONO!$F55,
                        0),
                 AA54*$S53),
          SUMIF(OFFSET($S55,1,0,$R53-2),($M53+1)&amp;"$",OFFSET(AA55,1,0,$R53-2)))</f>
        <v>24828.44</v>
      </c>
      <c r="AB55" s="202">
        <f t="array" aca="1" ref="AB55" ca="1">IF($R53=2,
         IF(AND(ACOMPANHAMENTO="PLE",ISNUMBER($F53)),
                SUMIF((OFFSET(CÁLCULO!$BC$15:$BU$15,$F53,0,OFFSET(ORÇAMENTO!$D$15,CRONO!$F53,0))),CRONO!AB$12,OFFSET(CÁLCULO!$AJ$15:$BB$15,$F53,0,OFFSET(ORÇAMENTO!$D$15,CRONO!$F53,0)))
                +IF(AND($F55&lt;&gt;"",$F55&lt;&gt;0),
                        SUMIF(CÁLCULO!$BC$15:$BU$235,CRONO!AB$12,CÁLCULO!$AJ$15:$BB$235)/(ORÇAMENTO!$X$15-CÁLCULO.TotalAdmLocal)*CRONO!$F55,
                        0),
                 AB54*$S53),
          SUMIF(OFFSET($S55,1,0,$R53-2),($M53+1)&amp;"$",OFFSET(AB55,1,0,$R53-2)))</f>
        <v>12414.22</v>
      </c>
      <c r="AC55" s="202">
        <f t="array" aca="1" ref="AC55" ca="1">IF($R53=2,
         IF(AND(ACOMPANHAMENTO="PLE",ISNUMBER($F53)),
                SUMIF((OFFSET(CÁLCULO!$BC$15:$BU$15,$F53,0,OFFSET(ORÇAMENTO!$D$15,CRONO!$F53,0))),CRONO!AC$12,OFFSET(CÁLCULO!$AJ$15:$BB$15,$F53,0,OFFSET(ORÇAMENTO!$D$15,CRONO!$F53,0)))
                +IF(AND($F55&lt;&gt;"",$F55&lt;&gt;0),
                        SUMIF(CÁLCULO!$BC$15:$BU$235,CRONO!AC$12,CÁLCULO!$AJ$15:$BB$235)/(ORÇAMENTO!$X$15-CÁLCULO.TotalAdmLocal)*CRONO!$F55,
                        0),
                 AC54*$S53),
          SUMIF(OFFSET($S55,1,0,$R53-2),($M53+1)&amp;"$",OFFSET(AC55,1,0,$R53-2)))</f>
        <v>0</v>
      </c>
      <c r="AD55" s="202">
        <f t="array" aca="1" ref="AD55" ca="1">IF($R53=2,
         IF(AND(ACOMPANHAMENTO="PLE",ISNUMBER($F53)),
                SUMIF((OFFSET(CÁLCULO!$BC$15:$BU$15,$F53,0,OFFSET(ORÇAMENTO!$D$15,CRONO!$F53,0))),CRONO!AD$12,OFFSET(CÁLCULO!$AJ$15:$BB$15,$F53,0,OFFSET(ORÇAMENTO!$D$15,CRONO!$F53,0)))
                +IF(AND($F55&lt;&gt;"",$F55&lt;&gt;0),
                        SUMIF(CÁLCULO!$BC$15:$BU$235,CRONO!AD$12,CÁLCULO!$AJ$15:$BB$235)/(ORÇAMENTO!$X$15-CÁLCULO.TotalAdmLocal)*CRONO!$F55,
                        0),
                 AD54*$S53),
          SUMIF(OFFSET($S55,1,0,$R53-2),($M53+1)&amp;"$",OFFSET(AD55,1,0,$R53-2)))</f>
        <v>0</v>
      </c>
      <c r="AE55" s="202">
        <f t="array" aca="1" ref="AE55" ca="1">IF($R53=2,
         IF(AND(ACOMPANHAMENTO="PLE",ISNUMBER($F53)),
                SUMIF((OFFSET(CÁLCULO!$BC$15:$BU$15,$F53,0,OFFSET(ORÇAMENTO!$D$15,CRONO!$F53,0))),CRONO!AE$12,OFFSET(CÁLCULO!$AJ$15:$BB$15,$F53,0,OFFSET(ORÇAMENTO!$D$15,CRONO!$F53,0)))
                +IF(AND($F55&lt;&gt;"",$F55&lt;&gt;0),
                        SUMIF(CÁLCULO!$BC$15:$BU$235,CRONO!AE$12,CÁLCULO!$AJ$15:$BB$235)/(ORÇAMENTO!$X$15-CÁLCULO.TotalAdmLocal)*CRONO!$F55,
                        0),
                 AE54*$S53),
          SUMIF(OFFSET($S55,1,0,$R53-2),($M53+1)&amp;"$",OFFSET(AE55,1,0,$R53-2)))</f>
        <v>0</v>
      </c>
      <c r="AF55" s="202">
        <f t="array" aca="1" ref="AF55" ca="1">IF($R53=2,
         IF(AND(ACOMPANHAMENTO="PLE",ISNUMBER($F53)),
                SUMIF((OFFSET(CÁLCULO!$BC$15:$BU$15,$F53,0,OFFSET(ORÇAMENTO!$D$15,CRONO!$F53,0))),CRONO!AF$12,OFFSET(CÁLCULO!$AJ$15:$BB$15,$F53,0,OFFSET(ORÇAMENTO!$D$15,CRONO!$F53,0)))
                +IF(AND($F55&lt;&gt;"",$F55&lt;&gt;0),
                        SUMIF(CÁLCULO!$BC$15:$BU$235,CRONO!AF$12,CÁLCULO!$AJ$15:$BB$235)/(ORÇAMENTO!$X$15-CÁLCULO.TotalAdmLocal)*CRONO!$F55,
                        0),
                 AF54*$S53),
          SUMIF(OFFSET($S55,1,0,$R53-2),($M53+1)&amp;"$",OFFSET(AF55,1,0,$R53-2)))</f>
        <v>0</v>
      </c>
      <c r="AG55" s="532"/>
    </row>
    <row r="56" spans="1:33" x14ac:dyDescent="0.2">
      <c r="A56" s="186" t="str">
        <f ca="1">IF($M56&gt;1,_xlfn.CONCAT($I56," ",$J56),"")</f>
        <v>1.14. REVESTIMENTOS INTERNOS</v>
      </c>
      <c r="B56" s="185">
        <f ca="1">OFFSET(B56,-3,0)+1</f>
        <v>15</v>
      </c>
      <c r="C56" s="185">
        <f ca="1">IF($R56&lt;&gt;2,0,IF($S56=0,1,IF(F57&gt;0,OFFSET(QCI!$M$13,SUBSTITUTE(F57,".",""),0),OFFSET(ORÇAMENTO!$AA$15,CRONO!$F56,0))/$S56))</f>
        <v>0</v>
      </c>
      <c r="D56" s="185">
        <f ca="1">IF($R56&lt;&gt;2,0,IF($S56=0,1,IF(F57&gt;0,OFFSET(QCI!$N$13,SUBSTITUTE(F57,".",""),0),OFFSET(ORÇAMENTO!$AB$15,CRONO!$F56,0))/$S56))</f>
        <v>0</v>
      </c>
      <c r="E56" s="188">
        <f t="array" aca="1" ref="E56" ca="1">IF(AND($R56=2,ACOMPANHAMENTO="BM"),ROUND(E57,4),E58/$S56)</f>
        <v>0</v>
      </c>
      <c r="F56" s="185">
        <f t="array" aca="1" ref="F56" ca="1">IF(B56&lt;=ORÇAMENTO.MáximoListaCrono,MATCH(B56,ORÇAMENTO.ListaCrono,0),NA())</f>
        <v>71</v>
      </c>
      <c r="G56" s="185" t="str">
        <f ca="1">IF(AND($F57&lt;&gt;-1,$S56&gt;0),"F","")</f>
        <v>F</v>
      </c>
      <c r="H56" s="189" t="str">
        <f t="array" aca="1" ref="H56" ca="1">IF(OR(S56=0,S56=""),"Linha",IF(AND(OR(ACOMPANHAMENTO="PLE",$R56&lt;&gt;2),$F57=0),"Linha",ROUND(1-SUM(U56:AG56),4)))</f>
        <v>Linha</v>
      </c>
      <c r="I56" s="190" t="str">
        <f ca="1">IF($F57=0,OFFSET(ORÇAMENTO!O$15,$F56,0),IF($F57&lt;&gt;-1,OFFSET(QCI!$D$13,$F57,0),""))</f>
        <v>1.14.</v>
      </c>
      <c r="J56" s="191" t="str">
        <f ca="1">IF($F57=0,OFFSET(ORÇAMENTO!R$15,$F56,0),IF($F57&lt;&gt;-1,OFFSET(QCI!$G$13,$F57,0),""))</f>
        <v>REVESTIMENTOS INTERNOS</v>
      </c>
      <c r="K56" s="191"/>
      <c r="L56" s="191"/>
      <c r="M56" s="192">
        <f ca="1">IF($F57=0,OFFSET(ORÇAMENTO!C$15,$F56,0),1)</f>
        <v>2</v>
      </c>
      <c r="N56" s="193">
        <f ca="1">IF($F57=-1,0,IF(N$13&lt;=$M56,IF(ISERROR(MATCH(N$13,OFFSET($M56,1,0,ROW($M$119)-ROW($M56)-1),0)),ROW($M$119)-ROW($M56)-1,MATCH(N$13,OFFSET($M56,1,0,ROW($M$119)-ROW($M56)-1),0)-1),0))</f>
        <v>62</v>
      </c>
      <c r="O56" s="193">
        <f ca="1">IF($F57=-1,0,IF(O$13&lt;=$M56,IF(ISERROR(MATCH(O$13,OFFSET($M56,1,0,ROW($M$119)-ROW($M56)-1),0)),ROW($M$119)-ROW($M56)-1,MATCH(O$13,OFFSET($M56,1,0,ROW($M$119)-ROW($M56)-1),0)-1),0))</f>
        <v>2</v>
      </c>
      <c r="P56" s="193">
        <f ca="1">IF($F57=-1,0,IF(P$13&lt;=$M56,IF(ISERROR(MATCH(P$13,OFFSET($M56,1,0,ROW($M$119)-ROW($M56)-1),0)),ROW($M$119)-ROW($M56)-1,MATCH(P$13,OFFSET($M56,1,0,ROW($M$119)-ROW($M56)-1),0)-1),0))</f>
        <v>0</v>
      </c>
      <c r="Q56" s="193">
        <f ca="1">IF($F57=-1,0,IF(Q$13&lt;=$M56,IF(ISERROR(MATCH(Q$13,OFFSET($M56,1,0,ROW($M$119)-ROW($M56)-1),0)),ROW($M$119)-ROW($M56)-1,MATCH(Q$13,OFFSET($M56,1,0,ROW($M$119)-ROW($M56)-1),0)-1),0))</f>
        <v>0</v>
      </c>
      <c r="R56" s="193">
        <f ca="1">MIN(OFFSET(M56,0,1,,M56))</f>
        <v>2</v>
      </c>
      <c r="S56" s="194">
        <f ca="1">IF($F57=0,OFFSET(ORÇAMENTO!X$15,$F56,0),IF($F57&lt;&gt;-1,OFFSET(QCI!$O$13,$F57,0),""))</f>
        <v>94923.199999999997</v>
      </c>
      <c r="T56" s="195" t="s">
        <v>785</v>
      </c>
      <c r="U56" s="188">
        <f t="array" aca="1" ref="U56" ca="1">IF(AND($R56=2,ACOMPANHAMENTO="BM"),ROUND(U57,4),U58/$S56)</f>
        <v>0</v>
      </c>
      <c r="V56" s="188">
        <f t="array" aca="1" ref="V56" ca="1">IF(AND($R56=2,ACOMPANHAMENTO="BM"),ROUND(V57,4),V58/$S56)</f>
        <v>0</v>
      </c>
      <c r="W56" s="188">
        <f t="array" aca="1" ref="W56" ca="1">IF(AND($R56=2,ACOMPANHAMENTO="BM"),ROUND(W57,4),W58/$S56)</f>
        <v>0</v>
      </c>
      <c r="X56" s="188">
        <f t="array" aca="1" ref="X56" ca="1">IF(AND($R56=2,ACOMPANHAMENTO="BM"),ROUND(X57,4),X58/$S56)</f>
        <v>0</v>
      </c>
      <c r="Y56" s="188">
        <f t="array" aca="1" ref="Y56" ca="1">IF(AND($R56=2,ACOMPANHAMENTO="BM"),ROUND(Y57,4),Y58/$S56)</f>
        <v>0.48892883931430897</v>
      </c>
      <c r="Z56" s="188">
        <f t="array" aca="1" ref="Z56" ca="1">IF(AND($R56=2,ACOMPANHAMENTO="BM"),ROUND(Z57,4),Z58/$S56)</f>
        <v>1.1071160685691169E-2</v>
      </c>
      <c r="AA56" s="188">
        <f t="array" aca="1" ref="AA56" ca="1">IF(AND($R56=2,ACOMPANHAMENTO="BM"),ROUND(AA57,4),AA58/$S56)</f>
        <v>0.50000000000000011</v>
      </c>
      <c r="AB56" s="188">
        <f t="array" aca="1" ref="AB56" ca="1">IF(AND($R56=2,ACOMPANHAMENTO="BM"),ROUND(AB57,4),AB58/$S56)</f>
        <v>0</v>
      </c>
      <c r="AC56" s="188">
        <f t="array" aca="1" ref="AC56" ca="1">IF(AND($R56=2,ACOMPANHAMENTO="BM"),ROUND(AC57,4),AC58/$S56)</f>
        <v>0</v>
      </c>
      <c r="AD56" s="188">
        <f t="array" aca="1" ref="AD56" ca="1">IF(AND($R56=2,ACOMPANHAMENTO="BM"),ROUND(AD57,4),AD58/$S56)</f>
        <v>0</v>
      </c>
      <c r="AE56" s="188">
        <f t="array" aca="1" ref="AE56" ca="1">IF(AND($R56=2,ACOMPANHAMENTO="BM"),ROUND(AE57,4),AE58/$S56)</f>
        <v>0</v>
      </c>
      <c r="AF56" s="188">
        <f t="array" aca="1" ref="AF56" ca="1">IF(AND($R56=2,ACOMPANHAMENTO="BM"),ROUND(AF57,4),AF58/$S56)</f>
        <v>0</v>
      </c>
      <c r="AG56" s="532"/>
    </row>
    <row r="57" spans="1:33" ht="12.75" customHeight="1" x14ac:dyDescent="0.2">
      <c r="E57" s="585"/>
      <c r="F57" s="185">
        <f ca="1">IF(ISERROR(F56),IF(1+COUNTIF($M$13:OFFSET(M56,-1,0),1)&lt;=MAX(QCI!$D$13:$D$24),1+COUNTIF($M$13:OFFSET(M56,-1,0),1),-1),0)</f>
        <v>0</v>
      </c>
      <c r="G57" s="185" t="str">
        <f t="array" aca="1" ref="G57" ca="1">IF(ACOMPANHAMENTO="BM",OFFSET(G57,-1,0),"")</f>
        <v/>
      </c>
      <c r="H57" s="196" t="str">
        <f t="array" aca="1" ref="H57" ca="1">IF(OR(S56=0,S56=""),"vazia",IF(AND(OR(ACOMPANHAMENTO="PLE",$R56&lt;&gt;2),$F57=0),"calculada","--&gt;"))</f>
        <v>calculada</v>
      </c>
      <c r="I57" s="197"/>
      <c r="J57" s="198" t="str">
        <f ca="1">IF(AND(H56&lt;&gt;0,ISNUMBER(H56)),"PREENCHA ESTA LINHA --&gt;","")</f>
        <v/>
      </c>
      <c r="K57" s="198"/>
      <c r="L57" s="198"/>
      <c r="M57" s="199"/>
      <c r="N57" s="199"/>
      <c r="O57" s="199"/>
      <c r="P57" s="199"/>
      <c r="Q57" s="199"/>
      <c r="R57" s="199"/>
      <c r="S57" s="200"/>
      <c r="T57" s="201"/>
      <c r="U57" s="585"/>
      <c r="V57" s="585"/>
      <c r="W57" s="585"/>
      <c r="X57" s="585"/>
      <c r="Y57" s="585"/>
      <c r="Z57" s="585"/>
      <c r="AA57" s="585"/>
      <c r="AB57" s="585"/>
      <c r="AC57" s="585"/>
      <c r="AD57" s="585"/>
      <c r="AE57" s="585"/>
      <c r="AF57" s="585"/>
      <c r="AG57" s="532"/>
    </row>
    <row r="58" spans="1:33" ht="12.75" customHeight="1" x14ac:dyDescent="0.2">
      <c r="D58" s="531"/>
      <c r="E58" s="202">
        <f t="array" aca="1" ref="E58" ca="1">IF($R56=2,
         IF(AND(ACOMPANHAMENTO="PLE",ISNUMBER($F56)),
                SUMIF((OFFSET(CÁLCULO!$BC$15:$BU$15,$F56,0,OFFSET(ORÇAMENTO!$D$15,CRONO!$F56,0))),CRONO!E$12,OFFSET(CÁLCULO!$AJ$15:$BB$15,$F56,0,OFFSET(ORÇAMENTO!$D$15,CRONO!$F56,0)))
                +IF(AND($F58&lt;&gt;"",$F58&lt;&gt;0),
                        SUMIF(CÁLCULO!$BC$15:$BU$235,CRONO!E$12,CÁLCULO!$AJ$15:$BB$235)/(ORÇAMENTO!$X$15-CÁLCULO.TotalAdmLocal)*CRONO!$F58,
                        0),
                 E57*$S56),
          SUMIF(OFFSET($S58,1,0,$R56-2),($M56+1)&amp;"$",OFFSET(E58,1,0,$R56-2)))</f>
        <v>0</v>
      </c>
      <c r="F58" s="185">
        <f ca="1">IF(OR($R56&lt;&gt;2,AUTOEVENTO&lt;&gt;"manual",$F57&gt;0),"",
        IF(Import.TipoArredondamento="Tradicional",
              SUMIF(OFFSET(CÁLCULO!$M$15,CRONO!$F56,0,OFFSET(ORÇAMENTO!$D$15,CRONO!$F56,0)),1,OFFSET(ORÇAMENTO!$X$15,CRONO!$F56,0,OFFSET(ORÇAMENTO!$D$15,CRONO!$F56,0))),
              0))</f>
        <v>0</v>
      </c>
      <c r="H58" s="693"/>
      <c r="S58" s="204" t="str">
        <f ca="1">M56&amp;"$"</f>
        <v>2$</v>
      </c>
      <c r="T58" s="205"/>
      <c r="U58" s="202">
        <f t="array" aca="1" ref="U58" ca="1">IF($R56=2,
         IF(AND(ACOMPANHAMENTO="PLE",ISNUMBER($F56)),
                SUMIF((OFFSET(CÁLCULO!$BC$15:$BU$15,$F56,0,OFFSET(ORÇAMENTO!$D$15,CRONO!$F56,0))),CRONO!U$12,OFFSET(CÁLCULO!$AJ$15:$BB$15,$F56,0,OFFSET(ORÇAMENTO!$D$15,CRONO!$F56,0)))
                +IF(AND($F58&lt;&gt;"",$F58&lt;&gt;0),
                        SUMIF(CÁLCULO!$BC$15:$BU$235,CRONO!U$12,CÁLCULO!$AJ$15:$BB$235)/(ORÇAMENTO!$X$15-CÁLCULO.TotalAdmLocal)*CRONO!$F58,
                        0),
                 U57*$S56),
          SUMIF(OFFSET($S58,1,0,$R56-2),($M56+1)&amp;"$",OFFSET(U58,1,0,$R56-2)))</f>
        <v>0</v>
      </c>
      <c r="V58" s="202">
        <f t="array" aca="1" ref="V58" ca="1">IF($R56=2,
         IF(AND(ACOMPANHAMENTO="PLE",ISNUMBER($F56)),
                SUMIF((OFFSET(CÁLCULO!$BC$15:$BU$15,$F56,0,OFFSET(ORÇAMENTO!$D$15,CRONO!$F56,0))),CRONO!V$12,OFFSET(CÁLCULO!$AJ$15:$BB$15,$F56,0,OFFSET(ORÇAMENTO!$D$15,CRONO!$F56,0)))
                +IF(AND($F58&lt;&gt;"",$F58&lt;&gt;0),
                        SUMIF(CÁLCULO!$BC$15:$BU$235,CRONO!V$12,CÁLCULO!$AJ$15:$BB$235)/(ORÇAMENTO!$X$15-CÁLCULO.TotalAdmLocal)*CRONO!$F58,
                        0),
                 V57*$S56),
          SUMIF(OFFSET($S58,1,0,$R56-2),($M56+1)&amp;"$",OFFSET(V58,1,0,$R56-2)))</f>
        <v>0</v>
      </c>
      <c r="W58" s="202">
        <f t="array" aca="1" ref="W58" ca="1">IF($R56=2,
         IF(AND(ACOMPANHAMENTO="PLE",ISNUMBER($F56)),
                SUMIF((OFFSET(CÁLCULO!$BC$15:$BU$15,$F56,0,OFFSET(ORÇAMENTO!$D$15,CRONO!$F56,0))),CRONO!W$12,OFFSET(CÁLCULO!$AJ$15:$BB$15,$F56,0,OFFSET(ORÇAMENTO!$D$15,CRONO!$F56,0)))
                +IF(AND($F58&lt;&gt;"",$F58&lt;&gt;0),
                        SUMIF(CÁLCULO!$BC$15:$BU$235,CRONO!W$12,CÁLCULO!$AJ$15:$BB$235)/(ORÇAMENTO!$X$15-CÁLCULO.TotalAdmLocal)*CRONO!$F58,
                        0),
                 W57*$S56),
          SUMIF(OFFSET($S58,1,0,$R56-2),($M56+1)&amp;"$",OFFSET(W58,1,0,$R56-2)))</f>
        <v>0</v>
      </c>
      <c r="X58" s="202">
        <f t="array" aca="1" ref="X58" ca="1">IF($R56=2,
         IF(AND(ACOMPANHAMENTO="PLE",ISNUMBER($F56)),
                SUMIF((OFFSET(CÁLCULO!$BC$15:$BU$15,$F56,0,OFFSET(ORÇAMENTO!$D$15,CRONO!$F56,0))),CRONO!X$12,OFFSET(CÁLCULO!$AJ$15:$BB$15,$F56,0,OFFSET(ORÇAMENTO!$D$15,CRONO!$F56,0)))
                +IF(AND($F58&lt;&gt;"",$F58&lt;&gt;0),
                        SUMIF(CÁLCULO!$BC$15:$BU$235,CRONO!X$12,CÁLCULO!$AJ$15:$BB$235)/(ORÇAMENTO!$X$15-CÁLCULO.TotalAdmLocal)*CRONO!$F58,
                        0),
                 X57*$S56),
          SUMIF(OFFSET($S58,1,0,$R56-2),($M56+1)&amp;"$",OFFSET(X58,1,0,$R56-2)))</f>
        <v>0</v>
      </c>
      <c r="Y58" s="202">
        <f t="array" aca="1" ref="Y58" ca="1">IF($R56=2,
         IF(AND(ACOMPANHAMENTO="PLE",ISNUMBER($F56)),
                SUMIF((OFFSET(CÁLCULO!$BC$15:$BU$15,$F56,0,OFFSET(ORÇAMENTO!$D$15,CRONO!$F56,0))),CRONO!Y$12,OFFSET(CÁLCULO!$AJ$15:$BB$15,$F56,0,OFFSET(ORÇAMENTO!$D$15,CRONO!$F56,0)))
                +IF(AND($F58&lt;&gt;"",$F58&lt;&gt;0),
                        SUMIF(CÁLCULO!$BC$15:$BU$235,CRONO!Y$12,CÁLCULO!$AJ$15:$BB$235)/(ORÇAMENTO!$X$15-CÁLCULO.TotalAdmLocal)*CRONO!$F58,
                        0),
                 Y57*$S56),
          SUMIF(OFFSET($S58,1,0,$R56-2),($M56+1)&amp;"$",OFFSET(Y58,1,0,$R56-2)))</f>
        <v>46410.69000000001</v>
      </c>
      <c r="Z58" s="202">
        <f t="array" aca="1" ref="Z58" ca="1">IF($R56=2,
         IF(AND(ACOMPANHAMENTO="PLE",ISNUMBER($F56)),
                SUMIF((OFFSET(CÁLCULO!$BC$15:$BU$15,$F56,0,OFFSET(ORÇAMENTO!$D$15,CRONO!$F56,0))),CRONO!Z$12,OFFSET(CÁLCULO!$AJ$15:$BB$15,$F56,0,OFFSET(ORÇAMENTO!$D$15,CRONO!$F56,0)))
                +IF(AND($F58&lt;&gt;"",$F58&lt;&gt;0),
                        SUMIF(CÁLCULO!$BC$15:$BU$235,CRONO!Z$12,CÁLCULO!$AJ$15:$BB$235)/(ORÇAMENTO!$X$15-CÁLCULO.TotalAdmLocal)*CRONO!$F58,
                        0),
                 Z57*$S56),
          SUMIF(OFFSET($S58,1,0,$R56-2),($M56+1)&amp;"$",OFFSET(Z58,1,0,$R56-2)))</f>
        <v>1050.9099999999999</v>
      </c>
      <c r="AA58" s="202">
        <f t="array" aca="1" ref="AA58" ca="1">IF($R56=2,
         IF(AND(ACOMPANHAMENTO="PLE",ISNUMBER($F56)),
                SUMIF((OFFSET(CÁLCULO!$BC$15:$BU$15,$F56,0,OFFSET(ORÇAMENTO!$D$15,CRONO!$F56,0))),CRONO!AA$12,OFFSET(CÁLCULO!$AJ$15:$BB$15,$F56,0,OFFSET(ORÇAMENTO!$D$15,CRONO!$F56,0)))
                +IF(AND($F58&lt;&gt;"",$F58&lt;&gt;0),
                        SUMIF(CÁLCULO!$BC$15:$BU$235,CRONO!AA$12,CÁLCULO!$AJ$15:$BB$235)/(ORÇAMENTO!$X$15-CÁLCULO.TotalAdmLocal)*CRONO!$F58,
                        0),
                 AA57*$S56),
          SUMIF(OFFSET($S58,1,0,$R56-2),($M56+1)&amp;"$",OFFSET(AA58,1,0,$R56-2)))</f>
        <v>47461.600000000006</v>
      </c>
      <c r="AB58" s="202">
        <f t="array" aca="1" ref="AB58" ca="1">IF($R56=2,
         IF(AND(ACOMPANHAMENTO="PLE",ISNUMBER($F56)),
                SUMIF((OFFSET(CÁLCULO!$BC$15:$BU$15,$F56,0,OFFSET(ORÇAMENTO!$D$15,CRONO!$F56,0))),CRONO!AB$12,OFFSET(CÁLCULO!$AJ$15:$BB$15,$F56,0,OFFSET(ORÇAMENTO!$D$15,CRONO!$F56,0)))
                +IF(AND($F58&lt;&gt;"",$F58&lt;&gt;0),
                        SUMIF(CÁLCULO!$BC$15:$BU$235,CRONO!AB$12,CÁLCULO!$AJ$15:$BB$235)/(ORÇAMENTO!$X$15-CÁLCULO.TotalAdmLocal)*CRONO!$F58,
                        0),
                 AB57*$S56),
          SUMIF(OFFSET($S58,1,0,$R56-2),($M56+1)&amp;"$",OFFSET(AB58,1,0,$R56-2)))</f>
        <v>0</v>
      </c>
      <c r="AC58" s="202">
        <f t="array" aca="1" ref="AC58" ca="1">IF($R56=2,
         IF(AND(ACOMPANHAMENTO="PLE",ISNUMBER($F56)),
                SUMIF((OFFSET(CÁLCULO!$BC$15:$BU$15,$F56,0,OFFSET(ORÇAMENTO!$D$15,CRONO!$F56,0))),CRONO!AC$12,OFFSET(CÁLCULO!$AJ$15:$BB$15,$F56,0,OFFSET(ORÇAMENTO!$D$15,CRONO!$F56,0)))
                +IF(AND($F58&lt;&gt;"",$F58&lt;&gt;0),
                        SUMIF(CÁLCULO!$BC$15:$BU$235,CRONO!AC$12,CÁLCULO!$AJ$15:$BB$235)/(ORÇAMENTO!$X$15-CÁLCULO.TotalAdmLocal)*CRONO!$F58,
                        0),
                 AC57*$S56),
          SUMIF(OFFSET($S58,1,0,$R56-2),($M56+1)&amp;"$",OFFSET(AC58,1,0,$R56-2)))</f>
        <v>0</v>
      </c>
      <c r="AD58" s="202">
        <f t="array" aca="1" ref="AD58" ca="1">IF($R56=2,
         IF(AND(ACOMPANHAMENTO="PLE",ISNUMBER($F56)),
                SUMIF((OFFSET(CÁLCULO!$BC$15:$BU$15,$F56,0,OFFSET(ORÇAMENTO!$D$15,CRONO!$F56,0))),CRONO!AD$12,OFFSET(CÁLCULO!$AJ$15:$BB$15,$F56,0,OFFSET(ORÇAMENTO!$D$15,CRONO!$F56,0)))
                +IF(AND($F58&lt;&gt;"",$F58&lt;&gt;0),
                        SUMIF(CÁLCULO!$BC$15:$BU$235,CRONO!AD$12,CÁLCULO!$AJ$15:$BB$235)/(ORÇAMENTO!$X$15-CÁLCULO.TotalAdmLocal)*CRONO!$F58,
                        0),
                 AD57*$S56),
          SUMIF(OFFSET($S58,1,0,$R56-2),($M56+1)&amp;"$",OFFSET(AD58,1,0,$R56-2)))</f>
        <v>0</v>
      </c>
      <c r="AE58" s="202">
        <f t="array" aca="1" ref="AE58" ca="1">IF($R56=2,
         IF(AND(ACOMPANHAMENTO="PLE",ISNUMBER($F56)),
                SUMIF((OFFSET(CÁLCULO!$BC$15:$BU$15,$F56,0,OFFSET(ORÇAMENTO!$D$15,CRONO!$F56,0))),CRONO!AE$12,OFFSET(CÁLCULO!$AJ$15:$BB$15,$F56,0,OFFSET(ORÇAMENTO!$D$15,CRONO!$F56,0)))
                +IF(AND($F58&lt;&gt;"",$F58&lt;&gt;0),
                        SUMIF(CÁLCULO!$BC$15:$BU$235,CRONO!AE$12,CÁLCULO!$AJ$15:$BB$235)/(ORÇAMENTO!$X$15-CÁLCULO.TotalAdmLocal)*CRONO!$F58,
                        0),
                 AE57*$S56),
          SUMIF(OFFSET($S58,1,0,$R56-2),($M56+1)&amp;"$",OFFSET(AE58,1,0,$R56-2)))</f>
        <v>0</v>
      </c>
      <c r="AF58" s="202">
        <f t="array" aca="1" ref="AF58" ca="1">IF($R56=2,
         IF(AND(ACOMPANHAMENTO="PLE",ISNUMBER($F56)),
                SUMIF((OFFSET(CÁLCULO!$BC$15:$BU$15,$F56,0,OFFSET(ORÇAMENTO!$D$15,CRONO!$F56,0))),CRONO!AF$12,OFFSET(CÁLCULO!$AJ$15:$BB$15,$F56,0,OFFSET(ORÇAMENTO!$D$15,CRONO!$F56,0)))
                +IF(AND($F58&lt;&gt;"",$F58&lt;&gt;0),
                        SUMIF(CÁLCULO!$BC$15:$BU$235,CRONO!AF$12,CÁLCULO!$AJ$15:$BB$235)/(ORÇAMENTO!$X$15-CÁLCULO.TotalAdmLocal)*CRONO!$F58,
                        0),
                 AF57*$S56),
          SUMIF(OFFSET($S58,1,0,$R56-2),($M56+1)&amp;"$",OFFSET(AF58,1,0,$R56-2)))</f>
        <v>0</v>
      </c>
      <c r="AG58" s="532"/>
    </row>
    <row r="59" spans="1:33" x14ac:dyDescent="0.2">
      <c r="A59" s="186" t="str">
        <f ca="1">IF($M59&gt;1,_xlfn.CONCAT($I59," ",$J59),"")</f>
        <v>1.15. REVESTIMENTOS CERÂMICOS</v>
      </c>
      <c r="B59" s="185">
        <f ca="1">OFFSET(B59,-3,0)+1</f>
        <v>16</v>
      </c>
      <c r="C59" s="185">
        <f ca="1">IF($R59&lt;&gt;2,0,IF($S59=0,1,IF(F60&gt;0,OFFSET(QCI!$M$13,SUBSTITUTE(F60,".",""),0),OFFSET(ORÇAMENTO!$AA$15,CRONO!$F59,0))/$S59))</f>
        <v>0</v>
      </c>
      <c r="D59" s="185">
        <f ca="1">IF($R59&lt;&gt;2,0,IF($S59=0,1,IF(F60&gt;0,OFFSET(QCI!$N$13,SUBSTITUTE(F60,".",""),0),OFFSET(ORÇAMENTO!$AB$15,CRONO!$F59,0))/$S59))</f>
        <v>0</v>
      </c>
      <c r="E59" s="188">
        <f t="array" aca="1" ref="E59" ca="1">IF(AND($R59=2,ACOMPANHAMENTO="BM"),ROUND(E60,4),E61/$S59)</f>
        <v>0</v>
      </c>
      <c r="F59" s="185">
        <f t="array" aca="1" ref="F59" ca="1">IF(B59&lt;=ORÇAMENTO.MáximoListaCrono,MATCH(B59,ORÇAMENTO.ListaCrono,0),NA())</f>
        <v>78</v>
      </c>
      <c r="G59" s="185" t="str">
        <f ca="1">IF(AND($F60&lt;&gt;-1,$S59&gt;0),"F","")</f>
        <v>F</v>
      </c>
      <c r="H59" s="189" t="str">
        <f t="array" aca="1" ref="H59" ca="1">IF(OR(S59=0,S59=""),"Linha",IF(AND(OR(ACOMPANHAMENTO="PLE",$R59&lt;&gt;2),$F60=0),"Linha",ROUND(1-SUM(U59:AG59),4)))</f>
        <v>Linha</v>
      </c>
      <c r="I59" s="190" t="str">
        <f ca="1">IF($F60=0,OFFSET(ORÇAMENTO!O$15,$F59,0),IF($F60&lt;&gt;-1,OFFSET(QCI!$D$13,$F60,0),""))</f>
        <v>1.15.</v>
      </c>
      <c r="J59" s="191" t="str">
        <f ca="1">IF($F60=0,OFFSET(ORÇAMENTO!R$15,$F59,0),IF($F60&lt;&gt;-1,OFFSET(QCI!$G$13,$F60,0),""))</f>
        <v>REVESTIMENTOS CERÂMICOS</v>
      </c>
      <c r="K59" s="191"/>
      <c r="L59" s="191"/>
      <c r="M59" s="192">
        <f ca="1">IF($F60=0,OFFSET(ORÇAMENTO!C$15,$F59,0),1)</f>
        <v>2</v>
      </c>
      <c r="N59" s="193">
        <f ca="1">IF($F60=-1,0,IF(N$13&lt;=$M59,IF(ISERROR(MATCH(N$13,OFFSET($M59,1,0,ROW($M$119)-ROW($M59)-1),0)),ROW($M$119)-ROW($M59)-1,MATCH(N$13,OFFSET($M59,1,0,ROW($M$119)-ROW($M59)-1),0)-1),0))</f>
        <v>59</v>
      </c>
      <c r="O59" s="193">
        <f ca="1">IF($F60=-1,0,IF(O$13&lt;=$M59,IF(ISERROR(MATCH(O$13,OFFSET($M59,1,0,ROW($M$119)-ROW($M59)-1),0)),ROW($M$119)-ROW($M59)-1,MATCH(O$13,OFFSET($M59,1,0,ROW($M$119)-ROW($M59)-1),0)-1),0))</f>
        <v>2</v>
      </c>
      <c r="P59" s="193">
        <f ca="1">IF($F60=-1,0,IF(P$13&lt;=$M59,IF(ISERROR(MATCH(P$13,OFFSET($M59,1,0,ROW($M$119)-ROW($M59)-1),0)),ROW($M$119)-ROW($M59)-1,MATCH(P$13,OFFSET($M59,1,0,ROW($M$119)-ROW($M59)-1),0)-1),0))</f>
        <v>0</v>
      </c>
      <c r="Q59" s="193">
        <f ca="1">IF($F60=-1,0,IF(Q$13&lt;=$M59,IF(ISERROR(MATCH(Q$13,OFFSET($M59,1,0,ROW($M$119)-ROW($M59)-1),0)),ROW($M$119)-ROW($M59)-1,MATCH(Q$13,OFFSET($M59,1,0,ROW($M$119)-ROW($M59)-1),0)-1),0))</f>
        <v>0</v>
      </c>
      <c r="R59" s="193">
        <f ca="1">MIN(OFFSET(M59,0,1,,M59))</f>
        <v>2</v>
      </c>
      <c r="S59" s="194">
        <f ca="1">IF($F60=0,OFFSET(ORÇAMENTO!X$15,$F59,0),IF($F60&lt;&gt;-1,OFFSET(QCI!$O$13,$F60,0),""))</f>
        <v>35453.32</v>
      </c>
      <c r="T59" s="195" t="s">
        <v>785</v>
      </c>
      <c r="U59" s="188">
        <f t="array" aca="1" ref="U59" ca="1">IF(AND($R59=2,ACOMPANHAMENTO="BM"),ROUND(U60,4),U61/$S59)</f>
        <v>0</v>
      </c>
      <c r="V59" s="188">
        <f t="array" aca="1" ref="V59" ca="1">IF(AND($R59=2,ACOMPANHAMENTO="BM"),ROUND(V60,4),V61/$S59)</f>
        <v>0</v>
      </c>
      <c r="W59" s="188">
        <f t="array" aca="1" ref="W59" ca="1">IF(AND($R59=2,ACOMPANHAMENTO="BM"),ROUND(W60,4),W61/$S59)</f>
        <v>0</v>
      </c>
      <c r="X59" s="188">
        <f t="array" aca="1" ref="X59" ca="1">IF(AND($R59=2,ACOMPANHAMENTO="BM"),ROUND(X60,4),X61/$S59)</f>
        <v>0</v>
      </c>
      <c r="Y59" s="188">
        <f t="array" aca="1" ref="Y59" ca="1">IF(AND($R59=2,ACOMPANHAMENTO="BM"),ROUND(Y60,4),Y61/$S59)</f>
        <v>0.50000000000000011</v>
      </c>
      <c r="Z59" s="188">
        <f t="array" aca="1" ref="Z59" ca="1">IF(AND($R59=2,ACOMPANHAMENTO="BM"),ROUND(Z60,4),Z61/$S59)</f>
        <v>0</v>
      </c>
      <c r="AA59" s="188">
        <f t="array" aca="1" ref="AA59" ca="1">IF(AND($R59=2,ACOMPANHAMENTO="BM"),ROUND(AA60,4),AA61/$S59)</f>
        <v>0.50000000000000011</v>
      </c>
      <c r="AB59" s="188">
        <f t="array" aca="1" ref="AB59" ca="1">IF(AND($R59=2,ACOMPANHAMENTO="BM"),ROUND(AB60,4),AB61/$S59)</f>
        <v>0</v>
      </c>
      <c r="AC59" s="188">
        <f t="array" aca="1" ref="AC59" ca="1">IF(AND($R59=2,ACOMPANHAMENTO="BM"),ROUND(AC60,4),AC61/$S59)</f>
        <v>0</v>
      </c>
      <c r="AD59" s="188">
        <f t="array" aca="1" ref="AD59" ca="1">IF(AND($R59=2,ACOMPANHAMENTO="BM"),ROUND(AD60,4),AD61/$S59)</f>
        <v>0</v>
      </c>
      <c r="AE59" s="188">
        <f t="array" aca="1" ref="AE59" ca="1">IF(AND($R59=2,ACOMPANHAMENTO="BM"),ROUND(AE60,4),AE61/$S59)</f>
        <v>0</v>
      </c>
      <c r="AF59" s="188">
        <f t="array" aca="1" ref="AF59" ca="1">IF(AND($R59=2,ACOMPANHAMENTO="BM"),ROUND(AF60,4),AF61/$S59)</f>
        <v>0</v>
      </c>
      <c r="AG59" s="532"/>
    </row>
    <row r="60" spans="1:33" ht="12.75" customHeight="1" x14ac:dyDescent="0.2">
      <c r="E60" s="585"/>
      <c r="F60" s="185">
        <f ca="1">IF(ISERROR(F59),IF(1+COUNTIF($M$13:OFFSET(M59,-1,0),1)&lt;=MAX(QCI!$D$13:$D$24),1+COUNTIF($M$13:OFFSET(M59,-1,0),1),-1),0)</f>
        <v>0</v>
      </c>
      <c r="G60" s="185" t="str">
        <f t="array" aca="1" ref="G60" ca="1">IF(ACOMPANHAMENTO="BM",OFFSET(G60,-1,0),"")</f>
        <v/>
      </c>
      <c r="H60" s="196" t="str">
        <f t="array" aca="1" ref="H60" ca="1">IF(OR(S59=0,S59=""),"vazia",IF(AND(OR(ACOMPANHAMENTO="PLE",$R59&lt;&gt;2),$F60=0),"calculada","--&gt;"))</f>
        <v>calculada</v>
      </c>
      <c r="I60" s="197"/>
      <c r="J60" s="198" t="str">
        <f ca="1">IF(AND(H59&lt;&gt;0,ISNUMBER(H59)),"PREENCHA ESTA LINHA --&gt;","")</f>
        <v/>
      </c>
      <c r="K60" s="198"/>
      <c r="L60" s="198"/>
      <c r="M60" s="199"/>
      <c r="N60" s="199"/>
      <c r="O60" s="199"/>
      <c r="P60" s="199"/>
      <c r="Q60" s="199"/>
      <c r="R60" s="199"/>
      <c r="S60" s="200"/>
      <c r="T60" s="201"/>
      <c r="U60" s="585"/>
      <c r="V60" s="585"/>
      <c r="W60" s="585"/>
      <c r="X60" s="585"/>
      <c r="Y60" s="585"/>
      <c r="Z60" s="585"/>
      <c r="AA60" s="585"/>
      <c r="AB60" s="585"/>
      <c r="AC60" s="585"/>
      <c r="AD60" s="585"/>
      <c r="AE60" s="585"/>
      <c r="AF60" s="585"/>
      <c r="AG60" s="532"/>
    </row>
    <row r="61" spans="1:33" ht="12.75" customHeight="1" x14ac:dyDescent="0.2">
      <c r="D61" s="531"/>
      <c r="E61" s="202">
        <f t="array" aca="1" ref="E61" ca="1">IF($R59=2,
         IF(AND(ACOMPANHAMENTO="PLE",ISNUMBER($F59)),
                SUMIF((OFFSET(CÁLCULO!$BC$15:$BU$15,$F59,0,OFFSET(ORÇAMENTO!$D$15,CRONO!$F59,0))),CRONO!E$12,OFFSET(CÁLCULO!$AJ$15:$BB$15,$F59,0,OFFSET(ORÇAMENTO!$D$15,CRONO!$F59,0)))
                +IF(AND($F61&lt;&gt;"",$F61&lt;&gt;0),
                        SUMIF(CÁLCULO!$BC$15:$BU$235,CRONO!E$12,CÁLCULO!$AJ$15:$BB$235)/(ORÇAMENTO!$X$15-CÁLCULO.TotalAdmLocal)*CRONO!$F61,
                        0),
                 E60*$S59),
          SUMIF(OFFSET($S61,1,0,$R59-2),($M59+1)&amp;"$",OFFSET(E61,1,0,$R59-2)))</f>
        <v>0</v>
      </c>
      <c r="F61" s="185">
        <f ca="1">IF(OR($R59&lt;&gt;2,AUTOEVENTO&lt;&gt;"manual",$F60&gt;0),"",
        IF(Import.TipoArredondamento="Tradicional",
              SUMIF(OFFSET(CÁLCULO!$M$15,CRONO!$F59,0,OFFSET(ORÇAMENTO!$D$15,CRONO!$F59,0)),1,OFFSET(ORÇAMENTO!$X$15,CRONO!$F59,0,OFFSET(ORÇAMENTO!$D$15,CRONO!$F59,0))),
              0))</f>
        <v>0</v>
      </c>
      <c r="H61" s="693"/>
      <c r="S61" s="204" t="str">
        <f ca="1">M59&amp;"$"</f>
        <v>2$</v>
      </c>
      <c r="T61" s="205"/>
      <c r="U61" s="202">
        <f t="array" aca="1" ref="U61" ca="1">IF($R59=2,
         IF(AND(ACOMPANHAMENTO="PLE",ISNUMBER($F59)),
                SUMIF((OFFSET(CÁLCULO!$BC$15:$BU$15,$F59,0,OFFSET(ORÇAMENTO!$D$15,CRONO!$F59,0))),CRONO!U$12,OFFSET(CÁLCULO!$AJ$15:$BB$15,$F59,0,OFFSET(ORÇAMENTO!$D$15,CRONO!$F59,0)))
                +IF(AND($F61&lt;&gt;"",$F61&lt;&gt;0),
                        SUMIF(CÁLCULO!$BC$15:$BU$235,CRONO!U$12,CÁLCULO!$AJ$15:$BB$235)/(ORÇAMENTO!$X$15-CÁLCULO.TotalAdmLocal)*CRONO!$F61,
                        0),
                 U60*$S59),
          SUMIF(OFFSET($S61,1,0,$R59-2),($M59+1)&amp;"$",OFFSET(U61,1,0,$R59-2)))</f>
        <v>0</v>
      </c>
      <c r="V61" s="202">
        <f t="array" aca="1" ref="V61" ca="1">IF($R59=2,
         IF(AND(ACOMPANHAMENTO="PLE",ISNUMBER($F59)),
                SUMIF((OFFSET(CÁLCULO!$BC$15:$BU$15,$F59,0,OFFSET(ORÇAMENTO!$D$15,CRONO!$F59,0))),CRONO!V$12,OFFSET(CÁLCULO!$AJ$15:$BB$15,$F59,0,OFFSET(ORÇAMENTO!$D$15,CRONO!$F59,0)))
                +IF(AND($F61&lt;&gt;"",$F61&lt;&gt;0),
                        SUMIF(CÁLCULO!$BC$15:$BU$235,CRONO!V$12,CÁLCULO!$AJ$15:$BB$235)/(ORÇAMENTO!$X$15-CÁLCULO.TotalAdmLocal)*CRONO!$F61,
                        0),
                 V60*$S59),
          SUMIF(OFFSET($S61,1,0,$R59-2),($M59+1)&amp;"$",OFFSET(V61,1,0,$R59-2)))</f>
        <v>0</v>
      </c>
      <c r="W61" s="202">
        <f t="array" aca="1" ref="W61" ca="1">IF($R59=2,
         IF(AND(ACOMPANHAMENTO="PLE",ISNUMBER($F59)),
                SUMIF((OFFSET(CÁLCULO!$BC$15:$BU$15,$F59,0,OFFSET(ORÇAMENTO!$D$15,CRONO!$F59,0))),CRONO!W$12,OFFSET(CÁLCULO!$AJ$15:$BB$15,$F59,0,OFFSET(ORÇAMENTO!$D$15,CRONO!$F59,0)))
                +IF(AND($F61&lt;&gt;"",$F61&lt;&gt;0),
                        SUMIF(CÁLCULO!$BC$15:$BU$235,CRONO!W$12,CÁLCULO!$AJ$15:$BB$235)/(ORÇAMENTO!$X$15-CÁLCULO.TotalAdmLocal)*CRONO!$F61,
                        0),
                 W60*$S59),
          SUMIF(OFFSET($S61,1,0,$R59-2),($M59+1)&amp;"$",OFFSET(W61,1,0,$R59-2)))</f>
        <v>0</v>
      </c>
      <c r="X61" s="202">
        <f t="array" aca="1" ref="X61" ca="1">IF($R59=2,
         IF(AND(ACOMPANHAMENTO="PLE",ISNUMBER($F59)),
                SUMIF((OFFSET(CÁLCULO!$BC$15:$BU$15,$F59,0,OFFSET(ORÇAMENTO!$D$15,CRONO!$F59,0))),CRONO!X$12,OFFSET(CÁLCULO!$AJ$15:$BB$15,$F59,0,OFFSET(ORÇAMENTO!$D$15,CRONO!$F59,0)))
                +IF(AND($F61&lt;&gt;"",$F61&lt;&gt;0),
                        SUMIF(CÁLCULO!$BC$15:$BU$235,CRONO!X$12,CÁLCULO!$AJ$15:$BB$235)/(ORÇAMENTO!$X$15-CÁLCULO.TotalAdmLocal)*CRONO!$F61,
                        0),
                 X60*$S59),
          SUMIF(OFFSET($S61,1,0,$R59-2),($M59+1)&amp;"$",OFFSET(X61,1,0,$R59-2)))</f>
        <v>0</v>
      </c>
      <c r="Y61" s="202">
        <f t="array" aca="1" ref="Y61" ca="1">IF($R59=2,
         IF(AND(ACOMPANHAMENTO="PLE",ISNUMBER($F59)),
                SUMIF((OFFSET(CÁLCULO!$BC$15:$BU$15,$F59,0,OFFSET(ORÇAMENTO!$D$15,CRONO!$F59,0))),CRONO!Y$12,OFFSET(CÁLCULO!$AJ$15:$BB$15,$F59,0,OFFSET(ORÇAMENTO!$D$15,CRONO!$F59,0)))
                +IF(AND($F61&lt;&gt;"",$F61&lt;&gt;0),
                        SUMIF(CÁLCULO!$BC$15:$BU$235,CRONO!Y$12,CÁLCULO!$AJ$15:$BB$235)/(ORÇAMENTO!$X$15-CÁLCULO.TotalAdmLocal)*CRONO!$F61,
                        0),
                 Y60*$S59),
          SUMIF(OFFSET($S61,1,0,$R59-2),($M59+1)&amp;"$",OFFSET(Y61,1,0,$R59-2)))</f>
        <v>17726.660000000003</v>
      </c>
      <c r="Z61" s="202">
        <f t="array" aca="1" ref="Z61" ca="1">IF($R59=2,
         IF(AND(ACOMPANHAMENTO="PLE",ISNUMBER($F59)),
                SUMIF((OFFSET(CÁLCULO!$BC$15:$BU$15,$F59,0,OFFSET(ORÇAMENTO!$D$15,CRONO!$F59,0))),CRONO!Z$12,OFFSET(CÁLCULO!$AJ$15:$BB$15,$F59,0,OFFSET(ORÇAMENTO!$D$15,CRONO!$F59,0)))
                +IF(AND($F61&lt;&gt;"",$F61&lt;&gt;0),
                        SUMIF(CÁLCULO!$BC$15:$BU$235,CRONO!Z$12,CÁLCULO!$AJ$15:$BB$235)/(ORÇAMENTO!$X$15-CÁLCULO.TotalAdmLocal)*CRONO!$F61,
                        0),
                 Z60*$S59),
          SUMIF(OFFSET($S61,1,0,$R59-2),($M59+1)&amp;"$",OFFSET(Z61,1,0,$R59-2)))</f>
        <v>0</v>
      </c>
      <c r="AA61" s="202">
        <f t="array" aca="1" ref="AA61" ca="1">IF($R59=2,
         IF(AND(ACOMPANHAMENTO="PLE",ISNUMBER($F59)),
                SUMIF((OFFSET(CÁLCULO!$BC$15:$BU$15,$F59,0,OFFSET(ORÇAMENTO!$D$15,CRONO!$F59,0))),CRONO!AA$12,OFFSET(CÁLCULO!$AJ$15:$BB$15,$F59,0,OFFSET(ORÇAMENTO!$D$15,CRONO!$F59,0)))
                +IF(AND($F61&lt;&gt;"",$F61&lt;&gt;0),
                        SUMIF(CÁLCULO!$BC$15:$BU$235,CRONO!AA$12,CÁLCULO!$AJ$15:$BB$235)/(ORÇAMENTO!$X$15-CÁLCULO.TotalAdmLocal)*CRONO!$F61,
                        0),
                 AA60*$S59),
          SUMIF(OFFSET($S61,1,0,$R59-2),($M59+1)&amp;"$",OFFSET(AA61,1,0,$R59-2)))</f>
        <v>17726.660000000003</v>
      </c>
      <c r="AB61" s="202">
        <f t="array" aca="1" ref="AB61" ca="1">IF($R59=2,
         IF(AND(ACOMPANHAMENTO="PLE",ISNUMBER($F59)),
                SUMIF((OFFSET(CÁLCULO!$BC$15:$BU$15,$F59,0,OFFSET(ORÇAMENTO!$D$15,CRONO!$F59,0))),CRONO!AB$12,OFFSET(CÁLCULO!$AJ$15:$BB$15,$F59,0,OFFSET(ORÇAMENTO!$D$15,CRONO!$F59,0)))
                +IF(AND($F61&lt;&gt;"",$F61&lt;&gt;0),
                        SUMIF(CÁLCULO!$BC$15:$BU$235,CRONO!AB$12,CÁLCULO!$AJ$15:$BB$235)/(ORÇAMENTO!$X$15-CÁLCULO.TotalAdmLocal)*CRONO!$F61,
                        0),
                 AB60*$S59),
          SUMIF(OFFSET($S61,1,0,$R59-2),($M59+1)&amp;"$",OFFSET(AB61,1,0,$R59-2)))</f>
        <v>0</v>
      </c>
      <c r="AC61" s="202">
        <f t="array" aca="1" ref="AC61" ca="1">IF($R59=2,
         IF(AND(ACOMPANHAMENTO="PLE",ISNUMBER($F59)),
                SUMIF((OFFSET(CÁLCULO!$BC$15:$BU$15,$F59,0,OFFSET(ORÇAMENTO!$D$15,CRONO!$F59,0))),CRONO!AC$12,OFFSET(CÁLCULO!$AJ$15:$BB$15,$F59,0,OFFSET(ORÇAMENTO!$D$15,CRONO!$F59,0)))
                +IF(AND($F61&lt;&gt;"",$F61&lt;&gt;0),
                        SUMIF(CÁLCULO!$BC$15:$BU$235,CRONO!AC$12,CÁLCULO!$AJ$15:$BB$235)/(ORÇAMENTO!$X$15-CÁLCULO.TotalAdmLocal)*CRONO!$F61,
                        0),
                 AC60*$S59),
          SUMIF(OFFSET($S61,1,0,$R59-2),($M59+1)&amp;"$",OFFSET(AC61,1,0,$R59-2)))</f>
        <v>0</v>
      </c>
      <c r="AD61" s="202">
        <f t="array" aca="1" ref="AD61" ca="1">IF($R59=2,
         IF(AND(ACOMPANHAMENTO="PLE",ISNUMBER($F59)),
                SUMIF((OFFSET(CÁLCULO!$BC$15:$BU$15,$F59,0,OFFSET(ORÇAMENTO!$D$15,CRONO!$F59,0))),CRONO!AD$12,OFFSET(CÁLCULO!$AJ$15:$BB$15,$F59,0,OFFSET(ORÇAMENTO!$D$15,CRONO!$F59,0)))
                +IF(AND($F61&lt;&gt;"",$F61&lt;&gt;0),
                        SUMIF(CÁLCULO!$BC$15:$BU$235,CRONO!AD$12,CÁLCULO!$AJ$15:$BB$235)/(ORÇAMENTO!$X$15-CÁLCULO.TotalAdmLocal)*CRONO!$F61,
                        0),
                 AD60*$S59),
          SUMIF(OFFSET($S61,1,0,$R59-2),($M59+1)&amp;"$",OFFSET(AD61,1,0,$R59-2)))</f>
        <v>0</v>
      </c>
      <c r="AE61" s="202">
        <f t="array" aca="1" ref="AE61" ca="1">IF($R59=2,
         IF(AND(ACOMPANHAMENTO="PLE",ISNUMBER($F59)),
                SUMIF((OFFSET(CÁLCULO!$BC$15:$BU$15,$F59,0,OFFSET(ORÇAMENTO!$D$15,CRONO!$F59,0))),CRONO!AE$12,OFFSET(CÁLCULO!$AJ$15:$BB$15,$F59,0,OFFSET(ORÇAMENTO!$D$15,CRONO!$F59,0)))
                +IF(AND($F61&lt;&gt;"",$F61&lt;&gt;0),
                        SUMIF(CÁLCULO!$BC$15:$BU$235,CRONO!AE$12,CÁLCULO!$AJ$15:$BB$235)/(ORÇAMENTO!$X$15-CÁLCULO.TotalAdmLocal)*CRONO!$F61,
                        0),
                 AE60*$S59),
          SUMIF(OFFSET($S61,1,0,$R59-2),($M59+1)&amp;"$",OFFSET(AE61,1,0,$R59-2)))</f>
        <v>0</v>
      </c>
      <c r="AF61" s="202">
        <f t="array" aca="1" ref="AF61" ca="1">IF($R59=2,
         IF(AND(ACOMPANHAMENTO="PLE",ISNUMBER($F59)),
                SUMIF((OFFSET(CÁLCULO!$BC$15:$BU$15,$F59,0,OFFSET(ORÇAMENTO!$D$15,CRONO!$F59,0))),CRONO!AF$12,OFFSET(CÁLCULO!$AJ$15:$BB$15,$F59,0,OFFSET(ORÇAMENTO!$D$15,CRONO!$F59,0)))
                +IF(AND($F61&lt;&gt;"",$F61&lt;&gt;0),
                        SUMIF(CÁLCULO!$BC$15:$BU$235,CRONO!AF$12,CÁLCULO!$AJ$15:$BB$235)/(ORÇAMENTO!$X$15-CÁLCULO.TotalAdmLocal)*CRONO!$F61,
                        0),
                 AF60*$S59),
          SUMIF(OFFSET($S61,1,0,$R59-2),($M59+1)&amp;"$",OFFSET(AF61,1,0,$R59-2)))</f>
        <v>0</v>
      </c>
      <c r="AG61" s="532"/>
    </row>
    <row r="62" spans="1:33" x14ac:dyDescent="0.2">
      <c r="A62" s="186" t="str">
        <f ca="1">IF($M62&gt;1,_xlfn.CONCAT($I62," ",$J62),"")</f>
        <v>1.16. REVESTIMENTOS EXTERNOS</v>
      </c>
      <c r="B62" s="185">
        <f ca="1">OFFSET(B62,-3,0)+1</f>
        <v>17</v>
      </c>
      <c r="C62" s="185">
        <f ca="1">IF($R62&lt;&gt;2,0,IF($S62=0,1,IF(F63&gt;0,OFFSET(QCI!$M$13,SUBSTITUTE(F63,".",""),0),OFFSET(ORÇAMENTO!$AA$15,CRONO!$F62,0))/$S62))</f>
        <v>0</v>
      </c>
      <c r="D62" s="185">
        <f ca="1">IF($R62&lt;&gt;2,0,IF($S62=0,1,IF(F63&gt;0,OFFSET(QCI!$N$13,SUBSTITUTE(F63,".",""),0),OFFSET(ORÇAMENTO!$AB$15,CRONO!$F62,0))/$S62))</f>
        <v>0</v>
      </c>
      <c r="E62" s="188">
        <f t="array" aca="1" ref="E62" ca="1">IF(AND($R62=2,ACOMPANHAMENTO="BM"),ROUND(E63,4),E64/$S62)</f>
        <v>0</v>
      </c>
      <c r="F62" s="185">
        <f t="array" aca="1" ref="F62" ca="1">IF(B62&lt;=ORÇAMENTO.MáximoListaCrono,MATCH(B62,ORÇAMENTO.ListaCrono,0),NA())</f>
        <v>81</v>
      </c>
      <c r="G62" s="185" t="str">
        <f ca="1">IF(AND($F63&lt;&gt;-1,$S62&gt;0),"F","")</f>
        <v>F</v>
      </c>
      <c r="H62" s="189" t="str">
        <f t="array" aca="1" ref="H62" ca="1">IF(OR(S62=0,S62=""),"Linha",IF(AND(OR(ACOMPANHAMENTO="PLE",$R62&lt;&gt;2),$F63=0),"Linha",ROUND(1-SUM(U62:AG62),4)))</f>
        <v>Linha</v>
      </c>
      <c r="I62" s="190" t="str">
        <f ca="1">IF($F63=0,OFFSET(ORÇAMENTO!O$15,$F62,0),IF($F63&lt;&gt;-1,OFFSET(QCI!$D$13,$F63,0),""))</f>
        <v>1.16.</v>
      </c>
      <c r="J62" s="191" t="str">
        <f ca="1">IF($F63=0,OFFSET(ORÇAMENTO!R$15,$F62,0),IF($F63&lt;&gt;-1,OFFSET(QCI!$G$13,$F63,0),""))</f>
        <v>REVESTIMENTOS EXTERNOS</v>
      </c>
      <c r="K62" s="191"/>
      <c r="L62" s="191"/>
      <c r="M62" s="192">
        <f ca="1">IF($F63=0,OFFSET(ORÇAMENTO!C$15,$F62,0),1)</f>
        <v>2</v>
      </c>
      <c r="N62" s="193">
        <f ca="1">IF($F63=-1,0,IF(N$13&lt;=$M62,IF(ISERROR(MATCH(N$13,OFFSET($M62,1,0,ROW($M$119)-ROW($M62)-1),0)),ROW($M$119)-ROW($M62)-1,MATCH(N$13,OFFSET($M62,1,0,ROW($M$119)-ROW($M62)-1),0)-1),0))</f>
        <v>56</v>
      </c>
      <c r="O62" s="193">
        <f ca="1">IF($F63=-1,0,IF(O$13&lt;=$M62,IF(ISERROR(MATCH(O$13,OFFSET($M62,1,0,ROW($M$119)-ROW($M62)-1),0)),ROW($M$119)-ROW($M62)-1,MATCH(O$13,OFFSET($M62,1,0,ROW($M$119)-ROW($M62)-1),0)-1),0))</f>
        <v>2</v>
      </c>
      <c r="P62" s="193">
        <f ca="1">IF($F63=-1,0,IF(P$13&lt;=$M62,IF(ISERROR(MATCH(P$13,OFFSET($M62,1,0,ROW($M$119)-ROW($M62)-1),0)),ROW($M$119)-ROW($M62)-1,MATCH(P$13,OFFSET($M62,1,0,ROW($M$119)-ROW($M62)-1),0)-1),0))</f>
        <v>0</v>
      </c>
      <c r="Q62" s="193">
        <f ca="1">IF($F63=-1,0,IF(Q$13&lt;=$M62,IF(ISERROR(MATCH(Q$13,OFFSET($M62,1,0,ROW($M$119)-ROW($M62)-1),0)),ROW($M$119)-ROW($M62)-1,MATCH(Q$13,OFFSET($M62,1,0,ROW($M$119)-ROW($M62)-1),0)-1),0))</f>
        <v>0</v>
      </c>
      <c r="R62" s="193">
        <f ca="1">MIN(OFFSET(M62,0,1,,M62))</f>
        <v>2</v>
      </c>
      <c r="S62" s="194">
        <f ca="1">IF($F63=0,OFFSET(ORÇAMENTO!X$15,$F62,0),IF($F63&lt;&gt;-1,OFFSET(QCI!$O$13,$F63,0),""))</f>
        <v>83337.64</v>
      </c>
      <c r="T62" s="195" t="s">
        <v>785</v>
      </c>
      <c r="U62" s="188">
        <f t="array" aca="1" ref="U62" ca="1">IF(AND($R62=2,ACOMPANHAMENTO="BM"),ROUND(U63,4),U64/$S62)</f>
        <v>0</v>
      </c>
      <c r="V62" s="188">
        <f t="array" aca="1" ref="V62" ca="1">IF(AND($R62=2,ACOMPANHAMENTO="BM"),ROUND(V63,4),V64/$S62)</f>
        <v>0</v>
      </c>
      <c r="W62" s="188">
        <f t="array" aca="1" ref="W62" ca="1">IF(AND($R62=2,ACOMPANHAMENTO="BM"),ROUND(W63,4),W64/$S62)</f>
        <v>0</v>
      </c>
      <c r="X62" s="188">
        <f t="array" aca="1" ref="X62" ca="1">IF(AND($R62=2,ACOMPANHAMENTO="BM"),ROUND(X63,4),X64/$S62)</f>
        <v>0.25</v>
      </c>
      <c r="Y62" s="188">
        <f t="array" aca="1" ref="Y62" ca="1">IF(AND($R62=2,ACOMPANHAMENTO="BM"),ROUND(Y63,4),Y64/$S62)</f>
        <v>0.25</v>
      </c>
      <c r="Z62" s="188">
        <f t="array" aca="1" ref="Z62" ca="1">IF(AND($R62=2,ACOMPANHAMENTO="BM"),ROUND(Z63,4),Z64/$S62)</f>
        <v>0.25</v>
      </c>
      <c r="AA62" s="188">
        <f t="array" aca="1" ref="AA62" ca="1">IF(AND($R62=2,ACOMPANHAMENTO="BM"),ROUND(AA63,4),AA64/$S62)</f>
        <v>0.25</v>
      </c>
      <c r="AB62" s="188">
        <f t="array" aca="1" ref="AB62" ca="1">IF(AND($R62=2,ACOMPANHAMENTO="BM"),ROUND(AB63,4),AB64/$S62)</f>
        <v>0</v>
      </c>
      <c r="AC62" s="188">
        <f t="array" aca="1" ref="AC62" ca="1">IF(AND($R62=2,ACOMPANHAMENTO="BM"),ROUND(AC63,4),AC64/$S62)</f>
        <v>0</v>
      </c>
      <c r="AD62" s="188">
        <f t="array" aca="1" ref="AD62" ca="1">IF(AND($R62=2,ACOMPANHAMENTO="BM"),ROUND(AD63,4),AD64/$S62)</f>
        <v>0</v>
      </c>
      <c r="AE62" s="188">
        <f t="array" aca="1" ref="AE62" ca="1">IF(AND($R62=2,ACOMPANHAMENTO="BM"),ROUND(AE63,4),AE64/$S62)</f>
        <v>0</v>
      </c>
      <c r="AF62" s="188">
        <f t="array" aca="1" ref="AF62" ca="1">IF(AND($R62=2,ACOMPANHAMENTO="BM"),ROUND(AF63,4),AF64/$S62)</f>
        <v>0</v>
      </c>
      <c r="AG62" s="532"/>
    </row>
    <row r="63" spans="1:33" ht="12.75" customHeight="1" x14ac:dyDescent="0.2">
      <c r="E63" s="585"/>
      <c r="F63" s="185">
        <f ca="1">IF(ISERROR(F62),IF(1+COUNTIF($M$13:OFFSET(M62,-1,0),1)&lt;=MAX(QCI!$D$13:$D$24),1+COUNTIF($M$13:OFFSET(M62,-1,0),1),-1),0)</f>
        <v>0</v>
      </c>
      <c r="G63" s="185" t="str">
        <f t="array" aca="1" ref="G63" ca="1">IF(ACOMPANHAMENTO="BM",OFFSET(G63,-1,0),"")</f>
        <v/>
      </c>
      <c r="H63" s="196" t="str">
        <f t="array" aca="1" ref="H63" ca="1">IF(OR(S62=0,S62=""),"vazia",IF(AND(OR(ACOMPANHAMENTO="PLE",$R62&lt;&gt;2),$F63=0),"calculada","--&gt;"))</f>
        <v>calculada</v>
      </c>
      <c r="I63" s="197"/>
      <c r="J63" s="198" t="str">
        <f ca="1">IF(AND(H62&lt;&gt;0,ISNUMBER(H62)),"PREENCHA ESTA LINHA --&gt;","")</f>
        <v/>
      </c>
      <c r="K63" s="198"/>
      <c r="L63" s="198"/>
      <c r="M63" s="199"/>
      <c r="N63" s="199"/>
      <c r="O63" s="199"/>
      <c r="P63" s="199"/>
      <c r="Q63" s="199"/>
      <c r="R63" s="199"/>
      <c r="S63" s="200"/>
      <c r="T63" s="201"/>
      <c r="U63" s="585"/>
      <c r="V63" s="585"/>
      <c r="W63" s="585"/>
      <c r="X63" s="585"/>
      <c r="Y63" s="585"/>
      <c r="Z63" s="585"/>
      <c r="AA63" s="585"/>
      <c r="AB63" s="585"/>
      <c r="AC63" s="585"/>
      <c r="AD63" s="585"/>
      <c r="AE63" s="585"/>
      <c r="AF63" s="585"/>
      <c r="AG63" s="532"/>
    </row>
    <row r="64" spans="1:33" ht="12.75" customHeight="1" x14ac:dyDescent="0.2">
      <c r="D64" s="531"/>
      <c r="E64" s="202">
        <f t="array" aca="1" ref="E64" ca="1">IF($R62=2,
         IF(AND(ACOMPANHAMENTO="PLE",ISNUMBER($F62)),
                SUMIF((OFFSET(CÁLCULO!$BC$15:$BU$15,$F62,0,OFFSET(ORÇAMENTO!$D$15,CRONO!$F62,0))),CRONO!E$12,OFFSET(CÁLCULO!$AJ$15:$BB$15,$F62,0,OFFSET(ORÇAMENTO!$D$15,CRONO!$F62,0)))
                +IF(AND($F64&lt;&gt;"",$F64&lt;&gt;0),
                        SUMIF(CÁLCULO!$BC$15:$BU$235,CRONO!E$12,CÁLCULO!$AJ$15:$BB$235)/(ORÇAMENTO!$X$15-CÁLCULO.TotalAdmLocal)*CRONO!$F64,
                        0),
                 E63*$S62),
          SUMIF(OFFSET($S64,1,0,$R62-2),($M62+1)&amp;"$",OFFSET(E64,1,0,$R62-2)))</f>
        <v>0</v>
      </c>
      <c r="F64" s="185">
        <f ca="1">IF(OR($R62&lt;&gt;2,AUTOEVENTO&lt;&gt;"manual",$F63&gt;0),"",
        IF(Import.TipoArredondamento="Tradicional",
              SUMIF(OFFSET(CÁLCULO!$M$15,CRONO!$F62,0,OFFSET(ORÇAMENTO!$D$15,CRONO!$F62,0)),1,OFFSET(ORÇAMENTO!$X$15,CRONO!$F62,0,OFFSET(ORÇAMENTO!$D$15,CRONO!$F62,0))),
              0))</f>
        <v>0</v>
      </c>
      <c r="H64" s="693"/>
      <c r="S64" s="204" t="str">
        <f ca="1">M62&amp;"$"</f>
        <v>2$</v>
      </c>
      <c r="T64" s="205"/>
      <c r="U64" s="202">
        <f t="array" aca="1" ref="U64" ca="1">IF($R62=2,
         IF(AND(ACOMPANHAMENTO="PLE",ISNUMBER($F62)),
                SUMIF((OFFSET(CÁLCULO!$BC$15:$BU$15,$F62,0,OFFSET(ORÇAMENTO!$D$15,CRONO!$F62,0))),CRONO!U$12,OFFSET(CÁLCULO!$AJ$15:$BB$15,$F62,0,OFFSET(ORÇAMENTO!$D$15,CRONO!$F62,0)))
                +IF(AND($F64&lt;&gt;"",$F64&lt;&gt;0),
                        SUMIF(CÁLCULO!$BC$15:$BU$235,CRONO!U$12,CÁLCULO!$AJ$15:$BB$235)/(ORÇAMENTO!$X$15-CÁLCULO.TotalAdmLocal)*CRONO!$F64,
                        0),
                 U63*$S62),
          SUMIF(OFFSET($S64,1,0,$R62-2),($M62+1)&amp;"$",OFFSET(U64,1,0,$R62-2)))</f>
        <v>0</v>
      </c>
      <c r="V64" s="202">
        <f t="array" aca="1" ref="V64" ca="1">IF($R62=2,
         IF(AND(ACOMPANHAMENTO="PLE",ISNUMBER($F62)),
                SUMIF((OFFSET(CÁLCULO!$BC$15:$BU$15,$F62,0,OFFSET(ORÇAMENTO!$D$15,CRONO!$F62,0))),CRONO!V$12,OFFSET(CÁLCULO!$AJ$15:$BB$15,$F62,0,OFFSET(ORÇAMENTO!$D$15,CRONO!$F62,0)))
                +IF(AND($F64&lt;&gt;"",$F64&lt;&gt;0),
                        SUMIF(CÁLCULO!$BC$15:$BU$235,CRONO!V$12,CÁLCULO!$AJ$15:$BB$235)/(ORÇAMENTO!$X$15-CÁLCULO.TotalAdmLocal)*CRONO!$F64,
                        0),
                 V63*$S62),
          SUMIF(OFFSET($S64,1,0,$R62-2),($M62+1)&amp;"$",OFFSET(V64,1,0,$R62-2)))</f>
        <v>0</v>
      </c>
      <c r="W64" s="202">
        <f t="array" aca="1" ref="W64" ca="1">IF($R62=2,
         IF(AND(ACOMPANHAMENTO="PLE",ISNUMBER($F62)),
                SUMIF((OFFSET(CÁLCULO!$BC$15:$BU$15,$F62,0,OFFSET(ORÇAMENTO!$D$15,CRONO!$F62,0))),CRONO!W$12,OFFSET(CÁLCULO!$AJ$15:$BB$15,$F62,0,OFFSET(ORÇAMENTO!$D$15,CRONO!$F62,0)))
                +IF(AND($F64&lt;&gt;"",$F64&lt;&gt;0),
                        SUMIF(CÁLCULO!$BC$15:$BU$235,CRONO!W$12,CÁLCULO!$AJ$15:$BB$235)/(ORÇAMENTO!$X$15-CÁLCULO.TotalAdmLocal)*CRONO!$F64,
                        0),
                 W63*$S62),
          SUMIF(OFFSET($S64,1,0,$R62-2),($M62+1)&amp;"$",OFFSET(W64,1,0,$R62-2)))</f>
        <v>0</v>
      </c>
      <c r="X64" s="202">
        <f t="array" aca="1" ref="X64" ca="1">IF($R62=2,
         IF(AND(ACOMPANHAMENTO="PLE",ISNUMBER($F62)),
                SUMIF((OFFSET(CÁLCULO!$BC$15:$BU$15,$F62,0,OFFSET(ORÇAMENTO!$D$15,CRONO!$F62,0))),CRONO!X$12,OFFSET(CÁLCULO!$AJ$15:$BB$15,$F62,0,OFFSET(ORÇAMENTO!$D$15,CRONO!$F62,0)))
                +IF(AND($F64&lt;&gt;"",$F64&lt;&gt;0),
                        SUMIF(CÁLCULO!$BC$15:$BU$235,CRONO!X$12,CÁLCULO!$AJ$15:$BB$235)/(ORÇAMENTO!$X$15-CÁLCULO.TotalAdmLocal)*CRONO!$F64,
                        0),
                 X63*$S62),
          SUMIF(OFFSET($S64,1,0,$R62-2),($M62+1)&amp;"$",OFFSET(X64,1,0,$R62-2)))</f>
        <v>20834.41</v>
      </c>
      <c r="Y64" s="202">
        <f t="array" aca="1" ref="Y64" ca="1">IF($R62=2,
         IF(AND(ACOMPANHAMENTO="PLE",ISNUMBER($F62)),
                SUMIF((OFFSET(CÁLCULO!$BC$15:$BU$15,$F62,0,OFFSET(ORÇAMENTO!$D$15,CRONO!$F62,0))),CRONO!Y$12,OFFSET(CÁLCULO!$AJ$15:$BB$15,$F62,0,OFFSET(ORÇAMENTO!$D$15,CRONO!$F62,0)))
                +IF(AND($F64&lt;&gt;"",$F64&lt;&gt;0),
                        SUMIF(CÁLCULO!$BC$15:$BU$235,CRONO!Y$12,CÁLCULO!$AJ$15:$BB$235)/(ORÇAMENTO!$X$15-CÁLCULO.TotalAdmLocal)*CRONO!$F64,
                        0),
                 Y63*$S62),
          SUMIF(OFFSET($S64,1,0,$R62-2),($M62+1)&amp;"$",OFFSET(Y64,1,0,$R62-2)))</f>
        <v>20834.41</v>
      </c>
      <c r="Z64" s="202">
        <f t="array" aca="1" ref="Z64" ca="1">IF($R62=2,
         IF(AND(ACOMPANHAMENTO="PLE",ISNUMBER($F62)),
                SUMIF((OFFSET(CÁLCULO!$BC$15:$BU$15,$F62,0,OFFSET(ORÇAMENTO!$D$15,CRONO!$F62,0))),CRONO!Z$12,OFFSET(CÁLCULO!$AJ$15:$BB$15,$F62,0,OFFSET(ORÇAMENTO!$D$15,CRONO!$F62,0)))
                +IF(AND($F64&lt;&gt;"",$F64&lt;&gt;0),
                        SUMIF(CÁLCULO!$BC$15:$BU$235,CRONO!Z$12,CÁLCULO!$AJ$15:$BB$235)/(ORÇAMENTO!$X$15-CÁLCULO.TotalAdmLocal)*CRONO!$F64,
                        0),
                 Z63*$S62),
          SUMIF(OFFSET($S64,1,0,$R62-2),($M62+1)&amp;"$",OFFSET(Z64,1,0,$R62-2)))</f>
        <v>20834.41</v>
      </c>
      <c r="AA64" s="202">
        <f t="array" aca="1" ref="AA64" ca="1">IF($R62=2,
         IF(AND(ACOMPANHAMENTO="PLE",ISNUMBER($F62)),
                SUMIF((OFFSET(CÁLCULO!$BC$15:$BU$15,$F62,0,OFFSET(ORÇAMENTO!$D$15,CRONO!$F62,0))),CRONO!AA$12,OFFSET(CÁLCULO!$AJ$15:$BB$15,$F62,0,OFFSET(ORÇAMENTO!$D$15,CRONO!$F62,0)))
                +IF(AND($F64&lt;&gt;"",$F64&lt;&gt;0),
                        SUMIF(CÁLCULO!$BC$15:$BU$235,CRONO!AA$12,CÁLCULO!$AJ$15:$BB$235)/(ORÇAMENTO!$X$15-CÁLCULO.TotalAdmLocal)*CRONO!$F64,
                        0),
                 AA63*$S62),
          SUMIF(OFFSET($S64,1,0,$R62-2),($M62+1)&amp;"$",OFFSET(AA64,1,0,$R62-2)))</f>
        <v>20834.41</v>
      </c>
      <c r="AB64" s="202">
        <f t="array" aca="1" ref="AB64" ca="1">IF($R62=2,
         IF(AND(ACOMPANHAMENTO="PLE",ISNUMBER($F62)),
                SUMIF((OFFSET(CÁLCULO!$BC$15:$BU$15,$F62,0,OFFSET(ORÇAMENTO!$D$15,CRONO!$F62,0))),CRONO!AB$12,OFFSET(CÁLCULO!$AJ$15:$BB$15,$F62,0,OFFSET(ORÇAMENTO!$D$15,CRONO!$F62,0)))
                +IF(AND($F64&lt;&gt;"",$F64&lt;&gt;0),
                        SUMIF(CÁLCULO!$BC$15:$BU$235,CRONO!AB$12,CÁLCULO!$AJ$15:$BB$235)/(ORÇAMENTO!$X$15-CÁLCULO.TotalAdmLocal)*CRONO!$F64,
                        0),
                 AB63*$S62),
          SUMIF(OFFSET($S64,1,0,$R62-2),($M62+1)&amp;"$",OFFSET(AB64,1,0,$R62-2)))</f>
        <v>0</v>
      </c>
      <c r="AC64" s="202">
        <f t="array" aca="1" ref="AC64" ca="1">IF($R62=2,
         IF(AND(ACOMPANHAMENTO="PLE",ISNUMBER($F62)),
                SUMIF((OFFSET(CÁLCULO!$BC$15:$BU$15,$F62,0,OFFSET(ORÇAMENTO!$D$15,CRONO!$F62,0))),CRONO!AC$12,OFFSET(CÁLCULO!$AJ$15:$BB$15,$F62,0,OFFSET(ORÇAMENTO!$D$15,CRONO!$F62,0)))
                +IF(AND($F64&lt;&gt;"",$F64&lt;&gt;0),
                        SUMIF(CÁLCULO!$BC$15:$BU$235,CRONO!AC$12,CÁLCULO!$AJ$15:$BB$235)/(ORÇAMENTO!$X$15-CÁLCULO.TotalAdmLocal)*CRONO!$F64,
                        0),
                 AC63*$S62),
          SUMIF(OFFSET($S64,1,0,$R62-2),($M62+1)&amp;"$",OFFSET(AC64,1,0,$R62-2)))</f>
        <v>0</v>
      </c>
      <c r="AD64" s="202">
        <f t="array" aca="1" ref="AD64" ca="1">IF($R62=2,
         IF(AND(ACOMPANHAMENTO="PLE",ISNUMBER($F62)),
                SUMIF((OFFSET(CÁLCULO!$BC$15:$BU$15,$F62,0,OFFSET(ORÇAMENTO!$D$15,CRONO!$F62,0))),CRONO!AD$12,OFFSET(CÁLCULO!$AJ$15:$BB$15,$F62,0,OFFSET(ORÇAMENTO!$D$15,CRONO!$F62,0)))
                +IF(AND($F64&lt;&gt;"",$F64&lt;&gt;0),
                        SUMIF(CÁLCULO!$BC$15:$BU$235,CRONO!AD$12,CÁLCULO!$AJ$15:$BB$235)/(ORÇAMENTO!$X$15-CÁLCULO.TotalAdmLocal)*CRONO!$F64,
                        0),
                 AD63*$S62),
          SUMIF(OFFSET($S64,1,0,$R62-2),($M62+1)&amp;"$",OFFSET(AD64,1,0,$R62-2)))</f>
        <v>0</v>
      </c>
      <c r="AE64" s="202">
        <f t="array" aca="1" ref="AE64" ca="1">IF($R62=2,
         IF(AND(ACOMPANHAMENTO="PLE",ISNUMBER($F62)),
                SUMIF((OFFSET(CÁLCULO!$BC$15:$BU$15,$F62,0,OFFSET(ORÇAMENTO!$D$15,CRONO!$F62,0))),CRONO!AE$12,OFFSET(CÁLCULO!$AJ$15:$BB$15,$F62,0,OFFSET(ORÇAMENTO!$D$15,CRONO!$F62,0)))
                +IF(AND($F64&lt;&gt;"",$F64&lt;&gt;0),
                        SUMIF(CÁLCULO!$BC$15:$BU$235,CRONO!AE$12,CÁLCULO!$AJ$15:$BB$235)/(ORÇAMENTO!$X$15-CÁLCULO.TotalAdmLocal)*CRONO!$F64,
                        0),
                 AE63*$S62),
          SUMIF(OFFSET($S64,1,0,$R62-2),($M62+1)&amp;"$",OFFSET(AE64,1,0,$R62-2)))</f>
        <v>0</v>
      </c>
      <c r="AF64" s="202">
        <f t="array" aca="1" ref="AF64" ca="1">IF($R62=2,
         IF(AND(ACOMPANHAMENTO="PLE",ISNUMBER($F62)),
                SUMIF((OFFSET(CÁLCULO!$BC$15:$BU$15,$F62,0,OFFSET(ORÇAMENTO!$D$15,CRONO!$F62,0))),CRONO!AF$12,OFFSET(CÁLCULO!$AJ$15:$BB$15,$F62,0,OFFSET(ORÇAMENTO!$D$15,CRONO!$F62,0)))
                +IF(AND($F64&lt;&gt;"",$F64&lt;&gt;0),
                        SUMIF(CÁLCULO!$BC$15:$BU$235,CRONO!AF$12,CÁLCULO!$AJ$15:$BB$235)/(ORÇAMENTO!$X$15-CÁLCULO.TotalAdmLocal)*CRONO!$F64,
                        0),
                 AF63*$S62),
          SUMIF(OFFSET($S64,1,0,$R62-2),($M62+1)&amp;"$",OFFSET(AF64,1,0,$R62-2)))</f>
        <v>0</v>
      </c>
      <c r="AG64" s="532"/>
    </row>
    <row r="65" spans="1:33" x14ac:dyDescent="0.2">
      <c r="A65" s="186" t="str">
        <f ca="1">IF($M65&gt;1,_xlfn.CONCAT($I65," ",$J65),"")</f>
        <v>1.17. PINTURAS INTERNAS</v>
      </c>
      <c r="B65" s="185">
        <f ca="1">OFFSET(B65,-3,0)+1</f>
        <v>18</v>
      </c>
      <c r="C65" s="185">
        <f ca="1">IF($R65&lt;&gt;2,0,IF($S65=0,1,IF(F66&gt;0,OFFSET(QCI!$M$13,SUBSTITUTE(F66,".",""),0),OFFSET(ORÇAMENTO!$AA$15,CRONO!$F65,0))/$S65))</f>
        <v>0</v>
      </c>
      <c r="D65" s="185">
        <f ca="1">IF($R65&lt;&gt;2,0,IF($S65=0,1,IF(F66&gt;0,OFFSET(QCI!$N$13,SUBSTITUTE(F66,".",""),0),OFFSET(ORÇAMENTO!$AB$15,CRONO!$F65,0))/$S65))</f>
        <v>0</v>
      </c>
      <c r="E65" s="188">
        <f t="array" aca="1" ref="E65" ca="1">IF(AND($R65=2,ACOMPANHAMENTO="BM"),ROUND(E66,4),E67/$S65)</f>
        <v>0</v>
      </c>
      <c r="F65" s="185">
        <f t="array" aca="1" ref="F65" ca="1">IF(B65&lt;=ORÇAMENTO.MáximoListaCrono,MATCH(B65,ORÇAMENTO.ListaCrono,0),NA())</f>
        <v>86</v>
      </c>
      <c r="G65" s="185" t="str">
        <f ca="1">IF(AND($F66&lt;&gt;-1,$S65&gt;0),"F","")</f>
        <v>F</v>
      </c>
      <c r="H65" s="189" t="str">
        <f t="array" aca="1" ref="H65" ca="1">IF(OR(S65=0,S65=""),"Linha",IF(AND(OR(ACOMPANHAMENTO="PLE",$R65&lt;&gt;2),$F66=0),"Linha",ROUND(1-SUM(U65:AG65),4)))</f>
        <v>Linha</v>
      </c>
      <c r="I65" s="190" t="str">
        <f ca="1">IF($F66=0,OFFSET(ORÇAMENTO!O$15,$F65,0),IF($F66&lt;&gt;-1,OFFSET(QCI!$D$13,$F66,0),""))</f>
        <v>1.17.</v>
      </c>
      <c r="J65" s="191" t="str">
        <f ca="1">IF($F66=0,OFFSET(ORÇAMENTO!R$15,$F65,0),IF($F66&lt;&gt;-1,OFFSET(QCI!$G$13,$F66,0),""))</f>
        <v>PINTURAS INTERNAS</v>
      </c>
      <c r="K65" s="191"/>
      <c r="L65" s="191"/>
      <c r="M65" s="192">
        <f ca="1">IF($F66=0,OFFSET(ORÇAMENTO!C$15,$F65,0),1)</f>
        <v>2</v>
      </c>
      <c r="N65" s="193">
        <f ca="1">IF($F66=-1,0,IF(N$13&lt;=$M65,IF(ISERROR(MATCH(N$13,OFFSET($M65,1,0,ROW($M$119)-ROW($M65)-1),0)),ROW($M$119)-ROW($M65)-1,MATCH(N$13,OFFSET($M65,1,0,ROW($M$119)-ROW($M65)-1),0)-1),0))</f>
        <v>53</v>
      </c>
      <c r="O65" s="193">
        <f ca="1">IF($F66=-1,0,IF(O$13&lt;=$M65,IF(ISERROR(MATCH(O$13,OFFSET($M65,1,0,ROW($M$119)-ROW($M65)-1),0)),ROW($M$119)-ROW($M65)-1,MATCH(O$13,OFFSET($M65,1,0,ROW($M$119)-ROW($M65)-1),0)-1),0))</f>
        <v>2</v>
      </c>
      <c r="P65" s="193">
        <f ca="1">IF($F66=-1,0,IF(P$13&lt;=$M65,IF(ISERROR(MATCH(P$13,OFFSET($M65,1,0,ROW($M$119)-ROW($M65)-1),0)),ROW($M$119)-ROW($M65)-1,MATCH(P$13,OFFSET($M65,1,0,ROW($M$119)-ROW($M65)-1),0)-1),0))</f>
        <v>0</v>
      </c>
      <c r="Q65" s="193">
        <f ca="1">IF($F66=-1,0,IF(Q$13&lt;=$M65,IF(ISERROR(MATCH(Q$13,OFFSET($M65,1,0,ROW($M$119)-ROW($M65)-1),0)),ROW($M$119)-ROW($M65)-1,MATCH(Q$13,OFFSET($M65,1,0,ROW($M$119)-ROW($M65)-1),0)-1),0))</f>
        <v>0</v>
      </c>
      <c r="R65" s="193">
        <f ca="1">MIN(OFFSET(M65,0,1,,M65))</f>
        <v>2</v>
      </c>
      <c r="S65" s="194">
        <f ca="1">IF($F66=0,OFFSET(ORÇAMENTO!X$15,$F65,0),IF($F66&lt;&gt;-1,OFFSET(QCI!$O$13,$F66,0),""))</f>
        <v>42525.48</v>
      </c>
      <c r="T65" s="195" t="s">
        <v>785</v>
      </c>
      <c r="U65" s="188">
        <f t="array" aca="1" ref="U65" ca="1">IF(AND($R65=2,ACOMPANHAMENTO="BM"),ROUND(U66,4),U67/$S65)</f>
        <v>0</v>
      </c>
      <c r="V65" s="188">
        <f t="array" aca="1" ref="V65" ca="1">IF(AND($R65=2,ACOMPANHAMENTO="BM"),ROUND(V66,4),V67/$S65)</f>
        <v>0</v>
      </c>
      <c r="W65" s="188">
        <f t="array" aca="1" ref="W65" ca="1">IF(AND($R65=2,ACOMPANHAMENTO="BM"),ROUND(W66,4),W67/$S65)</f>
        <v>0</v>
      </c>
      <c r="X65" s="188">
        <f t="array" aca="1" ref="X65" ca="1">IF(AND($R65=2,ACOMPANHAMENTO="BM"),ROUND(X66,4),X67/$S65)</f>
        <v>0</v>
      </c>
      <c r="Y65" s="188">
        <f t="array" aca="1" ref="Y65" ca="1">IF(AND($R65=2,ACOMPANHAMENTO="BM"),ROUND(Y66,4),Y67/$S65)</f>
        <v>0</v>
      </c>
      <c r="Z65" s="188">
        <f t="array" aca="1" ref="Z65" ca="1">IF(AND($R65=2,ACOMPANHAMENTO="BM"),ROUND(Z66,4),Z67/$S65)</f>
        <v>0</v>
      </c>
      <c r="AA65" s="188">
        <f t="array" aca="1" ref="AA65" ca="1">IF(AND($R65=2,ACOMPANHAMENTO="BM"),ROUND(AA66,4),AA67/$S65)</f>
        <v>0.5</v>
      </c>
      <c r="AB65" s="188">
        <f t="array" aca="1" ref="AB65" ca="1">IF(AND($R65=2,ACOMPANHAMENTO="BM"),ROUND(AB66,4),AB67/$S65)</f>
        <v>0.24999999999999994</v>
      </c>
      <c r="AC65" s="188">
        <f t="array" aca="1" ref="AC65" ca="1">IF(AND($R65=2,ACOMPANHAMENTO="BM"),ROUND(AC66,4),AC67/$S65)</f>
        <v>0.24999999999999994</v>
      </c>
      <c r="AD65" s="188">
        <f t="array" aca="1" ref="AD65" ca="1">IF(AND($R65=2,ACOMPANHAMENTO="BM"),ROUND(AD66,4),AD67/$S65)</f>
        <v>0</v>
      </c>
      <c r="AE65" s="188">
        <f t="array" aca="1" ref="AE65" ca="1">IF(AND($R65=2,ACOMPANHAMENTO="BM"),ROUND(AE66,4),AE67/$S65)</f>
        <v>0</v>
      </c>
      <c r="AF65" s="188">
        <f t="array" aca="1" ref="AF65" ca="1">IF(AND($R65=2,ACOMPANHAMENTO="BM"),ROUND(AF66,4),AF67/$S65)</f>
        <v>0</v>
      </c>
      <c r="AG65" s="532"/>
    </row>
    <row r="66" spans="1:33" ht="12.75" customHeight="1" x14ac:dyDescent="0.2">
      <c r="E66" s="585"/>
      <c r="F66" s="185">
        <f ca="1">IF(ISERROR(F65),IF(1+COUNTIF($M$13:OFFSET(M65,-1,0),1)&lt;=MAX(QCI!$D$13:$D$24),1+COUNTIF($M$13:OFFSET(M65,-1,0),1),-1),0)</f>
        <v>0</v>
      </c>
      <c r="G66" s="185" t="str">
        <f t="array" aca="1" ref="G66" ca="1">IF(ACOMPANHAMENTO="BM",OFFSET(G66,-1,0),"")</f>
        <v/>
      </c>
      <c r="H66" s="196" t="str">
        <f t="array" aca="1" ref="H66" ca="1">IF(OR(S65=0,S65=""),"vazia",IF(AND(OR(ACOMPANHAMENTO="PLE",$R65&lt;&gt;2),$F66=0),"calculada","--&gt;"))</f>
        <v>calculada</v>
      </c>
      <c r="I66" s="197"/>
      <c r="J66" s="198" t="str">
        <f ca="1">IF(AND(H65&lt;&gt;0,ISNUMBER(H65)),"PREENCHA ESTA LINHA --&gt;","")</f>
        <v/>
      </c>
      <c r="K66" s="198"/>
      <c r="L66" s="198"/>
      <c r="M66" s="199"/>
      <c r="N66" s="199"/>
      <c r="O66" s="199"/>
      <c r="P66" s="199"/>
      <c r="Q66" s="199"/>
      <c r="R66" s="199"/>
      <c r="S66" s="200"/>
      <c r="T66" s="201"/>
      <c r="U66" s="585"/>
      <c r="V66" s="585"/>
      <c r="W66" s="585"/>
      <c r="X66" s="585"/>
      <c r="Y66" s="585"/>
      <c r="Z66" s="585"/>
      <c r="AA66" s="585"/>
      <c r="AB66" s="585"/>
      <c r="AC66" s="585"/>
      <c r="AD66" s="585"/>
      <c r="AE66" s="585"/>
      <c r="AF66" s="585"/>
      <c r="AG66" s="532"/>
    </row>
    <row r="67" spans="1:33" ht="12.75" customHeight="1" x14ac:dyDescent="0.2">
      <c r="D67" s="531"/>
      <c r="E67" s="202">
        <f t="array" aca="1" ref="E67" ca="1">IF($R65=2,
         IF(AND(ACOMPANHAMENTO="PLE",ISNUMBER($F65)),
                SUMIF((OFFSET(CÁLCULO!$BC$15:$BU$15,$F65,0,OFFSET(ORÇAMENTO!$D$15,CRONO!$F65,0))),CRONO!E$12,OFFSET(CÁLCULO!$AJ$15:$BB$15,$F65,0,OFFSET(ORÇAMENTO!$D$15,CRONO!$F65,0)))
                +IF(AND($F67&lt;&gt;"",$F67&lt;&gt;0),
                        SUMIF(CÁLCULO!$BC$15:$BU$235,CRONO!E$12,CÁLCULO!$AJ$15:$BB$235)/(ORÇAMENTO!$X$15-CÁLCULO.TotalAdmLocal)*CRONO!$F67,
                        0),
                 E66*$S65),
          SUMIF(OFFSET($S67,1,0,$R65-2),($M65+1)&amp;"$",OFFSET(E67,1,0,$R65-2)))</f>
        <v>0</v>
      </c>
      <c r="F67" s="185">
        <f ca="1">IF(OR($R65&lt;&gt;2,AUTOEVENTO&lt;&gt;"manual",$F66&gt;0),"",
        IF(Import.TipoArredondamento="Tradicional",
              SUMIF(OFFSET(CÁLCULO!$M$15,CRONO!$F65,0,OFFSET(ORÇAMENTO!$D$15,CRONO!$F65,0)),1,OFFSET(ORÇAMENTO!$X$15,CRONO!$F65,0,OFFSET(ORÇAMENTO!$D$15,CRONO!$F65,0))),
              0))</f>
        <v>0</v>
      </c>
      <c r="H67" s="693"/>
      <c r="S67" s="204" t="str">
        <f ca="1">M65&amp;"$"</f>
        <v>2$</v>
      </c>
      <c r="T67" s="205"/>
      <c r="U67" s="202">
        <f t="array" aca="1" ref="U67" ca="1">IF($R65=2,
         IF(AND(ACOMPANHAMENTO="PLE",ISNUMBER($F65)),
                SUMIF((OFFSET(CÁLCULO!$BC$15:$BU$15,$F65,0,OFFSET(ORÇAMENTO!$D$15,CRONO!$F65,0))),CRONO!U$12,OFFSET(CÁLCULO!$AJ$15:$BB$15,$F65,0,OFFSET(ORÇAMENTO!$D$15,CRONO!$F65,0)))
                +IF(AND($F67&lt;&gt;"",$F67&lt;&gt;0),
                        SUMIF(CÁLCULO!$BC$15:$BU$235,CRONO!U$12,CÁLCULO!$AJ$15:$BB$235)/(ORÇAMENTO!$X$15-CÁLCULO.TotalAdmLocal)*CRONO!$F67,
                        0),
                 U66*$S65),
          SUMIF(OFFSET($S67,1,0,$R65-2),($M65+1)&amp;"$",OFFSET(U67,1,0,$R65-2)))</f>
        <v>0</v>
      </c>
      <c r="V67" s="202">
        <f t="array" aca="1" ref="V67" ca="1">IF($R65=2,
         IF(AND(ACOMPANHAMENTO="PLE",ISNUMBER($F65)),
                SUMIF((OFFSET(CÁLCULO!$BC$15:$BU$15,$F65,0,OFFSET(ORÇAMENTO!$D$15,CRONO!$F65,0))),CRONO!V$12,OFFSET(CÁLCULO!$AJ$15:$BB$15,$F65,0,OFFSET(ORÇAMENTO!$D$15,CRONO!$F65,0)))
                +IF(AND($F67&lt;&gt;"",$F67&lt;&gt;0),
                        SUMIF(CÁLCULO!$BC$15:$BU$235,CRONO!V$12,CÁLCULO!$AJ$15:$BB$235)/(ORÇAMENTO!$X$15-CÁLCULO.TotalAdmLocal)*CRONO!$F67,
                        0),
                 V66*$S65),
          SUMIF(OFFSET($S67,1,0,$R65-2),($M65+1)&amp;"$",OFFSET(V67,1,0,$R65-2)))</f>
        <v>0</v>
      </c>
      <c r="W67" s="202">
        <f t="array" aca="1" ref="W67" ca="1">IF($R65=2,
         IF(AND(ACOMPANHAMENTO="PLE",ISNUMBER($F65)),
                SUMIF((OFFSET(CÁLCULO!$BC$15:$BU$15,$F65,0,OFFSET(ORÇAMENTO!$D$15,CRONO!$F65,0))),CRONO!W$12,OFFSET(CÁLCULO!$AJ$15:$BB$15,$F65,0,OFFSET(ORÇAMENTO!$D$15,CRONO!$F65,0)))
                +IF(AND($F67&lt;&gt;"",$F67&lt;&gt;0),
                        SUMIF(CÁLCULO!$BC$15:$BU$235,CRONO!W$12,CÁLCULO!$AJ$15:$BB$235)/(ORÇAMENTO!$X$15-CÁLCULO.TotalAdmLocal)*CRONO!$F67,
                        0),
                 W66*$S65),
          SUMIF(OFFSET($S67,1,0,$R65-2),($M65+1)&amp;"$",OFFSET(W67,1,0,$R65-2)))</f>
        <v>0</v>
      </c>
      <c r="X67" s="202">
        <f t="array" aca="1" ref="X67" ca="1">IF($R65=2,
         IF(AND(ACOMPANHAMENTO="PLE",ISNUMBER($F65)),
                SUMIF((OFFSET(CÁLCULO!$BC$15:$BU$15,$F65,0,OFFSET(ORÇAMENTO!$D$15,CRONO!$F65,0))),CRONO!X$12,OFFSET(CÁLCULO!$AJ$15:$BB$15,$F65,0,OFFSET(ORÇAMENTO!$D$15,CRONO!$F65,0)))
                +IF(AND($F67&lt;&gt;"",$F67&lt;&gt;0),
                        SUMIF(CÁLCULO!$BC$15:$BU$235,CRONO!X$12,CÁLCULO!$AJ$15:$BB$235)/(ORÇAMENTO!$X$15-CÁLCULO.TotalAdmLocal)*CRONO!$F67,
                        0),
                 X66*$S65),
          SUMIF(OFFSET($S67,1,0,$R65-2),($M65+1)&amp;"$",OFFSET(X67,1,0,$R65-2)))</f>
        <v>0</v>
      </c>
      <c r="Y67" s="202">
        <f t="array" aca="1" ref="Y67" ca="1">IF($R65=2,
         IF(AND(ACOMPANHAMENTO="PLE",ISNUMBER($F65)),
                SUMIF((OFFSET(CÁLCULO!$BC$15:$BU$15,$F65,0,OFFSET(ORÇAMENTO!$D$15,CRONO!$F65,0))),CRONO!Y$12,OFFSET(CÁLCULO!$AJ$15:$BB$15,$F65,0,OFFSET(ORÇAMENTO!$D$15,CRONO!$F65,0)))
                +IF(AND($F67&lt;&gt;"",$F67&lt;&gt;0),
                        SUMIF(CÁLCULO!$BC$15:$BU$235,CRONO!Y$12,CÁLCULO!$AJ$15:$BB$235)/(ORÇAMENTO!$X$15-CÁLCULO.TotalAdmLocal)*CRONO!$F67,
                        0),
                 Y66*$S65),
          SUMIF(OFFSET($S67,1,0,$R65-2),($M65+1)&amp;"$",OFFSET(Y67,1,0,$R65-2)))</f>
        <v>0</v>
      </c>
      <c r="Z67" s="202">
        <f t="array" aca="1" ref="Z67" ca="1">IF($R65=2,
         IF(AND(ACOMPANHAMENTO="PLE",ISNUMBER($F65)),
                SUMIF((OFFSET(CÁLCULO!$BC$15:$BU$15,$F65,0,OFFSET(ORÇAMENTO!$D$15,CRONO!$F65,0))),CRONO!Z$12,OFFSET(CÁLCULO!$AJ$15:$BB$15,$F65,0,OFFSET(ORÇAMENTO!$D$15,CRONO!$F65,0)))
                +IF(AND($F67&lt;&gt;"",$F67&lt;&gt;0),
                        SUMIF(CÁLCULO!$BC$15:$BU$235,CRONO!Z$12,CÁLCULO!$AJ$15:$BB$235)/(ORÇAMENTO!$X$15-CÁLCULO.TotalAdmLocal)*CRONO!$F67,
                        0),
                 Z66*$S65),
          SUMIF(OFFSET($S67,1,0,$R65-2),($M65+1)&amp;"$",OFFSET(Z67,1,0,$R65-2)))</f>
        <v>0</v>
      </c>
      <c r="AA67" s="202">
        <f t="array" aca="1" ref="AA67" ca="1">IF($R65=2,
         IF(AND(ACOMPANHAMENTO="PLE",ISNUMBER($F65)),
                SUMIF((OFFSET(CÁLCULO!$BC$15:$BU$15,$F65,0,OFFSET(ORÇAMENTO!$D$15,CRONO!$F65,0))),CRONO!AA$12,OFFSET(CÁLCULO!$AJ$15:$BB$15,$F65,0,OFFSET(ORÇAMENTO!$D$15,CRONO!$F65,0)))
                +IF(AND($F67&lt;&gt;"",$F67&lt;&gt;0),
                        SUMIF(CÁLCULO!$BC$15:$BU$235,CRONO!AA$12,CÁLCULO!$AJ$15:$BB$235)/(ORÇAMENTO!$X$15-CÁLCULO.TotalAdmLocal)*CRONO!$F67,
                        0),
                 AA66*$S65),
          SUMIF(OFFSET($S67,1,0,$R65-2),($M65+1)&amp;"$",OFFSET(AA67,1,0,$R65-2)))</f>
        <v>21262.74</v>
      </c>
      <c r="AB67" s="202">
        <f t="array" aca="1" ref="AB67" ca="1">IF($R65=2,
         IF(AND(ACOMPANHAMENTO="PLE",ISNUMBER($F65)),
                SUMIF((OFFSET(CÁLCULO!$BC$15:$BU$15,$F65,0,OFFSET(ORÇAMENTO!$D$15,CRONO!$F65,0))),CRONO!AB$12,OFFSET(CÁLCULO!$AJ$15:$BB$15,$F65,0,OFFSET(ORÇAMENTO!$D$15,CRONO!$F65,0)))
                +IF(AND($F67&lt;&gt;"",$F67&lt;&gt;0),
                        SUMIF(CÁLCULO!$BC$15:$BU$235,CRONO!AB$12,CÁLCULO!$AJ$15:$BB$235)/(ORÇAMENTO!$X$15-CÁLCULO.TotalAdmLocal)*CRONO!$F67,
                        0),
                 AB66*$S65),
          SUMIF(OFFSET($S67,1,0,$R65-2),($M65+1)&amp;"$",OFFSET(AB67,1,0,$R65-2)))</f>
        <v>10631.369999999999</v>
      </c>
      <c r="AC67" s="202">
        <f t="array" aca="1" ref="AC67" ca="1">IF($R65=2,
         IF(AND(ACOMPANHAMENTO="PLE",ISNUMBER($F65)),
                SUMIF((OFFSET(CÁLCULO!$BC$15:$BU$15,$F65,0,OFFSET(ORÇAMENTO!$D$15,CRONO!$F65,0))),CRONO!AC$12,OFFSET(CÁLCULO!$AJ$15:$BB$15,$F65,0,OFFSET(ORÇAMENTO!$D$15,CRONO!$F65,0)))
                +IF(AND($F67&lt;&gt;"",$F67&lt;&gt;0),
                        SUMIF(CÁLCULO!$BC$15:$BU$235,CRONO!AC$12,CÁLCULO!$AJ$15:$BB$235)/(ORÇAMENTO!$X$15-CÁLCULO.TotalAdmLocal)*CRONO!$F67,
                        0),
                 AC66*$S65),
          SUMIF(OFFSET($S67,1,0,$R65-2),($M65+1)&amp;"$",OFFSET(AC67,1,0,$R65-2)))</f>
        <v>10631.369999999999</v>
      </c>
      <c r="AD67" s="202">
        <f t="array" aca="1" ref="AD67" ca="1">IF($R65=2,
         IF(AND(ACOMPANHAMENTO="PLE",ISNUMBER($F65)),
                SUMIF((OFFSET(CÁLCULO!$BC$15:$BU$15,$F65,0,OFFSET(ORÇAMENTO!$D$15,CRONO!$F65,0))),CRONO!AD$12,OFFSET(CÁLCULO!$AJ$15:$BB$15,$F65,0,OFFSET(ORÇAMENTO!$D$15,CRONO!$F65,0)))
                +IF(AND($F67&lt;&gt;"",$F67&lt;&gt;0),
                        SUMIF(CÁLCULO!$BC$15:$BU$235,CRONO!AD$12,CÁLCULO!$AJ$15:$BB$235)/(ORÇAMENTO!$X$15-CÁLCULO.TotalAdmLocal)*CRONO!$F67,
                        0),
                 AD66*$S65),
          SUMIF(OFFSET($S67,1,0,$R65-2),($M65+1)&amp;"$",OFFSET(AD67,1,0,$R65-2)))</f>
        <v>0</v>
      </c>
      <c r="AE67" s="202">
        <f t="array" aca="1" ref="AE67" ca="1">IF($R65=2,
         IF(AND(ACOMPANHAMENTO="PLE",ISNUMBER($F65)),
                SUMIF((OFFSET(CÁLCULO!$BC$15:$BU$15,$F65,0,OFFSET(ORÇAMENTO!$D$15,CRONO!$F65,0))),CRONO!AE$12,OFFSET(CÁLCULO!$AJ$15:$BB$15,$F65,0,OFFSET(ORÇAMENTO!$D$15,CRONO!$F65,0)))
                +IF(AND($F67&lt;&gt;"",$F67&lt;&gt;0),
                        SUMIF(CÁLCULO!$BC$15:$BU$235,CRONO!AE$12,CÁLCULO!$AJ$15:$BB$235)/(ORÇAMENTO!$X$15-CÁLCULO.TotalAdmLocal)*CRONO!$F67,
                        0),
                 AE66*$S65),
          SUMIF(OFFSET($S67,1,0,$R65-2),($M65+1)&amp;"$",OFFSET(AE67,1,0,$R65-2)))</f>
        <v>0</v>
      </c>
      <c r="AF67" s="202">
        <f t="array" aca="1" ref="AF67" ca="1">IF($R65=2,
         IF(AND(ACOMPANHAMENTO="PLE",ISNUMBER($F65)),
                SUMIF((OFFSET(CÁLCULO!$BC$15:$BU$15,$F65,0,OFFSET(ORÇAMENTO!$D$15,CRONO!$F65,0))),CRONO!AF$12,OFFSET(CÁLCULO!$AJ$15:$BB$15,$F65,0,OFFSET(ORÇAMENTO!$D$15,CRONO!$F65,0)))
                +IF(AND($F67&lt;&gt;"",$F67&lt;&gt;0),
                        SUMIF(CÁLCULO!$BC$15:$BU$235,CRONO!AF$12,CÁLCULO!$AJ$15:$BB$235)/(ORÇAMENTO!$X$15-CÁLCULO.TotalAdmLocal)*CRONO!$F67,
                        0),
                 AF66*$S65),
          SUMIF(OFFSET($S67,1,0,$R65-2),($M65+1)&amp;"$",OFFSET(AF67,1,0,$R65-2)))</f>
        <v>0</v>
      </c>
      <c r="AG67" s="532"/>
    </row>
    <row r="68" spans="1:33" x14ac:dyDescent="0.2">
      <c r="A68" s="186" t="str">
        <f ca="1">IF($M68&gt;1,_xlfn.CONCAT($I68," ",$J68),"")</f>
        <v>1.18. PINTURAS EXTERNAS</v>
      </c>
      <c r="B68" s="185">
        <f ca="1">OFFSET(B68,-3,0)+1</f>
        <v>19</v>
      </c>
      <c r="C68" s="185">
        <f ca="1">IF($R68&lt;&gt;2,0,IF($S68=0,1,IF(F69&gt;0,OFFSET(QCI!$M$13,SUBSTITUTE(F69,".",""),0),OFFSET(ORÇAMENTO!$AA$15,CRONO!$F68,0))/$S68))</f>
        <v>0</v>
      </c>
      <c r="D68" s="185">
        <f ca="1">IF($R68&lt;&gt;2,0,IF($S68=0,1,IF(F69&gt;0,OFFSET(QCI!$N$13,SUBSTITUTE(F69,".",""),0),OFFSET(ORÇAMENTO!$AB$15,CRONO!$F68,0))/$S68))</f>
        <v>0</v>
      </c>
      <c r="E68" s="188">
        <f t="array" aca="1" ref="E68" ca="1">IF(AND($R68=2,ACOMPANHAMENTO="BM"),ROUND(E69,4),E70/$S68)</f>
        <v>0</v>
      </c>
      <c r="F68" s="185">
        <f t="array" aca="1" ref="F68" ca="1">IF(B68&lt;=ORÇAMENTO.MáximoListaCrono,MATCH(B68,ORÇAMENTO.ListaCrono,0),NA())</f>
        <v>91</v>
      </c>
      <c r="G68" s="185" t="str">
        <f ca="1">IF(AND($F69&lt;&gt;-1,$S68&gt;0),"F","")</f>
        <v>F</v>
      </c>
      <c r="H68" s="189" t="str">
        <f t="array" aca="1" ref="H68" ca="1">IF(OR(S68=0,S68=""),"Linha",IF(AND(OR(ACOMPANHAMENTO="PLE",$R68&lt;&gt;2),$F69=0),"Linha",ROUND(1-SUM(U68:AG68),4)))</f>
        <v>Linha</v>
      </c>
      <c r="I68" s="190" t="str">
        <f ca="1">IF($F69=0,OFFSET(ORÇAMENTO!O$15,$F68,0),IF($F69&lt;&gt;-1,OFFSET(QCI!$D$13,$F69,0),""))</f>
        <v>1.18.</v>
      </c>
      <c r="J68" s="191" t="str">
        <f ca="1">IF($F69=0,OFFSET(ORÇAMENTO!R$15,$F68,0),IF($F69&lt;&gt;-1,OFFSET(QCI!$G$13,$F69,0),""))</f>
        <v>PINTURAS EXTERNAS</v>
      </c>
      <c r="K68" s="191"/>
      <c r="L68" s="191"/>
      <c r="M68" s="192">
        <f ca="1">IF($F69=0,OFFSET(ORÇAMENTO!C$15,$F68,0),1)</f>
        <v>2</v>
      </c>
      <c r="N68" s="193">
        <f ca="1">IF($F69=-1,0,IF(N$13&lt;=$M68,IF(ISERROR(MATCH(N$13,OFFSET($M68,1,0,ROW($M$119)-ROW($M68)-1),0)),ROW($M$119)-ROW($M68)-1,MATCH(N$13,OFFSET($M68,1,0,ROW($M$119)-ROW($M68)-1),0)-1),0))</f>
        <v>50</v>
      </c>
      <c r="O68" s="193">
        <f ca="1">IF($F69=-1,0,IF(O$13&lt;=$M68,IF(ISERROR(MATCH(O$13,OFFSET($M68,1,0,ROW($M$119)-ROW($M68)-1),0)),ROW($M$119)-ROW($M68)-1,MATCH(O$13,OFFSET($M68,1,0,ROW($M$119)-ROW($M68)-1),0)-1),0))</f>
        <v>2</v>
      </c>
      <c r="P68" s="193">
        <f ca="1">IF($F69=-1,0,IF(P$13&lt;=$M68,IF(ISERROR(MATCH(P$13,OFFSET($M68,1,0,ROW($M$119)-ROW($M68)-1),0)),ROW($M$119)-ROW($M68)-1,MATCH(P$13,OFFSET($M68,1,0,ROW($M$119)-ROW($M68)-1),0)-1),0))</f>
        <v>0</v>
      </c>
      <c r="Q68" s="193">
        <f ca="1">IF($F69=-1,0,IF(Q$13&lt;=$M68,IF(ISERROR(MATCH(Q$13,OFFSET($M68,1,0,ROW($M$119)-ROW($M68)-1),0)),ROW($M$119)-ROW($M68)-1,MATCH(Q$13,OFFSET($M68,1,0,ROW($M$119)-ROW($M68)-1),0)-1),0))</f>
        <v>0</v>
      </c>
      <c r="R68" s="193">
        <f ca="1">MIN(OFFSET(M68,0,1,,M68))</f>
        <v>2</v>
      </c>
      <c r="S68" s="194">
        <f ca="1">IF($F69=0,OFFSET(ORÇAMENTO!X$15,$F68,0),IF($F69&lt;&gt;-1,OFFSET(QCI!$O$13,$F69,0),""))</f>
        <v>23225.599999999999</v>
      </c>
      <c r="T68" s="195" t="s">
        <v>785</v>
      </c>
      <c r="U68" s="188">
        <f t="array" aca="1" ref="U68" ca="1">IF(AND($R68=2,ACOMPANHAMENTO="BM"),ROUND(U69,4),U70/$S68)</f>
        <v>0</v>
      </c>
      <c r="V68" s="188">
        <f t="array" aca="1" ref="V68" ca="1">IF(AND($R68=2,ACOMPANHAMENTO="BM"),ROUND(V69,4),V70/$S68)</f>
        <v>0</v>
      </c>
      <c r="W68" s="188">
        <f t="array" aca="1" ref="W68" ca="1">IF(AND($R68=2,ACOMPANHAMENTO="BM"),ROUND(W69,4),W70/$S68)</f>
        <v>0</v>
      </c>
      <c r="X68" s="188">
        <f t="array" aca="1" ref="X68" ca="1">IF(AND($R68=2,ACOMPANHAMENTO="BM"),ROUND(X69,4),X70/$S68)</f>
        <v>0</v>
      </c>
      <c r="Y68" s="188">
        <f t="array" aca="1" ref="Y68" ca="1">IF(AND($R68=2,ACOMPANHAMENTO="BM"),ROUND(Y69,4),Y70/$S68)</f>
        <v>0</v>
      </c>
      <c r="Z68" s="188">
        <f t="array" aca="1" ref="Z68" ca="1">IF(AND($R68=2,ACOMPANHAMENTO="BM"),ROUND(Z69,4),Z70/$S68)</f>
        <v>0.5</v>
      </c>
      <c r="AA68" s="188">
        <f t="array" aca="1" ref="AA68" ca="1">IF(AND($R68=2,ACOMPANHAMENTO="BM"),ROUND(AA69,4),AA70/$S68)</f>
        <v>0</v>
      </c>
      <c r="AB68" s="188">
        <f t="array" aca="1" ref="AB68" ca="1">IF(AND($R68=2,ACOMPANHAMENTO="BM"),ROUND(AB69,4),AB70/$S68)</f>
        <v>0.25</v>
      </c>
      <c r="AC68" s="188">
        <f t="array" aca="1" ref="AC68" ca="1">IF(AND($R68=2,ACOMPANHAMENTO="BM"),ROUND(AC69,4),AC70/$S68)</f>
        <v>0.25</v>
      </c>
      <c r="AD68" s="188">
        <f t="array" aca="1" ref="AD68" ca="1">IF(AND($R68=2,ACOMPANHAMENTO="BM"),ROUND(AD69,4),AD70/$S68)</f>
        <v>0</v>
      </c>
      <c r="AE68" s="188">
        <f t="array" aca="1" ref="AE68" ca="1">IF(AND($R68=2,ACOMPANHAMENTO="BM"),ROUND(AE69,4),AE70/$S68)</f>
        <v>0</v>
      </c>
      <c r="AF68" s="188">
        <f t="array" aca="1" ref="AF68" ca="1">IF(AND($R68=2,ACOMPANHAMENTO="BM"),ROUND(AF69,4),AF70/$S68)</f>
        <v>0</v>
      </c>
      <c r="AG68" s="532"/>
    </row>
    <row r="69" spans="1:33" ht="12.75" customHeight="1" x14ac:dyDescent="0.2">
      <c r="E69" s="585"/>
      <c r="F69" s="185">
        <f ca="1">IF(ISERROR(F68),IF(1+COUNTIF($M$13:OFFSET(M68,-1,0),1)&lt;=MAX(QCI!$D$13:$D$24),1+COUNTIF($M$13:OFFSET(M68,-1,0),1),-1),0)</f>
        <v>0</v>
      </c>
      <c r="G69" s="185" t="str">
        <f t="array" aca="1" ref="G69" ca="1">IF(ACOMPANHAMENTO="BM",OFFSET(G69,-1,0),"")</f>
        <v/>
      </c>
      <c r="H69" s="196" t="str">
        <f t="array" aca="1" ref="H69" ca="1">IF(OR(S68=0,S68=""),"vazia",IF(AND(OR(ACOMPANHAMENTO="PLE",$R68&lt;&gt;2),$F69=0),"calculada","--&gt;"))</f>
        <v>calculada</v>
      </c>
      <c r="I69" s="197"/>
      <c r="J69" s="198" t="str">
        <f ca="1">IF(AND(H68&lt;&gt;0,ISNUMBER(H68)),"PREENCHA ESTA LINHA --&gt;","")</f>
        <v/>
      </c>
      <c r="K69" s="198"/>
      <c r="L69" s="198"/>
      <c r="M69" s="199"/>
      <c r="N69" s="199"/>
      <c r="O69" s="199"/>
      <c r="P69" s="199"/>
      <c r="Q69" s="199"/>
      <c r="R69" s="199"/>
      <c r="S69" s="200"/>
      <c r="T69" s="201"/>
      <c r="U69" s="585"/>
      <c r="V69" s="585"/>
      <c r="W69" s="585"/>
      <c r="X69" s="585"/>
      <c r="Y69" s="585"/>
      <c r="Z69" s="585"/>
      <c r="AA69" s="585"/>
      <c r="AB69" s="585"/>
      <c r="AC69" s="585"/>
      <c r="AD69" s="585"/>
      <c r="AE69" s="585"/>
      <c r="AF69" s="585"/>
      <c r="AG69" s="532"/>
    </row>
    <row r="70" spans="1:33" ht="12.75" customHeight="1" x14ac:dyDescent="0.2">
      <c r="D70" s="531"/>
      <c r="E70" s="202">
        <f t="array" aca="1" ref="E70" ca="1">IF($R68=2,
         IF(AND(ACOMPANHAMENTO="PLE",ISNUMBER($F68)),
                SUMIF((OFFSET(CÁLCULO!$BC$15:$BU$15,$F68,0,OFFSET(ORÇAMENTO!$D$15,CRONO!$F68,0))),CRONO!E$12,OFFSET(CÁLCULO!$AJ$15:$BB$15,$F68,0,OFFSET(ORÇAMENTO!$D$15,CRONO!$F68,0)))
                +IF(AND($F70&lt;&gt;"",$F70&lt;&gt;0),
                        SUMIF(CÁLCULO!$BC$15:$BU$235,CRONO!E$12,CÁLCULO!$AJ$15:$BB$235)/(ORÇAMENTO!$X$15-CÁLCULO.TotalAdmLocal)*CRONO!$F70,
                        0),
                 E69*$S68),
          SUMIF(OFFSET($S70,1,0,$R68-2),($M68+1)&amp;"$",OFFSET(E70,1,0,$R68-2)))</f>
        <v>0</v>
      </c>
      <c r="F70" s="185">
        <f ca="1">IF(OR($R68&lt;&gt;2,AUTOEVENTO&lt;&gt;"manual",$F69&gt;0),"",
        IF(Import.TipoArredondamento="Tradicional",
              SUMIF(OFFSET(CÁLCULO!$M$15,CRONO!$F68,0,OFFSET(ORÇAMENTO!$D$15,CRONO!$F68,0)),1,OFFSET(ORÇAMENTO!$X$15,CRONO!$F68,0,OFFSET(ORÇAMENTO!$D$15,CRONO!$F68,0))),
              0))</f>
        <v>0</v>
      </c>
      <c r="H70" s="693"/>
      <c r="S70" s="204" t="str">
        <f ca="1">M68&amp;"$"</f>
        <v>2$</v>
      </c>
      <c r="T70" s="205"/>
      <c r="U70" s="202">
        <f t="array" aca="1" ref="U70" ca="1">IF($R68=2,
         IF(AND(ACOMPANHAMENTO="PLE",ISNUMBER($F68)),
                SUMIF((OFFSET(CÁLCULO!$BC$15:$BU$15,$F68,0,OFFSET(ORÇAMENTO!$D$15,CRONO!$F68,0))),CRONO!U$12,OFFSET(CÁLCULO!$AJ$15:$BB$15,$F68,0,OFFSET(ORÇAMENTO!$D$15,CRONO!$F68,0)))
                +IF(AND($F70&lt;&gt;"",$F70&lt;&gt;0),
                        SUMIF(CÁLCULO!$BC$15:$BU$235,CRONO!U$12,CÁLCULO!$AJ$15:$BB$235)/(ORÇAMENTO!$X$15-CÁLCULO.TotalAdmLocal)*CRONO!$F70,
                        0),
                 U69*$S68),
          SUMIF(OFFSET($S70,1,0,$R68-2),($M68+1)&amp;"$",OFFSET(U70,1,0,$R68-2)))</f>
        <v>0</v>
      </c>
      <c r="V70" s="202">
        <f t="array" aca="1" ref="V70" ca="1">IF($R68=2,
         IF(AND(ACOMPANHAMENTO="PLE",ISNUMBER($F68)),
                SUMIF((OFFSET(CÁLCULO!$BC$15:$BU$15,$F68,0,OFFSET(ORÇAMENTO!$D$15,CRONO!$F68,0))),CRONO!V$12,OFFSET(CÁLCULO!$AJ$15:$BB$15,$F68,0,OFFSET(ORÇAMENTO!$D$15,CRONO!$F68,0)))
                +IF(AND($F70&lt;&gt;"",$F70&lt;&gt;0),
                        SUMIF(CÁLCULO!$BC$15:$BU$235,CRONO!V$12,CÁLCULO!$AJ$15:$BB$235)/(ORÇAMENTO!$X$15-CÁLCULO.TotalAdmLocal)*CRONO!$F70,
                        0),
                 V69*$S68),
          SUMIF(OFFSET($S70,1,0,$R68-2),($M68+1)&amp;"$",OFFSET(V70,1,0,$R68-2)))</f>
        <v>0</v>
      </c>
      <c r="W70" s="202">
        <f t="array" aca="1" ref="W70" ca="1">IF($R68=2,
         IF(AND(ACOMPANHAMENTO="PLE",ISNUMBER($F68)),
                SUMIF((OFFSET(CÁLCULO!$BC$15:$BU$15,$F68,0,OFFSET(ORÇAMENTO!$D$15,CRONO!$F68,0))),CRONO!W$12,OFFSET(CÁLCULO!$AJ$15:$BB$15,$F68,0,OFFSET(ORÇAMENTO!$D$15,CRONO!$F68,0)))
                +IF(AND($F70&lt;&gt;"",$F70&lt;&gt;0),
                        SUMIF(CÁLCULO!$BC$15:$BU$235,CRONO!W$12,CÁLCULO!$AJ$15:$BB$235)/(ORÇAMENTO!$X$15-CÁLCULO.TotalAdmLocal)*CRONO!$F70,
                        0),
                 W69*$S68),
          SUMIF(OFFSET($S70,1,0,$R68-2),($M68+1)&amp;"$",OFFSET(W70,1,0,$R68-2)))</f>
        <v>0</v>
      </c>
      <c r="X70" s="202">
        <f t="array" aca="1" ref="X70" ca="1">IF($R68=2,
         IF(AND(ACOMPANHAMENTO="PLE",ISNUMBER($F68)),
                SUMIF((OFFSET(CÁLCULO!$BC$15:$BU$15,$F68,0,OFFSET(ORÇAMENTO!$D$15,CRONO!$F68,0))),CRONO!X$12,OFFSET(CÁLCULO!$AJ$15:$BB$15,$F68,0,OFFSET(ORÇAMENTO!$D$15,CRONO!$F68,0)))
                +IF(AND($F70&lt;&gt;"",$F70&lt;&gt;0),
                        SUMIF(CÁLCULO!$BC$15:$BU$235,CRONO!X$12,CÁLCULO!$AJ$15:$BB$235)/(ORÇAMENTO!$X$15-CÁLCULO.TotalAdmLocal)*CRONO!$F70,
                        0),
                 X69*$S68),
          SUMIF(OFFSET($S70,1,0,$R68-2),($M68+1)&amp;"$",OFFSET(X70,1,0,$R68-2)))</f>
        <v>0</v>
      </c>
      <c r="Y70" s="202">
        <f t="array" aca="1" ref="Y70" ca="1">IF($R68=2,
         IF(AND(ACOMPANHAMENTO="PLE",ISNUMBER($F68)),
                SUMIF((OFFSET(CÁLCULO!$BC$15:$BU$15,$F68,0,OFFSET(ORÇAMENTO!$D$15,CRONO!$F68,0))),CRONO!Y$12,OFFSET(CÁLCULO!$AJ$15:$BB$15,$F68,0,OFFSET(ORÇAMENTO!$D$15,CRONO!$F68,0)))
                +IF(AND($F70&lt;&gt;"",$F70&lt;&gt;0),
                        SUMIF(CÁLCULO!$BC$15:$BU$235,CRONO!Y$12,CÁLCULO!$AJ$15:$BB$235)/(ORÇAMENTO!$X$15-CÁLCULO.TotalAdmLocal)*CRONO!$F70,
                        0),
                 Y69*$S68),
          SUMIF(OFFSET($S70,1,0,$R68-2),($M68+1)&amp;"$",OFFSET(Y70,1,0,$R68-2)))</f>
        <v>0</v>
      </c>
      <c r="Z70" s="202">
        <f t="array" aca="1" ref="Z70" ca="1">IF($R68=2,
         IF(AND(ACOMPANHAMENTO="PLE",ISNUMBER($F68)),
                SUMIF((OFFSET(CÁLCULO!$BC$15:$BU$15,$F68,0,OFFSET(ORÇAMENTO!$D$15,CRONO!$F68,0))),CRONO!Z$12,OFFSET(CÁLCULO!$AJ$15:$BB$15,$F68,0,OFFSET(ORÇAMENTO!$D$15,CRONO!$F68,0)))
                +IF(AND($F70&lt;&gt;"",$F70&lt;&gt;0),
                        SUMIF(CÁLCULO!$BC$15:$BU$235,CRONO!Z$12,CÁLCULO!$AJ$15:$BB$235)/(ORÇAMENTO!$X$15-CÁLCULO.TotalAdmLocal)*CRONO!$F70,
                        0),
                 Z69*$S68),
          SUMIF(OFFSET($S70,1,0,$R68-2),($M68+1)&amp;"$",OFFSET(Z70,1,0,$R68-2)))</f>
        <v>11612.8</v>
      </c>
      <c r="AA70" s="202">
        <f t="array" aca="1" ref="AA70" ca="1">IF($R68=2,
         IF(AND(ACOMPANHAMENTO="PLE",ISNUMBER($F68)),
                SUMIF((OFFSET(CÁLCULO!$BC$15:$BU$15,$F68,0,OFFSET(ORÇAMENTO!$D$15,CRONO!$F68,0))),CRONO!AA$12,OFFSET(CÁLCULO!$AJ$15:$BB$15,$F68,0,OFFSET(ORÇAMENTO!$D$15,CRONO!$F68,0)))
                +IF(AND($F70&lt;&gt;"",$F70&lt;&gt;0),
                        SUMIF(CÁLCULO!$BC$15:$BU$235,CRONO!AA$12,CÁLCULO!$AJ$15:$BB$235)/(ORÇAMENTO!$X$15-CÁLCULO.TotalAdmLocal)*CRONO!$F70,
                        0),
                 AA69*$S68),
          SUMIF(OFFSET($S70,1,0,$R68-2),($M68+1)&amp;"$",OFFSET(AA70,1,0,$R68-2)))</f>
        <v>0</v>
      </c>
      <c r="AB70" s="202">
        <f t="array" aca="1" ref="AB70" ca="1">IF($R68=2,
         IF(AND(ACOMPANHAMENTO="PLE",ISNUMBER($F68)),
                SUMIF((OFFSET(CÁLCULO!$BC$15:$BU$15,$F68,0,OFFSET(ORÇAMENTO!$D$15,CRONO!$F68,0))),CRONO!AB$12,OFFSET(CÁLCULO!$AJ$15:$BB$15,$F68,0,OFFSET(ORÇAMENTO!$D$15,CRONO!$F68,0)))
                +IF(AND($F70&lt;&gt;"",$F70&lt;&gt;0),
                        SUMIF(CÁLCULO!$BC$15:$BU$235,CRONO!AB$12,CÁLCULO!$AJ$15:$BB$235)/(ORÇAMENTO!$X$15-CÁLCULO.TotalAdmLocal)*CRONO!$F70,
                        0),
                 AB69*$S68),
          SUMIF(OFFSET($S70,1,0,$R68-2),($M68+1)&amp;"$",OFFSET(AB70,1,0,$R68-2)))</f>
        <v>5806.4</v>
      </c>
      <c r="AC70" s="202">
        <f t="array" aca="1" ref="AC70" ca="1">IF($R68=2,
         IF(AND(ACOMPANHAMENTO="PLE",ISNUMBER($F68)),
                SUMIF((OFFSET(CÁLCULO!$BC$15:$BU$15,$F68,0,OFFSET(ORÇAMENTO!$D$15,CRONO!$F68,0))),CRONO!AC$12,OFFSET(CÁLCULO!$AJ$15:$BB$15,$F68,0,OFFSET(ORÇAMENTO!$D$15,CRONO!$F68,0)))
                +IF(AND($F70&lt;&gt;"",$F70&lt;&gt;0),
                        SUMIF(CÁLCULO!$BC$15:$BU$235,CRONO!AC$12,CÁLCULO!$AJ$15:$BB$235)/(ORÇAMENTO!$X$15-CÁLCULO.TotalAdmLocal)*CRONO!$F70,
                        0),
                 AC69*$S68),
          SUMIF(OFFSET($S70,1,0,$R68-2),($M68+1)&amp;"$",OFFSET(AC70,1,0,$R68-2)))</f>
        <v>5806.4</v>
      </c>
      <c r="AD70" s="202">
        <f t="array" aca="1" ref="AD70" ca="1">IF($R68=2,
         IF(AND(ACOMPANHAMENTO="PLE",ISNUMBER($F68)),
                SUMIF((OFFSET(CÁLCULO!$BC$15:$BU$15,$F68,0,OFFSET(ORÇAMENTO!$D$15,CRONO!$F68,0))),CRONO!AD$12,OFFSET(CÁLCULO!$AJ$15:$BB$15,$F68,0,OFFSET(ORÇAMENTO!$D$15,CRONO!$F68,0)))
                +IF(AND($F70&lt;&gt;"",$F70&lt;&gt;0),
                        SUMIF(CÁLCULO!$BC$15:$BU$235,CRONO!AD$12,CÁLCULO!$AJ$15:$BB$235)/(ORÇAMENTO!$X$15-CÁLCULO.TotalAdmLocal)*CRONO!$F70,
                        0),
                 AD69*$S68),
          SUMIF(OFFSET($S70,1,0,$R68-2),($M68+1)&amp;"$",OFFSET(AD70,1,0,$R68-2)))</f>
        <v>0</v>
      </c>
      <c r="AE70" s="202">
        <f t="array" aca="1" ref="AE70" ca="1">IF($R68=2,
         IF(AND(ACOMPANHAMENTO="PLE",ISNUMBER($F68)),
                SUMIF((OFFSET(CÁLCULO!$BC$15:$BU$15,$F68,0,OFFSET(ORÇAMENTO!$D$15,CRONO!$F68,0))),CRONO!AE$12,OFFSET(CÁLCULO!$AJ$15:$BB$15,$F68,0,OFFSET(ORÇAMENTO!$D$15,CRONO!$F68,0)))
                +IF(AND($F70&lt;&gt;"",$F70&lt;&gt;0),
                        SUMIF(CÁLCULO!$BC$15:$BU$235,CRONO!AE$12,CÁLCULO!$AJ$15:$BB$235)/(ORÇAMENTO!$X$15-CÁLCULO.TotalAdmLocal)*CRONO!$F70,
                        0),
                 AE69*$S68),
          SUMIF(OFFSET($S70,1,0,$R68-2),($M68+1)&amp;"$",OFFSET(AE70,1,0,$R68-2)))</f>
        <v>0</v>
      </c>
      <c r="AF70" s="202">
        <f t="array" aca="1" ref="AF70" ca="1">IF($R68=2,
         IF(AND(ACOMPANHAMENTO="PLE",ISNUMBER($F68)),
                SUMIF((OFFSET(CÁLCULO!$BC$15:$BU$15,$F68,0,OFFSET(ORÇAMENTO!$D$15,CRONO!$F68,0))),CRONO!AF$12,OFFSET(CÁLCULO!$AJ$15:$BB$15,$F68,0,OFFSET(ORÇAMENTO!$D$15,CRONO!$F68,0)))
                +IF(AND($F70&lt;&gt;"",$F70&lt;&gt;0),
                        SUMIF(CÁLCULO!$BC$15:$BU$235,CRONO!AF$12,CÁLCULO!$AJ$15:$BB$235)/(ORÇAMENTO!$X$15-CÁLCULO.TotalAdmLocal)*CRONO!$F70,
                        0),
                 AF69*$S68),
          SUMIF(OFFSET($S70,1,0,$R68-2),($M68+1)&amp;"$",OFFSET(AF70,1,0,$R68-2)))</f>
        <v>0</v>
      </c>
      <c r="AG70" s="532"/>
    </row>
    <row r="71" spans="1:33" x14ac:dyDescent="0.2">
      <c r="A71" s="186" t="str">
        <f ca="1">IF($M71&gt;1,_xlfn.CONCAT($I71," ",$J71),"")</f>
        <v>1.19. PINTURA EM ESQUADRIAS</v>
      </c>
      <c r="B71" s="185">
        <f ca="1">OFFSET(B71,-3,0)+1</f>
        <v>20</v>
      </c>
      <c r="C71" s="185">
        <f ca="1">IF($R71&lt;&gt;2,0,IF($S71=0,1,IF(F72&gt;0,OFFSET(QCI!$M$13,SUBSTITUTE(F72,".",""),0),OFFSET(ORÇAMENTO!$AA$15,CRONO!$F71,0))/$S71))</f>
        <v>0</v>
      </c>
      <c r="D71" s="185">
        <f ca="1">IF($R71&lt;&gt;2,0,IF($S71=0,1,IF(F72&gt;0,OFFSET(QCI!$N$13,SUBSTITUTE(F72,".",""),0),OFFSET(ORÇAMENTO!$AB$15,CRONO!$F71,0))/$S71))</f>
        <v>0</v>
      </c>
      <c r="E71" s="188">
        <f t="array" aca="1" ref="E71" ca="1">IF(AND($R71=2,ACOMPANHAMENTO="BM"),ROUND(E72,4),E73/$S71)</f>
        <v>0</v>
      </c>
      <c r="F71" s="185">
        <f t="array" aca="1" ref="F71" ca="1">IF(B71&lt;=ORÇAMENTO.MáximoListaCrono,MATCH(B71,ORÇAMENTO.ListaCrono,0),NA())</f>
        <v>94</v>
      </c>
      <c r="G71" s="185" t="str">
        <f ca="1">IF(AND($F72&lt;&gt;-1,$S71&gt;0),"F","")</f>
        <v>F</v>
      </c>
      <c r="H71" s="189" t="str">
        <f t="array" aca="1" ref="H71" ca="1">IF(OR(S71=0,S71=""),"Linha",IF(AND(OR(ACOMPANHAMENTO="PLE",$R71&lt;&gt;2),$F72=0),"Linha",ROUND(1-SUM(U71:AG71),4)))</f>
        <v>Linha</v>
      </c>
      <c r="I71" s="190" t="str">
        <f ca="1">IF($F72=0,OFFSET(ORÇAMENTO!O$15,$F71,0),IF($F72&lt;&gt;-1,OFFSET(QCI!$D$13,$F72,0),""))</f>
        <v>1.19.</v>
      </c>
      <c r="J71" s="191" t="str">
        <f ca="1">IF($F72=0,OFFSET(ORÇAMENTO!R$15,$F71,0),IF($F72&lt;&gt;-1,OFFSET(QCI!$G$13,$F72,0),""))</f>
        <v>PINTURA EM ESQUADRIAS</v>
      </c>
      <c r="K71" s="191"/>
      <c r="L71" s="191"/>
      <c r="M71" s="192">
        <f ca="1">IF($F72=0,OFFSET(ORÇAMENTO!C$15,$F71,0),1)</f>
        <v>2</v>
      </c>
      <c r="N71" s="193">
        <f ca="1">IF($F72=-1,0,IF(N$13&lt;=$M71,IF(ISERROR(MATCH(N$13,OFFSET($M71,1,0,ROW($M$119)-ROW($M71)-1),0)),ROW($M$119)-ROW($M71)-1,MATCH(N$13,OFFSET($M71,1,0,ROW($M$119)-ROW($M71)-1),0)-1),0))</f>
        <v>47</v>
      </c>
      <c r="O71" s="193">
        <f ca="1">IF($F72=-1,0,IF(O$13&lt;=$M71,IF(ISERROR(MATCH(O$13,OFFSET($M71,1,0,ROW($M$119)-ROW($M71)-1),0)),ROW($M$119)-ROW($M71)-1,MATCH(O$13,OFFSET($M71,1,0,ROW($M$119)-ROW($M71)-1),0)-1),0))</f>
        <v>2</v>
      </c>
      <c r="P71" s="193">
        <f ca="1">IF($F72=-1,0,IF(P$13&lt;=$M71,IF(ISERROR(MATCH(P$13,OFFSET($M71,1,0,ROW($M$119)-ROW($M71)-1),0)),ROW($M$119)-ROW($M71)-1,MATCH(P$13,OFFSET($M71,1,0,ROW($M$119)-ROW($M71)-1),0)-1),0))</f>
        <v>0</v>
      </c>
      <c r="Q71" s="193">
        <f ca="1">IF($F72=-1,0,IF(Q$13&lt;=$M71,IF(ISERROR(MATCH(Q$13,OFFSET($M71,1,0,ROW($M$119)-ROW($M71)-1),0)),ROW($M$119)-ROW($M71)-1,MATCH(Q$13,OFFSET($M71,1,0,ROW($M$119)-ROW($M71)-1),0)-1),0))</f>
        <v>0</v>
      </c>
      <c r="R71" s="193">
        <f ca="1">MIN(OFFSET(M71,0,1,,M71))</f>
        <v>2</v>
      </c>
      <c r="S71" s="194">
        <f ca="1">IF($F72=0,OFFSET(ORÇAMENTO!X$15,$F71,0),IF($F72&lt;&gt;-1,OFFSET(QCI!$O$13,$F72,0),""))</f>
        <v>18165</v>
      </c>
      <c r="T71" s="195" t="s">
        <v>785</v>
      </c>
      <c r="U71" s="188">
        <f t="array" aca="1" ref="U71" ca="1">IF(AND($R71=2,ACOMPANHAMENTO="BM"),ROUND(U72,4),U73/$S71)</f>
        <v>0</v>
      </c>
      <c r="V71" s="188">
        <f t="array" aca="1" ref="V71" ca="1">IF(AND($R71=2,ACOMPANHAMENTO="BM"),ROUND(V72,4),V73/$S71)</f>
        <v>0</v>
      </c>
      <c r="W71" s="188">
        <f t="array" aca="1" ref="W71" ca="1">IF(AND($R71=2,ACOMPANHAMENTO="BM"),ROUND(W72,4),W73/$S71)</f>
        <v>0</v>
      </c>
      <c r="X71" s="188">
        <f t="array" aca="1" ref="X71" ca="1">IF(AND($R71=2,ACOMPANHAMENTO="BM"),ROUND(X72,4),X73/$S71)</f>
        <v>0</v>
      </c>
      <c r="Y71" s="188">
        <f t="array" aca="1" ref="Y71" ca="1">IF(AND($R71=2,ACOMPANHAMENTO="BM"),ROUND(Y72,4),Y73/$S71)</f>
        <v>0</v>
      </c>
      <c r="Z71" s="188">
        <f t="array" aca="1" ref="Z71" ca="1">IF(AND($R71=2,ACOMPANHAMENTO="BM"),ROUND(Z72,4),Z73/$S71)</f>
        <v>0</v>
      </c>
      <c r="AA71" s="188">
        <f t="array" aca="1" ref="AA71" ca="1">IF(AND($R71=2,ACOMPANHAMENTO="BM"),ROUND(AA72,4),AA73/$S71)</f>
        <v>0</v>
      </c>
      <c r="AB71" s="188">
        <f t="array" aca="1" ref="AB71" ca="1">IF(AND($R71=2,ACOMPANHAMENTO="BM"),ROUND(AB72,4),AB73/$S71)</f>
        <v>0.5</v>
      </c>
      <c r="AC71" s="188">
        <f t="array" aca="1" ref="AC71" ca="1">IF(AND($R71=2,ACOMPANHAMENTO="BM"),ROUND(AC72,4),AC73/$S71)</f>
        <v>0.5</v>
      </c>
      <c r="AD71" s="188">
        <f t="array" aca="1" ref="AD71" ca="1">IF(AND($R71=2,ACOMPANHAMENTO="BM"),ROUND(AD72,4),AD73/$S71)</f>
        <v>0</v>
      </c>
      <c r="AE71" s="188">
        <f t="array" aca="1" ref="AE71" ca="1">IF(AND($R71=2,ACOMPANHAMENTO="BM"),ROUND(AE72,4),AE73/$S71)</f>
        <v>0</v>
      </c>
      <c r="AF71" s="188">
        <f t="array" aca="1" ref="AF71" ca="1">IF(AND($R71=2,ACOMPANHAMENTO="BM"),ROUND(AF72,4),AF73/$S71)</f>
        <v>0</v>
      </c>
      <c r="AG71" s="532"/>
    </row>
    <row r="72" spans="1:33" ht="12.75" customHeight="1" x14ac:dyDescent="0.2">
      <c r="E72" s="585"/>
      <c r="F72" s="185">
        <f ca="1">IF(ISERROR(F71),IF(1+COUNTIF($M$13:OFFSET(M71,-1,0),1)&lt;=MAX(QCI!$D$13:$D$24),1+COUNTIF($M$13:OFFSET(M71,-1,0),1),-1),0)</f>
        <v>0</v>
      </c>
      <c r="G72" s="185" t="str">
        <f t="array" aca="1" ref="G72" ca="1">IF(ACOMPANHAMENTO="BM",OFFSET(G72,-1,0),"")</f>
        <v/>
      </c>
      <c r="H72" s="196" t="str">
        <f t="array" aca="1" ref="H72" ca="1">IF(OR(S71=0,S71=""),"vazia",IF(AND(OR(ACOMPANHAMENTO="PLE",$R71&lt;&gt;2),$F72=0),"calculada","--&gt;"))</f>
        <v>calculada</v>
      </c>
      <c r="I72" s="197"/>
      <c r="J72" s="198" t="str">
        <f ca="1">IF(AND(H71&lt;&gt;0,ISNUMBER(H71)),"PREENCHA ESTA LINHA --&gt;","")</f>
        <v/>
      </c>
      <c r="K72" s="198"/>
      <c r="L72" s="198"/>
      <c r="M72" s="199"/>
      <c r="N72" s="199"/>
      <c r="O72" s="199"/>
      <c r="P72" s="199"/>
      <c r="Q72" s="199"/>
      <c r="R72" s="199"/>
      <c r="S72" s="200"/>
      <c r="T72" s="201"/>
      <c r="U72" s="585"/>
      <c r="V72" s="585"/>
      <c r="W72" s="585"/>
      <c r="X72" s="585"/>
      <c r="Y72" s="585"/>
      <c r="Z72" s="585"/>
      <c r="AA72" s="585"/>
      <c r="AB72" s="585"/>
      <c r="AC72" s="585"/>
      <c r="AD72" s="585"/>
      <c r="AE72" s="585"/>
      <c r="AF72" s="585"/>
      <c r="AG72" s="532"/>
    </row>
    <row r="73" spans="1:33" ht="12.75" customHeight="1" x14ac:dyDescent="0.2">
      <c r="D73" s="531"/>
      <c r="E73" s="202">
        <f t="array" aca="1" ref="E73" ca="1">IF($R71=2,
         IF(AND(ACOMPANHAMENTO="PLE",ISNUMBER($F71)),
                SUMIF((OFFSET(CÁLCULO!$BC$15:$BU$15,$F71,0,OFFSET(ORÇAMENTO!$D$15,CRONO!$F71,0))),CRONO!E$12,OFFSET(CÁLCULO!$AJ$15:$BB$15,$F71,0,OFFSET(ORÇAMENTO!$D$15,CRONO!$F71,0)))
                +IF(AND($F73&lt;&gt;"",$F73&lt;&gt;0),
                        SUMIF(CÁLCULO!$BC$15:$BU$235,CRONO!E$12,CÁLCULO!$AJ$15:$BB$235)/(ORÇAMENTO!$X$15-CÁLCULO.TotalAdmLocal)*CRONO!$F73,
                        0),
                 E72*$S71),
          SUMIF(OFFSET($S73,1,0,$R71-2),($M71+1)&amp;"$",OFFSET(E73,1,0,$R71-2)))</f>
        <v>0</v>
      </c>
      <c r="F73" s="185">
        <f ca="1">IF(OR($R71&lt;&gt;2,AUTOEVENTO&lt;&gt;"manual",$F72&gt;0),"",
        IF(Import.TipoArredondamento="Tradicional",
              SUMIF(OFFSET(CÁLCULO!$M$15,CRONO!$F71,0,OFFSET(ORÇAMENTO!$D$15,CRONO!$F71,0)),1,OFFSET(ORÇAMENTO!$X$15,CRONO!$F71,0,OFFSET(ORÇAMENTO!$D$15,CRONO!$F71,0))),
              0))</f>
        <v>0</v>
      </c>
      <c r="H73" s="693"/>
      <c r="S73" s="204" t="str">
        <f ca="1">M71&amp;"$"</f>
        <v>2$</v>
      </c>
      <c r="T73" s="205"/>
      <c r="U73" s="202">
        <f t="array" aca="1" ref="U73" ca="1">IF($R71=2,
         IF(AND(ACOMPANHAMENTO="PLE",ISNUMBER($F71)),
                SUMIF((OFFSET(CÁLCULO!$BC$15:$BU$15,$F71,0,OFFSET(ORÇAMENTO!$D$15,CRONO!$F71,0))),CRONO!U$12,OFFSET(CÁLCULO!$AJ$15:$BB$15,$F71,0,OFFSET(ORÇAMENTO!$D$15,CRONO!$F71,0)))
                +IF(AND($F73&lt;&gt;"",$F73&lt;&gt;0),
                        SUMIF(CÁLCULO!$BC$15:$BU$235,CRONO!U$12,CÁLCULO!$AJ$15:$BB$235)/(ORÇAMENTO!$X$15-CÁLCULO.TotalAdmLocal)*CRONO!$F73,
                        0),
                 U72*$S71),
          SUMIF(OFFSET($S73,1,0,$R71-2),($M71+1)&amp;"$",OFFSET(U73,1,0,$R71-2)))</f>
        <v>0</v>
      </c>
      <c r="V73" s="202">
        <f t="array" aca="1" ref="V73" ca="1">IF($R71=2,
         IF(AND(ACOMPANHAMENTO="PLE",ISNUMBER($F71)),
                SUMIF((OFFSET(CÁLCULO!$BC$15:$BU$15,$F71,0,OFFSET(ORÇAMENTO!$D$15,CRONO!$F71,0))),CRONO!V$12,OFFSET(CÁLCULO!$AJ$15:$BB$15,$F71,0,OFFSET(ORÇAMENTO!$D$15,CRONO!$F71,0)))
                +IF(AND($F73&lt;&gt;"",$F73&lt;&gt;0),
                        SUMIF(CÁLCULO!$BC$15:$BU$235,CRONO!V$12,CÁLCULO!$AJ$15:$BB$235)/(ORÇAMENTO!$X$15-CÁLCULO.TotalAdmLocal)*CRONO!$F73,
                        0),
                 V72*$S71),
          SUMIF(OFFSET($S73,1,0,$R71-2),($M71+1)&amp;"$",OFFSET(V73,1,0,$R71-2)))</f>
        <v>0</v>
      </c>
      <c r="W73" s="202">
        <f t="array" aca="1" ref="W73" ca="1">IF($R71=2,
         IF(AND(ACOMPANHAMENTO="PLE",ISNUMBER($F71)),
                SUMIF((OFFSET(CÁLCULO!$BC$15:$BU$15,$F71,0,OFFSET(ORÇAMENTO!$D$15,CRONO!$F71,0))),CRONO!W$12,OFFSET(CÁLCULO!$AJ$15:$BB$15,$F71,0,OFFSET(ORÇAMENTO!$D$15,CRONO!$F71,0)))
                +IF(AND($F73&lt;&gt;"",$F73&lt;&gt;0),
                        SUMIF(CÁLCULO!$BC$15:$BU$235,CRONO!W$12,CÁLCULO!$AJ$15:$BB$235)/(ORÇAMENTO!$X$15-CÁLCULO.TotalAdmLocal)*CRONO!$F73,
                        0),
                 W72*$S71),
          SUMIF(OFFSET($S73,1,0,$R71-2),($M71+1)&amp;"$",OFFSET(W73,1,0,$R71-2)))</f>
        <v>0</v>
      </c>
      <c r="X73" s="202">
        <f t="array" aca="1" ref="X73" ca="1">IF($R71=2,
         IF(AND(ACOMPANHAMENTO="PLE",ISNUMBER($F71)),
                SUMIF((OFFSET(CÁLCULO!$BC$15:$BU$15,$F71,0,OFFSET(ORÇAMENTO!$D$15,CRONO!$F71,0))),CRONO!X$12,OFFSET(CÁLCULO!$AJ$15:$BB$15,$F71,0,OFFSET(ORÇAMENTO!$D$15,CRONO!$F71,0)))
                +IF(AND($F73&lt;&gt;"",$F73&lt;&gt;0),
                        SUMIF(CÁLCULO!$BC$15:$BU$235,CRONO!X$12,CÁLCULO!$AJ$15:$BB$235)/(ORÇAMENTO!$X$15-CÁLCULO.TotalAdmLocal)*CRONO!$F73,
                        0),
                 X72*$S71),
          SUMIF(OFFSET($S73,1,0,$R71-2),($M71+1)&amp;"$",OFFSET(X73,1,0,$R71-2)))</f>
        <v>0</v>
      </c>
      <c r="Y73" s="202">
        <f t="array" aca="1" ref="Y73" ca="1">IF($R71=2,
         IF(AND(ACOMPANHAMENTO="PLE",ISNUMBER($F71)),
                SUMIF((OFFSET(CÁLCULO!$BC$15:$BU$15,$F71,0,OFFSET(ORÇAMENTO!$D$15,CRONO!$F71,0))),CRONO!Y$12,OFFSET(CÁLCULO!$AJ$15:$BB$15,$F71,0,OFFSET(ORÇAMENTO!$D$15,CRONO!$F71,0)))
                +IF(AND($F73&lt;&gt;"",$F73&lt;&gt;0),
                        SUMIF(CÁLCULO!$BC$15:$BU$235,CRONO!Y$12,CÁLCULO!$AJ$15:$BB$235)/(ORÇAMENTO!$X$15-CÁLCULO.TotalAdmLocal)*CRONO!$F73,
                        0),
                 Y72*$S71),
          SUMIF(OFFSET($S73,1,0,$R71-2),($M71+1)&amp;"$",OFFSET(Y73,1,0,$R71-2)))</f>
        <v>0</v>
      </c>
      <c r="Z73" s="202">
        <f t="array" aca="1" ref="Z73" ca="1">IF($R71=2,
         IF(AND(ACOMPANHAMENTO="PLE",ISNUMBER($F71)),
                SUMIF((OFFSET(CÁLCULO!$BC$15:$BU$15,$F71,0,OFFSET(ORÇAMENTO!$D$15,CRONO!$F71,0))),CRONO!Z$12,OFFSET(CÁLCULO!$AJ$15:$BB$15,$F71,0,OFFSET(ORÇAMENTO!$D$15,CRONO!$F71,0)))
                +IF(AND($F73&lt;&gt;"",$F73&lt;&gt;0),
                        SUMIF(CÁLCULO!$BC$15:$BU$235,CRONO!Z$12,CÁLCULO!$AJ$15:$BB$235)/(ORÇAMENTO!$X$15-CÁLCULO.TotalAdmLocal)*CRONO!$F73,
                        0),
                 Z72*$S71),
          SUMIF(OFFSET($S73,1,0,$R71-2),($M71+1)&amp;"$",OFFSET(Z73,1,0,$R71-2)))</f>
        <v>0</v>
      </c>
      <c r="AA73" s="202">
        <f t="array" aca="1" ref="AA73" ca="1">IF($R71=2,
         IF(AND(ACOMPANHAMENTO="PLE",ISNUMBER($F71)),
                SUMIF((OFFSET(CÁLCULO!$BC$15:$BU$15,$F71,0,OFFSET(ORÇAMENTO!$D$15,CRONO!$F71,0))),CRONO!AA$12,OFFSET(CÁLCULO!$AJ$15:$BB$15,$F71,0,OFFSET(ORÇAMENTO!$D$15,CRONO!$F71,0)))
                +IF(AND($F73&lt;&gt;"",$F73&lt;&gt;0),
                        SUMIF(CÁLCULO!$BC$15:$BU$235,CRONO!AA$12,CÁLCULO!$AJ$15:$BB$235)/(ORÇAMENTO!$X$15-CÁLCULO.TotalAdmLocal)*CRONO!$F73,
                        0),
                 AA72*$S71),
          SUMIF(OFFSET($S73,1,0,$R71-2),($M71+1)&amp;"$",OFFSET(AA73,1,0,$R71-2)))</f>
        <v>0</v>
      </c>
      <c r="AB73" s="202">
        <f t="array" aca="1" ref="AB73" ca="1">IF($R71=2,
         IF(AND(ACOMPANHAMENTO="PLE",ISNUMBER($F71)),
                SUMIF((OFFSET(CÁLCULO!$BC$15:$BU$15,$F71,0,OFFSET(ORÇAMENTO!$D$15,CRONO!$F71,0))),CRONO!AB$12,OFFSET(CÁLCULO!$AJ$15:$BB$15,$F71,0,OFFSET(ORÇAMENTO!$D$15,CRONO!$F71,0)))
                +IF(AND($F73&lt;&gt;"",$F73&lt;&gt;0),
                        SUMIF(CÁLCULO!$BC$15:$BU$235,CRONO!AB$12,CÁLCULO!$AJ$15:$BB$235)/(ORÇAMENTO!$X$15-CÁLCULO.TotalAdmLocal)*CRONO!$F73,
                        0),
                 AB72*$S71),
          SUMIF(OFFSET($S73,1,0,$R71-2),($M71+1)&amp;"$",OFFSET(AB73,1,0,$R71-2)))</f>
        <v>9082.5</v>
      </c>
      <c r="AC73" s="202">
        <f t="array" aca="1" ref="AC73" ca="1">IF($R71=2,
         IF(AND(ACOMPANHAMENTO="PLE",ISNUMBER($F71)),
                SUMIF((OFFSET(CÁLCULO!$BC$15:$BU$15,$F71,0,OFFSET(ORÇAMENTO!$D$15,CRONO!$F71,0))),CRONO!AC$12,OFFSET(CÁLCULO!$AJ$15:$BB$15,$F71,0,OFFSET(ORÇAMENTO!$D$15,CRONO!$F71,0)))
                +IF(AND($F73&lt;&gt;"",$F73&lt;&gt;0),
                        SUMIF(CÁLCULO!$BC$15:$BU$235,CRONO!AC$12,CÁLCULO!$AJ$15:$BB$235)/(ORÇAMENTO!$X$15-CÁLCULO.TotalAdmLocal)*CRONO!$F73,
                        0),
                 AC72*$S71),
          SUMIF(OFFSET($S73,1,0,$R71-2),($M71+1)&amp;"$",OFFSET(AC73,1,0,$R71-2)))</f>
        <v>9082.5</v>
      </c>
      <c r="AD73" s="202">
        <f t="array" aca="1" ref="AD73" ca="1">IF($R71=2,
         IF(AND(ACOMPANHAMENTO="PLE",ISNUMBER($F71)),
                SUMIF((OFFSET(CÁLCULO!$BC$15:$BU$15,$F71,0,OFFSET(ORÇAMENTO!$D$15,CRONO!$F71,0))),CRONO!AD$12,OFFSET(CÁLCULO!$AJ$15:$BB$15,$F71,0,OFFSET(ORÇAMENTO!$D$15,CRONO!$F71,0)))
                +IF(AND($F73&lt;&gt;"",$F73&lt;&gt;0),
                        SUMIF(CÁLCULO!$BC$15:$BU$235,CRONO!AD$12,CÁLCULO!$AJ$15:$BB$235)/(ORÇAMENTO!$X$15-CÁLCULO.TotalAdmLocal)*CRONO!$F73,
                        0),
                 AD72*$S71),
          SUMIF(OFFSET($S73,1,0,$R71-2),($M71+1)&amp;"$",OFFSET(AD73,1,0,$R71-2)))</f>
        <v>0</v>
      </c>
      <c r="AE73" s="202">
        <f t="array" aca="1" ref="AE73" ca="1">IF($R71=2,
         IF(AND(ACOMPANHAMENTO="PLE",ISNUMBER($F71)),
                SUMIF((OFFSET(CÁLCULO!$BC$15:$BU$15,$F71,0,OFFSET(ORÇAMENTO!$D$15,CRONO!$F71,0))),CRONO!AE$12,OFFSET(CÁLCULO!$AJ$15:$BB$15,$F71,0,OFFSET(ORÇAMENTO!$D$15,CRONO!$F71,0)))
                +IF(AND($F73&lt;&gt;"",$F73&lt;&gt;0),
                        SUMIF(CÁLCULO!$BC$15:$BU$235,CRONO!AE$12,CÁLCULO!$AJ$15:$BB$235)/(ORÇAMENTO!$X$15-CÁLCULO.TotalAdmLocal)*CRONO!$F73,
                        0),
                 AE72*$S71),
          SUMIF(OFFSET($S73,1,0,$R71-2),($M71+1)&amp;"$",OFFSET(AE73,1,0,$R71-2)))</f>
        <v>0</v>
      </c>
      <c r="AF73" s="202">
        <f t="array" aca="1" ref="AF73" ca="1">IF($R71=2,
         IF(AND(ACOMPANHAMENTO="PLE",ISNUMBER($F71)),
                SUMIF((OFFSET(CÁLCULO!$BC$15:$BU$15,$F71,0,OFFSET(ORÇAMENTO!$D$15,CRONO!$F71,0))),CRONO!AF$12,OFFSET(CÁLCULO!$AJ$15:$BB$15,$F71,0,OFFSET(ORÇAMENTO!$D$15,CRONO!$F71,0)))
                +IF(AND($F73&lt;&gt;"",$F73&lt;&gt;0),
                        SUMIF(CÁLCULO!$BC$15:$BU$235,CRONO!AF$12,CÁLCULO!$AJ$15:$BB$235)/(ORÇAMENTO!$X$15-CÁLCULO.TotalAdmLocal)*CRONO!$F73,
                        0),
                 AF72*$S71),
          SUMIF(OFFSET($S73,1,0,$R71-2),($M71+1)&amp;"$",OFFSET(AF73,1,0,$R71-2)))</f>
        <v>0</v>
      </c>
      <c r="AG73" s="532"/>
    </row>
    <row r="74" spans="1:33" x14ac:dyDescent="0.2">
      <c r="A74" s="186" t="str">
        <f ca="1">IF($M74&gt;1,_xlfn.CONCAT($I74," ",$J74),"")</f>
        <v>1.20. CERÂMICA</v>
      </c>
      <c r="B74" s="185">
        <f ca="1">OFFSET(B74,-3,0)+1</f>
        <v>21</v>
      </c>
      <c r="C74" s="185">
        <f ca="1">IF($R74&lt;&gt;2,0,IF($S74=0,1,IF(F75&gt;0,OFFSET(QCI!$M$13,SUBSTITUTE(F75,".",""),0),OFFSET(ORÇAMENTO!$AA$15,CRONO!$F74,0))/$S74))</f>
        <v>0</v>
      </c>
      <c r="D74" s="185">
        <f ca="1">IF($R74&lt;&gt;2,0,IF($S74=0,1,IF(F75&gt;0,OFFSET(QCI!$N$13,SUBSTITUTE(F75,".",""),0),OFFSET(ORÇAMENTO!$AB$15,CRONO!$F74,0))/$S74))</f>
        <v>0</v>
      </c>
      <c r="E74" s="188">
        <f t="array" aca="1" ref="E74" ca="1">IF(AND($R74=2,ACOMPANHAMENTO="BM"),ROUND(E75,4),E76/$S74)</f>
        <v>0</v>
      </c>
      <c r="F74" s="185">
        <f t="array" aca="1" ref="F74" ca="1">IF(B74&lt;=ORÇAMENTO.MáximoListaCrono,MATCH(B74,ORÇAMENTO.ListaCrono,0),NA())</f>
        <v>97</v>
      </c>
      <c r="G74" s="185" t="str">
        <f ca="1">IF(AND($F75&lt;&gt;-1,$S74&gt;0),"F","")</f>
        <v>F</v>
      </c>
      <c r="H74" s="189" t="str">
        <f t="array" aca="1" ref="H74" ca="1">IF(OR(S74=0,S74=""),"Linha",IF(AND(OR(ACOMPANHAMENTO="PLE",$R74&lt;&gt;2),$F75=0),"Linha",ROUND(1-SUM(U74:AG74),4)))</f>
        <v>Linha</v>
      </c>
      <c r="I74" s="190" t="str">
        <f ca="1">IF($F75=0,OFFSET(ORÇAMENTO!O$15,$F74,0),IF($F75&lt;&gt;-1,OFFSET(QCI!$D$13,$F75,0),""))</f>
        <v>1.20.</v>
      </c>
      <c r="J74" s="191" t="str">
        <f ca="1">IF($F75=0,OFFSET(ORÇAMENTO!R$15,$F74,0),IF($F75&lt;&gt;-1,OFFSET(QCI!$G$13,$F75,0),""))</f>
        <v>CERÂMICA</v>
      </c>
      <c r="K74" s="191"/>
      <c r="L74" s="191"/>
      <c r="M74" s="192">
        <f ca="1">IF($F75=0,OFFSET(ORÇAMENTO!C$15,$F74,0),1)</f>
        <v>2</v>
      </c>
      <c r="N74" s="193">
        <f ca="1">IF($F75=-1,0,IF(N$13&lt;=$M74,IF(ISERROR(MATCH(N$13,OFFSET($M74,1,0,ROW($M$119)-ROW($M74)-1),0)),ROW($M$119)-ROW($M74)-1,MATCH(N$13,OFFSET($M74,1,0,ROW($M$119)-ROW($M74)-1),0)-1),0))</f>
        <v>44</v>
      </c>
      <c r="O74" s="193">
        <f ca="1">IF($F75=-1,0,IF(O$13&lt;=$M74,IF(ISERROR(MATCH(O$13,OFFSET($M74,1,0,ROW($M$119)-ROW($M74)-1),0)),ROW($M$119)-ROW($M74)-1,MATCH(O$13,OFFSET($M74,1,0,ROW($M$119)-ROW($M74)-1),0)-1),0))</f>
        <v>2</v>
      </c>
      <c r="P74" s="193">
        <f ca="1">IF($F75=-1,0,IF(P$13&lt;=$M74,IF(ISERROR(MATCH(P$13,OFFSET($M74,1,0,ROW($M$119)-ROW($M74)-1),0)),ROW($M$119)-ROW($M74)-1,MATCH(P$13,OFFSET($M74,1,0,ROW($M$119)-ROW($M74)-1),0)-1),0))</f>
        <v>0</v>
      </c>
      <c r="Q74" s="193">
        <f ca="1">IF($F75=-1,0,IF(Q$13&lt;=$M74,IF(ISERROR(MATCH(Q$13,OFFSET($M74,1,0,ROW($M$119)-ROW($M74)-1),0)),ROW($M$119)-ROW($M74)-1,MATCH(Q$13,OFFSET($M74,1,0,ROW($M$119)-ROW($M74)-1),0)-1),0))</f>
        <v>0</v>
      </c>
      <c r="R74" s="193">
        <f ca="1">MIN(OFFSET(M74,0,1,,M74))</f>
        <v>2</v>
      </c>
      <c r="S74" s="194">
        <f ca="1">IF($F75=0,OFFSET(ORÇAMENTO!X$15,$F74,0),IF($F75&lt;&gt;-1,OFFSET(QCI!$O$13,$F75,0),""))</f>
        <v>200638.2</v>
      </c>
      <c r="T74" s="195" t="s">
        <v>785</v>
      </c>
      <c r="U74" s="188">
        <f t="array" aca="1" ref="U74" ca="1">IF(AND($R74=2,ACOMPANHAMENTO="BM"),ROUND(U75,4),U76/$S74)</f>
        <v>0</v>
      </c>
      <c r="V74" s="188">
        <f t="array" aca="1" ref="V74" ca="1">IF(AND($R74=2,ACOMPANHAMENTO="BM"),ROUND(V75,4),V76/$S74)</f>
        <v>0.20207876665560195</v>
      </c>
      <c r="W74" s="188">
        <f t="array" aca="1" ref="W74" ca="1">IF(AND($R74=2,ACOMPANHAMENTO="BM"),ROUND(W75,4),W76/$S74)</f>
        <v>0</v>
      </c>
      <c r="X74" s="188">
        <f t="array" aca="1" ref="X74" ca="1">IF(AND($R74=2,ACOMPANHAMENTO="BM"),ROUND(X75,4),X76/$S74)</f>
        <v>0</v>
      </c>
      <c r="Y74" s="188">
        <f t="array" aca="1" ref="Y74" ca="1">IF(AND($R74=2,ACOMPANHAMENTO="BM"),ROUND(Y75,4),Y76/$S74)</f>
        <v>0.20207876665560195</v>
      </c>
      <c r="Z74" s="188">
        <f t="array" aca="1" ref="Z74" ca="1">IF(AND($R74=2,ACOMPANHAMENTO="BM"),ROUND(Z75,4),Z76/$S74)</f>
        <v>0.29792123334439802</v>
      </c>
      <c r="AA74" s="188">
        <f t="array" aca="1" ref="AA74" ca="1">IF(AND($R74=2,ACOMPANHAMENTO="BM"),ROUND(AA75,4),AA76/$S74)</f>
        <v>0.14896061667219901</v>
      </c>
      <c r="AB74" s="188">
        <f t="array" aca="1" ref="AB74" ca="1">IF(AND($R74=2,ACOMPANHAMENTO="BM"),ROUND(AB75,4),AB76/$S74)</f>
        <v>0.14896061667219901</v>
      </c>
      <c r="AC74" s="188">
        <f t="array" aca="1" ref="AC74" ca="1">IF(AND($R74=2,ACOMPANHAMENTO="BM"),ROUND(AC75,4),AC76/$S74)</f>
        <v>0</v>
      </c>
      <c r="AD74" s="188">
        <f t="array" aca="1" ref="AD74" ca="1">IF(AND($R74=2,ACOMPANHAMENTO="BM"),ROUND(AD75,4),AD76/$S74)</f>
        <v>0</v>
      </c>
      <c r="AE74" s="188">
        <f t="array" aca="1" ref="AE74" ca="1">IF(AND($R74=2,ACOMPANHAMENTO="BM"),ROUND(AE75,4),AE76/$S74)</f>
        <v>0</v>
      </c>
      <c r="AF74" s="188">
        <f t="array" aca="1" ref="AF74" ca="1">IF(AND($R74=2,ACOMPANHAMENTO="BM"),ROUND(AF75,4),AF76/$S74)</f>
        <v>0</v>
      </c>
      <c r="AG74" s="532"/>
    </row>
    <row r="75" spans="1:33" ht="12.75" customHeight="1" x14ac:dyDescent="0.2">
      <c r="E75" s="585"/>
      <c r="F75" s="185">
        <f ca="1">IF(ISERROR(F74),IF(1+COUNTIF($M$13:OFFSET(M74,-1,0),1)&lt;=MAX(QCI!$D$13:$D$24),1+COUNTIF($M$13:OFFSET(M74,-1,0),1),-1),0)</f>
        <v>0</v>
      </c>
      <c r="G75" s="185" t="str">
        <f t="array" aca="1" ref="G75" ca="1">IF(ACOMPANHAMENTO="BM",OFFSET(G75,-1,0),"")</f>
        <v/>
      </c>
      <c r="H75" s="196" t="str">
        <f t="array" aca="1" ref="H75" ca="1">IF(OR(S74=0,S74=""),"vazia",IF(AND(OR(ACOMPANHAMENTO="PLE",$R74&lt;&gt;2),$F75=0),"calculada","--&gt;"))</f>
        <v>calculada</v>
      </c>
      <c r="I75" s="197"/>
      <c r="J75" s="198" t="str">
        <f ca="1">IF(AND(H74&lt;&gt;0,ISNUMBER(H74)),"PREENCHA ESTA LINHA --&gt;","")</f>
        <v/>
      </c>
      <c r="K75" s="198"/>
      <c r="L75" s="198"/>
      <c r="M75" s="199"/>
      <c r="N75" s="199"/>
      <c r="O75" s="199"/>
      <c r="P75" s="199"/>
      <c r="Q75" s="199"/>
      <c r="R75" s="199"/>
      <c r="S75" s="200"/>
      <c r="T75" s="201"/>
      <c r="U75" s="585"/>
      <c r="V75" s="585"/>
      <c r="W75" s="585"/>
      <c r="X75" s="585"/>
      <c r="Y75" s="585"/>
      <c r="Z75" s="585"/>
      <c r="AA75" s="585"/>
      <c r="AB75" s="585"/>
      <c r="AC75" s="585"/>
      <c r="AD75" s="585"/>
      <c r="AE75" s="585"/>
      <c r="AF75" s="585"/>
      <c r="AG75" s="532"/>
    </row>
    <row r="76" spans="1:33" ht="12.75" customHeight="1" x14ac:dyDescent="0.2">
      <c r="D76" s="531"/>
      <c r="E76" s="202">
        <f t="array" aca="1" ref="E76" ca="1">IF($R74=2,
         IF(AND(ACOMPANHAMENTO="PLE",ISNUMBER($F74)),
                SUMIF((OFFSET(CÁLCULO!$BC$15:$BU$15,$F74,0,OFFSET(ORÇAMENTO!$D$15,CRONO!$F74,0))),CRONO!E$12,OFFSET(CÁLCULO!$AJ$15:$BB$15,$F74,0,OFFSET(ORÇAMENTO!$D$15,CRONO!$F74,0)))
                +IF(AND($F76&lt;&gt;"",$F76&lt;&gt;0),
                        SUMIF(CÁLCULO!$BC$15:$BU$235,CRONO!E$12,CÁLCULO!$AJ$15:$BB$235)/(ORÇAMENTO!$X$15-CÁLCULO.TotalAdmLocal)*CRONO!$F76,
                        0),
                 E75*$S74),
          SUMIF(OFFSET($S76,1,0,$R74-2),($M74+1)&amp;"$",OFFSET(E76,1,0,$R74-2)))</f>
        <v>0</v>
      </c>
      <c r="F76" s="185">
        <f ca="1">IF(OR($R74&lt;&gt;2,AUTOEVENTO&lt;&gt;"manual",$F75&gt;0),"",
        IF(Import.TipoArredondamento="Tradicional",
              SUMIF(OFFSET(CÁLCULO!$M$15,CRONO!$F74,0,OFFSET(ORÇAMENTO!$D$15,CRONO!$F74,0)),1,OFFSET(ORÇAMENTO!$X$15,CRONO!$F74,0,OFFSET(ORÇAMENTO!$D$15,CRONO!$F74,0))),
              0))</f>
        <v>0</v>
      </c>
      <c r="H76" s="693"/>
      <c r="S76" s="204" t="str">
        <f ca="1">M74&amp;"$"</f>
        <v>2$</v>
      </c>
      <c r="T76" s="205"/>
      <c r="U76" s="202">
        <f t="array" aca="1" ref="U76" ca="1">IF($R74=2,
         IF(AND(ACOMPANHAMENTO="PLE",ISNUMBER($F74)),
                SUMIF((OFFSET(CÁLCULO!$BC$15:$BU$15,$F74,0,OFFSET(ORÇAMENTO!$D$15,CRONO!$F74,0))),CRONO!U$12,OFFSET(CÁLCULO!$AJ$15:$BB$15,$F74,0,OFFSET(ORÇAMENTO!$D$15,CRONO!$F74,0)))
                +IF(AND($F76&lt;&gt;"",$F76&lt;&gt;0),
                        SUMIF(CÁLCULO!$BC$15:$BU$235,CRONO!U$12,CÁLCULO!$AJ$15:$BB$235)/(ORÇAMENTO!$X$15-CÁLCULO.TotalAdmLocal)*CRONO!$F76,
                        0),
                 U75*$S74),
          SUMIF(OFFSET($S76,1,0,$R74-2),($M74+1)&amp;"$",OFFSET(U76,1,0,$R74-2)))</f>
        <v>0</v>
      </c>
      <c r="V76" s="202">
        <f t="array" aca="1" ref="V76" ca="1">IF($R74=2,
         IF(AND(ACOMPANHAMENTO="PLE",ISNUMBER($F74)),
                SUMIF((OFFSET(CÁLCULO!$BC$15:$BU$15,$F74,0,OFFSET(ORÇAMENTO!$D$15,CRONO!$F74,0))),CRONO!V$12,OFFSET(CÁLCULO!$AJ$15:$BB$15,$F74,0,OFFSET(ORÇAMENTO!$D$15,CRONO!$F74,0)))
                +IF(AND($F76&lt;&gt;"",$F76&lt;&gt;0),
                        SUMIF(CÁLCULO!$BC$15:$BU$235,CRONO!V$12,CÁLCULO!$AJ$15:$BB$235)/(ORÇAMENTO!$X$15-CÁLCULO.TotalAdmLocal)*CRONO!$F76,
                        0),
                 V75*$S74),
          SUMIF(OFFSET($S76,1,0,$R74-2),($M74+1)&amp;"$",OFFSET(V76,1,0,$R74-2)))</f>
        <v>40544.720000000001</v>
      </c>
      <c r="W76" s="202">
        <f t="array" aca="1" ref="W76" ca="1">IF($R74=2,
         IF(AND(ACOMPANHAMENTO="PLE",ISNUMBER($F74)),
                SUMIF((OFFSET(CÁLCULO!$BC$15:$BU$15,$F74,0,OFFSET(ORÇAMENTO!$D$15,CRONO!$F74,0))),CRONO!W$12,OFFSET(CÁLCULO!$AJ$15:$BB$15,$F74,0,OFFSET(ORÇAMENTO!$D$15,CRONO!$F74,0)))
                +IF(AND($F76&lt;&gt;"",$F76&lt;&gt;0),
                        SUMIF(CÁLCULO!$BC$15:$BU$235,CRONO!W$12,CÁLCULO!$AJ$15:$BB$235)/(ORÇAMENTO!$X$15-CÁLCULO.TotalAdmLocal)*CRONO!$F76,
                        0),
                 W75*$S74),
          SUMIF(OFFSET($S76,1,0,$R74-2),($M74+1)&amp;"$",OFFSET(W76,1,0,$R74-2)))</f>
        <v>0</v>
      </c>
      <c r="X76" s="202">
        <f t="array" aca="1" ref="X76" ca="1">IF($R74=2,
         IF(AND(ACOMPANHAMENTO="PLE",ISNUMBER($F74)),
                SUMIF((OFFSET(CÁLCULO!$BC$15:$BU$15,$F74,0,OFFSET(ORÇAMENTO!$D$15,CRONO!$F74,0))),CRONO!X$12,OFFSET(CÁLCULO!$AJ$15:$BB$15,$F74,0,OFFSET(ORÇAMENTO!$D$15,CRONO!$F74,0)))
                +IF(AND($F76&lt;&gt;"",$F76&lt;&gt;0),
                        SUMIF(CÁLCULO!$BC$15:$BU$235,CRONO!X$12,CÁLCULO!$AJ$15:$BB$235)/(ORÇAMENTO!$X$15-CÁLCULO.TotalAdmLocal)*CRONO!$F76,
                        0),
                 X75*$S74),
          SUMIF(OFFSET($S76,1,0,$R74-2),($M74+1)&amp;"$",OFFSET(X76,1,0,$R74-2)))</f>
        <v>0</v>
      </c>
      <c r="Y76" s="202">
        <f t="array" aca="1" ref="Y76" ca="1">IF($R74=2,
         IF(AND(ACOMPANHAMENTO="PLE",ISNUMBER($F74)),
                SUMIF((OFFSET(CÁLCULO!$BC$15:$BU$15,$F74,0,OFFSET(ORÇAMENTO!$D$15,CRONO!$F74,0))),CRONO!Y$12,OFFSET(CÁLCULO!$AJ$15:$BB$15,$F74,0,OFFSET(ORÇAMENTO!$D$15,CRONO!$F74,0)))
                +IF(AND($F76&lt;&gt;"",$F76&lt;&gt;0),
                        SUMIF(CÁLCULO!$BC$15:$BU$235,CRONO!Y$12,CÁLCULO!$AJ$15:$BB$235)/(ORÇAMENTO!$X$15-CÁLCULO.TotalAdmLocal)*CRONO!$F76,
                        0),
                 Y75*$S74),
          SUMIF(OFFSET($S76,1,0,$R74-2),($M74+1)&amp;"$",OFFSET(Y76,1,0,$R74-2)))</f>
        <v>40544.720000000001</v>
      </c>
      <c r="Z76" s="202">
        <f t="array" aca="1" ref="Z76" ca="1">IF($R74=2,
         IF(AND(ACOMPANHAMENTO="PLE",ISNUMBER($F74)),
                SUMIF((OFFSET(CÁLCULO!$BC$15:$BU$15,$F74,0,OFFSET(ORÇAMENTO!$D$15,CRONO!$F74,0))),CRONO!Z$12,OFFSET(CÁLCULO!$AJ$15:$BB$15,$F74,0,OFFSET(ORÇAMENTO!$D$15,CRONO!$F74,0)))
                +IF(AND($F76&lt;&gt;"",$F76&lt;&gt;0),
                        SUMIF(CÁLCULO!$BC$15:$BU$235,CRONO!Z$12,CÁLCULO!$AJ$15:$BB$235)/(ORÇAMENTO!$X$15-CÁLCULO.TotalAdmLocal)*CRONO!$F76,
                        0),
                 Z75*$S74),
          SUMIF(OFFSET($S76,1,0,$R74-2),($M74+1)&amp;"$",OFFSET(Z76,1,0,$R74-2)))</f>
        <v>59774.380000000005</v>
      </c>
      <c r="AA76" s="202">
        <f t="array" aca="1" ref="AA76" ca="1">IF($R74=2,
         IF(AND(ACOMPANHAMENTO="PLE",ISNUMBER($F74)),
                SUMIF((OFFSET(CÁLCULO!$BC$15:$BU$15,$F74,0,OFFSET(ORÇAMENTO!$D$15,CRONO!$F74,0))),CRONO!AA$12,OFFSET(CÁLCULO!$AJ$15:$BB$15,$F74,0,OFFSET(ORÇAMENTO!$D$15,CRONO!$F74,0)))
                +IF(AND($F76&lt;&gt;"",$F76&lt;&gt;0),
                        SUMIF(CÁLCULO!$BC$15:$BU$235,CRONO!AA$12,CÁLCULO!$AJ$15:$BB$235)/(ORÇAMENTO!$X$15-CÁLCULO.TotalAdmLocal)*CRONO!$F76,
                        0),
                 AA75*$S74),
          SUMIF(OFFSET($S76,1,0,$R74-2),($M74+1)&amp;"$",OFFSET(AA76,1,0,$R74-2)))</f>
        <v>29887.19</v>
      </c>
      <c r="AB76" s="202">
        <f t="array" aca="1" ref="AB76" ca="1">IF($R74=2,
         IF(AND(ACOMPANHAMENTO="PLE",ISNUMBER($F74)),
                SUMIF((OFFSET(CÁLCULO!$BC$15:$BU$15,$F74,0,OFFSET(ORÇAMENTO!$D$15,CRONO!$F74,0))),CRONO!AB$12,OFFSET(CÁLCULO!$AJ$15:$BB$15,$F74,0,OFFSET(ORÇAMENTO!$D$15,CRONO!$F74,0)))
                +IF(AND($F76&lt;&gt;"",$F76&lt;&gt;0),
                        SUMIF(CÁLCULO!$BC$15:$BU$235,CRONO!AB$12,CÁLCULO!$AJ$15:$BB$235)/(ORÇAMENTO!$X$15-CÁLCULO.TotalAdmLocal)*CRONO!$F76,
                        0),
                 AB75*$S74),
          SUMIF(OFFSET($S76,1,0,$R74-2),($M74+1)&amp;"$",OFFSET(AB76,1,0,$R74-2)))</f>
        <v>29887.19</v>
      </c>
      <c r="AC76" s="202">
        <f t="array" aca="1" ref="AC76" ca="1">IF($R74=2,
         IF(AND(ACOMPANHAMENTO="PLE",ISNUMBER($F74)),
                SUMIF((OFFSET(CÁLCULO!$BC$15:$BU$15,$F74,0,OFFSET(ORÇAMENTO!$D$15,CRONO!$F74,0))),CRONO!AC$12,OFFSET(CÁLCULO!$AJ$15:$BB$15,$F74,0,OFFSET(ORÇAMENTO!$D$15,CRONO!$F74,0)))
                +IF(AND($F76&lt;&gt;"",$F76&lt;&gt;0),
                        SUMIF(CÁLCULO!$BC$15:$BU$235,CRONO!AC$12,CÁLCULO!$AJ$15:$BB$235)/(ORÇAMENTO!$X$15-CÁLCULO.TotalAdmLocal)*CRONO!$F76,
                        0),
                 AC75*$S74),
          SUMIF(OFFSET($S76,1,0,$R74-2),($M74+1)&amp;"$",OFFSET(AC76,1,0,$R74-2)))</f>
        <v>0</v>
      </c>
      <c r="AD76" s="202">
        <f t="array" aca="1" ref="AD76" ca="1">IF($R74=2,
         IF(AND(ACOMPANHAMENTO="PLE",ISNUMBER($F74)),
                SUMIF((OFFSET(CÁLCULO!$BC$15:$BU$15,$F74,0,OFFSET(ORÇAMENTO!$D$15,CRONO!$F74,0))),CRONO!AD$12,OFFSET(CÁLCULO!$AJ$15:$BB$15,$F74,0,OFFSET(ORÇAMENTO!$D$15,CRONO!$F74,0)))
                +IF(AND($F76&lt;&gt;"",$F76&lt;&gt;0),
                        SUMIF(CÁLCULO!$BC$15:$BU$235,CRONO!AD$12,CÁLCULO!$AJ$15:$BB$235)/(ORÇAMENTO!$X$15-CÁLCULO.TotalAdmLocal)*CRONO!$F76,
                        0),
                 AD75*$S74),
          SUMIF(OFFSET($S76,1,0,$R74-2),($M74+1)&amp;"$",OFFSET(AD76,1,0,$R74-2)))</f>
        <v>0</v>
      </c>
      <c r="AE76" s="202">
        <f t="array" aca="1" ref="AE76" ca="1">IF($R74=2,
         IF(AND(ACOMPANHAMENTO="PLE",ISNUMBER($F74)),
                SUMIF((OFFSET(CÁLCULO!$BC$15:$BU$15,$F74,0,OFFSET(ORÇAMENTO!$D$15,CRONO!$F74,0))),CRONO!AE$12,OFFSET(CÁLCULO!$AJ$15:$BB$15,$F74,0,OFFSET(ORÇAMENTO!$D$15,CRONO!$F74,0)))
                +IF(AND($F76&lt;&gt;"",$F76&lt;&gt;0),
                        SUMIF(CÁLCULO!$BC$15:$BU$235,CRONO!AE$12,CÁLCULO!$AJ$15:$BB$235)/(ORÇAMENTO!$X$15-CÁLCULO.TotalAdmLocal)*CRONO!$F76,
                        0),
                 AE75*$S74),
          SUMIF(OFFSET($S76,1,0,$R74-2),($M74+1)&amp;"$",OFFSET(AE76,1,0,$R74-2)))</f>
        <v>0</v>
      </c>
      <c r="AF76" s="202">
        <f t="array" aca="1" ref="AF76" ca="1">IF($R74=2,
         IF(AND(ACOMPANHAMENTO="PLE",ISNUMBER($F74)),
                SUMIF((OFFSET(CÁLCULO!$BC$15:$BU$15,$F74,0,OFFSET(ORÇAMENTO!$D$15,CRONO!$F74,0))),CRONO!AF$12,OFFSET(CÁLCULO!$AJ$15:$BB$15,$F74,0,OFFSET(ORÇAMENTO!$D$15,CRONO!$F74,0)))
                +IF(AND($F76&lt;&gt;"",$F76&lt;&gt;0),
                        SUMIF(CÁLCULO!$BC$15:$BU$235,CRONO!AF$12,CÁLCULO!$AJ$15:$BB$235)/(ORÇAMENTO!$X$15-CÁLCULO.TotalAdmLocal)*CRONO!$F76,
                        0),
                 AF75*$S74),
          SUMIF(OFFSET($S76,1,0,$R74-2),($M74+1)&amp;"$",OFFSET(AF76,1,0,$R74-2)))</f>
        <v>0</v>
      </c>
      <c r="AG76" s="532"/>
    </row>
    <row r="77" spans="1:33" x14ac:dyDescent="0.2">
      <c r="A77" s="186" t="str">
        <f ca="1">IF($M77&gt;1,_xlfn.CONCAT($I77," ",$J77),"")</f>
        <v>1.21. CIMENTADOS</v>
      </c>
      <c r="B77" s="185">
        <f ca="1">OFFSET(B77,-3,0)+1</f>
        <v>22</v>
      </c>
      <c r="C77" s="185">
        <f ca="1">IF($R77&lt;&gt;2,0,IF($S77=0,1,IF(F78&gt;0,OFFSET(QCI!$M$13,SUBSTITUTE(F78,".",""),0),OFFSET(ORÇAMENTO!$AA$15,CRONO!$F77,0))/$S77))</f>
        <v>0</v>
      </c>
      <c r="D77" s="185">
        <f ca="1">IF($R77&lt;&gt;2,0,IF($S77=0,1,IF(F78&gt;0,OFFSET(QCI!$N$13,SUBSTITUTE(F78,".",""),0),OFFSET(ORÇAMENTO!$AB$15,CRONO!$F77,0))/$S77))</f>
        <v>0</v>
      </c>
      <c r="E77" s="188">
        <f t="array" aca="1" ref="E77" ca="1">IF(AND($R77=2,ACOMPANHAMENTO="BM"),ROUND(E78,4),E79/$S77)</f>
        <v>0</v>
      </c>
      <c r="F77" s="185">
        <f t="array" aca="1" ref="F77" ca="1">IF(B77&lt;=ORÇAMENTO.MáximoListaCrono,MATCH(B77,ORÇAMENTO.ListaCrono,0),NA())</f>
        <v>107</v>
      </c>
      <c r="G77" s="185" t="str">
        <f ca="1">IF(AND($F78&lt;&gt;-1,$S77&gt;0),"F","")</f>
        <v>F</v>
      </c>
      <c r="H77" s="189" t="str">
        <f t="array" aca="1" ref="H77" ca="1">IF(OR(S77=0,S77=""),"Linha",IF(AND(OR(ACOMPANHAMENTO="PLE",$R77&lt;&gt;2),$F78=0),"Linha",ROUND(1-SUM(U77:AG77),4)))</f>
        <v>Linha</v>
      </c>
      <c r="I77" s="190" t="str">
        <f ca="1">IF($F78=0,OFFSET(ORÇAMENTO!O$15,$F77,0),IF($F78&lt;&gt;-1,OFFSET(QCI!$D$13,$F78,0),""))</f>
        <v>1.21.</v>
      </c>
      <c r="J77" s="191" t="str">
        <f ca="1">IF($F78=0,OFFSET(ORÇAMENTO!R$15,$F77,0),IF($F78&lt;&gt;-1,OFFSET(QCI!$G$13,$F78,0),""))</f>
        <v>CIMENTADOS</v>
      </c>
      <c r="K77" s="191"/>
      <c r="L77" s="191"/>
      <c r="M77" s="192">
        <f ca="1">IF($F78=0,OFFSET(ORÇAMENTO!C$15,$F77,0),1)</f>
        <v>2</v>
      </c>
      <c r="N77" s="193">
        <f ca="1">IF($F78=-1,0,IF(N$13&lt;=$M77,IF(ISERROR(MATCH(N$13,OFFSET($M77,1,0,ROW($M$119)-ROW($M77)-1),0)),ROW($M$119)-ROW($M77)-1,MATCH(N$13,OFFSET($M77,1,0,ROW($M$119)-ROW($M77)-1),0)-1),0))</f>
        <v>41</v>
      </c>
      <c r="O77" s="193">
        <f ca="1">IF($F78=-1,0,IF(O$13&lt;=$M77,IF(ISERROR(MATCH(O$13,OFFSET($M77,1,0,ROW($M$119)-ROW($M77)-1),0)),ROW($M$119)-ROW($M77)-1,MATCH(O$13,OFFSET($M77,1,0,ROW($M$119)-ROW($M77)-1),0)-1),0))</f>
        <v>2</v>
      </c>
      <c r="P77" s="193">
        <f ca="1">IF($F78=-1,0,IF(P$13&lt;=$M77,IF(ISERROR(MATCH(P$13,OFFSET($M77,1,0,ROW($M$119)-ROW($M77)-1),0)),ROW($M$119)-ROW($M77)-1,MATCH(P$13,OFFSET($M77,1,0,ROW($M$119)-ROW($M77)-1),0)-1),0))</f>
        <v>0</v>
      </c>
      <c r="Q77" s="193">
        <f ca="1">IF($F78=-1,0,IF(Q$13&lt;=$M77,IF(ISERROR(MATCH(Q$13,OFFSET($M77,1,0,ROW($M$119)-ROW($M77)-1),0)),ROW($M$119)-ROW($M77)-1,MATCH(Q$13,OFFSET($M77,1,0,ROW($M$119)-ROW($M77)-1),0)-1),0))</f>
        <v>0</v>
      </c>
      <c r="R77" s="193">
        <f ca="1">MIN(OFFSET(M77,0,1,,M77))</f>
        <v>2</v>
      </c>
      <c r="S77" s="194">
        <f ca="1">IF($F78=0,OFFSET(ORÇAMENTO!X$15,$F77,0),IF($F78&lt;&gt;-1,OFFSET(QCI!$O$13,$F78,0),""))</f>
        <v>22365.16</v>
      </c>
      <c r="T77" s="195" t="s">
        <v>785</v>
      </c>
      <c r="U77" s="188">
        <f t="array" aca="1" ref="U77" ca="1">IF(AND($R77=2,ACOMPANHAMENTO="BM"),ROUND(U78,4),U79/$S77)</f>
        <v>0</v>
      </c>
      <c r="V77" s="188">
        <f t="array" aca="1" ref="V77" ca="1">IF(AND($R77=2,ACOMPANHAMENTO="BM"),ROUND(V78,4),V79/$S77)</f>
        <v>0</v>
      </c>
      <c r="W77" s="188">
        <f t="array" aca="1" ref="W77" ca="1">IF(AND($R77=2,ACOMPANHAMENTO="BM"),ROUND(W78,4),W79/$S77)</f>
        <v>0</v>
      </c>
      <c r="X77" s="188">
        <f t="array" aca="1" ref="X77" ca="1">IF(AND($R77=2,ACOMPANHAMENTO="BM"),ROUND(X78,4),X79/$S77)</f>
        <v>0.49999999999999994</v>
      </c>
      <c r="Y77" s="188">
        <f t="array" aca="1" ref="Y77" ca="1">IF(AND($R77=2,ACOMPANHAMENTO="BM"),ROUND(Y78,4),Y79/$S77)</f>
        <v>0.49999999999999994</v>
      </c>
      <c r="Z77" s="188">
        <f t="array" aca="1" ref="Z77" ca="1">IF(AND($R77=2,ACOMPANHAMENTO="BM"),ROUND(Z78,4),Z79/$S77)</f>
        <v>0</v>
      </c>
      <c r="AA77" s="188">
        <f t="array" aca="1" ref="AA77" ca="1">IF(AND($R77=2,ACOMPANHAMENTO="BM"),ROUND(AA78,4),AA79/$S77)</f>
        <v>0</v>
      </c>
      <c r="AB77" s="188">
        <f t="array" aca="1" ref="AB77" ca="1">IF(AND($R77=2,ACOMPANHAMENTO="BM"),ROUND(AB78,4),AB79/$S77)</f>
        <v>0</v>
      </c>
      <c r="AC77" s="188">
        <f t="array" aca="1" ref="AC77" ca="1">IF(AND($R77=2,ACOMPANHAMENTO="BM"),ROUND(AC78,4),AC79/$S77)</f>
        <v>0</v>
      </c>
      <c r="AD77" s="188">
        <f t="array" aca="1" ref="AD77" ca="1">IF(AND($R77=2,ACOMPANHAMENTO="BM"),ROUND(AD78,4),AD79/$S77)</f>
        <v>0</v>
      </c>
      <c r="AE77" s="188">
        <f t="array" aca="1" ref="AE77" ca="1">IF(AND($R77=2,ACOMPANHAMENTO="BM"),ROUND(AE78,4),AE79/$S77)</f>
        <v>0</v>
      </c>
      <c r="AF77" s="188">
        <f t="array" aca="1" ref="AF77" ca="1">IF(AND($R77=2,ACOMPANHAMENTO="BM"),ROUND(AF78,4),AF79/$S77)</f>
        <v>0</v>
      </c>
      <c r="AG77" s="532"/>
    </row>
    <row r="78" spans="1:33" ht="12.75" customHeight="1" x14ac:dyDescent="0.2">
      <c r="E78" s="585"/>
      <c r="F78" s="185">
        <f ca="1">IF(ISERROR(F77),IF(1+COUNTIF($M$13:OFFSET(M77,-1,0),1)&lt;=MAX(QCI!$D$13:$D$24),1+COUNTIF($M$13:OFFSET(M77,-1,0),1),-1),0)</f>
        <v>0</v>
      </c>
      <c r="G78" s="185" t="str">
        <f t="array" aca="1" ref="G78" ca="1">IF(ACOMPANHAMENTO="BM",OFFSET(G78,-1,0),"")</f>
        <v/>
      </c>
      <c r="H78" s="196" t="str">
        <f t="array" aca="1" ref="H78" ca="1">IF(OR(S77=0,S77=""),"vazia",IF(AND(OR(ACOMPANHAMENTO="PLE",$R77&lt;&gt;2),$F78=0),"calculada","--&gt;"))</f>
        <v>calculada</v>
      </c>
      <c r="I78" s="197"/>
      <c r="J78" s="198" t="str">
        <f ca="1">IF(AND(H77&lt;&gt;0,ISNUMBER(H77)),"PREENCHA ESTA LINHA --&gt;","")</f>
        <v/>
      </c>
      <c r="K78" s="198"/>
      <c r="L78" s="198"/>
      <c r="M78" s="199"/>
      <c r="N78" s="199"/>
      <c r="O78" s="199"/>
      <c r="P78" s="199"/>
      <c r="Q78" s="199"/>
      <c r="R78" s="199"/>
      <c r="S78" s="200"/>
      <c r="T78" s="201"/>
      <c r="U78" s="585"/>
      <c r="V78" s="585"/>
      <c r="W78" s="585"/>
      <c r="X78" s="585"/>
      <c r="Y78" s="585"/>
      <c r="Z78" s="585"/>
      <c r="AA78" s="585"/>
      <c r="AB78" s="585"/>
      <c r="AC78" s="585"/>
      <c r="AD78" s="585"/>
      <c r="AE78" s="585"/>
      <c r="AF78" s="585"/>
      <c r="AG78" s="532"/>
    </row>
    <row r="79" spans="1:33" ht="12.75" customHeight="1" x14ac:dyDescent="0.2">
      <c r="D79" s="531"/>
      <c r="E79" s="202">
        <f t="array" aca="1" ref="E79" ca="1">IF($R77=2,
         IF(AND(ACOMPANHAMENTO="PLE",ISNUMBER($F77)),
                SUMIF((OFFSET(CÁLCULO!$BC$15:$BU$15,$F77,0,OFFSET(ORÇAMENTO!$D$15,CRONO!$F77,0))),CRONO!E$12,OFFSET(CÁLCULO!$AJ$15:$BB$15,$F77,0,OFFSET(ORÇAMENTO!$D$15,CRONO!$F77,0)))
                +IF(AND($F79&lt;&gt;"",$F79&lt;&gt;0),
                        SUMIF(CÁLCULO!$BC$15:$BU$235,CRONO!E$12,CÁLCULO!$AJ$15:$BB$235)/(ORÇAMENTO!$X$15-CÁLCULO.TotalAdmLocal)*CRONO!$F79,
                        0),
                 E78*$S77),
          SUMIF(OFFSET($S79,1,0,$R77-2),($M77+1)&amp;"$",OFFSET(E79,1,0,$R77-2)))</f>
        <v>0</v>
      </c>
      <c r="F79" s="185">
        <f ca="1">IF(OR($R77&lt;&gt;2,AUTOEVENTO&lt;&gt;"manual",$F78&gt;0),"",
        IF(Import.TipoArredondamento="Tradicional",
              SUMIF(OFFSET(CÁLCULO!$M$15,CRONO!$F77,0,OFFSET(ORÇAMENTO!$D$15,CRONO!$F77,0)),1,OFFSET(ORÇAMENTO!$X$15,CRONO!$F77,0,OFFSET(ORÇAMENTO!$D$15,CRONO!$F77,0))),
              0))</f>
        <v>0</v>
      </c>
      <c r="H79" s="693"/>
      <c r="S79" s="204" t="str">
        <f ca="1">M77&amp;"$"</f>
        <v>2$</v>
      </c>
      <c r="T79" s="205"/>
      <c r="U79" s="202">
        <f t="array" aca="1" ref="U79" ca="1">IF($R77=2,
         IF(AND(ACOMPANHAMENTO="PLE",ISNUMBER($F77)),
                SUMIF((OFFSET(CÁLCULO!$BC$15:$BU$15,$F77,0,OFFSET(ORÇAMENTO!$D$15,CRONO!$F77,0))),CRONO!U$12,OFFSET(CÁLCULO!$AJ$15:$BB$15,$F77,0,OFFSET(ORÇAMENTO!$D$15,CRONO!$F77,0)))
                +IF(AND($F79&lt;&gt;"",$F79&lt;&gt;0),
                        SUMIF(CÁLCULO!$BC$15:$BU$235,CRONO!U$12,CÁLCULO!$AJ$15:$BB$235)/(ORÇAMENTO!$X$15-CÁLCULO.TotalAdmLocal)*CRONO!$F79,
                        0),
                 U78*$S77),
          SUMIF(OFFSET($S79,1,0,$R77-2),($M77+1)&amp;"$",OFFSET(U79,1,0,$R77-2)))</f>
        <v>0</v>
      </c>
      <c r="V79" s="202">
        <f t="array" aca="1" ref="V79" ca="1">IF($R77=2,
         IF(AND(ACOMPANHAMENTO="PLE",ISNUMBER($F77)),
                SUMIF((OFFSET(CÁLCULO!$BC$15:$BU$15,$F77,0,OFFSET(ORÇAMENTO!$D$15,CRONO!$F77,0))),CRONO!V$12,OFFSET(CÁLCULO!$AJ$15:$BB$15,$F77,0,OFFSET(ORÇAMENTO!$D$15,CRONO!$F77,0)))
                +IF(AND($F79&lt;&gt;"",$F79&lt;&gt;0),
                        SUMIF(CÁLCULO!$BC$15:$BU$235,CRONO!V$12,CÁLCULO!$AJ$15:$BB$235)/(ORÇAMENTO!$X$15-CÁLCULO.TotalAdmLocal)*CRONO!$F79,
                        0),
                 V78*$S77),
          SUMIF(OFFSET($S79,1,0,$R77-2),($M77+1)&amp;"$",OFFSET(V79,1,0,$R77-2)))</f>
        <v>0</v>
      </c>
      <c r="W79" s="202">
        <f t="array" aca="1" ref="W79" ca="1">IF($R77=2,
         IF(AND(ACOMPANHAMENTO="PLE",ISNUMBER($F77)),
                SUMIF((OFFSET(CÁLCULO!$BC$15:$BU$15,$F77,0,OFFSET(ORÇAMENTO!$D$15,CRONO!$F77,0))),CRONO!W$12,OFFSET(CÁLCULO!$AJ$15:$BB$15,$F77,0,OFFSET(ORÇAMENTO!$D$15,CRONO!$F77,0)))
                +IF(AND($F79&lt;&gt;"",$F79&lt;&gt;0),
                        SUMIF(CÁLCULO!$BC$15:$BU$235,CRONO!W$12,CÁLCULO!$AJ$15:$BB$235)/(ORÇAMENTO!$X$15-CÁLCULO.TotalAdmLocal)*CRONO!$F79,
                        0),
                 W78*$S77),
          SUMIF(OFFSET($S79,1,0,$R77-2),($M77+1)&amp;"$",OFFSET(W79,1,0,$R77-2)))</f>
        <v>0</v>
      </c>
      <c r="X79" s="202">
        <f t="array" aca="1" ref="X79" ca="1">IF($R77=2,
         IF(AND(ACOMPANHAMENTO="PLE",ISNUMBER($F77)),
                SUMIF((OFFSET(CÁLCULO!$BC$15:$BU$15,$F77,0,OFFSET(ORÇAMENTO!$D$15,CRONO!$F77,0))),CRONO!X$12,OFFSET(CÁLCULO!$AJ$15:$BB$15,$F77,0,OFFSET(ORÇAMENTO!$D$15,CRONO!$F77,0)))
                +IF(AND($F79&lt;&gt;"",$F79&lt;&gt;0),
                        SUMIF(CÁLCULO!$BC$15:$BU$235,CRONO!X$12,CÁLCULO!$AJ$15:$BB$235)/(ORÇAMENTO!$X$15-CÁLCULO.TotalAdmLocal)*CRONO!$F79,
                        0),
                 X78*$S77),
          SUMIF(OFFSET($S79,1,0,$R77-2),($M77+1)&amp;"$",OFFSET(X79,1,0,$R77-2)))</f>
        <v>11182.579999999998</v>
      </c>
      <c r="Y79" s="202">
        <f t="array" aca="1" ref="Y79" ca="1">IF($R77=2,
         IF(AND(ACOMPANHAMENTO="PLE",ISNUMBER($F77)),
                SUMIF((OFFSET(CÁLCULO!$BC$15:$BU$15,$F77,0,OFFSET(ORÇAMENTO!$D$15,CRONO!$F77,0))),CRONO!Y$12,OFFSET(CÁLCULO!$AJ$15:$BB$15,$F77,0,OFFSET(ORÇAMENTO!$D$15,CRONO!$F77,0)))
                +IF(AND($F79&lt;&gt;"",$F79&lt;&gt;0),
                        SUMIF(CÁLCULO!$BC$15:$BU$235,CRONO!Y$12,CÁLCULO!$AJ$15:$BB$235)/(ORÇAMENTO!$X$15-CÁLCULO.TotalAdmLocal)*CRONO!$F79,
                        0),
                 Y78*$S77),
          SUMIF(OFFSET($S79,1,0,$R77-2),($M77+1)&amp;"$",OFFSET(Y79,1,0,$R77-2)))</f>
        <v>11182.579999999998</v>
      </c>
      <c r="Z79" s="202">
        <f t="array" aca="1" ref="Z79" ca="1">IF($R77=2,
         IF(AND(ACOMPANHAMENTO="PLE",ISNUMBER($F77)),
                SUMIF((OFFSET(CÁLCULO!$BC$15:$BU$15,$F77,0,OFFSET(ORÇAMENTO!$D$15,CRONO!$F77,0))),CRONO!Z$12,OFFSET(CÁLCULO!$AJ$15:$BB$15,$F77,0,OFFSET(ORÇAMENTO!$D$15,CRONO!$F77,0)))
                +IF(AND($F79&lt;&gt;"",$F79&lt;&gt;0),
                        SUMIF(CÁLCULO!$BC$15:$BU$235,CRONO!Z$12,CÁLCULO!$AJ$15:$BB$235)/(ORÇAMENTO!$X$15-CÁLCULO.TotalAdmLocal)*CRONO!$F79,
                        0),
                 Z78*$S77),
          SUMIF(OFFSET($S79,1,0,$R77-2),($M77+1)&amp;"$",OFFSET(Z79,1,0,$R77-2)))</f>
        <v>0</v>
      </c>
      <c r="AA79" s="202">
        <f t="array" aca="1" ref="AA79" ca="1">IF($R77=2,
         IF(AND(ACOMPANHAMENTO="PLE",ISNUMBER($F77)),
                SUMIF((OFFSET(CÁLCULO!$BC$15:$BU$15,$F77,0,OFFSET(ORÇAMENTO!$D$15,CRONO!$F77,0))),CRONO!AA$12,OFFSET(CÁLCULO!$AJ$15:$BB$15,$F77,0,OFFSET(ORÇAMENTO!$D$15,CRONO!$F77,0)))
                +IF(AND($F79&lt;&gt;"",$F79&lt;&gt;0),
                        SUMIF(CÁLCULO!$BC$15:$BU$235,CRONO!AA$12,CÁLCULO!$AJ$15:$BB$235)/(ORÇAMENTO!$X$15-CÁLCULO.TotalAdmLocal)*CRONO!$F79,
                        0),
                 AA78*$S77),
          SUMIF(OFFSET($S79,1,0,$R77-2),($M77+1)&amp;"$",OFFSET(AA79,1,0,$R77-2)))</f>
        <v>0</v>
      </c>
      <c r="AB79" s="202">
        <f t="array" aca="1" ref="AB79" ca="1">IF($R77=2,
         IF(AND(ACOMPANHAMENTO="PLE",ISNUMBER($F77)),
                SUMIF((OFFSET(CÁLCULO!$BC$15:$BU$15,$F77,0,OFFSET(ORÇAMENTO!$D$15,CRONO!$F77,0))),CRONO!AB$12,OFFSET(CÁLCULO!$AJ$15:$BB$15,$F77,0,OFFSET(ORÇAMENTO!$D$15,CRONO!$F77,0)))
                +IF(AND($F79&lt;&gt;"",$F79&lt;&gt;0),
                        SUMIF(CÁLCULO!$BC$15:$BU$235,CRONO!AB$12,CÁLCULO!$AJ$15:$BB$235)/(ORÇAMENTO!$X$15-CÁLCULO.TotalAdmLocal)*CRONO!$F79,
                        0),
                 AB78*$S77),
          SUMIF(OFFSET($S79,1,0,$R77-2),($M77+1)&amp;"$",OFFSET(AB79,1,0,$R77-2)))</f>
        <v>0</v>
      </c>
      <c r="AC79" s="202">
        <f t="array" aca="1" ref="AC79" ca="1">IF($R77=2,
         IF(AND(ACOMPANHAMENTO="PLE",ISNUMBER($F77)),
                SUMIF((OFFSET(CÁLCULO!$BC$15:$BU$15,$F77,0,OFFSET(ORÇAMENTO!$D$15,CRONO!$F77,0))),CRONO!AC$12,OFFSET(CÁLCULO!$AJ$15:$BB$15,$F77,0,OFFSET(ORÇAMENTO!$D$15,CRONO!$F77,0)))
                +IF(AND($F79&lt;&gt;"",$F79&lt;&gt;0),
                        SUMIF(CÁLCULO!$BC$15:$BU$235,CRONO!AC$12,CÁLCULO!$AJ$15:$BB$235)/(ORÇAMENTO!$X$15-CÁLCULO.TotalAdmLocal)*CRONO!$F79,
                        0),
                 AC78*$S77),
          SUMIF(OFFSET($S79,1,0,$R77-2),($M77+1)&amp;"$",OFFSET(AC79,1,0,$R77-2)))</f>
        <v>0</v>
      </c>
      <c r="AD79" s="202">
        <f t="array" aca="1" ref="AD79" ca="1">IF($R77=2,
         IF(AND(ACOMPANHAMENTO="PLE",ISNUMBER($F77)),
                SUMIF((OFFSET(CÁLCULO!$BC$15:$BU$15,$F77,0,OFFSET(ORÇAMENTO!$D$15,CRONO!$F77,0))),CRONO!AD$12,OFFSET(CÁLCULO!$AJ$15:$BB$15,$F77,0,OFFSET(ORÇAMENTO!$D$15,CRONO!$F77,0)))
                +IF(AND($F79&lt;&gt;"",$F79&lt;&gt;0),
                        SUMIF(CÁLCULO!$BC$15:$BU$235,CRONO!AD$12,CÁLCULO!$AJ$15:$BB$235)/(ORÇAMENTO!$X$15-CÁLCULO.TotalAdmLocal)*CRONO!$F79,
                        0),
                 AD78*$S77),
          SUMIF(OFFSET($S79,1,0,$R77-2),($M77+1)&amp;"$",OFFSET(AD79,1,0,$R77-2)))</f>
        <v>0</v>
      </c>
      <c r="AE79" s="202">
        <f t="array" aca="1" ref="AE79" ca="1">IF($R77=2,
         IF(AND(ACOMPANHAMENTO="PLE",ISNUMBER($F77)),
                SUMIF((OFFSET(CÁLCULO!$BC$15:$BU$15,$F77,0,OFFSET(ORÇAMENTO!$D$15,CRONO!$F77,0))),CRONO!AE$12,OFFSET(CÁLCULO!$AJ$15:$BB$15,$F77,0,OFFSET(ORÇAMENTO!$D$15,CRONO!$F77,0)))
                +IF(AND($F79&lt;&gt;"",$F79&lt;&gt;0),
                        SUMIF(CÁLCULO!$BC$15:$BU$235,CRONO!AE$12,CÁLCULO!$AJ$15:$BB$235)/(ORÇAMENTO!$X$15-CÁLCULO.TotalAdmLocal)*CRONO!$F79,
                        0),
                 AE78*$S77),
          SUMIF(OFFSET($S79,1,0,$R77-2),($M77+1)&amp;"$",OFFSET(AE79,1,0,$R77-2)))</f>
        <v>0</v>
      </c>
      <c r="AF79" s="202">
        <f t="array" aca="1" ref="AF79" ca="1">IF($R77=2,
         IF(AND(ACOMPANHAMENTO="PLE",ISNUMBER($F77)),
                SUMIF((OFFSET(CÁLCULO!$BC$15:$BU$15,$F77,0,OFFSET(ORÇAMENTO!$D$15,CRONO!$F77,0))),CRONO!AF$12,OFFSET(CÁLCULO!$AJ$15:$BB$15,$F77,0,OFFSET(ORÇAMENTO!$D$15,CRONO!$F77,0)))
                +IF(AND($F79&lt;&gt;"",$F79&lt;&gt;0),
                        SUMIF(CÁLCULO!$BC$15:$BU$235,CRONO!AF$12,CÁLCULO!$AJ$15:$BB$235)/(ORÇAMENTO!$X$15-CÁLCULO.TotalAdmLocal)*CRONO!$F79,
                        0),
                 AF78*$S77),
          SUMIF(OFFSET($S79,1,0,$R77-2),($M77+1)&amp;"$",OFFSET(AF79,1,0,$R77-2)))</f>
        <v>0</v>
      </c>
      <c r="AG79" s="532"/>
    </row>
    <row r="80" spans="1:33" x14ac:dyDescent="0.2">
      <c r="A80" s="186" t="str">
        <f ca="1">IF($M80&gt;1,_xlfn.CONCAT($I80," ",$J80),"")</f>
        <v>1.22. RODAPÉS, SOLEIRAS E PEITORIS</v>
      </c>
      <c r="B80" s="185">
        <f ca="1">OFFSET(B80,-3,0)+1</f>
        <v>23</v>
      </c>
      <c r="C80" s="185">
        <f ca="1">IF($R80&lt;&gt;2,0,IF($S80=0,1,IF(F81&gt;0,OFFSET(QCI!$M$13,SUBSTITUTE(F81,".",""),0),OFFSET(ORÇAMENTO!$AA$15,CRONO!$F80,0))/$S80))</f>
        <v>0</v>
      </c>
      <c r="D80" s="185">
        <f ca="1">IF($R80&lt;&gt;2,0,IF($S80=0,1,IF(F81&gt;0,OFFSET(QCI!$N$13,SUBSTITUTE(F81,".",""),0),OFFSET(ORÇAMENTO!$AB$15,CRONO!$F80,0))/$S80))</f>
        <v>0</v>
      </c>
      <c r="E80" s="188">
        <f t="array" aca="1" ref="E80" ca="1">IF(AND($R80=2,ACOMPANHAMENTO="BM"),ROUND(E81,4),E82/$S80)</f>
        <v>0</v>
      </c>
      <c r="F80" s="185">
        <f t="array" aca="1" ref="F80" ca="1">IF(B80&lt;=ORÇAMENTO.MáximoListaCrono,MATCH(B80,ORÇAMENTO.ListaCrono,0),NA())</f>
        <v>110</v>
      </c>
      <c r="G80" s="185" t="str">
        <f ca="1">IF(AND($F81&lt;&gt;-1,$S80&gt;0),"F","")</f>
        <v>F</v>
      </c>
      <c r="H80" s="189" t="str">
        <f t="array" aca="1" ref="H80" ca="1">IF(OR(S80=0,S80=""),"Linha",IF(AND(OR(ACOMPANHAMENTO="PLE",$R80&lt;&gt;2),$F81=0),"Linha",ROUND(1-SUM(U80:AG80),4)))</f>
        <v>Linha</v>
      </c>
      <c r="I80" s="190" t="str">
        <f ca="1">IF($F81=0,OFFSET(ORÇAMENTO!O$15,$F80,0),IF($F81&lt;&gt;-1,OFFSET(QCI!$D$13,$F81,0),""))</f>
        <v>1.22.</v>
      </c>
      <c r="J80" s="191" t="str">
        <f ca="1">IF($F81=0,OFFSET(ORÇAMENTO!R$15,$F80,0),IF($F81&lt;&gt;-1,OFFSET(QCI!$G$13,$F81,0),""))</f>
        <v>RODAPÉS, SOLEIRAS E PEITORIS</v>
      </c>
      <c r="K80" s="191"/>
      <c r="L80" s="191"/>
      <c r="M80" s="192">
        <f ca="1">IF($F81=0,OFFSET(ORÇAMENTO!C$15,$F80,0),1)</f>
        <v>2</v>
      </c>
      <c r="N80" s="193">
        <f ca="1">IF($F81=-1,0,IF(N$13&lt;=$M80,IF(ISERROR(MATCH(N$13,OFFSET($M80,1,0,ROW($M$119)-ROW($M80)-1),0)),ROW($M$119)-ROW($M80)-1,MATCH(N$13,OFFSET($M80,1,0,ROW($M$119)-ROW($M80)-1),0)-1),0))</f>
        <v>38</v>
      </c>
      <c r="O80" s="193">
        <f ca="1">IF($F81=-1,0,IF(O$13&lt;=$M80,IF(ISERROR(MATCH(O$13,OFFSET($M80,1,0,ROW($M$119)-ROW($M80)-1),0)),ROW($M$119)-ROW($M80)-1,MATCH(O$13,OFFSET($M80,1,0,ROW($M$119)-ROW($M80)-1),0)-1),0))</f>
        <v>2</v>
      </c>
      <c r="P80" s="193">
        <f ca="1">IF($F81=-1,0,IF(P$13&lt;=$M80,IF(ISERROR(MATCH(P$13,OFFSET($M80,1,0,ROW($M$119)-ROW($M80)-1),0)),ROW($M$119)-ROW($M80)-1,MATCH(P$13,OFFSET($M80,1,0,ROW($M$119)-ROW($M80)-1),0)-1),0))</f>
        <v>0</v>
      </c>
      <c r="Q80" s="193">
        <f ca="1">IF($F81=-1,0,IF(Q$13&lt;=$M80,IF(ISERROR(MATCH(Q$13,OFFSET($M80,1,0,ROW($M$119)-ROW($M80)-1),0)),ROW($M$119)-ROW($M80)-1,MATCH(Q$13,OFFSET($M80,1,0,ROW($M$119)-ROW($M80)-1),0)-1),0))</f>
        <v>0</v>
      </c>
      <c r="R80" s="193">
        <f ca="1">MIN(OFFSET(M80,0,1,,M80))</f>
        <v>2</v>
      </c>
      <c r="S80" s="194">
        <f ca="1">IF($F81=0,OFFSET(ORÇAMENTO!X$15,$F80,0),IF($F81&lt;&gt;-1,OFFSET(QCI!$O$13,$F81,0),""))</f>
        <v>29004.400000000001</v>
      </c>
      <c r="T80" s="195" t="s">
        <v>785</v>
      </c>
      <c r="U80" s="188">
        <f t="array" aca="1" ref="U80" ca="1">IF(AND($R80=2,ACOMPANHAMENTO="BM"),ROUND(U81,4),U82/$S80)</f>
        <v>0</v>
      </c>
      <c r="V80" s="188">
        <f t="array" aca="1" ref="V80" ca="1">IF(AND($R80=2,ACOMPANHAMENTO="BM"),ROUND(V81,4),V82/$S80)</f>
        <v>0</v>
      </c>
      <c r="W80" s="188">
        <f t="array" aca="1" ref="W80" ca="1">IF(AND($R80=2,ACOMPANHAMENTO="BM"),ROUND(W81,4),W82/$S80)</f>
        <v>0</v>
      </c>
      <c r="X80" s="188">
        <f t="array" aca="1" ref="X80" ca="1">IF(AND($R80=2,ACOMPANHAMENTO="BM"),ROUND(X81,4),X82/$S80)</f>
        <v>0</v>
      </c>
      <c r="Y80" s="188">
        <f t="array" aca="1" ref="Y80" ca="1">IF(AND($R80=2,ACOMPANHAMENTO="BM"),ROUND(Y81,4),Y82/$S80)</f>
        <v>0</v>
      </c>
      <c r="Z80" s="188">
        <f t="array" aca="1" ref="Z80" ca="1">IF(AND($R80=2,ACOMPANHAMENTO="BM"),ROUND(Z81,4),Z82/$S80)</f>
        <v>0.5</v>
      </c>
      <c r="AA80" s="188">
        <f t="array" aca="1" ref="AA80" ca="1">IF(AND($R80=2,ACOMPANHAMENTO="BM"),ROUND(AA81,4),AA82/$S80)</f>
        <v>0.25</v>
      </c>
      <c r="AB80" s="188">
        <f t="array" aca="1" ref="AB80" ca="1">IF(AND($R80=2,ACOMPANHAMENTO="BM"),ROUND(AB81,4),AB82/$S80)</f>
        <v>0.25</v>
      </c>
      <c r="AC80" s="188">
        <f t="array" aca="1" ref="AC80" ca="1">IF(AND($R80=2,ACOMPANHAMENTO="BM"),ROUND(AC81,4),AC82/$S80)</f>
        <v>0</v>
      </c>
      <c r="AD80" s="188">
        <f t="array" aca="1" ref="AD80" ca="1">IF(AND($R80=2,ACOMPANHAMENTO="BM"),ROUND(AD81,4),AD82/$S80)</f>
        <v>0</v>
      </c>
      <c r="AE80" s="188">
        <f t="array" aca="1" ref="AE80" ca="1">IF(AND($R80=2,ACOMPANHAMENTO="BM"),ROUND(AE81,4),AE82/$S80)</f>
        <v>0</v>
      </c>
      <c r="AF80" s="188">
        <f t="array" aca="1" ref="AF80" ca="1">IF(AND($R80=2,ACOMPANHAMENTO="BM"),ROUND(AF81,4),AF82/$S80)</f>
        <v>0</v>
      </c>
      <c r="AG80" s="532"/>
    </row>
    <row r="81" spans="1:33" ht="12.75" customHeight="1" x14ac:dyDescent="0.2">
      <c r="E81" s="585"/>
      <c r="F81" s="185">
        <f ca="1">IF(ISERROR(F80),IF(1+COUNTIF($M$13:OFFSET(M80,-1,0),1)&lt;=MAX(QCI!$D$13:$D$24),1+COUNTIF($M$13:OFFSET(M80,-1,0),1),-1),0)</f>
        <v>0</v>
      </c>
      <c r="G81" s="185" t="str">
        <f t="array" aca="1" ref="G81" ca="1">IF(ACOMPANHAMENTO="BM",OFFSET(G81,-1,0),"")</f>
        <v/>
      </c>
      <c r="H81" s="196" t="str">
        <f t="array" aca="1" ref="H81" ca="1">IF(OR(S80=0,S80=""),"vazia",IF(AND(OR(ACOMPANHAMENTO="PLE",$R80&lt;&gt;2),$F81=0),"calculada","--&gt;"))</f>
        <v>calculada</v>
      </c>
      <c r="I81" s="197"/>
      <c r="J81" s="198" t="str">
        <f ca="1">IF(AND(H80&lt;&gt;0,ISNUMBER(H80)),"PREENCHA ESTA LINHA --&gt;","")</f>
        <v/>
      </c>
      <c r="K81" s="198"/>
      <c r="L81" s="198"/>
      <c r="M81" s="199"/>
      <c r="N81" s="199"/>
      <c r="O81" s="199"/>
      <c r="P81" s="199"/>
      <c r="Q81" s="199"/>
      <c r="R81" s="199"/>
      <c r="S81" s="200"/>
      <c r="T81" s="201"/>
      <c r="U81" s="585"/>
      <c r="V81" s="585"/>
      <c r="W81" s="585"/>
      <c r="X81" s="585"/>
      <c r="Y81" s="585"/>
      <c r="Z81" s="585"/>
      <c r="AA81" s="585"/>
      <c r="AB81" s="585"/>
      <c r="AC81" s="585"/>
      <c r="AD81" s="585"/>
      <c r="AE81" s="585"/>
      <c r="AF81" s="585"/>
      <c r="AG81" s="532"/>
    </row>
    <row r="82" spans="1:33" ht="12.75" customHeight="1" x14ac:dyDescent="0.2">
      <c r="D82" s="531"/>
      <c r="E82" s="202">
        <f t="array" aca="1" ref="E82" ca="1">IF($R80=2,
         IF(AND(ACOMPANHAMENTO="PLE",ISNUMBER($F80)),
                SUMIF((OFFSET(CÁLCULO!$BC$15:$BU$15,$F80,0,OFFSET(ORÇAMENTO!$D$15,CRONO!$F80,0))),CRONO!E$12,OFFSET(CÁLCULO!$AJ$15:$BB$15,$F80,0,OFFSET(ORÇAMENTO!$D$15,CRONO!$F80,0)))
                +IF(AND($F82&lt;&gt;"",$F82&lt;&gt;0),
                        SUMIF(CÁLCULO!$BC$15:$BU$235,CRONO!E$12,CÁLCULO!$AJ$15:$BB$235)/(ORÇAMENTO!$X$15-CÁLCULO.TotalAdmLocal)*CRONO!$F82,
                        0),
                 E81*$S80),
          SUMIF(OFFSET($S82,1,0,$R80-2),($M80+1)&amp;"$",OFFSET(E82,1,0,$R80-2)))</f>
        <v>0</v>
      </c>
      <c r="F82" s="185">
        <f ca="1">IF(OR($R80&lt;&gt;2,AUTOEVENTO&lt;&gt;"manual",$F81&gt;0),"",
        IF(Import.TipoArredondamento="Tradicional",
              SUMIF(OFFSET(CÁLCULO!$M$15,CRONO!$F80,0,OFFSET(ORÇAMENTO!$D$15,CRONO!$F80,0)),1,OFFSET(ORÇAMENTO!$X$15,CRONO!$F80,0,OFFSET(ORÇAMENTO!$D$15,CRONO!$F80,0))),
              0))</f>
        <v>0</v>
      </c>
      <c r="H82" s="693"/>
      <c r="S82" s="204" t="str">
        <f ca="1">M80&amp;"$"</f>
        <v>2$</v>
      </c>
      <c r="T82" s="205"/>
      <c r="U82" s="202">
        <f t="array" aca="1" ref="U82" ca="1">IF($R80=2,
         IF(AND(ACOMPANHAMENTO="PLE",ISNUMBER($F80)),
                SUMIF((OFFSET(CÁLCULO!$BC$15:$BU$15,$F80,0,OFFSET(ORÇAMENTO!$D$15,CRONO!$F80,0))),CRONO!U$12,OFFSET(CÁLCULO!$AJ$15:$BB$15,$F80,0,OFFSET(ORÇAMENTO!$D$15,CRONO!$F80,0)))
                +IF(AND($F82&lt;&gt;"",$F82&lt;&gt;0),
                        SUMIF(CÁLCULO!$BC$15:$BU$235,CRONO!U$12,CÁLCULO!$AJ$15:$BB$235)/(ORÇAMENTO!$X$15-CÁLCULO.TotalAdmLocal)*CRONO!$F82,
                        0),
                 U81*$S80),
          SUMIF(OFFSET($S82,1,0,$R80-2),($M80+1)&amp;"$",OFFSET(U82,1,0,$R80-2)))</f>
        <v>0</v>
      </c>
      <c r="V82" s="202">
        <f t="array" aca="1" ref="V82" ca="1">IF($R80=2,
         IF(AND(ACOMPANHAMENTO="PLE",ISNUMBER($F80)),
                SUMIF((OFFSET(CÁLCULO!$BC$15:$BU$15,$F80,0,OFFSET(ORÇAMENTO!$D$15,CRONO!$F80,0))),CRONO!V$12,OFFSET(CÁLCULO!$AJ$15:$BB$15,$F80,0,OFFSET(ORÇAMENTO!$D$15,CRONO!$F80,0)))
                +IF(AND($F82&lt;&gt;"",$F82&lt;&gt;0),
                        SUMIF(CÁLCULO!$BC$15:$BU$235,CRONO!V$12,CÁLCULO!$AJ$15:$BB$235)/(ORÇAMENTO!$X$15-CÁLCULO.TotalAdmLocal)*CRONO!$F82,
                        0),
                 V81*$S80),
          SUMIF(OFFSET($S82,1,0,$R80-2),($M80+1)&amp;"$",OFFSET(V82,1,0,$R80-2)))</f>
        <v>0</v>
      </c>
      <c r="W82" s="202">
        <f t="array" aca="1" ref="W82" ca="1">IF($R80=2,
         IF(AND(ACOMPANHAMENTO="PLE",ISNUMBER($F80)),
                SUMIF((OFFSET(CÁLCULO!$BC$15:$BU$15,$F80,0,OFFSET(ORÇAMENTO!$D$15,CRONO!$F80,0))),CRONO!W$12,OFFSET(CÁLCULO!$AJ$15:$BB$15,$F80,0,OFFSET(ORÇAMENTO!$D$15,CRONO!$F80,0)))
                +IF(AND($F82&lt;&gt;"",$F82&lt;&gt;0),
                        SUMIF(CÁLCULO!$BC$15:$BU$235,CRONO!W$12,CÁLCULO!$AJ$15:$BB$235)/(ORÇAMENTO!$X$15-CÁLCULO.TotalAdmLocal)*CRONO!$F82,
                        0),
                 W81*$S80),
          SUMIF(OFFSET($S82,1,0,$R80-2),($M80+1)&amp;"$",OFFSET(W82,1,0,$R80-2)))</f>
        <v>0</v>
      </c>
      <c r="X82" s="202">
        <f t="array" aca="1" ref="X82" ca="1">IF($R80=2,
         IF(AND(ACOMPANHAMENTO="PLE",ISNUMBER($F80)),
                SUMIF((OFFSET(CÁLCULO!$BC$15:$BU$15,$F80,0,OFFSET(ORÇAMENTO!$D$15,CRONO!$F80,0))),CRONO!X$12,OFFSET(CÁLCULO!$AJ$15:$BB$15,$F80,0,OFFSET(ORÇAMENTO!$D$15,CRONO!$F80,0)))
                +IF(AND($F82&lt;&gt;"",$F82&lt;&gt;0),
                        SUMIF(CÁLCULO!$BC$15:$BU$235,CRONO!X$12,CÁLCULO!$AJ$15:$BB$235)/(ORÇAMENTO!$X$15-CÁLCULO.TotalAdmLocal)*CRONO!$F82,
                        0),
                 X81*$S80),
          SUMIF(OFFSET($S82,1,0,$R80-2),($M80+1)&amp;"$",OFFSET(X82,1,0,$R80-2)))</f>
        <v>0</v>
      </c>
      <c r="Y82" s="202">
        <f t="array" aca="1" ref="Y82" ca="1">IF($R80=2,
         IF(AND(ACOMPANHAMENTO="PLE",ISNUMBER($F80)),
                SUMIF((OFFSET(CÁLCULO!$BC$15:$BU$15,$F80,0,OFFSET(ORÇAMENTO!$D$15,CRONO!$F80,0))),CRONO!Y$12,OFFSET(CÁLCULO!$AJ$15:$BB$15,$F80,0,OFFSET(ORÇAMENTO!$D$15,CRONO!$F80,0)))
                +IF(AND($F82&lt;&gt;"",$F82&lt;&gt;0),
                        SUMIF(CÁLCULO!$BC$15:$BU$235,CRONO!Y$12,CÁLCULO!$AJ$15:$BB$235)/(ORÇAMENTO!$X$15-CÁLCULO.TotalAdmLocal)*CRONO!$F82,
                        0),
                 Y81*$S80),
          SUMIF(OFFSET($S82,1,0,$R80-2),($M80+1)&amp;"$",OFFSET(Y82,1,0,$R80-2)))</f>
        <v>0</v>
      </c>
      <c r="Z82" s="202">
        <f t="array" aca="1" ref="Z82" ca="1">IF($R80=2,
         IF(AND(ACOMPANHAMENTO="PLE",ISNUMBER($F80)),
                SUMIF((OFFSET(CÁLCULO!$BC$15:$BU$15,$F80,0,OFFSET(ORÇAMENTO!$D$15,CRONO!$F80,0))),CRONO!Z$12,OFFSET(CÁLCULO!$AJ$15:$BB$15,$F80,0,OFFSET(ORÇAMENTO!$D$15,CRONO!$F80,0)))
                +IF(AND($F82&lt;&gt;"",$F82&lt;&gt;0),
                        SUMIF(CÁLCULO!$BC$15:$BU$235,CRONO!Z$12,CÁLCULO!$AJ$15:$BB$235)/(ORÇAMENTO!$X$15-CÁLCULO.TotalAdmLocal)*CRONO!$F82,
                        0),
                 Z81*$S80),
          SUMIF(OFFSET($S82,1,0,$R80-2),($M80+1)&amp;"$",OFFSET(Z82,1,0,$R80-2)))</f>
        <v>14502.2</v>
      </c>
      <c r="AA82" s="202">
        <f t="array" aca="1" ref="AA82" ca="1">IF($R80=2,
         IF(AND(ACOMPANHAMENTO="PLE",ISNUMBER($F80)),
                SUMIF((OFFSET(CÁLCULO!$BC$15:$BU$15,$F80,0,OFFSET(ORÇAMENTO!$D$15,CRONO!$F80,0))),CRONO!AA$12,OFFSET(CÁLCULO!$AJ$15:$BB$15,$F80,0,OFFSET(ORÇAMENTO!$D$15,CRONO!$F80,0)))
                +IF(AND($F82&lt;&gt;"",$F82&lt;&gt;0),
                        SUMIF(CÁLCULO!$BC$15:$BU$235,CRONO!AA$12,CÁLCULO!$AJ$15:$BB$235)/(ORÇAMENTO!$X$15-CÁLCULO.TotalAdmLocal)*CRONO!$F82,
                        0),
                 AA81*$S80),
          SUMIF(OFFSET($S82,1,0,$R80-2),($M80+1)&amp;"$",OFFSET(AA82,1,0,$R80-2)))</f>
        <v>7251.1</v>
      </c>
      <c r="AB82" s="202">
        <f t="array" aca="1" ref="AB82" ca="1">IF($R80=2,
         IF(AND(ACOMPANHAMENTO="PLE",ISNUMBER($F80)),
                SUMIF((OFFSET(CÁLCULO!$BC$15:$BU$15,$F80,0,OFFSET(ORÇAMENTO!$D$15,CRONO!$F80,0))),CRONO!AB$12,OFFSET(CÁLCULO!$AJ$15:$BB$15,$F80,0,OFFSET(ORÇAMENTO!$D$15,CRONO!$F80,0)))
                +IF(AND($F82&lt;&gt;"",$F82&lt;&gt;0),
                        SUMIF(CÁLCULO!$BC$15:$BU$235,CRONO!AB$12,CÁLCULO!$AJ$15:$BB$235)/(ORÇAMENTO!$X$15-CÁLCULO.TotalAdmLocal)*CRONO!$F82,
                        0),
                 AB81*$S80),
          SUMIF(OFFSET($S82,1,0,$R80-2),($M80+1)&amp;"$",OFFSET(AB82,1,0,$R80-2)))</f>
        <v>7251.1</v>
      </c>
      <c r="AC82" s="202">
        <f t="array" aca="1" ref="AC82" ca="1">IF($R80=2,
         IF(AND(ACOMPANHAMENTO="PLE",ISNUMBER($F80)),
                SUMIF((OFFSET(CÁLCULO!$BC$15:$BU$15,$F80,0,OFFSET(ORÇAMENTO!$D$15,CRONO!$F80,0))),CRONO!AC$12,OFFSET(CÁLCULO!$AJ$15:$BB$15,$F80,0,OFFSET(ORÇAMENTO!$D$15,CRONO!$F80,0)))
                +IF(AND($F82&lt;&gt;"",$F82&lt;&gt;0),
                        SUMIF(CÁLCULO!$BC$15:$BU$235,CRONO!AC$12,CÁLCULO!$AJ$15:$BB$235)/(ORÇAMENTO!$X$15-CÁLCULO.TotalAdmLocal)*CRONO!$F82,
                        0),
                 AC81*$S80),
          SUMIF(OFFSET($S82,1,0,$R80-2),($M80+1)&amp;"$",OFFSET(AC82,1,0,$R80-2)))</f>
        <v>0</v>
      </c>
      <c r="AD82" s="202">
        <f t="array" aca="1" ref="AD82" ca="1">IF($R80=2,
         IF(AND(ACOMPANHAMENTO="PLE",ISNUMBER($F80)),
                SUMIF((OFFSET(CÁLCULO!$BC$15:$BU$15,$F80,0,OFFSET(ORÇAMENTO!$D$15,CRONO!$F80,0))),CRONO!AD$12,OFFSET(CÁLCULO!$AJ$15:$BB$15,$F80,0,OFFSET(ORÇAMENTO!$D$15,CRONO!$F80,0)))
                +IF(AND($F82&lt;&gt;"",$F82&lt;&gt;0),
                        SUMIF(CÁLCULO!$BC$15:$BU$235,CRONO!AD$12,CÁLCULO!$AJ$15:$BB$235)/(ORÇAMENTO!$X$15-CÁLCULO.TotalAdmLocal)*CRONO!$F82,
                        0),
                 AD81*$S80),
          SUMIF(OFFSET($S82,1,0,$R80-2),($M80+1)&amp;"$",OFFSET(AD82,1,0,$R80-2)))</f>
        <v>0</v>
      </c>
      <c r="AE82" s="202">
        <f t="array" aca="1" ref="AE82" ca="1">IF($R80=2,
         IF(AND(ACOMPANHAMENTO="PLE",ISNUMBER($F80)),
                SUMIF((OFFSET(CÁLCULO!$BC$15:$BU$15,$F80,0,OFFSET(ORÇAMENTO!$D$15,CRONO!$F80,0))),CRONO!AE$12,OFFSET(CÁLCULO!$AJ$15:$BB$15,$F80,0,OFFSET(ORÇAMENTO!$D$15,CRONO!$F80,0)))
                +IF(AND($F82&lt;&gt;"",$F82&lt;&gt;0),
                        SUMIF(CÁLCULO!$BC$15:$BU$235,CRONO!AE$12,CÁLCULO!$AJ$15:$BB$235)/(ORÇAMENTO!$X$15-CÁLCULO.TotalAdmLocal)*CRONO!$F82,
                        0),
                 AE81*$S80),
          SUMIF(OFFSET($S82,1,0,$R80-2),($M80+1)&amp;"$",OFFSET(AE82,1,0,$R80-2)))</f>
        <v>0</v>
      </c>
      <c r="AF82" s="202">
        <f t="array" aca="1" ref="AF82" ca="1">IF($R80=2,
         IF(AND(ACOMPANHAMENTO="PLE",ISNUMBER($F80)),
                SUMIF((OFFSET(CÁLCULO!$BC$15:$BU$15,$F80,0,OFFSET(ORÇAMENTO!$D$15,CRONO!$F80,0))),CRONO!AF$12,OFFSET(CÁLCULO!$AJ$15:$BB$15,$F80,0,OFFSET(ORÇAMENTO!$D$15,CRONO!$F80,0)))
                +IF(AND($F82&lt;&gt;"",$F82&lt;&gt;0),
                        SUMIF(CÁLCULO!$BC$15:$BU$235,CRONO!AF$12,CÁLCULO!$AJ$15:$BB$235)/(ORÇAMENTO!$X$15-CÁLCULO.TotalAdmLocal)*CRONO!$F82,
                        0),
                 AF81*$S80),
          SUMIF(OFFSET($S82,1,0,$R80-2),($M80+1)&amp;"$",OFFSET(AF82,1,0,$R80-2)))</f>
        <v>0</v>
      </c>
      <c r="AG82" s="532"/>
    </row>
    <row r="83" spans="1:33" x14ac:dyDescent="0.2">
      <c r="A83" s="186" t="str">
        <f ca="1">IF($M83&gt;1,_xlfn.CONCAT($I83," ",$J83),"")</f>
        <v>1.23. INSTALAÇÕES ELÉTRICAS/TELEFONE</v>
      </c>
      <c r="B83" s="185">
        <f ca="1">OFFSET(B83,-3,0)+1</f>
        <v>24</v>
      </c>
      <c r="C83" s="185">
        <f ca="1">IF($R83&lt;&gt;2,0,IF($S83=0,1,IF(F84&gt;0,OFFSET(QCI!$M$13,SUBSTITUTE(F84,".",""),0),OFFSET(ORÇAMENTO!$AA$15,CRONO!$F83,0))/$S83))</f>
        <v>0</v>
      </c>
      <c r="D83" s="185">
        <f ca="1">IF($R83&lt;&gt;2,0,IF($S83=0,1,IF(F84&gt;0,OFFSET(QCI!$N$13,SUBSTITUTE(F84,".",""),0),OFFSET(ORÇAMENTO!$AB$15,CRONO!$F83,0))/$S83))</f>
        <v>0</v>
      </c>
      <c r="E83" s="188">
        <f t="array" aca="1" ref="E83" ca="1">IF(AND($R83=2,ACOMPANHAMENTO="BM"),ROUND(E84,4),E85/$S83)</f>
        <v>0</v>
      </c>
      <c r="F83" s="185">
        <f t="array" aca="1" ref="F83" ca="1">IF(B83&lt;=ORÇAMENTO.MáximoListaCrono,MATCH(B83,ORÇAMENTO.ListaCrono,0),NA())</f>
        <v>114</v>
      </c>
      <c r="G83" s="185" t="str">
        <f ca="1">IF(AND($F84&lt;&gt;-1,$S83&gt;0),"F","")</f>
        <v>F</v>
      </c>
      <c r="H83" s="189" t="str">
        <f t="array" aca="1" ref="H83" ca="1">IF(OR(S83=0,S83=""),"Linha",IF(AND(OR(ACOMPANHAMENTO="PLE",$R83&lt;&gt;2),$F84=0),"Linha",ROUND(1-SUM(U83:AG83),4)))</f>
        <v>Linha</v>
      </c>
      <c r="I83" s="190" t="str">
        <f ca="1">IF($F84=0,OFFSET(ORÇAMENTO!O$15,$F83,0),IF($F84&lt;&gt;-1,OFFSET(QCI!$D$13,$F84,0),""))</f>
        <v>1.23.</v>
      </c>
      <c r="J83" s="191" t="str">
        <f ca="1">IF($F84=0,OFFSET(ORÇAMENTO!R$15,$F83,0),IF($F84&lt;&gt;-1,OFFSET(QCI!$G$13,$F84,0),""))</f>
        <v>INSTALAÇÕES ELÉTRICAS/TELEFONE</v>
      </c>
      <c r="K83" s="191"/>
      <c r="L83" s="191"/>
      <c r="M83" s="192">
        <f ca="1">IF($F84=0,OFFSET(ORÇAMENTO!C$15,$F83,0),1)</f>
        <v>2</v>
      </c>
      <c r="N83" s="193">
        <f ca="1">IF($F84=-1,0,IF(N$13&lt;=$M83,IF(ISERROR(MATCH(N$13,OFFSET($M83,1,0,ROW($M$119)-ROW($M83)-1),0)),ROW($M$119)-ROW($M83)-1,MATCH(N$13,OFFSET($M83,1,0,ROW($M$119)-ROW($M83)-1),0)-1),0))</f>
        <v>35</v>
      </c>
      <c r="O83" s="193">
        <f ca="1">IF($F84=-1,0,IF(O$13&lt;=$M83,IF(ISERROR(MATCH(O$13,OFFSET($M83,1,0,ROW($M$119)-ROW($M83)-1),0)),ROW($M$119)-ROW($M83)-1,MATCH(O$13,OFFSET($M83,1,0,ROW($M$119)-ROW($M83)-1),0)-1),0))</f>
        <v>2</v>
      </c>
      <c r="P83" s="193">
        <f ca="1">IF($F84=-1,0,IF(P$13&lt;=$M83,IF(ISERROR(MATCH(P$13,OFFSET($M83,1,0,ROW($M$119)-ROW($M83)-1),0)),ROW($M$119)-ROW($M83)-1,MATCH(P$13,OFFSET($M83,1,0,ROW($M$119)-ROW($M83)-1),0)-1),0))</f>
        <v>0</v>
      </c>
      <c r="Q83" s="193">
        <f ca="1">IF($F84=-1,0,IF(Q$13&lt;=$M83,IF(ISERROR(MATCH(Q$13,OFFSET($M83,1,0,ROW($M$119)-ROW($M83)-1),0)),ROW($M$119)-ROW($M83)-1,MATCH(Q$13,OFFSET($M83,1,0,ROW($M$119)-ROW($M83)-1),0)-1),0))</f>
        <v>0</v>
      </c>
      <c r="R83" s="193">
        <f ca="1">MIN(OFFSET(M83,0,1,,M83))</f>
        <v>2</v>
      </c>
      <c r="S83" s="194">
        <f ca="1">IF($F84=0,OFFSET(ORÇAMENTO!X$15,$F83,0),IF($F84&lt;&gt;-1,OFFSET(QCI!$O$13,$F84,0),""))</f>
        <v>52827.76</v>
      </c>
      <c r="T83" s="195" t="s">
        <v>785</v>
      </c>
      <c r="U83" s="188">
        <f t="array" aca="1" ref="U83" ca="1">IF(AND($R83=2,ACOMPANHAMENTO="BM"),ROUND(U84,4),U85/$S83)</f>
        <v>0</v>
      </c>
      <c r="V83" s="188">
        <f t="array" aca="1" ref="V83" ca="1">IF(AND($R83=2,ACOMPANHAMENTO="BM"),ROUND(V84,4),V85/$S83)</f>
        <v>0</v>
      </c>
      <c r="W83" s="188">
        <f t="array" aca="1" ref="W83" ca="1">IF(AND($R83=2,ACOMPANHAMENTO="BM"),ROUND(W84,4),W85/$S83)</f>
        <v>0</v>
      </c>
      <c r="X83" s="188">
        <f t="array" aca="1" ref="X83" ca="1">IF(AND($R83=2,ACOMPANHAMENTO="BM"),ROUND(X84,4),X85/$S83)</f>
        <v>0</v>
      </c>
      <c r="Y83" s="188">
        <f t="array" aca="1" ref="Y83" ca="1">IF(AND($R83=2,ACOMPANHAMENTO="BM"),ROUND(Y84,4),Y85/$S83)</f>
        <v>0</v>
      </c>
      <c r="Z83" s="188">
        <f t="array" aca="1" ref="Z83" ca="1">IF(AND($R83=2,ACOMPANHAMENTO="BM"),ROUND(Z84,4),Z85/$S83)</f>
        <v>0</v>
      </c>
      <c r="AA83" s="188">
        <f t="array" aca="1" ref="AA83" ca="1">IF(AND($R83=2,ACOMPANHAMENTO="BM"),ROUND(AA84,4),AA85/$S83)</f>
        <v>0.47604479160199109</v>
      </c>
      <c r="AB83" s="188">
        <f t="array" aca="1" ref="AB83" ca="1">IF(AND($R83=2,ACOMPANHAMENTO="BM"),ROUND(AB84,4),AB85/$S83)</f>
        <v>0.23802239580099555</v>
      </c>
      <c r="AC83" s="188">
        <f t="array" aca="1" ref="AC83" ca="1">IF(AND($R83=2,ACOMPANHAMENTO="BM"),ROUND(AC84,4),AC85/$S83)</f>
        <v>0.28593281259701336</v>
      </c>
      <c r="AD83" s="188">
        <f t="array" aca="1" ref="AD83" ca="1">IF(AND($R83=2,ACOMPANHAMENTO="BM"),ROUND(AD84,4),AD85/$S83)</f>
        <v>0</v>
      </c>
      <c r="AE83" s="188">
        <f t="array" aca="1" ref="AE83" ca="1">IF(AND($R83=2,ACOMPANHAMENTO="BM"),ROUND(AE84,4),AE85/$S83)</f>
        <v>0</v>
      </c>
      <c r="AF83" s="188">
        <f t="array" aca="1" ref="AF83" ca="1">IF(AND($R83=2,ACOMPANHAMENTO="BM"),ROUND(AF84,4),AF85/$S83)</f>
        <v>0</v>
      </c>
      <c r="AG83" s="532"/>
    </row>
    <row r="84" spans="1:33" ht="12.75" customHeight="1" x14ac:dyDescent="0.2">
      <c r="E84" s="585"/>
      <c r="F84" s="185">
        <f ca="1">IF(ISERROR(F83),IF(1+COUNTIF($M$13:OFFSET(M83,-1,0),1)&lt;=MAX(QCI!$D$13:$D$24),1+COUNTIF($M$13:OFFSET(M83,-1,0),1),-1),0)</f>
        <v>0</v>
      </c>
      <c r="G84" s="185" t="str">
        <f t="array" aca="1" ref="G84" ca="1">IF(ACOMPANHAMENTO="BM",OFFSET(G84,-1,0),"")</f>
        <v/>
      </c>
      <c r="H84" s="196" t="str">
        <f t="array" aca="1" ref="H84" ca="1">IF(OR(S83=0,S83=""),"vazia",IF(AND(OR(ACOMPANHAMENTO="PLE",$R83&lt;&gt;2),$F84=0),"calculada","--&gt;"))</f>
        <v>calculada</v>
      </c>
      <c r="I84" s="197"/>
      <c r="J84" s="198" t="str">
        <f ca="1">IF(AND(H83&lt;&gt;0,ISNUMBER(H83)),"PREENCHA ESTA LINHA --&gt;","")</f>
        <v/>
      </c>
      <c r="K84" s="198"/>
      <c r="L84" s="198"/>
      <c r="M84" s="199"/>
      <c r="N84" s="199"/>
      <c r="O84" s="199"/>
      <c r="P84" s="199"/>
      <c r="Q84" s="199"/>
      <c r="R84" s="199"/>
      <c r="S84" s="200"/>
      <c r="T84" s="201"/>
      <c r="U84" s="585"/>
      <c r="V84" s="585"/>
      <c r="W84" s="585"/>
      <c r="X84" s="585"/>
      <c r="Y84" s="585"/>
      <c r="Z84" s="585"/>
      <c r="AA84" s="585"/>
      <c r="AB84" s="585"/>
      <c r="AC84" s="585"/>
      <c r="AD84" s="585"/>
      <c r="AE84" s="585"/>
      <c r="AF84" s="585"/>
      <c r="AG84" s="532"/>
    </row>
    <row r="85" spans="1:33" ht="12.75" customHeight="1" x14ac:dyDescent="0.2">
      <c r="D85" s="531"/>
      <c r="E85" s="202">
        <f t="array" aca="1" ref="E85" ca="1">IF($R83=2,
         IF(AND(ACOMPANHAMENTO="PLE",ISNUMBER($F83)),
                SUMIF((OFFSET(CÁLCULO!$BC$15:$BU$15,$F83,0,OFFSET(ORÇAMENTO!$D$15,CRONO!$F83,0))),CRONO!E$12,OFFSET(CÁLCULO!$AJ$15:$BB$15,$F83,0,OFFSET(ORÇAMENTO!$D$15,CRONO!$F83,0)))
                +IF(AND($F85&lt;&gt;"",$F85&lt;&gt;0),
                        SUMIF(CÁLCULO!$BC$15:$BU$235,CRONO!E$12,CÁLCULO!$AJ$15:$BB$235)/(ORÇAMENTO!$X$15-CÁLCULO.TotalAdmLocal)*CRONO!$F85,
                        0),
                 E84*$S83),
          SUMIF(OFFSET($S85,1,0,$R83-2),($M83+1)&amp;"$",OFFSET(E85,1,0,$R83-2)))</f>
        <v>0</v>
      </c>
      <c r="F85" s="185">
        <f ca="1">IF(OR($R83&lt;&gt;2,AUTOEVENTO&lt;&gt;"manual",$F84&gt;0),"",
        IF(Import.TipoArredondamento="Tradicional",
              SUMIF(OFFSET(CÁLCULO!$M$15,CRONO!$F83,0,OFFSET(ORÇAMENTO!$D$15,CRONO!$F83,0)),1,OFFSET(ORÇAMENTO!$X$15,CRONO!$F83,0,OFFSET(ORÇAMENTO!$D$15,CRONO!$F83,0))),
              0))</f>
        <v>0</v>
      </c>
      <c r="H85" s="693"/>
      <c r="S85" s="204" t="str">
        <f ca="1">M83&amp;"$"</f>
        <v>2$</v>
      </c>
      <c r="T85" s="205"/>
      <c r="U85" s="202">
        <f t="array" aca="1" ref="U85" ca="1">IF($R83=2,
         IF(AND(ACOMPANHAMENTO="PLE",ISNUMBER($F83)),
                SUMIF((OFFSET(CÁLCULO!$BC$15:$BU$15,$F83,0,OFFSET(ORÇAMENTO!$D$15,CRONO!$F83,0))),CRONO!U$12,OFFSET(CÁLCULO!$AJ$15:$BB$15,$F83,0,OFFSET(ORÇAMENTO!$D$15,CRONO!$F83,0)))
                +IF(AND($F85&lt;&gt;"",$F85&lt;&gt;0),
                        SUMIF(CÁLCULO!$BC$15:$BU$235,CRONO!U$12,CÁLCULO!$AJ$15:$BB$235)/(ORÇAMENTO!$X$15-CÁLCULO.TotalAdmLocal)*CRONO!$F85,
                        0),
                 U84*$S83),
          SUMIF(OFFSET($S85,1,0,$R83-2),($M83+1)&amp;"$",OFFSET(U85,1,0,$R83-2)))</f>
        <v>0</v>
      </c>
      <c r="V85" s="202">
        <f t="array" aca="1" ref="V85" ca="1">IF($R83=2,
         IF(AND(ACOMPANHAMENTO="PLE",ISNUMBER($F83)),
                SUMIF((OFFSET(CÁLCULO!$BC$15:$BU$15,$F83,0,OFFSET(ORÇAMENTO!$D$15,CRONO!$F83,0))),CRONO!V$12,OFFSET(CÁLCULO!$AJ$15:$BB$15,$F83,0,OFFSET(ORÇAMENTO!$D$15,CRONO!$F83,0)))
                +IF(AND($F85&lt;&gt;"",$F85&lt;&gt;0),
                        SUMIF(CÁLCULO!$BC$15:$BU$235,CRONO!V$12,CÁLCULO!$AJ$15:$BB$235)/(ORÇAMENTO!$X$15-CÁLCULO.TotalAdmLocal)*CRONO!$F85,
                        0),
                 V84*$S83),
          SUMIF(OFFSET($S85,1,0,$R83-2),($M83+1)&amp;"$",OFFSET(V85,1,0,$R83-2)))</f>
        <v>0</v>
      </c>
      <c r="W85" s="202">
        <f t="array" aca="1" ref="W85" ca="1">IF($R83=2,
         IF(AND(ACOMPANHAMENTO="PLE",ISNUMBER($F83)),
                SUMIF((OFFSET(CÁLCULO!$BC$15:$BU$15,$F83,0,OFFSET(ORÇAMENTO!$D$15,CRONO!$F83,0))),CRONO!W$12,OFFSET(CÁLCULO!$AJ$15:$BB$15,$F83,0,OFFSET(ORÇAMENTO!$D$15,CRONO!$F83,0)))
                +IF(AND($F85&lt;&gt;"",$F85&lt;&gt;0),
                        SUMIF(CÁLCULO!$BC$15:$BU$235,CRONO!W$12,CÁLCULO!$AJ$15:$BB$235)/(ORÇAMENTO!$X$15-CÁLCULO.TotalAdmLocal)*CRONO!$F85,
                        0),
                 W84*$S83),
          SUMIF(OFFSET($S85,1,0,$R83-2),($M83+1)&amp;"$",OFFSET(W85,1,0,$R83-2)))</f>
        <v>0</v>
      </c>
      <c r="X85" s="202">
        <f t="array" aca="1" ref="X85" ca="1">IF($R83=2,
         IF(AND(ACOMPANHAMENTO="PLE",ISNUMBER($F83)),
                SUMIF((OFFSET(CÁLCULO!$BC$15:$BU$15,$F83,0,OFFSET(ORÇAMENTO!$D$15,CRONO!$F83,0))),CRONO!X$12,OFFSET(CÁLCULO!$AJ$15:$BB$15,$F83,0,OFFSET(ORÇAMENTO!$D$15,CRONO!$F83,0)))
                +IF(AND($F85&lt;&gt;"",$F85&lt;&gt;0),
                        SUMIF(CÁLCULO!$BC$15:$BU$235,CRONO!X$12,CÁLCULO!$AJ$15:$BB$235)/(ORÇAMENTO!$X$15-CÁLCULO.TotalAdmLocal)*CRONO!$F85,
                        0),
                 X84*$S83),
          SUMIF(OFFSET($S85,1,0,$R83-2),($M83+1)&amp;"$",OFFSET(X85,1,0,$R83-2)))</f>
        <v>0</v>
      </c>
      <c r="Y85" s="202">
        <f t="array" aca="1" ref="Y85" ca="1">IF($R83=2,
         IF(AND(ACOMPANHAMENTO="PLE",ISNUMBER($F83)),
                SUMIF((OFFSET(CÁLCULO!$BC$15:$BU$15,$F83,0,OFFSET(ORÇAMENTO!$D$15,CRONO!$F83,0))),CRONO!Y$12,OFFSET(CÁLCULO!$AJ$15:$BB$15,$F83,0,OFFSET(ORÇAMENTO!$D$15,CRONO!$F83,0)))
                +IF(AND($F85&lt;&gt;"",$F85&lt;&gt;0),
                        SUMIF(CÁLCULO!$BC$15:$BU$235,CRONO!Y$12,CÁLCULO!$AJ$15:$BB$235)/(ORÇAMENTO!$X$15-CÁLCULO.TotalAdmLocal)*CRONO!$F85,
                        0),
                 Y84*$S83),
          SUMIF(OFFSET($S85,1,0,$R83-2),($M83+1)&amp;"$",OFFSET(Y85,1,0,$R83-2)))</f>
        <v>0</v>
      </c>
      <c r="Z85" s="202">
        <f t="array" aca="1" ref="Z85" ca="1">IF($R83=2,
         IF(AND(ACOMPANHAMENTO="PLE",ISNUMBER($F83)),
                SUMIF((OFFSET(CÁLCULO!$BC$15:$BU$15,$F83,0,OFFSET(ORÇAMENTO!$D$15,CRONO!$F83,0))),CRONO!Z$12,OFFSET(CÁLCULO!$AJ$15:$BB$15,$F83,0,OFFSET(ORÇAMENTO!$D$15,CRONO!$F83,0)))
                +IF(AND($F85&lt;&gt;"",$F85&lt;&gt;0),
                        SUMIF(CÁLCULO!$BC$15:$BU$235,CRONO!Z$12,CÁLCULO!$AJ$15:$BB$235)/(ORÇAMENTO!$X$15-CÁLCULO.TotalAdmLocal)*CRONO!$F85,
                        0),
                 Z84*$S83),
          SUMIF(OFFSET($S85,1,0,$R83-2),($M83+1)&amp;"$",OFFSET(Z85,1,0,$R83-2)))</f>
        <v>0</v>
      </c>
      <c r="AA85" s="202">
        <f t="array" aca="1" ref="AA85" ca="1">IF($R83=2,
         IF(AND(ACOMPANHAMENTO="PLE",ISNUMBER($F83)),
                SUMIF((OFFSET(CÁLCULO!$BC$15:$BU$15,$F83,0,OFFSET(ORÇAMENTO!$D$15,CRONO!$F83,0))),CRONO!AA$12,OFFSET(CÁLCULO!$AJ$15:$BB$15,$F83,0,OFFSET(ORÇAMENTO!$D$15,CRONO!$F83,0)))
                +IF(AND($F85&lt;&gt;"",$F85&lt;&gt;0),
                        SUMIF(CÁLCULO!$BC$15:$BU$235,CRONO!AA$12,CÁLCULO!$AJ$15:$BB$235)/(ORÇAMENTO!$X$15-CÁLCULO.TotalAdmLocal)*CRONO!$F85,
                        0),
                 AA84*$S83),
          SUMIF(OFFSET($S85,1,0,$R83-2),($M83+1)&amp;"$",OFFSET(AA85,1,0,$R83-2)))</f>
        <v>25148.38</v>
      </c>
      <c r="AB85" s="202">
        <f t="array" aca="1" ref="AB85" ca="1">IF($R83=2,
         IF(AND(ACOMPANHAMENTO="PLE",ISNUMBER($F83)),
                SUMIF((OFFSET(CÁLCULO!$BC$15:$BU$15,$F83,0,OFFSET(ORÇAMENTO!$D$15,CRONO!$F83,0))),CRONO!AB$12,OFFSET(CÁLCULO!$AJ$15:$BB$15,$F83,0,OFFSET(ORÇAMENTO!$D$15,CRONO!$F83,0)))
                +IF(AND($F85&lt;&gt;"",$F85&lt;&gt;0),
                        SUMIF(CÁLCULO!$BC$15:$BU$235,CRONO!AB$12,CÁLCULO!$AJ$15:$BB$235)/(ORÇAMENTO!$X$15-CÁLCULO.TotalAdmLocal)*CRONO!$F85,
                        0),
                 AB84*$S83),
          SUMIF(OFFSET($S85,1,0,$R83-2),($M83+1)&amp;"$",OFFSET(AB85,1,0,$R83-2)))</f>
        <v>12574.19</v>
      </c>
      <c r="AC85" s="202">
        <f t="array" aca="1" ref="AC85" ca="1">IF($R83=2,
         IF(AND(ACOMPANHAMENTO="PLE",ISNUMBER($F83)),
                SUMIF((OFFSET(CÁLCULO!$BC$15:$BU$15,$F83,0,OFFSET(ORÇAMENTO!$D$15,CRONO!$F83,0))),CRONO!AC$12,OFFSET(CÁLCULO!$AJ$15:$BB$15,$F83,0,OFFSET(ORÇAMENTO!$D$15,CRONO!$F83,0)))
                +IF(AND($F85&lt;&gt;"",$F85&lt;&gt;0),
                        SUMIF(CÁLCULO!$BC$15:$BU$235,CRONO!AC$12,CÁLCULO!$AJ$15:$BB$235)/(ORÇAMENTO!$X$15-CÁLCULO.TotalAdmLocal)*CRONO!$F85,
                        0),
                 AC84*$S83),
          SUMIF(OFFSET($S85,1,0,$R83-2),($M83+1)&amp;"$",OFFSET(AC85,1,0,$R83-2)))</f>
        <v>15105.19</v>
      </c>
      <c r="AD85" s="202">
        <f t="array" aca="1" ref="AD85" ca="1">IF($R83=2,
         IF(AND(ACOMPANHAMENTO="PLE",ISNUMBER($F83)),
                SUMIF((OFFSET(CÁLCULO!$BC$15:$BU$15,$F83,0,OFFSET(ORÇAMENTO!$D$15,CRONO!$F83,0))),CRONO!AD$12,OFFSET(CÁLCULO!$AJ$15:$BB$15,$F83,0,OFFSET(ORÇAMENTO!$D$15,CRONO!$F83,0)))
                +IF(AND($F85&lt;&gt;"",$F85&lt;&gt;0),
                        SUMIF(CÁLCULO!$BC$15:$BU$235,CRONO!AD$12,CÁLCULO!$AJ$15:$BB$235)/(ORÇAMENTO!$X$15-CÁLCULO.TotalAdmLocal)*CRONO!$F85,
                        0),
                 AD84*$S83),
          SUMIF(OFFSET($S85,1,0,$R83-2),($M83+1)&amp;"$",OFFSET(AD85,1,0,$R83-2)))</f>
        <v>0</v>
      </c>
      <c r="AE85" s="202">
        <f t="array" aca="1" ref="AE85" ca="1">IF($R83=2,
         IF(AND(ACOMPANHAMENTO="PLE",ISNUMBER($F83)),
                SUMIF((OFFSET(CÁLCULO!$BC$15:$BU$15,$F83,0,OFFSET(ORÇAMENTO!$D$15,CRONO!$F83,0))),CRONO!AE$12,OFFSET(CÁLCULO!$AJ$15:$BB$15,$F83,0,OFFSET(ORÇAMENTO!$D$15,CRONO!$F83,0)))
                +IF(AND($F85&lt;&gt;"",$F85&lt;&gt;0),
                        SUMIF(CÁLCULO!$BC$15:$BU$235,CRONO!AE$12,CÁLCULO!$AJ$15:$BB$235)/(ORÇAMENTO!$X$15-CÁLCULO.TotalAdmLocal)*CRONO!$F85,
                        0),
                 AE84*$S83),
          SUMIF(OFFSET($S85,1,0,$R83-2),($M83+1)&amp;"$",OFFSET(AE85,1,0,$R83-2)))</f>
        <v>0</v>
      </c>
      <c r="AF85" s="202">
        <f t="array" aca="1" ref="AF85" ca="1">IF($R83=2,
         IF(AND(ACOMPANHAMENTO="PLE",ISNUMBER($F83)),
                SUMIF((OFFSET(CÁLCULO!$BC$15:$BU$15,$F83,0,OFFSET(ORÇAMENTO!$D$15,CRONO!$F83,0))),CRONO!AF$12,OFFSET(CÁLCULO!$AJ$15:$BB$15,$F83,0,OFFSET(ORÇAMENTO!$D$15,CRONO!$F83,0)))
                +IF(AND($F85&lt;&gt;"",$F85&lt;&gt;0),
                        SUMIF(CÁLCULO!$BC$15:$BU$235,CRONO!AF$12,CÁLCULO!$AJ$15:$BB$235)/(ORÇAMENTO!$X$15-CÁLCULO.TotalAdmLocal)*CRONO!$F85,
                        0),
                 AF84*$S83),
          SUMIF(OFFSET($S85,1,0,$R83-2),($M83+1)&amp;"$",OFFSET(AF85,1,0,$R83-2)))</f>
        <v>0</v>
      </c>
      <c r="AG85" s="532"/>
    </row>
    <row r="86" spans="1:33" x14ac:dyDescent="0.2">
      <c r="A86" s="186" t="str">
        <f ca="1">IF($M86&gt;1,_xlfn.CONCAT($I86," ",$J86),"")</f>
        <v>1.24. ILUMINAÇÃO, TOMADAS E INTERRUPTORES</v>
      </c>
      <c r="B86" s="185">
        <f ca="1">OFFSET(B86,-3,0)+1</f>
        <v>25</v>
      </c>
      <c r="C86" s="185">
        <f ca="1">IF($R86&lt;&gt;2,0,IF($S86=0,1,IF(F87&gt;0,OFFSET(QCI!$M$13,SUBSTITUTE(F87,".",""),0),OFFSET(ORÇAMENTO!$AA$15,CRONO!$F86,0))/$S86))</f>
        <v>0</v>
      </c>
      <c r="D86" s="185">
        <f ca="1">IF($R86&lt;&gt;2,0,IF($S86=0,1,IF(F87&gt;0,OFFSET(QCI!$N$13,SUBSTITUTE(F87,".",""),0),OFFSET(ORÇAMENTO!$AB$15,CRONO!$F86,0))/$S86))</f>
        <v>0</v>
      </c>
      <c r="E86" s="188">
        <f t="array" aca="1" ref="E86" ca="1">IF(AND($R86=2,ACOMPANHAMENTO="BM"),ROUND(E87,4),E88/$S86)</f>
        <v>0</v>
      </c>
      <c r="F86" s="185">
        <f t="array" aca="1" ref="F86" ca="1">IF(B86&lt;=ORÇAMENTO.MáximoListaCrono,MATCH(B86,ORÇAMENTO.ListaCrono,0),NA())</f>
        <v>122</v>
      </c>
      <c r="G86" s="185" t="str">
        <f ca="1">IF(AND($F87&lt;&gt;-1,$S86&gt;0),"F","")</f>
        <v>F</v>
      </c>
      <c r="H86" s="189" t="str">
        <f t="array" aca="1" ref="H86" ca="1">IF(OR(S86=0,S86=""),"Linha",IF(AND(OR(ACOMPANHAMENTO="PLE",$R86&lt;&gt;2),$F87=0),"Linha",ROUND(1-SUM(U86:AG86),4)))</f>
        <v>Linha</v>
      </c>
      <c r="I86" s="190" t="str">
        <f ca="1">IF($F87=0,OFFSET(ORÇAMENTO!O$15,$F86,0),IF($F87&lt;&gt;-1,OFFSET(QCI!$D$13,$F87,0),""))</f>
        <v>1.24.</v>
      </c>
      <c r="J86" s="191" t="str">
        <f ca="1">IF($F87=0,OFFSET(ORÇAMENTO!R$15,$F86,0),IF($F87&lt;&gt;-1,OFFSET(QCI!$G$13,$F87,0),""))</f>
        <v>ILUMINAÇÃO, TOMADAS E INTERRUPTORES</v>
      </c>
      <c r="K86" s="191"/>
      <c r="L86" s="191"/>
      <c r="M86" s="192">
        <f ca="1">IF($F87=0,OFFSET(ORÇAMENTO!C$15,$F86,0),1)</f>
        <v>2</v>
      </c>
      <c r="N86" s="193">
        <f ca="1">IF($F87=-1,0,IF(N$13&lt;=$M86,IF(ISERROR(MATCH(N$13,OFFSET($M86,1,0,ROW($M$119)-ROW($M86)-1),0)),ROW($M$119)-ROW($M86)-1,MATCH(N$13,OFFSET($M86,1,0,ROW($M$119)-ROW($M86)-1),0)-1),0))</f>
        <v>32</v>
      </c>
      <c r="O86" s="193">
        <f ca="1">IF($F87=-1,0,IF(O$13&lt;=$M86,IF(ISERROR(MATCH(O$13,OFFSET($M86,1,0,ROW($M$119)-ROW($M86)-1),0)),ROW($M$119)-ROW($M86)-1,MATCH(O$13,OFFSET($M86,1,0,ROW($M$119)-ROW($M86)-1),0)-1),0))</f>
        <v>2</v>
      </c>
      <c r="P86" s="193">
        <f ca="1">IF($F87=-1,0,IF(P$13&lt;=$M86,IF(ISERROR(MATCH(P$13,OFFSET($M86,1,0,ROW($M$119)-ROW($M86)-1),0)),ROW($M$119)-ROW($M86)-1,MATCH(P$13,OFFSET($M86,1,0,ROW($M$119)-ROW($M86)-1),0)-1),0))</f>
        <v>0</v>
      </c>
      <c r="Q86" s="193">
        <f ca="1">IF($F87=-1,0,IF(Q$13&lt;=$M86,IF(ISERROR(MATCH(Q$13,OFFSET($M86,1,0,ROW($M$119)-ROW($M86)-1),0)),ROW($M$119)-ROW($M86)-1,MATCH(Q$13,OFFSET($M86,1,0,ROW($M$119)-ROW($M86)-1),0)-1),0))</f>
        <v>0</v>
      </c>
      <c r="R86" s="193">
        <f ca="1">MIN(OFFSET(M86,0,1,,M86))</f>
        <v>2</v>
      </c>
      <c r="S86" s="194">
        <f ca="1">IF($F87=0,OFFSET(ORÇAMENTO!X$15,$F86,0),IF($F87&lt;&gt;-1,OFFSET(QCI!$O$13,$F87,0),""))</f>
        <v>41021.4</v>
      </c>
      <c r="T86" s="195" t="s">
        <v>785</v>
      </c>
      <c r="U86" s="188">
        <f t="array" aca="1" ref="U86" ca="1">IF(AND($R86=2,ACOMPANHAMENTO="BM"),ROUND(U87,4),U88/$S86)</f>
        <v>0</v>
      </c>
      <c r="V86" s="188">
        <f t="array" aca="1" ref="V86" ca="1">IF(AND($R86=2,ACOMPANHAMENTO="BM"),ROUND(V87,4),V88/$S86)</f>
        <v>0</v>
      </c>
      <c r="W86" s="188">
        <f t="array" aca="1" ref="W86" ca="1">IF(AND($R86=2,ACOMPANHAMENTO="BM"),ROUND(W87,4),W88/$S86)</f>
        <v>0</v>
      </c>
      <c r="X86" s="188">
        <f t="array" aca="1" ref="X86" ca="1">IF(AND($R86=2,ACOMPANHAMENTO="BM"),ROUND(X87,4),X88/$S86)</f>
        <v>0</v>
      </c>
      <c r="Y86" s="188">
        <f t="array" aca="1" ref="Y86" ca="1">IF(AND($R86=2,ACOMPANHAMENTO="BM"),ROUND(Y87,4),Y88/$S86)</f>
        <v>0.15158795165450231</v>
      </c>
      <c r="Z86" s="188">
        <f t="array" aca="1" ref="Z86" ca="1">IF(AND($R86=2,ACOMPANHAMENTO="BM"),ROUND(Z87,4),Z88/$S86)</f>
        <v>0.15158795165450231</v>
      </c>
      <c r="AA86" s="188">
        <f t="array" aca="1" ref="AA86" ca="1">IF(AND($R86=2,ACOMPANHAMENTO="BM"),ROUND(AA87,4),AA88/$S86)</f>
        <v>3.4486877580969931E-2</v>
      </c>
      <c r="AB86" s="188">
        <f t="array" aca="1" ref="AB86" ca="1">IF(AND($R86=2,ACOMPANHAMENTO="BM"),ROUND(AB87,4),AB88/$S86)</f>
        <v>0.30938241990765791</v>
      </c>
      <c r="AC86" s="188">
        <f t="array" aca="1" ref="AC86" ca="1">IF(AND($R86=2,ACOMPANHAMENTO="BM"),ROUND(AC87,4),AC88/$S86)</f>
        <v>0.35295479920236755</v>
      </c>
      <c r="AD86" s="188">
        <f t="array" aca="1" ref="AD86" ca="1">IF(AND($R86=2,ACOMPANHAMENTO="BM"),ROUND(AD87,4),AD88/$S86)</f>
        <v>0</v>
      </c>
      <c r="AE86" s="188">
        <f t="array" aca="1" ref="AE86" ca="1">IF(AND($R86=2,ACOMPANHAMENTO="BM"),ROUND(AE87,4),AE88/$S86)</f>
        <v>0</v>
      </c>
      <c r="AF86" s="188">
        <f t="array" aca="1" ref="AF86" ca="1">IF(AND($R86=2,ACOMPANHAMENTO="BM"),ROUND(AF87,4),AF88/$S86)</f>
        <v>0</v>
      </c>
      <c r="AG86" s="532"/>
    </row>
    <row r="87" spans="1:33" ht="12.75" customHeight="1" x14ac:dyDescent="0.2">
      <c r="E87" s="585"/>
      <c r="F87" s="185">
        <f ca="1">IF(ISERROR(F86),IF(1+COUNTIF($M$13:OFFSET(M86,-1,0),1)&lt;=MAX(QCI!$D$13:$D$24),1+COUNTIF($M$13:OFFSET(M86,-1,0),1),-1),0)</f>
        <v>0</v>
      </c>
      <c r="G87" s="185" t="str">
        <f t="array" aca="1" ref="G87" ca="1">IF(ACOMPANHAMENTO="BM",OFFSET(G87,-1,0),"")</f>
        <v/>
      </c>
      <c r="H87" s="196" t="str">
        <f t="array" aca="1" ref="H87" ca="1">IF(OR(S86=0,S86=""),"vazia",IF(AND(OR(ACOMPANHAMENTO="PLE",$R86&lt;&gt;2),$F87=0),"calculada","--&gt;"))</f>
        <v>calculada</v>
      </c>
      <c r="I87" s="197"/>
      <c r="J87" s="198" t="str">
        <f ca="1">IF(AND(H86&lt;&gt;0,ISNUMBER(H86)),"PREENCHA ESTA LINHA --&gt;","")</f>
        <v/>
      </c>
      <c r="K87" s="198"/>
      <c r="L87" s="198"/>
      <c r="M87" s="199"/>
      <c r="N87" s="199"/>
      <c r="O87" s="199"/>
      <c r="P87" s="199"/>
      <c r="Q87" s="199"/>
      <c r="R87" s="199"/>
      <c r="S87" s="200"/>
      <c r="T87" s="201"/>
      <c r="U87" s="585"/>
      <c r="V87" s="585"/>
      <c r="W87" s="585"/>
      <c r="X87" s="585"/>
      <c r="Y87" s="585"/>
      <c r="Z87" s="585"/>
      <c r="AA87" s="585"/>
      <c r="AB87" s="585"/>
      <c r="AC87" s="585"/>
      <c r="AD87" s="585"/>
      <c r="AE87" s="585"/>
      <c r="AF87" s="585"/>
      <c r="AG87" s="532"/>
    </row>
    <row r="88" spans="1:33" ht="12.75" customHeight="1" x14ac:dyDescent="0.2">
      <c r="D88" s="531"/>
      <c r="E88" s="202">
        <f t="array" aca="1" ref="E88" ca="1">IF($R86=2,
         IF(AND(ACOMPANHAMENTO="PLE",ISNUMBER($F86)),
                SUMIF((OFFSET(CÁLCULO!$BC$15:$BU$15,$F86,0,OFFSET(ORÇAMENTO!$D$15,CRONO!$F86,0))),CRONO!E$12,OFFSET(CÁLCULO!$AJ$15:$BB$15,$F86,0,OFFSET(ORÇAMENTO!$D$15,CRONO!$F86,0)))
                +IF(AND($F88&lt;&gt;"",$F88&lt;&gt;0),
                        SUMIF(CÁLCULO!$BC$15:$BU$235,CRONO!E$12,CÁLCULO!$AJ$15:$BB$235)/(ORÇAMENTO!$X$15-CÁLCULO.TotalAdmLocal)*CRONO!$F88,
                        0),
                 E87*$S86),
          SUMIF(OFFSET($S88,1,0,$R86-2),($M86+1)&amp;"$",OFFSET(E88,1,0,$R86-2)))</f>
        <v>0</v>
      </c>
      <c r="F88" s="185">
        <f ca="1">IF(OR($R86&lt;&gt;2,AUTOEVENTO&lt;&gt;"manual",$F87&gt;0),"",
        IF(Import.TipoArredondamento="Tradicional",
              SUMIF(OFFSET(CÁLCULO!$M$15,CRONO!$F86,0,OFFSET(ORÇAMENTO!$D$15,CRONO!$F86,0)),1,OFFSET(ORÇAMENTO!$X$15,CRONO!$F86,0,OFFSET(ORÇAMENTO!$D$15,CRONO!$F86,0))),
              0))</f>
        <v>0</v>
      </c>
      <c r="H88" s="693"/>
      <c r="S88" s="204" t="str">
        <f ca="1">M86&amp;"$"</f>
        <v>2$</v>
      </c>
      <c r="T88" s="205"/>
      <c r="U88" s="202">
        <f t="array" aca="1" ref="U88" ca="1">IF($R86=2,
         IF(AND(ACOMPANHAMENTO="PLE",ISNUMBER($F86)),
                SUMIF((OFFSET(CÁLCULO!$BC$15:$BU$15,$F86,0,OFFSET(ORÇAMENTO!$D$15,CRONO!$F86,0))),CRONO!U$12,OFFSET(CÁLCULO!$AJ$15:$BB$15,$F86,0,OFFSET(ORÇAMENTO!$D$15,CRONO!$F86,0)))
                +IF(AND($F88&lt;&gt;"",$F88&lt;&gt;0),
                        SUMIF(CÁLCULO!$BC$15:$BU$235,CRONO!U$12,CÁLCULO!$AJ$15:$BB$235)/(ORÇAMENTO!$X$15-CÁLCULO.TotalAdmLocal)*CRONO!$F88,
                        0),
                 U87*$S86),
          SUMIF(OFFSET($S88,1,0,$R86-2),($M86+1)&amp;"$",OFFSET(U88,1,0,$R86-2)))</f>
        <v>0</v>
      </c>
      <c r="V88" s="202">
        <f t="array" aca="1" ref="V88" ca="1">IF($R86=2,
         IF(AND(ACOMPANHAMENTO="PLE",ISNUMBER($F86)),
                SUMIF((OFFSET(CÁLCULO!$BC$15:$BU$15,$F86,0,OFFSET(ORÇAMENTO!$D$15,CRONO!$F86,0))),CRONO!V$12,OFFSET(CÁLCULO!$AJ$15:$BB$15,$F86,0,OFFSET(ORÇAMENTO!$D$15,CRONO!$F86,0)))
                +IF(AND($F88&lt;&gt;"",$F88&lt;&gt;0),
                        SUMIF(CÁLCULO!$BC$15:$BU$235,CRONO!V$12,CÁLCULO!$AJ$15:$BB$235)/(ORÇAMENTO!$X$15-CÁLCULO.TotalAdmLocal)*CRONO!$F88,
                        0),
                 V87*$S86),
          SUMIF(OFFSET($S88,1,0,$R86-2),($M86+1)&amp;"$",OFFSET(V88,1,0,$R86-2)))</f>
        <v>0</v>
      </c>
      <c r="W88" s="202">
        <f t="array" aca="1" ref="W88" ca="1">IF($R86=2,
         IF(AND(ACOMPANHAMENTO="PLE",ISNUMBER($F86)),
                SUMIF((OFFSET(CÁLCULO!$BC$15:$BU$15,$F86,0,OFFSET(ORÇAMENTO!$D$15,CRONO!$F86,0))),CRONO!W$12,OFFSET(CÁLCULO!$AJ$15:$BB$15,$F86,0,OFFSET(ORÇAMENTO!$D$15,CRONO!$F86,0)))
                +IF(AND($F88&lt;&gt;"",$F88&lt;&gt;0),
                        SUMIF(CÁLCULO!$BC$15:$BU$235,CRONO!W$12,CÁLCULO!$AJ$15:$BB$235)/(ORÇAMENTO!$X$15-CÁLCULO.TotalAdmLocal)*CRONO!$F88,
                        0),
                 W87*$S86),
          SUMIF(OFFSET($S88,1,0,$R86-2),($M86+1)&amp;"$",OFFSET(W88,1,0,$R86-2)))</f>
        <v>0</v>
      </c>
      <c r="X88" s="202">
        <f t="array" aca="1" ref="X88" ca="1">IF($R86=2,
         IF(AND(ACOMPANHAMENTO="PLE",ISNUMBER($F86)),
                SUMIF((OFFSET(CÁLCULO!$BC$15:$BU$15,$F86,0,OFFSET(ORÇAMENTO!$D$15,CRONO!$F86,0))),CRONO!X$12,OFFSET(CÁLCULO!$AJ$15:$BB$15,$F86,0,OFFSET(ORÇAMENTO!$D$15,CRONO!$F86,0)))
                +IF(AND($F88&lt;&gt;"",$F88&lt;&gt;0),
                        SUMIF(CÁLCULO!$BC$15:$BU$235,CRONO!X$12,CÁLCULO!$AJ$15:$BB$235)/(ORÇAMENTO!$X$15-CÁLCULO.TotalAdmLocal)*CRONO!$F88,
                        0),
                 X87*$S86),
          SUMIF(OFFSET($S88,1,0,$R86-2),($M86+1)&amp;"$",OFFSET(X88,1,0,$R86-2)))</f>
        <v>0</v>
      </c>
      <c r="Y88" s="202">
        <f t="array" aca="1" ref="Y88" ca="1">IF($R86=2,
         IF(AND(ACOMPANHAMENTO="PLE",ISNUMBER($F86)),
                SUMIF((OFFSET(CÁLCULO!$BC$15:$BU$15,$F86,0,OFFSET(ORÇAMENTO!$D$15,CRONO!$F86,0))),CRONO!Y$12,OFFSET(CÁLCULO!$AJ$15:$BB$15,$F86,0,OFFSET(ORÇAMENTO!$D$15,CRONO!$F86,0)))
                +IF(AND($F88&lt;&gt;"",$F88&lt;&gt;0),
                        SUMIF(CÁLCULO!$BC$15:$BU$235,CRONO!Y$12,CÁLCULO!$AJ$15:$BB$235)/(ORÇAMENTO!$X$15-CÁLCULO.TotalAdmLocal)*CRONO!$F88,
                        0),
                 Y87*$S86),
          SUMIF(OFFSET($S88,1,0,$R86-2),($M86+1)&amp;"$",OFFSET(Y88,1,0,$R86-2)))</f>
        <v>6218.3500000000013</v>
      </c>
      <c r="Z88" s="202">
        <f t="array" aca="1" ref="Z88" ca="1">IF($R86=2,
         IF(AND(ACOMPANHAMENTO="PLE",ISNUMBER($F86)),
                SUMIF((OFFSET(CÁLCULO!$BC$15:$BU$15,$F86,0,OFFSET(ORÇAMENTO!$D$15,CRONO!$F86,0))),CRONO!Z$12,OFFSET(CÁLCULO!$AJ$15:$BB$15,$F86,0,OFFSET(ORÇAMENTO!$D$15,CRONO!$F86,0)))
                +IF(AND($F88&lt;&gt;"",$F88&lt;&gt;0),
                        SUMIF(CÁLCULO!$BC$15:$BU$235,CRONO!Z$12,CÁLCULO!$AJ$15:$BB$235)/(ORÇAMENTO!$X$15-CÁLCULO.TotalAdmLocal)*CRONO!$F88,
                        0),
                 Z87*$S86),
          SUMIF(OFFSET($S88,1,0,$R86-2),($M86+1)&amp;"$",OFFSET(Z88,1,0,$R86-2)))</f>
        <v>6218.3500000000013</v>
      </c>
      <c r="AA88" s="202">
        <f t="array" aca="1" ref="AA88" ca="1">IF($R86=2,
         IF(AND(ACOMPANHAMENTO="PLE",ISNUMBER($F86)),
                SUMIF((OFFSET(CÁLCULO!$BC$15:$BU$15,$F86,0,OFFSET(ORÇAMENTO!$D$15,CRONO!$F86,0))),CRONO!AA$12,OFFSET(CÁLCULO!$AJ$15:$BB$15,$F86,0,OFFSET(ORÇAMENTO!$D$15,CRONO!$F86,0)))
                +IF(AND($F88&lt;&gt;"",$F88&lt;&gt;0),
                        SUMIF(CÁLCULO!$BC$15:$BU$235,CRONO!AA$12,CÁLCULO!$AJ$15:$BB$235)/(ORÇAMENTO!$X$15-CÁLCULO.TotalAdmLocal)*CRONO!$F88,
                        0),
                 AA87*$S86),
          SUMIF(OFFSET($S88,1,0,$R86-2),($M86+1)&amp;"$",OFFSET(AA88,1,0,$R86-2)))</f>
        <v>1414.7</v>
      </c>
      <c r="AB88" s="202">
        <f t="array" aca="1" ref="AB88" ca="1">IF($R86=2,
         IF(AND(ACOMPANHAMENTO="PLE",ISNUMBER($F86)),
                SUMIF((OFFSET(CÁLCULO!$BC$15:$BU$15,$F86,0,OFFSET(ORÇAMENTO!$D$15,CRONO!$F86,0))),CRONO!AB$12,OFFSET(CÁLCULO!$AJ$15:$BB$15,$F86,0,OFFSET(ORÇAMENTO!$D$15,CRONO!$F86,0)))
                +IF(AND($F88&lt;&gt;"",$F88&lt;&gt;0),
                        SUMIF(CÁLCULO!$BC$15:$BU$235,CRONO!AB$12,CÁLCULO!$AJ$15:$BB$235)/(ORÇAMENTO!$X$15-CÁLCULO.TotalAdmLocal)*CRONO!$F88,
                        0),
                 AB87*$S86),
          SUMIF(OFFSET($S88,1,0,$R86-2),($M86+1)&amp;"$",OFFSET(AB88,1,0,$R86-2)))</f>
        <v>12691.3</v>
      </c>
      <c r="AC88" s="202">
        <f t="array" aca="1" ref="AC88" ca="1">IF($R86=2,
         IF(AND(ACOMPANHAMENTO="PLE",ISNUMBER($F86)),
                SUMIF((OFFSET(CÁLCULO!$BC$15:$BU$15,$F86,0,OFFSET(ORÇAMENTO!$D$15,CRONO!$F86,0))),CRONO!AC$12,OFFSET(CÁLCULO!$AJ$15:$BB$15,$F86,0,OFFSET(ORÇAMENTO!$D$15,CRONO!$F86,0)))
                +IF(AND($F88&lt;&gt;"",$F88&lt;&gt;0),
                        SUMIF(CÁLCULO!$BC$15:$BU$235,CRONO!AC$12,CÁLCULO!$AJ$15:$BB$235)/(ORÇAMENTO!$X$15-CÁLCULO.TotalAdmLocal)*CRONO!$F88,
                        0),
                 AC87*$S86),
          SUMIF(OFFSET($S88,1,0,$R86-2),($M86+1)&amp;"$",OFFSET(AC88,1,0,$R86-2)))</f>
        <v>14478.7</v>
      </c>
      <c r="AD88" s="202">
        <f t="array" aca="1" ref="AD88" ca="1">IF($R86=2,
         IF(AND(ACOMPANHAMENTO="PLE",ISNUMBER($F86)),
                SUMIF((OFFSET(CÁLCULO!$BC$15:$BU$15,$F86,0,OFFSET(ORÇAMENTO!$D$15,CRONO!$F86,0))),CRONO!AD$12,OFFSET(CÁLCULO!$AJ$15:$BB$15,$F86,0,OFFSET(ORÇAMENTO!$D$15,CRONO!$F86,0)))
                +IF(AND($F88&lt;&gt;"",$F88&lt;&gt;0),
                        SUMIF(CÁLCULO!$BC$15:$BU$235,CRONO!AD$12,CÁLCULO!$AJ$15:$BB$235)/(ORÇAMENTO!$X$15-CÁLCULO.TotalAdmLocal)*CRONO!$F88,
                        0),
                 AD87*$S86),
          SUMIF(OFFSET($S88,1,0,$R86-2),($M86+1)&amp;"$",OFFSET(AD88,1,0,$R86-2)))</f>
        <v>0</v>
      </c>
      <c r="AE88" s="202">
        <f t="array" aca="1" ref="AE88" ca="1">IF($R86=2,
         IF(AND(ACOMPANHAMENTO="PLE",ISNUMBER($F86)),
                SUMIF((OFFSET(CÁLCULO!$BC$15:$BU$15,$F86,0,OFFSET(ORÇAMENTO!$D$15,CRONO!$F86,0))),CRONO!AE$12,OFFSET(CÁLCULO!$AJ$15:$BB$15,$F86,0,OFFSET(ORÇAMENTO!$D$15,CRONO!$F86,0)))
                +IF(AND($F88&lt;&gt;"",$F88&lt;&gt;0),
                        SUMIF(CÁLCULO!$BC$15:$BU$235,CRONO!AE$12,CÁLCULO!$AJ$15:$BB$235)/(ORÇAMENTO!$X$15-CÁLCULO.TotalAdmLocal)*CRONO!$F88,
                        0),
                 AE87*$S86),
          SUMIF(OFFSET($S88,1,0,$R86-2),($M86+1)&amp;"$",OFFSET(AE88,1,0,$R86-2)))</f>
        <v>0</v>
      </c>
      <c r="AF88" s="202">
        <f t="array" aca="1" ref="AF88" ca="1">IF($R86=2,
         IF(AND(ACOMPANHAMENTO="PLE",ISNUMBER($F86)),
                SUMIF((OFFSET(CÁLCULO!$BC$15:$BU$15,$F86,0,OFFSET(ORÇAMENTO!$D$15,CRONO!$F86,0))),CRONO!AF$12,OFFSET(CÁLCULO!$AJ$15:$BB$15,$F86,0,OFFSET(ORÇAMENTO!$D$15,CRONO!$F86,0)))
                +IF(AND($F88&lt;&gt;"",$F88&lt;&gt;0),
                        SUMIF(CÁLCULO!$BC$15:$BU$235,CRONO!AF$12,CÁLCULO!$AJ$15:$BB$235)/(ORÇAMENTO!$X$15-CÁLCULO.TotalAdmLocal)*CRONO!$F88,
                        0),
                 AF87*$S86),
          SUMIF(OFFSET($S88,1,0,$R86-2),($M86+1)&amp;"$",OFFSET(AF88,1,0,$R86-2)))</f>
        <v>0</v>
      </c>
      <c r="AG88" s="532"/>
    </row>
    <row r="89" spans="1:33" x14ac:dyDescent="0.2">
      <c r="A89" s="186" t="str">
        <f ca="1">IF($M89&gt;1,_xlfn.CONCAT($I89," ",$J89),"")</f>
        <v>1.25. FIOS E CABOS</v>
      </c>
      <c r="B89" s="185">
        <f ca="1">OFFSET(B89,-3,0)+1</f>
        <v>26</v>
      </c>
      <c r="C89" s="185">
        <f ca="1">IF($R89&lt;&gt;2,0,IF($S89=0,1,IF(F90&gt;0,OFFSET(QCI!$M$13,SUBSTITUTE(F90,".",""),0),OFFSET(ORÇAMENTO!$AA$15,CRONO!$F89,0))/$S89))</f>
        <v>0</v>
      </c>
      <c r="D89" s="185">
        <f ca="1">IF($R89&lt;&gt;2,0,IF($S89=0,1,IF(F90&gt;0,OFFSET(QCI!$N$13,SUBSTITUTE(F90,".",""),0),OFFSET(ORÇAMENTO!$AB$15,CRONO!$F89,0))/$S89))</f>
        <v>0</v>
      </c>
      <c r="E89" s="188">
        <f t="array" aca="1" ref="E89" ca="1">IF(AND($R89=2,ACOMPANHAMENTO="BM"),ROUND(E90,4),E91/$S89)</f>
        <v>0</v>
      </c>
      <c r="F89" s="185">
        <f t="array" aca="1" ref="F89" ca="1">IF(B89&lt;=ORÇAMENTO.MáximoListaCrono,MATCH(B89,ORÇAMENTO.ListaCrono,0),NA())</f>
        <v>137</v>
      </c>
      <c r="G89" s="185" t="str">
        <f ca="1">IF(AND($F90&lt;&gt;-1,$S89&gt;0),"F","")</f>
        <v>F</v>
      </c>
      <c r="H89" s="189" t="str">
        <f t="array" aca="1" ref="H89" ca="1">IF(OR(S89=0,S89=""),"Linha",IF(AND(OR(ACOMPANHAMENTO="PLE",$R89&lt;&gt;2),$F90=0),"Linha",ROUND(1-SUM(U89:AG89),4)))</f>
        <v>Linha</v>
      </c>
      <c r="I89" s="190" t="str">
        <f ca="1">IF($F90=0,OFFSET(ORÇAMENTO!O$15,$F89,0),IF($F90&lt;&gt;-1,OFFSET(QCI!$D$13,$F90,0),""))</f>
        <v>1.25.</v>
      </c>
      <c r="J89" s="191" t="str">
        <f ca="1">IF($F90=0,OFFSET(ORÇAMENTO!R$15,$F89,0),IF($F90&lt;&gt;-1,OFFSET(QCI!$G$13,$F90,0),""))</f>
        <v>FIOS E CABOS</v>
      </c>
      <c r="K89" s="191"/>
      <c r="L89" s="191"/>
      <c r="M89" s="192">
        <f ca="1">IF($F90=0,OFFSET(ORÇAMENTO!C$15,$F89,0),1)</f>
        <v>2</v>
      </c>
      <c r="N89" s="193">
        <f ca="1">IF($F90=-1,0,IF(N$13&lt;=$M89,IF(ISERROR(MATCH(N$13,OFFSET($M89,1,0,ROW($M$119)-ROW($M89)-1),0)),ROW($M$119)-ROW($M89)-1,MATCH(N$13,OFFSET($M89,1,0,ROW($M$119)-ROW($M89)-1),0)-1),0))</f>
        <v>29</v>
      </c>
      <c r="O89" s="193">
        <f ca="1">IF($F90=-1,0,IF(O$13&lt;=$M89,IF(ISERROR(MATCH(O$13,OFFSET($M89,1,0,ROW($M$119)-ROW($M89)-1),0)),ROW($M$119)-ROW($M89)-1,MATCH(O$13,OFFSET($M89,1,0,ROW($M$119)-ROW($M89)-1),0)-1),0))</f>
        <v>2</v>
      </c>
      <c r="P89" s="193">
        <f ca="1">IF($F90=-1,0,IF(P$13&lt;=$M89,IF(ISERROR(MATCH(P$13,OFFSET($M89,1,0,ROW($M$119)-ROW($M89)-1),0)),ROW($M$119)-ROW($M89)-1,MATCH(P$13,OFFSET($M89,1,0,ROW($M$119)-ROW($M89)-1),0)-1),0))</f>
        <v>0</v>
      </c>
      <c r="Q89" s="193">
        <f ca="1">IF($F90=-1,0,IF(Q$13&lt;=$M89,IF(ISERROR(MATCH(Q$13,OFFSET($M89,1,0,ROW($M$119)-ROW($M89)-1),0)),ROW($M$119)-ROW($M89)-1,MATCH(Q$13,OFFSET($M89,1,0,ROW($M$119)-ROW($M89)-1),0)-1),0))</f>
        <v>0</v>
      </c>
      <c r="R89" s="193">
        <f ca="1">MIN(OFFSET(M89,0,1,,M89))</f>
        <v>2</v>
      </c>
      <c r="S89" s="194">
        <f ca="1">IF($F90=0,OFFSET(ORÇAMENTO!X$15,$F89,0),IF($F90&lt;&gt;-1,OFFSET(QCI!$O$13,$F90,0),""))</f>
        <v>96143.56</v>
      </c>
      <c r="T89" s="195" t="s">
        <v>785</v>
      </c>
      <c r="U89" s="188">
        <f t="array" aca="1" ref="U89" ca="1">IF(AND($R89=2,ACOMPANHAMENTO="BM"),ROUND(U90,4),U91/$S89)</f>
        <v>0</v>
      </c>
      <c r="V89" s="188">
        <f t="array" aca="1" ref="V89" ca="1">IF(AND($R89=2,ACOMPANHAMENTO="BM"),ROUND(V90,4),V91/$S89)</f>
        <v>0</v>
      </c>
      <c r="W89" s="188">
        <f t="array" aca="1" ref="W89" ca="1">IF(AND($R89=2,ACOMPANHAMENTO="BM"),ROUND(W90,4),W91/$S89)</f>
        <v>0</v>
      </c>
      <c r="X89" s="188">
        <f t="array" aca="1" ref="X89" ca="1">IF(AND($R89=2,ACOMPANHAMENTO="BM"),ROUND(X90,4),X91/$S89)</f>
        <v>0</v>
      </c>
      <c r="Y89" s="188">
        <f t="array" aca="1" ref="Y89" ca="1">IF(AND($R89=2,ACOMPANHAMENTO="BM"),ROUND(Y90,4),Y91/$S89)</f>
        <v>0.19553977406287015</v>
      </c>
      <c r="Z89" s="188">
        <f t="array" aca="1" ref="Z89" ca="1">IF(AND($R89=2,ACOMPANHAMENTO="BM"),ROUND(Z90,4),Z91/$S89)</f>
        <v>0.19553977406287015</v>
      </c>
      <c r="AA89" s="188">
        <f t="array" aca="1" ref="AA89" ca="1">IF(AND($R89=2,ACOMPANHAMENTO="BM"),ROUND(AA90,4),AA91/$S89)</f>
        <v>0.13221166347491189</v>
      </c>
      <c r="AB89" s="188">
        <f t="array" aca="1" ref="AB89" ca="1">IF(AND($R89=2,ACOMPANHAMENTO="BM"),ROUND(AB90,4),AB91/$S89)</f>
        <v>0.24365937770558946</v>
      </c>
      <c r="AC89" s="188">
        <f t="array" aca="1" ref="AC89" ca="1">IF(AND($R89=2,ACOMPANHAMENTO="BM"),ROUND(AC90,4),AC91/$S89)</f>
        <v>0.2330494106937584</v>
      </c>
      <c r="AD89" s="188">
        <f t="array" aca="1" ref="AD89" ca="1">IF(AND($R89=2,ACOMPANHAMENTO="BM"),ROUND(AD90,4),AD91/$S89)</f>
        <v>0</v>
      </c>
      <c r="AE89" s="188">
        <f t="array" aca="1" ref="AE89" ca="1">IF(AND($R89=2,ACOMPANHAMENTO="BM"),ROUND(AE90,4),AE91/$S89)</f>
        <v>0</v>
      </c>
      <c r="AF89" s="188">
        <f t="array" aca="1" ref="AF89" ca="1">IF(AND($R89=2,ACOMPANHAMENTO="BM"),ROUND(AF90,4),AF91/$S89)</f>
        <v>0</v>
      </c>
      <c r="AG89" s="532"/>
    </row>
    <row r="90" spans="1:33" ht="12.75" customHeight="1" x14ac:dyDescent="0.2">
      <c r="E90" s="585"/>
      <c r="F90" s="185">
        <f ca="1">IF(ISERROR(F89),IF(1+COUNTIF($M$13:OFFSET(M89,-1,0),1)&lt;=MAX(QCI!$D$13:$D$24),1+COUNTIF($M$13:OFFSET(M89,-1,0),1),-1),0)</f>
        <v>0</v>
      </c>
      <c r="G90" s="185" t="str">
        <f t="array" aca="1" ref="G90" ca="1">IF(ACOMPANHAMENTO="BM",OFFSET(G90,-1,0),"")</f>
        <v/>
      </c>
      <c r="H90" s="196" t="str">
        <f t="array" aca="1" ref="H90" ca="1">IF(OR(S89=0,S89=""),"vazia",IF(AND(OR(ACOMPANHAMENTO="PLE",$R89&lt;&gt;2),$F90=0),"calculada","--&gt;"))</f>
        <v>calculada</v>
      </c>
      <c r="I90" s="197"/>
      <c r="J90" s="198" t="str">
        <f ca="1">IF(AND(H89&lt;&gt;0,ISNUMBER(H89)),"PREENCHA ESTA LINHA --&gt;","")</f>
        <v/>
      </c>
      <c r="K90" s="198"/>
      <c r="L90" s="198"/>
      <c r="M90" s="199"/>
      <c r="N90" s="199"/>
      <c r="O90" s="199"/>
      <c r="P90" s="199"/>
      <c r="Q90" s="199"/>
      <c r="R90" s="199"/>
      <c r="S90" s="200"/>
      <c r="T90" s="201"/>
      <c r="U90" s="585"/>
      <c r="V90" s="585"/>
      <c r="W90" s="585"/>
      <c r="X90" s="585"/>
      <c r="Y90" s="585"/>
      <c r="Z90" s="585"/>
      <c r="AA90" s="585"/>
      <c r="AB90" s="585"/>
      <c r="AC90" s="585"/>
      <c r="AD90" s="585"/>
      <c r="AE90" s="585"/>
      <c r="AF90" s="585"/>
      <c r="AG90" s="532"/>
    </row>
    <row r="91" spans="1:33" ht="12.75" customHeight="1" x14ac:dyDescent="0.2">
      <c r="D91" s="531"/>
      <c r="E91" s="202">
        <f t="array" aca="1" ref="E91" ca="1">IF($R89=2,
         IF(AND(ACOMPANHAMENTO="PLE",ISNUMBER($F89)),
                SUMIF((OFFSET(CÁLCULO!$BC$15:$BU$15,$F89,0,OFFSET(ORÇAMENTO!$D$15,CRONO!$F89,0))),CRONO!E$12,OFFSET(CÁLCULO!$AJ$15:$BB$15,$F89,0,OFFSET(ORÇAMENTO!$D$15,CRONO!$F89,0)))
                +IF(AND($F91&lt;&gt;"",$F91&lt;&gt;0),
                        SUMIF(CÁLCULO!$BC$15:$BU$235,CRONO!E$12,CÁLCULO!$AJ$15:$BB$235)/(ORÇAMENTO!$X$15-CÁLCULO.TotalAdmLocal)*CRONO!$F91,
                        0),
                 E90*$S89),
          SUMIF(OFFSET($S91,1,0,$R89-2),($M89+1)&amp;"$",OFFSET(E91,1,0,$R89-2)))</f>
        <v>0</v>
      </c>
      <c r="F91" s="185">
        <f ca="1">IF(OR($R89&lt;&gt;2,AUTOEVENTO&lt;&gt;"manual",$F90&gt;0),"",
        IF(Import.TipoArredondamento="Tradicional",
              SUMIF(OFFSET(CÁLCULO!$M$15,CRONO!$F89,0,OFFSET(ORÇAMENTO!$D$15,CRONO!$F89,0)),1,OFFSET(ORÇAMENTO!$X$15,CRONO!$F89,0,OFFSET(ORÇAMENTO!$D$15,CRONO!$F89,0))),
              0))</f>
        <v>0</v>
      </c>
      <c r="H91" s="693"/>
      <c r="S91" s="204" t="str">
        <f ca="1">M89&amp;"$"</f>
        <v>2$</v>
      </c>
      <c r="T91" s="205"/>
      <c r="U91" s="202">
        <f t="array" aca="1" ref="U91" ca="1">IF($R89=2,
         IF(AND(ACOMPANHAMENTO="PLE",ISNUMBER($F89)),
                SUMIF((OFFSET(CÁLCULO!$BC$15:$BU$15,$F89,0,OFFSET(ORÇAMENTO!$D$15,CRONO!$F89,0))),CRONO!U$12,OFFSET(CÁLCULO!$AJ$15:$BB$15,$F89,0,OFFSET(ORÇAMENTO!$D$15,CRONO!$F89,0)))
                +IF(AND($F91&lt;&gt;"",$F91&lt;&gt;0),
                        SUMIF(CÁLCULO!$BC$15:$BU$235,CRONO!U$12,CÁLCULO!$AJ$15:$BB$235)/(ORÇAMENTO!$X$15-CÁLCULO.TotalAdmLocal)*CRONO!$F91,
                        0),
                 U90*$S89),
          SUMIF(OFFSET($S91,1,0,$R89-2),($M89+1)&amp;"$",OFFSET(U91,1,0,$R89-2)))</f>
        <v>0</v>
      </c>
      <c r="V91" s="202">
        <f t="array" aca="1" ref="V91" ca="1">IF($R89=2,
         IF(AND(ACOMPANHAMENTO="PLE",ISNUMBER($F89)),
                SUMIF((OFFSET(CÁLCULO!$BC$15:$BU$15,$F89,0,OFFSET(ORÇAMENTO!$D$15,CRONO!$F89,0))),CRONO!V$12,OFFSET(CÁLCULO!$AJ$15:$BB$15,$F89,0,OFFSET(ORÇAMENTO!$D$15,CRONO!$F89,0)))
                +IF(AND($F91&lt;&gt;"",$F91&lt;&gt;0),
                        SUMIF(CÁLCULO!$BC$15:$BU$235,CRONO!V$12,CÁLCULO!$AJ$15:$BB$235)/(ORÇAMENTO!$X$15-CÁLCULO.TotalAdmLocal)*CRONO!$F91,
                        0),
                 V90*$S89),
          SUMIF(OFFSET($S91,1,0,$R89-2),($M89+1)&amp;"$",OFFSET(V91,1,0,$R89-2)))</f>
        <v>0</v>
      </c>
      <c r="W91" s="202">
        <f t="array" aca="1" ref="W91" ca="1">IF($R89=2,
         IF(AND(ACOMPANHAMENTO="PLE",ISNUMBER($F89)),
                SUMIF((OFFSET(CÁLCULO!$BC$15:$BU$15,$F89,0,OFFSET(ORÇAMENTO!$D$15,CRONO!$F89,0))),CRONO!W$12,OFFSET(CÁLCULO!$AJ$15:$BB$15,$F89,0,OFFSET(ORÇAMENTO!$D$15,CRONO!$F89,0)))
                +IF(AND($F91&lt;&gt;"",$F91&lt;&gt;0),
                        SUMIF(CÁLCULO!$BC$15:$BU$235,CRONO!W$12,CÁLCULO!$AJ$15:$BB$235)/(ORÇAMENTO!$X$15-CÁLCULO.TotalAdmLocal)*CRONO!$F91,
                        0),
                 W90*$S89),
          SUMIF(OFFSET($S91,1,0,$R89-2),($M89+1)&amp;"$",OFFSET(W91,1,0,$R89-2)))</f>
        <v>0</v>
      </c>
      <c r="X91" s="202">
        <f t="array" aca="1" ref="X91" ca="1">IF($R89=2,
         IF(AND(ACOMPANHAMENTO="PLE",ISNUMBER($F89)),
                SUMIF((OFFSET(CÁLCULO!$BC$15:$BU$15,$F89,0,OFFSET(ORÇAMENTO!$D$15,CRONO!$F89,0))),CRONO!X$12,OFFSET(CÁLCULO!$AJ$15:$BB$15,$F89,0,OFFSET(ORÇAMENTO!$D$15,CRONO!$F89,0)))
                +IF(AND($F91&lt;&gt;"",$F91&lt;&gt;0),
                        SUMIF(CÁLCULO!$BC$15:$BU$235,CRONO!X$12,CÁLCULO!$AJ$15:$BB$235)/(ORÇAMENTO!$X$15-CÁLCULO.TotalAdmLocal)*CRONO!$F91,
                        0),
                 X90*$S89),
          SUMIF(OFFSET($S91,1,0,$R89-2),($M89+1)&amp;"$",OFFSET(X91,1,0,$R89-2)))</f>
        <v>0</v>
      </c>
      <c r="Y91" s="202">
        <f t="array" aca="1" ref="Y91" ca="1">IF($R89=2,
         IF(AND(ACOMPANHAMENTO="PLE",ISNUMBER($F89)),
                SUMIF((OFFSET(CÁLCULO!$BC$15:$BU$15,$F89,0,OFFSET(ORÇAMENTO!$D$15,CRONO!$F89,0))),CRONO!Y$12,OFFSET(CÁLCULO!$AJ$15:$BB$15,$F89,0,OFFSET(ORÇAMENTO!$D$15,CRONO!$F89,0)))
                +IF(AND($F91&lt;&gt;"",$F91&lt;&gt;0),
                        SUMIF(CÁLCULO!$BC$15:$BU$235,CRONO!Y$12,CÁLCULO!$AJ$15:$BB$235)/(ORÇAMENTO!$X$15-CÁLCULO.TotalAdmLocal)*CRONO!$F91,
                        0),
                 Y90*$S89),
          SUMIF(OFFSET($S91,1,0,$R89-2),($M89+1)&amp;"$",OFFSET(Y91,1,0,$R89-2)))</f>
        <v>18799.89</v>
      </c>
      <c r="Z91" s="202">
        <f t="array" aca="1" ref="Z91" ca="1">IF($R89=2,
         IF(AND(ACOMPANHAMENTO="PLE",ISNUMBER($F89)),
                SUMIF((OFFSET(CÁLCULO!$BC$15:$BU$15,$F89,0,OFFSET(ORÇAMENTO!$D$15,CRONO!$F89,0))),CRONO!Z$12,OFFSET(CÁLCULO!$AJ$15:$BB$15,$F89,0,OFFSET(ORÇAMENTO!$D$15,CRONO!$F89,0)))
                +IF(AND($F91&lt;&gt;"",$F91&lt;&gt;0),
                        SUMIF(CÁLCULO!$BC$15:$BU$235,CRONO!Z$12,CÁLCULO!$AJ$15:$BB$235)/(ORÇAMENTO!$X$15-CÁLCULO.TotalAdmLocal)*CRONO!$F91,
                        0),
                 Z90*$S89),
          SUMIF(OFFSET($S91,1,0,$R89-2),($M89+1)&amp;"$",OFFSET(Z91,1,0,$R89-2)))</f>
        <v>18799.89</v>
      </c>
      <c r="AA91" s="202">
        <f t="array" aca="1" ref="AA91" ca="1">IF($R89=2,
         IF(AND(ACOMPANHAMENTO="PLE",ISNUMBER($F89)),
                SUMIF((OFFSET(CÁLCULO!$BC$15:$BU$15,$F89,0,OFFSET(ORÇAMENTO!$D$15,CRONO!$F89,0))),CRONO!AA$12,OFFSET(CÁLCULO!$AJ$15:$BB$15,$F89,0,OFFSET(ORÇAMENTO!$D$15,CRONO!$F89,0)))
                +IF(AND($F91&lt;&gt;"",$F91&lt;&gt;0),
                        SUMIF(CÁLCULO!$BC$15:$BU$235,CRONO!AA$12,CÁLCULO!$AJ$15:$BB$235)/(ORÇAMENTO!$X$15-CÁLCULO.TotalAdmLocal)*CRONO!$F91,
                        0),
                 AA90*$S89),
          SUMIF(OFFSET($S91,1,0,$R89-2),($M89+1)&amp;"$",OFFSET(AA91,1,0,$R89-2)))</f>
        <v>12711.3</v>
      </c>
      <c r="AB91" s="202">
        <f t="array" aca="1" ref="AB91" ca="1">IF($R89=2,
         IF(AND(ACOMPANHAMENTO="PLE",ISNUMBER($F89)),
                SUMIF((OFFSET(CÁLCULO!$BC$15:$BU$15,$F89,0,OFFSET(ORÇAMENTO!$D$15,CRONO!$F89,0))),CRONO!AB$12,OFFSET(CÁLCULO!$AJ$15:$BB$15,$F89,0,OFFSET(ORÇAMENTO!$D$15,CRONO!$F89,0)))
                +IF(AND($F91&lt;&gt;"",$F91&lt;&gt;0),
                        SUMIF(CÁLCULO!$BC$15:$BU$235,CRONO!AB$12,CÁLCULO!$AJ$15:$BB$235)/(ORÇAMENTO!$X$15-CÁLCULO.TotalAdmLocal)*CRONO!$F91,
                        0),
                 AB90*$S89),
          SUMIF(OFFSET($S91,1,0,$R89-2),($M89+1)&amp;"$",OFFSET(AB91,1,0,$R89-2)))</f>
        <v>23426.280000000002</v>
      </c>
      <c r="AC91" s="202">
        <f t="array" aca="1" ref="AC91" ca="1">IF($R89=2,
         IF(AND(ACOMPANHAMENTO="PLE",ISNUMBER($F89)),
                SUMIF((OFFSET(CÁLCULO!$BC$15:$BU$15,$F89,0,OFFSET(ORÇAMENTO!$D$15,CRONO!$F89,0))),CRONO!AC$12,OFFSET(CÁLCULO!$AJ$15:$BB$15,$F89,0,OFFSET(ORÇAMENTO!$D$15,CRONO!$F89,0)))
                +IF(AND($F91&lt;&gt;"",$F91&lt;&gt;0),
                        SUMIF(CÁLCULO!$BC$15:$BU$235,CRONO!AC$12,CÁLCULO!$AJ$15:$BB$235)/(ORÇAMENTO!$X$15-CÁLCULO.TotalAdmLocal)*CRONO!$F91,
                        0),
                 AC90*$S89),
          SUMIF(OFFSET($S91,1,0,$R89-2),($M89+1)&amp;"$",OFFSET(AC91,1,0,$R89-2)))</f>
        <v>22406.2</v>
      </c>
      <c r="AD91" s="202">
        <f t="array" aca="1" ref="AD91" ca="1">IF($R89=2,
         IF(AND(ACOMPANHAMENTO="PLE",ISNUMBER($F89)),
                SUMIF((OFFSET(CÁLCULO!$BC$15:$BU$15,$F89,0,OFFSET(ORÇAMENTO!$D$15,CRONO!$F89,0))),CRONO!AD$12,OFFSET(CÁLCULO!$AJ$15:$BB$15,$F89,0,OFFSET(ORÇAMENTO!$D$15,CRONO!$F89,0)))
                +IF(AND($F91&lt;&gt;"",$F91&lt;&gt;0),
                        SUMIF(CÁLCULO!$BC$15:$BU$235,CRONO!AD$12,CÁLCULO!$AJ$15:$BB$235)/(ORÇAMENTO!$X$15-CÁLCULO.TotalAdmLocal)*CRONO!$F91,
                        0),
                 AD90*$S89),
          SUMIF(OFFSET($S91,1,0,$R89-2),($M89+1)&amp;"$",OFFSET(AD91,1,0,$R89-2)))</f>
        <v>0</v>
      </c>
      <c r="AE91" s="202">
        <f t="array" aca="1" ref="AE91" ca="1">IF($R89=2,
         IF(AND(ACOMPANHAMENTO="PLE",ISNUMBER($F89)),
                SUMIF((OFFSET(CÁLCULO!$BC$15:$BU$15,$F89,0,OFFSET(ORÇAMENTO!$D$15,CRONO!$F89,0))),CRONO!AE$12,OFFSET(CÁLCULO!$AJ$15:$BB$15,$F89,0,OFFSET(ORÇAMENTO!$D$15,CRONO!$F89,0)))
                +IF(AND($F91&lt;&gt;"",$F91&lt;&gt;0),
                        SUMIF(CÁLCULO!$BC$15:$BU$235,CRONO!AE$12,CÁLCULO!$AJ$15:$BB$235)/(ORÇAMENTO!$X$15-CÁLCULO.TotalAdmLocal)*CRONO!$F91,
                        0),
                 AE90*$S89),
          SUMIF(OFFSET($S91,1,0,$R89-2),($M89+1)&amp;"$",OFFSET(AE91,1,0,$R89-2)))</f>
        <v>0</v>
      </c>
      <c r="AF91" s="202">
        <f t="array" aca="1" ref="AF91" ca="1">IF($R89=2,
         IF(AND(ACOMPANHAMENTO="PLE",ISNUMBER($F89)),
                SUMIF((OFFSET(CÁLCULO!$BC$15:$BU$15,$F89,0,OFFSET(ORÇAMENTO!$D$15,CRONO!$F89,0))),CRONO!AF$12,OFFSET(CÁLCULO!$AJ$15:$BB$15,$F89,0,OFFSET(ORÇAMENTO!$D$15,CRONO!$F89,0)))
                +IF(AND($F91&lt;&gt;"",$F91&lt;&gt;0),
                        SUMIF(CÁLCULO!$BC$15:$BU$235,CRONO!AF$12,CÁLCULO!$AJ$15:$BB$235)/(ORÇAMENTO!$X$15-CÁLCULO.TotalAdmLocal)*CRONO!$F91,
                        0),
                 AF90*$S89),
          SUMIF(OFFSET($S91,1,0,$R89-2),($M89+1)&amp;"$",OFFSET(AF91,1,0,$R89-2)))</f>
        <v>0</v>
      </c>
      <c r="AG91" s="532"/>
    </row>
    <row r="92" spans="1:33" x14ac:dyDescent="0.2">
      <c r="A92" s="186" t="str">
        <f ca="1">IF($M92&gt;1,_xlfn.CONCAT($I92," ",$J92),"")</f>
        <v>1.26. HIDRÁULICAS, GÁS E INCÊNDIO</v>
      </c>
      <c r="B92" s="185">
        <f ca="1">OFFSET(B92,-3,0)+1</f>
        <v>27</v>
      </c>
      <c r="C92" s="185">
        <f ca="1">IF($R92&lt;&gt;2,0,IF($S92=0,1,IF(F93&gt;0,OFFSET(QCI!$M$13,SUBSTITUTE(F93,".",""),0),OFFSET(ORÇAMENTO!$AA$15,CRONO!$F92,0))/$S92))</f>
        <v>0</v>
      </c>
      <c r="D92" s="185">
        <f ca="1">IF($R92&lt;&gt;2,0,IF($S92=0,1,IF(F93&gt;0,OFFSET(QCI!$N$13,SUBSTITUTE(F93,".",""),0),OFFSET(ORÇAMENTO!$AB$15,CRONO!$F92,0))/$S92))</f>
        <v>0</v>
      </c>
      <c r="E92" s="188">
        <f t="array" aca="1" ref="E92" ca="1">IF(AND($R92=2,ACOMPANHAMENTO="BM"),ROUND(E93,4),E94/$S92)</f>
        <v>0</v>
      </c>
      <c r="F92" s="185">
        <f t="array" aca="1" ref="F92" ca="1">IF(B92&lt;=ORÇAMENTO.MáximoListaCrono,MATCH(B92,ORÇAMENTO.ListaCrono,0),NA())</f>
        <v>147</v>
      </c>
      <c r="G92" s="185" t="str">
        <f ca="1">IF(AND($F93&lt;&gt;-1,$S92&gt;0),"F","")</f>
        <v>F</v>
      </c>
      <c r="H92" s="189" t="str">
        <f t="array" aca="1" ref="H92" ca="1">IF(OR(S92=0,S92=""),"Linha",IF(AND(OR(ACOMPANHAMENTO="PLE",$R92&lt;&gt;2),$F93=0),"Linha",ROUND(1-SUM(U92:AG92),4)))</f>
        <v>Linha</v>
      </c>
      <c r="I92" s="190" t="str">
        <f ca="1">IF($F93=0,OFFSET(ORÇAMENTO!O$15,$F92,0),IF($F93&lt;&gt;-1,OFFSET(QCI!$D$13,$F93,0),""))</f>
        <v>1.26.</v>
      </c>
      <c r="J92" s="191" t="str">
        <f ca="1">IF($F93=0,OFFSET(ORÇAMENTO!R$15,$F92,0),IF($F93&lt;&gt;-1,OFFSET(QCI!$G$13,$F93,0),""))</f>
        <v>HIDRÁULICAS, GÁS E INCÊNDIO</v>
      </c>
      <c r="K92" s="191"/>
      <c r="L92" s="191"/>
      <c r="M92" s="192">
        <f ca="1">IF($F93=0,OFFSET(ORÇAMENTO!C$15,$F92,0),1)</f>
        <v>2</v>
      </c>
      <c r="N92" s="193">
        <f ca="1">IF($F93=-1,0,IF(N$13&lt;=$M92,IF(ISERROR(MATCH(N$13,OFFSET($M92,1,0,ROW($M$119)-ROW($M92)-1),0)),ROW($M$119)-ROW($M92)-1,MATCH(N$13,OFFSET($M92,1,0,ROW($M$119)-ROW($M92)-1),0)-1),0))</f>
        <v>26</v>
      </c>
      <c r="O92" s="193">
        <f ca="1">IF($F93=-1,0,IF(O$13&lt;=$M92,IF(ISERROR(MATCH(O$13,OFFSET($M92,1,0,ROW($M$119)-ROW($M92)-1),0)),ROW($M$119)-ROW($M92)-1,MATCH(O$13,OFFSET($M92,1,0,ROW($M$119)-ROW($M92)-1),0)-1),0))</f>
        <v>2</v>
      </c>
      <c r="P92" s="193">
        <f ca="1">IF($F93=-1,0,IF(P$13&lt;=$M92,IF(ISERROR(MATCH(P$13,OFFSET($M92,1,0,ROW($M$119)-ROW($M92)-1),0)),ROW($M$119)-ROW($M92)-1,MATCH(P$13,OFFSET($M92,1,0,ROW($M$119)-ROW($M92)-1),0)-1),0))</f>
        <v>0</v>
      </c>
      <c r="Q92" s="193">
        <f ca="1">IF($F93=-1,0,IF(Q$13&lt;=$M92,IF(ISERROR(MATCH(Q$13,OFFSET($M92,1,0,ROW($M$119)-ROW($M92)-1),0)),ROW($M$119)-ROW($M92)-1,MATCH(Q$13,OFFSET($M92,1,0,ROW($M$119)-ROW($M92)-1),0)-1),0))</f>
        <v>0</v>
      </c>
      <c r="R92" s="193">
        <f ca="1">MIN(OFFSET(M92,0,1,,M92))</f>
        <v>2</v>
      </c>
      <c r="S92" s="194">
        <f ca="1">IF($F93=0,OFFSET(ORÇAMENTO!X$15,$F92,0),IF($F93&lt;&gt;-1,OFFSET(QCI!$O$13,$F93,0),""))</f>
        <v>13216.68</v>
      </c>
      <c r="T92" s="195" t="s">
        <v>785</v>
      </c>
      <c r="U92" s="188">
        <f t="array" aca="1" ref="U92" ca="1">IF(AND($R92=2,ACOMPANHAMENTO="BM"),ROUND(U93,4),U94/$S92)</f>
        <v>0</v>
      </c>
      <c r="V92" s="188">
        <f t="array" aca="1" ref="V92" ca="1">IF(AND($R92=2,ACOMPANHAMENTO="BM"),ROUND(V93,4),V94/$S92)</f>
        <v>0</v>
      </c>
      <c r="W92" s="188">
        <f t="array" aca="1" ref="W92" ca="1">IF(AND($R92=2,ACOMPANHAMENTO="BM"),ROUND(W93,4),W94/$S92)</f>
        <v>0</v>
      </c>
      <c r="X92" s="188">
        <f t="array" aca="1" ref="X92" ca="1">IF(AND($R92=2,ACOMPANHAMENTO="BM"),ROUND(X93,4),X94/$S92)</f>
        <v>0</v>
      </c>
      <c r="Y92" s="188">
        <f t="array" aca="1" ref="Y92" ca="1">IF(AND($R92=2,ACOMPANHAMENTO="BM"),ROUND(Y93,4),Y94/$S92)</f>
        <v>0.5</v>
      </c>
      <c r="Z92" s="188">
        <f t="array" aca="1" ref="Z92" ca="1">IF(AND($R92=2,ACOMPANHAMENTO="BM"),ROUND(Z93,4),Z94/$S92)</f>
        <v>0.5</v>
      </c>
      <c r="AA92" s="188">
        <f t="array" aca="1" ref="AA92" ca="1">IF(AND($R92=2,ACOMPANHAMENTO="BM"),ROUND(AA93,4),AA94/$S92)</f>
        <v>0</v>
      </c>
      <c r="AB92" s="188">
        <f t="array" aca="1" ref="AB92" ca="1">IF(AND($R92=2,ACOMPANHAMENTO="BM"),ROUND(AB93,4),AB94/$S92)</f>
        <v>0</v>
      </c>
      <c r="AC92" s="188">
        <f t="array" aca="1" ref="AC92" ca="1">IF(AND($R92=2,ACOMPANHAMENTO="BM"),ROUND(AC93,4),AC94/$S92)</f>
        <v>0</v>
      </c>
      <c r="AD92" s="188">
        <f t="array" aca="1" ref="AD92" ca="1">IF(AND($R92=2,ACOMPANHAMENTO="BM"),ROUND(AD93,4),AD94/$S92)</f>
        <v>0</v>
      </c>
      <c r="AE92" s="188">
        <f t="array" aca="1" ref="AE92" ca="1">IF(AND($R92=2,ACOMPANHAMENTO="BM"),ROUND(AE93,4),AE94/$S92)</f>
        <v>0</v>
      </c>
      <c r="AF92" s="188">
        <f t="array" aca="1" ref="AF92" ca="1">IF(AND($R92=2,ACOMPANHAMENTO="BM"),ROUND(AF93,4),AF94/$S92)</f>
        <v>0</v>
      </c>
      <c r="AG92" s="532"/>
    </row>
    <row r="93" spans="1:33" ht="12.75" customHeight="1" x14ac:dyDescent="0.2">
      <c r="E93" s="585"/>
      <c r="F93" s="185">
        <f ca="1">IF(ISERROR(F92),IF(1+COUNTIF($M$13:OFFSET(M92,-1,0),1)&lt;=MAX(QCI!$D$13:$D$24),1+COUNTIF($M$13:OFFSET(M92,-1,0),1),-1),0)</f>
        <v>0</v>
      </c>
      <c r="G93" s="185" t="str">
        <f t="array" aca="1" ref="G93" ca="1">IF(ACOMPANHAMENTO="BM",OFFSET(G93,-1,0),"")</f>
        <v/>
      </c>
      <c r="H93" s="196" t="str">
        <f t="array" aca="1" ref="H93" ca="1">IF(OR(S92=0,S92=""),"vazia",IF(AND(OR(ACOMPANHAMENTO="PLE",$R92&lt;&gt;2),$F93=0),"calculada","--&gt;"))</f>
        <v>calculada</v>
      </c>
      <c r="I93" s="197"/>
      <c r="J93" s="198" t="str">
        <f ca="1">IF(AND(H92&lt;&gt;0,ISNUMBER(H92)),"PREENCHA ESTA LINHA --&gt;","")</f>
        <v/>
      </c>
      <c r="K93" s="198"/>
      <c r="L93" s="198"/>
      <c r="M93" s="199"/>
      <c r="N93" s="199"/>
      <c r="O93" s="199"/>
      <c r="P93" s="199"/>
      <c r="Q93" s="199"/>
      <c r="R93" s="199"/>
      <c r="S93" s="200"/>
      <c r="T93" s="201"/>
      <c r="U93" s="585"/>
      <c r="V93" s="585"/>
      <c r="W93" s="585"/>
      <c r="X93" s="585"/>
      <c r="Y93" s="585"/>
      <c r="Z93" s="585"/>
      <c r="AA93" s="585"/>
      <c r="AB93" s="585"/>
      <c r="AC93" s="585"/>
      <c r="AD93" s="585"/>
      <c r="AE93" s="585"/>
      <c r="AF93" s="585"/>
      <c r="AG93" s="532"/>
    </row>
    <row r="94" spans="1:33" ht="12.75" customHeight="1" x14ac:dyDescent="0.2">
      <c r="D94" s="531"/>
      <c r="E94" s="202">
        <f t="array" aca="1" ref="E94" ca="1">IF($R92=2,
         IF(AND(ACOMPANHAMENTO="PLE",ISNUMBER($F92)),
                SUMIF((OFFSET(CÁLCULO!$BC$15:$BU$15,$F92,0,OFFSET(ORÇAMENTO!$D$15,CRONO!$F92,0))),CRONO!E$12,OFFSET(CÁLCULO!$AJ$15:$BB$15,$F92,0,OFFSET(ORÇAMENTO!$D$15,CRONO!$F92,0)))
                +IF(AND($F94&lt;&gt;"",$F94&lt;&gt;0),
                        SUMIF(CÁLCULO!$BC$15:$BU$235,CRONO!E$12,CÁLCULO!$AJ$15:$BB$235)/(ORÇAMENTO!$X$15-CÁLCULO.TotalAdmLocal)*CRONO!$F94,
                        0),
                 E93*$S92),
          SUMIF(OFFSET($S94,1,0,$R92-2),($M92+1)&amp;"$",OFFSET(E94,1,0,$R92-2)))</f>
        <v>0</v>
      </c>
      <c r="F94" s="185">
        <f ca="1">IF(OR($R92&lt;&gt;2,AUTOEVENTO&lt;&gt;"manual",$F93&gt;0),"",
        IF(Import.TipoArredondamento="Tradicional",
              SUMIF(OFFSET(CÁLCULO!$M$15,CRONO!$F92,0,OFFSET(ORÇAMENTO!$D$15,CRONO!$F92,0)),1,OFFSET(ORÇAMENTO!$X$15,CRONO!$F92,0,OFFSET(ORÇAMENTO!$D$15,CRONO!$F92,0))),
              0))</f>
        <v>0</v>
      </c>
      <c r="H94" s="693"/>
      <c r="S94" s="204" t="str">
        <f ca="1">M92&amp;"$"</f>
        <v>2$</v>
      </c>
      <c r="T94" s="205"/>
      <c r="U94" s="202">
        <f t="array" aca="1" ref="U94" ca="1">IF($R92=2,
         IF(AND(ACOMPANHAMENTO="PLE",ISNUMBER($F92)),
                SUMIF((OFFSET(CÁLCULO!$BC$15:$BU$15,$F92,0,OFFSET(ORÇAMENTO!$D$15,CRONO!$F92,0))),CRONO!U$12,OFFSET(CÁLCULO!$AJ$15:$BB$15,$F92,0,OFFSET(ORÇAMENTO!$D$15,CRONO!$F92,0)))
                +IF(AND($F94&lt;&gt;"",$F94&lt;&gt;0),
                        SUMIF(CÁLCULO!$BC$15:$BU$235,CRONO!U$12,CÁLCULO!$AJ$15:$BB$235)/(ORÇAMENTO!$X$15-CÁLCULO.TotalAdmLocal)*CRONO!$F94,
                        0),
                 U93*$S92),
          SUMIF(OFFSET($S94,1,0,$R92-2),($M92+1)&amp;"$",OFFSET(U94,1,0,$R92-2)))</f>
        <v>0</v>
      </c>
      <c r="V94" s="202">
        <f t="array" aca="1" ref="V94" ca="1">IF($R92=2,
         IF(AND(ACOMPANHAMENTO="PLE",ISNUMBER($F92)),
                SUMIF((OFFSET(CÁLCULO!$BC$15:$BU$15,$F92,0,OFFSET(ORÇAMENTO!$D$15,CRONO!$F92,0))),CRONO!V$12,OFFSET(CÁLCULO!$AJ$15:$BB$15,$F92,0,OFFSET(ORÇAMENTO!$D$15,CRONO!$F92,0)))
                +IF(AND($F94&lt;&gt;"",$F94&lt;&gt;0),
                        SUMIF(CÁLCULO!$BC$15:$BU$235,CRONO!V$12,CÁLCULO!$AJ$15:$BB$235)/(ORÇAMENTO!$X$15-CÁLCULO.TotalAdmLocal)*CRONO!$F94,
                        0),
                 V93*$S92),
          SUMIF(OFFSET($S94,1,0,$R92-2),($M92+1)&amp;"$",OFFSET(V94,1,0,$R92-2)))</f>
        <v>0</v>
      </c>
      <c r="W94" s="202">
        <f t="array" aca="1" ref="W94" ca="1">IF($R92=2,
         IF(AND(ACOMPANHAMENTO="PLE",ISNUMBER($F92)),
                SUMIF((OFFSET(CÁLCULO!$BC$15:$BU$15,$F92,0,OFFSET(ORÇAMENTO!$D$15,CRONO!$F92,0))),CRONO!W$12,OFFSET(CÁLCULO!$AJ$15:$BB$15,$F92,0,OFFSET(ORÇAMENTO!$D$15,CRONO!$F92,0)))
                +IF(AND($F94&lt;&gt;"",$F94&lt;&gt;0),
                        SUMIF(CÁLCULO!$BC$15:$BU$235,CRONO!W$12,CÁLCULO!$AJ$15:$BB$235)/(ORÇAMENTO!$X$15-CÁLCULO.TotalAdmLocal)*CRONO!$F94,
                        0),
                 W93*$S92),
          SUMIF(OFFSET($S94,1,0,$R92-2),($M92+1)&amp;"$",OFFSET(W94,1,0,$R92-2)))</f>
        <v>0</v>
      </c>
      <c r="X94" s="202">
        <f t="array" aca="1" ref="X94" ca="1">IF($R92=2,
         IF(AND(ACOMPANHAMENTO="PLE",ISNUMBER($F92)),
                SUMIF((OFFSET(CÁLCULO!$BC$15:$BU$15,$F92,0,OFFSET(ORÇAMENTO!$D$15,CRONO!$F92,0))),CRONO!X$12,OFFSET(CÁLCULO!$AJ$15:$BB$15,$F92,0,OFFSET(ORÇAMENTO!$D$15,CRONO!$F92,0)))
                +IF(AND($F94&lt;&gt;"",$F94&lt;&gt;0),
                        SUMIF(CÁLCULO!$BC$15:$BU$235,CRONO!X$12,CÁLCULO!$AJ$15:$BB$235)/(ORÇAMENTO!$X$15-CÁLCULO.TotalAdmLocal)*CRONO!$F94,
                        0),
                 X93*$S92),
          SUMIF(OFFSET($S94,1,0,$R92-2),($M92+1)&amp;"$",OFFSET(X94,1,0,$R92-2)))</f>
        <v>0</v>
      </c>
      <c r="Y94" s="202">
        <f t="array" aca="1" ref="Y94" ca="1">IF($R92=2,
         IF(AND(ACOMPANHAMENTO="PLE",ISNUMBER($F92)),
                SUMIF((OFFSET(CÁLCULO!$BC$15:$BU$15,$F92,0,OFFSET(ORÇAMENTO!$D$15,CRONO!$F92,0))),CRONO!Y$12,OFFSET(CÁLCULO!$AJ$15:$BB$15,$F92,0,OFFSET(ORÇAMENTO!$D$15,CRONO!$F92,0)))
                +IF(AND($F94&lt;&gt;"",$F94&lt;&gt;0),
                        SUMIF(CÁLCULO!$BC$15:$BU$235,CRONO!Y$12,CÁLCULO!$AJ$15:$BB$235)/(ORÇAMENTO!$X$15-CÁLCULO.TotalAdmLocal)*CRONO!$F94,
                        0),
                 Y93*$S92),
          SUMIF(OFFSET($S94,1,0,$R92-2),($M92+1)&amp;"$",OFFSET(Y94,1,0,$R92-2)))</f>
        <v>6608.34</v>
      </c>
      <c r="Z94" s="202">
        <f t="array" aca="1" ref="Z94" ca="1">IF($R92=2,
         IF(AND(ACOMPANHAMENTO="PLE",ISNUMBER($F92)),
                SUMIF((OFFSET(CÁLCULO!$BC$15:$BU$15,$F92,0,OFFSET(ORÇAMENTO!$D$15,CRONO!$F92,0))),CRONO!Z$12,OFFSET(CÁLCULO!$AJ$15:$BB$15,$F92,0,OFFSET(ORÇAMENTO!$D$15,CRONO!$F92,0)))
                +IF(AND($F94&lt;&gt;"",$F94&lt;&gt;0),
                        SUMIF(CÁLCULO!$BC$15:$BU$235,CRONO!Z$12,CÁLCULO!$AJ$15:$BB$235)/(ORÇAMENTO!$X$15-CÁLCULO.TotalAdmLocal)*CRONO!$F94,
                        0),
                 Z93*$S92),
          SUMIF(OFFSET($S94,1,0,$R92-2),($M92+1)&amp;"$",OFFSET(Z94,1,0,$R92-2)))</f>
        <v>6608.34</v>
      </c>
      <c r="AA94" s="202">
        <f t="array" aca="1" ref="AA94" ca="1">IF($R92=2,
         IF(AND(ACOMPANHAMENTO="PLE",ISNUMBER($F92)),
                SUMIF((OFFSET(CÁLCULO!$BC$15:$BU$15,$F92,0,OFFSET(ORÇAMENTO!$D$15,CRONO!$F92,0))),CRONO!AA$12,OFFSET(CÁLCULO!$AJ$15:$BB$15,$F92,0,OFFSET(ORÇAMENTO!$D$15,CRONO!$F92,0)))
                +IF(AND($F94&lt;&gt;"",$F94&lt;&gt;0),
                        SUMIF(CÁLCULO!$BC$15:$BU$235,CRONO!AA$12,CÁLCULO!$AJ$15:$BB$235)/(ORÇAMENTO!$X$15-CÁLCULO.TotalAdmLocal)*CRONO!$F94,
                        0),
                 AA93*$S92),
          SUMIF(OFFSET($S94,1,0,$R92-2),($M92+1)&amp;"$",OFFSET(AA94,1,0,$R92-2)))</f>
        <v>0</v>
      </c>
      <c r="AB94" s="202">
        <f t="array" aca="1" ref="AB94" ca="1">IF($R92=2,
         IF(AND(ACOMPANHAMENTO="PLE",ISNUMBER($F92)),
                SUMIF((OFFSET(CÁLCULO!$BC$15:$BU$15,$F92,0,OFFSET(ORÇAMENTO!$D$15,CRONO!$F92,0))),CRONO!AB$12,OFFSET(CÁLCULO!$AJ$15:$BB$15,$F92,0,OFFSET(ORÇAMENTO!$D$15,CRONO!$F92,0)))
                +IF(AND($F94&lt;&gt;"",$F94&lt;&gt;0),
                        SUMIF(CÁLCULO!$BC$15:$BU$235,CRONO!AB$12,CÁLCULO!$AJ$15:$BB$235)/(ORÇAMENTO!$X$15-CÁLCULO.TotalAdmLocal)*CRONO!$F94,
                        0),
                 AB93*$S92),
          SUMIF(OFFSET($S94,1,0,$R92-2),($M92+1)&amp;"$",OFFSET(AB94,1,0,$R92-2)))</f>
        <v>0</v>
      </c>
      <c r="AC94" s="202">
        <f t="array" aca="1" ref="AC94" ca="1">IF($R92=2,
         IF(AND(ACOMPANHAMENTO="PLE",ISNUMBER($F92)),
                SUMIF((OFFSET(CÁLCULO!$BC$15:$BU$15,$F92,0,OFFSET(ORÇAMENTO!$D$15,CRONO!$F92,0))),CRONO!AC$12,OFFSET(CÁLCULO!$AJ$15:$BB$15,$F92,0,OFFSET(ORÇAMENTO!$D$15,CRONO!$F92,0)))
                +IF(AND($F94&lt;&gt;"",$F94&lt;&gt;0),
                        SUMIF(CÁLCULO!$BC$15:$BU$235,CRONO!AC$12,CÁLCULO!$AJ$15:$BB$235)/(ORÇAMENTO!$X$15-CÁLCULO.TotalAdmLocal)*CRONO!$F94,
                        0),
                 AC93*$S92),
          SUMIF(OFFSET($S94,1,0,$R92-2),($M92+1)&amp;"$",OFFSET(AC94,1,0,$R92-2)))</f>
        <v>0</v>
      </c>
      <c r="AD94" s="202">
        <f t="array" aca="1" ref="AD94" ca="1">IF($R92=2,
         IF(AND(ACOMPANHAMENTO="PLE",ISNUMBER($F92)),
                SUMIF((OFFSET(CÁLCULO!$BC$15:$BU$15,$F92,0,OFFSET(ORÇAMENTO!$D$15,CRONO!$F92,0))),CRONO!AD$12,OFFSET(CÁLCULO!$AJ$15:$BB$15,$F92,0,OFFSET(ORÇAMENTO!$D$15,CRONO!$F92,0)))
                +IF(AND($F94&lt;&gt;"",$F94&lt;&gt;0),
                        SUMIF(CÁLCULO!$BC$15:$BU$235,CRONO!AD$12,CÁLCULO!$AJ$15:$BB$235)/(ORÇAMENTO!$X$15-CÁLCULO.TotalAdmLocal)*CRONO!$F94,
                        0),
                 AD93*$S92),
          SUMIF(OFFSET($S94,1,0,$R92-2),($M92+1)&amp;"$",OFFSET(AD94,1,0,$R92-2)))</f>
        <v>0</v>
      </c>
      <c r="AE94" s="202">
        <f t="array" aca="1" ref="AE94" ca="1">IF($R92=2,
         IF(AND(ACOMPANHAMENTO="PLE",ISNUMBER($F92)),
                SUMIF((OFFSET(CÁLCULO!$BC$15:$BU$15,$F92,0,OFFSET(ORÇAMENTO!$D$15,CRONO!$F92,0))),CRONO!AE$12,OFFSET(CÁLCULO!$AJ$15:$BB$15,$F92,0,OFFSET(ORÇAMENTO!$D$15,CRONO!$F92,0)))
                +IF(AND($F94&lt;&gt;"",$F94&lt;&gt;0),
                        SUMIF(CÁLCULO!$BC$15:$BU$235,CRONO!AE$12,CÁLCULO!$AJ$15:$BB$235)/(ORÇAMENTO!$X$15-CÁLCULO.TotalAdmLocal)*CRONO!$F94,
                        0),
                 AE93*$S92),
          SUMIF(OFFSET($S94,1,0,$R92-2),($M92+1)&amp;"$",OFFSET(AE94,1,0,$R92-2)))</f>
        <v>0</v>
      </c>
      <c r="AF94" s="202">
        <f t="array" aca="1" ref="AF94" ca="1">IF($R92=2,
         IF(AND(ACOMPANHAMENTO="PLE",ISNUMBER($F92)),
                SUMIF((OFFSET(CÁLCULO!$BC$15:$BU$15,$F92,0,OFFSET(ORÇAMENTO!$D$15,CRONO!$F92,0))),CRONO!AF$12,OFFSET(CÁLCULO!$AJ$15:$BB$15,$F92,0,OFFSET(ORÇAMENTO!$D$15,CRONO!$F92,0)))
                +IF(AND($F94&lt;&gt;"",$F94&lt;&gt;0),
                        SUMIF(CÁLCULO!$BC$15:$BU$235,CRONO!AF$12,CÁLCULO!$AJ$15:$BB$235)/(ORÇAMENTO!$X$15-CÁLCULO.TotalAdmLocal)*CRONO!$F94,
                        0),
                 AF93*$S92),
          SUMIF(OFFSET($S94,1,0,$R92-2),($M92+1)&amp;"$",OFFSET(AF94,1,0,$R92-2)))</f>
        <v>0</v>
      </c>
      <c r="AG94" s="532"/>
    </row>
    <row r="95" spans="1:33" x14ac:dyDescent="0.2">
      <c r="A95" s="186" t="str">
        <f ca="1">IF($M95&gt;1,_xlfn.CONCAT($I95," ",$J95),"")</f>
        <v>1.27. REGISTROS</v>
      </c>
      <c r="B95" s="185">
        <f ca="1">OFFSET(B95,-3,0)+1</f>
        <v>28</v>
      </c>
      <c r="C95" s="185">
        <f ca="1">IF($R95&lt;&gt;2,0,IF($S95=0,1,IF(F96&gt;0,OFFSET(QCI!$M$13,SUBSTITUTE(F96,".",""),0),OFFSET(ORÇAMENTO!$AA$15,CRONO!$F95,0))/$S95))</f>
        <v>0</v>
      </c>
      <c r="D95" s="185">
        <f ca="1">IF($R95&lt;&gt;2,0,IF($S95=0,1,IF(F96&gt;0,OFFSET(QCI!$N$13,SUBSTITUTE(F96,".",""),0),OFFSET(ORÇAMENTO!$AB$15,CRONO!$F95,0))/$S95))</f>
        <v>0</v>
      </c>
      <c r="E95" s="188">
        <f t="array" aca="1" ref="E95" ca="1">IF(AND($R95=2,ACOMPANHAMENTO="BM"),ROUND(E96,4),E97/$S95)</f>
        <v>0</v>
      </c>
      <c r="F95" s="185">
        <f t="array" aca="1" ref="F95" ca="1">IF(B95&lt;=ORÇAMENTO.MáximoListaCrono,MATCH(B95,ORÇAMENTO.ListaCrono,0),NA())</f>
        <v>154</v>
      </c>
      <c r="G95" s="185" t="str">
        <f ca="1">IF(AND($F96&lt;&gt;-1,$S95&gt;0),"F","")</f>
        <v>F</v>
      </c>
      <c r="H95" s="189" t="str">
        <f t="array" aca="1" ref="H95" ca="1">IF(OR(S95=0,S95=""),"Linha",IF(AND(OR(ACOMPANHAMENTO="PLE",$R95&lt;&gt;2),$F96=0),"Linha",ROUND(1-SUM(U95:AG95),4)))</f>
        <v>Linha</v>
      </c>
      <c r="I95" s="190" t="str">
        <f ca="1">IF($F96=0,OFFSET(ORÇAMENTO!O$15,$F95,0),IF($F96&lt;&gt;-1,OFFSET(QCI!$D$13,$F96,0),""))</f>
        <v>1.27.</v>
      </c>
      <c r="J95" s="191" t="str">
        <f ca="1">IF($F96=0,OFFSET(ORÇAMENTO!R$15,$F95,0),IF($F96&lt;&gt;-1,OFFSET(QCI!$G$13,$F96,0),""))</f>
        <v>REGISTROS</v>
      </c>
      <c r="K95" s="191"/>
      <c r="L95" s="191"/>
      <c r="M95" s="192">
        <f ca="1">IF($F96=0,OFFSET(ORÇAMENTO!C$15,$F95,0),1)</f>
        <v>2</v>
      </c>
      <c r="N95" s="193">
        <f ca="1">IF($F96=-1,0,IF(N$13&lt;=$M95,IF(ISERROR(MATCH(N$13,OFFSET($M95,1,0,ROW($M$119)-ROW($M95)-1),0)),ROW($M$119)-ROW($M95)-1,MATCH(N$13,OFFSET($M95,1,0,ROW($M$119)-ROW($M95)-1),0)-1),0))</f>
        <v>23</v>
      </c>
      <c r="O95" s="193">
        <f ca="1">IF($F96=-1,0,IF(O$13&lt;=$M95,IF(ISERROR(MATCH(O$13,OFFSET($M95,1,0,ROW($M$119)-ROW($M95)-1),0)),ROW($M$119)-ROW($M95)-1,MATCH(O$13,OFFSET($M95,1,0,ROW($M$119)-ROW($M95)-1),0)-1),0))</f>
        <v>2</v>
      </c>
      <c r="P95" s="193">
        <f ca="1">IF($F96=-1,0,IF(P$13&lt;=$M95,IF(ISERROR(MATCH(P$13,OFFSET($M95,1,0,ROW($M$119)-ROW($M95)-1),0)),ROW($M$119)-ROW($M95)-1,MATCH(P$13,OFFSET($M95,1,0,ROW($M$119)-ROW($M95)-1),0)-1),0))</f>
        <v>0</v>
      </c>
      <c r="Q95" s="193">
        <f ca="1">IF($F96=-1,0,IF(Q$13&lt;=$M95,IF(ISERROR(MATCH(Q$13,OFFSET($M95,1,0,ROW($M$119)-ROW($M95)-1),0)),ROW($M$119)-ROW($M95)-1,MATCH(Q$13,OFFSET($M95,1,0,ROW($M$119)-ROW($M95)-1),0)-1),0))</f>
        <v>0</v>
      </c>
      <c r="R95" s="193">
        <f ca="1">MIN(OFFSET(M95,0,1,,M95))</f>
        <v>2</v>
      </c>
      <c r="S95" s="194">
        <f ca="1">IF($F96=0,OFFSET(ORÇAMENTO!X$15,$F95,0),IF($F96&lt;&gt;-1,OFFSET(QCI!$O$13,$F96,0),""))</f>
        <v>16039.8</v>
      </c>
      <c r="T95" s="195" t="s">
        <v>785</v>
      </c>
      <c r="U95" s="188">
        <f t="array" aca="1" ref="U95" ca="1">IF(AND($R95=2,ACOMPANHAMENTO="BM"),ROUND(U96,4),U97/$S95)</f>
        <v>0</v>
      </c>
      <c r="V95" s="188">
        <f t="array" aca="1" ref="V95" ca="1">IF(AND($R95=2,ACOMPANHAMENTO="BM"),ROUND(V96,4),V97/$S95)</f>
        <v>0</v>
      </c>
      <c r="W95" s="188">
        <f t="array" aca="1" ref="W95" ca="1">IF(AND($R95=2,ACOMPANHAMENTO="BM"),ROUND(W96,4),W97/$S95)</f>
        <v>0</v>
      </c>
      <c r="X95" s="188">
        <f t="array" aca="1" ref="X95" ca="1">IF(AND($R95=2,ACOMPANHAMENTO="BM"),ROUND(X96,4),X97/$S95)</f>
        <v>0</v>
      </c>
      <c r="Y95" s="188">
        <f t="array" aca="1" ref="Y95" ca="1">IF(AND($R95=2,ACOMPANHAMENTO="BM"),ROUND(Y96,4),Y97/$S95)</f>
        <v>0.49999999999999994</v>
      </c>
      <c r="Z95" s="188">
        <f t="array" aca="1" ref="Z95" ca="1">IF(AND($R95=2,ACOMPANHAMENTO="BM"),ROUND(Z96,4),Z97/$S95)</f>
        <v>0.49999999999999994</v>
      </c>
      <c r="AA95" s="188">
        <f t="array" aca="1" ref="AA95" ca="1">IF(AND($R95=2,ACOMPANHAMENTO="BM"),ROUND(AA96,4),AA97/$S95)</f>
        <v>0</v>
      </c>
      <c r="AB95" s="188">
        <f t="array" aca="1" ref="AB95" ca="1">IF(AND($R95=2,ACOMPANHAMENTO="BM"),ROUND(AB96,4),AB97/$S95)</f>
        <v>0</v>
      </c>
      <c r="AC95" s="188">
        <f t="array" aca="1" ref="AC95" ca="1">IF(AND($R95=2,ACOMPANHAMENTO="BM"),ROUND(AC96,4),AC97/$S95)</f>
        <v>0</v>
      </c>
      <c r="AD95" s="188">
        <f t="array" aca="1" ref="AD95" ca="1">IF(AND($R95=2,ACOMPANHAMENTO="BM"),ROUND(AD96,4),AD97/$S95)</f>
        <v>0</v>
      </c>
      <c r="AE95" s="188">
        <f t="array" aca="1" ref="AE95" ca="1">IF(AND($R95=2,ACOMPANHAMENTO="BM"),ROUND(AE96,4),AE97/$S95)</f>
        <v>0</v>
      </c>
      <c r="AF95" s="188">
        <f t="array" aca="1" ref="AF95" ca="1">IF(AND($R95=2,ACOMPANHAMENTO="BM"),ROUND(AF96,4),AF97/$S95)</f>
        <v>0</v>
      </c>
      <c r="AG95" s="532"/>
    </row>
    <row r="96" spans="1:33" ht="12.75" customHeight="1" x14ac:dyDescent="0.2">
      <c r="E96" s="585"/>
      <c r="F96" s="185">
        <f ca="1">IF(ISERROR(F95),IF(1+COUNTIF($M$13:OFFSET(M95,-1,0),1)&lt;=MAX(QCI!$D$13:$D$24),1+COUNTIF($M$13:OFFSET(M95,-1,0),1),-1),0)</f>
        <v>0</v>
      </c>
      <c r="G96" s="185" t="str">
        <f t="array" aca="1" ref="G96" ca="1">IF(ACOMPANHAMENTO="BM",OFFSET(G96,-1,0),"")</f>
        <v/>
      </c>
      <c r="H96" s="196" t="str">
        <f t="array" aca="1" ref="H96" ca="1">IF(OR(S95=0,S95=""),"vazia",IF(AND(OR(ACOMPANHAMENTO="PLE",$R95&lt;&gt;2),$F96=0),"calculada","--&gt;"))</f>
        <v>calculada</v>
      </c>
      <c r="I96" s="197"/>
      <c r="J96" s="198" t="str">
        <f ca="1">IF(AND(H95&lt;&gt;0,ISNUMBER(H95)),"PREENCHA ESTA LINHA --&gt;","")</f>
        <v/>
      </c>
      <c r="K96" s="198"/>
      <c r="L96" s="198"/>
      <c r="M96" s="199"/>
      <c r="N96" s="199"/>
      <c r="O96" s="199"/>
      <c r="P96" s="199"/>
      <c r="Q96" s="199"/>
      <c r="R96" s="199"/>
      <c r="S96" s="200"/>
      <c r="T96" s="201"/>
      <c r="U96" s="585"/>
      <c r="V96" s="585"/>
      <c r="W96" s="585"/>
      <c r="X96" s="585"/>
      <c r="Y96" s="585"/>
      <c r="Z96" s="585"/>
      <c r="AA96" s="585"/>
      <c r="AB96" s="585"/>
      <c r="AC96" s="585"/>
      <c r="AD96" s="585"/>
      <c r="AE96" s="585"/>
      <c r="AF96" s="585"/>
      <c r="AG96" s="532"/>
    </row>
    <row r="97" spans="1:33" ht="12.75" customHeight="1" x14ac:dyDescent="0.2">
      <c r="D97" s="531"/>
      <c r="E97" s="202">
        <f t="array" aca="1" ref="E97" ca="1">IF($R95=2,
         IF(AND(ACOMPANHAMENTO="PLE",ISNUMBER($F95)),
                SUMIF((OFFSET(CÁLCULO!$BC$15:$BU$15,$F95,0,OFFSET(ORÇAMENTO!$D$15,CRONO!$F95,0))),CRONO!E$12,OFFSET(CÁLCULO!$AJ$15:$BB$15,$F95,0,OFFSET(ORÇAMENTO!$D$15,CRONO!$F95,0)))
                +IF(AND($F97&lt;&gt;"",$F97&lt;&gt;0),
                        SUMIF(CÁLCULO!$BC$15:$BU$235,CRONO!E$12,CÁLCULO!$AJ$15:$BB$235)/(ORÇAMENTO!$X$15-CÁLCULO.TotalAdmLocal)*CRONO!$F97,
                        0),
                 E96*$S95),
          SUMIF(OFFSET($S97,1,0,$R95-2),($M95+1)&amp;"$",OFFSET(E97,1,0,$R95-2)))</f>
        <v>0</v>
      </c>
      <c r="F97" s="185">
        <f ca="1">IF(OR($R95&lt;&gt;2,AUTOEVENTO&lt;&gt;"manual",$F96&gt;0),"",
        IF(Import.TipoArredondamento="Tradicional",
              SUMIF(OFFSET(CÁLCULO!$M$15,CRONO!$F95,0,OFFSET(ORÇAMENTO!$D$15,CRONO!$F95,0)),1,OFFSET(ORÇAMENTO!$X$15,CRONO!$F95,0,OFFSET(ORÇAMENTO!$D$15,CRONO!$F95,0))),
              0))</f>
        <v>0</v>
      </c>
      <c r="H97" s="693"/>
      <c r="S97" s="204" t="str">
        <f ca="1">M95&amp;"$"</f>
        <v>2$</v>
      </c>
      <c r="T97" s="205"/>
      <c r="U97" s="202">
        <f t="array" aca="1" ref="U97" ca="1">IF($R95=2,
         IF(AND(ACOMPANHAMENTO="PLE",ISNUMBER($F95)),
                SUMIF((OFFSET(CÁLCULO!$BC$15:$BU$15,$F95,0,OFFSET(ORÇAMENTO!$D$15,CRONO!$F95,0))),CRONO!U$12,OFFSET(CÁLCULO!$AJ$15:$BB$15,$F95,0,OFFSET(ORÇAMENTO!$D$15,CRONO!$F95,0)))
                +IF(AND($F97&lt;&gt;"",$F97&lt;&gt;0),
                        SUMIF(CÁLCULO!$BC$15:$BU$235,CRONO!U$12,CÁLCULO!$AJ$15:$BB$235)/(ORÇAMENTO!$X$15-CÁLCULO.TotalAdmLocal)*CRONO!$F97,
                        0),
                 U96*$S95),
          SUMIF(OFFSET($S97,1,0,$R95-2),($M95+1)&amp;"$",OFFSET(U97,1,0,$R95-2)))</f>
        <v>0</v>
      </c>
      <c r="V97" s="202">
        <f t="array" aca="1" ref="V97" ca="1">IF($R95=2,
         IF(AND(ACOMPANHAMENTO="PLE",ISNUMBER($F95)),
                SUMIF((OFFSET(CÁLCULO!$BC$15:$BU$15,$F95,0,OFFSET(ORÇAMENTO!$D$15,CRONO!$F95,0))),CRONO!V$12,OFFSET(CÁLCULO!$AJ$15:$BB$15,$F95,0,OFFSET(ORÇAMENTO!$D$15,CRONO!$F95,0)))
                +IF(AND($F97&lt;&gt;"",$F97&lt;&gt;0),
                        SUMIF(CÁLCULO!$BC$15:$BU$235,CRONO!V$12,CÁLCULO!$AJ$15:$BB$235)/(ORÇAMENTO!$X$15-CÁLCULO.TotalAdmLocal)*CRONO!$F97,
                        0),
                 V96*$S95),
          SUMIF(OFFSET($S97,1,0,$R95-2),($M95+1)&amp;"$",OFFSET(V97,1,0,$R95-2)))</f>
        <v>0</v>
      </c>
      <c r="W97" s="202">
        <f t="array" aca="1" ref="W97" ca="1">IF($R95=2,
         IF(AND(ACOMPANHAMENTO="PLE",ISNUMBER($F95)),
                SUMIF((OFFSET(CÁLCULO!$BC$15:$BU$15,$F95,0,OFFSET(ORÇAMENTO!$D$15,CRONO!$F95,0))),CRONO!W$12,OFFSET(CÁLCULO!$AJ$15:$BB$15,$F95,0,OFFSET(ORÇAMENTO!$D$15,CRONO!$F95,0)))
                +IF(AND($F97&lt;&gt;"",$F97&lt;&gt;0),
                        SUMIF(CÁLCULO!$BC$15:$BU$235,CRONO!W$12,CÁLCULO!$AJ$15:$BB$235)/(ORÇAMENTO!$X$15-CÁLCULO.TotalAdmLocal)*CRONO!$F97,
                        0),
                 W96*$S95),
          SUMIF(OFFSET($S97,1,0,$R95-2),($M95+1)&amp;"$",OFFSET(W97,1,0,$R95-2)))</f>
        <v>0</v>
      </c>
      <c r="X97" s="202">
        <f t="array" aca="1" ref="X97" ca="1">IF($R95=2,
         IF(AND(ACOMPANHAMENTO="PLE",ISNUMBER($F95)),
                SUMIF((OFFSET(CÁLCULO!$BC$15:$BU$15,$F95,0,OFFSET(ORÇAMENTO!$D$15,CRONO!$F95,0))),CRONO!X$12,OFFSET(CÁLCULO!$AJ$15:$BB$15,$F95,0,OFFSET(ORÇAMENTO!$D$15,CRONO!$F95,0)))
                +IF(AND($F97&lt;&gt;"",$F97&lt;&gt;0),
                        SUMIF(CÁLCULO!$BC$15:$BU$235,CRONO!X$12,CÁLCULO!$AJ$15:$BB$235)/(ORÇAMENTO!$X$15-CÁLCULO.TotalAdmLocal)*CRONO!$F97,
                        0),
                 X96*$S95),
          SUMIF(OFFSET($S97,1,0,$R95-2),($M95+1)&amp;"$",OFFSET(X97,1,0,$R95-2)))</f>
        <v>0</v>
      </c>
      <c r="Y97" s="202">
        <f t="array" aca="1" ref="Y97" ca="1">IF($R95=2,
         IF(AND(ACOMPANHAMENTO="PLE",ISNUMBER($F95)),
                SUMIF((OFFSET(CÁLCULO!$BC$15:$BU$15,$F95,0,OFFSET(ORÇAMENTO!$D$15,CRONO!$F95,0))),CRONO!Y$12,OFFSET(CÁLCULO!$AJ$15:$BB$15,$F95,0,OFFSET(ORÇAMENTO!$D$15,CRONO!$F95,0)))
                +IF(AND($F97&lt;&gt;"",$F97&lt;&gt;0),
                        SUMIF(CÁLCULO!$BC$15:$BU$235,CRONO!Y$12,CÁLCULO!$AJ$15:$BB$235)/(ORÇAMENTO!$X$15-CÁLCULO.TotalAdmLocal)*CRONO!$F97,
                        0),
                 Y96*$S95),
          SUMIF(OFFSET($S97,1,0,$R95-2),($M95+1)&amp;"$",OFFSET(Y97,1,0,$R95-2)))</f>
        <v>8019.8999999999987</v>
      </c>
      <c r="Z97" s="202">
        <f t="array" aca="1" ref="Z97" ca="1">IF($R95=2,
         IF(AND(ACOMPANHAMENTO="PLE",ISNUMBER($F95)),
                SUMIF((OFFSET(CÁLCULO!$BC$15:$BU$15,$F95,0,OFFSET(ORÇAMENTO!$D$15,CRONO!$F95,0))),CRONO!Z$12,OFFSET(CÁLCULO!$AJ$15:$BB$15,$F95,0,OFFSET(ORÇAMENTO!$D$15,CRONO!$F95,0)))
                +IF(AND($F97&lt;&gt;"",$F97&lt;&gt;0),
                        SUMIF(CÁLCULO!$BC$15:$BU$235,CRONO!Z$12,CÁLCULO!$AJ$15:$BB$235)/(ORÇAMENTO!$X$15-CÁLCULO.TotalAdmLocal)*CRONO!$F97,
                        0),
                 Z96*$S95),
          SUMIF(OFFSET($S97,1,0,$R95-2),($M95+1)&amp;"$",OFFSET(Z97,1,0,$R95-2)))</f>
        <v>8019.8999999999987</v>
      </c>
      <c r="AA97" s="202">
        <f t="array" aca="1" ref="AA97" ca="1">IF($R95=2,
         IF(AND(ACOMPANHAMENTO="PLE",ISNUMBER($F95)),
                SUMIF((OFFSET(CÁLCULO!$BC$15:$BU$15,$F95,0,OFFSET(ORÇAMENTO!$D$15,CRONO!$F95,0))),CRONO!AA$12,OFFSET(CÁLCULO!$AJ$15:$BB$15,$F95,0,OFFSET(ORÇAMENTO!$D$15,CRONO!$F95,0)))
                +IF(AND($F97&lt;&gt;"",$F97&lt;&gt;0),
                        SUMIF(CÁLCULO!$BC$15:$BU$235,CRONO!AA$12,CÁLCULO!$AJ$15:$BB$235)/(ORÇAMENTO!$X$15-CÁLCULO.TotalAdmLocal)*CRONO!$F97,
                        0),
                 AA96*$S95),
          SUMIF(OFFSET($S97,1,0,$R95-2),($M95+1)&amp;"$",OFFSET(AA97,1,0,$R95-2)))</f>
        <v>0</v>
      </c>
      <c r="AB97" s="202">
        <f t="array" aca="1" ref="AB97" ca="1">IF($R95=2,
         IF(AND(ACOMPANHAMENTO="PLE",ISNUMBER($F95)),
                SUMIF((OFFSET(CÁLCULO!$BC$15:$BU$15,$F95,0,OFFSET(ORÇAMENTO!$D$15,CRONO!$F95,0))),CRONO!AB$12,OFFSET(CÁLCULO!$AJ$15:$BB$15,$F95,0,OFFSET(ORÇAMENTO!$D$15,CRONO!$F95,0)))
                +IF(AND($F97&lt;&gt;"",$F97&lt;&gt;0),
                        SUMIF(CÁLCULO!$BC$15:$BU$235,CRONO!AB$12,CÁLCULO!$AJ$15:$BB$235)/(ORÇAMENTO!$X$15-CÁLCULO.TotalAdmLocal)*CRONO!$F97,
                        0),
                 AB96*$S95),
          SUMIF(OFFSET($S97,1,0,$R95-2),($M95+1)&amp;"$",OFFSET(AB97,1,0,$R95-2)))</f>
        <v>0</v>
      </c>
      <c r="AC97" s="202">
        <f t="array" aca="1" ref="AC97" ca="1">IF($R95=2,
         IF(AND(ACOMPANHAMENTO="PLE",ISNUMBER($F95)),
                SUMIF((OFFSET(CÁLCULO!$BC$15:$BU$15,$F95,0,OFFSET(ORÇAMENTO!$D$15,CRONO!$F95,0))),CRONO!AC$12,OFFSET(CÁLCULO!$AJ$15:$BB$15,$F95,0,OFFSET(ORÇAMENTO!$D$15,CRONO!$F95,0)))
                +IF(AND($F97&lt;&gt;"",$F97&lt;&gt;0),
                        SUMIF(CÁLCULO!$BC$15:$BU$235,CRONO!AC$12,CÁLCULO!$AJ$15:$BB$235)/(ORÇAMENTO!$X$15-CÁLCULO.TotalAdmLocal)*CRONO!$F97,
                        0),
                 AC96*$S95),
          SUMIF(OFFSET($S97,1,0,$R95-2),($M95+1)&amp;"$",OFFSET(AC97,1,0,$R95-2)))</f>
        <v>0</v>
      </c>
      <c r="AD97" s="202">
        <f t="array" aca="1" ref="AD97" ca="1">IF($R95=2,
         IF(AND(ACOMPANHAMENTO="PLE",ISNUMBER($F95)),
                SUMIF((OFFSET(CÁLCULO!$BC$15:$BU$15,$F95,0,OFFSET(ORÇAMENTO!$D$15,CRONO!$F95,0))),CRONO!AD$12,OFFSET(CÁLCULO!$AJ$15:$BB$15,$F95,0,OFFSET(ORÇAMENTO!$D$15,CRONO!$F95,0)))
                +IF(AND($F97&lt;&gt;"",$F97&lt;&gt;0),
                        SUMIF(CÁLCULO!$BC$15:$BU$235,CRONO!AD$12,CÁLCULO!$AJ$15:$BB$235)/(ORÇAMENTO!$X$15-CÁLCULO.TotalAdmLocal)*CRONO!$F97,
                        0),
                 AD96*$S95),
          SUMIF(OFFSET($S97,1,0,$R95-2),($M95+1)&amp;"$",OFFSET(AD97,1,0,$R95-2)))</f>
        <v>0</v>
      </c>
      <c r="AE97" s="202">
        <f t="array" aca="1" ref="AE97" ca="1">IF($R95=2,
         IF(AND(ACOMPANHAMENTO="PLE",ISNUMBER($F95)),
                SUMIF((OFFSET(CÁLCULO!$BC$15:$BU$15,$F95,0,OFFSET(ORÇAMENTO!$D$15,CRONO!$F95,0))),CRONO!AE$12,OFFSET(CÁLCULO!$AJ$15:$BB$15,$F95,0,OFFSET(ORÇAMENTO!$D$15,CRONO!$F95,0)))
                +IF(AND($F97&lt;&gt;"",$F97&lt;&gt;0),
                        SUMIF(CÁLCULO!$BC$15:$BU$235,CRONO!AE$12,CÁLCULO!$AJ$15:$BB$235)/(ORÇAMENTO!$X$15-CÁLCULO.TotalAdmLocal)*CRONO!$F97,
                        0),
                 AE96*$S95),
          SUMIF(OFFSET($S97,1,0,$R95-2),($M95+1)&amp;"$",OFFSET(AE97,1,0,$R95-2)))</f>
        <v>0</v>
      </c>
      <c r="AF97" s="202">
        <f t="array" aca="1" ref="AF97" ca="1">IF($R95=2,
         IF(AND(ACOMPANHAMENTO="PLE",ISNUMBER($F95)),
                SUMIF((OFFSET(CÁLCULO!$BC$15:$BU$15,$F95,0,OFFSET(ORÇAMENTO!$D$15,CRONO!$F95,0))),CRONO!AF$12,OFFSET(CÁLCULO!$AJ$15:$BB$15,$F95,0,OFFSET(ORÇAMENTO!$D$15,CRONO!$F95,0)))
                +IF(AND($F97&lt;&gt;"",$F97&lt;&gt;0),
                        SUMIF(CÁLCULO!$BC$15:$BU$235,CRONO!AF$12,CÁLCULO!$AJ$15:$BB$235)/(ORÇAMENTO!$X$15-CÁLCULO.TotalAdmLocal)*CRONO!$F97,
                        0),
                 AF96*$S95),
          SUMIF(OFFSET($S97,1,0,$R95-2),($M95+1)&amp;"$",OFFSET(AF97,1,0,$R95-2)))</f>
        <v>0</v>
      </c>
      <c r="AG97" s="532"/>
    </row>
    <row r="98" spans="1:33" x14ac:dyDescent="0.2">
      <c r="A98" s="186" t="str">
        <f ca="1">IF($M98&gt;1,_xlfn.CONCAT($I98," ",$J98),"")</f>
        <v>1.28. ENTRADA E ALIMENTAÇÃO</v>
      </c>
      <c r="B98" s="185">
        <f ca="1">OFFSET(B98,-3,0)+1</f>
        <v>29</v>
      </c>
      <c r="C98" s="185">
        <f ca="1">IF($R98&lt;&gt;2,0,IF($S98=0,1,IF(F99&gt;0,OFFSET(QCI!$M$13,SUBSTITUTE(F99,".",""),0),OFFSET(ORÇAMENTO!$AA$15,CRONO!$F98,0))/$S98))</f>
        <v>0</v>
      </c>
      <c r="D98" s="185">
        <f ca="1">IF($R98&lt;&gt;2,0,IF($S98=0,1,IF(F99&gt;0,OFFSET(QCI!$N$13,SUBSTITUTE(F99,".",""),0),OFFSET(ORÇAMENTO!$AB$15,CRONO!$F98,0))/$S98))</f>
        <v>0</v>
      </c>
      <c r="E98" s="188">
        <f t="array" aca="1" ref="E98" ca="1">IF(AND($R98=2,ACOMPANHAMENTO="BM"),ROUND(E99,4),E100/$S98)</f>
        <v>0</v>
      </c>
      <c r="F98" s="185">
        <f t="array" aca="1" ref="F98" ca="1">IF(B98&lt;=ORÇAMENTO.MáximoListaCrono,MATCH(B98,ORÇAMENTO.ListaCrono,0),NA())</f>
        <v>159</v>
      </c>
      <c r="G98" s="185" t="str">
        <f ca="1">IF(AND($F99&lt;&gt;-1,$S98&gt;0),"F","")</f>
        <v>F</v>
      </c>
      <c r="H98" s="189" t="str">
        <f t="array" aca="1" ref="H98" ca="1">IF(OR(S98=0,S98=""),"Linha",IF(AND(OR(ACOMPANHAMENTO="PLE",$R98&lt;&gt;2),$F99=0),"Linha",ROUND(1-SUM(U98:AG98),4)))</f>
        <v>Linha</v>
      </c>
      <c r="I98" s="190" t="str">
        <f ca="1">IF($F99=0,OFFSET(ORÇAMENTO!O$15,$F98,0),IF($F99&lt;&gt;-1,OFFSET(QCI!$D$13,$F99,0),""))</f>
        <v>1.28.</v>
      </c>
      <c r="J98" s="191" t="str">
        <f ca="1">IF($F99=0,OFFSET(ORÇAMENTO!R$15,$F98,0),IF($F99&lt;&gt;-1,OFFSET(QCI!$G$13,$F99,0),""))</f>
        <v>ENTRADA E ALIMENTAÇÃO</v>
      </c>
      <c r="K98" s="191"/>
      <c r="L98" s="191"/>
      <c r="M98" s="192">
        <f ca="1">IF($F99=0,OFFSET(ORÇAMENTO!C$15,$F98,0),1)</f>
        <v>2</v>
      </c>
      <c r="N98" s="193">
        <f ca="1">IF($F99=-1,0,IF(N$13&lt;=$M98,IF(ISERROR(MATCH(N$13,OFFSET($M98,1,0,ROW($M$119)-ROW($M98)-1),0)),ROW($M$119)-ROW($M98)-1,MATCH(N$13,OFFSET($M98,1,0,ROW($M$119)-ROW($M98)-1),0)-1),0))</f>
        <v>20</v>
      </c>
      <c r="O98" s="193">
        <f ca="1">IF($F99=-1,0,IF(O$13&lt;=$M98,IF(ISERROR(MATCH(O$13,OFFSET($M98,1,0,ROW($M$119)-ROW($M98)-1),0)),ROW($M$119)-ROW($M98)-1,MATCH(O$13,OFFSET($M98,1,0,ROW($M$119)-ROW($M98)-1),0)-1),0))</f>
        <v>2</v>
      </c>
      <c r="P98" s="193">
        <f ca="1">IF($F99=-1,0,IF(P$13&lt;=$M98,IF(ISERROR(MATCH(P$13,OFFSET($M98,1,0,ROW($M$119)-ROW($M98)-1),0)),ROW($M$119)-ROW($M98)-1,MATCH(P$13,OFFSET($M98,1,0,ROW($M$119)-ROW($M98)-1),0)-1),0))</f>
        <v>0</v>
      </c>
      <c r="Q98" s="193">
        <f ca="1">IF($F99=-1,0,IF(Q$13&lt;=$M98,IF(ISERROR(MATCH(Q$13,OFFSET($M98,1,0,ROW($M$119)-ROW($M98)-1),0)),ROW($M$119)-ROW($M98)-1,MATCH(Q$13,OFFSET($M98,1,0,ROW($M$119)-ROW($M98)-1),0)-1),0))</f>
        <v>0</v>
      </c>
      <c r="R98" s="193">
        <f ca="1">MIN(OFFSET(M98,0,1,,M98))</f>
        <v>2</v>
      </c>
      <c r="S98" s="194">
        <f ca="1">IF($F99=0,OFFSET(ORÇAMENTO!X$15,$F98,0),IF($F99&lt;&gt;-1,OFFSET(QCI!$O$13,$F99,0),""))</f>
        <v>8390.36</v>
      </c>
      <c r="T98" s="195" t="s">
        <v>785</v>
      </c>
      <c r="U98" s="188">
        <f t="array" aca="1" ref="U98" ca="1">IF(AND($R98=2,ACOMPANHAMENTO="BM"),ROUND(U99,4),U100/$S98)</f>
        <v>0</v>
      </c>
      <c r="V98" s="188">
        <f t="array" aca="1" ref="V98" ca="1">IF(AND($R98=2,ACOMPANHAMENTO="BM"),ROUND(V99,4),V100/$S98)</f>
        <v>0</v>
      </c>
      <c r="W98" s="188">
        <f t="array" aca="1" ref="W98" ca="1">IF(AND($R98=2,ACOMPANHAMENTO="BM"),ROUND(W99,4),W100/$S98)</f>
        <v>0</v>
      </c>
      <c r="X98" s="188">
        <f t="array" aca="1" ref="X98" ca="1">IF(AND($R98=2,ACOMPANHAMENTO="BM"),ROUND(X99,4),X100/$S98)</f>
        <v>0</v>
      </c>
      <c r="Y98" s="188">
        <f t="array" aca="1" ref="Y98" ca="1">IF(AND($R98=2,ACOMPANHAMENTO="BM"),ROUND(Y99,4),Y100/$S98)</f>
        <v>0.23132261309407462</v>
      </c>
      <c r="Z98" s="188">
        <f t="array" aca="1" ref="Z98" ca="1">IF(AND($R98=2,ACOMPANHAMENTO="BM"),ROUND(Z99,4),Z100/$S98)</f>
        <v>0.5</v>
      </c>
      <c r="AA98" s="188">
        <f t="array" aca="1" ref="AA98" ca="1">IF(AND($R98=2,ACOMPANHAMENTO="BM"),ROUND(AA99,4),AA100/$S98)</f>
        <v>0.26867738690592535</v>
      </c>
      <c r="AB98" s="188">
        <f t="array" aca="1" ref="AB98" ca="1">IF(AND($R98=2,ACOMPANHAMENTO="BM"),ROUND(AB99,4),AB100/$S98)</f>
        <v>0</v>
      </c>
      <c r="AC98" s="188">
        <f t="array" aca="1" ref="AC98" ca="1">IF(AND($R98=2,ACOMPANHAMENTO="BM"),ROUND(AC99,4),AC100/$S98)</f>
        <v>0</v>
      </c>
      <c r="AD98" s="188">
        <f t="array" aca="1" ref="AD98" ca="1">IF(AND($R98=2,ACOMPANHAMENTO="BM"),ROUND(AD99,4),AD100/$S98)</f>
        <v>0</v>
      </c>
      <c r="AE98" s="188">
        <f t="array" aca="1" ref="AE98" ca="1">IF(AND($R98=2,ACOMPANHAMENTO="BM"),ROUND(AE99,4),AE100/$S98)</f>
        <v>0</v>
      </c>
      <c r="AF98" s="188">
        <f t="array" aca="1" ref="AF98" ca="1">IF(AND($R98=2,ACOMPANHAMENTO="BM"),ROUND(AF99,4),AF100/$S98)</f>
        <v>0</v>
      </c>
      <c r="AG98" s="532"/>
    </row>
    <row r="99" spans="1:33" ht="12.75" customHeight="1" x14ac:dyDescent="0.2">
      <c r="E99" s="585"/>
      <c r="F99" s="185">
        <f ca="1">IF(ISERROR(F98),IF(1+COUNTIF($M$13:OFFSET(M98,-1,0),1)&lt;=MAX(QCI!$D$13:$D$24),1+COUNTIF($M$13:OFFSET(M98,-1,0),1),-1),0)</f>
        <v>0</v>
      </c>
      <c r="G99" s="185" t="str">
        <f t="array" aca="1" ref="G99" ca="1">IF(ACOMPANHAMENTO="BM",OFFSET(G99,-1,0),"")</f>
        <v/>
      </c>
      <c r="H99" s="196" t="str">
        <f t="array" aca="1" ref="H99" ca="1">IF(OR(S98=0,S98=""),"vazia",IF(AND(OR(ACOMPANHAMENTO="PLE",$R98&lt;&gt;2),$F99=0),"calculada","--&gt;"))</f>
        <v>calculada</v>
      </c>
      <c r="I99" s="197"/>
      <c r="J99" s="198" t="str">
        <f ca="1">IF(AND(H98&lt;&gt;0,ISNUMBER(H98)),"PREENCHA ESTA LINHA --&gt;","")</f>
        <v/>
      </c>
      <c r="K99" s="198"/>
      <c r="L99" s="198"/>
      <c r="M99" s="199"/>
      <c r="N99" s="199"/>
      <c r="O99" s="199"/>
      <c r="P99" s="199"/>
      <c r="Q99" s="199"/>
      <c r="R99" s="199"/>
      <c r="S99" s="200"/>
      <c r="T99" s="201"/>
      <c r="U99" s="585"/>
      <c r="V99" s="585"/>
      <c r="W99" s="585"/>
      <c r="X99" s="585"/>
      <c r="Y99" s="585"/>
      <c r="Z99" s="585"/>
      <c r="AA99" s="585"/>
      <c r="AB99" s="585"/>
      <c r="AC99" s="585"/>
      <c r="AD99" s="585"/>
      <c r="AE99" s="585"/>
      <c r="AF99" s="585"/>
      <c r="AG99" s="532"/>
    </row>
    <row r="100" spans="1:33" ht="12.75" customHeight="1" x14ac:dyDescent="0.2">
      <c r="D100" s="531"/>
      <c r="E100" s="202">
        <f t="array" aca="1" ref="E100" ca="1">IF($R98=2,
         IF(AND(ACOMPANHAMENTO="PLE",ISNUMBER($F98)),
                SUMIF((OFFSET(CÁLCULO!$BC$15:$BU$15,$F98,0,OFFSET(ORÇAMENTO!$D$15,CRONO!$F98,0))),CRONO!E$12,OFFSET(CÁLCULO!$AJ$15:$BB$15,$F98,0,OFFSET(ORÇAMENTO!$D$15,CRONO!$F98,0)))
                +IF(AND($F100&lt;&gt;"",$F100&lt;&gt;0),
                        SUMIF(CÁLCULO!$BC$15:$BU$235,CRONO!E$12,CÁLCULO!$AJ$15:$BB$235)/(ORÇAMENTO!$X$15-CÁLCULO.TotalAdmLocal)*CRONO!$F100,
                        0),
                 E99*$S98),
          SUMIF(OFFSET($S100,1,0,$R98-2),($M98+1)&amp;"$",OFFSET(E100,1,0,$R98-2)))</f>
        <v>0</v>
      </c>
      <c r="F100" s="185">
        <f ca="1">IF(OR($R98&lt;&gt;2,AUTOEVENTO&lt;&gt;"manual",$F99&gt;0),"",
        IF(Import.TipoArredondamento="Tradicional",
              SUMIF(OFFSET(CÁLCULO!$M$15,CRONO!$F98,0,OFFSET(ORÇAMENTO!$D$15,CRONO!$F98,0)),1,OFFSET(ORÇAMENTO!$X$15,CRONO!$F98,0,OFFSET(ORÇAMENTO!$D$15,CRONO!$F98,0))),
              0))</f>
        <v>0</v>
      </c>
      <c r="H100" s="693"/>
      <c r="S100" s="204" t="str">
        <f ca="1">M98&amp;"$"</f>
        <v>2$</v>
      </c>
      <c r="T100" s="205"/>
      <c r="U100" s="202">
        <f t="array" aca="1" ref="U100" ca="1">IF($R98=2,
         IF(AND(ACOMPANHAMENTO="PLE",ISNUMBER($F98)),
                SUMIF((OFFSET(CÁLCULO!$BC$15:$BU$15,$F98,0,OFFSET(ORÇAMENTO!$D$15,CRONO!$F98,0))),CRONO!U$12,OFFSET(CÁLCULO!$AJ$15:$BB$15,$F98,0,OFFSET(ORÇAMENTO!$D$15,CRONO!$F98,0)))
                +IF(AND($F100&lt;&gt;"",$F100&lt;&gt;0),
                        SUMIF(CÁLCULO!$BC$15:$BU$235,CRONO!U$12,CÁLCULO!$AJ$15:$BB$235)/(ORÇAMENTO!$X$15-CÁLCULO.TotalAdmLocal)*CRONO!$F100,
                        0),
                 U99*$S98),
          SUMIF(OFFSET($S100,1,0,$R98-2),($M98+1)&amp;"$",OFFSET(U100,1,0,$R98-2)))</f>
        <v>0</v>
      </c>
      <c r="V100" s="202">
        <f t="array" aca="1" ref="V100" ca="1">IF($R98=2,
         IF(AND(ACOMPANHAMENTO="PLE",ISNUMBER($F98)),
                SUMIF((OFFSET(CÁLCULO!$BC$15:$BU$15,$F98,0,OFFSET(ORÇAMENTO!$D$15,CRONO!$F98,0))),CRONO!V$12,OFFSET(CÁLCULO!$AJ$15:$BB$15,$F98,0,OFFSET(ORÇAMENTO!$D$15,CRONO!$F98,0)))
                +IF(AND($F100&lt;&gt;"",$F100&lt;&gt;0),
                        SUMIF(CÁLCULO!$BC$15:$BU$235,CRONO!V$12,CÁLCULO!$AJ$15:$BB$235)/(ORÇAMENTO!$X$15-CÁLCULO.TotalAdmLocal)*CRONO!$F100,
                        0),
                 V99*$S98),
          SUMIF(OFFSET($S100,1,0,$R98-2),($M98+1)&amp;"$",OFFSET(V100,1,0,$R98-2)))</f>
        <v>0</v>
      </c>
      <c r="W100" s="202">
        <f t="array" aca="1" ref="W100" ca="1">IF($R98=2,
         IF(AND(ACOMPANHAMENTO="PLE",ISNUMBER($F98)),
                SUMIF((OFFSET(CÁLCULO!$BC$15:$BU$15,$F98,0,OFFSET(ORÇAMENTO!$D$15,CRONO!$F98,0))),CRONO!W$12,OFFSET(CÁLCULO!$AJ$15:$BB$15,$F98,0,OFFSET(ORÇAMENTO!$D$15,CRONO!$F98,0)))
                +IF(AND($F100&lt;&gt;"",$F100&lt;&gt;0),
                        SUMIF(CÁLCULO!$BC$15:$BU$235,CRONO!W$12,CÁLCULO!$AJ$15:$BB$235)/(ORÇAMENTO!$X$15-CÁLCULO.TotalAdmLocal)*CRONO!$F100,
                        0),
                 W99*$S98),
          SUMIF(OFFSET($S100,1,0,$R98-2),($M98+1)&amp;"$",OFFSET(W100,1,0,$R98-2)))</f>
        <v>0</v>
      </c>
      <c r="X100" s="202">
        <f t="array" aca="1" ref="X100" ca="1">IF($R98=2,
         IF(AND(ACOMPANHAMENTO="PLE",ISNUMBER($F98)),
                SUMIF((OFFSET(CÁLCULO!$BC$15:$BU$15,$F98,0,OFFSET(ORÇAMENTO!$D$15,CRONO!$F98,0))),CRONO!X$12,OFFSET(CÁLCULO!$AJ$15:$BB$15,$F98,0,OFFSET(ORÇAMENTO!$D$15,CRONO!$F98,0)))
                +IF(AND($F100&lt;&gt;"",$F100&lt;&gt;0),
                        SUMIF(CÁLCULO!$BC$15:$BU$235,CRONO!X$12,CÁLCULO!$AJ$15:$BB$235)/(ORÇAMENTO!$X$15-CÁLCULO.TotalAdmLocal)*CRONO!$F100,
                        0),
                 X99*$S98),
          SUMIF(OFFSET($S100,1,0,$R98-2),($M98+1)&amp;"$",OFFSET(X100,1,0,$R98-2)))</f>
        <v>0</v>
      </c>
      <c r="Y100" s="202">
        <f t="array" aca="1" ref="Y100" ca="1">IF($R98=2,
         IF(AND(ACOMPANHAMENTO="PLE",ISNUMBER($F98)),
                SUMIF((OFFSET(CÁLCULO!$BC$15:$BU$15,$F98,0,OFFSET(ORÇAMENTO!$D$15,CRONO!$F98,0))),CRONO!Y$12,OFFSET(CÁLCULO!$AJ$15:$BB$15,$F98,0,OFFSET(ORÇAMENTO!$D$15,CRONO!$F98,0)))
                +IF(AND($F100&lt;&gt;"",$F100&lt;&gt;0),
                        SUMIF(CÁLCULO!$BC$15:$BU$235,CRONO!Y$12,CÁLCULO!$AJ$15:$BB$235)/(ORÇAMENTO!$X$15-CÁLCULO.TotalAdmLocal)*CRONO!$F100,
                        0),
                 Y99*$S98),
          SUMIF(OFFSET($S100,1,0,$R98-2),($M98+1)&amp;"$",OFFSET(Y100,1,0,$R98-2)))</f>
        <v>1940.88</v>
      </c>
      <c r="Z100" s="202">
        <f t="array" aca="1" ref="Z100" ca="1">IF($R98=2,
         IF(AND(ACOMPANHAMENTO="PLE",ISNUMBER($F98)),
                SUMIF((OFFSET(CÁLCULO!$BC$15:$BU$15,$F98,0,OFFSET(ORÇAMENTO!$D$15,CRONO!$F98,0))),CRONO!Z$12,OFFSET(CÁLCULO!$AJ$15:$BB$15,$F98,0,OFFSET(ORÇAMENTO!$D$15,CRONO!$F98,0)))
                +IF(AND($F100&lt;&gt;"",$F100&lt;&gt;0),
                        SUMIF(CÁLCULO!$BC$15:$BU$235,CRONO!Z$12,CÁLCULO!$AJ$15:$BB$235)/(ORÇAMENTO!$X$15-CÁLCULO.TotalAdmLocal)*CRONO!$F100,
                        0),
                 Z99*$S98),
          SUMIF(OFFSET($S100,1,0,$R98-2),($M98+1)&amp;"$",OFFSET(Z100,1,0,$R98-2)))</f>
        <v>4195.18</v>
      </c>
      <c r="AA100" s="202">
        <f t="array" aca="1" ref="AA100" ca="1">IF($R98=2,
         IF(AND(ACOMPANHAMENTO="PLE",ISNUMBER($F98)),
                SUMIF((OFFSET(CÁLCULO!$BC$15:$BU$15,$F98,0,OFFSET(ORÇAMENTO!$D$15,CRONO!$F98,0))),CRONO!AA$12,OFFSET(CÁLCULO!$AJ$15:$BB$15,$F98,0,OFFSET(ORÇAMENTO!$D$15,CRONO!$F98,0)))
                +IF(AND($F100&lt;&gt;"",$F100&lt;&gt;0),
                        SUMIF(CÁLCULO!$BC$15:$BU$235,CRONO!AA$12,CÁLCULO!$AJ$15:$BB$235)/(ORÇAMENTO!$X$15-CÁLCULO.TotalAdmLocal)*CRONO!$F100,
                        0),
                 AA99*$S98),
          SUMIF(OFFSET($S100,1,0,$R98-2),($M98+1)&amp;"$",OFFSET(AA100,1,0,$R98-2)))</f>
        <v>2254.3000000000002</v>
      </c>
      <c r="AB100" s="202">
        <f t="array" aca="1" ref="AB100" ca="1">IF($R98=2,
         IF(AND(ACOMPANHAMENTO="PLE",ISNUMBER($F98)),
                SUMIF((OFFSET(CÁLCULO!$BC$15:$BU$15,$F98,0,OFFSET(ORÇAMENTO!$D$15,CRONO!$F98,0))),CRONO!AB$12,OFFSET(CÁLCULO!$AJ$15:$BB$15,$F98,0,OFFSET(ORÇAMENTO!$D$15,CRONO!$F98,0)))
                +IF(AND($F100&lt;&gt;"",$F100&lt;&gt;0),
                        SUMIF(CÁLCULO!$BC$15:$BU$235,CRONO!AB$12,CÁLCULO!$AJ$15:$BB$235)/(ORÇAMENTO!$X$15-CÁLCULO.TotalAdmLocal)*CRONO!$F100,
                        0),
                 AB99*$S98),
          SUMIF(OFFSET($S100,1,0,$R98-2),($M98+1)&amp;"$",OFFSET(AB100,1,0,$R98-2)))</f>
        <v>0</v>
      </c>
      <c r="AC100" s="202">
        <f t="array" aca="1" ref="AC100" ca="1">IF($R98=2,
         IF(AND(ACOMPANHAMENTO="PLE",ISNUMBER($F98)),
                SUMIF((OFFSET(CÁLCULO!$BC$15:$BU$15,$F98,0,OFFSET(ORÇAMENTO!$D$15,CRONO!$F98,0))),CRONO!AC$12,OFFSET(CÁLCULO!$AJ$15:$BB$15,$F98,0,OFFSET(ORÇAMENTO!$D$15,CRONO!$F98,0)))
                +IF(AND($F100&lt;&gt;"",$F100&lt;&gt;0),
                        SUMIF(CÁLCULO!$BC$15:$BU$235,CRONO!AC$12,CÁLCULO!$AJ$15:$BB$235)/(ORÇAMENTO!$X$15-CÁLCULO.TotalAdmLocal)*CRONO!$F100,
                        0),
                 AC99*$S98),
          SUMIF(OFFSET($S100,1,0,$R98-2),($M98+1)&amp;"$",OFFSET(AC100,1,0,$R98-2)))</f>
        <v>0</v>
      </c>
      <c r="AD100" s="202">
        <f t="array" aca="1" ref="AD100" ca="1">IF($R98=2,
         IF(AND(ACOMPANHAMENTO="PLE",ISNUMBER($F98)),
                SUMIF((OFFSET(CÁLCULO!$BC$15:$BU$15,$F98,0,OFFSET(ORÇAMENTO!$D$15,CRONO!$F98,0))),CRONO!AD$12,OFFSET(CÁLCULO!$AJ$15:$BB$15,$F98,0,OFFSET(ORÇAMENTO!$D$15,CRONO!$F98,0)))
                +IF(AND($F100&lt;&gt;"",$F100&lt;&gt;0),
                        SUMIF(CÁLCULO!$BC$15:$BU$235,CRONO!AD$12,CÁLCULO!$AJ$15:$BB$235)/(ORÇAMENTO!$X$15-CÁLCULO.TotalAdmLocal)*CRONO!$F100,
                        0),
                 AD99*$S98),
          SUMIF(OFFSET($S100,1,0,$R98-2),($M98+1)&amp;"$",OFFSET(AD100,1,0,$R98-2)))</f>
        <v>0</v>
      </c>
      <c r="AE100" s="202">
        <f t="array" aca="1" ref="AE100" ca="1">IF($R98=2,
         IF(AND(ACOMPANHAMENTO="PLE",ISNUMBER($F98)),
                SUMIF((OFFSET(CÁLCULO!$BC$15:$BU$15,$F98,0,OFFSET(ORÇAMENTO!$D$15,CRONO!$F98,0))),CRONO!AE$12,OFFSET(CÁLCULO!$AJ$15:$BB$15,$F98,0,OFFSET(ORÇAMENTO!$D$15,CRONO!$F98,0)))
                +IF(AND($F100&lt;&gt;"",$F100&lt;&gt;0),
                        SUMIF(CÁLCULO!$BC$15:$BU$235,CRONO!AE$12,CÁLCULO!$AJ$15:$BB$235)/(ORÇAMENTO!$X$15-CÁLCULO.TotalAdmLocal)*CRONO!$F100,
                        0),
                 AE99*$S98),
          SUMIF(OFFSET($S100,1,0,$R98-2),($M98+1)&amp;"$",OFFSET(AE100,1,0,$R98-2)))</f>
        <v>0</v>
      </c>
      <c r="AF100" s="202">
        <f t="array" aca="1" ref="AF100" ca="1">IF($R98=2,
         IF(AND(ACOMPANHAMENTO="PLE",ISNUMBER($F98)),
                SUMIF((OFFSET(CÁLCULO!$BC$15:$BU$15,$F98,0,OFFSET(ORÇAMENTO!$D$15,CRONO!$F98,0))),CRONO!AF$12,OFFSET(CÁLCULO!$AJ$15:$BB$15,$F98,0,OFFSET(ORÇAMENTO!$D$15,CRONO!$F98,0)))
                +IF(AND($F100&lt;&gt;"",$F100&lt;&gt;0),
                        SUMIF(CÁLCULO!$BC$15:$BU$235,CRONO!AF$12,CÁLCULO!$AJ$15:$BB$235)/(ORÇAMENTO!$X$15-CÁLCULO.TotalAdmLocal)*CRONO!$F100,
                        0),
                 AF99*$S98),
          SUMIF(OFFSET($S100,1,0,$R98-2),($M98+1)&amp;"$",OFFSET(AF100,1,0,$R98-2)))</f>
        <v>0</v>
      </c>
      <c r="AG100" s="532"/>
    </row>
    <row r="101" spans="1:33" x14ac:dyDescent="0.2">
      <c r="A101" s="186" t="str">
        <f ca="1">IF($M101&gt;1,_xlfn.CONCAT($I101," ",$J101),"")</f>
        <v>1.29. CAIXA D'ÁGUA E BARRILETE</v>
      </c>
      <c r="B101" s="185">
        <f ca="1">OFFSET(B101,-3,0)+1</f>
        <v>30</v>
      </c>
      <c r="C101" s="185">
        <f ca="1">IF($R101&lt;&gt;2,0,IF($S101=0,1,IF(F102&gt;0,OFFSET(QCI!$M$13,SUBSTITUTE(F102,".",""),0),OFFSET(ORÇAMENTO!$AA$15,CRONO!$F101,0))/$S101))</f>
        <v>0</v>
      </c>
      <c r="D101" s="185">
        <f ca="1">IF($R101&lt;&gt;2,0,IF($S101=0,1,IF(F102&gt;0,OFFSET(QCI!$N$13,SUBSTITUTE(F102,".",""),0),OFFSET(ORÇAMENTO!$AB$15,CRONO!$F101,0))/$S101))</f>
        <v>0</v>
      </c>
      <c r="E101" s="188">
        <f t="array" aca="1" ref="E101" ca="1">IF(AND($R101=2,ACOMPANHAMENTO="BM"),ROUND(E102,4),E103/$S101)</f>
        <v>0</v>
      </c>
      <c r="F101" s="185">
        <f t="array" aca="1" ref="F101" ca="1">IF(B101&lt;=ORÇAMENTO.MáximoListaCrono,MATCH(B101,ORÇAMENTO.ListaCrono,0),NA())</f>
        <v>166</v>
      </c>
      <c r="G101" s="185" t="str">
        <f ca="1">IF(AND($F102&lt;&gt;-1,$S101&gt;0),"F","")</f>
        <v>F</v>
      </c>
      <c r="H101" s="189" t="str">
        <f t="array" aca="1" ref="H101" ca="1">IF(OR(S101=0,S101=""),"Linha",IF(AND(OR(ACOMPANHAMENTO="PLE",$R101&lt;&gt;2),$F102=0),"Linha",ROUND(1-SUM(U101:AG101),4)))</f>
        <v>Linha</v>
      </c>
      <c r="I101" s="190" t="str">
        <f ca="1">IF($F102=0,OFFSET(ORÇAMENTO!O$15,$F101,0),IF($F102&lt;&gt;-1,OFFSET(QCI!$D$13,$F102,0),""))</f>
        <v>1.29.</v>
      </c>
      <c r="J101" s="191" t="str">
        <f ca="1">IF($F102=0,OFFSET(ORÇAMENTO!R$15,$F101,0),IF($F102&lt;&gt;-1,OFFSET(QCI!$G$13,$F102,0),""))</f>
        <v>CAIXA D'ÁGUA E BARRILETE</v>
      </c>
      <c r="K101" s="191"/>
      <c r="L101" s="191"/>
      <c r="M101" s="192">
        <f ca="1">IF($F102=0,OFFSET(ORÇAMENTO!C$15,$F101,0),1)</f>
        <v>2</v>
      </c>
      <c r="N101" s="193">
        <f ca="1">IF($F102=-1,0,IF(N$13&lt;=$M101,IF(ISERROR(MATCH(N$13,OFFSET($M101,1,0,ROW($M$119)-ROW($M101)-1),0)),ROW($M$119)-ROW($M101)-1,MATCH(N$13,OFFSET($M101,1,0,ROW($M$119)-ROW($M101)-1),0)-1),0))</f>
        <v>17</v>
      </c>
      <c r="O101" s="193">
        <f ca="1">IF($F102=-1,0,IF(O$13&lt;=$M101,IF(ISERROR(MATCH(O$13,OFFSET($M101,1,0,ROW($M$119)-ROW($M101)-1),0)),ROW($M$119)-ROW($M101)-1,MATCH(O$13,OFFSET($M101,1,0,ROW($M$119)-ROW($M101)-1),0)-1),0))</f>
        <v>2</v>
      </c>
      <c r="P101" s="193">
        <f ca="1">IF($F102=-1,0,IF(P$13&lt;=$M101,IF(ISERROR(MATCH(P$13,OFFSET($M101,1,0,ROW($M$119)-ROW($M101)-1),0)),ROW($M$119)-ROW($M101)-1,MATCH(P$13,OFFSET($M101,1,0,ROW($M$119)-ROW($M101)-1),0)-1),0))</f>
        <v>0</v>
      </c>
      <c r="Q101" s="193">
        <f ca="1">IF($F102=-1,0,IF(Q$13&lt;=$M101,IF(ISERROR(MATCH(Q$13,OFFSET($M101,1,0,ROW($M$119)-ROW($M101)-1),0)),ROW($M$119)-ROW($M101)-1,MATCH(Q$13,OFFSET($M101,1,0,ROW($M$119)-ROW($M101)-1),0)-1),0))</f>
        <v>0</v>
      </c>
      <c r="R101" s="193">
        <f ca="1">MIN(OFFSET(M101,0,1,,M101))</f>
        <v>2</v>
      </c>
      <c r="S101" s="194">
        <f ca="1">IF($F102=0,OFFSET(ORÇAMENTO!X$15,$F101,0),IF($F102&lt;&gt;-1,OFFSET(QCI!$O$13,$F102,0),""))</f>
        <v>20932.48</v>
      </c>
      <c r="T101" s="195" t="s">
        <v>785</v>
      </c>
      <c r="U101" s="188">
        <f t="array" aca="1" ref="U101" ca="1">IF(AND($R101=2,ACOMPANHAMENTO="BM"),ROUND(U102,4),U103/$S101)</f>
        <v>0</v>
      </c>
      <c r="V101" s="188">
        <f t="array" aca="1" ref="V101" ca="1">IF(AND($R101=2,ACOMPANHAMENTO="BM"),ROUND(V102,4),V103/$S101)</f>
        <v>0</v>
      </c>
      <c r="W101" s="188">
        <f t="array" aca="1" ref="W101" ca="1">IF(AND($R101=2,ACOMPANHAMENTO="BM"),ROUND(W102,4),W103/$S101)</f>
        <v>0</v>
      </c>
      <c r="X101" s="188">
        <f t="array" aca="1" ref="X101" ca="1">IF(AND($R101=2,ACOMPANHAMENTO="BM"),ROUND(X102,4),X103/$S101)</f>
        <v>0.49999999999999989</v>
      </c>
      <c r="Y101" s="188">
        <f t="array" aca="1" ref="Y101" ca="1">IF(AND($R101=2,ACOMPANHAMENTO="BM"),ROUND(Y102,4),Y103/$S101)</f>
        <v>0.49999999999999989</v>
      </c>
      <c r="Z101" s="188">
        <f t="array" aca="1" ref="Z101" ca="1">IF(AND($R101=2,ACOMPANHAMENTO="BM"),ROUND(Z102,4),Z103/$S101)</f>
        <v>0</v>
      </c>
      <c r="AA101" s="188">
        <f t="array" aca="1" ref="AA101" ca="1">IF(AND($R101=2,ACOMPANHAMENTO="BM"),ROUND(AA102,4),AA103/$S101)</f>
        <v>0</v>
      </c>
      <c r="AB101" s="188">
        <f t="array" aca="1" ref="AB101" ca="1">IF(AND($R101=2,ACOMPANHAMENTO="BM"),ROUND(AB102,4),AB103/$S101)</f>
        <v>0</v>
      </c>
      <c r="AC101" s="188">
        <f t="array" aca="1" ref="AC101" ca="1">IF(AND($R101=2,ACOMPANHAMENTO="BM"),ROUND(AC102,4),AC103/$S101)</f>
        <v>0</v>
      </c>
      <c r="AD101" s="188">
        <f t="array" aca="1" ref="AD101" ca="1">IF(AND($R101=2,ACOMPANHAMENTO="BM"),ROUND(AD102,4),AD103/$S101)</f>
        <v>0</v>
      </c>
      <c r="AE101" s="188">
        <f t="array" aca="1" ref="AE101" ca="1">IF(AND($R101=2,ACOMPANHAMENTO="BM"),ROUND(AE102,4),AE103/$S101)</f>
        <v>0</v>
      </c>
      <c r="AF101" s="188">
        <f t="array" aca="1" ref="AF101" ca="1">IF(AND($R101=2,ACOMPANHAMENTO="BM"),ROUND(AF102,4),AF103/$S101)</f>
        <v>0</v>
      </c>
      <c r="AG101" s="532"/>
    </row>
    <row r="102" spans="1:33" ht="12.75" customHeight="1" x14ac:dyDescent="0.2">
      <c r="E102" s="585"/>
      <c r="F102" s="185">
        <f ca="1">IF(ISERROR(F101),IF(1+COUNTIF($M$13:OFFSET(M101,-1,0),1)&lt;=MAX(QCI!$D$13:$D$24),1+COUNTIF($M$13:OFFSET(M101,-1,0),1),-1),0)</f>
        <v>0</v>
      </c>
      <c r="G102" s="185" t="str">
        <f t="array" aca="1" ref="G102" ca="1">IF(ACOMPANHAMENTO="BM",OFFSET(G102,-1,0),"")</f>
        <v/>
      </c>
      <c r="H102" s="196" t="str">
        <f t="array" aca="1" ref="H102" ca="1">IF(OR(S101=0,S101=""),"vazia",IF(AND(OR(ACOMPANHAMENTO="PLE",$R101&lt;&gt;2),$F102=0),"calculada","--&gt;"))</f>
        <v>calculada</v>
      </c>
      <c r="I102" s="197"/>
      <c r="J102" s="198" t="str">
        <f ca="1">IF(AND(H101&lt;&gt;0,ISNUMBER(H101)),"PREENCHA ESTA LINHA --&gt;","")</f>
        <v/>
      </c>
      <c r="K102" s="198"/>
      <c r="L102" s="198"/>
      <c r="M102" s="199"/>
      <c r="N102" s="199"/>
      <c r="O102" s="199"/>
      <c r="P102" s="199"/>
      <c r="Q102" s="199"/>
      <c r="R102" s="199"/>
      <c r="S102" s="200"/>
      <c r="T102" s="201"/>
      <c r="U102" s="585"/>
      <c r="V102" s="585"/>
      <c r="W102" s="585"/>
      <c r="X102" s="585"/>
      <c r="Y102" s="585"/>
      <c r="Z102" s="585"/>
      <c r="AA102" s="585"/>
      <c r="AB102" s="585"/>
      <c r="AC102" s="585"/>
      <c r="AD102" s="585"/>
      <c r="AE102" s="585"/>
      <c r="AF102" s="585"/>
      <c r="AG102" s="532"/>
    </row>
    <row r="103" spans="1:33" ht="12.75" customHeight="1" x14ac:dyDescent="0.2">
      <c r="D103" s="531"/>
      <c r="E103" s="202">
        <f t="array" aca="1" ref="E103" ca="1">IF($R101=2,
         IF(AND(ACOMPANHAMENTO="PLE",ISNUMBER($F101)),
                SUMIF((OFFSET(CÁLCULO!$BC$15:$BU$15,$F101,0,OFFSET(ORÇAMENTO!$D$15,CRONO!$F101,0))),CRONO!E$12,OFFSET(CÁLCULO!$AJ$15:$BB$15,$F101,0,OFFSET(ORÇAMENTO!$D$15,CRONO!$F101,0)))
                +IF(AND($F103&lt;&gt;"",$F103&lt;&gt;0),
                        SUMIF(CÁLCULO!$BC$15:$BU$235,CRONO!E$12,CÁLCULO!$AJ$15:$BB$235)/(ORÇAMENTO!$X$15-CÁLCULO.TotalAdmLocal)*CRONO!$F103,
                        0),
                 E102*$S101),
          SUMIF(OFFSET($S103,1,0,$R101-2),($M101+1)&amp;"$",OFFSET(E103,1,0,$R101-2)))</f>
        <v>0</v>
      </c>
      <c r="F103" s="185">
        <f ca="1">IF(OR($R101&lt;&gt;2,AUTOEVENTO&lt;&gt;"manual",$F102&gt;0),"",
        IF(Import.TipoArredondamento="Tradicional",
              SUMIF(OFFSET(CÁLCULO!$M$15,CRONO!$F101,0,OFFSET(ORÇAMENTO!$D$15,CRONO!$F101,0)),1,OFFSET(ORÇAMENTO!$X$15,CRONO!$F101,0,OFFSET(ORÇAMENTO!$D$15,CRONO!$F101,0))),
              0))</f>
        <v>0</v>
      </c>
      <c r="H103" s="693"/>
      <c r="S103" s="204" t="str">
        <f ca="1">M101&amp;"$"</f>
        <v>2$</v>
      </c>
      <c r="T103" s="205"/>
      <c r="U103" s="202">
        <f t="array" aca="1" ref="U103" ca="1">IF($R101=2,
         IF(AND(ACOMPANHAMENTO="PLE",ISNUMBER($F101)),
                SUMIF((OFFSET(CÁLCULO!$BC$15:$BU$15,$F101,0,OFFSET(ORÇAMENTO!$D$15,CRONO!$F101,0))),CRONO!U$12,OFFSET(CÁLCULO!$AJ$15:$BB$15,$F101,0,OFFSET(ORÇAMENTO!$D$15,CRONO!$F101,0)))
                +IF(AND($F103&lt;&gt;"",$F103&lt;&gt;0),
                        SUMIF(CÁLCULO!$BC$15:$BU$235,CRONO!U$12,CÁLCULO!$AJ$15:$BB$235)/(ORÇAMENTO!$X$15-CÁLCULO.TotalAdmLocal)*CRONO!$F103,
                        0),
                 U102*$S101),
          SUMIF(OFFSET($S103,1,0,$R101-2),($M101+1)&amp;"$",OFFSET(U103,1,0,$R101-2)))</f>
        <v>0</v>
      </c>
      <c r="V103" s="202">
        <f t="array" aca="1" ref="V103" ca="1">IF($R101=2,
         IF(AND(ACOMPANHAMENTO="PLE",ISNUMBER($F101)),
                SUMIF((OFFSET(CÁLCULO!$BC$15:$BU$15,$F101,0,OFFSET(ORÇAMENTO!$D$15,CRONO!$F101,0))),CRONO!V$12,OFFSET(CÁLCULO!$AJ$15:$BB$15,$F101,0,OFFSET(ORÇAMENTO!$D$15,CRONO!$F101,0)))
                +IF(AND($F103&lt;&gt;"",$F103&lt;&gt;0),
                        SUMIF(CÁLCULO!$BC$15:$BU$235,CRONO!V$12,CÁLCULO!$AJ$15:$BB$235)/(ORÇAMENTO!$X$15-CÁLCULO.TotalAdmLocal)*CRONO!$F103,
                        0),
                 V102*$S101),
          SUMIF(OFFSET($S103,1,0,$R101-2),($M101+1)&amp;"$",OFFSET(V103,1,0,$R101-2)))</f>
        <v>0</v>
      </c>
      <c r="W103" s="202">
        <f t="array" aca="1" ref="W103" ca="1">IF($R101=2,
         IF(AND(ACOMPANHAMENTO="PLE",ISNUMBER($F101)),
                SUMIF((OFFSET(CÁLCULO!$BC$15:$BU$15,$F101,0,OFFSET(ORÇAMENTO!$D$15,CRONO!$F101,0))),CRONO!W$12,OFFSET(CÁLCULO!$AJ$15:$BB$15,$F101,0,OFFSET(ORÇAMENTO!$D$15,CRONO!$F101,0)))
                +IF(AND($F103&lt;&gt;"",$F103&lt;&gt;0),
                        SUMIF(CÁLCULO!$BC$15:$BU$235,CRONO!W$12,CÁLCULO!$AJ$15:$BB$235)/(ORÇAMENTO!$X$15-CÁLCULO.TotalAdmLocal)*CRONO!$F103,
                        0),
                 W102*$S101),
          SUMIF(OFFSET($S103,1,0,$R101-2),($M101+1)&amp;"$",OFFSET(W103,1,0,$R101-2)))</f>
        <v>0</v>
      </c>
      <c r="X103" s="202">
        <f t="array" aca="1" ref="X103" ca="1">IF($R101=2,
         IF(AND(ACOMPANHAMENTO="PLE",ISNUMBER($F101)),
                SUMIF((OFFSET(CÁLCULO!$BC$15:$BU$15,$F101,0,OFFSET(ORÇAMENTO!$D$15,CRONO!$F101,0))),CRONO!X$12,OFFSET(CÁLCULO!$AJ$15:$BB$15,$F101,0,OFFSET(ORÇAMENTO!$D$15,CRONO!$F101,0)))
                +IF(AND($F103&lt;&gt;"",$F103&lt;&gt;0),
                        SUMIF(CÁLCULO!$BC$15:$BU$235,CRONO!X$12,CÁLCULO!$AJ$15:$BB$235)/(ORÇAMENTO!$X$15-CÁLCULO.TotalAdmLocal)*CRONO!$F103,
                        0),
                 X102*$S101),
          SUMIF(OFFSET($S103,1,0,$R101-2),($M101+1)&amp;"$",OFFSET(X103,1,0,$R101-2)))</f>
        <v>10466.239999999998</v>
      </c>
      <c r="Y103" s="202">
        <f t="array" aca="1" ref="Y103" ca="1">IF($R101=2,
         IF(AND(ACOMPANHAMENTO="PLE",ISNUMBER($F101)),
                SUMIF((OFFSET(CÁLCULO!$BC$15:$BU$15,$F101,0,OFFSET(ORÇAMENTO!$D$15,CRONO!$F101,0))),CRONO!Y$12,OFFSET(CÁLCULO!$AJ$15:$BB$15,$F101,0,OFFSET(ORÇAMENTO!$D$15,CRONO!$F101,0)))
                +IF(AND($F103&lt;&gt;"",$F103&lt;&gt;0),
                        SUMIF(CÁLCULO!$BC$15:$BU$235,CRONO!Y$12,CÁLCULO!$AJ$15:$BB$235)/(ORÇAMENTO!$X$15-CÁLCULO.TotalAdmLocal)*CRONO!$F103,
                        0),
                 Y102*$S101),
          SUMIF(OFFSET($S103,1,0,$R101-2),($M101+1)&amp;"$",OFFSET(Y103,1,0,$R101-2)))</f>
        <v>10466.239999999998</v>
      </c>
      <c r="Z103" s="202">
        <f t="array" aca="1" ref="Z103" ca="1">IF($R101=2,
         IF(AND(ACOMPANHAMENTO="PLE",ISNUMBER($F101)),
                SUMIF((OFFSET(CÁLCULO!$BC$15:$BU$15,$F101,0,OFFSET(ORÇAMENTO!$D$15,CRONO!$F101,0))),CRONO!Z$12,OFFSET(CÁLCULO!$AJ$15:$BB$15,$F101,0,OFFSET(ORÇAMENTO!$D$15,CRONO!$F101,0)))
                +IF(AND($F103&lt;&gt;"",$F103&lt;&gt;0),
                        SUMIF(CÁLCULO!$BC$15:$BU$235,CRONO!Z$12,CÁLCULO!$AJ$15:$BB$235)/(ORÇAMENTO!$X$15-CÁLCULO.TotalAdmLocal)*CRONO!$F103,
                        0),
                 Z102*$S101),
          SUMIF(OFFSET($S103,1,0,$R101-2),($M101+1)&amp;"$",OFFSET(Z103,1,0,$R101-2)))</f>
        <v>0</v>
      </c>
      <c r="AA103" s="202">
        <f t="array" aca="1" ref="AA103" ca="1">IF($R101=2,
         IF(AND(ACOMPANHAMENTO="PLE",ISNUMBER($F101)),
                SUMIF((OFFSET(CÁLCULO!$BC$15:$BU$15,$F101,0,OFFSET(ORÇAMENTO!$D$15,CRONO!$F101,0))),CRONO!AA$12,OFFSET(CÁLCULO!$AJ$15:$BB$15,$F101,0,OFFSET(ORÇAMENTO!$D$15,CRONO!$F101,0)))
                +IF(AND($F103&lt;&gt;"",$F103&lt;&gt;0),
                        SUMIF(CÁLCULO!$BC$15:$BU$235,CRONO!AA$12,CÁLCULO!$AJ$15:$BB$235)/(ORÇAMENTO!$X$15-CÁLCULO.TotalAdmLocal)*CRONO!$F103,
                        0),
                 AA102*$S101),
          SUMIF(OFFSET($S103,1,0,$R101-2),($M101+1)&amp;"$",OFFSET(AA103,1,0,$R101-2)))</f>
        <v>0</v>
      </c>
      <c r="AB103" s="202">
        <f t="array" aca="1" ref="AB103" ca="1">IF($R101=2,
         IF(AND(ACOMPANHAMENTO="PLE",ISNUMBER($F101)),
                SUMIF((OFFSET(CÁLCULO!$BC$15:$BU$15,$F101,0,OFFSET(ORÇAMENTO!$D$15,CRONO!$F101,0))),CRONO!AB$12,OFFSET(CÁLCULO!$AJ$15:$BB$15,$F101,0,OFFSET(ORÇAMENTO!$D$15,CRONO!$F101,0)))
                +IF(AND($F103&lt;&gt;"",$F103&lt;&gt;0),
                        SUMIF(CÁLCULO!$BC$15:$BU$235,CRONO!AB$12,CÁLCULO!$AJ$15:$BB$235)/(ORÇAMENTO!$X$15-CÁLCULO.TotalAdmLocal)*CRONO!$F103,
                        0),
                 AB102*$S101),
          SUMIF(OFFSET($S103,1,0,$R101-2),($M101+1)&amp;"$",OFFSET(AB103,1,0,$R101-2)))</f>
        <v>0</v>
      </c>
      <c r="AC103" s="202">
        <f t="array" aca="1" ref="AC103" ca="1">IF($R101=2,
         IF(AND(ACOMPANHAMENTO="PLE",ISNUMBER($F101)),
                SUMIF((OFFSET(CÁLCULO!$BC$15:$BU$15,$F101,0,OFFSET(ORÇAMENTO!$D$15,CRONO!$F101,0))),CRONO!AC$12,OFFSET(CÁLCULO!$AJ$15:$BB$15,$F101,0,OFFSET(ORÇAMENTO!$D$15,CRONO!$F101,0)))
                +IF(AND($F103&lt;&gt;"",$F103&lt;&gt;0),
                        SUMIF(CÁLCULO!$BC$15:$BU$235,CRONO!AC$12,CÁLCULO!$AJ$15:$BB$235)/(ORÇAMENTO!$X$15-CÁLCULO.TotalAdmLocal)*CRONO!$F103,
                        0),
                 AC102*$S101),
          SUMIF(OFFSET($S103,1,0,$R101-2),($M101+1)&amp;"$",OFFSET(AC103,1,0,$R101-2)))</f>
        <v>0</v>
      </c>
      <c r="AD103" s="202">
        <f t="array" aca="1" ref="AD103" ca="1">IF($R101=2,
         IF(AND(ACOMPANHAMENTO="PLE",ISNUMBER($F101)),
                SUMIF((OFFSET(CÁLCULO!$BC$15:$BU$15,$F101,0,OFFSET(ORÇAMENTO!$D$15,CRONO!$F101,0))),CRONO!AD$12,OFFSET(CÁLCULO!$AJ$15:$BB$15,$F101,0,OFFSET(ORÇAMENTO!$D$15,CRONO!$F101,0)))
                +IF(AND($F103&lt;&gt;"",$F103&lt;&gt;0),
                        SUMIF(CÁLCULO!$BC$15:$BU$235,CRONO!AD$12,CÁLCULO!$AJ$15:$BB$235)/(ORÇAMENTO!$X$15-CÁLCULO.TotalAdmLocal)*CRONO!$F103,
                        0),
                 AD102*$S101),
          SUMIF(OFFSET($S103,1,0,$R101-2),($M101+1)&amp;"$",OFFSET(AD103,1,0,$R101-2)))</f>
        <v>0</v>
      </c>
      <c r="AE103" s="202">
        <f t="array" aca="1" ref="AE103" ca="1">IF($R101=2,
         IF(AND(ACOMPANHAMENTO="PLE",ISNUMBER($F101)),
                SUMIF((OFFSET(CÁLCULO!$BC$15:$BU$15,$F101,0,OFFSET(ORÇAMENTO!$D$15,CRONO!$F101,0))),CRONO!AE$12,OFFSET(CÁLCULO!$AJ$15:$BB$15,$F101,0,OFFSET(ORÇAMENTO!$D$15,CRONO!$F101,0)))
                +IF(AND($F103&lt;&gt;"",$F103&lt;&gt;0),
                        SUMIF(CÁLCULO!$BC$15:$BU$235,CRONO!AE$12,CÁLCULO!$AJ$15:$BB$235)/(ORÇAMENTO!$X$15-CÁLCULO.TotalAdmLocal)*CRONO!$F103,
                        0),
                 AE102*$S101),
          SUMIF(OFFSET($S103,1,0,$R101-2),($M101+1)&amp;"$",OFFSET(AE103,1,0,$R101-2)))</f>
        <v>0</v>
      </c>
      <c r="AF103" s="202">
        <f t="array" aca="1" ref="AF103" ca="1">IF($R101=2,
         IF(AND(ACOMPANHAMENTO="PLE",ISNUMBER($F101)),
                SUMIF((OFFSET(CÁLCULO!$BC$15:$BU$15,$F101,0,OFFSET(ORÇAMENTO!$D$15,CRONO!$F101,0))),CRONO!AF$12,OFFSET(CÁLCULO!$AJ$15:$BB$15,$F101,0,OFFSET(ORÇAMENTO!$D$15,CRONO!$F101,0)))
                +IF(AND($F103&lt;&gt;"",$F103&lt;&gt;0),
                        SUMIF(CÁLCULO!$BC$15:$BU$235,CRONO!AF$12,CÁLCULO!$AJ$15:$BB$235)/(ORÇAMENTO!$X$15-CÁLCULO.TotalAdmLocal)*CRONO!$F103,
                        0),
                 AF102*$S101),
          SUMIF(OFFSET($S103,1,0,$R101-2),($M101+1)&amp;"$",OFFSET(AF103,1,0,$R101-2)))</f>
        <v>0</v>
      </c>
      <c r="AG103" s="532"/>
    </row>
    <row r="104" spans="1:33" x14ac:dyDescent="0.2">
      <c r="A104" s="186" t="str">
        <f ca="1">IF($M104&gt;1,_xlfn.CONCAT($I104," ",$J104),"")</f>
        <v>1.30. SANITÁRIAS E PLUVIAIS</v>
      </c>
      <c r="B104" s="185">
        <f ca="1">OFFSET(B104,-3,0)+1</f>
        <v>31</v>
      </c>
      <c r="C104" s="185">
        <f ca="1">IF($R104&lt;&gt;2,0,IF($S104=0,1,IF(F105&gt;0,OFFSET(QCI!$M$13,SUBSTITUTE(F105,".",""),0),OFFSET(ORÇAMENTO!$AA$15,CRONO!$F104,0))/$S104))</f>
        <v>0</v>
      </c>
      <c r="D104" s="185">
        <f ca="1">IF($R104&lt;&gt;2,0,IF($S104=0,1,IF(F105&gt;0,OFFSET(QCI!$N$13,SUBSTITUTE(F105,".",""),0),OFFSET(ORÇAMENTO!$AB$15,CRONO!$F104,0))/$S104))</f>
        <v>0</v>
      </c>
      <c r="E104" s="188">
        <f t="array" aca="1" ref="E104" ca="1">IF(AND($R104=2,ACOMPANHAMENTO="BM"),ROUND(E105,4),E106/$S104)</f>
        <v>0</v>
      </c>
      <c r="F104" s="185">
        <f t="array" aca="1" ref="F104" ca="1">IF(B104&lt;=ORÇAMENTO.MáximoListaCrono,MATCH(B104,ORÇAMENTO.ListaCrono,0),NA())</f>
        <v>181</v>
      </c>
      <c r="G104" s="185" t="str">
        <f ca="1">IF(AND($F105&lt;&gt;-1,$S104&gt;0),"F","")</f>
        <v>F</v>
      </c>
      <c r="H104" s="189" t="str">
        <f t="array" aca="1" ref="H104" ca="1">IF(OR(S104=0,S104=""),"Linha",IF(AND(OR(ACOMPANHAMENTO="PLE",$R104&lt;&gt;2),$F105=0),"Linha",ROUND(1-SUM(U104:AG104),4)))</f>
        <v>Linha</v>
      </c>
      <c r="I104" s="190" t="str">
        <f ca="1">IF($F105=0,OFFSET(ORÇAMENTO!O$15,$F104,0),IF($F105&lt;&gt;-1,OFFSET(QCI!$D$13,$F105,0),""))</f>
        <v>1.30.</v>
      </c>
      <c r="J104" s="191" t="str">
        <f ca="1">IF($F105=0,OFFSET(ORÇAMENTO!R$15,$F104,0),IF($F105&lt;&gt;-1,OFFSET(QCI!$G$13,$F105,0),""))</f>
        <v>SANITÁRIAS E PLUVIAIS</v>
      </c>
      <c r="K104" s="191"/>
      <c r="L104" s="191"/>
      <c r="M104" s="192">
        <f ca="1">IF($F105=0,OFFSET(ORÇAMENTO!C$15,$F104,0),1)</f>
        <v>2</v>
      </c>
      <c r="N104" s="193">
        <f ca="1">IF($F105=-1,0,IF(N$13&lt;=$M104,IF(ISERROR(MATCH(N$13,OFFSET($M104,1,0,ROW($M$119)-ROW($M104)-1),0)),ROW($M$119)-ROW($M104)-1,MATCH(N$13,OFFSET($M104,1,0,ROW($M$119)-ROW($M104)-1),0)-1),0))</f>
        <v>14</v>
      </c>
      <c r="O104" s="193">
        <f ca="1">IF($F105=-1,0,IF(O$13&lt;=$M104,IF(ISERROR(MATCH(O$13,OFFSET($M104,1,0,ROW($M$119)-ROW($M104)-1),0)),ROW($M$119)-ROW($M104)-1,MATCH(O$13,OFFSET($M104,1,0,ROW($M$119)-ROW($M104)-1),0)-1),0))</f>
        <v>2</v>
      </c>
      <c r="P104" s="193">
        <f ca="1">IF($F105=-1,0,IF(P$13&lt;=$M104,IF(ISERROR(MATCH(P$13,OFFSET($M104,1,0,ROW($M$119)-ROW($M104)-1),0)),ROW($M$119)-ROW($M104)-1,MATCH(P$13,OFFSET($M104,1,0,ROW($M$119)-ROW($M104)-1),0)-1),0))</f>
        <v>0</v>
      </c>
      <c r="Q104" s="193">
        <f ca="1">IF($F105=-1,0,IF(Q$13&lt;=$M104,IF(ISERROR(MATCH(Q$13,OFFSET($M104,1,0,ROW($M$119)-ROW($M104)-1),0)),ROW($M$119)-ROW($M104)-1,MATCH(Q$13,OFFSET($M104,1,0,ROW($M$119)-ROW($M104)-1),0)-1),0))</f>
        <v>0</v>
      </c>
      <c r="R104" s="193">
        <f ca="1">MIN(OFFSET(M104,0,1,,M104))</f>
        <v>2</v>
      </c>
      <c r="S104" s="194">
        <f ca="1">IF($F105=0,OFFSET(ORÇAMENTO!X$15,$F104,0),IF($F105&lt;&gt;-1,OFFSET(QCI!$O$13,$F105,0),""))</f>
        <v>50181.24</v>
      </c>
      <c r="T104" s="195" t="s">
        <v>785</v>
      </c>
      <c r="U104" s="188">
        <f t="array" aca="1" ref="U104" ca="1">IF(AND($R104=2,ACOMPANHAMENTO="BM"),ROUND(U105,4),U106/$S104)</f>
        <v>0</v>
      </c>
      <c r="V104" s="188">
        <f t="array" aca="1" ref="V104" ca="1">IF(AND($R104=2,ACOMPANHAMENTO="BM"),ROUND(V105,4),V106/$S104)</f>
        <v>0</v>
      </c>
      <c r="W104" s="188">
        <f t="array" aca="1" ref="W104" ca="1">IF(AND($R104=2,ACOMPANHAMENTO="BM"),ROUND(W105,4),W106/$S104)</f>
        <v>0</v>
      </c>
      <c r="X104" s="188">
        <f t="array" aca="1" ref="X104" ca="1">IF(AND($R104=2,ACOMPANHAMENTO="BM"),ROUND(X105,4),X106/$S104)</f>
        <v>0</v>
      </c>
      <c r="Y104" s="188">
        <f t="array" aca="1" ref="Y104" ca="1">IF(AND($R104=2,ACOMPANHAMENTO="BM"),ROUND(Y105,4),Y106/$S104)</f>
        <v>0.5</v>
      </c>
      <c r="Z104" s="188">
        <f t="array" aca="1" ref="Z104" ca="1">IF(AND($R104=2,ACOMPANHAMENTO="BM"),ROUND(Z105,4),Z106/$S104)</f>
        <v>0.5</v>
      </c>
      <c r="AA104" s="188">
        <f t="array" aca="1" ref="AA104" ca="1">IF(AND($R104=2,ACOMPANHAMENTO="BM"),ROUND(AA105,4),AA106/$S104)</f>
        <v>0</v>
      </c>
      <c r="AB104" s="188">
        <f t="array" aca="1" ref="AB104" ca="1">IF(AND($R104=2,ACOMPANHAMENTO="BM"),ROUND(AB105,4),AB106/$S104)</f>
        <v>0</v>
      </c>
      <c r="AC104" s="188">
        <f t="array" aca="1" ref="AC104" ca="1">IF(AND($R104=2,ACOMPANHAMENTO="BM"),ROUND(AC105,4),AC106/$S104)</f>
        <v>0</v>
      </c>
      <c r="AD104" s="188">
        <f t="array" aca="1" ref="AD104" ca="1">IF(AND($R104=2,ACOMPANHAMENTO="BM"),ROUND(AD105,4),AD106/$S104)</f>
        <v>0</v>
      </c>
      <c r="AE104" s="188">
        <f t="array" aca="1" ref="AE104" ca="1">IF(AND($R104=2,ACOMPANHAMENTO="BM"),ROUND(AE105,4),AE106/$S104)</f>
        <v>0</v>
      </c>
      <c r="AF104" s="188">
        <f t="array" aca="1" ref="AF104" ca="1">IF(AND($R104=2,ACOMPANHAMENTO="BM"),ROUND(AF105,4),AF106/$S104)</f>
        <v>0</v>
      </c>
      <c r="AG104" s="532"/>
    </row>
    <row r="105" spans="1:33" ht="12.75" customHeight="1" x14ac:dyDescent="0.2">
      <c r="E105" s="585"/>
      <c r="F105" s="185">
        <f ca="1">IF(ISERROR(F104),IF(1+COUNTIF($M$13:OFFSET(M104,-1,0),1)&lt;=MAX(QCI!$D$13:$D$24),1+COUNTIF($M$13:OFFSET(M104,-1,0),1),-1),0)</f>
        <v>0</v>
      </c>
      <c r="G105" s="185" t="str">
        <f t="array" aca="1" ref="G105" ca="1">IF(ACOMPANHAMENTO="BM",OFFSET(G105,-1,0),"")</f>
        <v/>
      </c>
      <c r="H105" s="196" t="str">
        <f t="array" aca="1" ref="H105" ca="1">IF(OR(S104=0,S104=""),"vazia",IF(AND(OR(ACOMPANHAMENTO="PLE",$R104&lt;&gt;2),$F105=0),"calculada","--&gt;"))</f>
        <v>calculada</v>
      </c>
      <c r="I105" s="197"/>
      <c r="J105" s="198" t="str">
        <f ca="1">IF(AND(H104&lt;&gt;0,ISNUMBER(H104)),"PREENCHA ESTA LINHA --&gt;","")</f>
        <v/>
      </c>
      <c r="K105" s="198"/>
      <c r="L105" s="198"/>
      <c r="M105" s="199"/>
      <c r="N105" s="199"/>
      <c r="O105" s="199"/>
      <c r="P105" s="199"/>
      <c r="Q105" s="199"/>
      <c r="R105" s="199"/>
      <c r="S105" s="200"/>
      <c r="T105" s="201"/>
      <c r="U105" s="585"/>
      <c r="V105" s="585"/>
      <c r="W105" s="585"/>
      <c r="X105" s="585"/>
      <c r="Y105" s="585"/>
      <c r="Z105" s="585"/>
      <c r="AA105" s="585"/>
      <c r="AB105" s="585"/>
      <c r="AC105" s="585"/>
      <c r="AD105" s="585"/>
      <c r="AE105" s="585"/>
      <c r="AF105" s="585"/>
      <c r="AG105" s="532"/>
    </row>
    <row r="106" spans="1:33" ht="12.75" customHeight="1" x14ac:dyDescent="0.2">
      <c r="D106" s="531"/>
      <c r="E106" s="202">
        <f t="array" aca="1" ref="E106" ca="1">IF($R104=2,
         IF(AND(ACOMPANHAMENTO="PLE",ISNUMBER($F104)),
                SUMIF((OFFSET(CÁLCULO!$BC$15:$BU$15,$F104,0,OFFSET(ORÇAMENTO!$D$15,CRONO!$F104,0))),CRONO!E$12,OFFSET(CÁLCULO!$AJ$15:$BB$15,$F104,0,OFFSET(ORÇAMENTO!$D$15,CRONO!$F104,0)))
                +IF(AND($F106&lt;&gt;"",$F106&lt;&gt;0),
                        SUMIF(CÁLCULO!$BC$15:$BU$235,CRONO!E$12,CÁLCULO!$AJ$15:$BB$235)/(ORÇAMENTO!$X$15-CÁLCULO.TotalAdmLocal)*CRONO!$F106,
                        0),
                 E105*$S104),
          SUMIF(OFFSET($S106,1,0,$R104-2),($M104+1)&amp;"$",OFFSET(E106,1,0,$R104-2)))</f>
        <v>0</v>
      </c>
      <c r="F106" s="185">
        <f ca="1">IF(OR($R104&lt;&gt;2,AUTOEVENTO&lt;&gt;"manual",$F105&gt;0),"",
        IF(Import.TipoArredondamento="Tradicional",
              SUMIF(OFFSET(CÁLCULO!$M$15,CRONO!$F104,0,OFFSET(ORÇAMENTO!$D$15,CRONO!$F104,0)),1,OFFSET(ORÇAMENTO!$X$15,CRONO!$F104,0,OFFSET(ORÇAMENTO!$D$15,CRONO!$F104,0))),
              0))</f>
        <v>0</v>
      </c>
      <c r="H106" s="693"/>
      <c r="S106" s="204" t="str">
        <f ca="1">M104&amp;"$"</f>
        <v>2$</v>
      </c>
      <c r="T106" s="205"/>
      <c r="U106" s="202">
        <f t="array" aca="1" ref="U106" ca="1">IF($R104=2,
         IF(AND(ACOMPANHAMENTO="PLE",ISNUMBER($F104)),
                SUMIF((OFFSET(CÁLCULO!$BC$15:$BU$15,$F104,0,OFFSET(ORÇAMENTO!$D$15,CRONO!$F104,0))),CRONO!U$12,OFFSET(CÁLCULO!$AJ$15:$BB$15,$F104,0,OFFSET(ORÇAMENTO!$D$15,CRONO!$F104,0)))
                +IF(AND($F106&lt;&gt;"",$F106&lt;&gt;0),
                        SUMIF(CÁLCULO!$BC$15:$BU$235,CRONO!U$12,CÁLCULO!$AJ$15:$BB$235)/(ORÇAMENTO!$X$15-CÁLCULO.TotalAdmLocal)*CRONO!$F106,
                        0),
                 U105*$S104),
          SUMIF(OFFSET($S106,1,0,$R104-2),($M104+1)&amp;"$",OFFSET(U106,1,0,$R104-2)))</f>
        <v>0</v>
      </c>
      <c r="V106" s="202">
        <f t="array" aca="1" ref="V106" ca="1">IF($R104=2,
         IF(AND(ACOMPANHAMENTO="PLE",ISNUMBER($F104)),
                SUMIF((OFFSET(CÁLCULO!$BC$15:$BU$15,$F104,0,OFFSET(ORÇAMENTO!$D$15,CRONO!$F104,0))),CRONO!V$12,OFFSET(CÁLCULO!$AJ$15:$BB$15,$F104,0,OFFSET(ORÇAMENTO!$D$15,CRONO!$F104,0)))
                +IF(AND($F106&lt;&gt;"",$F106&lt;&gt;0),
                        SUMIF(CÁLCULO!$BC$15:$BU$235,CRONO!V$12,CÁLCULO!$AJ$15:$BB$235)/(ORÇAMENTO!$X$15-CÁLCULO.TotalAdmLocal)*CRONO!$F106,
                        0),
                 V105*$S104),
          SUMIF(OFFSET($S106,1,0,$R104-2),($M104+1)&amp;"$",OFFSET(V106,1,0,$R104-2)))</f>
        <v>0</v>
      </c>
      <c r="W106" s="202">
        <f t="array" aca="1" ref="W106" ca="1">IF($R104=2,
         IF(AND(ACOMPANHAMENTO="PLE",ISNUMBER($F104)),
                SUMIF((OFFSET(CÁLCULO!$BC$15:$BU$15,$F104,0,OFFSET(ORÇAMENTO!$D$15,CRONO!$F104,0))),CRONO!W$12,OFFSET(CÁLCULO!$AJ$15:$BB$15,$F104,0,OFFSET(ORÇAMENTO!$D$15,CRONO!$F104,0)))
                +IF(AND($F106&lt;&gt;"",$F106&lt;&gt;0),
                        SUMIF(CÁLCULO!$BC$15:$BU$235,CRONO!W$12,CÁLCULO!$AJ$15:$BB$235)/(ORÇAMENTO!$X$15-CÁLCULO.TotalAdmLocal)*CRONO!$F106,
                        0),
                 W105*$S104),
          SUMIF(OFFSET($S106,1,0,$R104-2),($M104+1)&amp;"$",OFFSET(W106,1,0,$R104-2)))</f>
        <v>0</v>
      </c>
      <c r="X106" s="202">
        <f t="array" aca="1" ref="X106" ca="1">IF($R104=2,
         IF(AND(ACOMPANHAMENTO="PLE",ISNUMBER($F104)),
                SUMIF((OFFSET(CÁLCULO!$BC$15:$BU$15,$F104,0,OFFSET(ORÇAMENTO!$D$15,CRONO!$F104,0))),CRONO!X$12,OFFSET(CÁLCULO!$AJ$15:$BB$15,$F104,0,OFFSET(ORÇAMENTO!$D$15,CRONO!$F104,0)))
                +IF(AND($F106&lt;&gt;"",$F106&lt;&gt;0),
                        SUMIF(CÁLCULO!$BC$15:$BU$235,CRONO!X$12,CÁLCULO!$AJ$15:$BB$235)/(ORÇAMENTO!$X$15-CÁLCULO.TotalAdmLocal)*CRONO!$F106,
                        0),
                 X105*$S104),
          SUMIF(OFFSET($S106,1,0,$R104-2),($M104+1)&amp;"$",OFFSET(X106,1,0,$R104-2)))</f>
        <v>0</v>
      </c>
      <c r="Y106" s="202">
        <f t="array" aca="1" ref="Y106" ca="1">IF($R104=2,
         IF(AND(ACOMPANHAMENTO="PLE",ISNUMBER($F104)),
                SUMIF((OFFSET(CÁLCULO!$BC$15:$BU$15,$F104,0,OFFSET(ORÇAMENTO!$D$15,CRONO!$F104,0))),CRONO!Y$12,OFFSET(CÁLCULO!$AJ$15:$BB$15,$F104,0,OFFSET(ORÇAMENTO!$D$15,CRONO!$F104,0)))
                +IF(AND($F106&lt;&gt;"",$F106&lt;&gt;0),
                        SUMIF(CÁLCULO!$BC$15:$BU$235,CRONO!Y$12,CÁLCULO!$AJ$15:$BB$235)/(ORÇAMENTO!$X$15-CÁLCULO.TotalAdmLocal)*CRONO!$F106,
                        0),
                 Y105*$S104),
          SUMIF(OFFSET($S106,1,0,$R104-2),($M104+1)&amp;"$",OFFSET(Y106,1,0,$R104-2)))</f>
        <v>25090.62</v>
      </c>
      <c r="Z106" s="202">
        <f t="array" aca="1" ref="Z106" ca="1">IF($R104=2,
         IF(AND(ACOMPANHAMENTO="PLE",ISNUMBER($F104)),
                SUMIF((OFFSET(CÁLCULO!$BC$15:$BU$15,$F104,0,OFFSET(ORÇAMENTO!$D$15,CRONO!$F104,0))),CRONO!Z$12,OFFSET(CÁLCULO!$AJ$15:$BB$15,$F104,0,OFFSET(ORÇAMENTO!$D$15,CRONO!$F104,0)))
                +IF(AND($F106&lt;&gt;"",$F106&lt;&gt;0),
                        SUMIF(CÁLCULO!$BC$15:$BU$235,CRONO!Z$12,CÁLCULO!$AJ$15:$BB$235)/(ORÇAMENTO!$X$15-CÁLCULO.TotalAdmLocal)*CRONO!$F106,
                        0),
                 Z105*$S104),
          SUMIF(OFFSET($S106,1,0,$R104-2),($M104+1)&amp;"$",OFFSET(Z106,1,0,$R104-2)))</f>
        <v>25090.62</v>
      </c>
      <c r="AA106" s="202">
        <f t="array" aca="1" ref="AA106" ca="1">IF($R104=2,
         IF(AND(ACOMPANHAMENTO="PLE",ISNUMBER($F104)),
                SUMIF((OFFSET(CÁLCULO!$BC$15:$BU$15,$F104,0,OFFSET(ORÇAMENTO!$D$15,CRONO!$F104,0))),CRONO!AA$12,OFFSET(CÁLCULO!$AJ$15:$BB$15,$F104,0,OFFSET(ORÇAMENTO!$D$15,CRONO!$F104,0)))
                +IF(AND($F106&lt;&gt;"",$F106&lt;&gt;0),
                        SUMIF(CÁLCULO!$BC$15:$BU$235,CRONO!AA$12,CÁLCULO!$AJ$15:$BB$235)/(ORÇAMENTO!$X$15-CÁLCULO.TotalAdmLocal)*CRONO!$F106,
                        0),
                 AA105*$S104),
          SUMIF(OFFSET($S106,1,0,$R104-2),($M104+1)&amp;"$",OFFSET(AA106,1,0,$R104-2)))</f>
        <v>0</v>
      </c>
      <c r="AB106" s="202">
        <f t="array" aca="1" ref="AB106" ca="1">IF($R104=2,
         IF(AND(ACOMPANHAMENTO="PLE",ISNUMBER($F104)),
                SUMIF((OFFSET(CÁLCULO!$BC$15:$BU$15,$F104,0,OFFSET(ORÇAMENTO!$D$15,CRONO!$F104,0))),CRONO!AB$12,OFFSET(CÁLCULO!$AJ$15:$BB$15,$F104,0,OFFSET(ORÇAMENTO!$D$15,CRONO!$F104,0)))
                +IF(AND($F106&lt;&gt;"",$F106&lt;&gt;0),
                        SUMIF(CÁLCULO!$BC$15:$BU$235,CRONO!AB$12,CÁLCULO!$AJ$15:$BB$235)/(ORÇAMENTO!$X$15-CÁLCULO.TotalAdmLocal)*CRONO!$F106,
                        0),
                 AB105*$S104),
          SUMIF(OFFSET($S106,1,0,$R104-2),($M104+1)&amp;"$",OFFSET(AB106,1,0,$R104-2)))</f>
        <v>0</v>
      </c>
      <c r="AC106" s="202">
        <f t="array" aca="1" ref="AC106" ca="1">IF($R104=2,
         IF(AND(ACOMPANHAMENTO="PLE",ISNUMBER($F104)),
                SUMIF((OFFSET(CÁLCULO!$BC$15:$BU$15,$F104,0,OFFSET(ORÇAMENTO!$D$15,CRONO!$F104,0))),CRONO!AC$12,OFFSET(CÁLCULO!$AJ$15:$BB$15,$F104,0,OFFSET(ORÇAMENTO!$D$15,CRONO!$F104,0)))
                +IF(AND($F106&lt;&gt;"",$F106&lt;&gt;0),
                        SUMIF(CÁLCULO!$BC$15:$BU$235,CRONO!AC$12,CÁLCULO!$AJ$15:$BB$235)/(ORÇAMENTO!$X$15-CÁLCULO.TotalAdmLocal)*CRONO!$F106,
                        0),
                 AC105*$S104),
          SUMIF(OFFSET($S106,1,0,$R104-2),($M104+1)&amp;"$",OFFSET(AC106,1,0,$R104-2)))</f>
        <v>0</v>
      </c>
      <c r="AD106" s="202">
        <f t="array" aca="1" ref="AD106" ca="1">IF($R104=2,
         IF(AND(ACOMPANHAMENTO="PLE",ISNUMBER($F104)),
                SUMIF((OFFSET(CÁLCULO!$BC$15:$BU$15,$F104,0,OFFSET(ORÇAMENTO!$D$15,CRONO!$F104,0))),CRONO!AD$12,OFFSET(CÁLCULO!$AJ$15:$BB$15,$F104,0,OFFSET(ORÇAMENTO!$D$15,CRONO!$F104,0)))
                +IF(AND($F106&lt;&gt;"",$F106&lt;&gt;0),
                        SUMIF(CÁLCULO!$BC$15:$BU$235,CRONO!AD$12,CÁLCULO!$AJ$15:$BB$235)/(ORÇAMENTO!$X$15-CÁLCULO.TotalAdmLocal)*CRONO!$F106,
                        0),
                 AD105*$S104),
          SUMIF(OFFSET($S106,1,0,$R104-2),($M104+1)&amp;"$",OFFSET(AD106,1,0,$R104-2)))</f>
        <v>0</v>
      </c>
      <c r="AE106" s="202">
        <f t="array" aca="1" ref="AE106" ca="1">IF($R104=2,
         IF(AND(ACOMPANHAMENTO="PLE",ISNUMBER($F104)),
                SUMIF((OFFSET(CÁLCULO!$BC$15:$BU$15,$F104,0,OFFSET(ORÇAMENTO!$D$15,CRONO!$F104,0))),CRONO!AE$12,OFFSET(CÁLCULO!$AJ$15:$BB$15,$F104,0,OFFSET(ORÇAMENTO!$D$15,CRONO!$F104,0)))
                +IF(AND($F106&lt;&gt;"",$F106&lt;&gt;0),
                        SUMIF(CÁLCULO!$BC$15:$BU$235,CRONO!AE$12,CÁLCULO!$AJ$15:$BB$235)/(ORÇAMENTO!$X$15-CÁLCULO.TotalAdmLocal)*CRONO!$F106,
                        0),
                 AE105*$S104),
          SUMIF(OFFSET($S106,1,0,$R104-2),($M104+1)&amp;"$",OFFSET(AE106,1,0,$R104-2)))</f>
        <v>0</v>
      </c>
      <c r="AF106" s="202">
        <f t="array" aca="1" ref="AF106" ca="1">IF($R104=2,
         IF(AND(ACOMPANHAMENTO="PLE",ISNUMBER($F104)),
                SUMIF((OFFSET(CÁLCULO!$BC$15:$BU$15,$F104,0,OFFSET(ORÇAMENTO!$D$15,CRONO!$F104,0))),CRONO!AF$12,OFFSET(CÁLCULO!$AJ$15:$BB$15,$F104,0,OFFSET(ORÇAMENTO!$D$15,CRONO!$F104,0)))
                +IF(AND($F106&lt;&gt;"",$F106&lt;&gt;0),
                        SUMIF(CÁLCULO!$BC$15:$BU$235,CRONO!AF$12,CÁLCULO!$AJ$15:$BB$235)/(ORÇAMENTO!$X$15-CÁLCULO.TotalAdmLocal)*CRONO!$F106,
                        0),
                 AF105*$S104),
          SUMIF(OFFSET($S106,1,0,$R104-2),($M104+1)&amp;"$",OFFSET(AF106,1,0,$R104-2)))</f>
        <v>0</v>
      </c>
      <c r="AG106" s="532"/>
    </row>
    <row r="107" spans="1:33" x14ac:dyDescent="0.2">
      <c r="A107" s="186" t="str">
        <f ca="1">IF($M107&gt;1,_xlfn.CONCAT($I107," ",$J107),"")</f>
        <v>1.31. ACESSÓRIOS/CAIXAS</v>
      </c>
      <c r="B107" s="185">
        <f ca="1">OFFSET(B107,-3,0)+1</f>
        <v>32</v>
      </c>
      <c r="C107" s="185">
        <f ca="1">IF($R107&lt;&gt;2,0,IF($S107=0,1,IF(F108&gt;0,OFFSET(QCI!$M$13,SUBSTITUTE(F108,".",""),0),OFFSET(ORÇAMENTO!$AA$15,CRONO!$F107,0))/$S107))</f>
        <v>0</v>
      </c>
      <c r="D107" s="185">
        <f ca="1">IF($R107&lt;&gt;2,0,IF($S107=0,1,IF(F108&gt;0,OFFSET(QCI!$N$13,SUBSTITUTE(F108,".",""),0),OFFSET(ORÇAMENTO!$AB$15,CRONO!$F107,0))/$S107))</f>
        <v>0</v>
      </c>
      <c r="E107" s="188">
        <f t="array" aca="1" ref="E107" ca="1">IF(AND($R107=2,ACOMPANHAMENTO="BM"),ROUND(E108,4),E109/$S107)</f>
        <v>0</v>
      </c>
      <c r="F107" s="185">
        <f t="array" aca="1" ref="F107" ca="1">IF(B107&lt;=ORÇAMENTO.MáximoListaCrono,MATCH(B107,ORÇAMENTO.ListaCrono,0),NA())</f>
        <v>194</v>
      </c>
      <c r="G107" s="185" t="str">
        <f ca="1">IF(AND($F108&lt;&gt;-1,$S107&gt;0),"F","")</f>
        <v>F</v>
      </c>
      <c r="H107" s="189" t="str">
        <f t="array" aca="1" ref="H107" ca="1">IF(OR(S107=0,S107=""),"Linha",IF(AND(OR(ACOMPANHAMENTO="PLE",$R107&lt;&gt;2),$F108=0),"Linha",ROUND(1-SUM(U107:AG107),4)))</f>
        <v>Linha</v>
      </c>
      <c r="I107" s="190" t="str">
        <f ca="1">IF($F108=0,OFFSET(ORÇAMENTO!O$15,$F107,0),IF($F108&lt;&gt;-1,OFFSET(QCI!$D$13,$F108,0),""))</f>
        <v>1.31.</v>
      </c>
      <c r="J107" s="191" t="str">
        <f ca="1">IF($F108=0,OFFSET(ORÇAMENTO!R$15,$F107,0),IF($F108&lt;&gt;-1,OFFSET(QCI!$G$13,$F108,0),""))</f>
        <v>ACESSÓRIOS/CAIXAS</v>
      </c>
      <c r="K107" s="191"/>
      <c r="L107" s="191"/>
      <c r="M107" s="192">
        <f ca="1">IF($F108=0,OFFSET(ORÇAMENTO!C$15,$F107,0),1)</f>
        <v>2</v>
      </c>
      <c r="N107" s="193">
        <f ca="1">IF($F108=-1,0,IF(N$13&lt;=$M107,IF(ISERROR(MATCH(N$13,OFFSET($M107,1,0,ROW($M$119)-ROW($M107)-1),0)),ROW($M$119)-ROW($M107)-1,MATCH(N$13,OFFSET($M107,1,0,ROW($M$119)-ROW($M107)-1),0)-1),0))</f>
        <v>11</v>
      </c>
      <c r="O107" s="193">
        <f ca="1">IF($F108=-1,0,IF(O$13&lt;=$M107,IF(ISERROR(MATCH(O$13,OFFSET($M107,1,0,ROW($M$119)-ROW($M107)-1),0)),ROW($M$119)-ROW($M107)-1,MATCH(O$13,OFFSET($M107,1,0,ROW($M$119)-ROW($M107)-1),0)-1),0))</f>
        <v>2</v>
      </c>
      <c r="P107" s="193">
        <f ca="1">IF($F108=-1,0,IF(P$13&lt;=$M107,IF(ISERROR(MATCH(P$13,OFFSET($M107,1,0,ROW($M$119)-ROW($M107)-1),0)),ROW($M$119)-ROW($M107)-1,MATCH(P$13,OFFSET($M107,1,0,ROW($M$119)-ROW($M107)-1),0)-1),0))</f>
        <v>0</v>
      </c>
      <c r="Q107" s="193">
        <f ca="1">IF($F108=-1,0,IF(Q$13&lt;=$M107,IF(ISERROR(MATCH(Q$13,OFFSET($M107,1,0,ROW($M$119)-ROW($M107)-1),0)),ROW($M$119)-ROW($M107)-1,MATCH(Q$13,OFFSET($M107,1,0,ROW($M$119)-ROW($M107)-1),0)-1),0))</f>
        <v>0</v>
      </c>
      <c r="R107" s="193">
        <f ca="1">MIN(OFFSET(M107,0,1,,M107))</f>
        <v>2</v>
      </c>
      <c r="S107" s="194">
        <f ca="1">IF($F108=0,OFFSET(ORÇAMENTO!X$15,$F107,0),IF($F108&lt;&gt;-1,OFFSET(QCI!$O$13,$F108,0),""))</f>
        <v>77113.399999999994</v>
      </c>
      <c r="T107" s="195" t="s">
        <v>785</v>
      </c>
      <c r="U107" s="188">
        <f t="array" aca="1" ref="U107" ca="1">IF(AND($R107=2,ACOMPANHAMENTO="BM"),ROUND(U108,4),U109/$S107)</f>
        <v>0</v>
      </c>
      <c r="V107" s="188">
        <f t="array" aca="1" ref="V107" ca="1">IF(AND($R107=2,ACOMPANHAMENTO="BM"),ROUND(V108,4),V109/$S107)</f>
        <v>0</v>
      </c>
      <c r="W107" s="188">
        <f t="array" aca="1" ref="W107" ca="1">IF(AND($R107=2,ACOMPANHAMENTO="BM"),ROUND(W108,4),W109/$S107)</f>
        <v>0</v>
      </c>
      <c r="X107" s="188">
        <f t="array" aca="1" ref="X107" ca="1">IF(AND($R107=2,ACOMPANHAMENTO="BM"),ROUND(X108,4),X109/$S107)</f>
        <v>0</v>
      </c>
      <c r="Y107" s="188">
        <f t="array" aca="1" ref="Y107" ca="1">IF(AND($R107=2,ACOMPANHAMENTO="BM"),ROUND(Y108,4),Y109/$S107)</f>
        <v>0.5</v>
      </c>
      <c r="Z107" s="188">
        <f t="array" aca="1" ref="Z107" ca="1">IF(AND($R107=2,ACOMPANHAMENTO="BM"),ROUND(Z108,4),Z109/$S107)</f>
        <v>0.5</v>
      </c>
      <c r="AA107" s="188">
        <f t="array" aca="1" ref="AA107" ca="1">IF(AND($R107=2,ACOMPANHAMENTO="BM"),ROUND(AA108,4),AA109/$S107)</f>
        <v>0</v>
      </c>
      <c r="AB107" s="188">
        <f t="array" aca="1" ref="AB107" ca="1">IF(AND($R107=2,ACOMPANHAMENTO="BM"),ROUND(AB108,4),AB109/$S107)</f>
        <v>0</v>
      </c>
      <c r="AC107" s="188">
        <f t="array" aca="1" ref="AC107" ca="1">IF(AND($R107=2,ACOMPANHAMENTO="BM"),ROUND(AC108,4),AC109/$S107)</f>
        <v>0</v>
      </c>
      <c r="AD107" s="188">
        <f t="array" aca="1" ref="AD107" ca="1">IF(AND($R107=2,ACOMPANHAMENTO="BM"),ROUND(AD108,4),AD109/$S107)</f>
        <v>0</v>
      </c>
      <c r="AE107" s="188">
        <f t="array" aca="1" ref="AE107" ca="1">IF(AND($R107=2,ACOMPANHAMENTO="BM"),ROUND(AE108,4),AE109/$S107)</f>
        <v>0</v>
      </c>
      <c r="AF107" s="188">
        <f t="array" aca="1" ref="AF107" ca="1">IF(AND($R107=2,ACOMPANHAMENTO="BM"),ROUND(AF108,4),AF109/$S107)</f>
        <v>0</v>
      </c>
      <c r="AG107" s="532"/>
    </row>
    <row r="108" spans="1:33" ht="12.75" customHeight="1" x14ac:dyDescent="0.2">
      <c r="E108" s="585"/>
      <c r="F108" s="185">
        <f ca="1">IF(ISERROR(F107),IF(1+COUNTIF($M$13:OFFSET(M107,-1,0),1)&lt;=MAX(QCI!$D$13:$D$24),1+COUNTIF($M$13:OFFSET(M107,-1,0),1),-1),0)</f>
        <v>0</v>
      </c>
      <c r="G108" s="185" t="str">
        <f t="array" aca="1" ref="G108" ca="1">IF(ACOMPANHAMENTO="BM",OFFSET(G108,-1,0),"")</f>
        <v/>
      </c>
      <c r="H108" s="196" t="str">
        <f t="array" aca="1" ref="H108" ca="1">IF(OR(S107=0,S107=""),"vazia",IF(AND(OR(ACOMPANHAMENTO="PLE",$R107&lt;&gt;2),$F108=0),"calculada","--&gt;"))</f>
        <v>calculada</v>
      </c>
      <c r="I108" s="197"/>
      <c r="J108" s="198" t="str">
        <f ca="1">IF(AND(H107&lt;&gt;0,ISNUMBER(H107)),"PREENCHA ESTA LINHA --&gt;","")</f>
        <v/>
      </c>
      <c r="K108" s="198"/>
      <c r="L108" s="198"/>
      <c r="M108" s="199"/>
      <c r="N108" s="199"/>
      <c r="O108" s="199"/>
      <c r="P108" s="199"/>
      <c r="Q108" s="199"/>
      <c r="R108" s="199"/>
      <c r="S108" s="200"/>
      <c r="T108" s="201"/>
      <c r="U108" s="585"/>
      <c r="V108" s="585"/>
      <c r="W108" s="585"/>
      <c r="X108" s="585"/>
      <c r="Y108" s="585"/>
      <c r="Z108" s="585"/>
      <c r="AA108" s="585"/>
      <c r="AB108" s="585"/>
      <c r="AC108" s="585"/>
      <c r="AD108" s="585"/>
      <c r="AE108" s="585"/>
      <c r="AF108" s="585"/>
      <c r="AG108" s="532"/>
    </row>
    <row r="109" spans="1:33" ht="12.75" customHeight="1" x14ac:dyDescent="0.2">
      <c r="D109" s="531"/>
      <c r="E109" s="202">
        <f t="array" aca="1" ref="E109" ca="1">IF($R107=2,
         IF(AND(ACOMPANHAMENTO="PLE",ISNUMBER($F107)),
                SUMIF((OFFSET(CÁLCULO!$BC$15:$BU$15,$F107,0,OFFSET(ORÇAMENTO!$D$15,CRONO!$F107,0))),CRONO!E$12,OFFSET(CÁLCULO!$AJ$15:$BB$15,$F107,0,OFFSET(ORÇAMENTO!$D$15,CRONO!$F107,0)))
                +IF(AND($F109&lt;&gt;"",$F109&lt;&gt;0),
                        SUMIF(CÁLCULO!$BC$15:$BU$235,CRONO!E$12,CÁLCULO!$AJ$15:$BB$235)/(ORÇAMENTO!$X$15-CÁLCULO.TotalAdmLocal)*CRONO!$F109,
                        0),
                 E108*$S107),
          SUMIF(OFFSET($S109,1,0,$R107-2),($M107+1)&amp;"$",OFFSET(E109,1,0,$R107-2)))</f>
        <v>0</v>
      </c>
      <c r="F109" s="185">
        <f ca="1">IF(OR($R107&lt;&gt;2,AUTOEVENTO&lt;&gt;"manual",$F108&gt;0),"",
        IF(Import.TipoArredondamento="Tradicional",
              SUMIF(OFFSET(CÁLCULO!$M$15,CRONO!$F107,0,OFFSET(ORÇAMENTO!$D$15,CRONO!$F107,0)),1,OFFSET(ORÇAMENTO!$X$15,CRONO!$F107,0,OFFSET(ORÇAMENTO!$D$15,CRONO!$F107,0))),
              0))</f>
        <v>0</v>
      </c>
      <c r="H109" s="693"/>
      <c r="S109" s="204" t="str">
        <f ca="1">M107&amp;"$"</f>
        <v>2$</v>
      </c>
      <c r="T109" s="205"/>
      <c r="U109" s="202">
        <f t="array" aca="1" ref="U109" ca="1">IF($R107=2,
         IF(AND(ACOMPANHAMENTO="PLE",ISNUMBER($F107)),
                SUMIF((OFFSET(CÁLCULO!$BC$15:$BU$15,$F107,0,OFFSET(ORÇAMENTO!$D$15,CRONO!$F107,0))),CRONO!U$12,OFFSET(CÁLCULO!$AJ$15:$BB$15,$F107,0,OFFSET(ORÇAMENTO!$D$15,CRONO!$F107,0)))
                +IF(AND($F109&lt;&gt;"",$F109&lt;&gt;0),
                        SUMIF(CÁLCULO!$BC$15:$BU$235,CRONO!U$12,CÁLCULO!$AJ$15:$BB$235)/(ORÇAMENTO!$X$15-CÁLCULO.TotalAdmLocal)*CRONO!$F109,
                        0),
                 U108*$S107),
          SUMIF(OFFSET($S109,1,0,$R107-2),($M107+1)&amp;"$",OFFSET(U109,1,0,$R107-2)))</f>
        <v>0</v>
      </c>
      <c r="V109" s="202">
        <f t="array" aca="1" ref="V109" ca="1">IF($R107=2,
         IF(AND(ACOMPANHAMENTO="PLE",ISNUMBER($F107)),
                SUMIF((OFFSET(CÁLCULO!$BC$15:$BU$15,$F107,0,OFFSET(ORÇAMENTO!$D$15,CRONO!$F107,0))),CRONO!V$12,OFFSET(CÁLCULO!$AJ$15:$BB$15,$F107,0,OFFSET(ORÇAMENTO!$D$15,CRONO!$F107,0)))
                +IF(AND($F109&lt;&gt;"",$F109&lt;&gt;0),
                        SUMIF(CÁLCULO!$BC$15:$BU$235,CRONO!V$12,CÁLCULO!$AJ$15:$BB$235)/(ORÇAMENTO!$X$15-CÁLCULO.TotalAdmLocal)*CRONO!$F109,
                        0),
                 V108*$S107),
          SUMIF(OFFSET($S109,1,0,$R107-2),($M107+1)&amp;"$",OFFSET(V109,1,0,$R107-2)))</f>
        <v>0</v>
      </c>
      <c r="W109" s="202">
        <f t="array" aca="1" ref="W109" ca="1">IF($R107=2,
         IF(AND(ACOMPANHAMENTO="PLE",ISNUMBER($F107)),
                SUMIF((OFFSET(CÁLCULO!$BC$15:$BU$15,$F107,0,OFFSET(ORÇAMENTO!$D$15,CRONO!$F107,0))),CRONO!W$12,OFFSET(CÁLCULO!$AJ$15:$BB$15,$F107,0,OFFSET(ORÇAMENTO!$D$15,CRONO!$F107,0)))
                +IF(AND($F109&lt;&gt;"",$F109&lt;&gt;0),
                        SUMIF(CÁLCULO!$BC$15:$BU$235,CRONO!W$12,CÁLCULO!$AJ$15:$BB$235)/(ORÇAMENTO!$X$15-CÁLCULO.TotalAdmLocal)*CRONO!$F109,
                        0),
                 W108*$S107),
          SUMIF(OFFSET($S109,1,0,$R107-2),($M107+1)&amp;"$",OFFSET(W109,1,0,$R107-2)))</f>
        <v>0</v>
      </c>
      <c r="X109" s="202">
        <f t="array" aca="1" ref="X109" ca="1">IF($R107=2,
         IF(AND(ACOMPANHAMENTO="PLE",ISNUMBER($F107)),
                SUMIF((OFFSET(CÁLCULO!$BC$15:$BU$15,$F107,0,OFFSET(ORÇAMENTO!$D$15,CRONO!$F107,0))),CRONO!X$12,OFFSET(CÁLCULO!$AJ$15:$BB$15,$F107,0,OFFSET(ORÇAMENTO!$D$15,CRONO!$F107,0)))
                +IF(AND($F109&lt;&gt;"",$F109&lt;&gt;0),
                        SUMIF(CÁLCULO!$BC$15:$BU$235,CRONO!X$12,CÁLCULO!$AJ$15:$BB$235)/(ORÇAMENTO!$X$15-CÁLCULO.TotalAdmLocal)*CRONO!$F109,
                        0),
                 X108*$S107),
          SUMIF(OFFSET($S109,1,0,$R107-2),($M107+1)&amp;"$",OFFSET(X109,1,0,$R107-2)))</f>
        <v>0</v>
      </c>
      <c r="Y109" s="202">
        <f t="array" aca="1" ref="Y109" ca="1">IF($R107=2,
         IF(AND(ACOMPANHAMENTO="PLE",ISNUMBER($F107)),
                SUMIF((OFFSET(CÁLCULO!$BC$15:$BU$15,$F107,0,OFFSET(ORÇAMENTO!$D$15,CRONO!$F107,0))),CRONO!Y$12,OFFSET(CÁLCULO!$AJ$15:$BB$15,$F107,0,OFFSET(ORÇAMENTO!$D$15,CRONO!$F107,0)))
                +IF(AND($F109&lt;&gt;"",$F109&lt;&gt;0),
                        SUMIF(CÁLCULO!$BC$15:$BU$235,CRONO!Y$12,CÁLCULO!$AJ$15:$BB$235)/(ORÇAMENTO!$X$15-CÁLCULO.TotalAdmLocal)*CRONO!$F109,
                        0),
                 Y108*$S107),
          SUMIF(OFFSET($S109,1,0,$R107-2),($M107+1)&amp;"$",OFFSET(Y109,1,0,$R107-2)))</f>
        <v>38556.699999999997</v>
      </c>
      <c r="Z109" s="202">
        <f t="array" aca="1" ref="Z109" ca="1">IF($R107=2,
         IF(AND(ACOMPANHAMENTO="PLE",ISNUMBER($F107)),
                SUMIF((OFFSET(CÁLCULO!$BC$15:$BU$15,$F107,0,OFFSET(ORÇAMENTO!$D$15,CRONO!$F107,0))),CRONO!Z$12,OFFSET(CÁLCULO!$AJ$15:$BB$15,$F107,0,OFFSET(ORÇAMENTO!$D$15,CRONO!$F107,0)))
                +IF(AND($F109&lt;&gt;"",$F109&lt;&gt;0),
                        SUMIF(CÁLCULO!$BC$15:$BU$235,CRONO!Z$12,CÁLCULO!$AJ$15:$BB$235)/(ORÇAMENTO!$X$15-CÁLCULO.TotalAdmLocal)*CRONO!$F109,
                        0),
                 Z108*$S107),
          SUMIF(OFFSET($S109,1,0,$R107-2),($M107+1)&amp;"$",OFFSET(Z109,1,0,$R107-2)))</f>
        <v>38556.699999999997</v>
      </c>
      <c r="AA109" s="202">
        <f t="array" aca="1" ref="AA109" ca="1">IF($R107=2,
         IF(AND(ACOMPANHAMENTO="PLE",ISNUMBER($F107)),
                SUMIF((OFFSET(CÁLCULO!$BC$15:$BU$15,$F107,0,OFFSET(ORÇAMENTO!$D$15,CRONO!$F107,0))),CRONO!AA$12,OFFSET(CÁLCULO!$AJ$15:$BB$15,$F107,0,OFFSET(ORÇAMENTO!$D$15,CRONO!$F107,0)))
                +IF(AND($F109&lt;&gt;"",$F109&lt;&gt;0),
                        SUMIF(CÁLCULO!$BC$15:$BU$235,CRONO!AA$12,CÁLCULO!$AJ$15:$BB$235)/(ORÇAMENTO!$X$15-CÁLCULO.TotalAdmLocal)*CRONO!$F109,
                        0),
                 AA108*$S107),
          SUMIF(OFFSET($S109,1,0,$R107-2),($M107+1)&amp;"$",OFFSET(AA109,1,0,$R107-2)))</f>
        <v>0</v>
      </c>
      <c r="AB109" s="202">
        <f t="array" aca="1" ref="AB109" ca="1">IF($R107=2,
         IF(AND(ACOMPANHAMENTO="PLE",ISNUMBER($F107)),
                SUMIF((OFFSET(CÁLCULO!$BC$15:$BU$15,$F107,0,OFFSET(ORÇAMENTO!$D$15,CRONO!$F107,0))),CRONO!AB$12,OFFSET(CÁLCULO!$AJ$15:$BB$15,$F107,0,OFFSET(ORÇAMENTO!$D$15,CRONO!$F107,0)))
                +IF(AND($F109&lt;&gt;"",$F109&lt;&gt;0),
                        SUMIF(CÁLCULO!$BC$15:$BU$235,CRONO!AB$12,CÁLCULO!$AJ$15:$BB$235)/(ORÇAMENTO!$X$15-CÁLCULO.TotalAdmLocal)*CRONO!$F109,
                        0),
                 AB108*$S107),
          SUMIF(OFFSET($S109,1,0,$R107-2),($M107+1)&amp;"$",OFFSET(AB109,1,0,$R107-2)))</f>
        <v>0</v>
      </c>
      <c r="AC109" s="202">
        <f t="array" aca="1" ref="AC109" ca="1">IF($R107=2,
         IF(AND(ACOMPANHAMENTO="PLE",ISNUMBER($F107)),
                SUMIF((OFFSET(CÁLCULO!$BC$15:$BU$15,$F107,0,OFFSET(ORÇAMENTO!$D$15,CRONO!$F107,0))),CRONO!AC$12,OFFSET(CÁLCULO!$AJ$15:$BB$15,$F107,0,OFFSET(ORÇAMENTO!$D$15,CRONO!$F107,0)))
                +IF(AND($F109&lt;&gt;"",$F109&lt;&gt;0),
                        SUMIF(CÁLCULO!$BC$15:$BU$235,CRONO!AC$12,CÁLCULO!$AJ$15:$BB$235)/(ORÇAMENTO!$X$15-CÁLCULO.TotalAdmLocal)*CRONO!$F109,
                        0),
                 AC108*$S107),
          SUMIF(OFFSET($S109,1,0,$R107-2),($M107+1)&amp;"$",OFFSET(AC109,1,0,$R107-2)))</f>
        <v>0</v>
      </c>
      <c r="AD109" s="202">
        <f t="array" aca="1" ref="AD109" ca="1">IF($R107=2,
         IF(AND(ACOMPANHAMENTO="PLE",ISNUMBER($F107)),
                SUMIF((OFFSET(CÁLCULO!$BC$15:$BU$15,$F107,0,OFFSET(ORÇAMENTO!$D$15,CRONO!$F107,0))),CRONO!AD$12,OFFSET(CÁLCULO!$AJ$15:$BB$15,$F107,0,OFFSET(ORÇAMENTO!$D$15,CRONO!$F107,0)))
                +IF(AND($F109&lt;&gt;"",$F109&lt;&gt;0),
                        SUMIF(CÁLCULO!$BC$15:$BU$235,CRONO!AD$12,CÁLCULO!$AJ$15:$BB$235)/(ORÇAMENTO!$X$15-CÁLCULO.TotalAdmLocal)*CRONO!$F109,
                        0),
                 AD108*$S107),
          SUMIF(OFFSET($S109,1,0,$R107-2),($M107+1)&amp;"$",OFFSET(AD109,1,0,$R107-2)))</f>
        <v>0</v>
      </c>
      <c r="AE109" s="202">
        <f t="array" aca="1" ref="AE109" ca="1">IF($R107=2,
         IF(AND(ACOMPANHAMENTO="PLE",ISNUMBER($F107)),
                SUMIF((OFFSET(CÁLCULO!$BC$15:$BU$15,$F107,0,OFFSET(ORÇAMENTO!$D$15,CRONO!$F107,0))),CRONO!AE$12,OFFSET(CÁLCULO!$AJ$15:$BB$15,$F107,0,OFFSET(ORÇAMENTO!$D$15,CRONO!$F107,0)))
                +IF(AND($F109&lt;&gt;"",$F109&lt;&gt;0),
                        SUMIF(CÁLCULO!$BC$15:$BU$235,CRONO!AE$12,CÁLCULO!$AJ$15:$BB$235)/(ORÇAMENTO!$X$15-CÁLCULO.TotalAdmLocal)*CRONO!$F109,
                        0),
                 AE108*$S107),
          SUMIF(OFFSET($S109,1,0,$R107-2),($M107+1)&amp;"$",OFFSET(AE109,1,0,$R107-2)))</f>
        <v>0</v>
      </c>
      <c r="AF109" s="202">
        <f t="array" aca="1" ref="AF109" ca="1">IF($R107=2,
         IF(AND(ACOMPANHAMENTO="PLE",ISNUMBER($F107)),
                SUMIF((OFFSET(CÁLCULO!$BC$15:$BU$15,$F107,0,OFFSET(ORÇAMENTO!$D$15,CRONO!$F107,0))),CRONO!AF$12,OFFSET(CÁLCULO!$AJ$15:$BB$15,$F107,0,OFFSET(ORÇAMENTO!$D$15,CRONO!$F107,0)))
                +IF(AND($F109&lt;&gt;"",$F109&lt;&gt;0),
                        SUMIF(CÁLCULO!$BC$15:$BU$235,CRONO!AF$12,CÁLCULO!$AJ$15:$BB$235)/(ORÇAMENTO!$X$15-CÁLCULO.TotalAdmLocal)*CRONO!$F109,
                        0),
                 AF108*$S107),
          SUMIF(OFFSET($S109,1,0,$R107-2),($M107+1)&amp;"$",OFFSET(AF109,1,0,$R107-2)))</f>
        <v>0</v>
      </c>
      <c r="AG109" s="532"/>
    </row>
    <row r="110" spans="1:33" x14ac:dyDescent="0.2">
      <c r="A110" s="186" t="str">
        <f ca="1">IF($M110&gt;1,_xlfn.CONCAT($I110," ",$J110),"")</f>
        <v>1.32. LOUÇAS</v>
      </c>
      <c r="B110" s="185">
        <f ca="1">OFFSET(B110,-3,0)+1</f>
        <v>33</v>
      </c>
      <c r="C110" s="185">
        <f ca="1">IF($R110&lt;&gt;2,0,IF($S110=0,1,IF(F111&gt;0,OFFSET(QCI!$M$13,SUBSTITUTE(F111,".",""),0),OFFSET(ORÇAMENTO!$AA$15,CRONO!$F110,0))/$S110))</f>
        <v>0</v>
      </c>
      <c r="D110" s="185">
        <f ca="1">IF($R110&lt;&gt;2,0,IF($S110=0,1,IF(F111&gt;0,OFFSET(QCI!$N$13,SUBSTITUTE(F111,".",""),0),OFFSET(ORÇAMENTO!$AB$15,CRONO!$F110,0))/$S110))</f>
        <v>0</v>
      </c>
      <c r="E110" s="188">
        <f t="array" aca="1" ref="E110" ca="1">IF(AND($R110=2,ACOMPANHAMENTO="BM"),ROUND(E111,4),E112/$S110)</f>
        <v>0</v>
      </c>
      <c r="F110" s="185">
        <f t="array" aca="1" ref="F110" ca="1">IF(B110&lt;=ORÇAMENTO.MáximoListaCrono,MATCH(B110,ORÇAMENTO.ListaCrono,0),NA())</f>
        <v>200</v>
      </c>
      <c r="G110" s="185" t="str">
        <f ca="1">IF(AND($F111&lt;&gt;-1,$S110&gt;0),"F","")</f>
        <v>F</v>
      </c>
      <c r="H110" s="189" t="str">
        <f t="array" aca="1" ref="H110" ca="1">IF(OR(S110=0,S110=""),"Linha",IF(AND(OR(ACOMPANHAMENTO="PLE",$R110&lt;&gt;2),$F111=0),"Linha",ROUND(1-SUM(U110:AG110),4)))</f>
        <v>Linha</v>
      </c>
      <c r="I110" s="190" t="str">
        <f ca="1">IF($F111=0,OFFSET(ORÇAMENTO!O$15,$F110,0),IF($F111&lt;&gt;-1,OFFSET(QCI!$D$13,$F111,0),""))</f>
        <v>1.32.</v>
      </c>
      <c r="J110" s="191" t="str">
        <f ca="1">IF($F111=0,OFFSET(ORÇAMENTO!R$15,$F110,0),IF($F111&lt;&gt;-1,OFFSET(QCI!$G$13,$F111,0),""))</f>
        <v>LOUÇAS</v>
      </c>
      <c r="K110" s="191"/>
      <c r="L110" s="191"/>
      <c r="M110" s="192">
        <f ca="1">IF($F111=0,OFFSET(ORÇAMENTO!C$15,$F110,0),1)</f>
        <v>2</v>
      </c>
      <c r="N110" s="193">
        <f ca="1">IF($F111=-1,0,IF(N$13&lt;=$M110,IF(ISERROR(MATCH(N$13,OFFSET($M110,1,0,ROW($M$119)-ROW($M110)-1),0)),ROW($M$119)-ROW($M110)-1,MATCH(N$13,OFFSET($M110,1,0,ROW($M$119)-ROW($M110)-1),0)-1),0))</f>
        <v>8</v>
      </c>
      <c r="O110" s="193">
        <f ca="1">IF($F111=-1,0,IF(O$13&lt;=$M110,IF(ISERROR(MATCH(O$13,OFFSET($M110,1,0,ROW($M$119)-ROW($M110)-1),0)),ROW($M$119)-ROW($M110)-1,MATCH(O$13,OFFSET($M110,1,0,ROW($M$119)-ROW($M110)-1),0)-1),0))</f>
        <v>2</v>
      </c>
      <c r="P110" s="193">
        <f ca="1">IF($F111=-1,0,IF(P$13&lt;=$M110,IF(ISERROR(MATCH(P$13,OFFSET($M110,1,0,ROW($M$119)-ROW($M110)-1),0)),ROW($M$119)-ROW($M110)-1,MATCH(P$13,OFFSET($M110,1,0,ROW($M$119)-ROW($M110)-1),0)-1),0))</f>
        <v>0</v>
      </c>
      <c r="Q110" s="193">
        <f ca="1">IF($F111=-1,0,IF(Q$13&lt;=$M110,IF(ISERROR(MATCH(Q$13,OFFSET($M110,1,0,ROW($M$119)-ROW($M110)-1),0)),ROW($M$119)-ROW($M110)-1,MATCH(Q$13,OFFSET($M110,1,0,ROW($M$119)-ROW($M110)-1),0)-1),0))</f>
        <v>0</v>
      </c>
      <c r="R110" s="193">
        <f ca="1">MIN(OFFSET(M110,0,1,,M110))</f>
        <v>2</v>
      </c>
      <c r="S110" s="194">
        <f ca="1">IF($F111=0,OFFSET(ORÇAMENTO!X$15,$F110,0),IF($F111&lt;&gt;-1,OFFSET(QCI!$O$13,$F111,0),""))</f>
        <v>19107</v>
      </c>
      <c r="T110" s="195" t="s">
        <v>785</v>
      </c>
      <c r="U110" s="188">
        <f t="array" aca="1" ref="U110" ca="1">IF(AND($R110=2,ACOMPANHAMENTO="BM"),ROUND(U111,4),U112/$S110)</f>
        <v>0</v>
      </c>
      <c r="V110" s="188">
        <f t="array" aca="1" ref="V110" ca="1">IF(AND($R110=2,ACOMPANHAMENTO="BM"),ROUND(V111,4),V112/$S110)</f>
        <v>0</v>
      </c>
      <c r="W110" s="188">
        <f t="array" aca="1" ref="W110" ca="1">IF(AND($R110=2,ACOMPANHAMENTO="BM"),ROUND(W111,4),W112/$S110)</f>
        <v>0</v>
      </c>
      <c r="X110" s="188">
        <f t="array" aca="1" ref="X110" ca="1">IF(AND($R110=2,ACOMPANHAMENTO="BM"),ROUND(X111,4),X112/$S110)</f>
        <v>0</v>
      </c>
      <c r="Y110" s="188">
        <f t="array" aca="1" ref="Y110" ca="1">IF(AND($R110=2,ACOMPANHAMENTO="BM"),ROUND(Y111,4),Y112/$S110)</f>
        <v>0</v>
      </c>
      <c r="Z110" s="188">
        <f t="array" aca="1" ref="Z110" ca="1">IF(AND($R110=2,ACOMPANHAMENTO="BM"),ROUND(Z111,4),Z112/$S110)</f>
        <v>0</v>
      </c>
      <c r="AA110" s="188">
        <f t="array" aca="1" ref="AA110" ca="1">IF(AND($R110=2,ACOMPANHAMENTO="BM"),ROUND(AA111,4),AA112/$S110)</f>
        <v>0</v>
      </c>
      <c r="AB110" s="188">
        <f t="array" aca="1" ref="AB110" ca="1">IF(AND($R110=2,ACOMPANHAMENTO="BM"),ROUND(AB111,4),AB112/$S110)</f>
        <v>0</v>
      </c>
      <c r="AC110" s="188">
        <f t="array" aca="1" ref="AC110" ca="1">IF(AND($R110=2,ACOMPANHAMENTO="BM"),ROUND(AC111,4),AC112/$S110)</f>
        <v>1</v>
      </c>
      <c r="AD110" s="188">
        <f t="array" aca="1" ref="AD110" ca="1">IF(AND($R110=2,ACOMPANHAMENTO="BM"),ROUND(AD111,4),AD112/$S110)</f>
        <v>0</v>
      </c>
      <c r="AE110" s="188">
        <f t="array" aca="1" ref="AE110" ca="1">IF(AND($R110=2,ACOMPANHAMENTO="BM"),ROUND(AE111,4),AE112/$S110)</f>
        <v>0</v>
      </c>
      <c r="AF110" s="188">
        <f t="array" aca="1" ref="AF110" ca="1">IF(AND($R110=2,ACOMPANHAMENTO="BM"),ROUND(AF111,4),AF112/$S110)</f>
        <v>0</v>
      </c>
      <c r="AG110" s="532"/>
    </row>
    <row r="111" spans="1:33" ht="12.75" customHeight="1" x14ac:dyDescent="0.2">
      <c r="E111" s="585"/>
      <c r="F111" s="185">
        <f ca="1">IF(ISERROR(F110),IF(1+COUNTIF($M$13:OFFSET(M110,-1,0),1)&lt;=MAX(QCI!$D$13:$D$24),1+COUNTIF($M$13:OFFSET(M110,-1,0),1),-1),0)</f>
        <v>0</v>
      </c>
      <c r="G111" s="185" t="str">
        <f t="array" aca="1" ref="G111" ca="1">IF(ACOMPANHAMENTO="BM",OFFSET(G111,-1,0),"")</f>
        <v/>
      </c>
      <c r="H111" s="196" t="str">
        <f t="array" aca="1" ref="H111" ca="1">IF(OR(S110=0,S110=""),"vazia",IF(AND(OR(ACOMPANHAMENTO="PLE",$R110&lt;&gt;2),$F111=0),"calculada","--&gt;"))</f>
        <v>calculada</v>
      </c>
      <c r="I111" s="197"/>
      <c r="J111" s="198" t="str">
        <f ca="1">IF(AND(H110&lt;&gt;0,ISNUMBER(H110)),"PREENCHA ESTA LINHA --&gt;","")</f>
        <v/>
      </c>
      <c r="K111" s="198"/>
      <c r="L111" s="198"/>
      <c r="M111" s="199"/>
      <c r="N111" s="199"/>
      <c r="O111" s="199"/>
      <c r="P111" s="199"/>
      <c r="Q111" s="199"/>
      <c r="R111" s="199"/>
      <c r="S111" s="200"/>
      <c r="T111" s="201"/>
      <c r="U111" s="585"/>
      <c r="V111" s="585"/>
      <c r="W111" s="585"/>
      <c r="X111" s="585"/>
      <c r="Y111" s="585"/>
      <c r="Z111" s="585"/>
      <c r="AA111" s="585"/>
      <c r="AB111" s="585"/>
      <c r="AC111" s="585"/>
      <c r="AD111" s="585"/>
      <c r="AE111" s="585"/>
      <c r="AF111" s="585"/>
      <c r="AG111" s="532"/>
    </row>
    <row r="112" spans="1:33" ht="12.75" customHeight="1" x14ac:dyDescent="0.2">
      <c r="D112" s="531"/>
      <c r="E112" s="202">
        <f t="array" aca="1" ref="E112" ca="1">IF($R110=2,
         IF(AND(ACOMPANHAMENTO="PLE",ISNUMBER($F110)),
                SUMIF((OFFSET(CÁLCULO!$BC$15:$BU$15,$F110,0,OFFSET(ORÇAMENTO!$D$15,CRONO!$F110,0))),CRONO!E$12,OFFSET(CÁLCULO!$AJ$15:$BB$15,$F110,0,OFFSET(ORÇAMENTO!$D$15,CRONO!$F110,0)))
                +IF(AND($F112&lt;&gt;"",$F112&lt;&gt;0),
                        SUMIF(CÁLCULO!$BC$15:$BU$235,CRONO!E$12,CÁLCULO!$AJ$15:$BB$235)/(ORÇAMENTO!$X$15-CÁLCULO.TotalAdmLocal)*CRONO!$F112,
                        0),
                 E111*$S110),
          SUMIF(OFFSET($S112,1,0,$R110-2),($M110+1)&amp;"$",OFFSET(E112,1,0,$R110-2)))</f>
        <v>0</v>
      </c>
      <c r="F112" s="185">
        <f ca="1">IF(OR($R110&lt;&gt;2,AUTOEVENTO&lt;&gt;"manual",$F111&gt;0),"",
        IF(Import.TipoArredondamento="Tradicional",
              SUMIF(OFFSET(CÁLCULO!$M$15,CRONO!$F110,0,OFFSET(ORÇAMENTO!$D$15,CRONO!$F110,0)),1,OFFSET(ORÇAMENTO!$X$15,CRONO!$F110,0,OFFSET(ORÇAMENTO!$D$15,CRONO!$F110,0))),
              0))</f>
        <v>0</v>
      </c>
      <c r="H112" s="693"/>
      <c r="S112" s="204" t="str">
        <f ca="1">M110&amp;"$"</f>
        <v>2$</v>
      </c>
      <c r="T112" s="205"/>
      <c r="U112" s="202">
        <f t="array" aca="1" ref="U112" ca="1">IF($R110=2,
         IF(AND(ACOMPANHAMENTO="PLE",ISNUMBER($F110)),
                SUMIF((OFFSET(CÁLCULO!$BC$15:$BU$15,$F110,0,OFFSET(ORÇAMENTO!$D$15,CRONO!$F110,0))),CRONO!U$12,OFFSET(CÁLCULO!$AJ$15:$BB$15,$F110,0,OFFSET(ORÇAMENTO!$D$15,CRONO!$F110,0)))
                +IF(AND($F112&lt;&gt;"",$F112&lt;&gt;0),
                        SUMIF(CÁLCULO!$BC$15:$BU$235,CRONO!U$12,CÁLCULO!$AJ$15:$BB$235)/(ORÇAMENTO!$X$15-CÁLCULO.TotalAdmLocal)*CRONO!$F112,
                        0),
                 U111*$S110),
          SUMIF(OFFSET($S112,1,0,$R110-2),($M110+1)&amp;"$",OFFSET(U112,1,0,$R110-2)))</f>
        <v>0</v>
      </c>
      <c r="V112" s="202">
        <f t="array" aca="1" ref="V112" ca="1">IF($R110=2,
         IF(AND(ACOMPANHAMENTO="PLE",ISNUMBER($F110)),
                SUMIF((OFFSET(CÁLCULO!$BC$15:$BU$15,$F110,0,OFFSET(ORÇAMENTO!$D$15,CRONO!$F110,0))),CRONO!V$12,OFFSET(CÁLCULO!$AJ$15:$BB$15,$F110,0,OFFSET(ORÇAMENTO!$D$15,CRONO!$F110,0)))
                +IF(AND($F112&lt;&gt;"",$F112&lt;&gt;0),
                        SUMIF(CÁLCULO!$BC$15:$BU$235,CRONO!V$12,CÁLCULO!$AJ$15:$BB$235)/(ORÇAMENTO!$X$15-CÁLCULO.TotalAdmLocal)*CRONO!$F112,
                        0),
                 V111*$S110),
          SUMIF(OFFSET($S112,1,0,$R110-2),($M110+1)&amp;"$",OFFSET(V112,1,0,$R110-2)))</f>
        <v>0</v>
      </c>
      <c r="W112" s="202">
        <f t="array" aca="1" ref="W112" ca="1">IF($R110=2,
         IF(AND(ACOMPANHAMENTO="PLE",ISNUMBER($F110)),
                SUMIF((OFFSET(CÁLCULO!$BC$15:$BU$15,$F110,0,OFFSET(ORÇAMENTO!$D$15,CRONO!$F110,0))),CRONO!W$12,OFFSET(CÁLCULO!$AJ$15:$BB$15,$F110,0,OFFSET(ORÇAMENTO!$D$15,CRONO!$F110,0)))
                +IF(AND($F112&lt;&gt;"",$F112&lt;&gt;0),
                        SUMIF(CÁLCULO!$BC$15:$BU$235,CRONO!W$12,CÁLCULO!$AJ$15:$BB$235)/(ORÇAMENTO!$X$15-CÁLCULO.TotalAdmLocal)*CRONO!$F112,
                        0),
                 W111*$S110),
          SUMIF(OFFSET($S112,1,0,$R110-2),($M110+1)&amp;"$",OFFSET(W112,1,0,$R110-2)))</f>
        <v>0</v>
      </c>
      <c r="X112" s="202">
        <f t="array" aca="1" ref="X112" ca="1">IF($R110=2,
         IF(AND(ACOMPANHAMENTO="PLE",ISNUMBER($F110)),
                SUMIF((OFFSET(CÁLCULO!$BC$15:$BU$15,$F110,0,OFFSET(ORÇAMENTO!$D$15,CRONO!$F110,0))),CRONO!X$12,OFFSET(CÁLCULO!$AJ$15:$BB$15,$F110,0,OFFSET(ORÇAMENTO!$D$15,CRONO!$F110,0)))
                +IF(AND($F112&lt;&gt;"",$F112&lt;&gt;0),
                        SUMIF(CÁLCULO!$BC$15:$BU$235,CRONO!X$12,CÁLCULO!$AJ$15:$BB$235)/(ORÇAMENTO!$X$15-CÁLCULO.TotalAdmLocal)*CRONO!$F112,
                        0),
                 X111*$S110),
          SUMIF(OFFSET($S112,1,0,$R110-2),($M110+1)&amp;"$",OFFSET(X112,1,0,$R110-2)))</f>
        <v>0</v>
      </c>
      <c r="Y112" s="202">
        <f t="array" aca="1" ref="Y112" ca="1">IF($R110=2,
         IF(AND(ACOMPANHAMENTO="PLE",ISNUMBER($F110)),
                SUMIF((OFFSET(CÁLCULO!$BC$15:$BU$15,$F110,0,OFFSET(ORÇAMENTO!$D$15,CRONO!$F110,0))),CRONO!Y$12,OFFSET(CÁLCULO!$AJ$15:$BB$15,$F110,0,OFFSET(ORÇAMENTO!$D$15,CRONO!$F110,0)))
                +IF(AND($F112&lt;&gt;"",$F112&lt;&gt;0),
                        SUMIF(CÁLCULO!$BC$15:$BU$235,CRONO!Y$12,CÁLCULO!$AJ$15:$BB$235)/(ORÇAMENTO!$X$15-CÁLCULO.TotalAdmLocal)*CRONO!$F112,
                        0),
                 Y111*$S110),
          SUMIF(OFFSET($S112,1,0,$R110-2),($M110+1)&amp;"$",OFFSET(Y112,1,0,$R110-2)))</f>
        <v>0</v>
      </c>
      <c r="Z112" s="202">
        <f t="array" aca="1" ref="Z112" ca="1">IF($R110=2,
         IF(AND(ACOMPANHAMENTO="PLE",ISNUMBER($F110)),
                SUMIF((OFFSET(CÁLCULO!$BC$15:$BU$15,$F110,0,OFFSET(ORÇAMENTO!$D$15,CRONO!$F110,0))),CRONO!Z$12,OFFSET(CÁLCULO!$AJ$15:$BB$15,$F110,0,OFFSET(ORÇAMENTO!$D$15,CRONO!$F110,0)))
                +IF(AND($F112&lt;&gt;"",$F112&lt;&gt;0),
                        SUMIF(CÁLCULO!$BC$15:$BU$235,CRONO!Z$12,CÁLCULO!$AJ$15:$BB$235)/(ORÇAMENTO!$X$15-CÁLCULO.TotalAdmLocal)*CRONO!$F112,
                        0),
                 Z111*$S110),
          SUMIF(OFFSET($S112,1,0,$R110-2),($M110+1)&amp;"$",OFFSET(Z112,1,0,$R110-2)))</f>
        <v>0</v>
      </c>
      <c r="AA112" s="202">
        <f t="array" aca="1" ref="AA112" ca="1">IF($R110=2,
         IF(AND(ACOMPANHAMENTO="PLE",ISNUMBER($F110)),
                SUMIF((OFFSET(CÁLCULO!$BC$15:$BU$15,$F110,0,OFFSET(ORÇAMENTO!$D$15,CRONO!$F110,0))),CRONO!AA$12,OFFSET(CÁLCULO!$AJ$15:$BB$15,$F110,0,OFFSET(ORÇAMENTO!$D$15,CRONO!$F110,0)))
                +IF(AND($F112&lt;&gt;"",$F112&lt;&gt;0),
                        SUMIF(CÁLCULO!$BC$15:$BU$235,CRONO!AA$12,CÁLCULO!$AJ$15:$BB$235)/(ORÇAMENTO!$X$15-CÁLCULO.TotalAdmLocal)*CRONO!$F112,
                        0),
                 AA111*$S110),
          SUMIF(OFFSET($S112,1,0,$R110-2),($M110+1)&amp;"$",OFFSET(AA112,1,0,$R110-2)))</f>
        <v>0</v>
      </c>
      <c r="AB112" s="202">
        <f t="array" aca="1" ref="AB112" ca="1">IF($R110=2,
         IF(AND(ACOMPANHAMENTO="PLE",ISNUMBER($F110)),
                SUMIF((OFFSET(CÁLCULO!$BC$15:$BU$15,$F110,0,OFFSET(ORÇAMENTO!$D$15,CRONO!$F110,0))),CRONO!AB$12,OFFSET(CÁLCULO!$AJ$15:$BB$15,$F110,0,OFFSET(ORÇAMENTO!$D$15,CRONO!$F110,0)))
                +IF(AND($F112&lt;&gt;"",$F112&lt;&gt;0),
                        SUMIF(CÁLCULO!$BC$15:$BU$235,CRONO!AB$12,CÁLCULO!$AJ$15:$BB$235)/(ORÇAMENTO!$X$15-CÁLCULO.TotalAdmLocal)*CRONO!$F112,
                        0),
                 AB111*$S110),
          SUMIF(OFFSET($S112,1,0,$R110-2),($M110+1)&amp;"$",OFFSET(AB112,1,0,$R110-2)))</f>
        <v>0</v>
      </c>
      <c r="AC112" s="202">
        <f t="array" aca="1" ref="AC112" ca="1">IF($R110=2,
         IF(AND(ACOMPANHAMENTO="PLE",ISNUMBER($F110)),
                SUMIF((OFFSET(CÁLCULO!$BC$15:$BU$15,$F110,0,OFFSET(ORÇAMENTO!$D$15,CRONO!$F110,0))),CRONO!AC$12,OFFSET(CÁLCULO!$AJ$15:$BB$15,$F110,0,OFFSET(ORÇAMENTO!$D$15,CRONO!$F110,0)))
                +IF(AND($F112&lt;&gt;"",$F112&lt;&gt;0),
                        SUMIF(CÁLCULO!$BC$15:$BU$235,CRONO!AC$12,CÁLCULO!$AJ$15:$BB$235)/(ORÇAMENTO!$X$15-CÁLCULO.TotalAdmLocal)*CRONO!$F112,
                        0),
                 AC111*$S110),
          SUMIF(OFFSET($S112,1,0,$R110-2),($M110+1)&amp;"$",OFFSET(AC112,1,0,$R110-2)))</f>
        <v>19107</v>
      </c>
      <c r="AD112" s="202">
        <f t="array" aca="1" ref="AD112" ca="1">IF($R110=2,
         IF(AND(ACOMPANHAMENTO="PLE",ISNUMBER($F110)),
                SUMIF((OFFSET(CÁLCULO!$BC$15:$BU$15,$F110,0,OFFSET(ORÇAMENTO!$D$15,CRONO!$F110,0))),CRONO!AD$12,OFFSET(CÁLCULO!$AJ$15:$BB$15,$F110,0,OFFSET(ORÇAMENTO!$D$15,CRONO!$F110,0)))
                +IF(AND($F112&lt;&gt;"",$F112&lt;&gt;0),
                        SUMIF(CÁLCULO!$BC$15:$BU$235,CRONO!AD$12,CÁLCULO!$AJ$15:$BB$235)/(ORÇAMENTO!$X$15-CÁLCULO.TotalAdmLocal)*CRONO!$F112,
                        0),
                 AD111*$S110),
          SUMIF(OFFSET($S112,1,0,$R110-2),($M110+1)&amp;"$",OFFSET(AD112,1,0,$R110-2)))</f>
        <v>0</v>
      </c>
      <c r="AE112" s="202">
        <f t="array" aca="1" ref="AE112" ca="1">IF($R110=2,
         IF(AND(ACOMPANHAMENTO="PLE",ISNUMBER($F110)),
                SUMIF((OFFSET(CÁLCULO!$BC$15:$BU$15,$F110,0,OFFSET(ORÇAMENTO!$D$15,CRONO!$F110,0))),CRONO!AE$12,OFFSET(CÁLCULO!$AJ$15:$BB$15,$F110,0,OFFSET(ORÇAMENTO!$D$15,CRONO!$F110,0)))
                +IF(AND($F112&lt;&gt;"",$F112&lt;&gt;0),
                        SUMIF(CÁLCULO!$BC$15:$BU$235,CRONO!AE$12,CÁLCULO!$AJ$15:$BB$235)/(ORÇAMENTO!$X$15-CÁLCULO.TotalAdmLocal)*CRONO!$F112,
                        0),
                 AE111*$S110),
          SUMIF(OFFSET($S112,1,0,$R110-2),($M110+1)&amp;"$",OFFSET(AE112,1,0,$R110-2)))</f>
        <v>0</v>
      </c>
      <c r="AF112" s="202">
        <f t="array" aca="1" ref="AF112" ca="1">IF($R110=2,
         IF(AND(ACOMPANHAMENTO="PLE",ISNUMBER($F110)),
                SUMIF((OFFSET(CÁLCULO!$BC$15:$BU$15,$F110,0,OFFSET(ORÇAMENTO!$D$15,CRONO!$F110,0))),CRONO!AF$12,OFFSET(CÁLCULO!$AJ$15:$BB$15,$F110,0,OFFSET(ORÇAMENTO!$D$15,CRONO!$F110,0)))
                +IF(AND($F112&lt;&gt;"",$F112&lt;&gt;0),
                        SUMIF(CÁLCULO!$BC$15:$BU$235,CRONO!AF$12,CÁLCULO!$AJ$15:$BB$235)/(ORÇAMENTO!$X$15-CÁLCULO.TotalAdmLocal)*CRONO!$F112,
                        0),
                 AF111*$S110),
          SUMIF(OFFSET($S112,1,0,$R110-2),($M110+1)&amp;"$",OFFSET(AF112,1,0,$R110-2)))</f>
        <v>0</v>
      </c>
      <c r="AG112" s="532"/>
    </row>
    <row r="113" spans="1:33" x14ac:dyDescent="0.2">
      <c r="A113" s="186" t="str">
        <f ca="1">IF($M113&gt;1,_xlfn.CONCAT($I113," ",$J113),"")</f>
        <v>1.33. BANCADAS E METAIS</v>
      </c>
      <c r="B113" s="185">
        <f ca="1">OFFSET(B113,-3,0)+1</f>
        <v>34</v>
      </c>
      <c r="C113" s="185">
        <f ca="1">IF($R113&lt;&gt;2,0,IF($S113=0,1,IF(F114&gt;0,OFFSET(QCI!$M$13,SUBSTITUTE(F114,".",""),0),OFFSET(ORÇAMENTO!$AA$15,CRONO!$F113,0))/$S113))</f>
        <v>0</v>
      </c>
      <c r="D113" s="185">
        <f ca="1">IF($R113&lt;&gt;2,0,IF($S113=0,1,IF(F114&gt;0,OFFSET(QCI!$N$13,SUBSTITUTE(F114,".",""),0),OFFSET(ORÇAMENTO!$AB$15,CRONO!$F113,0))/$S113))</f>
        <v>0</v>
      </c>
      <c r="E113" s="188">
        <f t="array" aca="1" ref="E113" ca="1">IF(AND($R113=2,ACOMPANHAMENTO="BM"),ROUND(E114,4),E115/$S113)</f>
        <v>0</v>
      </c>
      <c r="F113" s="185">
        <f t="array" aca="1" ref="F113" ca="1">IF(B113&lt;=ORÇAMENTO.MáximoListaCrono,MATCH(B113,ORÇAMENTO.ListaCrono,0),NA())</f>
        <v>203</v>
      </c>
      <c r="G113" s="185" t="str">
        <f ca="1">IF(AND($F114&lt;&gt;-1,$S113&gt;0),"F","")</f>
        <v>F</v>
      </c>
      <c r="H113" s="189" t="str">
        <f t="array" aca="1" ref="H113" ca="1">IF(OR(S113=0,S113=""),"Linha",IF(AND(OR(ACOMPANHAMENTO="PLE",$R113&lt;&gt;2),$F114=0),"Linha",ROUND(1-SUM(U113:AG113),4)))</f>
        <v>Linha</v>
      </c>
      <c r="I113" s="190" t="str">
        <f ca="1">IF($F114=0,OFFSET(ORÇAMENTO!O$15,$F113,0),IF($F114&lt;&gt;-1,OFFSET(QCI!$D$13,$F114,0),""))</f>
        <v>1.33.</v>
      </c>
      <c r="J113" s="191" t="str">
        <f ca="1">IF($F114=0,OFFSET(ORÇAMENTO!R$15,$F113,0),IF($F114&lt;&gt;-1,OFFSET(QCI!$G$13,$F114,0),""))</f>
        <v>BANCADAS E METAIS</v>
      </c>
      <c r="K113" s="191"/>
      <c r="L113" s="191"/>
      <c r="M113" s="192">
        <f ca="1">IF($F114=0,OFFSET(ORÇAMENTO!C$15,$F113,0),1)</f>
        <v>2</v>
      </c>
      <c r="N113" s="193">
        <f ca="1">IF($F114=-1,0,IF(N$13&lt;=$M113,IF(ISERROR(MATCH(N$13,OFFSET($M113,1,0,ROW($M$119)-ROW($M113)-1),0)),ROW($M$119)-ROW($M113)-1,MATCH(N$13,OFFSET($M113,1,0,ROW($M$119)-ROW($M113)-1),0)-1),0))</f>
        <v>5</v>
      </c>
      <c r="O113" s="193">
        <f ca="1">IF($F114=-1,0,IF(O$13&lt;=$M113,IF(ISERROR(MATCH(O$13,OFFSET($M113,1,0,ROW($M$119)-ROW($M113)-1),0)),ROW($M$119)-ROW($M113)-1,MATCH(O$13,OFFSET($M113,1,0,ROW($M$119)-ROW($M113)-1),0)-1),0))</f>
        <v>2</v>
      </c>
      <c r="P113" s="193">
        <f ca="1">IF($F114=-1,0,IF(P$13&lt;=$M113,IF(ISERROR(MATCH(P$13,OFFSET($M113,1,0,ROW($M$119)-ROW($M113)-1),0)),ROW($M$119)-ROW($M113)-1,MATCH(P$13,OFFSET($M113,1,0,ROW($M$119)-ROW($M113)-1),0)-1),0))</f>
        <v>0</v>
      </c>
      <c r="Q113" s="193">
        <f ca="1">IF($F114=-1,0,IF(Q$13&lt;=$M113,IF(ISERROR(MATCH(Q$13,OFFSET($M113,1,0,ROW($M$119)-ROW($M113)-1),0)),ROW($M$119)-ROW($M113)-1,MATCH(Q$13,OFFSET($M113,1,0,ROW($M$119)-ROW($M113)-1),0)-1),0))</f>
        <v>0</v>
      </c>
      <c r="R113" s="193">
        <f ca="1">MIN(OFFSET(M113,0,1,,M113))</f>
        <v>2</v>
      </c>
      <c r="S113" s="194">
        <f ca="1">IF($F114=0,OFFSET(ORÇAMENTO!X$15,$F113,0),IF($F114&lt;&gt;-1,OFFSET(QCI!$O$13,$F114,0),""))</f>
        <v>38236.300000000003</v>
      </c>
      <c r="T113" s="195" t="s">
        <v>785</v>
      </c>
      <c r="U113" s="188">
        <f t="array" aca="1" ref="U113" ca="1">IF(AND($R113=2,ACOMPANHAMENTO="BM"),ROUND(U114,4),U115/$S113)</f>
        <v>0</v>
      </c>
      <c r="V113" s="188">
        <f t="array" aca="1" ref="V113" ca="1">IF(AND($R113=2,ACOMPANHAMENTO="BM"),ROUND(V114,4),V115/$S113)</f>
        <v>0</v>
      </c>
      <c r="W113" s="188">
        <f t="array" aca="1" ref="W113" ca="1">IF(AND($R113=2,ACOMPANHAMENTO="BM"),ROUND(W114,4),W115/$S113)</f>
        <v>0</v>
      </c>
      <c r="X113" s="188">
        <f t="array" aca="1" ref="X113" ca="1">IF(AND($R113=2,ACOMPANHAMENTO="BM"),ROUND(X114,4),X115/$S113)</f>
        <v>0</v>
      </c>
      <c r="Y113" s="188">
        <f t="array" aca="1" ref="Y113" ca="1">IF(AND($R113=2,ACOMPANHAMENTO="BM"),ROUND(Y114,4),Y115/$S113)</f>
        <v>0</v>
      </c>
      <c r="Z113" s="188">
        <f t="array" aca="1" ref="Z113" ca="1">IF(AND($R113=2,ACOMPANHAMENTO="BM"),ROUND(Z114,4),Z115/$S113)</f>
        <v>0</v>
      </c>
      <c r="AA113" s="188">
        <f t="array" aca="1" ref="AA113" ca="1">IF(AND($R113=2,ACOMPANHAMENTO="BM"),ROUND(AA114,4),AA115/$S113)</f>
        <v>0</v>
      </c>
      <c r="AB113" s="188">
        <f t="array" aca="1" ref="AB113" ca="1">IF(AND($R113=2,ACOMPANHAMENTO="BM"),ROUND(AB114,4),AB115/$S113)</f>
        <v>0.13236374858446032</v>
      </c>
      <c r="AC113" s="188">
        <f t="array" aca="1" ref="AC113" ca="1">IF(AND($R113=2,ACOMPANHAMENTO="BM"),ROUND(AC114,4),AC115/$S113)</f>
        <v>0.86763625141553957</v>
      </c>
      <c r="AD113" s="188">
        <f t="array" aca="1" ref="AD113" ca="1">IF(AND($R113=2,ACOMPANHAMENTO="BM"),ROUND(AD114,4),AD115/$S113)</f>
        <v>0</v>
      </c>
      <c r="AE113" s="188">
        <f t="array" aca="1" ref="AE113" ca="1">IF(AND($R113=2,ACOMPANHAMENTO="BM"),ROUND(AE114,4),AE115/$S113)</f>
        <v>0</v>
      </c>
      <c r="AF113" s="188">
        <f t="array" aca="1" ref="AF113" ca="1">IF(AND($R113=2,ACOMPANHAMENTO="BM"),ROUND(AF114,4),AF115/$S113)</f>
        <v>0</v>
      </c>
      <c r="AG113" s="532"/>
    </row>
    <row r="114" spans="1:33" ht="12.75" customHeight="1" x14ac:dyDescent="0.2">
      <c r="E114" s="585"/>
      <c r="F114" s="185">
        <f ca="1">IF(ISERROR(F113),IF(1+COUNTIF($M$13:OFFSET(M113,-1,0),1)&lt;=MAX(QCI!$D$13:$D$24),1+COUNTIF($M$13:OFFSET(M113,-1,0),1),-1),0)</f>
        <v>0</v>
      </c>
      <c r="G114" s="185" t="str">
        <f t="array" aca="1" ref="G114" ca="1">IF(ACOMPANHAMENTO="BM",OFFSET(G114,-1,0),"")</f>
        <v/>
      </c>
      <c r="H114" s="196" t="str">
        <f t="array" aca="1" ref="H114" ca="1">IF(OR(S113=0,S113=""),"vazia",IF(AND(OR(ACOMPANHAMENTO="PLE",$R113&lt;&gt;2),$F114=0),"calculada","--&gt;"))</f>
        <v>calculada</v>
      </c>
      <c r="I114" s="197"/>
      <c r="J114" s="198" t="str">
        <f ca="1">IF(AND(H113&lt;&gt;0,ISNUMBER(H113)),"PREENCHA ESTA LINHA --&gt;","")</f>
        <v/>
      </c>
      <c r="K114" s="198"/>
      <c r="L114" s="198"/>
      <c r="M114" s="199"/>
      <c r="N114" s="199"/>
      <c r="O114" s="199"/>
      <c r="P114" s="199"/>
      <c r="Q114" s="199"/>
      <c r="R114" s="199"/>
      <c r="S114" s="200"/>
      <c r="T114" s="201"/>
      <c r="U114" s="585"/>
      <c r="V114" s="585"/>
      <c r="W114" s="585"/>
      <c r="X114" s="585"/>
      <c r="Y114" s="585"/>
      <c r="Z114" s="585"/>
      <c r="AA114" s="585"/>
      <c r="AB114" s="585"/>
      <c r="AC114" s="585"/>
      <c r="AD114" s="585"/>
      <c r="AE114" s="585"/>
      <c r="AF114" s="585"/>
      <c r="AG114" s="532"/>
    </row>
    <row r="115" spans="1:33" ht="12.75" customHeight="1" x14ac:dyDescent="0.2">
      <c r="D115" s="531"/>
      <c r="E115" s="202">
        <f t="array" aca="1" ref="E115" ca="1">IF($R113=2,
         IF(AND(ACOMPANHAMENTO="PLE",ISNUMBER($F113)),
                SUMIF((OFFSET(CÁLCULO!$BC$15:$BU$15,$F113,0,OFFSET(ORÇAMENTO!$D$15,CRONO!$F113,0))),CRONO!E$12,OFFSET(CÁLCULO!$AJ$15:$BB$15,$F113,0,OFFSET(ORÇAMENTO!$D$15,CRONO!$F113,0)))
                +IF(AND($F115&lt;&gt;"",$F115&lt;&gt;0),
                        SUMIF(CÁLCULO!$BC$15:$BU$235,CRONO!E$12,CÁLCULO!$AJ$15:$BB$235)/(ORÇAMENTO!$X$15-CÁLCULO.TotalAdmLocal)*CRONO!$F115,
                        0),
                 E114*$S113),
          SUMIF(OFFSET($S115,1,0,$R113-2),($M113+1)&amp;"$",OFFSET(E115,1,0,$R113-2)))</f>
        <v>0</v>
      </c>
      <c r="F115" s="185">
        <f ca="1">IF(OR($R113&lt;&gt;2,AUTOEVENTO&lt;&gt;"manual",$F114&gt;0),"",
        IF(Import.TipoArredondamento="Tradicional",
              SUMIF(OFFSET(CÁLCULO!$M$15,CRONO!$F113,0,OFFSET(ORÇAMENTO!$D$15,CRONO!$F113,0)),1,OFFSET(ORÇAMENTO!$X$15,CRONO!$F113,0,OFFSET(ORÇAMENTO!$D$15,CRONO!$F113,0))),
              0))</f>
        <v>0</v>
      </c>
      <c r="H115" s="693"/>
      <c r="S115" s="204" t="str">
        <f ca="1">M113&amp;"$"</f>
        <v>2$</v>
      </c>
      <c r="T115" s="205"/>
      <c r="U115" s="202">
        <f t="array" aca="1" ref="U115" ca="1">IF($R113=2,
         IF(AND(ACOMPANHAMENTO="PLE",ISNUMBER($F113)),
                SUMIF((OFFSET(CÁLCULO!$BC$15:$BU$15,$F113,0,OFFSET(ORÇAMENTO!$D$15,CRONO!$F113,0))),CRONO!U$12,OFFSET(CÁLCULO!$AJ$15:$BB$15,$F113,0,OFFSET(ORÇAMENTO!$D$15,CRONO!$F113,0)))
                +IF(AND($F115&lt;&gt;"",$F115&lt;&gt;0),
                        SUMIF(CÁLCULO!$BC$15:$BU$235,CRONO!U$12,CÁLCULO!$AJ$15:$BB$235)/(ORÇAMENTO!$X$15-CÁLCULO.TotalAdmLocal)*CRONO!$F115,
                        0),
                 U114*$S113),
          SUMIF(OFFSET($S115,1,0,$R113-2),($M113+1)&amp;"$",OFFSET(U115,1,0,$R113-2)))</f>
        <v>0</v>
      </c>
      <c r="V115" s="202">
        <f t="array" aca="1" ref="V115" ca="1">IF($R113=2,
         IF(AND(ACOMPANHAMENTO="PLE",ISNUMBER($F113)),
                SUMIF((OFFSET(CÁLCULO!$BC$15:$BU$15,$F113,0,OFFSET(ORÇAMENTO!$D$15,CRONO!$F113,0))),CRONO!V$12,OFFSET(CÁLCULO!$AJ$15:$BB$15,$F113,0,OFFSET(ORÇAMENTO!$D$15,CRONO!$F113,0)))
                +IF(AND($F115&lt;&gt;"",$F115&lt;&gt;0),
                        SUMIF(CÁLCULO!$BC$15:$BU$235,CRONO!V$12,CÁLCULO!$AJ$15:$BB$235)/(ORÇAMENTO!$X$15-CÁLCULO.TotalAdmLocal)*CRONO!$F115,
                        0),
                 V114*$S113),
          SUMIF(OFFSET($S115,1,0,$R113-2),($M113+1)&amp;"$",OFFSET(V115,1,0,$R113-2)))</f>
        <v>0</v>
      </c>
      <c r="W115" s="202">
        <f t="array" aca="1" ref="W115" ca="1">IF($R113=2,
         IF(AND(ACOMPANHAMENTO="PLE",ISNUMBER($F113)),
                SUMIF((OFFSET(CÁLCULO!$BC$15:$BU$15,$F113,0,OFFSET(ORÇAMENTO!$D$15,CRONO!$F113,0))),CRONO!W$12,OFFSET(CÁLCULO!$AJ$15:$BB$15,$F113,0,OFFSET(ORÇAMENTO!$D$15,CRONO!$F113,0)))
                +IF(AND($F115&lt;&gt;"",$F115&lt;&gt;0),
                        SUMIF(CÁLCULO!$BC$15:$BU$235,CRONO!W$12,CÁLCULO!$AJ$15:$BB$235)/(ORÇAMENTO!$X$15-CÁLCULO.TotalAdmLocal)*CRONO!$F115,
                        0),
                 W114*$S113),
          SUMIF(OFFSET($S115,1,0,$R113-2),($M113+1)&amp;"$",OFFSET(W115,1,0,$R113-2)))</f>
        <v>0</v>
      </c>
      <c r="X115" s="202">
        <f t="array" aca="1" ref="X115" ca="1">IF($R113=2,
         IF(AND(ACOMPANHAMENTO="PLE",ISNUMBER($F113)),
                SUMIF((OFFSET(CÁLCULO!$BC$15:$BU$15,$F113,0,OFFSET(ORÇAMENTO!$D$15,CRONO!$F113,0))),CRONO!X$12,OFFSET(CÁLCULO!$AJ$15:$BB$15,$F113,0,OFFSET(ORÇAMENTO!$D$15,CRONO!$F113,0)))
                +IF(AND($F115&lt;&gt;"",$F115&lt;&gt;0),
                        SUMIF(CÁLCULO!$BC$15:$BU$235,CRONO!X$12,CÁLCULO!$AJ$15:$BB$235)/(ORÇAMENTO!$X$15-CÁLCULO.TotalAdmLocal)*CRONO!$F115,
                        0),
                 X114*$S113),
          SUMIF(OFFSET($S115,1,0,$R113-2),($M113+1)&amp;"$",OFFSET(X115,1,0,$R113-2)))</f>
        <v>0</v>
      </c>
      <c r="Y115" s="202">
        <f t="array" aca="1" ref="Y115" ca="1">IF($R113=2,
         IF(AND(ACOMPANHAMENTO="PLE",ISNUMBER($F113)),
                SUMIF((OFFSET(CÁLCULO!$BC$15:$BU$15,$F113,0,OFFSET(ORÇAMENTO!$D$15,CRONO!$F113,0))),CRONO!Y$12,OFFSET(CÁLCULO!$AJ$15:$BB$15,$F113,0,OFFSET(ORÇAMENTO!$D$15,CRONO!$F113,0)))
                +IF(AND($F115&lt;&gt;"",$F115&lt;&gt;0),
                        SUMIF(CÁLCULO!$BC$15:$BU$235,CRONO!Y$12,CÁLCULO!$AJ$15:$BB$235)/(ORÇAMENTO!$X$15-CÁLCULO.TotalAdmLocal)*CRONO!$F115,
                        0),
                 Y114*$S113),
          SUMIF(OFFSET($S115,1,0,$R113-2),($M113+1)&amp;"$",OFFSET(Y115,1,0,$R113-2)))</f>
        <v>0</v>
      </c>
      <c r="Z115" s="202">
        <f t="array" aca="1" ref="Z115" ca="1">IF($R113=2,
         IF(AND(ACOMPANHAMENTO="PLE",ISNUMBER($F113)),
                SUMIF((OFFSET(CÁLCULO!$BC$15:$BU$15,$F113,0,OFFSET(ORÇAMENTO!$D$15,CRONO!$F113,0))),CRONO!Z$12,OFFSET(CÁLCULO!$AJ$15:$BB$15,$F113,0,OFFSET(ORÇAMENTO!$D$15,CRONO!$F113,0)))
                +IF(AND($F115&lt;&gt;"",$F115&lt;&gt;0),
                        SUMIF(CÁLCULO!$BC$15:$BU$235,CRONO!Z$12,CÁLCULO!$AJ$15:$BB$235)/(ORÇAMENTO!$X$15-CÁLCULO.TotalAdmLocal)*CRONO!$F115,
                        0),
                 Z114*$S113),
          SUMIF(OFFSET($S115,1,0,$R113-2),($M113+1)&amp;"$",OFFSET(Z115,1,0,$R113-2)))</f>
        <v>0</v>
      </c>
      <c r="AA115" s="202">
        <f t="array" aca="1" ref="AA115" ca="1">IF($R113=2,
         IF(AND(ACOMPANHAMENTO="PLE",ISNUMBER($F113)),
                SUMIF((OFFSET(CÁLCULO!$BC$15:$BU$15,$F113,0,OFFSET(ORÇAMENTO!$D$15,CRONO!$F113,0))),CRONO!AA$12,OFFSET(CÁLCULO!$AJ$15:$BB$15,$F113,0,OFFSET(ORÇAMENTO!$D$15,CRONO!$F113,0)))
                +IF(AND($F115&lt;&gt;"",$F115&lt;&gt;0),
                        SUMIF(CÁLCULO!$BC$15:$BU$235,CRONO!AA$12,CÁLCULO!$AJ$15:$BB$235)/(ORÇAMENTO!$X$15-CÁLCULO.TotalAdmLocal)*CRONO!$F115,
                        0),
                 AA114*$S113),
          SUMIF(OFFSET($S115,1,0,$R113-2),($M113+1)&amp;"$",OFFSET(AA115,1,0,$R113-2)))</f>
        <v>0</v>
      </c>
      <c r="AB115" s="202">
        <f t="array" aca="1" ref="AB115" ca="1">IF($R113=2,
         IF(AND(ACOMPANHAMENTO="PLE",ISNUMBER($F113)),
                SUMIF((OFFSET(CÁLCULO!$BC$15:$BU$15,$F113,0,OFFSET(ORÇAMENTO!$D$15,CRONO!$F113,0))),CRONO!AB$12,OFFSET(CÁLCULO!$AJ$15:$BB$15,$F113,0,OFFSET(ORÇAMENTO!$D$15,CRONO!$F113,0)))
                +IF(AND($F115&lt;&gt;"",$F115&lt;&gt;0),
                        SUMIF(CÁLCULO!$BC$15:$BU$235,CRONO!AB$12,CÁLCULO!$AJ$15:$BB$235)/(ORÇAMENTO!$X$15-CÁLCULO.TotalAdmLocal)*CRONO!$F115,
                        0),
                 AB114*$S113),
          SUMIF(OFFSET($S115,1,0,$R113-2),($M113+1)&amp;"$",OFFSET(AB115,1,0,$R113-2)))</f>
        <v>5061.1000000000004</v>
      </c>
      <c r="AC115" s="202">
        <f t="array" aca="1" ref="AC115" ca="1">IF($R113=2,
         IF(AND(ACOMPANHAMENTO="PLE",ISNUMBER($F113)),
                SUMIF((OFFSET(CÁLCULO!$BC$15:$BU$15,$F113,0,OFFSET(ORÇAMENTO!$D$15,CRONO!$F113,0))),CRONO!AC$12,OFFSET(CÁLCULO!$AJ$15:$BB$15,$F113,0,OFFSET(ORÇAMENTO!$D$15,CRONO!$F113,0)))
                +IF(AND($F115&lt;&gt;"",$F115&lt;&gt;0),
                        SUMIF(CÁLCULO!$BC$15:$BU$235,CRONO!AC$12,CÁLCULO!$AJ$15:$BB$235)/(ORÇAMENTO!$X$15-CÁLCULO.TotalAdmLocal)*CRONO!$F115,
                        0),
                 AC114*$S113),
          SUMIF(OFFSET($S115,1,0,$R113-2),($M113+1)&amp;"$",OFFSET(AC115,1,0,$R113-2)))</f>
        <v>33175.199999999997</v>
      </c>
      <c r="AD115" s="202">
        <f t="array" aca="1" ref="AD115" ca="1">IF($R113=2,
         IF(AND(ACOMPANHAMENTO="PLE",ISNUMBER($F113)),
                SUMIF((OFFSET(CÁLCULO!$BC$15:$BU$15,$F113,0,OFFSET(ORÇAMENTO!$D$15,CRONO!$F113,0))),CRONO!AD$12,OFFSET(CÁLCULO!$AJ$15:$BB$15,$F113,0,OFFSET(ORÇAMENTO!$D$15,CRONO!$F113,0)))
                +IF(AND($F115&lt;&gt;"",$F115&lt;&gt;0),
                        SUMIF(CÁLCULO!$BC$15:$BU$235,CRONO!AD$12,CÁLCULO!$AJ$15:$BB$235)/(ORÇAMENTO!$X$15-CÁLCULO.TotalAdmLocal)*CRONO!$F115,
                        0),
                 AD114*$S113),
          SUMIF(OFFSET($S115,1,0,$R113-2),($M113+1)&amp;"$",OFFSET(AD115,1,0,$R113-2)))</f>
        <v>0</v>
      </c>
      <c r="AE115" s="202">
        <f t="array" aca="1" ref="AE115" ca="1">IF($R113=2,
         IF(AND(ACOMPANHAMENTO="PLE",ISNUMBER($F113)),
                SUMIF((OFFSET(CÁLCULO!$BC$15:$BU$15,$F113,0,OFFSET(ORÇAMENTO!$D$15,CRONO!$F113,0))),CRONO!AE$12,OFFSET(CÁLCULO!$AJ$15:$BB$15,$F113,0,OFFSET(ORÇAMENTO!$D$15,CRONO!$F113,0)))
                +IF(AND($F115&lt;&gt;"",$F115&lt;&gt;0),
                        SUMIF(CÁLCULO!$BC$15:$BU$235,CRONO!AE$12,CÁLCULO!$AJ$15:$BB$235)/(ORÇAMENTO!$X$15-CÁLCULO.TotalAdmLocal)*CRONO!$F115,
                        0),
                 AE114*$S113),
          SUMIF(OFFSET($S115,1,0,$R113-2),($M113+1)&amp;"$",OFFSET(AE115,1,0,$R113-2)))</f>
        <v>0</v>
      </c>
      <c r="AF115" s="202">
        <f t="array" aca="1" ref="AF115" ca="1">IF($R113=2,
         IF(AND(ACOMPANHAMENTO="PLE",ISNUMBER($F113)),
                SUMIF((OFFSET(CÁLCULO!$BC$15:$BU$15,$F113,0,OFFSET(ORÇAMENTO!$D$15,CRONO!$F113,0))),CRONO!AF$12,OFFSET(CÁLCULO!$AJ$15:$BB$15,$F113,0,OFFSET(ORÇAMENTO!$D$15,CRONO!$F113,0)))
                +IF(AND($F115&lt;&gt;"",$F115&lt;&gt;0),
                        SUMIF(CÁLCULO!$BC$15:$BU$235,CRONO!AF$12,CÁLCULO!$AJ$15:$BB$235)/(ORÇAMENTO!$X$15-CÁLCULO.TotalAdmLocal)*CRONO!$F115,
                        0),
                 AF114*$S113),
          SUMIF(OFFSET($S115,1,0,$R113-2),($M113+1)&amp;"$",OFFSET(AF115,1,0,$R113-2)))</f>
        <v>0</v>
      </c>
      <c r="AG115" s="532"/>
    </row>
    <row r="116" spans="1:33" x14ac:dyDescent="0.2">
      <c r="A116" s="186" t="str">
        <f ca="1">IF($M116&gt;1,_xlfn.CONCAT($I116," ",$J116),"")</f>
        <v>1.34. CALAFETE / LIMPEZA</v>
      </c>
      <c r="B116" s="185">
        <f ca="1">OFFSET(B116,-3,0)+1</f>
        <v>35</v>
      </c>
      <c r="C116" s="185">
        <f ca="1">IF($R116&lt;&gt;2,0,IF($S116=0,1,IF(F117&gt;0,OFFSET(QCI!$M$13,SUBSTITUTE(F117,".",""),0),OFFSET(ORÇAMENTO!$AA$15,CRONO!$F116,0))/$S116))</f>
        <v>0</v>
      </c>
      <c r="D116" s="185">
        <f ca="1">IF($R116&lt;&gt;2,0,IF($S116=0,1,IF(F117&gt;0,OFFSET(QCI!$N$13,SUBSTITUTE(F117,".",""),0),OFFSET(ORÇAMENTO!$AB$15,CRONO!$F116,0))/$S116))</f>
        <v>0</v>
      </c>
      <c r="E116" s="188">
        <f t="array" aca="1" ref="E116" ca="1">IF(AND($R116=2,ACOMPANHAMENTO="BM"),ROUND(E117,4),E118/$S116)</f>
        <v>0</v>
      </c>
      <c r="F116" s="185">
        <f t="array" aca="1" ref="F116" ca="1">IF(B116&lt;=ORÇAMENTO.MáximoListaCrono,MATCH(B116,ORÇAMENTO.ListaCrono,0),NA())</f>
        <v>210</v>
      </c>
      <c r="G116" s="185" t="str">
        <f ca="1">IF(AND($F117&lt;&gt;-1,$S116&gt;0),"F","")</f>
        <v>F</v>
      </c>
      <c r="H116" s="189" t="str">
        <f t="array" aca="1" ref="H116" ca="1">IF(OR(S116=0,S116=""),"Linha",IF(AND(OR(ACOMPANHAMENTO="PLE",$R116&lt;&gt;2),$F117=0),"Linha",ROUND(1-SUM(U116:AG116),4)))</f>
        <v>Linha</v>
      </c>
      <c r="I116" s="190" t="str">
        <f ca="1">IF($F117=0,OFFSET(ORÇAMENTO!O$15,$F116,0),IF($F117&lt;&gt;-1,OFFSET(QCI!$D$13,$F117,0),""))</f>
        <v>1.34.</v>
      </c>
      <c r="J116" s="191" t="str">
        <f ca="1">IF($F117=0,OFFSET(ORÇAMENTO!R$15,$F116,0),IF($F117&lt;&gt;-1,OFFSET(QCI!$G$13,$F117,0),""))</f>
        <v>CALAFETE / LIMPEZA</v>
      </c>
      <c r="K116" s="191"/>
      <c r="L116" s="191"/>
      <c r="M116" s="192">
        <f ca="1">IF($F117=0,OFFSET(ORÇAMENTO!C$15,$F116,0),1)</f>
        <v>2</v>
      </c>
      <c r="N116" s="193">
        <f ca="1">IF($F117=-1,0,IF(N$13&lt;=$M116,IF(ISERROR(MATCH(N$13,OFFSET($M116,1,0,ROW($M$119)-ROW($M116)-1),0)),ROW($M$119)-ROW($M116)-1,MATCH(N$13,OFFSET($M116,1,0,ROW($M$119)-ROW($M116)-1),0)-1),0))</f>
        <v>2</v>
      </c>
      <c r="O116" s="193">
        <f ca="1">IF($F117=-1,0,IF(O$13&lt;=$M116,IF(ISERROR(MATCH(O$13,OFFSET($M116,1,0,ROW($M$119)-ROW($M116)-1),0)),ROW($M$119)-ROW($M116)-1,MATCH(O$13,OFFSET($M116,1,0,ROW($M$119)-ROW($M116)-1),0)-1),0))</f>
        <v>2</v>
      </c>
      <c r="P116" s="193">
        <f ca="1">IF($F117=-1,0,IF(P$13&lt;=$M116,IF(ISERROR(MATCH(P$13,OFFSET($M116,1,0,ROW($M$119)-ROW($M116)-1),0)),ROW($M$119)-ROW($M116)-1,MATCH(P$13,OFFSET($M116,1,0,ROW($M$119)-ROW($M116)-1),0)-1),0))</f>
        <v>0</v>
      </c>
      <c r="Q116" s="193">
        <f ca="1">IF($F117=-1,0,IF(Q$13&lt;=$M116,IF(ISERROR(MATCH(Q$13,OFFSET($M116,1,0,ROW($M$119)-ROW($M116)-1),0)),ROW($M$119)-ROW($M116)-1,MATCH(Q$13,OFFSET($M116,1,0,ROW($M$119)-ROW($M116)-1),0)-1),0))</f>
        <v>0</v>
      </c>
      <c r="R116" s="193">
        <f ca="1">MIN(OFFSET(M116,0,1,,M116))</f>
        <v>2</v>
      </c>
      <c r="S116" s="194">
        <f ca="1">IF($F117=0,OFFSET(ORÇAMENTO!X$15,$F116,0),IF($F117&lt;&gt;-1,OFFSET(QCI!$O$13,$F117,0),""))</f>
        <v>10724.2</v>
      </c>
      <c r="T116" s="195" t="s">
        <v>785</v>
      </c>
      <c r="U116" s="188">
        <f t="array" aca="1" ref="U116" ca="1">IF(AND($R116=2,ACOMPANHAMENTO="BM"),ROUND(U117,4),U118/$S116)</f>
        <v>0</v>
      </c>
      <c r="V116" s="188">
        <f t="array" aca="1" ref="V116" ca="1">IF(AND($R116=2,ACOMPANHAMENTO="BM"),ROUND(V117,4),V118/$S116)</f>
        <v>0</v>
      </c>
      <c r="W116" s="188">
        <f t="array" aca="1" ref="W116" ca="1">IF(AND($R116=2,ACOMPANHAMENTO="BM"),ROUND(W117,4),W118/$S116)</f>
        <v>0</v>
      </c>
      <c r="X116" s="188">
        <f t="array" aca="1" ref="X116" ca="1">IF(AND($R116=2,ACOMPANHAMENTO="BM"),ROUND(X117,4),X118/$S116)</f>
        <v>0</v>
      </c>
      <c r="Y116" s="188">
        <f t="array" aca="1" ref="Y116" ca="1">IF(AND($R116=2,ACOMPANHAMENTO="BM"),ROUND(Y117,4),Y118/$S116)</f>
        <v>0</v>
      </c>
      <c r="Z116" s="188">
        <f t="array" aca="1" ref="Z116" ca="1">IF(AND($R116=2,ACOMPANHAMENTO="BM"),ROUND(Z117,4),Z118/$S116)</f>
        <v>0</v>
      </c>
      <c r="AA116" s="188">
        <f t="array" aca="1" ref="AA116" ca="1">IF(AND($R116=2,ACOMPANHAMENTO="BM"),ROUND(AA117,4),AA118/$S116)</f>
        <v>0</v>
      </c>
      <c r="AB116" s="188">
        <f t="array" aca="1" ref="AB116" ca="1">IF(AND($R116=2,ACOMPANHAMENTO="BM"),ROUND(AB117,4),AB118/$S116)</f>
        <v>0</v>
      </c>
      <c r="AC116" s="188">
        <f t="array" aca="1" ref="AC116" ca="1">IF(AND($R116=2,ACOMPANHAMENTO="BM"),ROUND(AC117,4),AC118/$S116)</f>
        <v>0.99999999999999967</v>
      </c>
      <c r="AD116" s="188">
        <f t="array" aca="1" ref="AD116" ca="1">IF(AND($R116=2,ACOMPANHAMENTO="BM"),ROUND(AD117,4),AD118/$S116)</f>
        <v>0</v>
      </c>
      <c r="AE116" s="188">
        <f t="array" aca="1" ref="AE116" ca="1">IF(AND($R116=2,ACOMPANHAMENTO="BM"),ROUND(AE117,4),AE118/$S116)</f>
        <v>0</v>
      </c>
      <c r="AF116" s="188">
        <f t="array" aca="1" ref="AF116" ca="1">IF(AND($R116=2,ACOMPANHAMENTO="BM"),ROUND(AF117,4),AF118/$S116)</f>
        <v>0</v>
      </c>
      <c r="AG116" s="532"/>
    </row>
    <row r="117" spans="1:33" ht="12.75" customHeight="1" x14ac:dyDescent="0.2">
      <c r="E117" s="585"/>
      <c r="F117" s="185">
        <f ca="1">IF(ISERROR(F116),IF(1+COUNTIF($M$13:OFFSET(M116,-1,0),1)&lt;=MAX(QCI!$D$13:$D$24),1+COUNTIF($M$13:OFFSET(M116,-1,0),1),-1),0)</f>
        <v>0</v>
      </c>
      <c r="G117" s="185" t="str">
        <f t="array" aca="1" ref="G117" ca="1">IF(ACOMPANHAMENTO="BM",OFFSET(G117,-1,0),"")</f>
        <v/>
      </c>
      <c r="H117" s="196" t="str">
        <f t="array" aca="1" ref="H117" ca="1">IF(OR(S116=0,S116=""),"vazia",IF(AND(OR(ACOMPANHAMENTO="PLE",$R116&lt;&gt;2),$F117=0),"calculada","--&gt;"))</f>
        <v>calculada</v>
      </c>
      <c r="I117" s="197"/>
      <c r="J117" s="198" t="str">
        <f ca="1">IF(AND(H116&lt;&gt;0,ISNUMBER(H116)),"PREENCHA ESTA LINHA --&gt;","")</f>
        <v/>
      </c>
      <c r="K117" s="198"/>
      <c r="L117" s="198"/>
      <c r="M117" s="199"/>
      <c r="N117" s="199"/>
      <c r="O117" s="199"/>
      <c r="P117" s="199"/>
      <c r="Q117" s="199"/>
      <c r="R117" s="199"/>
      <c r="S117" s="200"/>
      <c r="T117" s="201"/>
      <c r="U117" s="585"/>
      <c r="V117" s="585"/>
      <c r="W117" s="585"/>
      <c r="X117" s="585"/>
      <c r="Y117" s="585"/>
      <c r="Z117" s="585"/>
      <c r="AA117" s="585"/>
      <c r="AB117" s="585"/>
      <c r="AC117" s="585"/>
      <c r="AD117" s="585"/>
      <c r="AE117" s="585"/>
      <c r="AF117" s="585"/>
      <c r="AG117" s="532"/>
    </row>
    <row r="118" spans="1:33" ht="12.75" customHeight="1" x14ac:dyDescent="0.2">
      <c r="D118" s="531"/>
      <c r="E118" s="202">
        <f t="array" aca="1" ref="E118" ca="1">IF($R116=2,
         IF(AND(ACOMPANHAMENTO="PLE",ISNUMBER($F116)),
                SUMIF((OFFSET(CÁLCULO!$BC$15:$BU$15,$F116,0,OFFSET(ORÇAMENTO!$D$15,CRONO!$F116,0))),CRONO!E$12,OFFSET(CÁLCULO!$AJ$15:$BB$15,$F116,0,OFFSET(ORÇAMENTO!$D$15,CRONO!$F116,0)))
                +IF(AND($F118&lt;&gt;"",$F118&lt;&gt;0),
                        SUMIF(CÁLCULO!$BC$15:$BU$235,CRONO!E$12,CÁLCULO!$AJ$15:$BB$235)/(ORÇAMENTO!$X$15-CÁLCULO.TotalAdmLocal)*CRONO!$F118,
                        0),
                 E117*$S116),
          SUMIF(OFFSET($S118,1,0,$R116-2),($M116+1)&amp;"$",OFFSET(E118,1,0,$R116-2)))</f>
        <v>0</v>
      </c>
      <c r="F118" s="185">
        <f ca="1">IF(OR($R116&lt;&gt;2,AUTOEVENTO&lt;&gt;"manual",$F117&gt;0),"",
        IF(Import.TipoArredondamento="Tradicional",
              SUMIF(OFFSET(CÁLCULO!$M$15,CRONO!$F116,0,OFFSET(ORÇAMENTO!$D$15,CRONO!$F116,0)),1,OFFSET(ORÇAMENTO!$X$15,CRONO!$F116,0,OFFSET(ORÇAMENTO!$D$15,CRONO!$F116,0))),
              0))</f>
        <v>0</v>
      </c>
      <c r="H118" s="693"/>
      <c r="S118" s="204" t="str">
        <f ca="1">M116&amp;"$"</f>
        <v>2$</v>
      </c>
      <c r="T118" s="205"/>
      <c r="U118" s="202">
        <f t="array" aca="1" ref="U118" ca="1">IF($R116=2,
         IF(AND(ACOMPANHAMENTO="PLE",ISNUMBER($F116)),
                SUMIF((OFFSET(CÁLCULO!$BC$15:$BU$15,$F116,0,OFFSET(ORÇAMENTO!$D$15,CRONO!$F116,0))),CRONO!U$12,OFFSET(CÁLCULO!$AJ$15:$BB$15,$F116,0,OFFSET(ORÇAMENTO!$D$15,CRONO!$F116,0)))
                +IF(AND($F118&lt;&gt;"",$F118&lt;&gt;0),
                        SUMIF(CÁLCULO!$BC$15:$BU$235,CRONO!U$12,CÁLCULO!$AJ$15:$BB$235)/(ORÇAMENTO!$X$15-CÁLCULO.TotalAdmLocal)*CRONO!$F118,
                        0),
                 U117*$S116),
          SUMIF(OFFSET($S118,1,0,$R116-2),($M116+1)&amp;"$",OFFSET(U118,1,0,$R116-2)))</f>
        <v>0</v>
      </c>
      <c r="V118" s="202">
        <f t="array" aca="1" ref="V118" ca="1">IF($R116=2,
         IF(AND(ACOMPANHAMENTO="PLE",ISNUMBER($F116)),
                SUMIF((OFFSET(CÁLCULO!$BC$15:$BU$15,$F116,0,OFFSET(ORÇAMENTO!$D$15,CRONO!$F116,0))),CRONO!V$12,OFFSET(CÁLCULO!$AJ$15:$BB$15,$F116,0,OFFSET(ORÇAMENTO!$D$15,CRONO!$F116,0)))
                +IF(AND($F118&lt;&gt;"",$F118&lt;&gt;0),
                        SUMIF(CÁLCULO!$BC$15:$BU$235,CRONO!V$12,CÁLCULO!$AJ$15:$BB$235)/(ORÇAMENTO!$X$15-CÁLCULO.TotalAdmLocal)*CRONO!$F118,
                        0),
                 V117*$S116),
          SUMIF(OFFSET($S118,1,0,$R116-2),($M116+1)&amp;"$",OFFSET(V118,1,0,$R116-2)))</f>
        <v>0</v>
      </c>
      <c r="W118" s="202">
        <f t="array" aca="1" ref="W118" ca="1">IF($R116=2,
         IF(AND(ACOMPANHAMENTO="PLE",ISNUMBER($F116)),
                SUMIF((OFFSET(CÁLCULO!$BC$15:$BU$15,$F116,0,OFFSET(ORÇAMENTO!$D$15,CRONO!$F116,0))),CRONO!W$12,OFFSET(CÁLCULO!$AJ$15:$BB$15,$F116,0,OFFSET(ORÇAMENTO!$D$15,CRONO!$F116,0)))
                +IF(AND($F118&lt;&gt;"",$F118&lt;&gt;0),
                        SUMIF(CÁLCULO!$BC$15:$BU$235,CRONO!W$12,CÁLCULO!$AJ$15:$BB$235)/(ORÇAMENTO!$X$15-CÁLCULO.TotalAdmLocal)*CRONO!$F118,
                        0),
                 W117*$S116),
          SUMIF(OFFSET($S118,1,0,$R116-2),($M116+1)&amp;"$",OFFSET(W118,1,0,$R116-2)))</f>
        <v>0</v>
      </c>
      <c r="X118" s="202">
        <f t="array" aca="1" ref="X118" ca="1">IF($R116=2,
         IF(AND(ACOMPANHAMENTO="PLE",ISNUMBER($F116)),
                SUMIF((OFFSET(CÁLCULO!$BC$15:$BU$15,$F116,0,OFFSET(ORÇAMENTO!$D$15,CRONO!$F116,0))),CRONO!X$12,OFFSET(CÁLCULO!$AJ$15:$BB$15,$F116,0,OFFSET(ORÇAMENTO!$D$15,CRONO!$F116,0)))
                +IF(AND($F118&lt;&gt;"",$F118&lt;&gt;0),
                        SUMIF(CÁLCULO!$BC$15:$BU$235,CRONO!X$12,CÁLCULO!$AJ$15:$BB$235)/(ORÇAMENTO!$X$15-CÁLCULO.TotalAdmLocal)*CRONO!$F118,
                        0),
                 X117*$S116),
          SUMIF(OFFSET($S118,1,0,$R116-2),($M116+1)&amp;"$",OFFSET(X118,1,0,$R116-2)))</f>
        <v>0</v>
      </c>
      <c r="Y118" s="202">
        <f t="array" aca="1" ref="Y118" ca="1">IF($R116=2,
         IF(AND(ACOMPANHAMENTO="PLE",ISNUMBER($F116)),
                SUMIF((OFFSET(CÁLCULO!$BC$15:$BU$15,$F116,0,OFFSET(ORÇAMENTO!$D$15,CRONO!$F116,0))),CRONO!Y$12,OFFSET(CÁLCULO!$AJ$15:$BB$15,$F116,0,OFFSET(ORÇAMENTO!$D$15,CRONO!$F116,0)))
                +IF(AND($F118&lt;&gt;"",$F118&lt;&gt;0),
                        SUMIF(CÁLCULO!$BC$15:$BU$235,CRONO!Y$12,CÁLCULO!$AJ$15:$BB$235)/(ORÇAMENTO!$X$15-CÁLCULO.TotalAdmLocal)*CRONO!$F118,
                        0),
                 Y117*$S116),
          SUMIF(OFFSET($S118,1,0,$R116-2),($M116+1)&amp;"$",OFFSET(Y118,1,0,$R116-2)))</f>
        <v>0</v>
      </c>
      <c r="Z118" s="202">
        <f t="array" aca="1" ref="Z118" ca="1">IF($R116=2,
         IF(AND(ACOMPANHAMENTO="PLE",ISNUMBER($F116)),
                SUMIF((OFFSET(CÁLCULO!$BC$15:$BU$15,$F116,0,OFFSET(ORÇAMENTO!$D$15,CRONO!$F116,0))),CRONO!Z$12,OFFSET(CÁLCULO!$AJ$15:$BB$15,$F116,0,OFFSET(ORÇAMENTO!$D$15,CRONO!$F116,0)))
                +IF(AND($F118&lt;&gt;"",$F118&lt;&gt;0),
                        SUMIF(CÁLCULO!$BC$15:$BU$235,CRONO!Z$12,CÁLCULO!$AJ$15:$BB$235)/(ORÇAMENTO!$X$15-CÁLCULO.TotalAdmLocal)*CRONO!$F118,
                        0),
                 Z117*$S116),
          SUMIF(OFFSET($S118,1,0,$R116-2),($M116+1)&amp;"$",OFFSET(Z118,1,0,$R116-2)))</f>
        <v>0</v>
      </c>
      <c r="AA118" s="202">
        <f t="array" aca="1" ref="AA118" ca="1">IF($R116=2,
         IF(AND(ACOMPANHAMENTO="PLE",ISNUMBER($F116)),
                SUMIF((OFFSET(CÁLCULO!$BC$15:$BU$15,$F116,0,OFFSET(ORÇAMENTO!$D$15,CRONO!$F116,0))),CRONO!AA$12,OFFSET(CÁLCULO!$AJ$15:$BB$15,$F116,0,OFFSET(ORÇAMENTO!$D$15,CRONO!$F116,0)))
                +IF(AND($F118&lt;&gt;"",$F118&lt;&gt;0),
                        SUMIF(CÁLCULO!$BC$15:$BU$235,CRONO!AA$12,CÁLCULO!$AJ$15:$BB$235)/(ORÇAMENTO!$X$15-CÁLCULO.TotalAdmLocal)*CRONO!$F118,
                        0),
                 AA117*$S116),
          SUMIF(OFFSET($S118,1,0,$R116-2),($M116+1)&amp;"$",OFFSET(AA118,1,0,$R116-2)))</f>
        <v>0</v>
      </c>
      <c r="AB118" s="202">
        <f t="array" aca="1" ref="AB118" ca="1">IF($R116=2,
         IF(AND(ACOMPANHAMENTO="PLE",ISNUMBER($F116)),
                SUMIF((OFFSET(CÁLCULO!$BC$15:$BU$15,$F116,0,OFFSET(ORÇAMENTO!$D$15,CRONO!$F116,0))),CRONO!AB$12,OFFSET(CÁLCULO!$AJ$15:$BB$15,$F116,0,OFFSET(ORÇAMENTO!$D$15,CRONO!$F116,0)))
                +IF(AND($F118&lt;&gt;"",$F118&lt;&gt;0),
                        SUMIF(CÁLCULO!$BC$15:$BU$235,CRONO!AB$12,CÁLCULO!$AJ$15:$BB$235)/(ORÇAMENTO!$X$15-CÁLCULO.TotalAdmLocal)*CRONO!$F118,
                        0),
                 AB117*$S116),
          SUMIF(OFFSET($S118,1,0,$R116-2),($M116+1)&amp;"$",OFFSET(AB118,1,0,$R116-2)))</f>
        <v>0</v>
      </c>
      <c r="AC118" s="202">
        <f t="array" aca="1" ref="AC118" ca="1">IF($R116=2,
         IF(AND(ACOMPANHAMENTO="PLE",ISNUMBER($F116)),
                SUMIF((OFFSET(CÁLCULO!$BC$15:$BU$15,$F116,0,OFFSET(ORÇAMENTO!$D$15,CRONO!$F116,0))),CRONO!AC$12,OFFSET(CÁLCULO!$AJ$15:$BB$15,$F116,0,OFFSET(ORÇAMENTO!$D$15,CRONO!$F116,0)))
                +IF(AND($F118&lt;&gt;"",$F118&lt;&gt;0),
                        SUMIF(CÁLCULO!$BC$15:$BU$235,CRONO!AC$12,CÁLCULO!$AJ$15:$BB$235)/(ORÇAMENTO!$X$15-CÁLCULO.TotalAdmLocal)*CRONO!$F118,
                        0),
                 AC117*$S116),
          SUMIF(OFFSET($S118,1,0,$R116-2),($M116+1)&amp;"$",OFFSET(AC118,1,0,$R116-2)))</f>
        <v>10724.199999999997</v>
      </c>
      <c r="AD118" s="202">
        <f t="array" aca="1" ref="AD118" ca="1">IF($R116=2,
         IF(AND(ACOMPANHAMENTO="PLE",ISNUMBER($F116)),
                SUMIF((OFFSET(CÁLCULO!$BC$15:$BU$15,$F116,0,OFFSET(ORÇAMENTO!$D$15,CRONO!$F116,0))),CRONO!AD$12,OFFSET(CÁLCULO!$AJ$15:$BB$15,$F116,0,OFFSET(ORÇAMENTO!$D$15,CRONO!$F116,0)))
                +IF(AND($F118&lt;&gt;"",$F118&lt;&gt;0),
                        SUMIF(CÁLCULO!$BC$15:$BU$235,CRONO!AD$12,CÁLCULO!$AJ$15:$BB$235)/(ORÇAMENTO!$X$15-CÁLCULO.TotalAdmLocal)*CRONO!$F118,
                        0),
                 AD117*$S116),
          SUMIF(OFFSET($S118,1,0,$R116-2),($M116+1)&amp;"$",OFFSET(AD118,1,0,$R116-2)))</f>
        <v>0</v>
      </c>
      <c r="AE118" s="202">
        <f t="array" aca="1" ref="AE118" ca="1">IF($R116=2,
         IF(AND(ACOMPANHAMENTO="PLE",ISNUMBER($F116)),
                SUMIF((OFFSET(CÁLCULO!$BC$15:$BU$15,$F116,0,OFFSET(ORÇAMENTO!$D$15,CRONO!$F116,0))),CRONO!AE$12,OFFSET(CÁLCULO!$AJ$15:$BB$15,$F116,0,OFFSET(ORÇAMENTO!$D$15,CRONO!$F116,0)))
                +IF(AND($F118&lt;&gt;"",$F118&lt;&gt;0),
                        SUMIF(CÁLCULO!$BC$15:$BU$235,CRONO!AE$12,CÁLCULO!$AJ$15:$BB$235)/(ORÇAMENTO!$X$15-CÁLCULO.TotalAdmLocal)*CRONO!$F118,
                        0),
                 AE117*$S116),
          SUMIF(OFFSET($S118,1,0,$R116-2),($M116+1)&amp;"$",OFFSET(AE118,1,0,$R116-2)))</f>
        <v>0</v>
      </c>
      <c r="AF118" s="202">
        <f t="array" aca="1" ref="AF118" ca="1">IF($R116=2,
         IF(AND(ACOMPANHAMENTO="PLE",ISNUMBER($F116)),
                SUMIF((OFFSET(CÁLCULO!$BC$15:$BU$15,$F116,0,OFFSET(ORÇAMENTO!$D$15,CRONO!$F116,0))),CRONO!AF$12,OFFSET(CÁLCULO!$AJ$15:$BB$15,$F116,0,OFFSET(ORÇAMENTO!$D$15,CRONO!$F116,0)))
                +IF(AND($F118&lt;&gt;"",$F118&lt;&gt;0),
                        SUMIF(CÁLCULO!$BC$15:$BU$235,CRONO!AF$12,CÁLCULO!$AJ$15:$BB$235)/(ORÇAMENTO!$X$15-CÁLCULO.TotalAdmLocal)*CRONO!$F118,
                        0),
                 AF117*$S116),
          SUMIF(OFFSET($S118,1,0,$R116-2),($M116+1)&amp;"$",OFFSET(AF118,1,0,$R116-2)))</f>
        <v>0</v>
      </c>
      <c r="AG118" s="532"/>
    </row>
    <row r="119" spans="1:33" ht="5.0999999999999996" customHeight="1" x14ac:dyDescent="0.2">
      <c r="E119" s="638"/>
      <c r="G119" s="185" t="s">
        <v>536</v>
      </c>
      <c r="H119" s="432"/>
      <c r="I119" s="639"/>
      <c r="J119" s="640"/>
      <c r="K119" s="640"/>
      <c r="L119" s="640"/>
      <c r="M119" s="641" t="s">
        <v>797</v>
      </c>
      <c r="N119" s="641"/>
      <c r="O119" s="641"/>
      <c r="P119" s="641"/>
      <c r="Q119" s="641"/>
      <c r="R119" s="641"/>
      <c r="S119" s="642"/>
      <c r="T119" s="642"/>
      <c r="U119" s="640"/>
      <c r="V119" s="640"/>
      <c r="W119" s="640"/>
      <c r="X119" s="640"/>
      <c r="Y119" s="640"/>
      <c r="Z119" s="640"/>
      <c r="AA119" s="640"/>
      <c r="AB119" s="640"/>
      <c r="AC119" s="640"/>
      <c r="AD119" s="640"/>
      <c r="AE119" s="640"/>
      <c r="AF119" s="640"/>
      <c r="AG119" s="532"/>
    </row>
    <row r="120" spans="1:33" ht="12.75" customHeight="1" x14ac:dyDescent="0.2">
      <c r="E120" s="526">
        <f ca="1">E124/$R$120</f>
        <v>7.0606638909233342E-3</v>
      </c>
      <c r="G120" s="185" t="s">
        <v>536</v>
      </c>
      <c r="I120" s="817" t="str">
        <f ca="1">"Total:    R$ "&amp;TEXT(R120,"#.##0,00")</f>
        <v>Total:    R$ 2.675.612,42</v>
      </c>
      <c r="J120" s="817"/>
      <c r="K120" s="817"/>
      <c r="L120" s="227"/>
      <c r="R120" s="228">
        <f ca="1">SUMIF(M12:M119,1,S12:S119)</f>
        <v>2675612.42</v>
      </c>
      <c r="S120" s="229"/>
      <c r="T120" s="230" t="s">
        <v>798</v>
      </c>
      <c r="U120" s="526">
        <f t="shared" ref="U120:AF120" ca="1" si="2">ROUND(U124,2)/$R$120</f>
        <v>7.0606638909233342E-3</v>
      </c>
      <c r="V120" s="526">
        <f t="shared" ca="1" si="2"/>
        <v>9.0111130520167046E-2</v>
      </c>
      <c r="W120" s="526">
        <f t="shared" ca="1" si="2"/>
        <v>0.11078303710370727</v>
      </c>
      <c r="X120" s="526">
        <f t="shared" ca="1" si="2"/>
        <v>0.16624620841011045</v>
      </c>
      <c r="Y120" s="526">
        <f t="shared" ca="1" si="2"/>
        <v>0.17827081621933868</v>
      </c>
      <c r="Z120" s="526">
        <f t="shared" ca="1" si="2"/>
        <v>0.19079270083519795</v>
      </c>
      <c r="AA120" s="526">
        <f t="shared" ca="1" si="2"/>
        <v>0.11698387167749805</v>
      </c>
      <c r="AB120" s="526">
        <f t="shared" ca="1" si="2"/>
        <v>6.7602593951182219E-2</v>
      </c>
      <c r="AC120" s="526">
        <f t="shared" ca="1" si="2"/>
        <v>7.2148977391875022E-2</v>
      </c>
      <c r="AD120" s="526">
        <f t="shared" ca="1" si="2"/>
        <v>0</v>
      </c>
      <c r="AE120" s="526">
        <f t="shared" ca="1" si="2"/>
        <v>0</v>
      </c>
      <c r="AF120" s="537">
        <f t="shared" ca="1" si="2"/>
        <v>0</v>
      </c>
      <c r="AG120" s="532"/>
    </row>
    <row r="121" spans="1:33" ht="15" customHeight="1" x14ac:dyDescent="0.2">
      <c r="E121" s="231">
        <f ca="1">IF(E$12=1,ROUND(E126,2),ROUND(E126,2)-ROUND(D126,2))</f>
        <v>18891.599999999999</v>
      </c>
      <c r="G121" s="185" t="s">
        <v>536</v>
      </c>
      <c r="I121" s="817"/>
      <c r="J121" s="817"/>
      <c r="K121" s="817"/>
      <c r="L121" s="232"/>
      <c r="R121" s="228"/>
      <c r="S121" s="233"/>
      <c r="T121" s="234" t="str">
        <f>IF(import.recurso="FGTS","Financiamento:","Repasse:")</f>
        <v>Repasse:</v>
      </c>
      <c r="U121" s="231">
        <f t="shared" ref="U121:AF121" ca="1" si="3">IF(U$12=1,ROUND(U126,2),ROUND(U126,2)-ROUND(T126,2))</f>
        <v>18891.599999999999</v>
      </c>
      <c r="V121" s="231">
        <f t="shared" ca="1" si="3"/>
        <v>241102.46</v>
      </c>
      <c r="W121" s="231">
        <f t="shared" ca="1" si="3"/>
        <v>296412.47000000003</v>
      </c>
      <c r="X121" s="231">
        <f t="shared" ca="1" si="3"/>
        <v>444810.41999999993</v>
      </c>
      <c r="Y121" s="231">
        <f t="shared" ca="1" si="3"/>
        <v>476983.6100000001</v>
      </c>
      <c r="Z121" s="231">
        <f t="shared" ca="1" si="3"/>
        <v>510487.31999999983</v>
      </c>
      <c r="AA121" s="231">
        <f t="shared" ca="1" si="3"/>
        <v>313003.5</v>
      </c>
      <c r="AB121" s="231">
        <f t="shared" ca="1" si="3"/>
        <v>180878.34000000032</v>
      </c>
      <c r="AC121" s="231">
        <f t="shared" ca="1" si="3"/>
        <v>193042.69999999972</v>
      </c>
      <c r="AD121" s="231">
        <f t="shared" ca="1" si="3"/>
        <v>0</v>
      </c>
      <c r="AE121" s="231">
        <f t="shared" ca="1" si="3"/>
        <v>0</v>
      </c>
      <c r="AF121" s="231">
        <f t="shared" ca="1" si="3"/>
        <v>0</v>
      </c>
      <c r="AG121" s="532"/>
    </row>
    <row r="122" spans="1:33" ht="12.75" customHeight="1" x14ac:dyDescent="0.2">
      <c r="E122" s="527">
        <f ca="1">IF(E$12=1,ROUND(E127,2),ROUND(E127,2)-ROUND(D127,2))</f>
        <v>0</v>
      </c>
      <c r="G122" s="185" t="s">
        <v>536</v>
      </c>
      <c r="I122" s="235"/>
      <c r="L122" s="236" t="s">
        <v>799</v>
      </c>
      <c r="R122" s="228"/>
      <c r="S122" s="237"/>
      <c r="T122" s="238" t="s">
        <v>800</v>
      </c>
      <c r="U122" s="527">
        <f t="shared" ref="U122:AF122" ca="1" si="4">IF(U$12=1,ROUND(U127,2),ROUND(U127,2)-ROUND(T127,2))</f>
        <v>0</v>
      </c>
      <c r="V122" s="527">
        <f t="shared" ca="1" si="4"/>
        <v>0</v>
      </c>
      <c r="W122" s="527">
        <f t="shared" ca="1" si="4"/>
        <v>0</v>
      </c>
      <c r="X122" s="527">
        <f t="shared" ca="1" si="4"/>
        <v>0</v>
      </c>
      <c r="Y122" s="527">
        <f t="shared" ca="1" si="4"/>
        <v>0</v>
      </c>
      <c r="Z122" s="527">
        <f t="shared" ca="1" si="4"/>
        <v>0</v>
      </c>
      <c r="AA122" s="527">
        <f t="shared" ca="1" si="4"/>
        <v>0</v>
      </c>
      <c r="AB122" s="527">
        <f t="shared" ca="1" si="4"/>
        <v>0</v>
      </c>
      <c r="AC122" s="527">
        <f t="shared" ca="1" si="4"/>
        <v>0</v>
      </c>
      <c r="AD122" s="527">
        <f t="shared" ca="1" si="4"/>
        <v>0</v>
      </c>
      <c r="AE122" s="527">
        <f t="shared" ca="1" si="4"/>
        <v>0</v>
      </c>
      <c r="AF122" s="527">
        <f t="shared" ca="1" si="4"/>
        <v>0</v>
      </c>
      <c r="AG122" s="532"/>
    </row>
    <row r="123" spans="1:33" x14ac:dyDescent="0.2">
      <c r="E123" s="239">
        <f ca="1">IF(E$12=1,ROUND(E128,2),ROUND(E128,2)-ROUND(D128,2))</f>
        <v>0</v>
      </c>
      <c r="G123" s="185" t="s">
        <v>536</v>
      </c>
      <c r="I123" s="235"/>
      <c r="L123" s="236"/>
      <c r="R123" s="228"/>
      <c r="S123" s="240"/>
      <c r="T123" s="241" t="s">
        <v>801</v>
      </c>
      <c r="U123" s="239">
        <f t="shared" ref="U123:AF123" ca="1" si="5">IF(U$12=1,ROUND(U128,2),ROUND(U128,2)-ROUND(T128,2))</f>
        <v>0</v>
      </c>
      <c r="V123" s="239">
        <f t="shared" ca="1" si="5"/>
        <v>0</v>
      </c>
      <c r="W123" s="239">
        <f t="shared" ca="1" si="5"/>
        <v>0</v>
      </c>
      <c r="X123" s="239">
        <f t="shared" ca="1" si="5"/>
        <v>0</v>
      </c>
      <c r="Y123" s="239">
        <f t="shared" ca="1" si="5"/>
        <v>0</v>
      </c>
      <c r="Z123" s="239">
        <f t="shared" ca="1" si="5"/>
        <v>0</v>
      </c>
      <c r="AA123" s="239">
        <f t="shared" ca="1" si="5"/>
        <v>0</v>
      </c>
      <c r="AB123" s="239">
        <f t="shared" ca="1" si="5"/>
        <v>0</v>
      </c>
      <c r="AC123" s="239">
        <f t="shared" ca="1" si="5"/>
        <v>0</v>
      </c>
      <c r="AD123" s="239">
        <f t="shared" ca="1" si="5"/>
        <v>0</v>
      </c>
      <c r="AE123" s="239">
        <f t="shared" ca="1" si="5"/>
        <v>0</v>
      </c>
      <c r="AF123" s="239">
        <f t="shared" ca="1" si="5"/>
        <v>0</v>
      </c>
      <c r="AG123" s="532"/>
    </row>
    <row r="124" spans="1:33" x14ac:dyDescent="0.2">
      <c r="E124" s="528">
        <f ca="1">IF(E$12=1,ROUND(E129,2),ROUND(E129,2)-ROUND(D129,2))</f>
        <v>18891.599999999999</v>
      </c>
      <c r="G124" s="185" t="s">
        <v>536</v>
      </c>
      <c r="H124" s="534"/>
      <c r="L124" s="242"/>
      <c r="S124" s="243"/>
      <c r="T124" s="244" t="s">
        <v>802</v>
      </c>
      <c r="U124" s="528">
        <f t="shared" ref="U124:AF124" ca="1" si="6">IF(U$12=1,ROUND(U129,2),ROUND(U129,2)-ROUND(T129,2))</f>
        <v>18891.599999999999</v>
      </c>
      <c r="V124" s="528">
        <f t="shared" ca="1" si="6"/>
        <v>241102.46</v>
      </c>
      <c r="W124" s="528">
        <f t="shared" ca="1" si="6"/>
        <v>296412.47000000003</v>
      </c>
      <c r="X124" s="528">
        <f t="shared" ca="1" si="6"/>
        <v>444810.41999999993</v>
      </c>
      <c r="Y124" s="528">
        <f t="shared" ca="1" si="6"/>
        <v>476983.6100000001</v>
      </c>
      <c r="Z124" s="528">
        <f t="shared" ca="1" si="6"/>
        <v>510487.31999999983</v>
      </c>
      <c r="AA124" s="528">
        <f t="shared" ca="1" si="6"/>
        <v>313003.5</v>
      </c>
      <c r="AB124" s="528">
        <f t="shared" ca="1" si="6"/>
        <v>180878.34000000032</v>
      </c>
      <c r="AC124" s="528">
        <f t="shared" ca="1" si="6"/>
        <v>193042.69999999972</v>
      </c>
      <c r="AD124" s="528">
        <f t="shared" ca="1" si="6"/>
        <v>0</v>
      </c>
      <c r="AE124" s="528">
        <f t="shared" ca="1" si="6"/>
        <v>0</v>
      </c>
      <c r="AF124" s="528">
        <f t="shared" ca="1" si="6"/>
        <v>0</v>
      </c>
      <c r="AG124" s="532"/>
    </row>
    <row r="125" spans="1:33" x14ac:dyDescent="0.2">
      <c r="E125" s="526">
        <f ca="1">ROUND(ROUND(E129,2)/$R$120,4)</f>
        <v>7.1000000000000004E-3</v>
      </c>
      <c r="G125" s="185" t="s">
        <v>536</v>
      </c>
      <c r="L125" s="227"/>
      <c r="S125" s="229"/>
      <c r="T125" s="230" t="s">
        <v>798</v>
      </c>
      <c r="U125" s="526">
        <f t="shared" ref="U125:AF125" ca="1" si="7">ROUND(ROUND(U129,2)/$R$120,4)</f>
        <v>7.1000000000000004E-3</v>
      </c>
      <c r="V125" s="526">
        <f t="shared" ca="1" si="7"/>
        <v>9.7199999999999995E-2</v>
      </c>
      <c r="W125" s="526">
        <f t="shared" ca="1" si="7"/>
        <v>0.20799999999999999</v>
      </c>
      <c r="X125" s="526">
        <f t="shared" ca="1" si="7"/>
        <v>0.37419999999999998</v>
      </c>
      <c r="Y125" s="526">
        <f t="shared" ca="1" si="7"/>
        <v>0.55249999999999999</v>
      </c>
      <c r="Z125" s="526">
        <f t="shared" ca="1" si="7"/>
        <v>0.74329999999999996</v>
      </c>
      <c r="AA125" s="526">
        <f t="shared" ca="1" si="7"/>
        <v>0.86019999999999996</v>
      </c>
      <c r="AB125" s="526">
        <f t="shared" ca="1" si="7"/>
        <v>0.92789999999999995</v>
      </c>
      <c r="AC125" s="526">
        <f t="shared" ca="1" si="7"/>
        <v>1</v>
      </c>
      <c r="AD125" s="526">
        <f t="shared" ca="1" si="7"/>
        <v>1</v>
      </c>
      <c r="AE125" s="526">
        <f t="shared" ca="1" si="7"/>
        <v>1</v>
      </c>
      <c r="AF125" s="526">
        <f t="shared" ca="1" si="7"/>
        <v>1</v>
      </c>
      <c r="AG125" s="532"/>
    </row>
    <row r="126" spans="1:33" x14ac:dyDescent="0.2">
      <c r="E126" s="231">
        <f ca="1">ROUND(E129-E128-E127,2)</f>
        <v>18891.599999999999</v>
      </c>
      <c r="G126" s="185" t="s">
        <v>536</v>
      </c>
      <c r="L126" s="232"/>
      <c r="S126" s="233"/>
      <c r="T126" s="234" t="str">
        <f>IF(import.recurso="FGTS","Financiamento:","Repasse:")</f>
        <v>Repasse:</v>
      </c>
      <c r="U126" s="231">
        <f t="shared" ref="U126:AF126" ca="1" si="8">ROUND(U129-U128-U127,2)</f>
        <v>18891.599999999999</v>
      </c>
      <c r="V126" s="231">
        <f t="shared" ca="1" si="8"/>
        <v>259994.06</v>
      </c>
      <c r="W126" s="231">
        <f t="shared" ca="1" si="8"/>
        <v>556406.53</v>
      </c>
      <c r="X126" s="231">
        <f t="shared" ca="1" si="8"/>
        <v>1001216.95</v>
      </c>
      <c r="Y126" s="231">
        <f t="shared" ca="1" si="8"/>
        <v>1478200.56</v>
      </c>
      <c r="Z126" s="231">
        <f t="shared" ca="1" si="8"/>
        <v>1988687.88</v>
      </c>
      <c r="AA126" s="231">
        <f t="shared" ca="1" si="8"/>
        <v>2301691.38</v>
      </c>
      <c r="AB126" s="231">
        <f t="shared" ca="1" si="8"/>
        <v>2482569.7200000002</v>
      </c>
      <c r="AC126" s="231">
        <f t="shared" ca="1" si="8"/>
        <v>2675612.42</v>
      </c>
      <c r="AD126" s="231">
        <f t="shared" ca="1" si="8"/>
        <v>2675612.42</v>
      </c>
      <c r="AE126" s="231">
        <f t="shared" ca="1" si="8"/>
        <v>2675612.42</v>
      </c>
      <c r="AF126" s="231">
        <f t="shared" ca="1" si="8"/>
        <v>2675612.42</v>
      </c>
      <c r="AG126" s="532"/>
    </row>
    <row r="127" spans="1:33" x14ac:dyDescent="0.2">
      <c r="E127" s="527">
        <f t="array" aca="1" ref="E127" ca="1">IF(E$12=1,0,OFFSET(E127,0,-1))+SUM((OFFSET($C$13,1,0):OFFSET($C$119,-3,0))*IF(ISNUMBER(OFFSET(E$11,5,0):OFFSET(E$119,-1,0)),OFFSET(E$11,5,0):OFFSET(E$119,-1,0),0))</f>
        <v>0</v>
      </c>
      <c r="G127" s="185" t="s">
        <v>536</v>
      </c>
      <c r="L127" s="236" t="s">
        <v>803</v>
      </c>
      <c r="S127" s="237"/>
      <c r="T127" s="238" t="s">
        <v>800</v>
      </c>
      <c r="U127" s="527">
        <f t="array" aca="1" ref="U127" ca="1">IF(U$12=1,0,OFFSET(U127,0,-1))+SUM((OFFSET($C$13,1,0):OFFSET($C$119,-3,0))*IF(ISNUMBER(OFFSET(U$11,5,0):OFFSET(U$119,-1,0)),OFFSET(U$11,5,0):OFFSET(U$119,-1,0),0))</f>
        <v>0</v>
      </c>
      <c r="V127" s="527">
        <f t="array" aca="1" ref="V127" ca="1">IF(V$12=1,0,OFFSET(V127,0,-1))+SUM((OFFSET($C$13,1,0):OFFSET($C$119,-3,0))*IF(ISNUMBER(OFFSET(V$11,5,0):OFFSET(V$119,-1,0)),OFFSET(V$11,5,0):OFFSET(V$119,-1,0),0))</f>
        <v>0</v>
      </c>
      <c r="W127" s="527">
        <f t="array" aca="1" ref="W127" ca="1">IF(W$12=1,0,OFFSET(W127,0,-1))+SUM((OFFSET($C$13,1,0):OFFSET($C$119,-3,0))*IF(ISNUMBER(OFFSET(W$11,5,0):OFFSET(W$119,-1,0)),OFFSET(W$11,5,0):OFFSET(W$119,-1,0),0))</f>
        <v>0</v>
      </c>
      <c r="X127" s="527">
        <f t="array" aca="1" ref="X127" ca="1">IF(X$12=1,0,OFFSET(X127,0,-1))+SUM((OFFSET($C$13,1,0):OFFSET($C$119,-3,0))*IF(ISNUMBER(OFFSET(X$11,5,0):OFFSET(X$119,-1,0)),OFFSET(X$11,5,0):OFFSET(X$119,-1,0),0))</f>
        <v>0</v>
      </c>
      <c r="Y127" s="527">
        <f t="array" aca="1" ref="Y127" ca="1">IF(Y$12=1,0,OFFSET(Y127,0,-1))+SUM((OFFSET($C$13,1,0):OFFSET($C$119,-3,0))*IF(ISNUMBER(OFFSET(Y$11,5,0):OFFSET(Y$119,-1,0)),OFFSET(Y$11,5,0):OFFSET(Y$119,-1,0),0))</f>
        <v>0</v>
      </c>
      <c r="Z127" s="527">
        <f t="array" aca="1" ref="Z127" ca="1">IF(Z$12=1,0,OFFSET(Z127,0,-1))+SUM((OFFSET($C$13,1,0):OFFSET($C$119,-3,0))*IF(ISNUMBER(OFFSET(Z$11,5,0):OFFSET(Z$119,-1,0)),OFFSET(Z$11,5,0):OFFSET(Z$119,-1,0),0))</f>
        <v>0</v>
      </c>
      <c r="AA127" s="527">
        <f t="array" aca="1" ref="AA127" ca="1">IF(AA$12=1,0,OFFSET(AA127,0,-1))+SUM((OFFSET($C$13,1,0):OFFSET($C$119,-3,0))*IF(ISNUMBER(OFFSET(AA$11,5,0):OFFSET(AA$119,-1,0)),OFFSET(AA$11,5,0):OFFSET(AA$119,-1,0),0))</f>
        <v>0</v>
      </c>
      <c r="AB127" s="527">
        <f t="array" aca="1" ref="AB127" ca="1">IF(AB$12=1,0,OFFSET(AB127,0,-1))+SUM((OFFSET($C$13,1,0):OFFSET($C$119,-3,0))*IF(ISNUMBER(OFFSET(AB$11,5,0):OFFSET(AB$119,-1,0)),OFFSET(AB$11,5,0):OFFSET(AB$119,-1,0),0))</f>
        <v>0</v>
      </c>
      <c r="AC127" s="527">
        <f t="array" aca="1" ref="AC127" ca="1">IF(AC$12=1,0,OFFSET(AC127,0,-1))+SUM((OFFSET($C$13,1,0):OFFSET($C$119,-3,0))*IF(ISNUMBER(OFFSET(AC$11,5,0):OFFSET(AC$119,-1,0)),OFFSET(AC$11,5,0):OFFSET(AC$119,-1,0),0))</f>
        <v>0</v>
      </c>
      <c r="AD127" s="527">
        <f t="array" aca="1" ref="AD127" ca="1">IF(AD$12=1,0,OFFSET(AD127,0,-1))+SUM((OFFSET($C$13,1,0):OFFSET($C$119,-3,0))*IF(ISNUMBER(OFFSET(AD$11,5,0):OFFSET(AD$119,-1,0)),OFFSET(AD$11,5,0):OFFSET(AD$119,-1,0),0))</f>
        <v>0</v>
      </c>
      <c r="AE127" s="527">
        <f t="array" aca="1" ref="AE127" ca="1">IF(AE$12=1,0,OFFSET(AE127,0,-1))+SUM((OFFSET($C$13,1,0):OFFSET($C$119,-3,0))*IF(ISNUMBER(OFFSET(AE$11,5,0):OFFSET(AE$119,-1,0)),OFFSET(AE$11,5,0):OFFSET(AE$119,-1,0),0))</f>
        <v>0</v>
      </c>
      <c r="AF127" s="527">
        <f t="array" aca="1" ref="AF127" ca="1">IF(AF$12=1,0,OFFSET(AF127,0,-1))+SUM((OFFSET($C$13,1,0):OFFSET($C$119,-3,0))*IF(ISNUMBER(OFFSET(AF$11,5,0):OFFSET(AF$119,-1,0)),OFFSET(AF$11,5,0):OFFSET(AF$119,-1,0),0))</f>
        <v>0</v>
      </c>
      <c r="AG127" s="532"/>
    </row>
    <row r="128" spans="1:33" x14ac:dyDescent="0.2">
      <c r="E128" s="239">
        <f t="array" aca="1" ref="E128" ca="1">IF(E$12=1,0,OFFSET(E128,0,-1))+SUM((OFFSET($D$13,1,0):OFFSET($D$119,-3,0))*IF(ISNUMBER(OFFSET(E$11,5,0):OFFSET(E$119,-1,0)),OFFSET(E$11,5,0):OFFSET(E$119,-1,0),0))</f>
        <v>0</v>
      </c>
      <c r="G128" s="185" t="s">
        <v>536</v>
      </c>
      <c r="L128" s="236"/>
      <c r="S128" s="240"/>
      <c r="T128" s="241" t="s">
        <v>801</v>
      </c>
      <c r="U128" s="239">
        <f t="array" aca="1" ref="U128" ca="1">IF(U$12=1,0,OFFSET(U128,0,-1))+SUM((OFFSET($D$13,1,0):OFFSET($D$119,-3,0))*IF(ISNUMBER(OFFSET(U$11,5,0):OFFSET(U$119,-1,0)),OFFSET(U$11,5,0):OFFSET(U$119,-1,0),0))</f>
        <v>0</v>
      </c>
      <c r="V128" s="239">
        <f t="array" aca="1" ref="V128" ca="1">IF(V$12=1,0,OFFSET(V128,0,-1))+SUM((OFFSET($D$13,1,0):OFFSET($D$119,-3,0))*IF(ISNUMBER(OFFSET(V$11,5,0):OFFSET(V$119,-1,0)),OFFSET(V$11,5,0):OFFSET(V$119,-1,0),0))</f>
        <v>0</v>
      </c>
      <c r="W128" s="239">
        <f t="array" aca="1" ref="W128" ca="1">IF(W$12=1,0,OFFSET(W128,0,-1))+SUM((OFFSET($D$13,1,0):OFFSET($D$119,-3,0))*IF(ISNUMBER(OFFSET(W$11,5,0):OFFSET(W$119,-1,0)),OFFSET(W$11,5,0):OFFSET(W$119,-1,0),0))</f>
        <v>0</v>
      </c>
      <c r="X128" s="239">
        <f t="array" aca="1" ref="X128" ca="1">IF(X$12=1,0,OFFSET(X128,0,-1))+SUM((OFFSET($D$13,1,0):OFFSET($D$119,-3,0))*IF(ISNUMBER(OFFSET(X$11,5,0):OFFSET(X$119,-1,0)),OFFSET(X$11,5,0):OFFSET(X$119,-1,0),0))</f>
        <v>0</v>
      </c>
      <c r="Y128" s="239">
        <f t="array" aca="1" ref="Y128" ca="1">IF(Y$12=1,0,OFFSET(Y128,0,-1))+SUM((OFFSET($D$13,1,0):OFFSET($D$119,-3,0))*IF(ISNUMBER(OFFSET(Y$11,5,0):OFFSET(Y$119,-1,0)),OFFSET(Y$11,5,0):OFFSET(Y$119,-1,0),0))</f>
        <v>0</v>
      </c>
      <c r="Z128" s="239">
        <f t="array" aca="1" ref="Z128" ca="1">IF(Z$12=1,0,OFFSET(Z128,0,-1))+SUM((OFFSET($D$13,1,0):OFFSET($D$119,-3,0))*IF(ISNUMBER(OFFSET(Z$11,5,0):OFFSET(Z$119,-1,0)),OFFSET(Z$11,5,0):OFFSET(Z$119,-1,0),0))</f>
        <v>0</v>
      </c>
      <c r="AA128" s="239">
        <f t="array" aca="1" ref="AA128" ca="1">IF(AA$12=1,0,OFFSET(AA128,0,-1))+SUM((OFFSET($D$13,1,0):OFFSET($D$119,-3,0))*IF(ISNUMBER(OFFSET(AA$11,5,0):OFFSET(AA$119,-1,0)),OFFSET(AA$11,5,0):OFFSET(AA$119,-1,0),0))</f>
        <v>0</v>
      </c>
      <c r="AB128" s="239">
        <f t="array" aca="1" ref="AB128" ca="1">IF(AB$12=1,0,OFFSET(AB128,0,-1))+SUM((OFFSET($D$13,1,0):OFFSET($D$119,-3,0))*IF(ISNUMBER(OFFSET(AB$11,5,0):OFFSET(AB$119,-1,0)),OFFSET(AB$11,5,0):OFFSET(AB$119,-1,0),0))</f>
        <v>0</v>
      </c>
      <c r="AC128" s="239">
        <f t="array" aca="1" ref="AC128" ca="1">IF(AC$12=1,0,OFFSET(AC128,0,-1))+SUM((OFFSET($D$13,1,0):OFFSET($D$119,-3,0))*IF(ISNUMBER(OFFSET(AC$11,5,0):OFFSET(AC$119,-1,0)),OFFSET(AC$11,5,0):OFFSET(AC$119,-1,0),0))</f>
        <v>0</v>
      </c>
      <c r="AD128" s="239">
        <f t="array" aca="1" ref="AD128" ca="1">IF(AD$12=1,0,OFFSET(AD128,0,-1))+SUM((OFFSET($D$13,1,0):OFFSET($D$119,-3,0))*IF(ISNUMBER(OFFSET(AD$11,5,0):OFFSET(AD$119,-1,0)),OFFSET(AD$11,5,0):OFFSET(AD$119,-1,0),0))</f>
        <v>0</v>
      </c>
      <c r="AE128" s="239">
        <f t="array" aca="1" ref="AE128" ca="1">IF(AE$12=1,0,OFFSET(AE128,0,-1))+SUM((OFFSET($D$13,1,0):OFFSET($D$119,-3,0))*IF(ISNUMBER(OFFSET(AE$11,5,0):OFFSET(AE$119,-1,0)),OFFSET(AE$11,5,0):OFFSET(AE$119,-1,0),0))</f>
        <v>0</v>
      </c>
      <c r="AF128" s="239">
        <f t="array" aca="1" ref="AF128" ca="1">IF(AF$12=1,0,OFFSET(AF128,0,-1))+SUM((OFFSET($D$13,1,0):OFFSET($D$119,-3,0))*IF(ISNUMBER(OFFSET(AF$11,5,0):OFFSET(AF$119,-1,0)),OFFSET(AF$11,5,0):OFFSET(AF$119,-1,0),0))</f>
        <v>0</v>
      </c>
      <c r="AG128" s="532"/>
    </row>
    <row r="129" spans="4:33" ht="13.5" thickBot="1" x14ac:dyDescent="0.25">
      <c r="D129" s="531"/>
      <c r="E129" s="529">
        <f ca="1">SUMIF($S$12:$S$119,"1$",E12:E119)+IF(E$12&gt;1,OFFSET(E129,0,-1),0)</f>
        <v>18891.599999999999</v>
      </c>
      <c r="G129" s="185" t="s">
        <v>536</v>
      </c>
      <c r="H129" s="520" t="str">
        <f t="array" ref="H129">IF(ACOMPANHAMENTO="BM","Selecione o Macrosserviço da Administração Local:","")</f>
        <v/>
      </c>
      <c r="I129"/>
      <c r="L129" s="236"/>
      <c r="S129" s="237"/>
      <c r="T129" s="524" t="s">
        <v>802</v>
      </c>
      <c r="U129" s="529">
        <f t="shared" ref="U129:AF129" ca="1" si="9">SUMIF($S$12:$S$119,"1$",U12:U119)+IF(U$12&gt;1,OFFSET(U129,0,-1),0)</f>
        <v>18891.599999999999</v>
      </c>
      <c r="V129" s="529">
        <f t="shared" ca="1" si="9"/>
        <v>259994.06000000003</v>
      </c>
      <c r="W129" s="529">
        <f t="shared" ca="1" si="9"/>
        <v>556406.53</v>
      </c>
      <c r="X129" s="529">
        <f t="shared" ca="1" si="9"/>
        <v>1001216.95</v>
      </c>
      <c r="Y129" s="529">
        <f t="shared" ca="1" si="9"/>
        <v>1478200.56</v>
      </c>
      <c r="Z129" s="529">
        <f t="shared" ca="1" si="9"/>
        <v>1988687.8800000001</v>
      </c>
      <c r="AA129" s="529">
        <f t="shared" ca="1" si="9"/>
        <v>2301691.38</v>
      </c>
      <c r="AB129" s="529">
        <f t="shared" ca="1" si="9"/>
        <v>2482569.7199999997</v>
      </c>
      <c r="AC129" s="529">
        <f t="shared" ca="1" si="9"/>
        <v>2675612.42</v>
      </c>
      <c r="AD129" s="529">
        <f t="shared" ca="1" si="9"/>
        <v>2675612.42</v>
      </c>
      <c r="AE129" s="529">
        <f t="shared" ca="1" si="9"/>
        <v>2675612.42</v>
      </c>
      <c r="AF129" s="538">
        <f t="shared" ca="1" si="9"/>
        <v>2675612.42</v>
      </c>
      <c r="AG129" s="532"/>
    </row>
    <row r="130" spans="4:33" ht="13.5" thickBot="1" x14ac:dyDescent="0.25">
      <c r="D130" s="531"/>
      <c r="E130" s="530">
        <f ca="1">IF($F$130="","",
  IF(ACOMPANHAMENTO="PLE",
     IF(AUTOEVENTO="Manual",
         IF(AdmLocal="Automática",
              E125,
              SUMIF(OFFSET(CRONOPLE!$F$14,CRONOPLE!$A$8+1,1,1,OFFSET(CRONOPLE!$AF$12,0,-1)),"&lt;="&amp;E$12,OFFSET(EVENTOS!$G$14,CRONOPLE!$A$8+1,1,1,OFFSET(CRONOPLE!$AF$12,0,-1)))/OFFSET(EVENTOS!$G$14,CRONOPLE!$A$8+1,-1)),
         SUMIFS(OFFSET(CÁLCULO!$AI$15,$F$130,1,OFFSET(ORÇAMENTO!$D$15,$F$130,0),CÁLCULO.FrentesPreenchidas),OFFSET(CÁLCULO!$BB$15,$F$130,1,OFFSET(ORÇAMENTO!$D$15,$F$130,0),CÁLCULO.FrentesPreenchidas),"&lt;="&amp;E$12)/OFFSET(ORÇAMENTO!$X$15,$F$130,0)),
     IF(ACOMPANHAMENTO="BM",SUM(OFFSET($T$13,$F$130+2,1,1,E$12))/OFFSET($S$13,$F$130,0),"")))</f>
        <v>3.2000385692030945E-3</v>
      </c>
      <c r="F130" s="185">
        <f ca="1">IF(ACOMPANHAMENTO="PLE",
    IF(AUTOEVENTO="Manual",
        IF(AdmLocal="Automática",1,IF(CRONOPLE!$D$8&lt;&gt;"","",MATCH(Import.EventoAdmLocal,EVENTOS!$B$15:$B$58,0))),
        IF(CRONOPLE!$D$8&lt;&gt;"","",CRONOPLE!$A$10)),
    IF($H$131&lt;&gt;"","",MATCH(Import.MacrosserviçoAdmLocal,$A$13:$A$119,0)-1))</f>
        <v>4</v>
      </c>
      <c r="G130" s="185" t="s">
        <v>536</v>
      </c>
      <c r="H130" s="770"/>
      <c r="I130" s="812"/>
      <c r="J130" s="771"/>
      <c r="L130" s="242"/>
      <c r="S130" s="523"/>
      <c r="T130" s="525" t="s">
        <v>804</v>
      </c>
      <c r="U130" s="530">
        <f ca="1">IF($F$130="","",
  IF(ACOMPANHAMENTO="PLE",
     IF(AUTOEVENTO="Manual",
         IF(AdmLocal="Automática",
              U125,
              SUMIF(OFFSET(CRONOPLE!$F$14,CRONOPLE!$A$8+1,1,1,OFFSET(CRONOPLE!$AF$12,0,-1)),"&lt;="&amp;U$12,OFFSET(EVENTOS!$G$14,CRONOPLE!$A$8+1,1,1,OFFSET(CRONOPLE!$AF$12,0,-1)))/OFFSET(EVENTOS!$G$14,CRONOPLE!$A$8+1,-1)),
         SUMIFS(OFFSET(CÁLCULO!$AI$15,$F$130,1,OFFSET(ORÇAMENTO!$D$15,$F$130,0),CÁLCULO.FrentesPreenchidas),OFFSET(CÁLCULO!$BB$15,$F$130,1,OFFSET(ORÇAMENTO!$D$15,$F$130,0),CÁLCULO.FrentesPreenchidas),"&lt;="&amp;U$12)/OFFSET(ORÇAMENTO!$X$15,$F$130,0)),
     IF(ACOMPANHAMENTO="BM",SUM(OFFSET($T$13,$F$130+2,1,1,U$12))/OFFSET($S$13,$F$130,0),"")))</f>
        <v>3.2000385692030945E-3</v>
      </c>
      <c r="V130" s="530">
        <f ca="1">IF($F$130="","",
  IF(ACOMPANHAMENTO="PLE",
     IF(AUTOEVENTO="Manual",
         IF(AdmLocal="Automática",
              V125,
              SUMIF(OFFSET(CRONOPLE!$F$14,CRONOPLE!$A$8+1,1,1,OFFSET(CRONOPLE!$AF$12,0,-1)),"&lt;="&amp;V$12,OFFSET(EVENTOS!$G$14,CRONOPLE!$A$8+1,1,1,OFFSET(CRONOPLE!$AF$12,0,-1)))/OFFSET(EVENTOS!$G$14,CRONOPLE!$A$8+1,-1)),
         SUMIFS(OFFSET(CÁLCULO!$AI$15,$F$130,1,OFFSET(ORÇAMENTO!$D$15,$F$130,0),CÁLCULO.FrentesPreenchidas),OFFSET(CÁLCULO!$BB$15,$F$130,1,OFFSET(ORÇAMENTO!$D$15,$F$130,0),CÁLCULO.FrentesPreenchidas),"&lt;="&amp;V$12)/OFFSET(ORÇAMENTO!$X$15,$F$130,0)),
     IF(ACOMPANHAMENTO="BM",SUM(OFFSET($T$13,$F$130+2,1,1,V$12))/OFFSET($S$13,$F$130,0),"")))</f>
        <v>9.34000686819529E-2</v>
      </c>
      <c r="W130" s="530">
        <f ca="1">IF($F$130="","",
  IF(ACOMPANHAMENTO="PLE",
     IF(AUTOEVENTO="Manual",
         IF(AdmLocal="Automática",
              W125,
              SUMIF(OFFSET(CRONOPLE!$F$14,CRONOPLE!$A$8+1,1,1,OFFSET(CRONOPLE!$AF$12,0,-1)),"&lt;="&amp;W$12,OFFSET(EVENTOS!$G$14,CRONOPLE!$A$8+1,1,1,OFFSET(CRONOPLE!$AF$12,0,-1)))/OFFSET(EVENTOS!$G$14,CRONOPLE!$A$8+1,-1)),
         SUMIFS(OFFSET(CÁLCULO!$AI$15,$F$130,1,OFFSET(ORÇAMENTO!$D$15,$F$130,0),CÁLCULO.FrentesPreenchidas),OFFSET(CÁLCULO!$BB$15,$F$130,1,OFFSET(ORÇAMENTO!$D$15,$F$130,0),CÁLCULO.FrentesPreenchidas),"&lt;="&amp;W$12)/OFFSET(ORÇAMENTO!$X$15,$F$130,0)),
     IF(ACOMPANHAMENTO="BM",SUM(OFFSET($T$13,$F$130+2,1,1,W$12))/OFFSET($S$13,$F$130,0),"")))</f>
        <v>0.20440005789268489</v>
      </c>
      <c r="X130" s="530">
        <f ca="1">IF($F$130="","",
  IF(ACOMPANHAMENTO="PLE",
     IF(AUTOEVENTO="Manual",
         IF(AdmLocal="Automática",
              X125,
              SUMIF(OFFSET(CRONOPLE!$F$14,CRONOPLE!$A$8+1,1,1,OFFSET(CRONOPLE!$AF$12,0,-1)),"&lt;="&amp;X$12,OFFSET(EVENTOS!$G$14,CRONOPLE!$A$8+1,1,1,OFFSET(CRONOPLE!$AF$12,0,-1)))/OFFSET(EVENTOS!$G$14,CRONOPLE!$A$8+1,-1)),
         SUMIFS(OFFSET(CÁLCULO!$AI$15,$F$130,1,OFFSET(ORÇAMENTO!$D$15,$F$130,0),CÁLCULO.FrentesPreenchidas),OFFSET(CÁLCULO!$BB$15,$F$130,1,OFFSET(ORÇAMENTO!$D$15,$F$130,0),CÁLCULO.FrentesPreenchidas),"&lt;="&amp;X$12)/OFFSET(ORÇAMENTO!$X$15,$F$130,0)),
     IF(ACOMPANHAMENTO="BM",SUM(OFFSET($T$13,$F$130+2,1,1,X$12))/OFFSET($S$13,$F$130,0),"")))</f>
        <v>0.37130002222978009</v>
      </c>
      <c r="Y130" s="530">
        <f ca="1">IF($F$130="","",
  IF(ACOMPANHAMENTO="PLE",
     IF(AUTOEVENTO="Manual",
         IF(AdmLocal="Automática",
              Y125,
              SUMIF(OFFSET(CRONOPLE!$F$14,CRONOPLE!$A$8+1,1,1,OFFSET(CRONOPLE!$AF$12,0,-1)),"&lt;="&amp;Y$12,OFFSET(EVENTOS!$G$14,CRONOPLE!$A$8+1,1,1,OFFSET(CRONOPLE!$AF$12,0,-1)))/OFFSET(EVENTOS!$G$14,CRONOPLE!$A$8+1,-1)),
         SUMIFS(OFFSET(CÁLCULO!$AI$15,$F$130,1,OFFSET(ORÇAMENTO!$D$15,$F$130,0),CÁLCULO.FrentesPreenchidas),OFFSET(CÁLCULO!$BB$15,$F$130,1,OFFSET(ORÇAMENTO!$D$15,$F$130,0),CÁLCULO.FrentesPreenchidas),"&lt;="&amp;Y$12)/OFFSET(ORÇAMENTO!$X$15,$F$130,0)),
     IF(ACOMPANHAMENTO="BM",SUM(OFFSET($T$13,$F$130+2,1,1,Y$12))/OFFSET($S$13,$F$130,0),"")))</f>
        <v>0.55040002426127299</v>
      </c>
      <c r="Z130" s="530">
        <f ca="1">IF($F$130="","",
  IF(ACOMPANHAMENTO="PLE",
     IF(AUTOEVENTO="Manual",
         IF(AdmLocal="Automática",
              Z125,
              SUMIF(OFFSET(CRONOPLE!$F$14,CRONOPLE!$A$8+1,1,1,OFFSET(CRONOPLE!$AF$12,0,-1)),"&lt;="&amp;Z$12,OFFSET(EVENTOS!$G$14,CRONOPLE!$A$8+1,1,1,OFFSET(CRONOPLE!$AF$12,0,-1)))/OFFSET(EVENTOS!$G$14,CRONOPLE!$A$8+1,-1)),
         SUMIFS(OFFSET(CÁLCULO!$AI$15,$F$130,1,OFFSET(ORÇAMENTO!$D$15,$F$130,0),CÁLCULO.FrentesPreenchidas),OFFSET(CÁLCULO!$BB$15,$F$130,1,OFFSET(ORÇAMENTO!$D$15,$F$130,0),CÁLCULO.FrentesPreenchidas),"&lt;="&amp;Z$12)/OFFSET(ORÇAMENTO!$X$15,$F$130,0)),
     IF(ACOMPANHAMENTO="BM",SUM(OFFSET($T$13,$F$130+2,1,1,Z$12))/OFFSET($S$13,$F$130,0),"")))</f>
        <v>0.74210004450816069</v>
      </c>
      <c r="AA130" s="530">
        <f ca="1">IF($F$130="","",
  IF(ACOMPANHAMENTO="PLE",
     IF(AUTOEVENTO="Manual",
         IF(AdmLocal="Automática",
              AA125,
              SUMIF(OFFSET(CRONOPLE!$F$14,CRONOPLE!$A$8+1,1,1,OFFSET(CRONOPLE!$AF$12,0,-1)),"&lt;="&amp;AA$12,OFFSET(EVENTOS!$G$14,CRONOPLE!$A$8+1,1,1,OFFSET(CRONOPLE!$AF$12,0,-1)))/OFFSET(EVENTOS!$G$14,CRONOPLE!$A$8+1,-1)),
         SUMIFS(OFFSET(CÁLCULO!$AI$15,$F$130,1,OFFSET(ORÇAMENTO!$D$15,$F$130,0),CÁLCULO.FrentesPreenchidas),OFFSET(CÁLCULO!$BB$15,$F$130,1,OFFSET(ORÇAMENTO!$D$15,$F$130,0),CÁLCULO.FrentesPreenchidas),"&lt;="&amp;AA$12)/OFFSET(ORÇAMENTO!$X$15,$F$130,0)),
     IF(ACOMPANHAMENTO="BM",SUM(OFFSET($T$13,$F$130+2,1,1,AA$12))/OFFSET($S$13,$F$130,0),"")))</f>
        <v>0.85960003308708866</v>
      </c>
      <c r="AB130" s="530">
        <f ca="1">IF($F$130="","",
  IF(ACOMPANHAMENTO="PLE",
     IF(AUTOEVENTO="Manual",
         IF(AdmLocal="Automática",
              AB125,
              SUMIF(OFFSET(CRONOPLE!$F$14,CRONOPLE!$A$8+1,1,1,OFFSET(CRONOPLE!$AF$12,0,-1)),"&lt;="&amp;AB$12,OFFSET(EVENTOS!$G$14,CRONOPLE!$A$8+1,1,1,OFFSET(CRONOPLE!$AF$12,0,-1)))/OFFSET(EVENTOS!$G$14,CRONOPLE!$A$8+1,-1)),
         SUMIFS(OFFSET(CÁLCULO!$AI$15,$F$130,1,OFFSET(ORÇAMENTO!$D$15,$F$130,0),CÁLCULO.FrentesPreenchidas),OFFSET(CÁLCULO!$BB$15,$F$130,1,OFFSET(ORÇAMENTO!$D$15,$F$130,0),CÁLCULO.FrentesPreenchidas),"&lt;="&amp;AB$12)/OFFSET(ORÇAMENTO!$X$15,$F$130,0)),
     IF(ACOMPANHAMENTO="BM",SUM(OFFSET($T$13,$F$130+2,1,1,AB$12))/OFFSET($S$13,$F$130,0),"")))</f>
        <v>0.92750000704704449</v>
      </c>
      <c r="AC130" s="530">
        <f ca="1">IF($F$130="","",
  IF(ACOMPANHAMENTO="PLE",
     IF(AUTOEVENTO="Manual",
         IF(AdmLocal="Automática",
              AC125,
              SUMIF(OFFSET(CRONOPLE!$F$14,CRONOPLE!$A$8+1,1,1,OFFSET(CRONOPLE!$AF$12,0,-1)),"&lt;="&amp;AC$12,OFFSET(EVENTOS!$G$14,CRONOPLE!$A$8+1,1,1,OFFSET(CRONOPLE!$AF$12,0,-1)))/OFFSET(EVENTOS!$G$14,CRONOPLE!$A$8+1,-1)),
         SUMIFS(OFFSET(CÁLCULO!$AI$15,$F$130,1,OFFSET(ORÇAMENTO!$D$15,$F$130,0),CÁLCULO.FrentesPreenchidas),OFFSET(CÁLCULO!$BB$15,$F$130,1,OFFSET(ORÇAMENTO!$D$15,$F$130,0),CÁLCULO.FrentesPreenchidas),"&lt;="&amp;AC$12)/OFFSET(ORÇAMENTO!$X$15,$F$130,0)),
     IF(ACOMPANHAMENTO="BM",SUM(OFFSET($T$13,$F$130+2,1,1,AC$12))/OFFSET($S$13,$F$130,0),"")))</f>
        <v>1.0000000000000002</v>
      </c>
      <c r="AD130" s="530">
        <f ca="1">IF($F$130="","",
  IF(ACOMPANHAMENTO="PLE",
     IF(AUTOEVENTO="Manual",
         IF(AdmLocal="Automática",
              AD125,
              SUMIF(OFFSET(CRONOPLE!$F$14,CRONOPLE!$A$8+1,1,1,OFFSET(CRONOPLE!$AF$12,0,-1)),"&lt;="&amp;AD$12,OFFSET(EVENTOS!$G$14,CRONOPLE!$A$8+1,1,1,OFFSET(CRONOPLE!$AF$12,0,-1)))/OFFSET(EVENTOS!$G$14,CRONOPLE!$A$8+1,-1)),
         SUMIFS(OFFSET(CÁLCULO!$AI$15,$F$130,1,OFFSET(ORÇAMENTO!$D$15,$F$130,0),CÁLCULO.FrentesPreenchidas),OFFSET(CÁLCULO!$BB$15,$F$130,1,OFFSET(ORÇAMENTO!$D$15,$F$130,0),CÁLCULO.FrentesPreenchidas),"&lt;="&amp;AD$12)/OFFSET(ORÇAMENTO!$X$15,$F$130,0)),
     IF(ACOMPANHAMENTO="BM",SUM(OFFSET($T$13,$F$130+2,1,1,AD$12))/OFFSET($S$13,$F$130,0),"")))</f>
        <v>1.0000000000000002</v>
      </c>
      <c r="AE130" s="530">
        <f ca="1">IF($F$130="","",
  IF(ACOMPANHAMENTO="PLE",
     IF(AUTOEVENTO="Manual",
         IF(AdmLocal="Automática",
              AE125,
              SUMIF(OFFSET(CRONOPLE!$F$14,CRONOPLE!$A$8+1,1,1,OFFSET(CRONOPLE!$AF$12,0,-1)),"&lt;="&amp;AE$12,OFFSET(EVENTOS!$G$14,CRONOPLE!$A$8+1,1,1,OFFSET(CRONOPLE!$AF$12,0,-1)))/OFFSET(EVENTOS!$G$14,CRONOPLE!$A$8+1,-1)),
         SUMIFS(OFFSET(CÁLCULO!$AI$15,$F$130,1,OFFSET(ORÇAMENTO!$D$15,$F$130,0),CÁLCULO.FrentesPreenchidas),OFFSET(CÁLCULO!$BB$15,$F$130,1,OFFSET(ORÇAMENTO!$D$15,$F$130,0),CÁLCULO.FrentesPreenchidas),"&lt;="&amp;AE$12)/OFFSET(ORÇAMENTO!$X$15,$F$130,0)),
     IF(ACOMPANHAMENTO="BM",SUM(OFFSET($T$13,$F$130+2,1,1,AE$12))/OFFSET($S$13,$F$130,0),"")))</f>
        <v>1.0000000000000002</v>
      </c>
      <c r="AF130" s="530">
        <f ca="1">IF($F$130="","",
  IF(ACOMPANHAMENTO="PLE",
     IF(AUTOEVENTO="Manual",
         IF(AdmLocal="Automática",
              AF125,
              SUMIF(OFFSET(CRONOPLE!$F$14,CRONOPLE!$A$8+1,1,1,OFFSET(CRONOPLE!$AF$12,0,-1)),"&lt;="&amp;AF$12,OFFSET(EVENTOS!$G$14,CRONOPLE!$A$8+1,1,1,OFFSET(CRONOPLE!$AF$12,0,-1)))/OFFSET(EVENTOS!$G$14,CRONOPLE!$A$8+1,-1)),
         SUMIFS(OFFSET(CÁLCULO!$AI$15,$F$130,1,OFFSET(ORÇAMENTO!$D$15,$F$130,0),CÁLCULO.FrentesPreenchidas),OFFSET(CÁLCULO!$BB$15,$F$130,1,OFFSET(ORÇAMENTO!$D$15,$F$130,0),CÁLCULO.FrentesPreenchidas),"&lt;="&amp;AF$12)/OFFSET(ORÇAMENTO!$X$15,$F$130,0)),
     IF(ACOMPANHAMENTO="BM",SUM(OFFSET($T$13,$F$130+2,1,1,AF$12))/OFFSET($S$13,$F$130,0),"")))</f>
        <v>1.0000000000000002</v>
      </c>
      <c r="AG130" s="532"/>
    </row>
    <row r="131" spans="4:33" ht="17.100000000000001" customHeight="1" x14ac:dyDescent="0.25">
      <c r="G131" s="185" t="s">
        <v>536</v>
      </c>
      <c r="H131" s="569" t="str">
        <f t="array" ref="H131">IF(AND(ACOMPANHAMENTO="BM",$H$130=""),"↑ Não foi indicado o Macrosserviço de Administração Local","")</f>
        <v/>
      </c>
      <c r="T131" s="581" t="str">
        <f ca="1">IF(COUNTIF(U131:AG131,"%Adm&gt;%Global")&gt;0,"Verificar proporcionalidade da Administração Local","")</f>
        <v/>
      </c>
      <c r="U131" s="533" t="str">
        <f ca="1">IF(U130="","",IF(ROUND(U130,4)&gt;ROUND(U125,4),"%Adm&gt;%Global",""))</f>
        <v/>
      </c>
      <c r="V131" s="533" t="str">
        <f t="shared" ref="V131:AG131" ca="1" si="10">IF(V130="","",IF(ROUND(V130,4)&gt;ROUND(V125,4),"%Adm&gt;%Global",""))</f>
        <v/>
      </c>
      <c r="W131" s="533" t="str">
        <f t="shared" ca="1" si="10"/>
        <v/>
      </c>
      <c r="X131" s="533" t="str">
        <f t="shared" ca="1" si="10"/>
        <v/>
      </c>
      <c r="Y131" s="533" t="str">
        <f t="shared" ca="1" si="10"/>
        <v/>
      </c>
      <c r="Z131" s="533" t="str">
        <f t="shared" ca="1" si="10"/>
        <v/>
      </c>
      <c r="AA131" s="533" t="str">
        <f t="shared" ca="1" si="10"/>
        <v/>
      </c>
      <c r="AB131" s="533" t="str">
        <f t="shared" ca="1" si="10"/>
        <v/>
      </c>
      <c r="AC131" s="533" t="str">
        <f t="shared" ca="1" si="10"/>
        <v/>
      </c>
      <c r="AD131" s="533" t="str">
        <f t="shared" ca="1" si="10"/>
        <v/>
      </c>
      <c r="AE131" s="533" t="str">
        <f t="shared" ca="1" si="10"/>
        <v/>
      </c>
      <c r="AF131" s="533" t="str">
        <f t="shared" ca="1" si="10"/>
        <v/>
      </c>
      <c r="AG131" s="533" t="str">
        <f t="shared" si="10"/>
        <v/>
      </c>
    </row>
    <row r="132" spans="4:33" ht="32.25" customHeight="1" x14ac:dyDescent="0.2">
      <c r="G132" s="185" t="s">
        <v>536</v>
      </c>
      <c r="I132" s="758" t="str">
        <f>Import.Município</f>
        <v>PIRANGUÇU-MG</v>
      </c>
      <c r="J132" s="758"/>
      <c r="K132" s="758"/>
      <c r="L132" s="758"/>
      <c r="M132" s="758"/>
      <c r="N132" s="758"/>
      <c r="O132" s="758"/>
      <c r="P132" s="758"/>
      <c r="Q132" s="758"/>
      <c r="R132" s="758"/>
      <c r="S132" s="758"/>
      <c r="AA132" s="459"/>
      <c r="AB132" s="459"/>
      <c r="AC132" s="459"/>
      <c r="AD132" s="459"/>
      <c r="AE132" s="461"/>
      <c r="AF132" s="461"/>
    </row>
    <row r="133" spans="4:33" x14ac:dyDescent="0.2">
      <c r="G133" s="185" t="s">
        <v>536</v>
      </c>
      <c r="I133" s="9" t="s">
        <v>693</v>
      </c>
      <c r="J133"/>
      <c r="K133"/>
      <c r="L133"/>
      <c r="AA133" s="181" t="s">
        <v>696</v>
      </c>
      <c r="AB133" s="181"/>
      <c r="AC133" s="181"/>
      <c r="AD133" s="181"/>
      <c r="AE133" s="185"/>
      <c r="AF133" s="185"/>
    </row>
    <row r="134" spans="4:33" x14ac:dyDescent="0.2">
      <c r="G134" s="185" t="s">
        <v>536</v>
      </c>
      <c r="I134"/>
      <c r="J134"/>
      <c r="K134"/>
      <c r="L134"/>
      <c r="AA134" s="398" t="str">
        <f t="array" aca="1" ref="AA134:AA136" ca="1">OFFSET(Import.RespOrçamento,0,-1) &amp; " " &amp; Import.RespOrçamento</f>
        <v>Nome: NILCEZAR AUGUSTO PERES</v>
      </c>
      <c r="AC134"/>
      <c r="AD134" s="79"/>
      <c r="AE134" s="185"/>
      <c r="AF134" s="185"/>
    </row>
    <row r="135" spans="4:33" x14ac:dyDescent="0.2">
      <c r="G135" s="185" t="s">
        <v>536</v>
      </c>
      <c r="I135" s="811">
        <f>DADOS!$C$25</f>
        <v>45939</v>
      </c>
      <c r="J135" s="811"/>
      <c r="K135" s="811"/>
      <c r="L135" s="180"/>
      <c r="M135" s="245"/>
      <c r="N135" s="245"/>
      <c r="O135" s="245"/>
      <c r="P135" s="245"/>
      <c r="Q135" s="245"/>
      <c r="R135" s="245"/>
      <c r="S135" s="246"/>
      <c r="AA135" s="398" t="str">
        <f ca="1"/>
        <v>CREA/CAU: 161.233/D-MG</v>
      </c>
      <c r="AC135" s="79"/>
      <c r="AD135" s="79"/>
      <c r="AE135" s="185"/>
      <c r="AF135" s="185"/>
    </row>
    <row r="136" spans="4:33" x14ac:dyDescent="0.2">
      <c r="G136" s="185" t="s">
        <v>536</v>
      </c>
      <c r="I136" s="9" t="s">
        <v>694</v>
      </c>
      <c r="J136"/>
      <c r="K136"/>
      <c r="L136"/>
      <c r="AA136" s="398" t="str">
        <f ca="1"/>
        <v>ART/RRT: MG2025435540</v>
      </c>
      <c r="AC136" s="79"/>
      <c r="AD136" s="79"/>
      <c r="AE136" s="185"/>
      <c r="AF136" s="185"/>
    </row>
  </sheetData>
  <sheetProtection algorithmName="SHA-512" hashValue="JEMjDjX7hcJLdbHKTUWvIcUfxzLLh5XmCs2koyv4zvmXBlbN3znIkYNxdoCxBzxmSDHoQT4pBPavKjNUZIgaXg==" saltValue="y1twTV8N7T5oJ40BqjNq0Q==" spinCount="100000" sheet="1" objects="1" scenarios="1" autoFilter="0"/>
  <autoFilter ref="G13:G136" xr:uid="{00000000-0009-0000-0000-000008000000}"/>
  <mergeCells count="18">
    <mergeCell ref="T12:T13"/>
    <mergeCell ref="L8:T8"/>
    <mergeCell ref="U8:Y8"/>
    <mergeCell ref="K10:T11"/>
    <mergeCell ref="I120:K121"/>
    <mergeCell ref="H12:H13"/>
    <mergeCell ref="I12:I13"/>
    <mergeCell ref="J12:J13"/>
    <mergeCell ref="I135:K135"/>
    <mergeCell ref="I132:S132"/>
    <mergeCell ref="H130:J130"/>
    <mergeCell ref="S12:S13"/>
    <mergeCell ref="G8:G11"/>
    <mergeCell ref="I8:J8"/>
    <mergeCell ref="H7:H9"/>
    <mergeCell ref="AE4:AF4"/>
    <mergeCell ref="AE5:AF5"/>
    <mergeCell ref="Z8:AE8"/>
  </mergeCells>
  <phoneticPr fontId="38" type="noConversion"/>
  <conditionalFormatting sqref="U12:U13">
    <cfRule type="expression" dxfId="350" priority="16575" stopIfTrue="1">
      <formula>NOT(ISNUMBER(T$12))</formula>
    </cfRule>
  </conditionalFormatting>
  <conditionalFormatting sqref="E2 U2:AF2">
    <cfRule type="expression" dxfId="349" priority="16576" stopIfTrue="1">
      <formula>AND(ISNUMBER($H1),$H1&lt;&gt;0)</formula>
    </cfRule>
  </conditionalFormatting>
  <conditionalFormatting sqref="I2:S2">
    <cfRule type="expression" dxfId="348" priority="16577" stopIfTrue="1">
      <formula>$M1=2</formula>
    </cfRule>
    <cfRule type="expression" dxfId="347" priority="16578" stopIfTrue="1">
      <formula>AND($M1=1,$S1&lt;&gt;"")</formula>
    </cfRule>
  </conditionalFormatting>
  <conditionalFormatting sqref="I1:S1">
    <cfRule type="expression" dxfId="346" priority="16579" stopIfTrue="1">
      <formula>$M1=2</formula>
    </cfRule>
    <cfRule type="expression" dxfId="345" priority="16580" stopIfTrue="1">
      <formula>AND($M1=1,$S1&lt;&gt;"")</formula>
    </cfRule>
  </conditionalFormatting>
  <conditionalFormatting sqref="E120 E122 E124:E125 E127 E129 U129:AF129 U120:AF120 U122:AF122 U124:AF125 U127:AF127">
    <cfRule type="expression" dxfId="344" priority="16581" stopIfTrue="1">
      <formula>D$125=1</formula>
    </cfRule>
  </conditionalFormatting>
  <conditionalFormatting sqref="E121 E123 E126 E128 E130 U121:AF121 U123:AF123 U126:AF126 U128:AF128 U130:AF130">
    <cfRule type="expression" dxfId="343" priority="16582" stopIfTrue="1">
      <formula>D$125=1</formula>
    </cfRule>
  </conditionalFormatting>
  <conditionalFormatting sqref="AF7:AF8">
    <cfRule type="expression" dxfId="342" priority="16586" stopIfTrue="1">
      <formula>OR(TIPOORCAMENTO&lt;&gt;"Licitado",QCI.ExisteManual)</formula>
    </cfRule>
  </conditionalFormatting>
  <conditionalFormatting sqref="Z7:AE8">
    <cfRule type="expression" dxfId="341" priority="16574" stopIfTrue="1">
      <formula>QCI.ExisteManual</formula>
    </cfRule>
  </conditionalFormatting>
  <conditionalFormatting sqref="H2">
    <cfRule type="expression" dxfId="340" priority="12720">
      <formula>AND(H1&lt;&gt;0,ISNUMBER(H1))</formula>
    </cfRule>
  </conditionalFormatting>
  <conditionalFormatting sqref="E130 U130:AF130">
    <cfRule type="expression" dxfId="339" priority="12711">
      <formula>ROUND(E130,4)&gt;ROUND(E125,4)</formula>
    </cfRule>
  </conditionalFormatting>
  <conditionalFormatting sqref="H1">
    <cfRule type="expression" dxfId="338" priority="12710">
      <formula>AND(H1&lt;&gt;0,ISNUMBER(H1))</formula>
    </cfRule>
  </conditionalFormatting>
  <conditionalFormatting sqref="H130:J130">
    <cfRule type="expression" dxfId="337" priority="12709">
      <formula>$H$129=""</formula>
    </cfRule>
  </conditionalFormatting>
  <conditionalFormatting sqref="E130">
    <cfRule type="expression" dxfId="336" priority="12702" stopIfTrue="1">
      <formula>D$125=1</formula>
    </cfRule>
  </conditionalFormatting>
  <conditionalFormatting sqref="E1">
    <cfRule type="expression" dxfId="335" priority="12699" stopIfTrue="1">
      <formula>E1&lt;&gt;0</formula>
    </cfRule>
  </conditionalFormatting>
  <conditionalFormatting sqref="E2">
    <cfRule type="expression" dxfId="334" priority="12698">
      <formula>AND(_xlfn.SINGLE(ACOMPANHAMENTO)="BM",E2&gt;ROUND(E2,4))</formula>
    </cfRule>
  </conditionalFormatting>
  <conditionalFormatting sqref="E130">
    <cfRule type="expression" dxfId="333" priority="12697" stopIfTrue="1">
      <formula>D$125=1</formula>
    </cfRule>
  </conditionalFormatting>
  <conditionalFormatting sqref="U1:AF1">
    <cfRule type="expression" dxfId="332" priority="2653" stopIfTrue="1">
      <formula>U1&lt;&gt;0</formula>
    </cfRule>
  </conditionalFormatting>
  <conditionalFormatting sqref="U2:AF2">
    <cfRule type="expression" dxfId="331" priority="2652">
      <formula>AND(_xlfn.SINGLE(ACOMPANHAMENTO)="BM",U2&gt;ROUND(U2,4))</formula>
    </cfRule>
  </conditionalFormatting>
  <conditionalFormatting sqref="E15 E18 E21 U15:AF15 U18:AF18 U21:AF21">
    <cfRule type="expression" dxfId="330" priority="183" stopIfTrue="1">
      <formula>AND(ISNUMBER($H14),$H14&lt;&gt;0)</formula>
    </cfRule>
  </conditionalFormatting>
  <conditionalFormatting sqref="I15:S15 I18:S18 I21:S21">
    <cfRule type="expression" dxfId="329" priority="184" stopIfTrue="1">
      <formula>$M14=2</formula>
    </cfRule>
    <cfRule type="expression" dxfId="328" priority="185" stopIfTrue="1">
      <formula>AND($M14=1,$S14&lt;&gt;"")</formula>
    </cfRule>
  </conditionalFormatting>
  <conditionalFormatting sqref="I14:S14 I17:S17 I20:S20">
    <cfRule type="expression" dxfId="327" priority="186" stopIfTrue="1">
      <formula>$M14=2</formula>
    </cfRule>
    <cfRule type="expression" dxfId="326" priority="187" stopIfTrue="1">
      <formula>AND($M14=1,$S14&lt;&gt;"")</formula>
    </cfRule>
  </conditionalFormatting>
  <conditionalFormatting sqref="H15 H18 H21">
    <cfRule type="expression" dxfId="325" priority="182">
      <formula>AND(H14&lt;&gt;0,ISNUMBER(H14))</formula>
    </cfRule>
  </conditionalFormatting>
  <conditionalFormatting sqref="H14 H17 H20">
    <cfRule type="expression" dxfId="324" priority="181">
      <formula>AND(H14&lt;&gt;0,ISNUMBER(H14))</formula>
    </cfRule>
  </conditionalFormatting>
  <conditionalFormatting sqref="E14 E17 E20">
    <cfRule type="expression" dxfId="323" priority="180" stopIfTrue="1">
      <formula>E14&lt;&gt;0</formula>
    </cfRule>
  </conditionalFormatting>
  <conditionalFormatting sqref="E15 E18 E21">
    <cfRule type="expression" dxfId="322" priority="179">
      <formula>AND(_xlfn.SINGLE(ACOMPANHAMENTO)="BM",E15&gt;ROUND(E15,4))</formula>
    </cfRule>
  </conditionalFormatting>
  <conditionalFormatting sqref="U14:AF14 U17:AF17 U20:AF20">
    <cfRule type="expression" dxfId="321" priority="178" stopIfTrue="1">
      <formula>U14&lt;&gt;0</formula>
    </cfRule>
  </conditionalFormatting>
  <conditionalFormatting sqref="U15:AF15 U18:AF18 U21:AF21">
    <cfRule type="expression" dxfId="320" priority="177">
      <formula>AND(_xlfn.SINGLE(ACOMPANHAMENTO)="BM",U15&gt;ROUND(U15,4))</formula>
    </cfRule>
  </conditionalFormatting>
  <conditionalFormatting sqref="E24 E27 E30 U24:AF24 U27:AF27 U30:AF30">
    <cfRule type="expression" dxfId="319" priority="172" stopIfTrue="1">
      <formula>AND(ISNUMBER($H23),$H23&lt;&gt;0)</formula>
    </cfRule>
  </conditionalFormatting>
  <conditionalFormatting sqref="I24:S24 I27:S27 I30:S30">
    <cfRule type="expression" dxfId="318" priority="173" stopIfTrue="1">
      <formula>$M23=2</formula>
    </cfRule>
    <cfRule type="expression" dxfId="317" priority="174" stopIfTrue="1">
      <formula>AND($M23=1,$S23&lt;&gt;"")</formula>
    </cfRule>
  </conditionalFormatting>
  <conditionalFormatting sqref="I23:S23 I26:S26 I29:S29">
    <cfRule type="expression" dxfId="316" priority="175" stopIfTrue="1">
      <formula>$M23=2</formula>
    </cfRule>
    <cfRule type="expression" dxfId="315" priority="176" stopIfTrue="1">
      <formula>AND($M23=1,$S23&lt;&gt;"")</formula>
    </cfRule>
  </conditionalFormatting>
  <conditionalFormatting sqref="H24 H27 H30">
    <cfRule type="expression" dxfId="314" priority="171">
      <formula>AND(H23&lt;&gt;0,ISNUMBER(H23))</formula>
    </cfRule>
  </conditionalFormatting>
  <conditionalFormatting sqref="H23 H26 H29">
    <cfRule type="expression" dxfId="313" priority="170">
      <formula>AND(H23&lt;&gt;0,ISNUMBER(H23))</formula>
    </cfRule>
  </conditionalFormatting>
  <conditionalFormatting sqref="E23 E26 E29">
    <cfRule type="expression" dxfId="312" priority="169" stopIfTrue="1">
      <formula>E23&lt;&gt;0</formula>
    </cfRule>
  </conditionalFormatting>
  <conditionalFormatting sqref="E24 E27 E30">
    <cfRule type="expression" dxfId="311" priority="168">
      <formula>AND(_xlfn.SINGLE(ACOMPANHAMENTO)="BM",E24&gt;ROUND(E24,4))</formula>
    </cfRule>
  </conditionalFormatting>
  <conditionalFormatting sqref="U23:AF23 U26:AF26 U29:AF29">
    <cfRule type="expression" dxfId="310" priority="167" stopIfTrue="1">
      <formula>U23&lt;&gt;0</formula>
    </cfRule>
  </conditionalFormatting>
  <conditionalFormatting sqref="U24:AF24 U27:AF27 U30:AF30">
    <cfRule type="expression" dxfId="309" priority="166">
      <formula>AND(_xlfn.SINGLE(ACOMPANHAMENTO)="BM",U24&gt;ROUND(U24,4))</formula>
    </cfRule>
  </conditionalFormatting>
  <conditionalFormatting sqref="E33 E36 E39 U33:AF33 U36:AF36 U39:AF39">
    <cfRule type="expression" dxfId="308" priority="161" stopIfTrue="1">
      <formula>AND(ISNUMBER($H32),$H32&lt;&gt;0)</formula>
    </cfRule>
  </conditionalFormatting>
  <conditionalFormatting sqref="I33:S33 I36:S36 I39:S39">
    <cfRule type="expression" dxfId="307" priority="162" stopIfTrue="1">
      <formula>$M32=2</formula>
    </cfRule>
    <cfRule type="expression" dxfId="306" priority="163" stopIfTrue="1">
      <formula>AND($M32=1,$S32&lt;&gt;"")</formula>
    </cfRule>
  </conditionalFormatting>
  <conditionalFormatting sqref="I32:S32 I35:S35 I38:S38">
    <cfRule type="expression" dxfId="305" priority="164" stopIfTrue="1">
      <formula>$M32=2</formula>
    </cfRule>
    <cfRule type="expression" dxfId="304" priority="165" stopIfTrue="1">
      <formula>AND($M32=1,$S32&lt;&gt;"")</formula>
    </cfRule>
  </conditionalFormatting>
  <conditionalFormatting sqref="H33 H36 H39">
    <cfRule type="expression" dxfId="303" priority="160">
      <formula>AND(H32&lt;&gt;0,ISNUMBER(H32))</formula>
    </cfRule>
  </conditionalFormatting>
  <conditionalFormatting sqref="H32 H35 H38">
    <cfRule type="expression" dxfId="302" priority="159">
      <formula>AND(H32&lt;&gt;0,ISNUMBER(H32))</formula>
    </cfRule>
  </conditionalFormatting>
  <conditionalFormatting sqref="E32 E35 E38">
    <cfRule type="expression" dxfId="301" priority="158" stopIfTrue="1">
      <formula>E32&lt;&gt;0</formula>
    </cfRule>
  </conditionalFormatting>
  <conditionalFormatting sqref="E33 E36 E39">
    <cfRule type="expression" dxfId="300" priority="157">
      <formula>AND(_xlfn.SINGLE(ACOMPANHAMENTO)="BM",E33&gt;ROUND(E33,4))</formula>
    </cfRule>
  </conditionalFormatting>
  <conditionalFormatting sqref="U32:AF32 U35:AF35 U38:AF38">
    <cfRule type="expression" dxfId="299" priority="156" stopIfTrue="1">
      <formula>U32&lt;&gt;0</formula>
    </cfRule>
  </conditionalFormatting>
  <conditionalFormatting sqref="U33:AF33 U36:AF36 U39:AF39">
    <cfRule type="expression" dxfId="298" priority="155">
      <formula>AND(_xlfn.SINGLE(ACOMPANHAMENTO)="BM",U33&gt;ROUND(U33,4))</formula>
    </cfRule>
  </conditionalFormatting>
  <conditionalFormatting sqref="E42 E45 E48 U42:AF42 U45:AF45 U48:AF48">
    <cfRule type="expression" dxfId="297" priority="150" stopIfTrue="1">
      <formula>AND(ISNUMBER($H41),$H41&lt;&gt;0)</formula>
    </cfRule>
  </conditionalFormatting>
  <conditionalFormatting sqref="I42:S42 I45:S45 I48:S48">
    <cfRule type="expression" dxfId="296" priority="151" stopIfTrue="1">
      <formula>$M41=2</formula>
    </cfRule>
    <cfRule type="expression" dxfId="295" priority="152" stopIfTrue="1">
      <formula>AND($M41=1,$S41&lt;&gt;"")</formula>
    </cfRule>
  </conditionalFormatting>
  <conditionalFormatting sqref="I41:S41 I44:S44 I47:S47">
    <cfRule type="expression" dxfId="294" priority="153" stopIfTrue="1">
      <formula>$M41=2</formula>
    </cfRule>
    <cfRule type="expression" dxfId="293" priority="154" stopIfTrue="1">
      <formula>AND($M41=1,$S41&lt;&gt;"")</formula>
    </cfRule>
  </conditionalFormatting>
  <conditionalFormatting sqref="H42 H45 H48">
    <cfRule type="expression" dxfId="292" priority="149">
      <formula>AND(H41&lt;&gt;0,ISNUMBER(H41))</formula>
    </cfRule>
  </conditionalFormatting>
  <conditionalFormatting sqref="H41 H44 H47">
    <cfRule type="expression" dxfId="291" priority="148">
      <formula>AND(H41&lt;&gt;0,ISNUMBER(H41))</formula>
    </cfRule>
  </conditionalFormatting>
  <conditionalFormatting sqref="E41 E44 E47">
    <cfRule type="expression" dxfId="290" priority="147" stopIfTrue="1">
      <formula>E41&lt;&gt;0</formula>
    </cfRule>
  </conditionalFormatting>
  <conditionalFormatting sqref="E42 E45 E48">
    <cfRule type="expression" dxfId="289" priority="146">
      <formula>AND(_xlfn.SINGLE(ACOMPANHAMENTO)="BM",E42&gt;ROUND(E42,4))</formula>
    </cfRule>
  </conditionalFormatting>
  <conditionalFormatting sqref="U41:AF41 U44:AF44 U47:AF47">
    <cfRule type="expression" dxfId="288" priority="145" stopIfTrue="1">
      <formula>U41&lt;&gt;0</formula>
    </cfRule>
  </conditionalFormatting>
  <conditionalFormatting sqref="U42:AF42 U45:AF45 U48:AF48">
    <cfRule type="expression" dxfId="287" priority="144">
      <formula>AND(_xlfn.SINGLE(ACOMPANHAMENTO)="BM",U42&gt;ROUND(U42,4))</formula>
    </cfRule>
  </conditionalFormatting>
  <conditionalFormatting sqref="E51 E54 E57 U51:AF51 U54:AF54 U57:AF57">
    <cfRule type="expression" dxfId="286" priority="139" stopIfTrue="1">
      <formula>AND(ISNUMBER($H50),$H50&lt;&gt;0)</formula>
    </cfRule>
  </conditionalFormatting>
  <conditionalFormatting sqref="I51:S51 I54:S54 I57:S57">
    <cfRule type="expression" dxfId="285" priority="140" stopIfTrue="1">
      <formula>$M50=2</formula>
    </cfRule>
    <cfRule type="expression" dxfId="284" priority="141" stopIfTrue="1">
      <formula>AND($M50=1,$S50&lt;&gt;"")</formula>
    </cfRule>
  </conditionalFormatting>
  <conditionalFormatting sqref="I50:S50 I53:S53 I56:S56">
    <cfRule type="expression" dxfId="283" priority="142" stopIfTrue="1">
      <formula>$M50=2</formula>
    </cfRule>
    <cfRule type="expression" dxfId="282" priority="143" stopIfTrue="1">
      <formula>AND($M50=1,$S50&lt;&gt;"")</formula>
    </cfRule>
  </conditionalFormatting>
  <conditionalFormatting sqref="H51 H54 H57">
    <cfRule type="expression" dxfId="281" priority="138">
      <formula>AND(H50&lt;&gt;0,ISNUMBER(H50))</formula>
    </cfRule>
  </conditionalFormatting>
  <conditionalFormatting sqref="H50 H53 H56">
    <cfRule type="expression" dxfId="280" priority="137">
      <formula>AND(H50&lt;&gt;0,ISNUMBER(H50))</formula>
    </cfRule>
  </conditionalFormatting>
  <conditionalFormatting sqref="E50 E53 E56">
    <cfRule type="expression" dxfId="279" priority="136" stopIfTrue="1">
      <formula>E50&lt;&gt;0</formula>
    </cfRule>
  </conditionalFormatting>
  <conditionalFormatting sqref="E51 E54 E57">
    <cfRule type="expression" dxfId="278" priority="135">
      <formula>AND(_xlfn.SINGLE(ACOMPANHAMENTO)="BM",E51&gt;ROUND(E51,4))</formula>
    </cfRule>
  </conditionalFormatting>
  <conditionalFormatting sqref="U50:AF50 U53:AF53 U56:AF56">
    <cfRule type="expression" dxfId="277" priority="134" stopIfTrue="1">
      <formula>U50&lt;&gt;0</formula>
    </cfRule>
  </conditionalFormatting>
  <conditionalFormatting sqref="U51:AF51 U54:AF54 U57:AF57">
    <cfRule type="expression" dxfId="276" priority="133">
      <formula>AND(_xlfn.SINGLE(ACOMPANHAMENTO)="BM",U51&gt;ROUND(U51,4))</formula>
    </cfRule>
  </conditionalFormatting>
  <conditionalFormatting sqref="E60 E63 E66 U60:AF60 U63:AF63 U66:AF66">
    <cfRule type="expression" dxfId="275" priority="128" stopIfTrue="1">
      <formula>AND(ISNUMBER($H59),$H59&lt;&gt;0)</formula>
    </cfRule>
  </conditionalFormatting>
  <conditionalFormatting sqref="I60:S60 I63:S63 I66:S66">
    <cfRule type="expression" dxfId="274" priority="129" stopIfTrue="1">
      <formula>$M59=2</formula>
    </cfRule>
    <cfRule type="expression" dxfId="273" priority="130" stopIfTrue="1">
      <formula>AND($M59=1,$S59&lt;&gt;"")</formula>
    </cfRule>
  </conditionalFormatting>
  <conditionalFormatting sqref="I59:S59 I62:S62 I65:S65">
    <cfRule type="expression" dxfId="272" priority="131" stopIfTrue="1">
      <formula>$M59=2</formula>
    </cfRule>
    <cfRule type="expression" dxfId="271" priority="132" stopIfTrue="1">
      <formula>AND($M59=1,$S59&lt;&gt;"")</formula>
    </cfRule>
  </conditionalFormatting>
  <conditionalFormatting sqref="H60 H63 H66">
    <cfRule type="expression" dxfId="270" priority="127">
      <formula>AND(H59&lt;&gt;0,ISNUMBER(H59))</formula>
    </cfRule>
  </conditionalFormatting>
  <conditionalFormatting sqref="H59 H62 H65">
    <cfRule type="expression" dxfId="269" priority="126">
      <formula>AND(H59&lt;&gt;0,ISNUMBER(H59))</formula>
    </cfRule>
  </conditionalFormatting>
  <conditionalFormatting sqref="E59 E62 E65">
    <cfRule type="expression" dxfId="268" priority="125" stopIfTrue="1">
      <formula>E59&lt;&gt;0</formula>
    </cfRule>
  </conditionalFormatting>
  <conditionalFormatting sqref="E60 E63 E66">
    <cfRule type="expression" dxfId="267" priority="124">
      <formula>AND(_xlfn.SINGLE(ACOMPANHAMENTO)="BM",E60&gt;ROUND(E60,4))</formula>
    </cfRule>
  </conditionalFormatting>
  <conditionalFormatting sqref="U59:AF59 U62:AF62 U65:AF65">
    <cfRule type="expression" dxfId="266" priority="123" stopIfTrue="1">
      <formula>U59&lt;&gt;0</formula>
    </cfRule>
  </conditionalFormatting>
  <conditionalFormatting sqref="U60:AF60 U63:AF63 U66:AF66">
    <cfRule type="expression" dxfId="265" priority="122">
      <formula>AND(_xlfn.SINGLE(ACOMPANHAMENTO)="BM",U60&gt;ROUND(U60,4))</formula>
    </cfRule>
  </conditionalFormatting>
  <conditionalFormatting sqref="E69 E72 E75 U69:AF69 U72:AF72 U75:AF75">
    <cfRule type="expression" dxfId="264" priority="117" stopIfTrue="1">
      <formula>AND(ISNUMBER($H68),$H68&lt;&gt;0)</formula>
    </cfRule>
  </conditionalFormatting>
  <conditionalFormatting sqref="I69:S69 I72:S72 I75:S75">
    <cfRule type="expression" dxfId="263" priority="118" stopIfTrue="1">
      <formula>$M68=2</formula>
    </cfRule>
    <cfRule type="expression" dxfId="262" priority="119" stopIfTrue="1">
      <formula>AND($M68=1,$S68&lt;&gt;"")</formula>
    </cfRule>
  </conditionalFormatting>
  <conditionalFormatting sqref="I68:S68 I71:S71 I74:S74">
    <cfRule type="expression" dxfId="261" priority="120" stopIfTrue="1">
      <formula>$M68=2</formula>
    </cfRule>
    <cfRule type="expression" dxfId="260" priority="121" stopIfTrue="1">
      <formula>AND($M68=1,$S68&lt;&gt;"")</formula>
    </cfRule>
  </conditionalFormatting>
  <conditionalFormatting sqref="H69 H72 H75">
    <cfRule type="expression" dxfId="259" priority="116">
      <formula>AND(H68&lt;&gt;0,ISNUMBER(H68))</formula>
    </cfRule>
  </conditionalFormatting>
  <conditionalFormatting sqref="H68 H71 H74">
    <cfRule type="expression" dxfId="258" priority="115">
      <formula>AND(H68&lt;&gt;0,ISNUMBER(H68))</formula>
    </cfRule>
  </conditionalFormatting>
  <conditionalFormatting sqref="E68 E71 E74">
    <cfRule type="expression" dxfId="257" priority="114" stopIfTrue="1">
      <formula>E68&lt;&gt;0</formula>
    </cfRule>
  </conditionalFormatting>
  <conditionalFormatting sqref="E69 E72 E75">
    <cfRule type="expression" dxfId="256" priority="113">
      <formula>AND(_xlfn.SINGLE(ACOMPANHAMENTO)="BM",E69&gt;ROUND(E69,4))</formula>
    </cfRule>
  </conditionalFormatting>
  <conditionalFormatting sqref="U68:AF68 U71:AF71 U74:AF74">
    <cfRule type="expression" dxfId="255" priority="112" stopIfTrue="1">
      <formula>U68&lt;&gt;0</formula>
    </cfRule>
  </conditionalFormatting>
  <conditionalFormatting sqref="U69:AF69 U72:AF72 U75:AF75">
    <cfRule type="expression" dxfId="254" priority="111">
      <formula>AND(_xlfn.SINGLE(ACOMPANHAMENTO)="BM",U69&gt;ROUND(U69,4))</formula>
    </cfRule>
  </conditionalFormatting>
  <conditionalFormatting sqref="E78 E81 E84 U78:AF78 U81:AF81 U84:AF84">
    <cfRule type="expression" dxfId="253" priority="106" stopIfTrue="1">
      <formula>AND(ISNUMBER($H77),$H77&lt;&gt;0)</formula>
    </cfRule>
  </conditionalFormatting>
  <conditionalFormatting sqref="I78:S78 I81:S81 I84:S84">
    <cfRule type="expression" dxfId="252" priority="107" stopIfTrue="1">
      <formula>$M77=2</formula>
    </cfRule>
    <cfRule type="expression" dxfId="251" priority="108" stopIfTrue="1">
      <formula>AND($M77=1,$S77&lt;&gt;"")</formula>
    </cfRule>
  </conditionalFormatting>
  <conditionalFormatting sqref="I77:S77 I80:S80 I83:S83">
    <cfRule type="expression" dxfId="250" priority="109" stopIfTrue="1">
      <formula>$M77=2</formula>
    </cfRule>
    <cfRule type="expression" dxfId="249" priority="110" stopIfTrue="1">
      <formula>AND($M77=1,$S77&lt;&gt;"")</formula>
    </cfRule>
  </conditionalFormatting>
  <conditionalFormatting sqref="H78 H81 H84">
    <cfRule type="expression" dxfId="248" priority="105">
      <formula>AND(H77&lt;&gt;0,ISNUMBER(H77))</formula>
    </cfRule>
  </conditionalFormatting>
  <conditionalFormatting sqref="H77 H80 H83">
    <cfRule type="expression" dxfId="247" priority="104">
      <formula>AND(H77&lt;&gt;0,ISNUMBER(H77))</formula>
    </cfRule>
  </conditionalFormatting>
  <conditionalFormatting sqref="E77 E80 E83">
    <cfRule type="expression" dxfId="246" priority="103" stopIfTrue="1">
      <formula>E77&lt;&gt;0</formula>
    </cfRule>
  </conditionalFormatting>
  <conditionalFormatting sqref="E78 E81 E84">
    <cfRule type="expression" dxfId="245" priority="102">
      <formula>AND(_xlfn.SINGLE(ACOMPANHAMENTO)="BM",E78&gt;ROUND(E78,4))</formula>
    </cfRule>
  </conditionalFormatting>
  <conditionalFormatting sqref="U77:AF77 U80:AF80 U83:AF83">
    <cfRule type="expression" dxfId="244" priority="101" stopIfTrue="1">
      <formula>U77&lt;&gt;0</formula>
    </cfRule>
  </conditionalFormatting>
  <conditionalFormatting sqref="U78:AF78 U81:AF81 U84:AF84">
    <cfRule type="expression" dxfId="243" priority="100">
      <formula>AND(_xlfn.SINGLE(ACOMPANHAMENTO)="BM",U78&gt;ROUND(U78,4))</formula>
    </cfRule>
  </conditionalFormatting>
  <conditionalFormatting sqref="E87 E90 E93 U87:AF87 U90:AF90 U93:AF93">
    <cfRule type="expression" dxfId="242" priority="95" stopIfTrue="1">
      <formula>AND(ISNUMBER($H86),$H86&lt;&gt;0)</formula>
    </cfRule>
  </conditionalFormatting>
  <conditionalFormatting sqref="I87:S87 I90:S90 I93:S93">
    <cfRule type="expression" dxfId="241" priority="96" stopIfTrue="1">
      <formula>$M86=2</formula>
    </cfRule>
    <cfRule type="expression" dxfId="240" priority="97" stopIfTrue="1">
      <formula>AND($M86=1,$S86&lt;&gt;"")</formula>
    </cfRule>
  </conditionalFormatting>
  <conditionalFormatting sqref="I86:S86 I89:S89 I92:S92">
    <cfRule type="expression" dxfId="239" priority="98" stopIfTrue="1">
      <formula>$M86=2</formula>
    </cfRule>
    <cfRule type="expression" dxfId="238" priority="99" stopIfTrue="1">
      <formula>AND($M86=1,$S86&lt;&gt;"")</formula>
    </cfRule>
  </conditionalFormatting>
  <conditionalFormatting sqref="H87 H90 H93">
    <cfRule type="expression" dxfId="237" priority="94">
      <formula>AND(H86&lt;&gt;0,ISNUMBER(H86))</formula>
    </cfRule>
  </conditionalFormatting>
  <conditionalFormatting sqref="H86 H89 H92">
    <cfRule type="expression" dxfId="236" priority="93">
      <formula>AND(H86&lt;&gt;0,ISNUMBER(H86))</formula>
    </cfRule>
  </conditionalFormatting>
  <conditionalFormatting sqref="E86 E89 E92">
    <cfRule type="expression" dxfId="235" priority="92" stopIfTrue="1">
      <formula>E86&lt;&gt;0</formula>
    </cfRule>
  </conditionalFormatting>
  <conditionalFormatting sqref="E87 E90 E93">
    <cfRule type="expression" dxfId="234" priority="91">
      <formula>AND(_xlfn.SINGLE(ACOMPANHAMENTO)="BM",E87&gt;ROUND(E87,4))</formula>
    </cfRule>
  </conditionalFormatting>
  <conditionalFormatting sqref="U86:AF86 U89:AF89 U92:AF92">
    <cfRule type="expression" dxfId="233" priority="90" stopIfTrue="1">
      <formula>U86&lt;&gt;0</formula>
    </cfRule>
  </conditionalFormatting>
  <conditionalFormatting sqref="U87:AF87 U90:AF90 U93:AF93">
    <cfRule type="expression" dxfId="232" priority="89">
      <formula>AND(_xlfn.SINGLE(ACOMPANHAMENTO)="BM",U87&gt;ROUND(U87,4))</formula>
    </cfRule>
  </conditionalFormatting>
  <conditionalFormatting sqref="E96 E99 E102 U96:AF96 U99:AF99 U102:AF102">
    <cfRule type="expression" dxfId="231" priority="84" stopIfTrue="1">
      <formula>AND(ISNUMBER($H95),$H95&lt;&gt;0)</formula>
    </cfRule>
  </conditionalFormatting>
  <conditionalFormatting sqref="I96:S96 I99:S99 I102:S102">
    <cfRule type="expression" dxfId="230" priority="85" stopIfTrue="1">
      <formula>$M95=2</formula>
    </cfRule>
    <cfRule type="expression" dxfId="229" priority="86" stopIfTrue="1">
      <formula>AND($M95=1,$S95&lt;&gt;"")</formula>
    </cfRule>
  </conditionalFormatting>
  <conditionalFormatting sqref="I95:S95 I98:S98 I101:S101">
    <cfRule type="expression" dxfId="228" priority="87" stopIfTrue="1">
      <formula>$M95=2</formula>
    </cfRule>
    <cfRule type="expression" dxfId="227" priority="88" stopIfTrue="1">
      <formula>AND($M95=1,$S95&lt;&gt;"")</formula>
    </cfRule>
  </conditionalFormatting>
  <conditionalFormatting sqref="H96 H99 H102">
    <cfRule type="expression" dxfId="226" priority="83">
      <formula>AND(H95&lt;&gt;0,ISNUMBER(H95))</formula>
    </cfRule>
  </conditionalFormatting>
  <conditionalFormatting sqref="H95 H98 H101">
    <cfRule type="expression" dxfId="225" priority="82">
      <formula>AND(H95&lt;&gt;0,ISNUMBER(H95))</formula>
    </cfRule>
  </conditionalFormatting>
  <conditionalFormatting sqref="E95 E98 E101">
    <cfRule type="expression" dxfId="224" priority="81" stopIfTrue="1">
      <formula>E95&lt;&gt;0</formula>
    </cfRule>
  </conditionalFormatting>
  <conditionalFormatting sqref="E96 E99 E102">
    <cfRule type="expression" dxfId="223" priority="80">
      <formula>AND(_xlfn.SINGLE(ACOMPANHAMENTO)="BM",E96&gt;ROUND(E96,4))</formula>
    </cfRule>
  </conditionalFormatting>
  <conditionalFormatting sqref="U95:AF95 U98:AF98 U101:AF101">
    <cfRule type="expression" dxfId="222" priority="79" stopIfTrue="1">
      <formula>U95&lt;&gt;0</formula>
    </cfRule>
  </conditionalFormatting>
  <conditionalFormatting sqref="U96:AF96 U99:AF99 U102:AF102">
    <cfRule type="expression" dxfId="221" priority="78">
      <formula>AND(_xlfn.SINGLE(ACOMPANHAMENTO)="BM",U96&gt;ROUND(U96,4))</formula>
    </cfRule>
  </conditionalFormatting>
  <conditionalFormatting sqref="E105 E108 E111 U105:AF105 U108:AF108 U111:AF111">
    <cfRule type="expression" dxfId="220" priority="73" stopIfTrue="1">
      <formula>AND(ISNUMBER($H104),$H104&lt;&gt;0)</formula>
    </cfRule>
  </conditionalFormatting>
  <conditionalFormatting sqref="I105:S105 I108:S108 I111:S111">
    <cfRule type="expression" dxfId="219" priority="74" stopIfTrue="1">
      <formula>$M104=2</formula>
    </cfRule>
    <cfRule type="expression" dxfId="218" priority="75" stopIfTrue="1">
      <formula>AND($M104=1,$S104&lt;&gt;"")</formula>
    </cfRule>
  </conditionalFormatting>
  <conditionalFormatting sqref="I104:S104 I107:S107 I110:S110">
    <cfRule type="expression" dxfId="217" priority="76" stopIfTrue="1">
      <formula>$M104=2</formula>
    </cfRule>
    <cfRule type="expression" dxfId="216" priority="77" stopIfTrue="1">
      <formula>AND($M104=1,$S104&lt;&gt;"")</formula>
    </cfRule>
  </conditionalFormatting>
  <conditionalFormatting sqref="H105 H108 H111">
    <cfRule type="expression" dxfId="215" priority="72">
      <formula>AND(H104&lt;&gt;0,ISNUMBER(H104))</formula>
    </cfRule>
  </conditionalFormatting>
  <conditionalFormatting sqref="H104 H107 H110">
    <cfRule type="expression" dxfId="214" priority="71">
      <formula>AND(H104&lt;&gt;0,ISNUMBER(H104))</formula>
    </cfRule>
  </conditionalFormatting>
  <conditionalFormatting sqref="E104 E107 E110">
    <cfRule type="expression" dxfId="213" priority="70" stopIfTrue="1">
      <formula>E104&lt;&gt;0</formula>
    </cfRule>
  </conditionalFormatting>
  <conditionalFormatting sqref="E105 E108 E111">
    <cfRule type="expression" dxfId="212" priority="69">
      <formula>AND(_xlfn.SINGLE(ACOMPANHAMENTO)="BM",E105&gt;ROUND(E105,4))</formula>
    </cfRule>
  </conditionalFormatting>
  <conditionalFormatting sqref="U104:AF104 U107:AF107 U110:AF110">
    <cfRule type="expression" dxfId="211" priority="68" stopIfTrue="1">
      <formula>U104&lt;&gt;0</formula>
    </cfRule>
  </conditionalFormatting>
  <conditionalFormatting sqref="U105:AF105 U108:AF108 U111:AF111">
    <cfRule type="expression" dxfId="210" priority="67">
      <formula>AND(_xlfn.SINGLE(ACOMPANHAMENTO)="BM",U105&gt;ROUND(U105,4))</formula>
    </cfRule>
  </conditionalFormatting>
  <conditionalFormatting sqref="E114 E117 U114:AF114 U117:AF117">
    <cfRule type="expression" dxfId="209" priority="62" stopIfTrue="1">
      <formula>AND(ISNUMBER($H113),$H113&lt;&gt;0)</formula>
    </cfRule>
  </conditionalFormatting>
  <conditionalFormatting sqref="I114:S114 I117:S117">
    <cfRule type="expression" dxfId="208" priority="63" stopIfTrue="1">
      <formula>$M113=2</formula>
    </cfRule>
    <cfRule type="expression" dxfId="207" priority="64" stopIfTrue="1">
      <formula>AND($M113=1,$S113&lt;&gt;"")</formula>
    </cfRule>
  </conditionalFormatting>
  <conditionalFormatting sqref="I113:S113 I116:S116">
    <cfRule type="expression" dxfId="206" priority="65" stopIfTrue="1">
      <formula>$M113=2</formula>
    </cfRule>
    <cfRule type="expression" dxfId="205" priority="66" stopIfTrue="1">
      <formula>AND($M113=1,$S113&lt;&gt;"")</formula>
    </cfRule>
  </conditionalFormatting>
  <conditionalFormatting sqref="H114 H117">
    <cfRule type="expression" dxfId="204" priority="61">
      <formula>AND(H113&lt;&gt;0,ISNUMBER(H113))</formula>
    </cfRule>
  </conditionalFormatting>
  <conditionalFormatting sqref="H113 H116">
    <cfRule type="expression" dxfId="203" priority="60">
      <formula>AND(H113&lt;&gt;0,ISNUMBER(H113))</formula>
    </cfRule>
  </conditionalFormatting>
  <conditionalFormatting sqref="E113 E116">
    <cfRule type="expression" dxfId="202" priority="59" stopIfTrue="1">
      <formula>E113&lt;&gt;0</formula>
    </cfRule>
  </conditionalFormatting>
  <conditionalFormatting sqref="E114 E117">
    <cfRule type="expression" dxfId="201" priority="58">
      <formula>AND(_xlfn.SINGLE(ACOMPANHAMENTO)="BM",E114&gt;ROUND(E114,4))</formula>
    </cfRule>
  </conditionalFormatting>
  <conditionalFormatting sqref="U113:AF113 U116:AF116">
    <cfRule type="expression" dxfId="200" priority="57" stopIfTrue="1">
      <formula>U113&lt;&gt;0</formula>
    </cfRule>
  </conditionalFormatting>
  <conditionalFormatting sqref="U114:AF114 U117:AF117">
    <cfRule type="expression" dxfId="199" priority="56">
      <formula>AND(_xlfn.SINGLE(ACOMPANHAMENTO)="BM",U114&gt;ROUND(U114,4))</formula>
    </cfRule>
  </conditionalFormatting>
  <dataValidations count="6">
    <dataValidation type="list" allowBlank="1" showInputMessage="1" showErrorMessage="1" errorTitle="Obrigatório:" error="Selecione o nível (2, 3 ou 4) do agrupador a exibir no cronograma." prompt="Selecione uma opção da lista de níveis a exibir." sqref="H10" xr:uid="{00000000-0002-0000-08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E71 E74 U68:AF68 U71:AF71 U74:AF74 E77 E80 E83 U77:AF77 U80:AF80 U83:AF83 E86 E89 E92 U86:AF86 U89:AF89 U92:AF92 E95 E98 E101 U95:AF95 U98:AF98 U101:AF101 E104 E107 E110 U104:AF104 U107:AF107 U110:AF110 E113 E116 U113:AF113 U116:AF116" xr:uid="{00000000-0002-0000-0800-000001000000}"/>
    <dataValidation type="whole" operator="greaterThan" allowBlank="1" showErrorMessage="1" sqref="U12" xr:uid="{00000000-0002-0000-0800-000002000000}">
      <formula1>0</formula1>
      <formula2>0</formula2>
    </dataValidation>
    <dataValidation type="decimal" allowBlank="1" showErrorMessage="1" error="Porcentagem Acumulada &gt; 100%." sqref="E2 U2:AG2 E15 E18 E21 U15:AG15 U18:AG18 U21:AG21 E24 E27 E30 U24:AG24 U27:AG27 U30:AG30 E33 E36 E39 U33:AG33 U36:AG36 U39:AG39 E42 E45 E48 U42:AG42 U45:AG45 U48:AG48 E51 E54 E57 U51:AG51 U54:AG54 U57:AG57 E60 E63 E66 U60:AG60 U63:AG63 U66:AG66 E69 E72 E75 U69:AG69 U72:AG72 U75:AG75 E78 E81 E84 U78:AG78 U81:AG81 U84:AG84 E87 E90 E93 U87:AG87 U90:AG90 U93:AG93 E96 E99 E102 U96:AG96 U99:AG99 U102:AG102 E105 E108 E111 U105:AG105 U108:AG108 U111:AG111 E114 E117 U114:AG114 U117:AG117" xr:uid="{00000000-0002-0000-0800-000003000000}">
      <formula1>0</formula1>
      <formula2>CRONO.MaxParc</formula2>
    </dataValidation>
    <dataValidation type="date" operator="greaterThan" allowBlank="1" showInputMessage="1" showErrorMessage="1" errorTitle="Erro" error="Digite somente datas." sqref="U13" xr:uid="{00000000-0002-0000-0800-000004000000}">
      <formula1>36526</formula1>
    </dataValidation>
    <dataValidation type="list" allowBlank="1" showErrorMessage="1" errorTitle="Atenção" error="Selecione uma opção da lista." sqref="H130:J130" xr:uid="{00000000-0002-0000-0800-000005000000}">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&amp;LPMv3.16&amp;R&amp;P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7">
    <pageSetUpPr fitToPage="1"/>
  </sheetPr>
  <dimension ref="A1:AE37"/>
  <sheetViews>
    <sheetView showGridLines="0" zoomScaleNormal="100" zoomScaleSheetLayoutView="90" workbookViewId="0">
      <pane xSplit="7" ySplit="13" topLeftCell="K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60" t="s">
        <v>980</v>
      </c>
      <c r="F1" s="272" t="s">
        <v>805</v>
      </c>
      <c r="I1" s="8"/>
      <c r="J1" s="8"/>
      <c r="O1" s="491" t="s">
        <v>757</v>
      </c>
      <c r="P1" s="86"/>
    </row>
    <row r="2" spans="1:31" x14ac:dyDescent="0.2">
      <c r="A2" s="661" t="s">
        <v>975</v>
      </c>
      <c r="Z2" t="s">
        <v>806</v>
      </c>
      <c r="AA2" s="88" t="s">
        <v>807</v>
      </c>
      <c r="AB2" s="77"/>
    </row>
    <row r="3" spans="1:31" x14ac:dyDescent="0.2">
      <c r="A3" t="s">
        <v>976</v>
      </c>
      <c r="D3" s="725" t="s">
        <v>650</v>
      </c>
      <c r="E3" s="725"/>
      <c r="F3" s="87" t="s">
        <v>707</v>
      </c>
      <c r="G3" s="725" t="s">
        <v>652</v>
      </c>
      <c r="H3" s="725"/>
      <c r="I3" s="725"/>
      <c r="J3" s="818" t="s">
        <v>808</v>
      </c>
      <c r="K3" s="818"/>
      <c r="L3" s="818"/>
      <c r="M3" s="819" t="s">
        <v>809</v>
      </c>
      <c r="N3" s="819"/>
      <c r="O3" s="819"/>
      <c r="Z3" s="102">
        <f ca="1">MAX(Z7:AB7)</f>
        <v>0</v>
      </c>
      <c r="AA3" s="273">
        <f t="array" aca="1" ref="AA3" ca="1">IF(OR($O$24=ORÇAMENTO.SumINVMANUAL+QCI.SumINVMANUAL,$O$24=0),0,MIN(MAX(0,($Z$3*$O$24-ORÇAMENTO.SumCPMANUAL-QCI.SumCPMANUAL)/($O$24-ORÇAMENTO.SumINVMANUAL-QCI.SumINVMANUAL)),1))</f>
        <v>0</v>
      </c>
      <c r="AB3" s="92"/>
    </row>
    <row r="4" spans="1:31" x14ac:dyDescent="0.2">
      <c r="A4" t="s">
        <v>977</v>
      </c>
      <c r="D4" s="722" t="str">
        <f>Import.CR</f>
        <v>1103833-63</v>
      </c>
      <c r="E4" s="722"/>
      <c r="F4" s="56" t="str">
        <f>Import.TransfereGOV</f>
        <v>39994/2025</v>
      </c>
      <c r="G4" s="722" t="str">
        <f>Import.Proponente</f>
        <v>PREFEITURA MUNICIPAL DE PIRANGUÇU-MG</v>
      </c>
      <c r="H4" s="722"/>
      <c r="I4" s="722"/>
      <c r="J4" s="820" t="str">
        <f>Import.Município</f>
        <v>PIRANGUÇU-MG</v>
      </c>
      <c r="K4" s="820"/>
      <c r="L4" s="820"/>
      <c r="M4" s="819"/>
      <c r="N4" s="819"/>
      <c r="O4" s="819"/>
      <c r="R4" s="129"/>
      <c r="Z4" s="92"/>
      <c r="AA4" s="92"/>
      <c r="AB4" s="92"/>
    </row>
    <row r="5" spans="1:31" ht="5.0999999999999996" customHeight="1" x14ac:dyDescent="0.2">
      <c r="A5" t="s">
        <v>978</v>
      </c>
      <c r="M5" s="265"/>
      <c r="O5" s="4"/>
    </row>
    <row r="6" spans="1:31" x14ac:dyDescent="0.2">
      <c r="A6" t="s">
        <v>979</v>
      </c>
      <c r="D6" s="725" t="s">
        <v>708</v>
      </c>
      <c r="E6" s="725"/>
      <c r="F6" s="725"/>
      <c r="G6" s="725"/>
      <c r="H6" s="725"/>
      <c r="I6" s="725"/>
      <c r="J6" s="725"/>
      <c r="K6" s="725"/>
      <c r="L6" s="274" t="s">
        <v>715</v>
      </c>
      <c r="M6" s="87" t="str">
        <f>IF(import.recurso="FGTS","FINANCIAMENTO","REPASSE")</f>
        <v>REPASSE</v>
      </c>
      <c r="N6" s="87" t="s">
        <v>810</v>
      </c>
      <c r="O6" s="87" t="s">
        <v>811</v>
      </c>
      <c r="Z6" t="s">
        <v>812</v>
      </c>
      <c r="AA6" t="s">
        <v>813</v>
      </c>
      <c r="AB6" t="s">
        <v>814</v>
      </c>
    </row>
    <row r="7" spans="1:31" ht="12.75" customHeight="1" x14ac:dyDescent="0.2">
      <c r="A7" s="665" t="s">
        <v>982</v>
      </c>
      <c r="C7" s="751" t="s">
        <v>655</v>
      </c>
      <c r="D7" s="722" t="str">
        <f>Import.Apelido</f>
        <v>CONSTRUÇÃO DE VINTE UNIDADES HABITACIONAIS</v>
      </c>
      <c r="E7" s="722"/>
      <c r="F7" s="722"/>
      <c r="G7" s="722"/>
      <c r="H7" s="722"/>
      <c r="I7" s="722"/>
      <c r="J7" s="722"/>
      <c r="K7" s="722"/>
      <c r="L7" s="275" t="str">
        <f>import.recurso</f>
        <v>OGU</v>
      </c>
      <c r="M7" s="276">
        <f>Import.Repasse</f>
        <v>2730000</v>
      </c>
      <c r="N7" s="276">
        <f>Import.Contrapartida</f>
        <v>0</v>
      </c>
      <c r="O7" s="276">
        <f>M7+N7</f>
        <v>2730000</v>
      </c>
      <c r="Z7" s="102">
        <f>ROUND(Import.CPMinPerc,4)</f>
        <v>0</v>
      </c>
      <c r="AA7" s="102">
        <f ca="1">IF($O$24=0,0,Import.CPMinAbsoluta/$O$24)</f>
        <v>0</v>
      </c>
      <c r="AB7" s="102">
        <f ca="1">IF($O$24=0,0,($O$24-$AB$24-Import.Repasse)/($O$24))</f>
        <v>-2.0327151867533966E-2</v>
      </c>
    </row>
    <row r="8" spans="1:31" x14ac:dyDescent="0.2">
      <c r="A8" t="s">
        <v>819</v>
      </c>
      <c r="C8" s="751"/>
      <c r="D8" s="92"/>
      <c r="E8" s="92"/>
      <c r="F8" s="277"/>
      <c r="G8" s="92"/>
      <c r="H8" s="92"/>
      <c r="I8" s="92"/>
      <c r="J8" s="92"/>
      <c r="K8" s="92"/>
      <c r="L8" s="92"/>
      <c r="M8" s="92"/>
      <c r="N8" s="92"/>
      <c r="O8" s="92"/>
    </row>
    <row r="9" spans="1:31" ht="12.75" customHeight="1" x14ac:dyDescent="0.2">
      <c r="A9" t="s">
        <v>981</v>
      </c>
      <c r="C9" s="751"/>
      <c r="G9" s="824"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IF(OFFSET($A$24,-1,0)&lt;OFFSET(ORÇAMENTO!$E$235,-1,0),"ERRO: NÚMERO DE LINHAS DO QCI INSUFICIENTE. CLIQUE NO BOTÃO ADICIONAR LINHAS",
  "")))))))</f>
        <v/>
      </c>
      <c r="H9" s="824"/>
      <c r="I9" s="511"/>
      <c r="J9" s="510"/>
      <c r="K9" s="823" t="s">
        <v>815</v>
      </c>
      <c r="L9" s="278" t="str">
        <f>$L$13</f>
        <v>Repasse (R$)</v>
      </c>
      <c r="M9" s="278" t="s">
        <v>741</v>
      </c>
      <c r="AD9" s="821"/>
      <c r="AE9" s="821"/>
    </row>
    <row r="10" spans="1:31" ht="12.75" customHeight="1" x14ac:dyDescent="0.2">
      <c r="A10" s="825" t="s">
        <v>816</v>
      </c>
      <c r="C10" s="751"/>
      <c r="G10" s="824"/>
      <c r="H10" s="824"/>
      <c r="I10" s="511"/>
      <c r="J10" s="510"/>
      <c r="K10" s="823"/>
      <c r="L10" s="279">
        <f ca="1">Import.Repasse-L24</f>
        <v>54387.580000000075</v>
      </c>
      <c r="M10" s="280">
        <f ca="1">Import.Contrapartida-M24</f>
        <v>0</v>
      </c>
      <c r="Z10" s="765" t="s">
        <v>721</v>
      </c>
      <c r="AA10" s="765"/>
      <c r="AB10" s="765"/>
      <c r="AD10" s="821" t="s">
        <v>817</v>
      </c>
      <c r="AE10" s="821"/>
    </row>
    <row r="11" spans="1:31" ht="20.100000000000001" customHeight="1" x14ac:dyDescent="0.25">
      <c r="A11" s="825"/>
      <c r="C11" s="751"/>
      <c r="G11" s="580"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
      </c>
      <c r="T11" s="519"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IF(NOT(ISBLANK(QCI.DescManual)),IF(QCI.Divisao="Calculado","Manual","SemiAuto"),IF(ISERROR(MATCH($A12,ORÇAMENTO!$E$15:$E$235,0)),"Branco","Automático"))</f>
        <v>Branco</v>
      </c>
      <c r="C12" t="str">
        <f ca="1">IF(O12&gt;0,"F","")</f>
        <v/>
      </c>
      <c r="D12" s="281">
        <f>ROW()-ROW($D$13)</f>
        <v>-1</v>
      </c>
      <c r="E12" s="118"/>
      <c r="F12" s="118"/>
      <c r="G12" s="163" t="str">
        <f ca="1">IF(OR($B12="Manual",$B12="SemiAuto"),QCI.DescManual,IF($B12="Automático",INDEX(ORÇAMENTO!$R$15:$R$235,MATCH($A12,ORÇAMENTO!$E$15:$E$235,0)),""))</f>
        <v/>
      </c>
      <c r="H12" s="118"/>
      <c r="I12" s="463"/>
      <c r="J12" s="282" t="str">
        <f ca="1">IF(AND(ISBLANK(E12),ISBLANK(F12)),"",VLOOKUP($F12,OFFSET(DADOS!$A$2,1,MATCH(QCI!$E12,DADOS!$2:$2,0)-1,100,50),2,FALSE))</f>
        <v/>
      </c>
      <c r="K12" s="462" t="str">
        <f t="array" aca="1" ref="K12" ca="1">IF(OR($B12="Manual",$B12="SemiAuto"),QCI.LoteManual,IF($B12="Automático",IF(TIPOORCAMENTO="Licitado",Import.CTEF,"LOTE 1"),""))</f>
        <v/>
      </c>
      <c r="L12" s="283">
        <f ca="1">ROUND($O12,2)-ROUND($M12,2)-ROUND($N12,2)</f>
        <v>0</v>
      </c>
      <c r="M12" s="284">
        <f ca="1">ROUND($AA12,2)-ROUND($AE12,2)</f>
        <v>0</v>
      </c>
      <c r="N12" s="285">
        <f ca="1">ROUND($AB12,2)</f>
        <v>0</v>
      </c>
      <c r="O12" s="286">
        <f t="array" aca="1" ref="O12" ca="1">IF($B12="Branco",0,IF(OR($B12="Manual",$B12="SemiAuto"),QCI.InvManual,INDEX(ORÇAMENTO!X$15:X$235,MATCH($A12,ORÇAMENTO!$E$15:$E$235,0))))</f>
        <v>0</v>
      </c>
      <c r="P12" s="575" t="str">
        <f ca="1">IF(O12=0,"",
  IF(E12="","ITEM",
  IF(F12="","SUBITEM",
  IF(H12="","SITUAÇÃO",
  IF(I12=0,"QUANT.","")))))</f>
        <v/>
      </c>
      <c r="R12" s="464"/>
      <c r="S12" s="576" t="str">
        <f>IF(R12="","",
  IF(T12=0,"► LOTE",
  IF(U12=0,"► INVEST",
  IF(V12=0,"► DIV",
  IF(AND(V12="Calculado",W12=""),"► CP",
  IF(AND(V12="Calculado",X12=""),"► OU",""))))))</f>
        <v/>
      </c>
      <c r="T12" s="465"/>
      <c r="U12" s="577"/>
      <c r="V12" s="466" t="s">
        <v>819</v>
      </c>
      <c r="W12" s="578"/>
      <c r="X12" s="579"/>
      <c r="Z12">
        <f ca="1">$O12-$AA12-$AB12</f>
        <v>0</v>
      </c>
      <c r="AA12">
        <f t="array" aca="1" ref="AA12" ca="1">IF($B12="Branco",0,IF($B12="Manual",QCI.CPManual,IF($B12="SemiAuto",ROUND(QCI!$AA$3*QCI.InvManual,2),INDEX(ORÇAMENTO!$AA$15:$AA$235,MATCH($A12,ORÇAMENTO!$E$15:$E$235,0)))))</f>
        <v>0</v>
      </c>
      <c r="AB12">
        <f t="array" aca="1" ref="AB12" ca="1">IF($B12="Branco",0,IF($B12="Manual",QCI.OutrosManual,IF($B12="SemiAuto",0,INDEX(ORÇAMENTO!$AB$15:$AB$235,MATCH($A12,ORÇAMENTO!$E$15:$E$235,0)))))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3" t="str">
        <f>IF(import.recurso="FGTS","Financiamento (R$)","Repasse (R$)")</f>
        <v>Repasse (R$)</v>
      </c>
      <c r="M13" s="644" t="s">
        <v>826</v>
      </c>
      <c r="N13" s="291" t="s">
        <v>742</v>
      </c>
      <c r="O13" s="107" t="s">
        <v>827</v>
      </c>
      <c r="R13" s="292" t="s">
        <v>823</v>
      </c>
      <c r="T13" s="292" t="s">
        <v>825</v>
      </c>
      <c r="U13" s="159" t="s">
        <v>827</v>
      </c>
      <c r="V13" s="293" t="s">
        <v>828</v>
      </c>
      <c r="W13" s="158" t="s">
        <v>826</v>
      </c>
      <c r="X13" s="160" t="s">
        <v>742</v>
      </c>
    </row>
    <row r="14" spans="1:31" s="696" customFormat="1" ht="30" customHeight="1" x14ac:dyDescent="0.2">
      <c r="A14" s="696">
        <f t="shared" ref="A14:A23" ca="1" si="0">IF(NOT(ISBLANK(QCI.DescManual)),OFFSET(A14,-1,0),D14)</f>
        <v>1</v>
      </c>
      <c r="B14" s="696" t="str">
        <f ca="1">IF(NOT(ISBLANK(QCI.DescManual)),IF(QCI.Divisao="Calculado","Manual","SemiAuto"),IF(ISERROR(MATCH($A14,ORÇAMENTO!$E$15:$E$235,0)),"Branco","Automático"))</f>
        <v>Automático</v>
      </c>
      <c r="C14" s="696" t="str">
        <f t="shared" ref="C14:C22" ca="1" si="1">IF(O14&gt;0,"F","")</f>
        <v>F</v>
      </c>
      <c r="D14" s="281">
        <f t="shared" ref="D14:D22" si="2">ROW()-ROW($D$13)</f>
        <v>1</v>
      </c>
      <c r="E14" s="118" t="s">
        <v>100</v>
      </c>
      <c r="F14" s="118" t="s">
        <v>140</v>
      </c>
      <c r="G14" s="163" t="str">
        <f ca="1">IF(OR($B14="Manual",$B14="SemiAuto"),QCI.DescManual,IF($B14="Automático",INDEX(ORÇAMENTO!$R$15:$R$235,MATCH($A14,ORÇAMENTO!$E$15:$E$235,0)),""))</f>
        <v>CONTRUÇÃO DE VINTE UNIDADES HABITACIONAIS</v>
      </c>
      <c r="H14" s="118" t="s">
        <v>976</v>
      </c>
      <c r="I14" s="463">
        <v>1</v>
      </c>
      <c r="J14" s="282" t="str">
        <f ca="1">IF(AND(ISBLANK(E14),ISBLANK(F14)),"",VLOOKUP($F14,OFFSET(DADOS!$A$2,1,MATCH(QCI!$E14,DADOS!$2:$2,0)-1,100,50),2,FALSE))</f>
        <v>un</v>
      </c>
      <c r="K14" s="462" t="str">
        <f t="array" aca="1" ref="K14" ca="1">IF(OR($B14="Manual",$B14="SemiAuto"),QCI.LoteManual,IF($B14="Automático",IF(TIPOORCAMENTO="Licitado",Import.CTEF,"LOTE 1"),""))</f>
        <v>LOTE 1</v>
      </c>
      <c r="L14" s="283">
        <f t="shared" ref="L14:L22" ca="1" si="3">ROUND($O14,2)-ROUND($M14,2)-ROUND($N14,2)</f>
        <v>2675612.42</v>
      </c>
      <c r="M14" s="284">
        <f t="shared" ref="M14:M22" ca="1" si="4">ROUND($AA14,2)-ROUND($AE14,2)</f>
        <v>0</v>
      </c>
      <c r="N14" s="285">
        <f t="shared" ref="N14:N22" ca="1" si="5">ROUND($AB14,2)</f>
        <v>0</v>
      </c>
      <c r="O14" s="286">
        <f t="array" aca="1" ref="O14" ca="1">IF($B14="Branco",0,IF(OR($B14="Manual",$B14="SemiAuto"),QCI.InvManual,INDEX(ORÇAMENTO!X$15:X$235,MATCH($A14,ORÇAMENTO!$E$15:$E$235,0))))</f>
        <v>2675612.42</v>
      </c>
      <c r="P14" s="575" t="str">
        <f t="shared" ref="P14:P22" ca="1" si="6">IF(O14=0,"",
  IF(E14="","ITEM",
  IF(F14="","SUBITEM",
  IF(H14="","SITUAÇÃO",
  IF(I14=0,"QUANT.","")))))</f>
        <v/>
      </c>
      <c r="R14" s="464"/>
      <c r="S14" s="576" t="str">
        <f t="shared" ref="S14:S22" si="7">IF(R14="","",
  IF(T14=0,"► LOTE",
  IF(U14=0,"► INVEST",
  IF(V14=0,"► DIV",
  IF(AND(V14="Calculado",W14=""),"► CP",
  IF(AND(V14="Calculado",X14=""),"► OU",""))))))</f>
        <v/>
      </c>
      <c r="T14" s="465"/>
      <c r="U14" s="577"/>
      <c r="V14" s="466" t="s">
        <v>819</v>
      </c>
      <c r="W14" s="578"/>
      <c r="X14" s="579"/>
      <c r="Z14" s="696">
        <f t="shared" ref="Z14:Z22" ca="1" si="8">$O14-$AA14-$AB14</f>
        <v>2675612.42</v>
      </c>
      <c r="AA14" s="696">
        <f t="array" aca="1" ref="AA14" ca="1">IF($B14="Branco",0,IF($B14="Manual",QCI.CPManual,IF($B14="SemiAuto",ROUND(QCI!$AA$3*QCI.InvManual,2),INDEX(ORÇAMENTO!$AA$15:$AA$235,MATCH($A14,ORÇAMENTO!$E$15:$E$235,0)))))</f>
        <v>0</v>
      </c>
      <c r="AB14" s="696">
        <f t="array" aca="1" ref="AB14" ca="1">IF($B14="Branco",0,IF($B14="Manual",QCI.OutrosManual,IF($B14="SemiAuto",0,INDEX(ORÇAMENTO!$AB$15:$AB$235,MATCH($A14,ORÇAMENTO!$E$15:$E$235,0)))))</f>
        <v>0</v>
      </c>
      <c r="AD14" s="289" t="b">
        <f ca="1">AND($AA$3&gt;0,$AA$3&lt;1,$O14&gt;0,OR($B14="Automático",$B14="SemiAuto"),OR(QCI!$Z$3=QCI!$Z$7,QCI!$Z$3=QCI!$AA$7,QCI!$Z$3=QCI!$AB$7))</f>
        <v>0</v>
      </c>
      <c r="AE14" s="289">
        <f ca="1">IF(AND($AD14,$O14&gt;0,COUNTIF(OFFSET($AD14,1,0):$AD$24,TRUE)=0),CHOOSE(1+LOG(1+2*(QCI!$Z$3=QCI!$Z$7)+4*(QCI!$Z$3=QCI!$AA$7)+8*(QCI!$Z$3=QCI!$AB$7),2),0,$AA$24-ROUND(Import.CPMinPerc*$O$24,2),$AA$24-Import.CPMinAbsoluta,Import.Repasse-$Z$24),0)</f>
        <v>0</v>
      </c>
    </row>
    <row r="15" spans="1:31" s="696" customFormat="1" ht="30" customHeight="1" x14ac:dyDescent="0.2">
      <c r="A15" s="696">
        <f t="shared" ca="1" si="0"/>
        <v>2</v>
      </c>
      <c r="B15" s="696" t="str">
        <f ca="1">IF(NOT(ISBLANK(QCI.DescManual)),IF(QCI.Divisao="Calculado","Manual","SemiAuto"),IF(ISERROR(MATCH($A15,ORÇAMENTO!$E$15:$E$235,0)),"Branco","Automático"))</f>
        <v>Branco</v>
      </c>
      <c r="C15" s="696" t="str">
        <f t="shared" ca="1" si="1"/>
        <v/>
      </c>
      <c r="D15" s="281">
        <f t="shared" si="2"/>
        <v>2</v>
      </c>
      <c r="E15" s="118"/>
      <c r="F15" s="118"/>
      <c r="G15" s="163" t="str">
        <f ca="1">IF(OR($B15="Manual",$B15="SemiAuto"),QCI.DescManual,IF($B15="Automático",INDEX(ORÇAMENTO!$R$15:$R$235,MATCH($A15,ORÇAMENTO!$E$15:$E$235,0)),""))</f>
        <v/>
      </c>
      <c r="H15" s="118"/>
      <c r="I15" s="463"/>
      <c r="J15" s="282" t="str">
        <f ca="1">IF(AND(ISBLANK(E15),ISBLANK(F15)),"",VLOOKUP($F15,OFFSET(DADOS!$A$2,1,MATCH(QCI!$E15,DADOS!$2:$2,0)-1,100,50),2,FALSE))</f>
        <v/>
      </c>
      <c r="K15" s="462" t="str">
        <f t="array" aca="1" ref="K15" ca="1">IF(OR($B15="Manual",$B15="SemiAuto"),QCI.LoteManual,IF($B15="Automático",IF(TIPOORCAMENTO="Licitado",Import.CTEF,"LOTE 1"),""))</f>
        <v/>
      </c>
      <c r="L15" s="283">
        <f t="shared" ca="1" si="3"/>
        <v>0</v>
      </c>
      <c r="M15" s="284">
        <f t="shared" ca="1" si="4"/>
        <v>0</v>
      </c>
      <c r="N15" s="285">
        <f t="shared" ca="1" si="5"/>
        <v>0</v>
      </c>
      <c r="O15" s="286">
        <f t="array" aca="1" ref="O15" ca="1">IF($B15="Branco",0,IF(OR($B15="Manual",$B15="SemiAuto"),QCI.InvManual,INDEX(ORÇAMENTO!X$15:X$235,MATCH($A15,ORÇAMENTO!$E$15:$E$235,0))))</f>
        <v>0</v>
      </c>
      <c r="P15" s="575" t="str">
        <f t="shared" ca="1" si="6"/>
        <v/>
      </c>
      <c r="R15" s="464"/>
      <c r="S15" s="576" t="str">
        <f t="shared" si="7"/>
        <v/>
      </c>
      <c r="T15" s="465"/>
      <c r="U15" s="577"/>
      <c r="V15" s="466" t="s">
        <v>819</v>
      </c>
      <c r="W15" s="578"/>
      <c r="X15" s="579"/>
      <c r="Z15" s="696">
        <f t="shared" ca="1" si="8"/>
        <v>0</v>
      </c>
      <c r="AA15" s="696">
        <f t="array" aca="1" ref="AA15" ca="1">IF($B15="Branco",0,IF($B15="Manual",QCI.CPManual,IF($B15="SemiAuto",ROUND(QCI!$AA$3*QCI.InvManual,2),INDEX(ORÇAMENTO!$AA$15:$AA$235,MATCH($A15,ORÇAMENTO!$E$15:$E$235,0)))))</f>
        <v>0</v>
      </c>
      <c r="AB15" s="696">
        <f t="array" aca="1" ref="AB15" ca="1">IF($B15="Branco",0,IF($B15="Manual",QCI.OutrosManual,IF($B15="SemiAuto",0,INDEX(ORÇAMENTO!$AB$15:$AB$235,MATCH($A15,ORÇAMENTO!$E$15:$E$235,0)))))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s="696" customFormat="1" ht="30" customHeight="1" x14ac:dyDescent="0.2">
      <c r="A16" s="696">
        <f t="shared" ca="1" si="0"/>
        <v>3</v>
      </c>
      <c r="B16" s="696" t="str">
        <f ca="1">IF(NOT(ISBLANK(QCI.DescManual)),IF(QCI.Divisao="Calculado","Manual","SemiAuto"),IF(ISERROR(MATCH($A16,ORÇAMENTO!$E$15:$E$235,0)),"Branco","Automático"))</f>
        <v>Branco</v>
      </c>
      <c r="C16" s="696" t="str">
        <f t="shared" ca="1" si="1"/>
        <v/>
      </c>
      <c r="D16" s="281">
        <f t="shared" si="2"/>
        <v>3</v>
      </c>
      <c r="E16" s="118"/>
      <c r="F16" s="118"/>
      <c r="G16" s="163" t="str">
        <f ca="1">IF(OR($B16="Manual",$B16="SemiAuto"),QCI.DescManual,IF($B16="Automático",INDEX(ORÇAMENTO!$R$15:$R$235,MATCH($A16,ORÇAMENTO!$E$15:$E$235,0)),""))</f>
        <v/>
      </c>
      <c r="H16" s="118"/>
      <c r="I16" s="463"/>
      <c r="J16" s="282" t="str">
        <f ca="1">IF(AND(ISBLANK(E16),ISBLANK(F16)),"",VLOOKUP($F16,OFFSET(DADOS!$A$2,1,MATCH(QCI!$E16,DADOS!$2:$2,0)-1,100,50),2,FALSE))</f>
        <v/>
      </c>
      <c r="K16" s="462" t="str">
        <f t="array" aca="1" ref="K16" ca="1">IF(OR($B16="Manual",$B16="SemiAuto"),QCI.LoteManual,IF($B16="Automático",IF(TIPOORCAMENTO="Licitado",Import.CTEF,"LOTE 1"),""))</f>
        <v/>
      </c>
      <c r="L16" s="283">
        <f t="shared" ca="1" si="3"/>
        <v>0</v>
      </c>
      <c r="M16" s="284">
        <f t="shared" ca="1" si="4"/>
        <v>0</v>
      </c>
      <c r="N16" s="285">
        <f t="shared" ca="1" si="5"/>
        <v>0</v>
      </c>
      <c r="O16" s="286">
        <f t="array" aca="1" ref="O16" ca="1">IF($B16="Branco",0,IF(OR($B16="Manual",$B16="SemiAuto"),QCI.InvManual,INDEX(ORÇAMENTO!X$15:X$235,MATCH($A16,ORÇAMENTO!$E$15:$E$235,0))))</f>
        <v>0</v>
      </c>
      <c r="P16" s="575" t="str">
        <f t="shared" ca="1" si="6"/>
        <v/>
      </c>
      <c r="R16" s="464"/>
      <c r="S16" s="576" t="str">
        <f t="shared" si="7"/>
        <v/>
      </c>
      <c r="T16" s="465"/>
      <c r="U16" s="577"/>
      <c r="V16" s="466" t="s">
        <v>819</v>
      </c>
      <c r="W16" s="578"/>
      <c r="X16" s="579"/>
      <c r="Z16" s="696">
        <f t="shared" ca="1" si="8"/>
        <v>0</v>
      </c>
      <c r="AA16" s="696">
        <f t="array" aca="1" ref="AA16" ca="1">IF($B16="Branco",0,IF($B16="Manual",QCI.CPManual,IF($B16="SemiAuto",ROUND(QCI!$AA$3*QCI.InvManual,2),INDEX(ORÇAMENTO!$AA$15:$AA$235,MATCH($A16,ORÇAMENTO!$E$15:$E$235,0)))))</f>
        <v>0</v>
      </c>
      <c r="AB16" s="696">
        <f t="array" aca="1" ref="AB16" ca="1">IF($B16="Branco",0,IF($B16="Manual",QCI.OutrosManual,IF($B16="SemiAuto",0,INDEX(ORÇAMENTO!$AB$15:$AB$235,MATCH($A16,ORÇAMENTO!$E$15:$E$235,0)))))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s="696" customFormat="1" ht="30" customHeight="1" x14ac:dyDescent="0.2">
      <c r="A17" s="696">
        <f t="shared" ca="1" si="0"/>
        <v>4</v>
      </c>
      <c r="B17" s="696" t="str">
        <f ca="1">IF(NOT(ISBLANK(QCI.DescManual)),IF(QCI.Divisao="Calculado","Manual","SemiAuto"),IF(ISERROR(MATCH($A17,ORÇAMENTO!$E$15:$E$235,0)),"Branco","Automático"))</f>
        <v>Branco</v>
      </c>
      <c r="C17" s="696" t="str">
        <f t="shared" ca="1" si="1"/>
        <v/>
      </c>
      <c r="D17" s="281">
        <f t="shared" si="2"/>
        <v>4</v>
      </c>
      <c r="E17" s="118"/>
      <c r="F17" s="118"/>
      <c r="G17" s="163" t="str">
        <f ca="1">IF(OR($B17="Manual",$B17="SemiAuto"),QCI.DescManual,IF($B17="Automático",INDEX(ORÇAMENTO!$R$15:$R$235,MATCH($A17,ORÇAMENTO!$E$15:$E$235,0)),""))</f>
        <v/>
      </c>
      <c r="H17" s="118"/>
      <c r="I17" s="463"/>
      <c r="J17" s="282" t="str">
        <f ca="1">IF(AND(ISBLANK(E17),ISBLANK(F17)),"",VLOOKUP($F17,OFFSET(DADOS!$A$2,1,MATCH(QCI!$E17,DADOS!$2:$2,0)-1,100,50),2,FALSE))</f>
        <v/>
      </c>
      <c r="K17" s="462" t="str">
        <f t="array" aca="1" ref="K17" ca="1">IF(OR($B17="Manual",$B17="SemiAuto"),QCI.LoteManual,IF($B17="Automático",IF(TIPOORCAMENTO="Licitado",Import.CTEF,"LOTE 1"),""))</f>
        <v/>
      </c>
      <c r="L17" s="283">
        <f t="shared" ca="1" si="3"/>
        <v>0</v>
      </c>
      <c r="M17" s="284">
        <f t="shared" ca="1" si="4"/>
        <v>0</v>
      </c>
      <c r="N17" s="285">
        <f t="shared" ca="1" si="5"/>
        <v>0</v>
      </c>
      <c r="O17" s="286">
        <f t="array" aca="1" ref="O17" ca="1">IF($B17="Branco",0,IF(OR($B17="Manual",$B17="SemiAuto"),QCI.InvManual,INDEX(ORÇAMENTO!X$15:X$235,MATCH($A17,ORÇAMENTO!$E$15:$E$235,0))))</f>
        <v>0</v>
      </c>
      <c r="P17" s="575" t="str">
        <f t="shared" ca="1" si="6"/>
        <v/>
      </c>
      <c r="R17" s="464"/>
      <c r="S17" s="576" t="str">
        <f t="shared" si="7"/>
        <v/>
      </c>
      <c r="T17" s="465"/>
      <c r="U17" s="577"/>
      <c r="V17" s="466" t="s">
        <v>819</v>
      </c>
      <c r="W17" s="578"/>
      <c r="X17" s="579"/>
      <c r="Z17" s="696">
        <f t="shared" ca="1" si="8"/>
        <v>0</v>
      </c>
      <c r="AA17" s="696">
        <f t="array" aca="1" ref="AA17" ca="1">IF($B17="Branco",0,IF($B17="Manual",QCI.CPManual,IF($B17="SemiAuto",ROUND(QCI!$AA$3*QCI.InvManual,2),INDEX(ORÇAMENTO!$AA$15:$AA$235,MATCH($A17,ORÇAMENTO!$E$15:$E$235,0)))))</f>
        <v>0</v>
      </c>
      <c r="AB17" s="696">
        <f t="array" aca="1" ref="AB17" ca="1">IF($B17="Branco",0,IF($B17="Manual",QCI.OutrosManual,IF($B17="SemiAuto",0,INDEX(ORÇAMENTO!$AB$15:$AB$235,MATCH($A17,ORÇAMENTO!$E$15:$E$235,0)))))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s="696" customFormat="1" ht="30" customHeight="1" x14ac:dyDescent="0.2">
      <c r="A18" s="696">
        <f t="shared" ca="1" si="0"/>
        <v>5</v>
      </c>
      <c r="B18" s="696" t="str">
        <f ca="1">IF(NOT(ISBLANK(QCI.DescManual)),IF(QCI.Divisao="Calculado","Manual","SemiAuto"),IF(ISERROR(MATCH($A18,ORÇAMENTO!$E$15:$E$235,0)),"Branco","Automático"))</f>
        <v>Branco</v>
      </c>
      <c r="C18" s="696" t="str">
        <f t="shared" ca="1" si="1"/>
        <v/>
      </c>
      <c r="D18" s="281">
        <f t="shared" si="2"/>
        <v>5</v>
      </c>
      <c r="E18" s="118"/>
      <c r="F18" s="118"/>
      <c r="G18" s="163" t="str">
        <f ca="1">IF(OR($B18="Manual",$B18="SemiAuto"),QCI.DescManual,IF($B18="Automático",INDEX(ORÇAMENTO!$R$15:$R$235,MATCH($A18,ORÇAMENTO!$E$15:$E$235,0)),""))</f>
        <v/>
      </c>
      <c r="H18" s="118"/>
      <c r="I18" s="463"/>
      <c r="J18" s="282" t="str">
        <f ca="1">IF(AND(ISBLANK(E18),ISBLANK(F18)),"",VLOOKUP($F18,OFFSET(DADOS!$A$2,1,MATCH(QCI!$E18,DADOS!$2:$2,0)-1,100,50),2,FALSE))</f>
        <v/>
      </c>
      <c r="K18" s="462" t="str">
        <f t="array" aca="1" ref="K18" ca="1">IF(OR($B18="Manual",$B18="SemiAuto"),QCI.LoteManual,IF($B18="Automático",IF(TIPOORCAMENTO="Licitado",Import.CTEF,"LOTE 1"),""))</f>
        <v/>
      </c>
      <c r="L18" s="283">
        <f t="shared" ca="1" si="3"/>
        <v>0</v>
      </c>
      <c r="M18" s="284">
        <f t="shared" ca="1" si="4"/>
        <v>0</v>
      </c>
      <c r="N18" s="285">
        <f t="shared" ca="1" si="5"/>
        <v>0</v>
      </c>
      <c r="O18" s="286">
        <f t="array" aca="1" ref="O18" ca="1">IF($B18="Branco",0,IF(OR($B18="Manual",$B18="SemiAuto"),QCI.InvManual,INDEX(ORÇAMENTO!X$15:X$235,MATCH($A18,ORÇAMENTO!$E$15:$E$235,0))))</f>
        <v>0</v>
      </c>
      <c r="P18" s="575" t="str">
        <f t="shared" ca="1" si="6"/>
        <v/>
      </c>
      <c r="R18" s="464"/>
      <c r="S18" s="576" t="str">
        <f t="shared" si="7"/>
        <v/>
      </c>
      <c r="T18" s="465"/>
      <c r="U18" s="577"/>
      <c r="V18" s="466" t="s">
        <v>819</v>
      </c>
      <c r="W18" s="578"/>
      <c r="X18" s="579"/>
      <c r="Z18" s="696">
        <f t="shared" ca="1" si="8"/>
        <v>0</v>
      </c>
      <c r="AA18" s="696">
        <f t="array" aca="1" ref="AA18" ca="1">IF($B18="Branco",0,IF($B18="Manual",QCI.CPManual,IF($B18="SemiAuto",ROUND(QCI!$AA$3*QCI.InvManual,2),INDEX(ORÇAMENTO!$AA$15:$AA$235,MATCH($A18,ORÇAMENTO!$E$15:$E$235,0)))))</f>
        <v>0</v>
      </c>
      <c r="AB18" s="696">
        <f t="array" aca="1" ref="AB18" ca="1">IF($B18="Branco",0,IF($B18="Manual",QCI.OutrosManual,IF($B18="SemiAuto",0,INDEX(ORÇAMENTO!$AB$15:$AB$235,MATCH($A18,ORÇAMENTO!$E$15:$E$235,0)))))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s="696" customFormat="1" ht="30" customHeight="1" x14ac:dyDescent="0.2">
      <c r="A19" s="696">
        <f t="shared" ca="1" si="0"/>
        <v>6</v>
      </c>
      <c r="B19" s="696" t="str">
        <f ca="1">IF(NOT(ISBLANK(QCI.DescManual)),IF(QCI.Divisao="Calculado","Manual","SemiAuto"),IF(ISERROR(MATCH($A19,ORÇAMENTO!$E$15:$E$235,0)),"Branco","Automático"))</f>
        <v>Branco</v>
      </c>
      <c r="C19" s="696" t="str">
        <f t="shared" ca="1" si="1"/>
        <v/>
      </c>
      <c r="D19" s="281">
        <f t="shared" si="2"/>
        <v>6</v>
      </c>
      <c r="E19" s="118"/>
      <c r="F19" s="118"/>
      <c r="G19" s="163" t="str">
        <f ca="1">IF(OR($B19="Manual",$B19="SemiAuto"),QCI.DescManual,IF($B19="Automático",INDEX(ORÇAMENTO!$R$15:$R$235,MATCH($A19,ORÇAMENTO!$E$15:$E$235,0)),""))</f>
        <v/>
      </c>
      <c r="H19" s="118"/>
      <c r="I19" s="463"/>
      <c r="J19" s="282" t="str">
        <f ca="1">IF(AND(ISBLANK(E19),ISBLANK(F19)),"",VLOOKUP($F19,OFFSET(DADOS!$A$2,1,MATCH(QCI!$E19,DADOS!$2:$2,0)-1,100,50),2,FALSE))</f>
        <v/>
      </c>
      <c r="K19" s="462" t="str">
        <f t="array" aca="1" ref="K19" ca="1">IF(OR($B19="Manual",$B19="SemiAuto"),QCI.LoteManual,IF($B19="Automático",IF(TIPOORCAMENTO="Licitado",Import.CTEF,"LOTE 1"),""))</f>
        <v/>
      </c>
      <c r="L19" s="283">
        <f t="shared" ca="1" si="3"/>
        <v>0</v>
      </c>
      <c r="M19" s="284">
        <f t="shared" ca="1" si="4"/>
        <v>0</v>
      </c>
      <c r="N19" s="285">
        <f t="shared" ca="1" si="5"/>
        <v>0</v>
      </c>
      <c r="O19" s="286">
        <f t="array" aca="1" ref="O19" ca="1">IF($B19="Branco",0,IF(OR($B19="Manual",$B19="SemiAuto"),QCI.InvManual,INDEX(ORÇAMENTO!X$15:X$235,MATCH($A19,ORÇAMENTO!$E$15:$E$235,0))))</f>
        <v>0</v>
      </c>
      <c r="P19" s="575" t="str">
        <f t="shared" ca="1" si="6"/>
        <v/>
      </c>
      <c r="R19" s="464"/>
      <c r="S19" s="576" t="str">
        <f t="shared" si="7"/>
        <v/>
      </c>
      <c r="T19" s="465"/>
      <c r="U19" s="577"/>
      <c r="V19" s="466" t="s">
        <v>819</v>
      </c>
      <c r="W19" s="578"/>
      <c r="X19" s="579"/>
      <c r="Z19" s="696">
        <f t="shared" ca="1" si="8"/>
        <v>0</v>
      </c>
      <c r="AA19" s="696">
        <f t="array" aca="1" ref="AA19" ca="1">IF($B19="Branco",0,IF($B19="Manual",QCI.CPManual,IF($B19="SemiAuto",ROUND(QCI!$AA$3*QCI.InvManual,2),INDEX(ORÇAMENTO!$AA$15:$AA$235,MATCH($A19,ORÇAMENTO!$E$15:$E$235,0)))))</f>
        <v>0</v>
      </c>
      <c r="AB19" s="696">
        <f t="array" aca="1" ref="AB19" ca="1">IF($B19="Branco",0,IF($B19="Manual",QCI.OutrosManual,IF($B19="SemiAuto",0,INDEX(ORÇAMENTO!$AB$15:$AB$235,MATCH($A19,ORÇAMENTO!$E$15:$E$235,0)))))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s="696" customFormat="1" ht="30" customHeight="1" x14ac:dyDescent="0.2">
      <c r="A20" s="696">
        <f t="shared" ca="1" si="0"/>
        <v>7</v>
      </c>
      <c r="B20" s="696" t="str">
        <f ca="1">IF(NOT(ISBLANK(QCI.DescManual)),IF(QCI.Divisao="Calculado","Manual","SemiAuto"),IF(ISERROR(MATCH($A20,ORÇAMENTO!$E$15:$E$235,0)),"Branco","Automático"))</f>
        <v>Branco</v>
      </c>
      <c r="C20" s="696" t="str">
        <f t="shared" ca="1" si="1"/>
        <v/>
      </c>
      <c r="D20" s="281">
        <f t="shared" si="2"/>
        <v>7</v>
      </c>
      <c r="E20" s="118"/>
      <c r="F20" s="118"/>
      <c r="G20" s="163" t="str">
        <f ca="1">IF(OR($B20="Manual",$B20="SemiAuto"),QCI.DescManual,IF($B20="Automático",INDEX(ORÇAMENTO!$R$15:$R$235,MATCH($A20,ORÇAMENTO!$E$15:$E$235,0)),""))</f>
        <v/>
      </c>
      <c r="H20" s="118"/>
      <c r="I20" s="463"/>
      <c r="J20" s="282" t="str">
        <f ca="1">IF(AND(ISBLANK(E20),ISBLANK(F20)),"",VLOOKUP($F20,OFFSET(DADOS!$A$2,1,MATCH(QCI!$E20,DADOS!$2:$2,0)-1,100,50),2,FALSE))</f>
        <v/>
      </c>
      <c r="K20" s="462" t="str">
        <f t="array" aca="1" ref="K20" ca="1">IF(OR($B20="Manual",$B20="SemiAuto"),QCI.LoteManual,IF($B20="Automático",IF(TIPOORCAMENTO="Licitado",Import.CTEF,"LOTE 1"),""))</f>
        <v/>
      </c>
      <c r="L20" s="283">
        <f t="shared" ca="1" si="3"/>
        <v>0</v>
      </c>
      <c r="M20" s="284">
        <f t="shared" ca="1" si="4"/>
        <v>0</v>
      </c>
      <c r="N20" s="285">
        <f t="shared" ca="1" si="5"/>
        <v>0</v>
      </c>
      <c r="O20" s="286">
        <f t="array" aca="1" ref="O20" ca="1">IF($B20="Branco",0,IF(OR($B20="Manual",$B20="SemiAuto"),QCI.InvManual,INDEX(ORÇAMENTO!X$15:X$235,MATCH($A20,ORÇAMENTO!$E$15:$E$235,0))))</f>
        <v>0</v>
      </c>
      <c r="P20" s="575" t="str">
        <f t="shared" ca="1" si="6"/>
        <v/>
      </c>
      <c r="R20" s="464"/>
      <c r="S20" s="576" t="str">
        <f t="shared" si="7"/>
        <v/>
      </c>
      <c r="T20" s="465"/>
      <c r="U20" s="577"/>
      <c r="V20" s="466" t="s">
        <v>819</v>
      </c>
      <c r="W20" s="578"/>
      <c r="X20" s="579"/>
      <c r="Z20" s="696">
        <f t="shared" ca="1" si="8"/>
        <v>0</v>
      </c>
      <c r="AA20" s="696">
        <f t="array" aca="1" ref="AA20" ca="1">IF($B20="Branco",0,IF($B20="Manual",QCI.CPManual,IF($B20="SemiAuto",ROUND(QCI!$AA$3*QCI.InvManual,2),INDEX(ORÇAMENTO!$AA$15:$AA$235,MATCH($A20,ORÇAMENTO!$E$15:$E$235,0)))))</f>
        <v>0</v>
      </c>
      <c r="AB20" s="696">
        <f t="array" aca="1" ref="AB20" ca="1">IF($B20="Branco",0,IF($B20="Manual",QCI.OutrosManual,IF($B20="SemiAuto",0,INDEX(ORÇAMENTO!$AB$15:$AB$235,MATCH($A20,ORÇAMENTO!$E$15:$E$235,0)))))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s="696" customFormat="1" ht="30" customHeight="1" x14ac:dyDescent="0.2">
      <c r="A21" s="696">
        <f t="shared" ca="1" si="0"/>
        <v>8</v>
      </c>
      <c r="B21" s="696" t="str">
        <f ca="1">IF(NOT(ISBLANK(QCI.DescManual)),IF(QCI.Divisao="Calculado","Manual","SemiAuto"),IF(ISERROR(MATCH($A21,ORÇAMENTO!$E$15:$E$235,0)),"Branco","Automático"))</f>
        <v>Branco</v>
      </c>
      <c r="C21" s="696" t="str">
        <f t="shared" ca="1" si="1"/>
        <v/>
      </c>
      <c r="D21" s="281">
        <f t="shared" si="2"/>
        <v>8</v>
      </c>
      <c r="E21" s="118"/>
      <c r="F21" s="118"/>
      <c r="G21" s="163" t="str">
        <f ca="1">IF(OR($B21="Manual",$B21="SemiAuto"),QCI.DescManual,IF($B21="Automático",INDEX(ORÇAMENTO!$R$15:$R$235,MATCH($A21,ORÇAMENTO!$E$15:$E$235,0)),""))</f>
        <v/>
      </c>
      <c r="H21" s="118"/>
      <c r="I21" s="463"/>
      <c r="J21" s="282" t="str">
        <f ca="1">IF(AND(ISBLANK(E21),ISBLANK(F21)),"",VLOOKUP($F21,OFFSET(DADOS!$A$2,1,MATCH(QCI!$E21,DADOS!$2:$2,0)-1,100,50),2,FALSE))</f>
        <v/>
      </c>
      <c r="K21" s="462" t="str">
        <f t="array" aca="1" ref="K21" ca="1">IF(OR($B21="Manual",$B21="SemiAuto"),QCI.LoteManual,IF($B21="Automático",IF(TIPOORCAMENTO="Licitado",Import.CTEF,"LOTE 1"),""))</f>
        <v/>
      </c>
      <c r="L21" s="283">
        <f t="shared" ca="1" si="3"/>
        <v>0</v>
      </c>
      <c r="M21" s="284">
        <f t="shared" ca="1" si="4"/>
        <v>0</v>
      </c>
      <c r="N21" s="285">
        <f t="shared" ca="1" si="5"/>
        <v>0</v>
      </c>
      <c r="O21" s="286">
        <f t="array" aca="1" ref="O21" ca="1">IF($B21="Branco",0,IF(OR($B21="Manual",$B21="SemiAuto"),QCI.InvManual,INDEX(ORÇAMENTO!X$15:X$235,MATCH($A21,ORÇAMENTO!$E$15:$E$235,0))))</f>
        <v>0</v>
      </c>
      <c r="P21" s="575" t="str">
        <f t="shared" ca="1" si="6"/>
        <v/>
      </c>
      <c r="R21" s="464"/>
      <c r="S21" s="576" t="str">
        <f t="shared" si="7"/>
        <v/>
      </c>
      <c r="T21" s="465"/>
      <c r="U21" s="577"/>
      <c r="V21" s="466" t="s">
        <v>819</v>
      </c>
      <c r="W21" s="578"/>
      <c r="X21" s="579"/>
      <c r="Z21" s="696">
        <f t="shared" ca="1" si="8"/>
        <v>0</v>
      </c>
      <c r="AA21" s="696">
        <f t="array" aca="1" ref="AA21" ca="1">IF($B21="Branco",0,IF($B21="Manual",QCI.CPManual,IF($B21="SemiAuto",ROUND(QCI!$AA$3*QCI.InvManual,2),INDEX(ORÇAMENTO!$AA$15:$AA$235,MATCH($A21,ORÇAMENTO!$E$15:$E$235,0)))))</f>
        <v>0</v>
      </c>
      <c r="AB21" s="696">
        <f t="array" aca="1" ref="AB21" ca="1">IF($B21="Branco",0,IF($B21="Manual",QCI.OutrosManual,IF($B21="SemiAuto",0,INDEX(ORÇAMENTO!$AB$15:$AB$235,MATCH($A21,ORÇAMENTO!$E$15:$E$235,0)))))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s="696" customFormat="1" ht="30" customHeight="1" x14ac:dyDescent="0.2">
      <c r="A22" s="696">
        <f t="shared" ca="1" si="0"/>
        <v>9</v>
      </c>
      <c r="B22" s="696" t="str">
        <f ca="1">IF(NOT(ISBLANK(QCI.DescManual)),IF(QCI.Divisao="Calculado","Manual","SemiAuto"),IF(ISERROR(MATCH($A22,ORÇAMENTO!$E$15:$E$235,0)),"Branco","Automático"))</f>
        <v>Branco</v>
      </c>
      <c r="C22" s="696" t="str">
        <f t="shared" ca="1" si="1"/>
        <v/>
      </c>
      <c r="D22" s="281">
        <f t="shared" si="2"/>
        <v>9</v>
      </c>
      <c r="E22" s="118"/>
      <c r="F22" s="118"/>
      <c r="G22" s="163" t="str">
        <f ca="1">IF(OR($B22="Manual",$B22="SemiAuto"),QCI.DescManual,IF($B22="Automático",INDEX(ORÇAMENTO!$R$15:$R$235,MATCH($A22,ORÇAMENTO!$E$15:$E$235,0)),""))</f>
        <v/>
      </c>
      <c r="H22" s="118"/>
      <c r="I22" s="463"/>
      <c r="J22" s="282" t="str">
        <f ca="1">IF(AND(ISBLANK(E22),ISBLANK(F22)),"",VLOOKUP($F22,OFFSET(DADOS!$A$2,1,MATCH(QCI!$E22,DADOS!$2:$2,0)-1,100,50),2,FALSE))</f>
        <v/>
      </c>
      <c r="K22" s="462" t="str">
        <f t="array" aca="1" ref="K22" ca="1">IF(OR($B22="Manual",$B22="SemiAuto"),QCI.LoteManual,IF($B22="Automático",IF(TIPOORCAMENTO="Licitado",Import.CTEF,"LOTE 1"),""))</f>
        <v/>
      </c>
      <c r="L22" s="283">
        <f t="shared" ca="1" si="3"/>
        <v>0</v>
      </c>
      <c r="M22" s="284">
        <f t="shared" ca="1" si="4"/>
        <v>0</v>
      </c>
      <c r="N22" s="285">
        <f t="shared" ca="1" si="5"/>
        <v>0</v>
      </c>
      <c r="O22" s="286">
        <f t="array" aca="1" ref="O22" ca="1">IF($B22="Branco",0,IF(OR($B22="Manual",$B22="SemiAuto"),QCI.InvManual,INDEX(ORÇAMENTO!X$15:X$235,MATCH($A22,ORÇAMENTO!$E$15:$E$235,0))))</f>
        <v>0</v>
      </c>
      <c r="P22" s="575" t="str">
        <f t="shared" ca="1" si="6"/>
        <v/>
      </c>
      <c r="R22" s="464"/>
      <c r="S22" s="576" t="str">
        <f t="shared" si="7"/>
        <v/>
      </c>
      <c r="T22" s="465"/>
      <c r="U22" s="577"/>
      <c r="V22" s="466" t="s">
        <v>819</v>
      </c>
      <c r="W22" s="578"/>
      <c r="X22" s="579"/>
      <c r="Z22" s="696">
        <f t="shared" ca="1" si="8"/>
        <v>0</v>
      </c>
      <c r="AA22" s="696">
        <f t="array" aca="1" ref="AA22" ca="1">IF($B22="Branco",0,IF($B22="Manual",QCI.CPManual,IF($B22="SemiAuto",ROUND(QCI!$AA$3*QCI.InvManual,2),INDEX(ORÇAMENTO!$AA$15:$AA$235,MATCH($A22,ORÇAMENTO!$E$15:$E$235,0)))))</f>
        <v>0</v>
      </c>
      <c r="AB22" s="696">
        <f t="array" aca="1" ref="AB22" ca="1">IF($B22="Branco",0,IF($B22="Manual",QCI.OutrosManual,IF($B22="SemiAuto",0,INDEX(ORÇAMENTO!$AB$15:$AB$235,MATCH($A22,ORÇAMENTO!$E$15:$E$235,0)))))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s="696" customFormat="1" ht="30" customHeight="1" x14ac:dyDescent="0.2">
      <c r="A23" s="696">
        <f t="shared" ca="1" si="0"/>
        <v>10</v>
      </c>
      <c r="B23" s="696" t="str">
        <f ca="1">IF(NOT(ISBLANK(QCI.DescManual)),IF(QCI.Divisao="Calculado","Manual","SemiAuto"),IF(ISERROR(MATCH($A23,ORÇAMENTO!$E$15:$E$235,0)),"Branco","Automático"))</f>
        <v>Branco</v>
      </c>
      <c r="C23" s="696" t="str">
        <f ca="1">IF(O23&gt;0,"F","")</f>
        <v/>
      </c>
      <c r="D23" s="281">
        <f>ROW()-ROW($D$13)</f>
        <v>10</v>
      </c>
      <c r="E23" s="118"/>
      <c r="F23" s="118"/>
      <c r="G23" s="163" t="str">
        <f ca="1">IF(OR($B23="Manual",$B23="SemiAuto"),QCI.DescManual,IF($B23="Automático",INDEX(ORÇAMENTO!$R$15:$R$235,MATCH($A23,ORÇAMENTO!$E$15:$E$235,0)),""))</f>
        <v/>
      </c>
      <c r="H23" s="118"/>
      <c r="I23" s="463"/>
      <c r="J23" s="282" t="str">
        <f ca="1">IF(AND(ISBLANK(E23),ISBLANK(F23)),"",VLOOKUP($F23,OFFSET(DADOS!$A$2,1,MATCH(QCI!$E23,DADOS!$2:$2,0)-1,100,50),2,FALSE))</f>
        <v/>
      </c>
      <c r="K23" s="462" t="str">
        <f t="array" aca="1" ref="K23" ca="1">IF(OR($B23="Manual",$B23="SemiAuto"),QCI.LoteManual,IF($B23="Automático",IF(TIPOORCAMENTO="Licitado",Import.CTEF,"LOTE 1"),""))</f>
        <v/>
      </c>
      <c r="L23" s="283">
        <f ca="1">ROUND($O23,2)-ROUND($M23,2)-ROUND($N23,2)</f>
        <v>0</v>
      </c>
      <c r="M23" s="284">
        <f ca="1">ROUND($AA23,2)-ROUND($AE23,2)</f>
        <v>0</v>
      </c>
      <c r="N23" s="285">
        <f ca="1">ROUND($AB23,2)</f>
        <v>0</v>
      </c>
      <c r="O23" s="286">
        <f t="array" aca="1" ref="O23" ca="1">IF($B23="Branco",0,IF(OR($B23="Manual",$B23="SemiAuto"),QCI.InvManual,INDEX(ORÇAMENTO!X$15:X$235,MATCH($A23,ORÇAMENTO!$E$15:$E$235,0))))</f>
        <v>0</v>
      </c>
      <c r="P23" s="575" t="str">
        <f ca="1">IF(O23=0,"",
  IF(E23="","ITEM",
  IF(F23="","SUBITEM",
  IF(H23="","SITUAÇÃO",
  IF(I23=0,"QUANT.","")))))</f>
        <v/>
      </c>
      <c r="R23" s="464"/>
      <c r="S23" s="576" t="str">
        <f>IF(R23="","",
  IF(T23=0,"► LOTE",
  IF(U23=0,"► INVEST",
  IF(V23=0,"► DIV",
  IF(AND(V23="Calculado",W23=""),"► CP",
  IF(AND(V23="Calculado",X23=""),"► OU",""))))))</f>
        <v/>
      </c>
      <c r="T23" s="465"/>
      <c r="U23" s="577"/>
      <c r="V23" s="466" t="s">
        <v>819</v>
      </c>
      <c r="W23" s="578"/>
      <c r="X23" s="579"/>
      <c r="Z23" s="696">
        <f ca="1">$O23-$AA23-$AB23</f>
        <v>0</v>
      </c>
      <c r="AA23" s="696">
        <f t="array" aca="1" ref="AA23" ca="1">IF($B23="Branco",0,IF($B23="Manual",QCI.CPManual,IF($B23="SemiAuto",ROUND(QCI!$AA$3*QCI.InvManual,2),INDEX(ORÇAMENTO!$AA$15:$AA$235,MATCH($A23,ORÇAMENTO!$E$15:$E$235,0)))))</f>
        <v>0</v>
      </c>
      <c r="AB23" s="696">
        <f t="array" aca="1" ref="AB23" ca="1">IF($B23="Branco",0,IF($B23="Manual",QCI.OutrosManual,IF($B23="SemiAuto",0,INDEX(ORÇAMENTO!$AB$15:$AB$235,MATCH($A23,ORÇAMENTO!$E$15:$E$235,0)))))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822" t="s">
        <v>830</v>
      </c>
      <c r="L24" s="296">
        <f ca="1">SUM(L13:OFFSET(L24,-1,0))</f>
        <v>2675612.42</v>
      </c>
      <c r="M24" s="297">
        <f ca="1">SUM(M13:OFFSET(M24,-1,0))</f>
        <v>0</v>
      </c>
      <c r="N24" s="298">
        <f ca="1">SUM(N13:OFFSET(N24,-1,0))</f>
        <v>0</v>
      </c>
      <c r="O24" s="299">
        <f ca="1">SUM(O13:OFFSET(O24,-1,0))</f>
        <v>2675612.42</v>
      </c>
      <c r="R24" s="300"/>
      <c r="T24" s="301"/>
      <c r="U24" s="302"/>
      <c r="V24" s="303"/>
      <c r="W24" s="304"/>
      <c r="X24" s="305"/>
      <c r="Z24" s="88">
        <f ca="1">SUMPRODUCT(ROUND(Z13:OFFSET(Z24,-1,0),2))</f>
        <v>2675612.42</v>
      </c>
      <c r="AA24" s="88">
        <f ca="1">SUMPRODUCT(ROUND(AA13:OFFSET(AA24,-1,0),2))</f>
        <v>0</v>
      </c>
      <c r="AB24" s="88">
        <f ca="1">SUM(AB13:OFFSET(AB24,-1,0))</f>
        <v>0</v>
      </c>
    </row>
    <row r="25" spans="1:31" x14ac:dyDescent="0.2">
      <c r="B25" t="s">
        <v>831</v>
      </c>
      <c r="C25" t="s">
        <v>536</v>
      </c>
      <c r="D25" s="306"/>
      <c r="E25" s="307"/>
      <c r="F25" s="307"/>
      <c r="G25" s="307"/>
      <c r="H25" s="307"/>
      <c r="I25" s="307"/>
      <c r="J25" s="307"/>
      <c r="K25" s="822"/>
      <c r="L25" s="308">
        <f ca="1">IF(ISERROR(L24/$O24),0,ROUND(L24/$O24,4))</f>
        <v>1</v>
      </c>
      <c r="M25" s="309">
        <f ca="1">IF(ISERROR(M24/$O24),0,ROUND(M24/$O24,4))</f>
        <v>0</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56"/>
      <c r="E28" s="756"/>
      <c r="F28" s="756"/>
      <c r="G28" s="756"/>
      <c r="H28" s="756"/>
      <c r="I28" s="756"/>
      <c r="J28" s="756"/>
      <c r="K28" s="756"/>
      <c r="L28" s="756"/>
      <c r="M28" s="756"/>
      <c r="N28" s="756"/>
      <c r="O28" s="756"/>
    </row>
    <row r="29" spans="1:31" ht="12.75" customHeight="1" x14ac:dyDescent="0.2">
      <c r="D29" s="756"/>
      <c r="E29" s="756"/>
      <c r="F29" s="756"/>
      <c r="G29" s="756"/>
      <c r="H29" s="756"/>
      <c r="I29" s="756"/>
      <c r="J29" s="756"/>
      <c r="K29" s="756"/>
      <c r="L29" s="756"/>
      <c r="M29" s="756"/>
      <c r="N29" s="756"/>
      <c r="O29" s="756"/>
    </row>
    <row r="30" spans="1:31" ht="12.75" customHeight="1" x14ac:dyDescent="0.2">
      <c r="D30" s="756"/>
      <c r="E30" s="756"/>
      <c r="F30" s="756"/>
      <c r="G30" s="756"/>
      <c r="H30" s="756"/>
      <c r="I30" s="756"/>
      <c r="J30" s="756"/>
      <c r="K30" s="756"/>
      <c r="L30" s="756"/>
      <c r="M30" s="756"/>
      <c r="N30" s="756"/>
      <c r="O30" s="756"/>
    </row>
    <row r="33" spans="4:12" ht="15" x14ac:dyDescent="0.2">
      <c r="D33" s="758" t="str">
        <f>Import.Município</f>
        <v>PIRANGUÇU-MG</v>
      </c>
      <c r="E33" s="758"/>
      <c r="F33" s="758"/>
      <c r="I33" s="139"/>
      <c r="J33" s="139"/>
      <c r="K33" s="180"/>
      <c r="L33" s="180"/>
    </row>
    <row r="34" spans="4:12" x14ac:dyDescent="0.2">
      <c r="D34" s="9" t="s">
        <v>693</v>
      </c>
      <c r="I34" s="181" t="s">
        <v>832</v>
      </c>
      <c r="J34" s="181"/>
    </row>
    <row r="35" spans="4:12" x14ac:dyDescent="0.2">
      <c r="I35" s="77" t="str">
        <f>"Nome:" &amp;  " " &amp; DADOS!C28</f>
        <v>Nome: ANILSO LÉLIO DA SILVA</v>
      </c>
    </row>
    <row r="36" spans="4:12" x14ac:dyDescent="0.2">
      <c r="D36" s="752">
        <f>DADOS!$C$25</f>
        <v>45939</v>
      </c>
      <c r="E36" s="752"/>
      <c r="F36" s="752"/>
      <c r="I36" s="77" t="str">
        <f>"Cargo:"  &amp; " " &amp; DADOS!C29</f>
        <v>Cargo: PREFEITO MUNICIPAL</v>
      </c>
    </row>
    <row r="37" spans="4:12" x14ac:dyDescent="0.2">
      <c r="D37" s="140" t="s">
        <v>694</v>
      </c>
      <c r="E37" s="1"/>
      <c r="F37" s="1"/>
      <c r="K37" s="77"/>
      <c r="L37" s="78"/>
    </row>
  </sheetData>
  <sheetProtection algorithmName="SHA-512" hashValue="xb1+bAbYTEHkh8QHqCqg8hHeWPMbh0L9RMA9yCVXQ/QNscQfOPKNJRX0p0qB2tkUQtHYRwKeFtSGp0yXH84+pQ==" saltValue="+HmMrNeLMGTFlm7b72DnGg==" spinCount="100000" sheet="1" objects="1" scenarios="1" autoFilter="0"/>
  <autoFilter ref="C13:C25" xr:uid="{00000000-0009-0000-0000-000009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98" priority="961" stopIfTrue="1">
      <formula>OR($B12="Automático",$B12="Branco")</formula>
    </cfRule>
  </conditionalFormatting>
  <conditionalFormatting sqref="L12">
    <cfRule type="expression" dxfId="197" priority="962"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96" priority="963" stopIfTrue="1">
      <formula>OR($B12="Automático",$B12="Branco",$V12&lt;&gt;"Calculado")</formula>
    </cfRule>
  </conditionalFormatting>
  <conditionalFormatting sqref="M25">
    <cfRule type="expression" dxfId="195" priority="965" stopIfTrue="1">
      <formula>AND($G$9&lt;&gt;"",OR($M$25&lt;Import.CPMinPerc,$M$25&gt;Import.CPMaxPerc))</formula>
    </cfRule>
  </conditionalFormatting>
  <conditionalFormatting sqref="M24">
    <cfRule type="expression" dxfId="194" priority="966" stopIfTrue="1">
      <formula>AND($G$9&lt;&gt;"",$M$24&lt;Import.CPMinAbsoluta)</formula>
    </cfRule>
  </conditionalFormatting>
  <conditionalFormatting sqref="L10:M10">
    <cfRule type="cellIs" dxfId="193" priority="967" stopIfTrue="1" operator="lessThan">
      <formula>0</formula>
    </cfRule>
  </conditionalFormatting>
  <conditionalFormatting sqref="G12">
    <cfRule type="cellIs" dxfId="192" priority="968" stopIfTrue="1" operator="equal">
      <formula>"(digite a descrição aqui)"</formula>
    </cfRule>
  </conditionalFormatting>
  <conditionalFormatting sqref="T14:V22">
    <cfRule type="expression" dxfId="191" priority="5" stopIfTrue="1">
      <formula>OR($B14="Automático",$B14="Branco")</formula>
    </cfRule>
  </conditionalFormatting>
  <conditionalFormatting sqref="L14:L22">
    <cfRule type="expression" dxfId="190"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89" priority="7" stopIfTrue="1">
      <formula>OR($B14="Automático",$B14="Branco",$V14&lt;&gt;"Calculado")</formula>
    </cfRule>
  </conditionalFormatting>
  <conditionalFormatting sqref="G14:G22">
    <cfRule type="cellIs" dxfId="188" priority="8" stopIfTrue="1" operator="equal">
      <formula>"(digite a descrição aqui)"</formula>
    </cfRule>
  </conditionalFormatting>
  <conditionalFormatting sqref="T23:V23">
    <cfRule type="expression" dxfId="187" priority="1" stopIfTrue="1">
      <formula>OR($B23="Automático",$B23="Branco")</formula>
    </cfRule>
  </conditionalFormatting>
  <conditionalFormatting sqref="L23">
    <cfRule type="expression" dxfId="186"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85" priority="3" stopIfTrue="1">
      <formula>OR($B23="Automático",$B23="Branco",$V23&lt;&gt;"Calculado")</formula>
    </cfRule>
  </conditionalFormatting>
  <conditionalFormatting sqref="G23">
    <cfRule type="cellIs" dxfId="184"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900-000000000000}">
      <formula1>0</formula1>
      <formula2>0</formula2>
    </dataValidation>
    <dataValidation type="decimal" operator="greaterThan" allowBlank="1" showErrorMessage="1" errorTitle="Erro" error="Digite valores maiores do que 0." sqref="I12 I14:I23" xr:uid="{00000000-0002-0000-0900-000001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900-000002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900-000003000000}">
      <formula1>0</formula1>
      <formula2>QCI.MaxOUManual</formula2>
    </dataValidation>
    <dataValidation allowBlank="1" showInputMessage="1" showErrorMessage="1" prompt="Preencha somente se a meta não fizer parte do Orçamento desta Plan. Mult." sqref="R12 R14:R23" xr:uid="{00000000-0002-0000-0900-000004000000}"/>
    <dataValidation type="list" allowBlank="1" showInputMessage="1" showErrorMessage="1" errorTitle="Erro:" error="Selecione uma opção da lista." prompt="Selecione uma opção da lista." sqref="H12 H14:H23" xr:uid="{00000000-0002-0000-0900-000005000000}">
      <formula1>QCI.Lista.Situação</formula1>
    </dataValidation>
    <dataValidation type="list" allowBlank="1" showInputMessage="1" showErrorMessage="1" errorTitle="Erro:" error="Selecione uma opção da lista." prompt="Selecione uma opção da lista." sqref="F12 F14:F23" xr:uid="{00000000-0002-0000-0900-000006000000}">
      <formula1>QCI.SubItemInvestimento</formula1>
    </dataValidation>
    <dataValidation type="list" allowBlank="1" showInputMessage="1" showErrorMessage="1" errorTitle="Erro:" error="Selecione uma opção da lista." prompt="Selecione uma opção da lista." sqref="E12 E14:E23" xr:uid="{00000000-0002-0000-0900-000007000000}">
      <formula1>QCI.ItemInvestimento</formula1>
    </dataValidation>
    <dataValidation type="list" allowBlank="1" showInputMessage="1" showErrorMessage="1" errorTitle="Erro:" error="Selecione uma opção da lista." prompt="Selecione uma opção da lista." sqref="V12 V14:V23" xr:uid="{00000000-0002-0000-0900-000008000000}">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11"/>
  <dimension ref="A1:AG75"/>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826" t="e">
        <f ca="1">IF(AUTOEVENTO="Manual",OFFSET(EVENTOS!$D$15,$B1-$B$15,0),IF(B1&lt;=MAX(CÁLCULO!$M$15:$M$235),VLOOKUP($B1,CÁLCULO!$M$15:$N$235,2,FALSE),0))</f>
        <v>#REF!</v>
      </c>
      <c r="D1" s="826"/>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723" t="s">
        <v>644</v>
      </c>
      <c r="AE3" s="723"/>
      <c r="AF3" s="723"/>
    </row>
    <row r="4" spans="1:33" ht="15.75" x14ac:dyDescent="0.2">
      <c r="B4" s="82"/>
      <c r="C4" s="82"/>
      <c r="H4" s="83" t="str">
        <f>import.recurso</f>
        <v>OGU</v>
      </c>
      <c r="AD4" s="724" t="s">
        <v>647</v>
      </c>
      <c r="AE4" s="724"/>
      <c r="AF4" s="724"/>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f t="array" ref="V6">IF(TIPOORCAMENTO="Licitado","NOME DA EMPRESA","DESCRIÇÃO DO LOTE")</f>
        <v>DESCRIÇÃO DO LOTE</v>
      </c>
      <c r="W6" s="186"/>
      <c r="X6" s="186"/>
      <c r="Y6" s="186"/>
      <c r="AD6" s="4"/>
      <c r="AE6" s="835" t="str">
        <f t="array" ref="AE6">IF(TIPOORCAMENTO="Licitado","Nº CTEF","")</f>
        <v/>
      </c>
      <c r="AF6" s="835"/>
    </row>
    <row r="7" spans="1:33" x14ac:dyDescent="0.2">
      <c r="B7" s="805" t="str">
        <f>Import.CR</f>
        <v>1103833-63</v>
      </c>
      <c r="C7" s="805"/>
      <c r="D7" s="214" t="str">
        <f>Import.TransfereGOV</f>
        <v>39994/2025</v>
      </c>
      <c r="E7" s="42"/>
      <c r="H7" s="815" t="str">
        <f>Import.Proponente</f>
        <v>PREFEITURA MUNICIPAL DE PIRANGUÇU-MG</v>
      </c>
      <c r="I7" s="815"/>
      <c r="J7" s="815"/>
      <c r="K7" s="815"/>
      <c r="L7" s="815"/>
      <c r="M7" s="815"/>
      <c r="N7" s="815"/>
      <c r="O7" s="805" t="str">
        <f>Import.Apelido</f>
        <v>CONSTRUÇÃO DE VINTE UNIDADES HABITACIONAIS</v>
      </c>
      <c r="P7" s="805"/>
      <c r="Q7" s="805"/>
      <c r="R7" s="805"/>
      <c r="S7" s="805"/>
      <c r="T7" s="805"/>
      <c r="U7" s="805"/>
      <c r="V7" s="805" t="str">
        <f t="array" ref="V7">IF(TIPOORCAMENTO="Licitado",Import.empresa,Import.DescLote)</f>
        <v>CONSTRUÇÃO DE VINTE UNIDADES HABITACIONAIS</v>
      </c>
      <c r="W7" s="805"/>
      <c r="X7" s="805"/>
      <c r="Y7" s="805"/>
      <c r="Z7" s="805"/>
      <c r="AA7" s="805"/>
      <c r="AB7" s="805"/>
      <c r="AC7" s="805"/>
      <c r="AD7" s="805"/>
      <c r="AE7" s="836" t="str">
        <f t="array" ref="AE7">IF(TIPOORCAMENTO="Licitado",Import.CTEF,"")</f>
        <v/>
      </c>
      <c r="AF7" s="836"/>
      <c r="AG7" s="265"/>
    </row>
    <row r="9" spans="1:33" ht="15.75" x14ac:dyDescent="0.25">
      <c r="A9" s="165">
        <v>0</v>
      </c>
      <c r="B9" s="266"/>
      <c r="C9" s="266"/>
      <c r="I9" s="267" t="s">
        <v>834</v>
      </c>
      <c r="J9" s="838">
        <v>1</v>
      </c>
      <c r="K9" s="838"/>
      <c r="M9" s="267" t="s">
        <v>799</v>
      </c>
      <c r="N9" s="839" t="str">
        <f ca="1">TEXT(IF(PLE.Medicao=1,Import.DataInicioObra,OFFSET($H$61,0,1+(PLE.Medicao-$I$62)*2-2)+1),"dd/mm/aaaa")&amp;" a "&amp;TEXT(OFFSET($H$61,0,1+(PLE.Medicao-$I$62)*2),"dd/mm/aaaa")</f>
        <v>00/01/1900 a 00/01/1900</v>
      </c>
      <c r="O9" s="839"/>
      <c r="P9" s="839"/>
      <c r="Q9" s="839"/>
      <c r="R9" s="839"/>
      <c r="S9" s="839"/>
      <c r="T9" s="839"/>
      <c r="U9" s="268"/>
      <c r="X9" s="267" t="s">
        <v>835</v>
      </c>
      <c r="Y9" s="837">
        <f ca="1">OFFSET($I$62,1+8*(ROUNDUP(($J$9-0)/((COLUMN($AG$14)-COLUMN($G$14)-1)/25*12),0)-1),ROUNDDOWN((($J$9-0)-OFFSET($I$62,8*(ROUNDUP(($J$9-0)/((COLUMN($AG$14)-COLUMN($G$14)-1)/25*12),0)-1),0))*(2+1/12),0))</f>
        <v>0</v>
      </c>
      <c r="Z9" s="837"/>
      <c r="AD9" s="267" t="s">
        <v>836</v>
      </c>
      <c r="AE9" s="837">
        <f ca="1">OFFSET($I$62,3+8*(ROUNDUP(($J$9-0)/((COLUMN($AG$14)-COLUMN($G$14)-1)/25*12),0)-1),ROUNDDOWN((($J$9-0)-OFFSET($I$62,8*(ROUNDUP(($J$9-0)/((COLUMN($AG$14)-COLUMN($G$14)-1)/25*12),0)-1),0))*(2+1/12),0))</f>
        <v>0</v>
      </c>
      <c r="AF9" s="837"/>
    </row>
    <row r="11" spans="1:33" ht="65.25" customHeight="1" x14ac:dyDescent="0.2">
      <c r="A11" s="250" t="s">
        <v>837</v>
      </c>
      <c r="C11" s="840" t="str">
        <f t="array" ref="C11">IF(TIPOORCAMENTO="proposto","ALTERE O TIPO DE ORÇAMENTO NA ABA 'MENU' PARA LICITADO.",
 IF(ACOMPANHAMENTO="BM","FOI SELECIONADO NA ABA 'MENU' O ACOMPANHAMENTO POR BM.",
 IF(AND(PLE.Medicao=1,DADOS!$C$47=0),"PREENCHER A DATA DE INÍCIO DA OBRA, NA ABA DADOS",
 IF($Y$9=0,"PREENCHER A MEDIÇÃO "&amp;PLE.Medicao,
 IF($H$61&lt;&gt;"",UPPER($H$61),
 IF($S$70&lt;&gt;"",UPPER($S$70),""))))))</f>
        <v>ALTERE O TIPO DE ORÇAMENTO NA ABA 'MENU' PARA LICITADO.</v>
      </c>
      <c r="D11" s="840"/>
      <c r="F11" s="252" t="str">
        <f t="array" aca="1" ref="F11" ca="1">IF(F$12&gt;CÁLCULO.NúmeroDeFrentes,"",OFFSET(CÁLCULO!$P$12,0,F$12))</f>
        <v>ETAPA 01 - EXECUÇÃO DAS UNIDADES DE 01 A 05</v>
      </c>
      <c r="H11" s="252" t="str">
        <f t="array" aca="1" ref="H11" ca="1">IF(H$12&gt;CÁLCULO.NúmeroDeFrentes,"",OFFSET(CÁLCULO!$P$12,0,H$12))</f>
        <v>ETAPA 01 - EXECUÇÃO DAS UNIDADES DE 01 A 05</v>
      </c>
      <c r="I11" s="252" t="str">
        <f t="array" aca="1" ref="I11" ca="1">IF(I$12&gt;CÁLCULO.NúmeroDeFrentes,"",OFFSET(CÁLCULO!$P$12,0,I$12))</f>
        <v>ETAPA 02 - EXECUÇÃO DAS UNIDADES  DE 06 A 10</v>
      </c>
      <c r="J11" s="252" t="str">
        <f t="array" aca="1" ref="J11" ca="1">IF(J$12&gt;CÁLCULO.NúmeroDeFrentes,"",OFFSET(CÁLCULO!$P$12,0,J$12))</f>
        <v>ETAPA 03 - EXECUÇÃO UNIDADES 11 A 15</v>
      </c>
      <c r="K11" s="252" t="str">
        <f t="array" aca="1" ref="K11" ca="1">IF(K$12&gt;CÁLCULO.NúmeroDeFrentes,"",OFFSET(CÁLCULO!$P$12,0,K$12))</f>
        <v>ETAPA 04 - EXECUÇÃO DAS UNIDADES  DE 16 A 20</v>
      </c>
      <c r="L11" s="252" t="str">
        <f t="array" aca="1" ref="L11" ca="1">IF(L$12&gt;CÁLCULO.NúmeroDeFrentes,"",OFFSET(CÁLCULO!$P$12,0,L$12))</f>
        <v>MÊS 01</v>
      </c>
      <c r="M11" s="252" t="str">
        <f t="array" aca="1" ref="M11" ca="1">IF(M$12&gt;CÁLCULO.NúmeroDeFrentes,"",OFFSET(CÁLCULO!$P$12,0,M$12))</f>
        <v>MÊS 02</v>
      </c>
      <c r="N11" s="252" t="str">
        <f t="array" aca="1" ref="N11" ca="1">IF(N$12&gt;CÁLCULO.NúmeroDeFrentes,"",OFFSET(CÁLCULO!$P$12,0,N$12))</f>
        <v>MÊS 03</v>
      </c>
      <c r="O11" s="252" t="str">
        <f t="array" aca="1" ref="O11" ca="1">IF(O$12&gt;CÁLCULO.NúmeroDeFrentes,"",OFFSET(CÁLCULO!$P$12,0,O$12))</f>
        <v>MÊS 04</v>
      </c>
      <c r="P11" s="252" t="str">
        <f t="array" aca="1" ref="P11" ca="1">IF(P$12&gt;CÁLCULO.NúmeroDeFrentes,"",OFFSET(CÁLCULO!$P$12,0,P$12))</f>
        <v>MÊS 05</v>
      </c>
      <c r="Q11" s="252" t="str">
        <f t="array" aca="1" ref="Q11" ca="1">IF(Q$12&gt;CÁLCULO.NúmeroDeFrentes,"",OFFSET(CÁLCULO!$P$12,0,Q$12))</f>
        <v>MÊS 06</v>
      </c>
      <c r="R11" s="252" t="str">
        <f t="array" aca="1" ref="R11" ca="1">IF(R$12&gt;CÁLCULO.NúmeroDeFrentes,"",OFFSET(CÁLCULO!$P$12,0,R$12))</f>
        <v>MÊS 07</v>
      </c>
      <c r="S11" s="252" t="str">
        <f t="array" aca="1" ref="S11" ca="1">IF(S$12&gt;CÁLCULO.NúmeroDeFrentes,"",OFFSET(CÁLCULO!$P$12,0,S$12))</f>
        <v>MÊS 08</v>
      </c>
      <c r="T11" s="252" t="str">
        <f t="array" aca="1" ref="T11" ca="1">IF(T$12&gt;CÁLCULO.NúmeroDeFrentes,"",OFFSET(CÁLCULO!$P$12,0,T$12))</f>
        <v>MÊS 09</v>
      </c>
      <c r="U11" s="252">
        <f t="array" aca="1" ref="U11" ca="1">IF(U$12&gt;CÁLCULO.NúmeroDeFrentes,"",OFFSET(CÁLCULO!$P$12,0,U$12))</f>
        <v>0</v>
      </c>
      <c r="V11" s="252">
        <f t="array" aca="1" ref="V11" ca="1">IF(V$12&gt;CÁLCULO.NúmeroDeFrentes,"",OFFSET(CÁLCULO!$P$12,0,V$12))</f>
        <v>0</v>
      </c>
      <c r="W11" s="252">
        <f t="array" aca="1" ref="W11" ca="1">IF(W$12&gt;CÁLCULO.NúmeroDeFrentes,"",OFFSET(CÁLCULO!$P$12,0,W$12))</f>
        <v>0</v>
      </c>
      <c r="X11" s="252">
        <f t="array" aca="1" ref="X11" ca="1">IF(X$12&gt;CÁLCULO.NúmeroDeFrentes,"",OFFSET(CÁLCULO!$P$12,0,X$12))</f>
        <v>0</v>
      </c>
      <c r="Y11" s="252">
        <f t="array" aca="1" ref="Y11" ca="1">IF(Y$12&gt;CÁLCULO.NúmeroDeFrentes,"",OFFSET(CÁLCULO!$P$12,0,Y$12))</f>
        <v>0</v>
      </c>
      <c r="Z11" s="252" t="str">
        <f t="array" aca="1" ref="Z11" ca="1">IF(Z$12&gt;CÁLCULO.NúmeroDeFrentes,"",OFFSET(CÁLCULO!$P$12,0,Z$12))</f>
        <v/>
      </c>
      <c r="AA11" s="252" t="str">
        <f t="array" aca="1" ref="AA11" ca="1">IF(AA$12&gt;CÁLCULO.NúmeroDeFrentes,"",OFFSET(CÁLCULO!$P$12,0,AA$12))</f>
        <v/>
      </c>
      <c r="AB11" s="252" t="str">
        <f t="array" aca="1" ref="AB11" ca="1">IF(AB$12&gt;CÁLCULO.NúmeroDeFrentes,"",OFFSET(CÁLCULO!$P$12,0,AB$12))</f>
        <v/>
      </c>
      <c r="AC11" s="252" t="str">
        <f t="array" aca="1" ref="AC11" ca="1">IF(AC$12&gt;CÁLCULO.NúmeroDeFrentes,"",OFFSET(CÁLCULO!$P$12,0,AC$12))</f>
        <v/>
      </c>
      <c r="AD11" s="252" t="str">
        <f t="array" aca="1" ref="AD11" ca="1">IF(AD$12&gt;CÁLCULO.NúmeroDeFrentes,"",OFFSET(CÁLCULO!$P$12,0,AD$12))</f>
        <v/>
      </c>
      <c r="AE11" s="252" t="str">
        <f t="array" aca="1" ref="AE11" ca="1">IF(AE$12&gt;CÁLCULO.NúmeroDeFrentes,"",OFFSET(CÁLCULO!$P$12,0,AE$12))</f>
        <v/>
      </c>
      <c r="AF11" s="252" t="str">
        <f t="array" aca="1" ref="AF11" ca="1">IF(AF$12&gt;CÁLCULO.NúmeroDeFrentes,"",OFFSET(CÁLCULO!$P$12,0,AF$12))</f>
        <v/>
      </c>
    </row>
    <row r="12" spans="1:33" ht="12.75" customHeight="1" x14ac:dyDescent="0.2">
      <c r="A12" s="106" t="s">
        <v>660</v>
      </c>
      <c r="B12" s="801" t="s">
        <v>760</v>
      </c>
      <c r="C12" s="801" t="s">
        <v>778</v>
      </c>
      <c r="D12" s="801"/>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801"/>
      <c r="C13" s="801"/>
      <c r="D13" s="801"/>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666" t="str">
        <f>IF(B15=0,"","F")</f>
        <v/>
      </c>
      <c r="B15" s="257">
        <f>EVENTOS!$C$15</f>
        <v>0</v>
      </c>
      <c r="C15" s="832" t="str">
        <f>EVENTOS!$D$15</f>
        <v/>
      </c>
      <c r="D15" s="832"/>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s="696" customFormat="1" ht="19.5" customHeight="1" x14ac:dyDescent="0.2">
      <c r="A16" s="694" t="str">
        <f t="shared" ref="A16:A57" ca="1" si="1">IF(C16=0,"","F")</f>
        <v>F</v>
      </c>
      <c r="B16" s="247">
        <f t="shared" ref="B16:B57" ca="1" si="2">OFFSET(B16,-1,0)+1</f>
        <v>1</v>
      </c>
      <c r="C16" s="826" t="str">
        <f ca="1">IF(AUTOEVENTO="Manual",OFFSET(EVENTOS!$D$15,$B16-$B$15,0),IF(B16&lt;=MAX(CÁLCULO!$M$15:$M$235),VLOOKUP($B16,CÁLCULO!$M$15:$N$235,2,FALSE),0))</f>
        <v>SERVIÇOS TÉCNICOS (PROJETOS, ORÇAMENTOS, SONDAGENS E OUTROS)</v>
      </c>
      <c r="D16" s="826"/>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s="696" customFormat="1" ht="19.5" customHeight="1" x14ac:dyDescent="0.2">
      <c r="A17" s="694" t="str">
        <f t="shared" ca="1" si="1"/>
        <v>F</v>
      </c>
      <c r="B17" s="247">
        <f t="shared" ca="1" si="2"/>
        <v>2</v>
      </c>
      <c r="C17" s="826" t="str">
        <f ca="1">IF(AUTOEVENTO="Manual",OFFSET(EVENTOS!$D$15,$B17-$B$15,0),IF(B17&lt;=MAX(CÁLCULO!$M$15:$M$235),VLOOKUP($B17,CÁLCULO!$M$15:$N$235,2,FALSE),0))</f>
        <v>INTALAÇÃO DE CANTEIRO (BARRACÃO, PLACA DE OBRA)</v>
      </c>
      <c r="D17" s="826"/>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s="696" customFormat="1" ht="19.5" customHeight="1" x14ac:dyDescent="0.2">
      <c r="A18" s="694" t="str">
        <f t="shared" ca="1" si="1"/>
        <v>F</v>
      </c>
      <c r="B18" s="247">
        <f t="shared" ca="1" si="2"/>
        <v>3</v>
      </c>
      <c r="C18" s="826" t="str">
        <f ca="1">IF(AUTOEVENTO="Manual",OFFSET(EVENTOS!$D$15,$B18-$B$15,0),IF(B18&lt;=MAX(CÁLCULO!$M$15:$M$235),VLOOKUP($B18,CÁLCULO!$M$15:$N$235,2,FALSE),0))</f>
        <v>ADMINISTRAÇÃO LOCAL</v>
      </c>
      <c r="D18" s="826"/>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s="696" customFormat="1" ht="19.5" customHeight="1" x14ac:dyDescent="0.2">
      <c r="A19" s="694" t="str">
        <f t="shared" ca="1" si="1"/>
        <v>F</v>
      </c>
      <c r="B19" s="247">
        <f t="shared" ca="1" si="2"/>
        <v>4</v>
      </c>
      <c r="C19" s="826" t="str">
        <f ca="1">IF(AUTOEVENTO="Manual",OFFSET(EVENTOS!$D$15,$B19-$B$15,0),IF(B19&lt;=MAX(CÁLCULO!$M$15:$M$235),VLOOKUP($B19,CÁLCULO!$M$15:$N$235,2,FALSE),0))</f>
        <v>SAPATAS (LOCAÇÃO,ESCAVAÇÕES, FORMAS, AÇO, CONCRETAGEM)</v>
      </c>
      <c r="D19" s="826"/>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s="696" customFormat="1" ht="19.5" customHeight="1" x14ac:dyDescent="0.2">
      <c r="A20" s="694" t="str">
        <f t="shared" ca="1" si="1"/>
        <v>F</v>
      </c>
      <c r="B20" s="247">
        <f t="shared" ca="1" si="2"/>
        <v>5</v>
      </c>
      <c r="C20" s="826" t="str">
        <f ca="1">IF(AUTOEVENTO="Manual",OFFSET(EVENTOS!$D$15,$B20-$B$15,0),IF(B20&lt;=MAX(CÁLCULO!$M$15:$M$235),VLOOKUP($B20,CÁLCULO!$M$15:$N$235,2,FALSE),0))</f>
        <v>BALDRAMES (ESCAVAÇÕES, FORMAS, AÇO, CONCRETAGEM)</v>
      </c>
      <c r="D20" s="826"/>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s="696" customFormat="1" ht="19.5" customHeight="1" x14ac:dyDescent="0.2">
      <c r="A21" s="694" t="str">
        <f t="shared" ca="1" si="1"/>
        <v>F</v>
      </c>
      <c r="B21" s="247">
        <f t="shared" ca="1" si="2"/>
        <v>6</v>
      </c>
      <c r="C21" s="826" t="str">
        <f ca="1">IF(AUTOEVENTO="Manual",OFFSET(EVENTOS!$D$15,$B21-$B$15,0),IF(B21&lt;=MAX(CÁLCULO!$M$15:$M$235),VLOOKUP($B21,CÁLCULO!$M$15:$N$235,2,FALSE),0))</f>
        <v>IMPERMEABILIZAÇÕES DE ESTRUTURAS DE FUNDAÇÃO</v>
      </c>
      <c r="D21" s="826"/>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s="696" customFormat="1" ht="19.5" customHeight="1" x14ac:dyDescent="0.2">
      <c r="A22" s="694" t="str">
        <f t="shared" ca="1" si="1"/>
        <v>F</v>
      </c>
      <c r="B22" s="247">
        <f t="shared" ca="1" si="2"/>
        <v>7</v>
      </c>
      <c r="C22" s="826" t="str">
        <f ca="1">IF(AUTOEVENTO="Manual",OFFSET(EVENTOS!$D$15,$B22-$B$15,0),IF(B22&lt;=MAX(CÁLCULO!$M$15:$M$235),VLOOKUP($B22,CÁLCULO!$M$15:$N$235,2,FALSE),0))</f>
        <v>VIGAS DE RESPALDO</v>
      </c>
      <c r="D22" s="826"/>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s="696" customFormat="1" ht="19.5" customHeight="1" x14ac:dyDescent="0.2">
      <c r="A23" s="694" t="str">
        <f t="shared" ca="1" si="1"/>
        <v>F</v>
      </c>
      <c r="B23" s="247">
        <f t="shared" ca="1" si="2"/>
        <v>8</v>
      </c>
      <c r="C23" s="826" t="str">
        <f ca="1">IF(AUTOEVENTO="Manual",OFFSET(EVENTOS!$D$15,$B23-$B$15,0),IF(B23&lt;=MAX(CÁLCULO!$M$15:$M$235),VLOOKUP($B23,CÁLCULO!$M$15:$N$235,2,FALSE),0))</f>
        <v>PILARES</v>
      </c>
      <c r="D23" s="826"/>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s="696" customFormat="1" ht="19.5" customHeight="1" x14ac:dyDescent="0.2">
      <c r="A24" s="694" t="str">
        <f t="shared" ca="1" si="1"/>
        <v>F</v>
      </c>
      <c r="B24" s="247">
        <f t="shared" ca="1" si="2"/>
        <v>9</v>
      </c>
      <c r="C24" s="826" t="str">
        <f ca="1">IF(AUTOEVENTO="Manual",OFFSET(EVENTOS!$D$15,$B24-$B$15,0),IF(B24&lt;=MAX(CÁLCULO!$M$15:$M$235),VLOOKUP($B24,CÁLCULO!$M$15:$N$235,2,FALSE),0))</f>
        <v>LAJES</v>
      </c>
      <c r="D24" s="826"/>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s="696" customFormat="1" ht="19.5" customHeight="1" x14ac:dyDescent="0.2">
      <c r="A25" s="694" t="str">
        <f t="shared" ca="1" si="1"/>
        <v>F</v>
      </c>
      <c r="B25" s="247">
        <f t="shared" ca="1" si="2"/>
        <v>10</v>
      </c>
      <c r="C25" s="826" t="str">
        <f ca="1">IF(AUTOEVENTO="Manual",OFFSET(EVENTOS!$D$15,$B25-$B$15,0),IF(B25&lt;=MAX(CÁLCULO!$M$15:$M$235),VLOOKUP($B25,CÁLCULO!$M$15:$N$235,2,FALSE),0))</f>
        <v>ALVENARIAS</v>
      </c>
      <c r="D25" s="826"/>
      <c r="F25" s="248"/>
      <c r="H25" s="248"/>
      <c r="I25" s="248"/>
      <c r="J25" s="248"/>
      <c r="K25" s="248"/>
      <c r="L25" s="248"/>
      <c r="M25" s="248"/>
      <c r="N25" s="248"/>
      <c r="O25" s="248"/>
      <c r="P25" s="248"/>
      <c r="Q25" s="248"/>
      <c r="R25" s="248"/>
      <c r="S25" s="248"/>
      <c r="T25" s="248"/>
      <c r="U25" s="248"/>
      <c r="V25" s="248"/>
      <c r="W25" s="248"/>
      <c r="X25" s="248"/>
      <c r="Y25" s="248"/>
      <c r="Z25" s="248"/>
      <c r="AA25" s="248"/>
      <c r="AB25" s="248"/>
      <c r="AC25" s="248"/>
      <c r="AD25" s="248"/>
      <c r="AE25" s="248"/>
      <c r="AF25" s="248"/>
    </row>
    <row r="26" spans="1:32" s="696" customFormat="1" ht="19.5" customHeight="1" x14ac:dyDescent="0.2">
      <c r="A26" s="694" t="str">
        <f t="shared" ca="1" si="1"/>
        <v>F</v>
      </c>
      <c r="B26" s="247">
        <f t="shared" ca="1" si="2"/>
        <v>11</v>
      </c>
      <c r="C26" s="826" t="str">
        <f ca="1">IF(AUTOEVENTO="Manual",OFFSET(EVENTOS!$D$15,$B26-$B$15,0),IF(B26&lt;=MAX(CÁLCULO!$M$15:$M$235),VLOOKUP($B26,CÁLCULO!$M$15:$N$235,2,FALSE),0))</f>
        <v>ESQUADRIAS DE ALUMÍNIO</v>
      </c>
      <c r="D26" s="826"/>
      <c r="F26" s="248"/>
      <c r="H26" s="248"/>
      <c r="I26" s="248"/>
      <c r="J26" s="248"/>
      <c r="K26" s="248"/>
      <c r="L26" s="248"/>
      <c r="M26" s="248"/>
      <c r="N26" s="248"/>
      <c r="O26" s="248"/>
      <c r="P26" s="248"/>
      <c r="Q26" s="248"/>
      <c r="R26" s="248"/>
      <c r="S26" s="248"/>
      <c r="T26" s="248"/>
      <c r="U26" s="248"/>
      <c r="V26" s="248"/>
      <c r="W26" s="248"/>
      <c r="X26" s="248"/>
      <c r="Y26" s="248"/>
      <c r="Z26" s="248"/>
      <c r="AA26" s="248"/>
      <c r="AB26" s="248"/>
      <c r="AC26" s="248"/>
      <c r="AD26" s="248"/>
      <c r="AE26" s="248"/>
      <c r="AF26" s="248"/>
    </row>
    <row r="27" spans="1:32" s="696" customFormat="1" ht="19.5" customHeight="1" x14ac:dyDescent="0.2">
      <c r="A27" s="694" t="str">
        <f t="shared" ca="1" si="1"/>
        <v>F</v>
      </c>
      <c r="B27" s="247">
        <f t="shared" ca="1" si="2"/>
        <v>12</v>
      </c>
      <c r="C27" s="826" t="str">
        <f ca="1">IF(AUTOEVENTO="Manual",OFFSET(EVENTOS!$D$15,$B27-$B$15,0),IF(B27&lt;=MAX(CÁLCULO!$M$15:$M$235),VLOOKUP($B27,CÁLCULO!$M$15:$N$235,2,FALSE),0))</f>
        <v>ESQUADRIAS DE MADEIRA</v>
      </c>
      <c r="D27" s="826"/>
      <c r="F27" s="248"/>
      <c r="H27" s="248"/>
      <c r="I27" s="248"/>
      <c r="J27" s="248"/>
      <c r="K27" s="248"/>
      <c r="L27" s="248"/>
      <c r="M27" s="248"/>
      <c r="N27" s="248"/>
      <c r="O27" s="248"/>
      <c r="P27" s="248"/>
      <c r="Q27" s="248"/>
      <c r="R27" s="248"/>
      <c r="S27" s="248"/>
      <c r="T27" s="248"/>
      <c r="U27" s="248"/>
      <c r="V27" s="248"/>
      <c r="W27" s="248"/>
      <c r="X27" s="248"/>
      <c r="Y27" s="248"/>
      <c r="Z27" s="248"/>
      <c r="AA27" s="248"/>
      <c r="AB27" s="248"/>
      <c r="AC27" s="248"/>
      <c r="AD27" s="248"/>
      <c r="AE27" s="248"/>
      <c r="AF27" s="248"/>
    </row>
    <row r="28" spans="1:32" s="696" customFormat="1" ht="19.5" customHeight="1" x14ac:dyDescent="0.2">
      <c r="A28" s="694" t="str">
        <f t="shared" ca="1" si="1"/>
        <v>F</v>
      </c>
      <c r="B28" s="247">
        <f t="shared" ca="1" si="2"/>
        <v>13</v>
      </c>
      <c r="C28" s="826" t="str">
        <f ca="1">IF(AUTOEVENTO="Manual",OFFSET(EVENTOS!$D$15,$B28-$B$15,0),IF(B28&lt;=MAX(CÁLCULO!$M$15:$M$235),VLOOKUP($B28,CÁLCULO!$M$15:$N$235,2,FALSE),0))</f>
        <v>ESTRUTURA DE COBERTURA</v>
      </c>
      <c r="D28" s="826"/>
      <c r="F28" s="248"/>
      <c r="H28" s="248"/>
      <c r="I28" s="248"/>
      <c r="J28" s="248"/>
      <c r="K28" s="248"/>
      <c r="L28" s="248"/>
      <c r="M28" s="248"/>
      <c r="N28" s="248"/>
      <c r="O28" s="248"/>
      <c r="P28" s="248"/>
      <c r="Q28" s="248"/>
      <c r="R28" s="248"/>
      <c r="S28" s="248"/>
      <c r="T28" s="248"/>
      <c r="U28" s="248"/>
      <c r="V28" s="248"/>
      <c r="W28" s="248"/>
      <c r="X28" s="248"/>
      <c r="Y28" s="248"/>
      <c r="Z28" s="248"/>
      <c r="AA28" s="248"/>
      <c r="AB28" s="248"/>
      <c r="AC28" s="248"/>
      <c r="AD28" s="248"/>
      <c r="AE28" s="248"/>
      <c r="AF28" s="248"/>
    </row>
    <row r="29" spans="1:32" s="696" customFormat="1" ht="19.5" customHeight="1" x14ac:dyDescent="0.2">
      <c r="A29" s="694" t="str">
        <f t="shared" ca="1" si="1"/>
        <v>F</v>
      </c>
      <c r="B29" s="247">
        <f t="shared" ca="1" si="2"/>
        <v>14</v>
      </c>
      <c r="C29" s="826" t="str">
        <f ca="1">IF(AUTOEVENTO="Manual",OFFSET(EVENTOS!$D$15,$B29-$B$15,0),IF(B29&lt;=MAX(CÁLCULO!$M$15:$M$235),VLOOKUP($B29,CÁLCULO!$M$15:$N$235,2,FALSE),0))</f>
        <v>TELHAMENTO</v>
      </c>
      <c r="D29" s="826"/>
      <c r="F29" s="248"/>
      <c r="H29" s="248"/>
      <c r="I29" s="248"/>
      <c r="J29" s="248"/>
      <c r="K29" s="248"/>
      <c r="L29" s="248"/>
      <c r="M29" s="248"/>
      <c r="N29" s="248"/>
      <c r="O29" s="248"/>
      <c r="P29" s="248"/>
      <c r="Q29" s="248"/>
      <c r="R29" s="248"/>
      <c r="S29" s="248"/>
      <c r="T29" s="248"/>
      <c r="U29" s="248"/>
      <c r="V29" s="248"/>
      <c r="W29" s="248"/>
      <c r="X29" s="248"/>
      <c r="Y29" s="248"/>
      <c r="Z29" s="248"/>
      <c r="AA29" s="248"/>
      <c r="AB29" s="248"/>
      <c r="AC29" s="248"/>
      <c r="AD29" s="248"/>
      <c r="AE29" s="248"/>
      <c r="AF29" s="248"/>
    </row>
    <row r="30" spans="1:32" s="696" customFormat="1" ht="19.5" customHeight="1" x14ac:dyDescent="0.2">
      <c r="A30" s="694" t="str">
        <f t="shared" ca="1" si="1"/>
        <v>F</v>
      </c>
      <c r="B30" s="247">
        <f t="shared" ca="1" si="2"/>
        <v>15</v>
      </c>
      <c r="C30" s="826" t="str">
        <f ca="1">IF(AUTOEVENTO="Manual",OFFSET(EVENTOS!$D$15,$B30-$B$15,0),IF(B30&lt;=MAX(CÁLCULO!$M$15:$M$235),VLOOKUP($B30,CÁLCULO!$M$15:$N$235,2,FALSE),0))</f>
        <v>FORROS</v>
      </c>
      <c r="D30" s="826"/>
      <c r="F30" s="248"/>
      <c r="H30" s="248"/>
      <c r="I30" s="248"/>
      <c r="J30" s="248"/>
      <c r="K30" s="248"/>
      <c r="L30" s="248"/>
      <c r="M30" s="248"/>
      <c r="N30" s="248"/>
      <c r="O30" s="248"/>
      <c r="P30" s="248"/>
      <c r="Q30" s="248"/>
      <c r="R30" s="248"/>
      <c r="S30" s="248"/>
      <c r="T30" s="248"/>
      <c r="U30" s="248"/>
      <c r="V30" s="248"/>
      <c r="W30" s="248"/>
      <c r="X30" s="248"/>
      <c r="Y30" s="248"/>
      <c r="Z30" s="248"/>
      <c r="AA30" s="248"/>
      <c r="AB30" s="248"/>
      <c r="AC30" s="248"/>
      <c r="AD30" s="248"/>
      <c r="AE30" s="248"/>
      <c r="AF30" s="248"/>
    </row>
    <row r="31" spans="1:32" s="696" customFormat="1" ht="19.5" customHeight="1" x14ac:dyDescent="0.2">
      <c r="A31" s="694" t="str">
        <f t="shared" ca="1" si="1"/>
        <v>F</v>
      </c>
      <c r="B31" s="247">
        <f t="shared" ca="1" si="2"/>
        <v>16</v>
      </c>
      <c r="C31" s="826" t="str">
        <f ca="1">IF(AUTOEVENTO="Manual",OFFSET(EVENTOS!$D$15,$B31-$B$15,0),IF(B31&lt;=MAX(CÁLCULO!$M$15:$M$235),VLOOKUP($B31,CÁLCULO!$M$15:$N$235,2,FALSE),0))</f>
        <v>REVESTIMENTOS INTERNOS DE PAREDES</v>
      </c>
      <c r="D31" s="826"/>
      <c r="F31" s="248"/>
      <c r="H31" s="248"/>
      <c r="I31" s="248"/>
      <c r="J31" s="248"/>
      <c r="K31" s="248"/>
      <c r="L31" s="248"/>
      <c r="M31" s="248"/>
      <c r="N31" s="248"/>
      <c r="O31" s="248"/>
      <c r="P31" s="248"/>
      <c r="Q31" s="248"/>
      <c r="R31" s="248"/>
      <c r="S31" s="248"/>
      <c r="T31" s="248"/>
      <c r="U31" s="248"/>
      <c r="V31" s="248"/>
      <c r="W31" s="248"/>
      <c r="X31" s="248"/>
      <c r="Y31" s="248"/>
      <c r="Z31" s="248"/>
      <c r="AA31" s="248"/>
      <c r="AB31" s="248"/>
      <c r="AC31" s="248"/>
      <c r="AD31" s="248"/>
      <c r="AE31" s="248"/>
      <c r="AF31" s="248"/>
    </row>
    <row r="32" spans="1:32" s="696" customFormat="1" ht="19.5" customHeight="1" x14ac:dyDescent="0.2">
      <c r="A32" s="694" t="str">
        <f t="shared" ca="1" si="1"/>
        <v>F</v>
      </c>
      <c r="B32" s="247">
        <f t="shared" ca="1" si="2"/>
        <v>17</v>
      </c>
      <c r="C32" s="826" t="str">
        <f ca="1">IF(AUTOEVENTO="Manual",OFFSET(EVENTOS!$D$15,$B32-$B$15,0),IF(B32&lt;=MAX(CÁLCULO!$M$15:$M$235),VLOOKUP($B32,CÁLCULO!$M$15:$N$235,2,FALSE),0))</f>
        <v>REVESTIMENTOS INTERNOS DE TETO</v>
      </c>
      <c r="D32" s="826"/>
      <c r="F32" s="248"/>
      <c r="H32" s="248"/>
      <c r="I32" s="248"/>
      <c r="J32" s="248"/>
      <c r="K32" s="248"/>
      <c r="L32" s="248"/>
      <c r="M32" s="248"/>
      <c r="N32" s="248"/>
      <c r="O32" s="248"/>
      <c r="P32" s="248"/>
      <c r="Q32" s="248"/>
      <c r="R32" s="248"/>
      <c r="S32" s="248"/>
      <c r="T32" s="248"/>
      <c r="U32" s="248"/>
      <c r="V32" s="248"/>
      <c r="W32" s="248"/>
      <c r="X32" s="248"/>
      <c r="Y32" s="248"/>
      <c r="Z32" s="248"/>
      <c r="AA32" s="248"/>
      <c r="AB32" s="248"/>
      <c r="AC32" s="248"/>
      <c r="AD32" s="248"/>
      <c r="AE32" s="248"/>
      <c r="AF32" s="248"/>
    </row>
    <row r="33" spans="1:32" s="696" customFormat="1" ht="19.5" customHeight="1" x14ac:dyDescent="0.2">
      <c r="A33" s="694" t="str">
        <f t="shared" ca="1" si="1"/>
        <v>F</v>
      </c>
      <c r="B33" s="247">
        <f t="shared" ca="1" si="2"/>
        <v>18</v>
      </c>
      <c r="C33" s="826" t="str">
        <f ca="1">IF(AUTOEVENTO="Manual",OFFSET(EVENTOS!$D$15,$B33-$B$15,0),IF(B33&lt;=MAX(CÁLCULO!$M$15:$M$235),VLOOKUP($B33,CÁLCULO!$M$15:$N$235,2,FALSE),0))</f>
        <v>REVESTIMENTOS INTERNOS DE PISO</v>
      </c>
      <c r="D33" s="826"/>
      <c r="F33" s="248"/>
      <c r="H33" s="248"/>
      <c r="I33" s="248"/>
      <c r="J33" s="248"/>
      <c r="K33" s="248"/>
      <c r="L33" s="248"/>
      <c r="M33" s="248"/>
      <c r="N33" s="248"/>
      <c r="O33" s="248"/>
      <c r="P33" s="248"/>
      <c r="Q33" s="248"/>
      <c r="R33" s="248"/>
      <c r="S33" s="248"/>
      <c r="T33" s="248"/>
      <c r="U33" s="248"/>
      <c r="V33" s="248"/>
      <c r="W33" s="248"/>
      <c r="X33" s="248"/>
      <c r="Y33" s="248"/>
      <c r="Z33" s="248"/>
      <c r="AA33" s="248"/>
      <c r="AB33" s="248"/>
      <c r="AC33" s="248"/>
      <c r="AD33" s="248"/>
      <c r="AE33" s="248"/>
      <c r="AF33" s="248"/>
    </row>
    <row r="34" spans="1:32" s="696" customFormat="1" ht="19.5" customHeight="1" x14ac:dyDescent="0.2">
      <c r="A34" s="694" t="str">
        <f t="shared" ca="1" si="1"/>
        <v>F</v>
      </c>
      <c r="B34" s="247">
        <f t="shared" ca="1" si="2"/>
        <v>19</v>
      </c>
      <c r="C34" s="826" t="str">
        <f ca="1">IF(AUTOEVENTO="Manual",OFFSET(EVENTOS!$D$15,$B34-$B$15,0),IF(B34&lt;=MAX(CÁLCULO!$M$15:$M$235),VLOOKUP($B34,CÁLCULO!$M$15:$N$235,2,FALSE),0))</f>
        <v>REVESTIMENTOS EXTERNOS DE PAREDES</v>
      </c>
      <c r="D34" s="826"/>
      <c r="F34" s="248"/>
      <c r="H34" s="248"/>
      <c r="I34" s="248"/>
      <c r="J34" s="248"/>
      <c r="K34" s="248"/>
      <c r="L34" s="248"/>
      <c r="M34" s="248"/>
      <c r="N34" s="248"/>
      <c r="O34" s="248"/>
      <c r="P34" s="248"/>
      <c r="Q34" s="248"/>
      <c r="R34" s="248"/>
      <c r="S34" s="248"/>
      <c r="T34" s="248"/>
      <c r="U34" s="248"/>
      <c r="V34" s="248"/>
      <c r="W34" s="248"/>
      <c r="X34" s="248"/>
      <c r="Y34" s="248"/>
      <c r="Z34" s="248"/>
      <c r="AA34" s="248"/>
      <c r="AB34" s="248"/>
      <c r="AC34" s="248"/>
      <c r="AD34" s="248"/>
      <c r="AE34" s="248"/>
      <c r="AF34" s="248"/>
    </row>
    <row r="35" spans="1:32" s="696" customFormat="1" ht="19.5" customHeight="1" x14ac:dyDescent="0.2">
      <c r="A35" s="694" t="str">
        <f t="shared" ca="1" si="1"/>
        <v>F</v>
      </c>
      <c r="B35" s="247">
        <f t="shared" ca="1" si="2"/>
        <v>20</v>
      </c>
      <c r="C35" s="826" t="str">
        <f ca="1">IF(AUTOEVENTO="Manual",OFFSET(EVENTOS!$D$15,$B35-$B$15,0),IF(B35&lt;=MAX(CÁLCULO!$M$15:$M$235),VLOOKUP($B35,CÁLCULO!$M$15:$N$235,2,FALSE),0))</f>
        <v>REVESTIMENTOS EXTERNOS DE PISO</v>
      </c>
      <c r="D35" s="826"/>
      <c r="F35" s="248"/>
      <c r="H35" s="248"/>
      <c r="I35" s="248"/>
      <c r="J35" s="248"/>
      <c r="K35" s="248"/>
      <c r="L35" s="248"/>
      <c r="M35" s="248"/>
      <c r="N35" s="248"/>
      <c r="O35" s="248"/>
      <c r="P35" s="248"/>
      <c r="Q35" s="248"/>
      <c r="R35" s="248"/>
      <c r="S35" s="248"/>
      <c r="T35" s="248"/>
      <c r="U35" s="248"/>
      <c r="V35" s="248"/>
      <c r="W35" s="248"/>
      <c r="X35" s="248"/>
      <c r="Y35" s="248"/>
      <c r="Z35" s="248"/>
      <c r="AA35" s="248"/>
      <c r="AB35" s="248"/>
      <c r="AC35" s="248"/>
      <c r="AD35" s="248"/>
      <c r="AE35" s="248"/>
      <c r="AF35" s="248"/>
    </row>
    <row r="36" spans="1:32" s="696" customFormat="1" ht="19.5" customHeight="1" x14ac:dyDescent="0.2">
      <c r="A36" s="694" t="str">
        <f t="shared" ca="1" si="1"/>
        <v>F</v>
      </c>
      <c r="B36" s="247">
        <f t="shared" ca="1" si="2"/>
        <v>21</v>
      </c>
      <c r="C36" s="826" t="str">
        <f ca="1">IF(AUTOEVENTO="Manual",OFFSET(EVENTOS!$D$15,$B36-$B$15,0),IF(B36&lt;=MAX(CÁLCULO!$M$15:$M$235),VLOOKUP($B36,CÁLCULO!$M$15:$N$235,2,FALSE),0))</f>
        <v>IMPERMEABILIZAÇÕES DE PISOS</v>
      </c>
      <c r="D36" s="826"/>
      <c r="F36" s="248"/>
      <c r="H36" s="248"/>
      <c r="I36" s="248"/>
      <c r="J36" s="248"/>
      <c r="K36" s="248"/>
      <c r="L36" s="248"/>
      <c r="M36" s="248"/>
      <c r="N36" s="248"/>
      <c r="O36" s="248"/>
      <c r="P36" s="248"/>
      <c r="Q36" s="248"/>
      <c r="R36" s="248"/>
      <c r="S36" s="248"/>
      <c r="T36" s="248"/>
      <c r="U36" s="248"/>
      <c r="V36" s="248"/>
      <c r="W36" s="248"/>
      <c r="X36" s="248"/>
      <c r="Y36" s="248"/>
      <c r="Z36" s="248"/>
      <c r="AA36" s="248"/>
      <c r="AB36" s="248"/>
      <c r="AC36" s="248"/>
      <c r="AD36" s="248"/>
      <c r="AE36" s="248"/>
      <c r="AF36" s="248"/>
    </row>
    <row r="37" spans="1:32" s="696" customFormat="1" ht="19.5" customHeight="1" x14ac:dyDescent="0.2">
      <c r="A37" s="694" t="str">
        <f t="shared" ca="1" si="1"/>
        <v>F</v>
      </c>
      <c r="B37" s="247">
        <f t="shared" ca="1" si="2"/>
        <v>22</v>
      </c>
      <c r="C37" s="826" t="str">
        <f ca="1">IF(AUTOEVENTO="Manual",OFFSET(EVENTOS!$D$15,$B37-$B$15,0),IF(B37&lt;=MAX(CÁLCULO!$M$15:$M$235),VLOOKUP($B37,CÁLCULO!$M$15:$N$235,2,FALSE),0))</f>
        <v>PINTURA DD PAREDES INTERNAS</v>
      </c>
      <c r="D37" s="826"/>
      <c r="F37" s="248"/>
      <c r="H37" s="248"/>
      <c r="I37" s="248"/>
      <c r="J37" s="248"/>
      <c r="K37" s="248"/>
      <c r="L37" s="248"/>
      <c r="M37" s="248"/>
      <c r="N37" s="248"/>
      <c r="O37" s="248"/>
      <c r="P37" s="248"/>
      <c r="Q37" s="248"/>
      <c r="R37" s="248"/>
      <c r="S37" s="248"/>
      <c r="T37" s="248"/>
      <c r="U37" s="248"/>
      <c r="V37" s="248"/>
      <c r="W37" s="248"/>
      <c r="X37" s="248"/>
      <c r="Y37" s="248"/>
      <c r="Z37" s="248"/>
      <c r="AA37" s="248"/>
      <c r="AB37" s="248"/>
      <c r="AC37" s="248"/>
      <c r="AD37" s="248"/>
      <c r="AE37" s="248"/>
      <c r="AF37" s="248"/>
    </row>
    <row r="38" spans="1:32" s="696" customFormat="1" ht="19.5" customHeight="1" x14ac:dyDescent="0.2">
      <c r="A38" s="694" t="str">
        <f t="shared" ca="1" si="1"/>
        <v>F</v>
      </c>
      <c r="B38" s="247">
        <f t="shared" ca="1" si="2"/>
        <v>23</v>
      </c>
      <c r="C38" s="826" t="str">
        <f ca="1">IF(AUTOEVENTO="Manual",OFFSET(EVENTOS!$D$15,$B38-$B$15,0),IF(B38&lt;=MAX(CÁLCULO!$M$15:$M$235),VLOOKUP($B38,CÁLCULO!$M$15:$N$235,2,FALSE),0))</f>
        <v>PINTURA DD TETO INTERNAS</v>
      </c>
      <c r="D38" s="826"/>
      <c r="F38" s="248"/>
      <c r="H38" s="248"/>
      <c r="I38" s="248"/>
      <c r="J38" s="248"/>
      <c r="K38" s="248"/>
      <c r="L38" s="248"/>
      <c r="M38" s="248"/>
      <c r="N38" s="248"/>
      <c r="O38" s="248"/>
      <c r="P38" s="248"/>
      <c r="Q38" s="248"/>
      <c r="R38" s="248"/>
      <c r="S38" s="248"/>
      <c r="T38" s="248"/>
      <c r="U38" s="248"/>
      <c r="V38" s="248"/>
      <c r="W38" s="248"/>
      <c r="X38" s="248"/>
      <c r="Y38" s="248"/>
      <c r="Z38" s="248"/>
      <c r="AA38" s="248"/>
      <c r="AB38" s="248"/>
      <c r="AC38" s="248"/>
      <c r="AD38" s="248"/>
      <c r="AE38" s="248"/>
      <c r="AF38" s="248"/>
    </row>
    <row r="39" spans="1:32" s="696" customFormat="1" ht="19.5" customHeight="1" x14ac:dyDescent="0.2">
      <c r="A39" s="694" t="str">
        <f t="shared" ca="1" si="1"/>
        <v>F</v>
      </c>
      <c r="B39" s="247">
        <f t="shared" ca="1" si="2"/>
        <v>24</v>
      </c>
      <c r="C39" s="826" t="str">
        <f ca="1">IF(AUTOEVENTO="Manual",OFFSET(EVENTOS!$D$15,$B39-$B$15,0),IF(B39&lt;=MAX(CÁLCULO!$M$15:$M$235),VLOOKUP($B39,CÁLCULO!$M$15:$N$235,2,FALSE),0))</f>
        <v>PINTURA DE PAREDES EXTERNAS</v>
      </c>
      <c r="D39" s="826"/>
      <c r="F39" s="248"/>
      <c r="H39" s="248"/>
      <c r="I39" s="248"/>
      <c r="J39" s="248"/>
      <c r="K39" s="248"/>
      <c r="L39" s="248"/>
      <c r="M39" s="248"/>
      <c r="N39" s="248"/>
      <c r="O39" s="248"/>
      <c r="P39" s="248"/>
      <c r="Q39" s="248"/>
      <c r="R39" s="248"/>
      <c r="S39" s="248"/>
      <c r="T39" s="248"/>
      <c r="U39" s="248"/>
      <c r="V39" s="248"/>
      <c r="W39" s="248"/>
      <c r="X39" s="248"/>
      <c r="Y39" s="248"/>
      <c r="Z39" s="248"/>
      <c r="AA39" s="248"/>
      <c r="AB39" s="248"/>
      <c r="AC39" s="248"/>
      <c r="AD39" s="248"/>
      <c r="AE39" s="248"/>
      <c r="AF39" s="248"/>
    </row>
    <row r="40" spans="1:32" s="696" customFormat="1" ht="19.5" customHeight="1" x14ac:dyDescent="0.2">
      <c r="A40" s="694" t="str">
        <f t="shared" ca="1" si="1"/>
        <v>F</v>
      </c>
      <c r="B40" s="247">
        <f t="shared" ca="1" si="2"/>
        <v>25</v>
      </c>
      <c r="C40" s="826" t="str">
        <f ca="1">IF(AUTOEVENTO="Manual",OFFSET(EVENTOS!$D$15,$B40-$B$15,0),IF(B40&lt;=MAX(CÁLCULO!$M$15:$M$235),VLOOKUP($B40,CÁLCULO!$M$15:$N$235,2,FALSE),0))</f>
        <v>PINTURA DE ESQUADRIA DE MADEIRA</v>
      </c>
      <c r="D40" s="826"/>
      <c r="F40" s="248"/>
      <c r="H40" s="248"/>
      <c r="I40" s="248"/>
      <c r="J40" s="248"/>
      <c r="K40" s="248"/>
      <c r="L40" s="248"/>
      <c r="M40" s="248"/>
      <c r="N40" s="248"/>
      <c r="O40" s="248"/>
      <c r="P40" s="248"/>
      <c r="Q40" s="248"/>
      <c r="R40" s="248"/>
      <c r="S40" s="248"/>
      <c r="T40" s="248"/>
      <c r="U40" s="248"/>
      <c r="V40" s="248"/>
      <c r="W40" s="248"/>
      <c r="X40" s="248"/>
      <c r="Y40" s="248"/>
      <c r="Z40" s="248"/>
      <c r="AA40" s="248"/>
      <c r="AB40" s="248"/>
      <c r="AC40" s="248"/>
      <c r="AD40" s="248"/>
      <c r="AE40" s="248"/>
      <c r="AF40" s="248"/>
    </row>
    <row r="41" spans="1:32" s="696" customFormat="1" ht="19.5" customHeight="1" x14ac:dyDescent="0.2">
      <c r="A41" s="694" t="str">
        <f t="shared" ca="1" si="1"/>
        <v>F</v>
      </c>
      <c r="B41" s="247">
        <f t="shared" ca="1" si="2"/>
        <v>26</v>
      </c>
      <c r="C41" s="826" t="str">
        <f ca="1">IF(AUTOEVENTO="Manual",OFFSET(EVENTOS!$D$15,$B41-$B$15,0),IF(B41&lt;=MAX(CÁLCULO!$M$15:$M$235),VLOOKUP($B41,CÁLCULO!$M$15:$N$235,2,FALSE),0))</f>
        <v>ACABAMENTO EM PEDRA NATURAL</v>
      </c>
      <c r="D41" s="826"/>
      <c r="F41" s="248"/>
      <c r="H41" s="248"/>
      <c r="I41" s="248"/>
      <c r="J41" s="248"/>
      <c r="K41" s="248"/>
      <c r="L41" s="248"/>
      <c r="M41" s="248"/>
      <c r="N41" s="248"/>
      <c r="O41" s="248"/>
      <c r="P41" s="248"/>
      <c r="Q41" s="248"/>
      <c r="R41" s="248"/>
      <c r="S41" s="248"/>
      <c r="T41" s="248"/>
      <c r="U41" s="248"/>
      <c r="V41" s="248"/>
      <c r="W41" s="248"/>
      <c r="X41" s="248"/>
      <c r="Y41" s="248"/>
      <c r="Z41" s="248"/>
      <c r="AA41" s="248"/>
      <c r="AB41" s="248"/>
      <c r="AC41" s="248"/>
      <c r="AD41" s="248"/>
      <c r="AE41" s="248"/>
      <c r="AF41" s="248"/>
    </row>
    <row r="42" spans="1:32" s="696" customFormat="1" ht="19.5" customHeight="1" x14ac:dyDescent="0.2">
      <c r="A42" s="694" t="str">
        <f t="shared" ca="1" si="1"/>
        <v>F</v>
      </c>
      <c r="B42" s="247">
        <f t="shared" ca="1" si="2"/>
        <v>27</v>
      </c>
      <c r="C42" s="826" t="str">
        <f ca="1">IF(AUTOEVENTO="Manual",OFFSET(EVENTOS!$D$15,$B42-$B$15,0),IF(B42&lt;=MAX(CÁLCULO!$M$15:$M$235),VLOOKUP($B42,CÁLCULO!$M$15:$N$235,2,FALSE),0))</f>
        <v>CAIXAS E DISJUNTORES</v>
      </c>
      <c r="D42" s="826"/>
      <c r="F42" s="248"/>
      <c r="H42" s="248"/>
      <c r="I42" s="248"/>
      <c r="J42" s="248"/>
      <c r="K42" s="248"/>
      <c r="L42" s="248"/>
      <c r="M42" s="248"/>
      <c r="N42" s="248"/>
      <c r="O42" s="248"/>
      <c r="P42" s="248"/>
      <c r="Q42" s="248"/>
      <c r="R42" s="248"/>
      <c r="S42" s="248"/>
      <c r="T42" s="248"/>
      <c r="U42" s="248"/>
      <c r="V42" s="248"/>
      <c r="W42" s="248"/>
      <c r="X42" s="248"/>
      <c r="Y42" s="248"/>
      <c r="Z42" s="248"/>
      <c r="AA42" s="248"/>
      <c r="AB42" s="248"/>
      <c r="AC42" s="248"/>
      <c r="AD42" s="248"/>
      <c r="AE42" s="248"/>
      <c r="AF42" s="248"/>
    </row>
    <row r="43" spans="1:32" s="696" customFormat="1" ht="19.5" customHeight="1" x14ac:dyDescent="0.2">
      <c r="A43" s="694" t="str">
        <f t="shared" ca="1" si="1"/>
        <v>F</v>
      </c>
      <c r="B43" s="247">
        <f t="shared" ca="1" si="2"/>
        <v>28</v>
      </c>
      <c r="C43" s="826" t="str">
        <f ca="1">IF(AUTOEVENTO="Manual",OFFSET(EVENTOS!$D$15,$B43-$B$15,0),IF(B43&lt;=MAX(CÁLCULO!$M$15:$M$235),VLOOKUP($B43,CÁLCULO!$M$15:$N$235,2,FALSE),0))</f>
        <v xml:space="preserve">FIOS E CABOS </v>
      </c>
      <c r="D43" s="826"/>
      <c r="F43" s="248"/>
      <c r="H43" s="248"/>
      <c r="I43" s="248"/>
      <c r="J43" s="248"/>
      <c r="K43" s="248"/>
      <c r="L43" s="248"/>
      <c r="M43" s="248"/>
      <c r="N43" s="248"/>
      <c r="O43" s="248"/>
      <c r="P43" s="248"/>
      <c r="Q43" s="248"/>
      <c r="R43" s="248"/>
      <c r="S43" s="248"/>
      <c r="T43" s="248"/>
      <c r="U43" s="248"/>
      <c r="V43" s="248"/>
      <c r="W43" s="248"/>
      <c r="X43" s="248"/>
      <c r="Y43" s="248"/>
      <c r="Z43" s="248"/>
      <c r="AA43" s="248"/>
      <c r="AB43" s="248"/>
      <c r="AC43" s="248"/>
      <c r="AD43" s="248"/>
      <c r="AE43" s="248"/>
      <c r="AF43" s="248"/>
    </row>
    <row r="44" spans="1:32" s="706" customFormat="1" ht="19.5" customHeight="1" x14ac:dyDescent="0.2">
      <c r="A44" s="703" t="str">
        <f t="shared" ca="1" si="1"/>
        <v>F</v>
      </c>
      <c r="B44" s="247">
        <f t="shared" ca="1" si="2"/>
        <v>29</v>
      </c>
      <c r="C44" s="826" t="str">
        <f ca="1">IF(AUTOEVENTO="Manual",OFFSET(EVENTOS!$D$15,$B44-$B$15,0),IF(B44&lt;=MAX(CÁLCULO!$M$15:$M$235),VLOOKUP($B44,CÁLCULO!$M$15:$N$235,2,FALSE),0))</f>
        <v>ENTRADA DE ENERGIA</v>
      </c>
      <c r="D44" s="826"/>
      <c r="F44" s="248"/>
      <c r="H44" s="248"/>
      <c r="I44" s="248"/>
      <c r="J44" s="248"/>
      <c r="K44" s="248"/>
      <c r="L44" s="248"/>
      <c r="M44" s="248"/>
      <c r="N44" s="248"/>
      <c r="O44" s="248"/>
      <c r="P44" s="248"/>
      <c r="Q44" s="248"/>
      <c r="R44" s="248"/>
      <c r="S44" s="248"/>
      <c r="T44" s="248"/>
      <c r="U44" s="248"/>
      <c r="V44" s="248"/>
      <c r="W44" s="248"/>
      <c r="X44" s="248"/>
      <c r="Y44" s="248"/>
      <c r="Z44" s="248"/>
      <c r="AA44" s="248"/>
      <c r="AB44" s="248"/>
      <c r="AC44" s="248"/>
      <c r="AD44" s="248"/>
      <c r="AE44" s="248"/>
      <c r="AF44" s="248"/>
    </row>
    <row r="45" spans="1:32" s="706" customFormat="1" ht="19.5" customHeight="1" x14ac:dyDescent="0.2">
      <c r="A45" s="703" t="str">
        <f t="shared" ca="1" si="1"/>
        <v>F</v>
      </c>
      <c r="B45" s="247">
        <f t="shared" ca="1" si="2"/>
        <v>30</v>
      </c>
      <c r="C45" s="826" t="str">
        <f ca="1">IF(AUTOEVENTO="Manual",OFFSET(EVENTOS!$D$15,$B45-$B$15,0),IF(B45&lt;=MAX(CÁLCULO!$M$15:$M$235),VLOOKUP($B45,CÁLCULO!$M$15:$N$235,2,FALSE),0))</f>
        <v>ENTRADA DE ÁGUA</v>
      </c>
      <c r="D45" s="826"/>
      <c r="F45" s="248"/>
      <c r="H45" s="248"/>
      <c r="I45" s="248"/>
      <c r="J45" s="248"/>
      <c r="K45" s="248"/>
      <c r="L45" s="248"/>
      <c r="M45" s="248"/>
      <c r="N45" s="248"/>
      <c r="O45" s="248"/>
      <c r="P45" s="248"/>
      <c r="Q45" s="248"/>
      <c r="R45" s="248"/>
      <c r="S45" s="248"/>
      <c r="T45" s="248"/>
      <c r="U45" s="248"/>
      <c r="V45" s="248"/>
      <c r="W45" s="248"/>
      <c r="X45" s="248"/>
      <c r="Y45" s="248"/>
      <c r="Z45" s="248"/>
      <c r="AA45" s="248"/>
      <c r="AB45" s="248"/>
      <c r="AC45" s="248"/>
      <c r="AD45" s="248"/>
      <c r="AE45" s="248"/>
      <c r="AF45" s="248"/>
    </row>
    <row r="46" spans="1:32" s="706" customFormat="1" ht="19.5" customHeight="1" x14ac:dyDescent="0.2">
      <c r="A46" s="703" t="str">
        <f t="shared" ca="1" si="1"/>
        <v>F</v>
      </c>
      <c r="B46" s="247">
        <f t="shared" ca="1" si="2"/>
        <v>31</v>
      </c>
      <c r="C46" s="826" t="str">
        <f ca="1">IF(AUTOEVENTO="Manual",OFFSET(EVENTOS!$D$15,$B46-$B$15,0),IF(B46&lt;=MAX(CÁLCULO!$M$15:$M$235),VLOOKUP($B46,CÁLCULO!$M$15:$N$235,2,FALSE),0))</f>
        <v>REDE PLUVIAL E ESGOTO</v>
      </c>
      <c r="D46" s="826"/>
      <c r="F46" s="248"/>
      <c r="H46" s="248"/>
      <c r="I46" s="248"/>
      <c r="J46" s="248"/>
      <c r="K46" s="248"/>
      <c r="L46" s="248"/>
      <c r="M46" s="248"/>
      <c r="N46" s="248"/>
      <c r="O46" s="248"/>
      <c r="P46" s="248"/>
      <c r="Q46" s="248"/>
      <c r="R46" s="248"/>
      <c r="S46" s="248"/>
      <c r="T46" s="248"/>
      <c r="U46" s="248"/>
      <c r="V46" s="248"/>
      <c r="W46" s="248"/>
      <c r="X46" s="248"/>
      <c r="Y46" s="248"/>
      <c r="Z46" s="248"/>
      <c r="AA46" s="248"/>
      <c r="AB46" s="248"/>
      <c r="AC46" s="248"/>
      <c r="AD46" s="248"/>
      <c r="AE46" s="248"/>
      <c r="AF46" s="248"/>
    </row>
    <row r="47" spans="1:32" s="706" customFormat="1" ht="19.5" customHeight="1" x14ac:dyDescent="0.2">
      <c r="A47" s="703" t="str">
        <f t="shared" ca="1" si="1"/>
        <v>F</v>
      </c>
      <c r="B47" s="247">
        <f t="shared" ca="1" si="2"/>
        <v>32</v>
      </c>
      <c r="C47" s="826" t="str">
        <f ca="1">IF(AUTOEVENTO="Manual",OFFSET(EVENTOS!$D$15,$B47-$B$15,0),IF(B47&lt;=MAX(CÁLCULO!$M$15:$M$235),VLOOKUP($B47,CÁLCULO!$M$15:$N$235,2,FALSE),0))</f>
        <v>ACABAMENTOS ELÉTRICOS</v>
      </c>
      <c r="D47" s="826"/>
      <c r="F47" s="248"/>
      <c r="H47" s="248"/>
      <c r="I47" s="248"/>
      <c r="J47" s="248"/>
      <c r="K47" s="248"/>
      <c r="L47" s="248"/>
      <c r="M47" s="248"/>
      <c r="N47" s="248"/>
      <c r="O47" s="248"/>
      <c r="P47" s="248"/>
      <c r="Q47" s="248"/>
      <c r="R47" s="248"/>
      <c r="S47" s="248"/>
      <c r="T47" s="248"/>
      <c r="U47" s="248"/>
      <c r="V47" s="248"/>
      <c r="W47" s="248"/>
      <c r="X47" s="248"/>
      <c r="Y47" s="248"/>
      <c r="Z47" s="248"/>
      <c r="AA47" s="248"/>
      <c r="AB47" s="248"/>
      <c r="AC47" s="248"/>
      <c r="AD47" s="248"/>
      <c r="AE47" s="248"/>
      <c r="AF47" s="248"/>
    </row>
    <row r="48" spans="1:32" s="706" customFormat="1" ht="19.5" customHeight="1" x14ac:dyDescent="0.2">
      <c r="A48" s="703" t="str">
        <f t="shared" ca="1" si="1"/>
        <v>F</v>
      </c>
      <c r="B48" s="247">
        <f t="shared" ca="1" si="2"/>
        <v>33</v>
      </c>
      <c r="C48" s="826" t="str">
        <f ca="1">IF(AUTOEVENTO="Manual",OFFSET(EVENTOS!$D$15,$B48-$B$15,0),IF(B48&lt;=MAX(CÁLCULO!$M$15:$M$235),VLOOKUP($B48,CÁLCULO!$M$15:$N$235,2,FALSE),0))</f>
        <v>LOUÇAS</v>
      </c>
      <c r="D48" s="826"/>
      <c r="F48" s="248"/>
      <c r="H48" s="248"/>
      <c r="I48" s="248"/>
      <c r="J48" s="248"/>
      <c r="K48" s="248"/>
      <c r="L48" s="248"/>
      <c r="M48" s="248"/>
      <c r="N48" s="248"/>
      <c r="O48" s="248"/>
      <c r="P48" s="248"/>
      <c r="Q48" s="248"/>
      <c r="R48" s="248"/>
      <c r="S48" s="248"/>
      <c r="T48" s="248"/>
      <c r="U48" s="248"/>
      <c r="V48" s="248"/>
      <c r="W48" s="248"/>
      <c r="X48" s="248"/>
      <c r="Y48" s="248"/>
      <c r="Z48" s="248"/>
      <c r="AA48" s="248"/>
      <c r="AB48" s="248"/>
      <c r="AC48" s="248"/>
      <c r="AD48" s="248"/>
      <c r="AE48" s="248"/>
      <c r="AF48" s="248"/>
    </row>
    <row r="49" spans="1:32" s="709" customFormat="1" ht="19.5" customHeight="1" x14ac:dyDescent="0.2">
      <c r="A49" s="707" t="str">
        <f t="shared" ca="1" si="1"/>
        <v>F</v>
      </c>
      <c r="B49" s="247">
        <f t="shared" ca="1" si="2"/>
        <v>34</v>
      </c>
      <c r="C49" s="826" t="str">
        <f ca="1">IF(AUTOEVENTO="Manual",OFFSET(EVENTOS!$D$15,$B49-$B$15,0),IF(B49&lt;=MAX(CÁLCULO!$M$15:$M$235),VLOOKUP($B49,CÁLCULO!$M$15:$N$235,2,FALSE),0))</f>
        <v xml:space="preserve">METAIS </v>
      </c>
      <c r="D49" s="826"/>
      <c r="F49" s="248"/>
      <c r="H49" s="248"/>
      <c r="I49" s="248"/>
      <c r="J49" s="248"/>
      <c r="K49" s="248"/>
      <c r="L49" s="248"/>
      <c r="M49" s="248"/>
      <c r="N49" s="248"/>
      <c r="O49" s="248"/>
      <c r="P49" s="248"/>
      <c r="Q49" s="248"/>
      <c r="R49" s="248"/>
      <c r="S49" s="248"/>
      <c r="T49" s="248"/>
      <c r="U49" s="248"/>
      <c r="V49" s="248"/>
      <c r="W49" s="248"/>
      <c r="X49" s="248"/>
      <c r="Y49" s="248"/>
      <c r="Z49" s="248"/>
      <c r="AA49" s="248"/>
      <c r="AB49" s="248"/>
      <c r="AC49" s="248"/>
      <c r="AD49" s="248"/>
      <c r="AE49" s="248"/>
      <c r="AF49" s="248"/>
    </row>
    <row r="50" spans="1:32" s="709" customFormat="1" ht="19.5" customHeight="1" x14ac:dyDescent="0.2">
      <c r="A50" s="707" t="str">
        <f t="shared" ca="1" si="1"/>
        <v>F</v>
      </c>
      <c r="B50" s="247">
        <f t="shared" ca="1" si="2"/>
        <v>35</v>
      </c>
      <c r="C50" s="826" t="str">
        <f ca="1">IF(AUTOEVENTO="Manual",OFFSET(EVENTOS!$D$15,$B50-$B$15,0),IF(B50&lt;=MAX(CÁLCULO!$M$15:$M$235),VLOOKUP($B50,CÁLCULO!$M$15:$N$235,2,FALSE),0))</f>
        <v>EQUIPAMENTOS</v>
      </c>
      <c r="D50" s="826"/>
      <c r="F50" s="248"/>
      <c r="H50" s="248"/>
      <c r="I50" s="248"/>
      <c r="J50" s="248"/>
      <c r="K50" s="248"/>
      <c r="L50" s="248"/>
      <c r="M50" s="248"/>
      <c r="N50" s="248"/>
      <c r="O50" s="248"/>
      <c r="P50" s="248"/>
      <c r="Q50" s="248"/>
      <c r="R50" s="248"/>
      <c r="S50" s="248"/>
      <c r="T50" s="248"/>
      <c r="U50" s="248"/>
      <c r="V50" s="248"/>
      <c r="W50" s="248"/>
      <c r="X50" s="248"/>
      <c r="Y50" s="248"/>
      <c r="Z50" s="248"/>
      <c r="AA50" s="248"/>
      <c r="AB50" s="248"/>
      <c r="AC50" s="248"/>
      <c r="AD50" s="248"/>
      <c r="AE50" s="248"/>
      <c r="AF50" s="248"/>
    </row>
    <row r="51" spans="1:32" s="709" customFormat="1" ht="19.5" customHeight="1" x14ac:dyDescent="0.2">
      <c r="A51" s="707" t="str">
        <f t="shared" ca="1" si="1"/>
        <v>F</v>
      </c>
      <c r="B51" s="247">
        <f t="shared" ca="1" si="2"/>
        <v>36</v>
      </c>
      <c r="C51" s="826" t="str">
        <f ca="1">IF(AUTOEVENTO="Manual",OFFSET(EVENTOS!$D$15,$B51-$B$15,0),IF(B51&lt;=MAX(CÁLCULO!$M$15:$M$235),VLOOKUP($B51,CÁLCULO!$M$15:$N$235,2,FALSE),0))</f>
        <v>ELÉTRICA EMBITIDA EM LAJE E FORROS</v>
      </c>
      <c r="D51" s="826"/>
      <c r="F51" s="248"/>
      <c r="H51" s="248"/>
      <c r="I51" s="248"/>
      <c r="J51" s="248"/>
      <c r="K51" s="248"/>
      <c r="L51" s="248"/>
      <c r="M51" s="248"/>
      <c r="N51" s="248"/>
      <c r="O51" s="248"/>
      <c r="P51" s="248"/>
      <c r="Q51" s="248"/>
      <c r="R51" s="248"/>
      <c r="S51" s="248"/>
      <c r="T51" s="248"/>
      <c r="U51" s="248"/>
      <c r="V51" s="248"/>
      <c r="W51" s="248"/>
      <c r="X51" s="248"/>
      <c r="Y51" s="248"/>
      <c r="Z51" s="248"/>
      <c r="AA51" s="248"/>
      <c r="AB51" s="248"/>
      <c r="AC51" s="248"/>
      <c r="AD51" s="248"/>
      <c r="AE51" s="248"/>
      <c r="AF51" s="248"/>
    </row>
    <row r="52" spans="1:32" s="709" customFormat="1" ht="19.5" customHeight="1" x14ac:dyDescent="0.2">
      <c r="A52" s="707" t="str">
        <f t="shared" ca="1" si="1"/>
        <v>F</v>
      </c>
      <c r="B52" s="247">
        <f t="shared" ca="1" si="2"/>
        <v>37</v>
      </c>
      <c r="C52" s="826" t="str">
        <f ca="1">IF(AUTOEVENTO="Manual",OFFSET(EVENTOS!$D$15,$B52-$B$15,0),IF(B52&lt;=MAX(CÁLCULO!$M$15:$M$235),VLOOKUP($B52,CÁLCULO!$M$15:$N$235,2,FALSE),0))</f>
        <v>ELÉTRICA EMBUTIDA EM PAREDE</v>
      </c>
      <c r="D52" s="826"/>
      <c r="F52" s="248"/>
      <c r="H52" s="248"/>
      <c r="I52" s="248"/>
      <c r="J52" s="248"/>
      <c r="K52" s="248"/>
      <c r="L52" s="248"/>
      <c r="M52" s="248"/>
      <c r="N52" s="248"/>
      <c r="O52" s="248"/>
      <c r="P52" s="248"/>
      <c r="Q52" s="248"/>
      <c r="R52" s="248"/>
      <c r="S52" s="248"/>
      <c r="T52" s="248"/>
      <c r="U52" s="248"/>
      <c r="V52" s="248"/>
      <c r="W52" s="248"/>
      <c r="X52" s="248"/>
      <c r="Y52" s="248"/>
      <c r="Z52" s="248"/>
      <c r="AA52" s="248"/>
      <c r="AB52" s="248"/>
      <c r="AC52" s="248"/>
      <c r="AD52" s="248"/>
      <c r="AE52" s="248"/>
      <c r="AF52" s="248"/>
    </row>
    <row r="53" spans="1:32" s="709" customFormat="1" ht="19.5" customHeight="1" x14ac:dyDescent="0.2">
      <c r="A53" s="707" t="str">
        <f t="shared" ca="1" si="1"/>
        <v>F</v>
      </c>
      <c r="B53" s="247">
        <f t="shared" ca="1" si="2"/>
        <v>38</v>
      </c>
      <c r="C53" s="826" t="str">
        <f ca="1">IF(AUTOEVENTO="Manual",OFFSET(EVENTOS!$D$15,$B53-$B$15,0),IF(B53&lt;=MAX(CÁLCULO!$M$15:$M$235),VLOOKUP($B53,CÁLCULO!$M$15:$N$235,2,FALSE),0))</f>
        <v>HIDRÁULICA EMBUTIDA EM PAREDE</v>
      </c>
      <c r="D53" s="826"/>
      <c r="F53" s="248"/>
      <c r="H53" s="248"/>
      <c r="I53" s="248"/>
      <c r="J53" s="248"/>
      <c r="K53" s="248"/>
      <c r="L53" s="248"/>
      <c r="M53" s="248"/>
      <c r="N53" s="248"/>
      <c r="O53" s="248"/>
      <c r="P53" s="248"/>
      <c r="Q53" s="248"/>
      <c r="R53" s="248"/>
      <c r="S53" s="248"/>
      <c r="T53" s="248"/>
      <c r="U53" s="248"/>
      <c r="V53" s="248"/>
      <c r="W53" s="248"/>
      <c r="X53" s="248"/>
      <c r="Y53" s="248"/>
      <c r="Z53" s="248"/>
      <c r="AA53" s="248"/>
      <c r="AB53" s="248"/>
      <c r="AC53" s="248"/>
      <c r="AD53" s="248"/>
      <c r="AE53" s="248"/>
      <c r="AF53" s="248"/>
    </row>
    <row r="54" spans="1:32" s="709" customFormat="1" ht="19.5" customHeight="1" x14ac:dyDescent="0.2">
      <c r="A54" s="707" t="str">
        <f t="shared" ca="1" si="1"/>
        <v>F</v>
      </c>
      <c r="B54" s="247">
        <f t="shared" ca="1" si="2"/>
        <v>39</v>
      </c>
      <c r="C54" s="826" t="str">
        <f ca="1">IF(AUTOEVENTO="Manual",OFFSET(EVENTOS!$D$15,$B54-$B$15,0),IF(B54&lt;=MAX(CÁLCULO!$M$15:$M$235),VLOOKUP($B54,CÁLCULO!$M$15:$N$235,2,FALSE),0))</f>
        <v>RESERVATÓRIO DE ÁGUA</v>
      </c>
      <c r="D54" s="826"/>
      <c r="F54" s="248"/>
      <c r="H54" s="248"/>
      <c r="I54" s="248"/>
      <c r="J54" s="248"/>
      <c r="K54" s="248"/>
      <c r="L54" s="248"/>
      <c r="M54" s="248"/>
      <c r="N54" s="248"/>
      <c r="O54" s="248"/>
      <c r="P54" s="248"/>
      <c r="Q54" s="248"/>
      <c r="R54" s="248"/>
      <c r="S54" s="248"/>
      <c r="T54" s="248"/>
      <c r="U54" s="248"/>
      <c r="V54" s="248"/>
      <c r="W54" s="248"/>
      <c r="X54" s="248"/>
      <c r="Y54" s="248"/>
      <c r="Z54" s="248"/>
      <c r="AA54" s="248"/>
      <c r="AB54" s="248"/>
      <c r="AC54" s="248"/>
      <c r="AD54" s="248"/>
      <c r="AE54" s="248"/>
      <c r="AF54" s="248"/>
    </row>
    <row r="55" spans="1:32" s="709" customFormat="1" ht="19.5" customHeight="1" x14ac:dyDescent="0.2">
      <c r="A55" s="707" t="str">
        <f t="shared" ca="1" si="1"/>
        <v>F</v>
      </c>
      <c r="B55" s="247">
        <f t="shared" ca="1" si="2"/>
        <v>40</v>
      </c>
      <c r="C55" s="826" t="str">
        <f ca="1">IF(AUTOEVENTO="Manual",OFFSET(EVENTOS!$D$15,$B55-$B$15,0),IF(B55&lt;=MAX(CÁLCULO!$M$15:$M$235),VLOOKUP($B55,CÁLCULO!$M$15:$N$235,2,FALSE),0))</f>
        <v>PLASTICOS E SINTÉTICOS</v>
      </c>
      <c r="D55" s="826"/>
      <c r="F55" s="248"/>
      <c r="H55" s="248"/>
      <c r="I55" s="248"/>
      <c r="J55" s="248"/>
      <c r="K55" s="248"/>
      <c r="L55" s="248"/>
      <c r="M55" s="248"/>
      <c r="N55" s="248"/>
      <c r="O55" s="248"/>
      <c r="P55" s="248"/>
      <c r="Q55" s="248"/>
      <c r="R55" s="248"/>
      <c r="S55" s="248"/>
      <c r="T55" s="248"/>
      <c r="U55" s="248"/>
      <c r="V55" s="248"/>
      <c r="W55" s="248"/>
      <c r="X55" s="248"/>
      <c r="Y55" s="248"/>
      <c r="Z55" s="248"/>
      <c r="AA55" s="248"/>
      <c r="AB55" s="248"/>
      <c r="AC55" s="248"/>
      <c r="AD55" s="248"/>
      <c r="AE55" s="248"/>
      <c r="AF55" s="248"/>
    </row>
    <row r="56" spans="1:32" s="709" customFormat="1" ht="19.5" customHeight="1" x14ac:dyDescent="0.2">
      <c r="A56" s="707" t="str">
        <f t="shared" ca="1" si="1"/>
        <v>F</v>
      </c>
      <c r="B56" s="247">
        <f t="shared" ca="1" si="2"/>
        <v>41</v>
      </c>
      <c r="C56" s="826" t="str">
        <f ca="1">IF(AUTOEVENTO="Manual",OFFSET(EVENTOS!$D$15,$B56-$B$15,0),IF(B56&lt;=MAX(CÁLCULO!$M$15:$M$235),VLOOKUP($B56,CÁLCULO!$M$15:$N$235,2,FALSE),0))</f>
        <v>LIMPEZA FINAL DA OBRA</v>
      </c>
      <c r="D56" s="826"/>
      <c r="F56" s="248"/>
      <c r="H56" s="248"/>
      <c r="I56" s="248"/>
      <c r="J56" s="248"/>
      <c r="K56" s="248"/>
      <c r="L56" s="248"/>
      <c r="M56" s="248"/>
      <c r="N56" s="248"/>
      <c r="O56" s="248"/>
      <c r="P56" s="248"/>
      <c r="Q56" s="248"/>
      <c r="R56" s="248"/>
      <c r="S56" s="248"/>
      <c r="T56" s="248"/>
      <c r="U56" s="248"/>
      <c r="V56" s="248"/>
      <c r="W56" s="248"/>
      <c r="X56" s="248"/>
      <c r="Y56" s="248"/>
      <c r="Z56" s="248"/>
      <c r="AA56" s="248"/>
      <c r="AB56" s="248"/>
      <c r="AC56" s="248"/>
      <c r="AD56" s="248"/>
      <c r="AE56" s="248"/>
      <c r="AF56" s="248"/>
    </row>
    <row r="57" spans="1:32" s="709" customFormat="1" ht="19.5" customHeight="1" x14ac:dyDescent="0.2">
      <c r="A57" s="707" t="str">
        <f t="shared" ca="1" si="1"/>
        <v/>
      </c>
      <c r="B57" s="247">
        <f t="shared" ca="1" si="2"/>
        <v>42</v>
      </c>
      <c r="C57" s="826">
        <f ca="1">IF(AUTOEVENTO="Manual",OFFSET(EVENTOS!$D$15,$B57-$B$15,0),IF(B57&lt;=MAX(CÁLCULO!$M$15:$M$235),VLOOKUP($B57,CÁLCULO!$M$15:$N$235,2,FALSE),0))</f>
        <v>0</v>
      </c>
      <c r="D57" s="826"/>
      <c r="F57" s="248"/>
      <c r="H57" s="248"/>
      <c r="I57" s="248"/>
      <c r="J57" s="248"/>
      <c r="K57" s="248"/>
      <c r="L57" s="248"/>
      <c r="M57" s="248"/>
      <c r="N57" s="248"/>
      <c r="O57" s="248"/>
      <c r="P57" s="248"/>
      <c r="Q57" s="248"/>
      <c r="R57" s="248"/>
      <c r="S57" s="248"/>
      <c r="T57" s="248"/>
      <c r="U57" s="248"/>
      <c r="V57" s="248"/>
      <c r="W57" s="248"/>
      <c r="X57" s="248"/>
      <c r="Y57" s="248"/>
      <c r="Z57" s="248"/>
      <c r="AA57" s="248"/>
      <c r="AB57" s="248"/>
      <c r="AC57" s="248"/>
      <c r="AD57" s="248"/>
      <c r="AE57" s="248"/>
      <c r="AF57" s="248"/>
    </row>
    <row r="58" spans="1:32" ht="4.5" customHeight="1" x14ac:dyDescent="0.2">
      <c r="A58" s="7" t="s">
        <v>536</v>
      </c>
      <c r="B58" s="616"/>
      <c r="C58" s="617"/>
      <c r="D58" s="419"/>
      <c r="F58" s="634"/>
      <c r="H58" s="616"/>
      <c r="I58" s="617"/>
      <c r="J58" s="617"/>
      <c r="K58" s="617"/>
      <c r="L58" s="617"/>
      <c r="M58" s="617"/>
      <c r="N58" s="617"/>
      <c r="O58" s="617"/>
      <c r="P58" s="617"/>
      <c r="Q58" s="617"/>
      <c r="R58" s="617"/>
      <c r="S58" s="617"/>
      <c r="T58" s="617"/>
      <c r="U58" s="617"/>
      <c r="V58" s="617"/>
      <c r="W58" s="617"/>
      <c r="X58" s="617"/>
      <c r="Y58" s="617"/>
      <c r="Z58" s="617"/>
      <c r="AA58" s="617"/>
      <c r="AB58" s="617"/>
      <c r="AC58" s="617"/>
      <c r="AD58" s="617"/>
      <c r="AE58" s="617"/>
      <c r="AF58" s="419"/>
    </row>
    <row r="59" spans="1:32" x14ac:dyDescent="0.2">
      <c r="A59" s="7" t="s">
        <v>536</v>
      </c>
    </row>
    <row r="60" spans="1:32" x14ac:dyDescent="0.2">
      <c r="A60" s="7" t="s">
        <v>536</v>
      </c>
      <c r="I60" s="833" t="s">
        <v>839</v>
      </c>
      <c r="J60" s="833"/>
      <c r="K60" s="833"/>
      <c r="L60" s="833"/>
      <c r="M60" s="833"/>
      <c r="N60" s="833"/>
      <c r="O60" s="833"/>
      <c r="P60" s="833"/>
      <c r="Q60" s="833"/>
      <c r="R60" s="833"/>
      <c r="S60" s="833"/>
      <c r="T60" s="833"/>
      <c r="U60" s="833"/>
      <c r="V60" s="833"/>
      <c r="W60" s="833"/>
      <c r="X60" s="833"/>
      <c r="Y60" s="833"/>
      <c r="Z60" s="833"/>
      <c r="AA60" s="833"/>
      <c r="AB60" s="833"/>
      <c r="AC60" s="833"/>
      <c r="AD60" s="833"/>
      <c r="AE60" s="833"/>
      <c r="AF60" s="833"/>
    </row>
    <row r="61" spans="1:32" x14ac:dyDescent="0.2">
      <c r="A61" s="7" t="s">
        <v>536</v>
      </c>
      <c r="H61" s="581" t="str">
        <f>IF(INDEX($I$61:$AG$61,MATCH(PLE.Medicao,$I$62:$AG$62,0))="","Preencher a data da medição "&amp;PLE.Medicao,"")</f>
        <v>Preencher a data da medição 1</v>
      </c>
      <c r="I61" s="842"/>
      <c r="J61" s="827"/>
      <c r="K61" s="827"/>
      <c r="L61" s="827"/>
      <c r="M61" s="827"/>
      <c r="N61" s="827"/>
      <c r="O61" s="827"/>
      <c r="P61" s="827"/>
      <c r="Q61" s="827"/>
      <c r="R61" s="827"/>
      <c r="S61" s="827"/>
      <c r="T61" s="827"/>
      <c r="U61" s="827"/>
      <c r="V61" s="827"/>
      <c r="W61" s="827"/>
      <c r="X61" s="827"/>
      <c r="Y61" s="827"/>
      <c r="Z61" s="827"/>
      <c r="AA61" s="827"/>
      <c r="AB61" s="827"/>
      <c r="AC61" s="827"/>
      <c r="AD61" s="827"/>
      <c r="AE61" s="827"/>
      <c r="AF61" s="834"/>
    </row>
    <row r="62" spans="1:32" x14ac:dyDescent="0.2">
      <c r="A62" s="7" t="s">
        <v>536</v>
      </c>
      <c r="D62" s="269" t="s">
        <v>840</v>
      </c>
      <c r="I62" s="829">
        <f>IF(PLE.Medicao&lt;=12,1,TRUNC((PLE.Medicao - 2)/11,0) * 11 + 1)</f>
        <v>1</v>
      </c>
      <c r="J62" s="829"/>
      <c r="K62" s="829">
        <f>I62+1</f>
        <v>2</v>
      </c>
      <c r="L62" s="829"/>
      <c r="M62" s="829">
        <f>K62+1</f>
        <v>3</v>
      </c>
      <c r="N62" s="829"/>
      <c r="O62" s="829">
        <f>M62+1</f>
        <v>4</v>
      </c>
      <c r="P62" s="829"/>
      <c r="Q62" s="829">
        <f>O62+1</f>
        <v>5</v>
      </c>
      <c r="R62" s="829"/>
      <c r="S62" s="829">
        <f>Q62+1</f>
        <v>6</v>
      </c>
      <c r="T62" s="829"/>
      <c r="U62" s="829">
        <f>S62+1</f>
        <v>7</v>
      </c>
      <c r="V62" s="829"/>
      <c r="W62" s="829">
        <f>U62+1</f>
        <v>8</v>
      </c>
      <c r="X62" s="829"/>
      <c r="Y62" s="829">
        <f>W62+1</f>
        <v>9</v>
      </c>
      <c r="Z62" s="829"/>
      <c r="AA62" s="829">
        <f>Y62+1</f>
        <v>10</v>
      </c>
      <c r="AB62" s="829"/>
      <c r="AC62" s="829">
        <f>AA62+1</f>
        <v>11</v>
      </c>
      <c r="AD62" s="829"/>
      <c r="AE62" s="829">
        <f>AC62+1</f>
        <v>12</v>
      </c>
      <c r="AF62" s="829"/>
    </row>
    <row r="63" spans="1:32" x14ac:dyDescent="0.2">
      <c r="A63" s="7" t="s">
        <v>536</v>
      </c>
      <c r="D63" s="841" t="s">
        <v>799</v>
      </c>
      <c r="H63" s="270" t="s">
        <v>781</v>
      </c>
      <c r="I63" s="843">
        <f ca="1">ROUND(I64,2)/ORÇAMENTO!$X$15</f>
        <v>0</v>
      </c>
      <c r="J63" s="843"/>
      <c r="K63" s="828">
        <f ca="1">ROUND(K64,2)/ORÇAMENTO!$X$15</f>
        <v>0</v>
      </c>
      <c r="L63" s="828"/>
      <c r="M63" s="828">
        <f ca="1">ROUND(M64,2)/ORÇAMENTO!$X$15</f>
        <v>0</v>
      </c>
      <c r="N63" s="828"/>
      <c r="O63" s="828">
        <f ca="1">ROUND(O64,2)/ORÇAMENTO!$X$15</f>
        <v>0</v>
      </c>
      <c r="P63" s="828"/>
      <c r="Q63" s="828">
        <f ca="1">ROUND(Q64,2)/ORÇAMENTO!$X$15</f>
        <v>0</v>
      </c>
      <c r="R63" s="828"/>
      <c r="S63" s="828">
        <f ca="1">ROUND(S64,2)/ORÇAMENTO!$X$15</f>
        <v>0</v>
      </c>
      <c r="T63" s="828"/>
      <c r="U63" s="828">
        <f ca="1">ROUND(U64,2)/ORÇAMENTO!$X$15</f>
        <v>0</v>
      </c>
      <c r="V63" s="828"/>
      <c r="W63" s="828">
        <f ca="1">ROUND(W64,2)/ORÇAMENTO!$X$15</f>
        <v>0</v>
      </c>
      <c r="X63" s="828"/>
      <c r="Y63" s="828">
        <f ca="1">ROUND(Y64,2)/ORÇAMENTO!$X$15</f>
        <v>0</v>
      </c>
      <c r="Z63" s="828"/>
      <c r="AA63" s="828">
        <f ca="1">ROUND(AA64,2)/ORÇAMENTO!$X$15</f>
        <v>0</v>
      </c>
      <c r="AB63" s="828"/>
      <c r="AC63" s="828">
        <f ca="1">ROUND(AC64,2)/ORÇAMENTO!$X$15</f>
        <v>0</v>
      </c>
      <c r="AD63" s="828"/>
      <c r="AE63" s="828">
        <f ca="1">ROUND(AE64,2)/ORÇAMENTO!$X$15</f>
        <v>0</v>
      </c>
      <c r="AF63" s="828"/>
    </row>
    <row r="64" spans="1:32" x14ac:dyDescent="0.2">
      <c r="A64" s="7" t="s">
        <v>536</v>
      </c>
      <c r="D64" s="841"/>
      <c r="H64" s="11" t="s">
        <v>782</v>
      </c>
      <c r="I64" s="831">
        <f t="array" aca="1" ref="I64" ca="1">IF(I62=1,I66,ROUND(I66,2)-ROUND(SUMIF(CÁLCULO!$BV$15:$CN$235,"&lt;="&amp;PLE!I62-1,CÁLCULO!$AJ$15:$BB$235)*IF(AdmLocal="Automática",(1+CÁLCULO.TotalAdmLocal/(ORÇAMENTO!$X$15-CÁLCULO.TotalAdmLocal)),1),2))</f>
        <v>0</v>
      </c>
      <c r="J64" s="831"/>
      <c r="K64" s="831">
        <f ca="1">ROUND(K66,2)-ROUND(I66,2)</f>
        <v>0</v>
      </c>
      <c r="L64" s="831"/>
      <c r="M64" s="831">
        <f ca="1">ROUND(M66,2)-ROUND(K66,2)</f>
        <v>0</v>
      </c>
      <c r="N64" s="831"/>
      <c r="O64" s="831">
        <f ca="1">ROUND(O66,2)-ROUND(M66,2)</f>
        <v>0</v>
      </c>
      <c r="P64" s="831"/>
      <c r="Q64" s="831">
        <f ca="1">ROUND(Q66,2)-ROUND(O66,2)</f>
        <v>0</v>
      </c>
      <c r="R64" s="831"/>
      <c r="S64" s="831">
        <f ca="1">ROUND(S66,2)-ROUND(Q66,2)</f>
        <v>0</v>
      </c>
      <c r="T64" s="831"/>
      <c r="U64" s="831">
        <f ca="1">ROUND(U66,2)-ROUND(S66,2)</f>
        <v>0</v>
      </c>
      <c r="V64" s="831"/>
      <c r="W64" s="831">
        <f ca="1">ROUND(W66,2)-ROUND(U66,2)</f>
        <v>0</v>
      </c>
      <c r="X64" s="831"/>
      <c r="Y64" s="831">
        <f ca="1">ROUND(Y66,2)-ROUND(W66,2)</f>
        <v>0</v>
      </c>
      <c r="Z64" s="831"/>
      <c r="AA64" s="831">
        <f ca="1">ROUND(AA66,2)-ROUND(Y66,2)</f>
        <v>0</v>
      </c>
      <c r="AB64" s="831"/>
      <c r="AC64" s="831">
        <f ca="1">ROUND(AC66,2)-ROUND(AA66,2)</f>
        <v>0</v>
      </c>
      <c r="AD64" s="831"/>
      <c r="AE64" s="831">
        <f ca="1">ROUND(AE66,2)-ROUND(AC66,2)</f>
        <v>0</v>
      </c>
      <c r="AF64" s="831"/>
    </row>
    <row r="65" spans="1:32" x14ac:dyDescent="0.2">
      <c r="A65" s="7" t="s">
        <v>536</v>
      </c>
      <c r="D65" s="841" t="s">
        <v>803</v>
      </c>
      <c r="H65" s="270" t="s">
        <v>781</v>
      </c>
      <c r="I65" s="845">
        <f ca="1">ROUND(I66,2)/ORÇAMENTO!$X$15</f>
        <v>0</v>
      </c>
      <c r="J65" s="845"/>
      <c r="K65" s="830">
        <f ca="1">ROUND(K66,2)/ORÇAMENTO!$X$15</f>
        <v>0</v>
      </c>
      <c r="L65" s="830"/>
      <c r="M65" s="830">
        <f ca="1">ROUND(M66,2)/ORÇAMENTO!$X$15</f>
        <v>0</v>
      </c>
      <c r="N65" s="830"/>
      <c r="O65" s="830">
        <f ca="1">ROUND(O66,2)/ORÇAMENTO!$X$15</f>
        <v>0</v>
      </c>
      <c r="P65" s="830"/>
      <c r="Q65" s="830">
        <f ca="1">ROUND(Q66,2)/ORÇAMENTO!$X$15</f>
        <v>0</v>
      </c>
      <c r="R65" s="830"/>
      <c r="S65" s="830">
        <f ca="1">ROUND(S66,2)/ORÇAMENTO!$X$15</f>
        <v>0</v>
      </c>
      <c r="T65" s="830"/>
      <c r="U65" s="830">
        <f ca="1">ROUND(U66,2)/ORÇAMENTO!$X$15</f>
        <v>0</v>
      </c>
      <c r="V65" s="830"/>
      <c r="W65" s="830">
        <f ca="1">ROUND(W66,2)/ORÇAMENTO!$X$15</f>
        <v>0</v>
      </c>
      <c r="X65" s="830"/>
      <c r="Y65" s="830">
        <f ca="1">ROUND(Y66,2)/ORÇAMENTO!$X$15</f>
        <v>0</v>
      </c>
      <c r="Z65" s="830"/>
      <c r="AA65" s="830">
        <f ca="1">ROUND(AA66,2)/ORÇAMENTO!$X$15</f>
        <v>0</v>
      </c>
      <c r="AB65" s="830"/>
      <c r="AC65" s="830">
        <f ca="1">ROUND(AC66,2)/ORÇAMENTO!$X$15</f>
        <v>0</v>
      </c>
      <c r="AD65" s="830"/>
      <c r="AE65" s="830">
        <f ca="1">ROUND(AE66,2)/ORÇAMENTO!$X$15</f>
        <v>0</v>
      </c>
      <c r="AF65" s="830"/>
    </row>
    <row r="66" spans="1:32" x14ac:dyDescent="0.2">
      <c r="A66" s="7" t="s">
        <v>536</v>
      </c>
      <c r="D66" s="841"/>
      <c r="H66" s="11" t="s">
        <v>782</v>
      </c>
      <c r="I66" s="844">
        <f t="array" aca="1" ref="I66" ca="1">SUMIF(CÁLCULO!$BV$15:$CN$235,"&lt;="&amp;PLE!I62,CÁLCULO!$AJ$15:$BB$235)*IF(AdmLocal="Automática",(1+CÁLCULO.TotalAdmLocal/(ORÇAMENTO!$X$15-CÁLCULO.TotalAdmLocal)),1)</f>
        <v>0</v>
      </c>
      <c r="J66" s="844"/>
      <c r="K66" s="831">
        <f t="array" aca="1" ref="K66" ca="1">SUMIF(CÁLCULO!$BV$15:$CN$235,"&lt;="&amp;PLE!K62,CÁLCULO!$AJ$15:$BB$235)*IF(AdmLocal="Automática",(1+CÁLCULO.TotalAdmLocal/(ORÇAMENTO!$X$15-CÁLCULO.TotalAdmLocal)),1)</f>
        <v>0</v>
      </c>
      <c r="L66" s="831"/>
      <c r="M66" s="831">
        <f t="array" aca="1" ref="M66" ca="1">SUMIF(CÁLCULO!$BV$15:$CN$235,"&lt;="&amp;PLE!M62,CÁLCULO!$AJ$15:$BB$235)*IF(AdmLocal="Automática",(1+CÁLCULO.TotalAdmLocal/(ORÇAMENTO!$X$15-CÁLCULO.TotalAdmLocal)),1)</f>
        <v>0</v>
      </c>
      <c r="N66" s="831"/>
      <c r="O66" s="831">
        <f t="array" aca="1" ref="O66" ca="1">SUMIF(CÁLCULO!$BV$15:$CN$235,"&lt;="&amp;PLE!O62,CÁLCULO!$AJ$15:$BB$235)*IF(AdmLocal="Automática",(1+CÁLCULO.TotalAdmLocal/(ORÇAMENTO!$X$15-CÁLCULO.TotalAdmLocal)),1)</f>
        <v>0</v>
      </c>
      <c r="P66" s="831"/>
      <c r="Q66" s="831">
        <f t="array" aca="1" ref="Q66" ca="1">SUMIF(CÁLCULO!$BV$15:$CN$235,"&lt;="&amp;PLE!Q62,CÁLCULO!$AJ$15:$BB$235)*IF(AdmLocal="Automática",(1+CÁLCULO.TotalAdmLocal/(ORÇAMENTO!$X$15-CÁLCULO.TotalAdmLocal)),1)</f>
        <v>0</v>
      </c>
      <c r="R66" s="831"/>
      <c r="S66" s="831">
        <f t="array" aca="1" ref="S66" ca="1">SUMIF(CÁLCULO!$BV$15:$CN$235,"&lt;="&amp;PLE!S62,CÁLCULO!$AJ$15:$BB$235)*IF(AdmLocal="Automática",(1+CÁLCULO.TotalAdmLocal/(ORÇAMENTO!$X$15-CÁLCULO.TotalAdmLocal)),1)</f>
        <v>0</v>
      </c>
      <c r="T66" s="831"/>
      <c r="U66" s="831">
        <f t="array" aca="1" ref="U66" ca="1">SUMIF(CÁLCULO!$BV$15:$CN$235,"&lt;="&amp;PLE!U62,CÁLCULO!$AJ$15:$BB$235)*IF(AdmLocal="Automática",(1+CÁLCULO.TotalAdmLocal/(ORÇAMENTO!$X$15-CÁLCULO.TotalAdmLocal)),1)</f>
        <v>0</v>
      </c>
      <c r="V66" s="831"/>
      <c r="W66" s="831">
        <f t="array" aca="1" ref="W66" ca="1">SUMIF(CÁLCULO!$BV$15:$CN$235,"&lt;="&amp;PLE!W62,CÁLCULO!$AJ$15:$BB$235)*IF(AdmLocal="Automática",(1+CÁLCULO.TotalAdmLocal/(ORÇAMENTO!$X$15-CÁLCULO.TotalAdmLocal)),1)</f>
        <v>0</v>
      </c>
      <c r="X66" s="831"/>
      <c r="Y66" s="831">
        <f t="array" aca="1" ref="Y66" ca="1">SUMIF(CÁLCULO!$BV$15:$CN$235,"&lt;="&amp;PLE!Y62,CÁLCULO!$AJ$15:$BB$235)*IF(AdmLocal="Automática",(1+CÁLCULO.TotalAdmLocal/(ORÇAMENTO!$X$15-CÁLCULO.TotalAdmLocal)),1)</f>
        <v>0</v>
      </c>
      <c r="Z66" s="831"/>
      <c r="AA66" s="831">
        <f t="array" aca="1" ref="AA66" ca="1">SUMIF(CÁLCULO!$BV$15:$CN$235,"&lt;="&amp;PLE!AA62,CÁLCULO!$AJ$15:$BB$235)*IF(AdmLocal="Automática",(1+CÁLCULO.TotalAdmLocal/(ORÇAMENTO!$X$15-CÁLCULO.TotalAdmLocal)),1)</f>
        <v>0</v>
      </c>
      <c r="AB66" s="831"/>
      <c r="AC66" s="831">
        <f t="array" aca="1" ref="AC66" ca="1">SUMIF(CÁLCULO!$BV$15:$CN$235,"&lt;="&amp;PLE!AC62,CÁLCULO!$AJ$15:$BB$235)*IF(AdmLocal="Automática",(1+CÁLCULO.TotalAdmLocal/(ORÇAMENTO!$X$15-CÁLCULO.TotalAdmLocal)),1)</f>
        <v>0</v>
      </c>
      <c r="AD66" s="831"/>
      <c r="AE66" s="831">
        <f t="array" aca="1" ref="AE66" ca="1">SUMIF(CÁLCULO!$BV$15:$CN$235,"&lt;="&amp;PLE!AE62,CÁLCULO!$AJ$15:$BB$235)*IF(AdmLocal="Automática",(1+CÁLCULO.TotalAdmLocal/(ORÇAMENTO!$X$15-CÁLCULO.TotalAdmLocal)),1)</f>
        <v>0</v>
      </c>
      <c r="AF66" s="831"/>
    </row>
    <row r="67" spans="1:32" ht="12.75" customHeight="1" x14ac:dyDescent="0.2">
      <c r="A67" s="7"/>
      <c r="D67" s="550" t="s">
        <v>784</v>
      </c>
      <c r="H67" s="549" t="s">
        <v>781</v>
      </c>
      <c r="I67" s="786">
        <f ca="1">IF(OR(ACOMPANHAMENTO&lt;&gt;"PLE",I62&gt;PLE.Medicao),0,
   IF(AUTOEVENTO="Manual",
      IF(AdmLocal="Automática",I65,
         IF(Import.EventoAdmLocal="","",SUMIF(OFFSET($G$14,CRONOPLE!$A$8+1,1,1,OFFSET($AG$12,0,-1)),"&lt;="&amp;I62,OFFSET(EVENTOS!$G$14,CRONOPLE!$A$8+1,1,1,OFFSET($AG$12,0,-1)))/OFFSET(EVENTOS!$G$14,CRONOPLE!$A$8+1,-1))),
      IF(Import.EventoAdmLocal="","",SUMIF(OFFSET(CÁLCULO!$BU$15,CRONOPLE!$A$10,1,OFFSET(ORÇAMENTO!$D$15,CRONOPLE!$A$10,0),COLUMN(CÁLCULO!$CN$15)-COLUMN(CÁLCULO!$BU$15)-1),"&lt;="&amp;I62,OFFSET(CÁLCULO!$AI$15,CRONOPLE!$A$10,1,OFFSET(ORÇAMENTO!$D$15,CRONOPLE!$A$10,0),COLUMN(CÁLCULO!$BB$15)-COLUMN(CÁLCULO!$AI$15)-1))/OFFSET(ORÇAMENTO!$X$15,CRONOPLE!$A$10,0))))</f>
        <v>0</v>
      </c>
      <c r="J67" s="786"/>
      <c r="K67" s="786">
        <f ca="1">IF(OR(ACOMPANHAMENTO&lt;&gt;"PLE",K62&gt;PLE.Medicao),0,
   IF(AUTOEVENTO="Manual",
      IF(AdmLocal="Automática",K65,
         IF(Import.EventoAdmLocal="","",SUMIF(OFFSET($G$14,CRONOPLE!$A$8+1,1,1,OFFSET($AG$12,0,-1)),"&lt;="&amp;K62,OFFSET(EVENTOS!$G$14,CRONOPLE!$A$8+1,1,1,OFFSET($AG$12,0,-1)))/OFFSET(EVENTOS!$G$14,CRONOPLE!$A$8+1,-1))),
      IF(Import.EventoAdmLocal="","",SUMIF(OFFSET(CÁLCULO!$BU$15,CRONOPLE!$A$10,1,OFFSET(ORÇAMENTO!$D$15,CRONOPLE!$A$10,0),COLUMN(CÁLCULO!$CN$15)-COLUMN(CÁLCULO!$BU$15)-1),"&lt;="&amp;K62,OFFSET(CÁLCULO!$AI$15,CRONOPLE!$A$10,1,OFFSET(ORÇAMENTO!$D$15,CRONOPLE!$A$10,0),COLUMN(CÁLCULO!$BB$15)-COLUMN(CÁLCULO!$AI$15)-1))/OFFSET(ORÇAMENTO!$X$15,CRONOPLE!$A$10,0))))</f>
        <v>0</v>
      </c>
      <c r="L67" s="786"/>
      <c r="M67" s="786">
        <f ca="1">IF(OR(ACOMPANHAMENTO&lt;&gt;"PLE",M62&gt;PLE.Medicao),0,
   IF(AUTOEVENTO="Manual",
      IF(AdmLocal="Automática",M65,
         IF(Import.EventoAdmLocal="","",SUMIF(OFFSET($G$14,CRONOPLE!$A$8+1,1,1,OFFSET($AG$12,0,-1)),"&lt;="&amp;M62,OFFSET(EVENTOS!$G$14,CRONOPLE!$A$8+1,1,1,OFFSET($AG$12,0,-1)))/OFFSET(EVENTOS!$G$14,CRONOPLE!$A$8+1,-1))),
      IF(Import.EventoAdmLocal="","",SUMIF(OFFSET(CÁLCULO!$BU$15,CRONOPLE!$A$10,1,OFFSET(ORÇAMENTO!$D$15,CRONOPLE!$A$10,0),COLUMN(CÁLCULO!$CN$15)-COLUMN(CÁLCULO!$BU$15)-1),"&lt;="&amp;M62,OFFSET(CÁLCULO!$AI$15,CRONOPLE!$A$10,1,OFFSET(ORÇAMENTO!$D$15,CRONOPLE!$A$10,0),COLUMN(CÁLCULO!$BB$15)-COLUMN(CÁLCULO!$AI$15)-1))/OFFSET(ORÇAMENTO!$X$15,CRONOPLE!$A$10,0))))</f>
        <v>0</v>
      </c>
      <c r="N67" s="786"/>
      <c r="O67" s="786">
        <f ca="1">IF(OR(ACOMPANHAMENTO&lt;&gt;"PLE",O62&gt;PLE.Medicao),0,
   IF(AUTOEVENTO="Manual",
      IF(AdmLocal="Automática",O65,
         IF(Import.EventoAdmLocal="","",SUMIF(OFFSET($G$14,CRONOPLE!$A$8+1,1,1,OFFSET($AG$12,0,-1)),"&lt;="&amp;O62,OFFSET(EVENTOS!$G$14,CRONOPLE!$A$8+1,1,1,OFFSET($AG$12,0,-1)))/OFFSET(EVENTOS!$G$14,CRONOPLE!$A$8+1,-1))),
      IF(Import.EventoAdmLocal="","",SUMIF(OFFSET(CÁLCULO!$BU$15,CRONOPLE!$A$10,1,OFFSET(ORÇAMENTO!$D$15,CRONOPLE!$A$10,0),COLUMN(CÁLCULO!$CN$15)-COLUMN(CÁLCULO!$BU$15)-1),"&lt;="&amp;O62,OFFSET(CÁLCULO!$AI$15,CRONOPLE!$A$10,1,OFFSET(ORÇAMENTO!$D$15,CRONOPLE!$A$10,0),COLUMN(CÁLCULO!$BB$15)-COLUMN(CÁLCULO!$AI$15)-1))/OFFSET(ORÇAMENTO!$X$15,CRONOPLE!$A$10,0))))</f>
        <v>0</v>
      </c>
      <c r="P67" s="786"/>
      <c r="Q67" s="786">
        <f ca="1">IF(OR(ACOMPANHAMENTO&lt;&gt;"PLE",Q62&gt;PLE.Medicao),0,
   IF(AUTOEVENTO="Manual",
      IF(AdmLocal="Automática",Q65,
         IF(Import.EventoAdmLocal="","",SUMIF(OFFSET($G$14,CRONOPLE!$A$8+1,1,1,OFFSET($AG$12,0,-1)),"&lt;="&amp;Q62,OFFSET(EVENTOS!$G$14,CRONOPLE!$A$8+1,1,1,OFFSET($AG$12,0,-1)))/OFFSET(EVENTOS!$G$14,CRONOPLE!$A$8+1,-1))),
      IF(Import.EventoAdmLocal="","",SUMIF(OFFSET(CÁLCULO!$BU$15,CRONOPLE!$A$10,1,OFFSET(ORÇAMENTO!$D$15,CRONOPLE!$A$10,0),COLUMN(CÁLCULO!$CN$15)-COLUMN(CÁLCULO!$BU$15)-1),"&lt;="&amp;Q62,OFFSET(CÁLCULO!$AI$15,CRONOPLE!$A$10,1,OFFSET(ORÇAMENTO!$D$15,CRONOPLE!$A$10,0),COLUMN(CÁLCULO!$BB$15)-COLUMN(CÁLCULO!$AI$15)-1))/OFFSET(ORÇAMENTO!$X$15,CRONOPLE!$A$10,0))))</f>
        <v>0</v>
      </c>
      <c r="R67" s="786"/>
      <c r="S67" s="786">
        <f ca="1">IF(OR(ACOMPANHAMENTO&lt;&gt;"PLE",S62&gt;PLE.Medicao),0,
   IF(AUTOEVENTO="Manual",
      IF(AdmLocal="Automática",S65,
         IF(Import.EventoAdmLocal="","",SUMIF(OFFSET($G$14,CRONOPLE!$A$8+1,1,1,OFFSET($AG$12,0,-1)),"&lt;="&amp;S62,OFFSET(EVENTOS!$G$14,CRONOPLE!$A$8+1,1,1,OFFSET($AG$12,0,-1)))/OFFSET(EVENTOS!$G$14,CRONOPLE!$A$8+1,-1))),
      IF(Import.EventoAdmLocal="","",SUMIF(OFFSET(CÁLCULO!$BU$15,CRONOPLE!$A$10,1,OFFSET(ORÇAMENTO!$D$15,CRONOPLE!$A$10,0),COLUMN(CÁLCULO!$CN$15)-COLUMN(CÁLCULO!$BU$15)-1),"&lt;="&amp;S62,OFFSET(CÁLCULO!$AI$15,CRONOPLE!$A$10,1,OFFSET(ORÇAMENTO!$D$15,CRONOPLE!$A$10,0),COLUMN(CÁLCULO!$BB$15)-COLUMN(CÁLCULO!$AI$15)-1))/OFFSET(ORÇAMENTO!$X$15,CRONOPLE!$A$10,0))))</f>
        <v>0</v>
      </c>
      <c r="T67" s="786"/>
      <c r="U67" s="786">
        <f ca="1">IF(OR(ACOMPANHAMENTO&lt;&gt;"PLE",U62&gt;PLE.Medicao),0,
   IF(AUTOEVENTO="Manual",
      IF(AdmLocal="Automática",U65,
         IF(Import.EventoAdmLocal="","",SUMIF(OFFSET($G$14,CRONOPLE!$A$8+1,1,1,OFFSET($AG$12,0,-1)),"&lt;="&amp;U62,OFFSET(EVENTOS!$G$14,CRONOPLE!$A$8+1,1,1,OFFSET($AG$12,0,-1)))/OFFSET(EVENTOS!$G$14,CRONOPLE!$A$8+1,-1))),
      IF(Import.EventoAdmLocal="","",SUMIF(OFFSET(CÁLCULO!$BU$15,CRONOPLE!$A$10,1,OFFSET(ORÇAMENTO!$D$15,CRONOPLE!$A$10,0),COLUMN(CÁLCULO!$CN$15)-COLUMN(CÁLCULO!$BU$15)-1),"&lt;="&amp;U62,OFFSET(CÁLCULO!$AI$15,CRONOPLE!$A$10,1,OFFSET(ORÇAMENTO!$D$15,CRONOPLE!$A$10,0),COLUMN(CÁLCULO!$BB$15)-COLUMN(CÁLCULO!$AI$15)-1))/OFFSET(ORÇAMENTO!$X$15,CRONOPLE!$A$10,0))))</f>
        <v>0</v>
      </c>
      <c r="V67" s="786"/>
      <c r="W67" s="786">
        <f ca="1">IF(OR(ACOMPANHAMENTO&lt;&gt;"PLE",W62&gt;PLE.Medicao),0,
   IF(AUTOEVENTO="Manual",
      IF(AdmLocal="Automática",W65,
         IF(Import.EventoAdmLocal="","",SUMIF(OFFSET($G$14,CRONOPLE!$A$8+1,1,1,OFFSET($AG$12,0,-1)),"&lt;="&amp;W62,OFFSET(EVENTOS!$G$14,CRONOPLE!$A$8+1,1,1,OFFSET($AG$12,0,-1)))/OFFSET(EVENTOS!$G$14,CRONOPLE!$A$8+1,-1))),
      IF(Import.EventoAdmLocal="","",SUMIF(OFFSET(CÁLCULO!$BU$15,CRONOPLE!$A$10,1,OFFSET(ORÇAMENTO!$D$15,CRONOPLE!$A$10,0),COLUMN(CÁLCULO!$CN$15)-COLUMN(CÁLCULO!$BU$15)-1),"&lt;="&amp;W62,OFFSET(CÁLCULO!$AI$15,CRONOPLE!$A$10,1,OFFSET(ORÇAMENTO!$D$15,CRONOPLE!$A$10,0),COLUMN(CÁLCULO!$BB$15)-COLUMN(CÁLCULO!$AI$15)-1))/OFFSET(ORÇAMENTO!$X$15,CRONOPLE!$A$10,0))))</f>
        <v>0</v>
      </c>
      <c r="X67" s="786"/>
      <c r="Y67" s="786">
        <f ca="1">IF(OR(ACOMPANHAMENTO&lt;&gt;"PLE",Y62&gt;PLE.Medicao),0,
   IF(AUTOEVENTO="Manual",
      IF(AdmLocal="Automática",Y65,
         IF(Import.EventoAdmLocal="","",SUMIF(OFFSET($G$14,CRONOPLE!$A$8+1,1,1,OFFSET($AG$12,0,-1)),"&lt;="&amp;Y62,OFFSET(EVENTOS!$G$14,CRONOPLE!$A$8+1,1,1,OFFSET($AG$12,0,-1)))/OFFSET(EVENTOS!$G$14,CRONOPLE!$A$8+1,-1))),
      IF(Import.EventoAdmLocal="","",SUMIF(OFFSET(CÁLCULO!$BU$15,CRONOPLE!$A$10,1,OFFSET(ORÇAMENTO!$D$15,CRONOPLE!$A$10,0),COLUMN(CÁLCULO!$CN$15)-COLUMN(CÁLCULO!$BU$15)-1),"&lt;="&amp;Y62,OFFSET(CÁLCULO!$AI$15,CRONOPLE!$A$10,1,OFFSET(ORÇAMENTO!$D$15,CRONOPLE!$A$10,0),COLUMN(CÁLCULO!$BB$15)-COLUMN(CÁLCULO!$AI$15)-1))/OFFSET(ORÇAMENTO!$X$15,CRONOPLE!$A$10,0))))</f>
        <v>0</v>
      </c>
      <c r="Z67" s="786"/>
      <c r="AA67" s="786">
        <f ca="1">IF(OR(ACOMPANHAMENTO&lt;&gt;"PLE",AA62&gt;PLE.Medicao),0,
   IF(AUTOEVENTO="Manual",
      IF(AdmLocal="Automática",AA65,
         IF(Import.EventoAdmLocal="","",SUMIF(OFFSET($G$14,CRONOPLE!$A$8+1,1,1,OFFSET($AG$12,0,-1)),"&lt;="&amp;AA62,OFFSET(EVENTOS!$G$14,CRONOPLE!$A$8+1,1,1,OFFSET($AG$12,0,-1)))/OFFSET(EVENTOS!$G$14,CRONOPLE!$A$8+1,-1))),
      IF(Import.EventoAdmLocal="","",SUMIF(OFFSET(CÁLCULO!$BU$15,CRONOPLE!$A$10,1,OFFSET(ORÇAMENTO!$D$15,CRONOPLE!$A$10,0),COLUMN(CÁLCULO!$CN$15)-COLUMN(CÁLCULO!$BU$15)-1),"&lt;="&amp;AA62,OFFSET(CÁLCULO!$AI$15,CRONOPLE!$A$10,1,OFFSET(ORÇAMENTO!$D$15,CRONOPLE!$A$10,0),COLUMN(CÁLCULO!$BB$15)-COLUMN(CÁLCULO!$AI$15)-1))/OFFSET(ORÇAMENTO!$X$15,CRONOPLE!$A$10,0))))</f>
        <v>0</v>
      </c>
      <c r="AB67" s="786"/>
      <c r="AC67" s="786">
        <f ca="1">IF(OR(ACOMPANHAMENTO&lt;&gt;"PLE",AC62&gt;PLE.Medicao),0,
   IF(AUTOEVENTO="Manual",
      IF(AdmLocal="Automática",AC65,
         IF(Import.EventoAdmLocal="","",SUMIF(OFFSET($G$14,CRONOPLE!$A$8+1,1,1,OFFSET($AG$12,0,-1)),"&lt;="&amp;AC62,OFFSET(EVENTOS!$G$14,CRONOPLE!$A$8+1,1,1,OFFSET($AG$12,0,-1)))/OFFSET(EVENTOS!$G$14,CRONOPLE!$A$8+1,-1))),
      IF(Import.EventoAdmLocal="","",SUMIF(OFFSET(CÁLCULO!$BU$15,CRONOPLE!$A$10,1,OFFSET(ORÇAMENTO!$D$15,CRONOPLE!$A$10,0),COLUMN(CÁLCULO!$CN$15)-COLUMN(CÁLCULO!$BU$15)-1),"&lt;="&amp;AC62,OFFSET(CÁLCULO!$AI$15,CRONOPLE!$A$10,1,OFFSET(ORÇAMENTO!$D$15,CRONOPLE!$A$10,0),COLUMN(CÁLCULO!$BB$15)-COLUMN(CÁLCULO!$AI$15)-1))/OFFSET(ORÇAMENTO!$X$15,CRONOPLE!$A$10,0))))</f>
        <v>0</v>
      </c>
      <c r="AD67" s="786"/>
      <c r="AE67" s="786">
        <f ca="1">IF(OR(ACOMPANHAMENTO&lt;&gt;"PLE",AE62&gt;PLE.Medicao),0,
   IF(AUTOEVENTO="Manual",
      IF(AdmLocal="Automática",AE65,
         IF(Import.EventoAdmLocal="","",SUMIF(OFFSET($G$14,CRONOPLE!$A$8+1,1,1,OFFSET($AG$12,0,-1)),"&lt;="&amp;AE62,OFFSET(EVENTOS!$G$14,CRONOPLE!$A$8+1,1,1,OFFSET($AG$12,0,-1)))/OFFSET(EVENTOS!$G$14,CRONOPLE!$A$8+1,-1))),
      IF(Import.EventoAdmLocal="","",SUMIF(OFFSET(CÁLCULO!$BU$15,CRONOPLE!$A$10,1,OFFSET(ORÇAMENTO!$D$15,CRONOPLE!$A$10,0),COLUMN(CÁLCULO!$CN$15)-COLUMN(CÁLCULO!$BU$15)-1),"&lt;="&amp;AE62,OFFSET(CÁLCULO!$AI$15,CRONOPLE!$A$10,1,OFFSET(ORÇAMENTO!$D$15,CRONOPLE!$A$10,0),COLUMN(CÁLCULO!$BB$15)-COLUMN(CÁLCULO!$AI$15)-1))/OFFSET(ORÇAMENTO!$X$15,CRONOPLE!$A$10,0))))</f>
        <v>0</v>
      </c>
      <c r="AF67" s="786"/>
    </row>
    <row r="68" spans="1:32" ht="13.5" x14ac:dyDescent="0.25">
      <c r="A68" s="7" t="s">
        <v>536</v>
      </c>
      <c r="D68" s="521"/>
      <c r="H68" s="581" t="str">
        <f ca="1">IF(COUNTIF(I68:AG68,"%Adm&gt;%Global")&gt;0,"Verificar proporcionalidade da Administração Local","")</f>
        <v/>
      </c>
      <c r="I68" s="533" t="str">
        <f ca="1">IF(I67="","",IF(ROUND(I67,4)&gt;ROUND(I65,4),"%Adm&gt;%Global",""))</f>
        <v/>
      </c>
      <c r="J68" s="522"/>
      <c r="K68" s="533" t="str">
        <f ca="1">IF(K67="","",IF(ROUND(K67,4)&gt;ROUND(K65,4),"%Adm&gt;%Global",""))</f>
        <v/>
      </c>
      <c r="L68" s="522"/>
      <c r="M68" s="533" t="str">
        <f ca="1">IF(M67="","",IF(ROUND(M67,4)&gt;ROUND(M65,4),"%Adm&gt;%Global",""))</f>
        <v/>
      </c>
      <c r="N68" s="522"/>
      <c r="O68" s="533" t="str">
        <f ca="1">IF(O67="","",IF(ROUND(O67,4)&gt;ROUND(O65,4),"%Adm&gt;%Global",""))</f>
        <v/>
      </c>
      <c r="P68" s="522"/>
      <c r="Q68" s="533" t="str">
        <f ca="1">IF(Q67="","",IF(ROUND(Q67,4)&gt;ROUND(Q65,4),"%Adm&gt;%Global",""))</f>
        <v/>
      </c>
      <c r="R68" s="522"/>
      <c r="S68" s="533" t="str">
        <f ca="1">IF(S67="","",IF(ROUND(S67,4)&gt;ROUND(S65,4),"%Adm&gt;%Global",""))</f>
        <v/>
      </c>
      <c r="T68" s="522"/>
      <c r="U68" s="533" t="str">
        <f ca="1">IF(U67="","",IF(ROUND(U67,4)&gt;ROUND(U65,4),"%Adm&gt;%Global",""))</f>
        <v/>
      </c>
      <c r="V68" s="522"/>
      <c r="W68" s="533" t="str">
        <f ca="1">IF(W67="","",IF(ROUND(W67,4)&gt;ROUND(W65,4),"%Adm&gt;%Global",""))</f>
        <v/>
      </c>
      <c r="X68" s="522"/>
      <c r="Y68" s="533" t="str">
        <f ca="1">IF(Y67="","",IF(ROUND(Y67,4)&gt;ROUND(Y65,4),"%Adm&gt;%Global",""))</f>
        <v/>
      </c>
      <c r="Z68" s="522"/>
      <c r="AA68" s="533" t="str">
        <f ca="1">IF(AA67="","",IF(ROUND(AA67,4)&gt;ROUND(AA65,4),"%Adm&gt;%Global",""))</f>
        <v/>
      </c>
      <c r="AB68" s="522"/>
      <c r="AC68" s="533" t="str">
        <f ca="1">IF(AC67="","",IF(ROUND(AC67,4)&gt;ROUND(AC65,4),"%Adm&gt;%Global",""))</f>
        <v/>
      </c>
      <c r="AD68" s="522"/>
      <c r="AE68" s="533" t="str">
        <f ca="1">IF(AE67="","",IF(ROUND(AE67,4)&gt;ROUND(AE65,4),"%Adm&gt;%Global",""))</f>
        <v/>
      </c>
      <c r="AF68" s="522"/>
    </row>
    <row r="69" spans="1:32" ht="20.25" customHeight="1" x14ac:dyDescent="0.2">
      <c r="A69" s="7" t="s">
        <v>536</v>
      </c>
      <c r="I69" s="846"/>
      <c r="J69" s="846"/>
    </row>
    <row r="70" spans="1:32" ht="15" x14ac:dyDescent="0.25">
      <c r="A70" s="7" t="s">
        <v>536</v>
      </c>
      <c r="B70" s="758" t="str">
        <f>Import.Município</f>
        <v>PIRANGUÇU-MG</v>
      </c>
      <c r="C70" s="758"/>
      <c r="D70" s="758"/>
      <c r="S70" s="560" t="str">
        <f ca="1">IF(DADOS!$D$50&lt;&gt;"","Preencher os Dados do Responsável pela Fiscalização, na aba DADOS.","")</f>
        <v/>
      </c>
      <c r="U70" s="139"/>
      <c r="V70" s="139"/>
      <c r="W70" s="139"/>
      <c r="X70" s="139"/>
      <c r="Y70" s="180"/>
      <c r="Z70" s="180"/>
      <c r="AA70" s="180"/>
      <c r="AB70" s="180"/>
      <c r="AC70" s="180"/>
      <c r="AD70" s="180"/>
    </row>
    <row r="71" spans="1:32" x14ac:dyDescent="0.2">
      <c r="A71" s="7" t="s">
        <v>536</v>
      </c>
      <c r="B71" s="9" t="s">
        <v>693</v>
      </c>
      <c r="U71" s="181" t="s">
        <v>841</v>
      </c>
    </row>
    <row r="72" spans="1:32" x14ac:dyDescent="0.2">
      <c r="A72" s="7" t="s">
        <v>536</v>
      </c>
      <c r="I72" s="79"/>
      <c r="U72" s="77" t="s">
        <v>240</v>
      </c>
      <c r="W72" s="271">
        <f t="array" ref="W72:W75">Import.RespFiscalização</f>
        <v>0</v>
      </c>
    </row>
    <row r="73" spans="1:32" x14ac:dyDescent="0.2">
      <c r="A73" s="7" t="s">
        <v>536</v>
      </c>
      <c r="B73" s="752">
        <f>DADOS!$C$48</f>
        <v>0</v>
      </c>
      <c r="C73" s="752"/>
      <c r="D73" s="752"/>
      <c r="I73" s="79"/>
      <c r="U73" s="77" t="s">
        <v>319</v>
      </c>
      <c r="W73" s="271">
        <v>0</v>
      </c>
    </row>
    <row r="74" spans="1:32" x14ac:dyDescent="0.2">
      <c r="A74" s="7" t="s">
        <v>536</v>
      </c>
      <c r="B74" s="140" t="s">
        <v>694</v>
      </c>
      <c r="C74" s="1"/>
      <c r="D74" s="1"/>
      <c r="I74" s="79"/>
      <c r="U74" s="77" t="s">
        <v>243</v>
      </c>
      <c r="W74" s="271">
        <v>0</v>
      </c>
    </row>
    <row r="75" spans="1:32" x14ac:dyDescent="0.2">
      <c r="U75" s="77" t="s">
        <v>246</v>
      </c>
      <c r="W75" s="12">
        <v>0</v>
      </c>
    </row>
  </sheetData>
  <sheetProtection algorithmName="SHA-512" hashValue="F6g4MWjRJ9bUkv95fuYBl2K0jBYu/Txj1W8m9MyhN/93PLKUCcSJQu82lIWL9MpTZajliWQ5hLjk3v/WZPUlRg==" saltValue="tO2/etRCYa2nlqbSdI8gZA==" spinCount="100000" sheet="1" objects="1" scenarios="1" autoFilter="0"/>
  <autoFilter ref="A13:A74" xr:uid="{00000000-0009-0000-0000-00000A000000}"/>
  <mergeCells count="149">
    <mergeCell ref="C57:D57"/>
    <mergeCell ref="C49:D49"/>
    <mergeCell ref="C50:D50"/>
    <mergeCell ref="C51:D51"/>
    <mergeCell ref="C52:D52"/>
    <mergeCell ref="C53:D53"/>
    <mergeCell ref="C54:D54"/>
    <mergeCell ref="C55:D55"/>
    <mergeCell ref="C56:D56"/>
    <mergeCell ref="B73:D73"/>
    <mergeCell ref="B70:D70"/>
    <mergeCell ref="D65:D66"/>
    <mergeCell ref="M65:N65"/>
    <mergeCell ref="M66:N66"/>
    <mergeCell ref="I66:J66"/>
    <mergeCell ref="K66:L66"/>
    <mergeCell ref="K65:L65"/>
    <mergeCell ref="I65:J65"/>
    <mergeCell ref="I69:J69"/>
    <mergeCell ref="I67:J67"/>
    <mergeCell ref="K67:L67"/>
    <mergeCell ref="M67:N67"/>
    <mergeCell ref="O67:P67"/>
    <mergeCell ref="Q67:R67"/>
    <mergeCell ref="O66:P66"/>
    <mergeCell ref="O65:P65"/>
    <mergeCell ref="Q65:R65"/>
    <mergeCell ref="AA61:AB61"/>
    <mergeCell ref="C1:D1"/>
    <mergeCell ref="C11:D11"/>
    <mergeCell ref="C12:D13"/>
    <mergeCell ref="U66:V66"/>
    <mergeCell ref="C17:D17"/>
    <mergeCell ref="D63:D64"/>
    <mergeCell ref="C16:D16"/>
    <mergeCell ref="C18:D18"/>
    <mergeCell ref="W64:X64"/>
    <mergeCell ref="S62:T62"/>
    <mergeCell ref="Q62:R62"/>
    <mergeCell ref="K62:L62"/>
    <mergeCell ref="K61:L61"/>
    <mergeCell ref="I61:J61"/>
    <mergeCell ref="I62:J62"/>
    <mergeCell ref="I63:J63"/>
    <mergeCell ref="M62:N62"/>
    <mergeCell ref="C19:D19"/>
    <mergeCell ref="AD3:AF3"/>
    <mergeCell ref="AD4:AF4"/>
    <mergeCell ref="AE6:AF6"/>
    <mergeCell ref="H7:N7"/>
    <mergeCell ref="O7:U7"/>
    <mergeCell ref="AE7:AF7"/>
    <mergeCell ref="V7:AD7"/>
    <mergeCell ref="Y9:Z9"/>
    <mergeCell ref="AE9:AF9"/>
    <mergeCell ref="J9:K9"/>
    <mergeCell ref="N9:T9"/>
    <mergeCell ref="AE64:AF64"/>
    <mergeCell ref="O62:P62"/>
    <mergeCell ref="W63:X63"/>
    <mergeCell ref="U63:V63"/>
    <mergeCell ref="AC63:AD63"/>
    <mergeCell ref="AE62:AF62"/>
    <mergeCell ref="U65:V65"/>
    <mergeCell ref="Y65:Z65"/>
    <mergeCell ref="B12:B13"/>
    <mergeCell ref="C20:D20"/>
    <mergeCell ref="C21:D21"/>
    <mergeCell ref="C22:D22"/>
    <mergeCell ref="C23:D23"/>
    <mergeCell ref="C24:D24"/>
    <mergeCell ref="C29:D29"/>
    <mergeCell ref="C30:D30"/>
    <mergeCell ref="C31:D31"/>
    <mergeCell ref="C32:D32"/>
    <mergeCell ref="C33:D33"/>
    <mergeCell ref="C38:D38"/>
    <mergeCell ref="C39:D39"/>
    <mergeCell ref="C40:D40"/>
    <mergeCell ref="C41:D41"/>
    <mergeCell ref="C42:D42"/>
    <mergeCell ref="S64:T64"/>
    <mergeCell ref="Q64:R64"/>
    <mergeCell ref="W62:X62"/>
    <mergeCell ref="AC64:AD64"/>
    <mergeCell ref="AC65:AD65"/>
    <mergeCell ref="AA64:AB64"/>
    <mergeCell ref="B7:C7"/>
    <mergeCell ref="C15:D15"/>
    <mergeCell ref="W61:X61"/>
    <mergeCell ref="AC61:AD61"/>
    <mergeCell ref="Y62:Z62"/>
    <mergeCell ref="AA63:AB63"/>
    <mergeCell ref="Y64:Z64"/>
    <mergeCell ref="U64:V64"/>
    <mergeCell ref="C46:D46"/>
    <mergeCell ref="C47:D47"/>
    <mergeCell ref="C48:D48"/>
    <mergeCell ref="I60:AF60"/>
    <mergeCell ref="AE61:AF61"/>
    <mergeCell ref="Y61:Z61"/>
    <mergeCell ref="AC62:AD62"/>
    <mergeCell ref="AA62:AB62"/>
    <mergeCell ref="Y63:Z63"/>
    <mergeCell ref="S61:T61"/>
    <mergeCell ref="M61:N61"/>
    <mergeCell ref="O64:P64"/>
    <mergeCell ref="M64:N64"/>
    <mergeCell ref="K64:L64"/>
    <mergeCell ref="I64:J64"/>
    <mergeCell ref="O63:P63"/>
    <mergeCell ref="M63:N63"/>
    <mergeCell ref="K63:L63"/>
    <mergeCell ref="O61:P61"/>
    <mergeCell ref="U61:V61"/>
    <mergeCell ref="Q61:R61"/>
    <mergeCell ref="S63:T63"/>
    <mergeCell ref="U62:V62"/>
    <mergeCell ref="AE63:AF63"/>
    <mergeCell ref="AC67:AD67"/>
    <mergeCell ref="AE67:AF67"/>
    <mergeCell ref="S67:T67"/>
    <mergeCell ref="U67:V67"/>
    <mergeCell ref="W67:X67"/>
    <mergeCell ref="Y67:Z67"/>
    <mergeCell ref="AA67:AB67"/>
    <mergeCell ref="W65:X65"/>
    <mergeCell ref="S65:T65"/>
    <mergeCell ref="AC66:AD66"/>
    <mergeCell ref="AA65:AB65"/>
    <mergeCell ref="AE66:AF66"/>
    <mergeCell ref="AE65:AF65"/>
    <mergeCell ref="Y66:Z66"/>
    <mergeCell ref="AA66:AB66"/>
    <mergeCell ref="S66:T66"/>
    <mergeCell ref="W66:X66"/>
    <mergeCell ref="Q66:R66"/>
    <mergeCell ref="Q63:R63"/>
    <mergeCell ref="C44:D44"/>
    <mergeCell ref="C45:D45"/>
    <mergeCell ref="C25:D25"/>
    <mergeCell ref="C26:D26"/>
    <mergeCell ref="C27:D27"/>
    <mergeCell ref="C28:D28"/>
    <mergeCell ref="C34:D34"/>
    <mergeCell ref="C35:D35"/>
    <mergeCell ref="C36:D36"/>
    <mergeCell ref="C37:D37"/>
    <mergeCell ref="C43:D43"/>
  </mergeCells>
  <phoneticPr fontId="38" type="noConversion"/>
  <conditionalFormatting sqref="F1:F2 F44:F48">
    <cfRule type="expression" dxfId="183" priority="2733" stopIfTrue="1">
      <formula>IF(OR(ACOMPANHAMENTO="BM",F$12&gt;CÁLCULO.NúmeroDeFrentes),TRUE,PLE.ValorDoEvento=0)</formula>
    </cfRule>
    <cfRule type="cellIs" dxfId="182" priority="2734" stopIfTrue="1" operator="equal">
      <formula>$J$9</formula>
    </cfRule>
  </conditionalFormatting>
  <conditionalFormatting sqref="I63:AF63">
    <cfRule type="expression" dxfId="181" priority="2735" stopIfTrue="1">
      <formula>I62=$J$9</formula>
    </cfRule>
  </conditionalFormatting>
  <conditionalFormatting sqref="I64:AF64">
    <cfRule type="expression" dxfId="180" priority="2736" stopIfTrue="1">
      <formula>I62=$J$9</formula>
    </cfRule>
  </conditionalFormatting>
  <conditionalFormatting sqref="I65:AF65">
    <cfRule type="expression" dxfId="179" priority="2737" stopIfTrue="1">
      <formula>I62=$J$9</formula>
    </cfRule>
  </conditionalFormatting>
  <conditionalFormatting sqref="I66:AF66">
    <cfRule type="expression" dxfId="178" priority="2738" stopIfTrue="1">
      <formula>I62=$J$9</formula>
    </cfRule>
  </conditionalFormatting>
  <conditionalFormatting sqref="I62:J62">
    <cfRule type="cellIs" dxfId="177" priority="2732" stopIfTrue="1" operator="notEqual">
      <formula>1</formula>
    </cfRule>
  </conditionalFormatting>
  <conditionalFormatting sqref="H1:AF1 H44:AF48">
    <cfRule type="expression" dxfId="176" priority="2750" stopIfTrue="1">
      <formula>IF(OR(ACOMPANHAMENTO="BM",TIPOORCAMENTO="Proposto",H$12&gt;CÁLCULO.NúmeroDeFrentes),TRUE,PLE.ValorDoEvento=0)</formula>
    </cfRule>
    <cfRule type="cellIs" dxfId="175" priority="2751" stopIfTrue="1" operator="equal">
      <formula>$J$9</formula>
    </cfRule>
  </conditionalFormatting>
  <conditionalFormatting sqref="AE6:AE7">
    <cfRule type="expression" dxfId="174" priority="2739" stopIfTrue="1">
      <formula>TIPOORCAMENTO&lt;&gt;"Licitado"</formula>
    </cfRule>
  </conditionalFormatting>
  <conditionalFormatting sqref="N9:T9">
    <cfRule type="expression" dxfId="173" priority="2740" stopIfTrue="1">
      <formula>COLUMN(N9)&gt;COLUMN($AF$12)</formula>
    </cfRule>
    <cfRule type="expression" dxfId="172" priority="2741" stopIfTrue="1">
      <formula>$N$9="DIGITE A DATA DA MEDIÇÃO"</formula>
    </cfRule>
  </conditionalFormatting>
  <conditionalFormatting sqref="I9:M9 U9:AF9">
    <cfRule type="expression" dxfId="171" priority="2742" stopIfTrue="1">
      <formula>COLUMN(I9)&gt;COLUMN($AF$12)</formula>
    </cfRule>
  </conditionalFormatting>
  <conditionalFormatting sqref="K63:AF66">
    <cfRule type="expression" dxfId="170" priority="1748" stopIfTrue="1">
      <formula>I$65=100%</formula>
    </cfRule>
  </conditionalFormatting>
  <conditionalFormatting sqref="J68 L68 N68 P68 R68 T68 V68 X68 Z68 AB68 AD68 AF68">
    <cfRule type="expression" dxfId="169" priority="14459" stopIfTrue="1">
      <formula>J63=$J$9</formula>
    </cfRule>
  </conditionalFormatting>
  <conditionalFormatting sqref="K67:AF67">
    <cfRule type="expression" dxfId="168" priority="1747">
      <formula>OFFSET(K67,-2,-2)=1</formula>
    </cfRule>
  </conditionalFormatting>
  <conditionalFormatting sqref="I67:AF67">
    <cfRule type="expression" dxfId="167" priority="1746">
      <formula>ROUND(I67,4)&gt;ROUND(I65,4)</formula>
    </cfRule>
  </conditionalFormatting>
  <conditionalFormatting sqref="N13">
    <cfRule type="expression" dxfId="166" priority="1745">
      <formula>$Y$9=0</formula>
    </cfRule>
  </conditionalFormatting>
  <conditionalFormatting sqref="F16:F24">
    <cfRule type="expression" dxfId="165" priority="33" stopIfTrue="1">
      <formula>IF(OR(ACOMPANHAMENTO="BM",F$12&gt;CÁLCULO.NúmeroDeFrentes),TRUE,PLE.ValorDoEvento=0)</formula>
    </cfRule>
    <cfRule type="cellIs" dxfId="164" priority="34" stopIfTrue="1" operator="equal">
      <formula>$J$9</formula>
    </cfRule>
  </conditionalFormatting>
  <conditionalFormatting sqref="H16:AF24">
    <cfRule type="expression" dxfId="163" priority="35" stopIfTrue="1">
      <formula>IF(OR(ACOMPANHAMENTO="BM",TIPOORCAMENTO="Proposto",H$12&gt;CÁLCULO.NúmeroDeFrentes),TRUE,PLE.ValorDoEvento=0)</formula>
    </cfRule>
    <cfRule type="cellIs" dxfId="162" priority="36" stopIfTrue="1" operator="equal">
      <formula>$J$9</formula>
    </cfRule>
  </conditionalFormatting>
  <conditionalFormatting sqref="F25:F33">
    <cfRule type="expression" dxfId="161" priority="29" stopIfTrue="1">
      <formula>IF(OR(ACOMPANHAMENTO="BM",F$12&gt;CÁLCULO.NúmeroDeFrentes),TRUE,PLE.ValorDoEvento=0)</formula>
    </cfRule>
    <cfRule type="cellIs" dxfId="160" priority="30" stopIfTrue="1" operator="equal">
      <formula>$J$9</formula>
    </cfRule>
  </conditionalFormatting>
  <conditionalFormatting sqref="H25:AF33">
    <cfRule type="expression" dxfId="159" priority="31" stopIfTrue="1">
      <formula>IF(OR(ACOMPANHAMENTO="BM",TIPOORCAMENTO="Proposto",H$12&gt;CÁLCULO.NúmeroDeFrentes),TRUE,PLE.ValorDoEvento=0)</formula>
    </cfRule>
    <cfRule type="cellIs" dxfId="158" priority="32" stopIfTrue="1" operator="equal">
      <formula>$J$9</formula>
    </cfRule>
  </conditionalFormatting>
  <conditionalFormatting sqref="F34:F42">
    <cfRule type="expression" dxfId="157" priority="25" stopIfTrue="1">
      <formula>IF(OR(ACOMPANHAMENTO="BM",F$12&gt;CÁLCULO.NúmeroDeFrentes),TRUE,PLE.ValorDoEvento=0)</formula>
    </cfRule>
    <cfRule type="cellIs" dxfId="156" priority="26" stopIfTrue="1" operator="equal">
      <formula>$J$9</formula>
    </cfRule>
  </conditionalFormatting>
  <conditionalFormatting sqref="H34:AF42">
    <cfRule type="expression" dxfId="155" priority="27" stopIfTrue="1">
      <formula>IF(OR(ACOMPANHAMENTO="BM",TIPOORCAMENTO="Proposto",H$12&gt;CÁLCULO.NúmeroDeFrentes),TRUE,PLE.ValorDoEvento=0)</formula>
    </cfRule>
    <cfRule type="cellIs" dxfId="154" priority="28" stopIfTrue="1" operator="equal">
      <formula>$J$9</formula>
    </cfRule>
  </conditionalFormatting>
  <conditionalFormatting sqref="F43">
    <cfRule type="expression" dxfId="153" priority="21" stopIfTrue="1">
      <formula>IF(OR(ACOMPANHAMENTO="BM",F$12&gt;CÁLCULO.NúmeroDeFrentes),TRUE,PLE.ValorDoEvento=0)</formula>
    </cfRule>
    <cfRule type="cellIs" dxfId="152" priority="22" stopIfTrue="1" operator="equal">
      <formula>$J$9</formula>
    </cfRule>
  </conditionalFormatting>
  <conditionalFormatting sqref="H43:AF43">
    <cfRule type="expression" dxfId="151" priority="23" stopIfTrue="1">
      <formula>IF(OR(ACOMPANHAMENTO="BM",TIPOORCAMENTO="Proposto",H$12&gt;CÁLCULO.NúmeroDeFrentes),TRUE,PLE.ValorDoEvento=0)</formula>
    </cfRule>
    <cfRule type="cellIs" dxfId="150" priority="24" stopIfTrue="1" operator="equal">
      <formula>$J$9</formula>
    </cfRule>
  </conditionalFormatting>
  <conditionalFormatting sqref="F49:F52">
    <cfRule type="expression" dxfId="149" priority="5" stopIfTrue="1">
      <formula>IF(OR(ACOMPANHAMENTO="BM",F$12&gt;CÁLCULO.NúmeroDeFrentes),TRUE,PLE.ValorDoEvento=0)</formula>
    </cfRule>
    <cfRule type="cellIs" dxfId="148" priority="6" stopIfTrue="1" operator="equal">
      <formula>$J$9</formula>
    </cfRule>
  </conditionalFormatting>
  <conditionalFormatting sqref="H49:AF52">
    <cfRule type="expression" dxfId="147" priority="7" stopIfTrue="1">
      <formula>IF(OR(ACOMPANHAMENTO="BM",TIPOORCAMENTO="Proposto",H$12&gt;CÁLCULO.NúmeroDeFrentes),TRUE,PLE.ValorDoEvento=0)</formula>
    </cfRule>
    <cfRule type="cellIs" dxfId="146" priority="8" stopIfTrue="1" operator="equal">
      <formula>$J$9</formula>
    </cfRule>
  </conditionalFormatting>
  <conditionalFormatting sqref="F53:F57">
    <cfRule type="expression" dxfId="145" priority="1" stopIfTrue="1">
      <formula>IF(OR(ACOMPANHAMENTO="BM",F$12&gt;CÁLCULO.NúmeroDeFrentes),TRUE,PLE.ValorDoEvento=0)</formula>
    </cfRule>
    <cfRule type="cellIs" dxfId="144" priority="2" stopIfTrue="1" operator="equal">
      <formula>$J$9</formula>
    </cfRule>
  </conditionalFormatting>
  <conditionalFormatting sqref="H53:AF57">
    <cfRule type="expression" dxfId="143" priority="3" stopIfTrue="1">
      <formula>IF(OR(ACOMPANHAMENTO="BM",TIPOORCAMENTO="Proposto",H$12&gt;CÁLCULO.NúmeroDeFrentes),TRUE,PLE.ValorDoEvento=0)</formula>
    </cfRule>
    <cfRule type="cellIs" dxfId="142" priority="4" stopIfTrue="1" operator="equal">
      <formula>$J$9</formula>
    </cfRule>
  </conditionalFormatting>
  <dataValidations count="3">
    <dataValidation type="whole" operator="greaterThan" allowBlank="1" showErrorMessage="1" sqref="I3:AC4 J9:K9 F1:F4 F16:F57" xr:uid="{00000000-0002-0000-0A00-000000000000}">
      <formula1>0</formula1>
      <formula2>0</formula2>
    </dataValidation>
    <dataValidation allowBlank="1" showInputMessage="1" showErrorMessage="1" prompt="Digite a data de medição abaixo dos eventos." sqref="N9:T9" xr:uid="{00000000-0002-0000-0A00-000001000000}">
      <formula1>0</formula1>
      <formula2>0</formula2>
    </dataValidation>
    <dataValidation type="whole" operator="equal" allowBlank="1" showErrorMessage="1" errorTitle="Errp de entrada" error="Preencha somente com o número da medição atual." sqref="H1:AF1 H16:AF57" xr:uid="{00000000-0002-0000-0A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250"/>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f t="array" aca="1" ref="E2" ca="1">IF(Import.RegimeExecução="(SELECIONAR)","Selecione o Regime de Execução na Aba Dados",Import.RegimeExecução&amp;" - "&amp;import.recurso)</f>
        <v>CONTRATAÇÃO INTEGRADA - OGU</v>
      </c>
      <c r="O2" s="11" t="s">
        <v>647</v>
      </c>
    </row>
    <row r="3" spans="1:41" x14ac:dyDescent="0.2">
      <c r="A3" s="847" t="b">
        <v>0</v>
      </c>
      <c r="B3" s="847"/>
      <c r="E3" s="86"/>
    </row>
    <row r="4" spans="1:41" x14ac:dyDescent="0.2">
      <c r="D4" s="725" t="s">
        <v>652</v>
      </c>
      <c r="E4" s="725"/>
      <c r="F4" s="763" t="s">
        <v>650</v>
      </c>
      <c r="G4" s="763"/>
      <c r="H4" s="763"/>
      <c r="I4" s="145" t="s">
        <v>707</v>
      </c>
      <c r="J4" s="725" t="s">
        <v>708</v>
      </c>
      <c r="K4" s="725"/>
      <c r="L4" s="725"/>
      <c r="M4" s="725"/>
      <c r="N4" s="725"/>
      <c r="O4" s="147" t="s">
        <v>843</v>
      </c>
    </row>
    <row r="5" spans="1:41" ht="12.75" customHeight="1" x14ac:dyDescent="0.2">
      <c r="A5" t="s">
        <v>844</v>
      </c>
      <c r="D5" s="722" t="str">
        <f>Import.Proponente</f>
        <v>PREFEITURA MUNICIPAL DE PIRANGUÇU-MG</v>
      </c>
      <c r="E5" s="722"/>
      <c r="F5" s="761" t="str">
        <f>Import.CR</f>
        <v>1103833-63</v>
      </c>
      <c r="G5" s="761"/>
      <c r="H5" s="761"/>
      <c r="I5" s="322" t="str">
        <f>Import.TransfereGOV</f>
        <v>39994/2025</v>
      </c>
      <c r="J5" s="722" t="str">
        <f>Import.Apelido</f>
        <v>CONSTRUÇÃO DE VINTE UNIDADES HABITACIONAIS</v>
      </c>
      <c r="K5" s="722"/>
      <c r="L5" s="722"/>
      <c r="M5" s="722"/>
      <c r="N5" s="722"/>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f t="array" aca="1" ref="A7" ca="1">RegimeExecucao</f>
        <v>Unitário</v>
      </c>
      <c r="D7" s="87" t="s">
        <v>846</v>
      </c>
      <c r="E7" s="87" t="s">
        <v>847</v>
      </c>
      <c r="F7" s="725" t="s">
        <v>848</v>
      </c>
      <c r="G7" s="725"/>
      <c r="H7" s="725"/>
      <c r="I7" s="725" t="str">
        <f t="array" ref="I7">IF(TIPOORCAMENTO="Licitado","REGIME DE EXECUÇÃO","MUNICÍPIO / UF")</f>
        <v>MUNICÍPIO / UF</v>
      </c>
      <c r="J7" s="725"/>
      <c r="K7" s="725"/>
      <c r="L7" s="725"/>
      <c r="M7" s="725" t="s">
        <v>849</v>
      </c>
      <c r="N7" s="725"/>
      <c r="O7" s="87" t="s">
        <v>850</v>
      </c>
      <c r="AO7" s="275">
        <f t="array" aca="1" ref="AO7" ca="1">BM.MEDAcumulado</f>
        <v>0</v>
      </c>
    </row>
    <row r="8" spans="1:41" ht="12.75" customHeight="1" x14ac:dyDescent="0.2">
      <c r="A8" s="320" t="s">
        <v>851</v>
      </c>
      <c r="B8" s="2"/>
      <c r="C8" s="751" t="s">
        <v>655</v>
      </c>
      <c r="D8" s="326">
        <f>Import.CTEF</f>
        <v>0</v>
      </c>
      <c r="E8" s="56">
        <f>Import.empresa</f>
        <v>0</v>
      </c>
      <c r="F8" s="722">
        <f>Import.CNPJ</f>
        <v>0</v>
      </c>
      <c r="G8" s="722"/>
      <c r="H8" s="722"/>
      <c r="I8" s="722" t="str">
        <f t="array" ref="I8">IF(TIPOORCAMENTO="Licitado",Import.RegimeExecução,Import.Município)</f>
        <v>PIRANGUÇU-MG</v>
      </c>
      <c r="J8" s="722"/>
      <c r="K8" s="722"/>
      <c r="L8" s="722"/>
      <c r="M8" s="722" t="str">
        <f t="array" aca="1" ref="M8" ca="1">TEXT(IF(BM.medicao=1,Import.DataInicioObra,OFFSET($AB$12,0,BM.medicao-1-$AB$13)+1),"dd/mm/aaaa")&amp;" a "&amp;TEXT(OFFSET($AB$12,0,BM.medicao-$AB$13),"dd/mm/aaaa")</f>
        <v>00/01/1900 a 00/01/1900</v>
      </c>
      <c r="N8" s="722"/>
      <c r="O8" s="422">
        <v>1</v>
      </c>
    </row>
    <row r="9" spans="1:41" ht="12.75" customHeight="1" x14ac:dyDescent="0.2">
      <c r="A9" s="557" t="b">
        <v>1</v>
      </c>
      <c r="B9" s="4"/>
      <c r="C9" s="751"/>
    </row>
    <row r="10" spans="1:41" ht="13.35" customHeight="1" x14ac:dyDescent="0.2">
      <c r="A10" s="410" t="s">
        <v>852</v>
      </c>
      <c r="B10" s="411"/>
      <c r="C10" s="751"/>
      <c r="E10" s="554"/>
      <c r="F10" s="848" t="str">
        <f t="array" ref="F10">IF(ACOMPANHAMENTO="PLE","Foi selecionado na aba 'MENU' o acompanhamento por PLE.",
  IF(TIPOORCAMENTO="Proposto","Altere na aba 'MENU' o tipo de orçamento para 'Licitado'.",
  IF(Import.RegimeExecução="(SELECIONAR)",UPPER($E$2),
  IF(AND(BM.medicao=1,DADOS!$C$47=0),"PREENCHER A DATA DE INÍCIO DA OBRA, NA ABA DADOS",
  IF($N$15=0,"PREENCHER A MEDIÇÃO "&amp;BM.medicao,
  IF($AB$10&lt;&gt;"",UPPER($AB$10),
  IF($J$245&lt;&gt;"",UPPER($J$245),
 "")))))))</f>
        <v>Foi selecionado na aba 'MENU' o acompanhamento por PLE.</v>
      </c>
      <c r="G10" s="848"/>
      <c r="H10" s="848"/>
      <c r="I10" s="848"/>
      <c r="O10" s="556" t="str">
        <f ca="1">"Realizado Acumulado: "&amp;TEXT(P10,"0,00%")</f>
        <v>Realizado Acumulado: 0,00%</v>
      </c>
      <c r="P10" s="559">
        <f ca="1">ROUND($O$15/($I$15+10^-12),4)</f>
        <v>0</v>
      </c>
      <c r="AB10" s="569" t="str">
        <f ca="1">IF(INDEX($AB$12:$AN$12,MATCH($O$8,$AB$13:$AN$13,0))=0,"Preencher a data da medição "&amp;$O$8,"")</f>
        <v>Preencher a data da medição 1</v>
      </c>
    </row>
    <row r="11" spans="1:41" ht="15" customHeight="1" x14ac:dyDescent="0.25">
      <c r="A11" s="558">
        <f ca="1">OFFSET(CRONO!$F$13,CRONO!$F$130,0)</f>
        <v>2</v>
      </c>
      <c r="B11" s="418"/>
      <c r="C11" s="751"/>
      <c r="E11" s="554"/>
      <c r="F11" s="848"/>
      <c r="G11" s="848"/>
      <c r="H11" s="848"/>
      <c r="I11" s="848"/>
      <c r="N11" s="555"/>
      <c r="O11" s="556" t="str">
        <f ca="1">IF(ISERROR(P11),"","Administração Local Acumulada: "&amp;TEXT(P11,"0,00%"))</f>
        <v>Administração Local Acumulada: 0,00%</v>
      </c>
      <c r="P11" s="559">
        <f ca="1">OFFSET($O$15,$A$11,0)/OFFSET($I$15,$A$11,0)</f>
        <v>0</v>
      </c>
      <c r="T11" s="849" t="s">
        <v>853</v>
      </c>
      <c r="U11" s="849"/>
      <c r="Z11" s="4"/>
      <c r="AB11" s="833" t="s">
        <v>854</v>
      </c>
      <c r="AC11" s="833"/>
      <c r="AD11" s="833"/>
      <c r="AE11" s="833"/>
      <c r="AF11" s="833"/>
      <c r="AG11" s="833"/>
      <c r="AH11" s="833"/>
      <c r="AI11" s="833"/>
      <c r="AJ11" s="833"/>
      <c r="AK11" s="833"/>
      <c r="AL11" s="833"/>
      <c r="AM11" s="833"/>
    </row>
    <row r="12" spans="1:41" ht="15" customHeight="1" x14ac:dyDescent="0.25">
      <c r="C12" s="751"/>
      <c r="E12" s="84" t="s">
        <v>855</v>
      </c>
      <c r="J12" s="724" t="str">
        <f t="array" aca="1" ref="J12" ca="1">"Evolução Física "&amp;CHOOSE(MATCH(RegimeExecucao,{"Unitário","Global"},0),"(Qtde.)","(%)")</f>
        <v>Evolução Física (Qtde.)</v>
      </c>
      <c r="K12" s="724"/>
      <c r="L12" s="724"/>
      <c r="M12" s="724" t="s">
        <v>856</v>
      </c>
      <c r="N12" s="724"/>
      <c r="O12" s="724"/>
      <c r="Q12" s="724" t="str">
        <f t="array" aca="1" ref="Q12" ca="1">"Aferido (CAIXA) "&amp;CHOOSE(MATCH(RegimeExecucao,{"Unitário","Global"},0),"(Qtde.)","(%)")</f>
        <v>Aferido (CAIXA) (Qtde.)</v>
      </c>
      <c r="R12" s="724"/>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f t="array" aca="1" ref="V13" ca="1">IF(RegimeExecucao="Unitário","Unidade","")</f>
        <v>Unidade</v>
      </c>
      <c r="W13" s="292" t="str">
        <f t="array" aca="1" ref="W13" ca="1">CHOOSE(MATCH(RegimeExecucao,{"Unitário","Global"},0),"Quant. Glosada (unid)","Percentual Glosado (%)")</f>
        <v>Quant. Glosada (unid)</v>
      </c>
      <c r="X13" s="292" t="str">
        <f t="array" aca="1" ref="X13" ca="1">CHOOSE(MATCH(RegimeExecucao,{"Unitário","Global"},0),"Preço Unitário (R$)","Valor Total do Item (R$)")</f>
        <v>Preço Unitário (R$)</v>
      </c>
      <c r="Y13" s="292" t="s">
        <v>861</v>
      </c>
      <c r="Z13" s="292" t="s">
        <v>862</v>
      </c>
      <c r="AA13" s="112"/>
      <c r="AB13" s="332">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(Sem Código)</v>
      </c>
      <c r="F14" s="164" t="str">
        <f t="array" aca="1" ref="F14" ca="1">IF(RegimeExecucao="Global","",ORÇAMENTO.Unidade)</f>
        <v>-</v>
      </c>
      <c r="G14" s="122">
        <f t="array" aca="1" ref="G14" ca="1">IF(RegimeExecucao="Global","",ORÇAMENTO!T14)</f>
        <v>0</v>
      </c>
      <c r="H14" s="122">
        <f t="array" aca="1" ref="H14" ca="1">IF(RegimeExecucao="Global","",ORÇAMENTO!W14)</f>
        <v>0</v>
      </c>
      <c r="I14" s="125">
        <f ca="1">ORÇAMENTO!X14</f>
        <v>0</v>
      </c>
      <c r="J14" s="333">
        <f t="array" aca="1" ref="J14" ca="1">IF($A14="S",IF(CAIXA.Modo,BM.AFAnterior,BM.MEDAnterior),IF(AND(RegimeExecucao="Global",$I14&gt;0,COUNTIF($AB$13:$AM$13,BM.medicao-1)&gt;0),M14/$I14*100,0))</f>
        <v>0</v>
      </c>
      <c r="K14" s="122">
        <f ca="1">L14-J14</f>
        <v>0</v>
      </c>
      <c r="L14" s="334">
        <f t="array" aca="1" ref="L14" ca="1">IF($A14="S",IF(CAIXA.Modo,BM.AFAcumulado,BM.MEDAcumulado),IF(AND(RegimeExecucao="Global",$I14&gt;0,COUNTIF($AB$13:$AM$13,BM.medicao)&gt;0),O14/$I14*100,0))</f>
        <v>0</v>
      </c>
      <c r="M14" s="335">
        <f t="array" aca="1" ref="M14" ca="1">IF($A14="S",VTOTALBM,IF($A14=0,0,ROUND(SomaAgrupBM,15-13*ORÇAMENTO!$AF$11)))</f>
        <v>0</v>
      </c>
      <c r="N14" s="336">
        <f ca="1">O14-M14</f>
        <v>0</v>
      </c>
      <c r="O14" s="125">
        <f t="array" aca="1" ref="O14" ca="1">IF($A14="S",VTOTALBM,IF($A14=0,0,ROUND(SomaAgrupBM,15-13*ORÇAMENTO!$AF$11)))</f>
        <v>0</v>
      </c>
      <c r="Q14" s="337"/>
      <c r="R14" s="338"/>
      <c r="T14" s="117" t="str">
        <f ca="1">IF($W14&gt;0,$D14,"")</f>
        <v/>
      </c>
      <c r="U14" s="163" t="str">
        <f ca="1">IF($W14&gt;0,$E14,"")</f>
        <v/>
      </c>
      <c r="V14" s="164" t="str">
        <f t="array" aca="1" ref="V14" ca="1">IF(AND($W14&gt;0,RegimeExecucao="Unitário"),$F14,"")</f>
        <v/>
      </c>
      <c r="W14" s="453">
        <f t="array" aca="1" ref="W14" ca="1">IF($Y14&gt;0,CHOOSE(MATCH(RegimeExecucao,{"Unitário","Global"},0),IF($A14="S",$Y14/$X14,""),($Y14/$X14)*100),0)</f>
        <v>0</v>
      </c>
      <c r="X14" s="339" t="str">
        <f t="array" aca="1" ref="X14" ca="1">IF($Y14&gt;0,CHOOSE(MATCH(RegimeExecucao,{"Unitário","Global"},0),IF($A14="S",ROUND($H14,ORÇAMENTO!$AF$10),""),ROUND($I14,ORÇAMENTO!$AF$11)),"")</f>
        <v/>
      </c>
      <c r="Y14" s="339">
        <f ca="1">AO14-O14</f>
        <v>0</v>
      </c>
      <c r="Z14" s="472"/>
      <c r="AB14" s="337"/>
      <c r="AC14" s="437"/>
      <c r="AD14" s="437"/>
      <c r="AE14" s="437"/>
      <c r="AF14" s="437"/>
      <c r="AG14" s="437"/>
      <c r="AH14" s="437"/>
      <c r="AI14" s="437"/>
      <c r="AJ14" s="437"/>
      <c r="AK14" s="437"/>
      <c r="AL14" s="437"/>
      <c r="AM14" s="338"/>
      <c r="AO14">
        <f t="array" aca="1" ref="AO14"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55" t="str">
        <f>"Objeto do CTEF: "&amp;Import.DescLote</f>
        <v>Objeto do CTEF: CONSTRUÇÃO DE VINTE UNIDADES HABITACIONAIS</v>
      </c>
      <c r="E15" s="855"/>
      <c r="F15" s="454"/>
      <c r="G15" s="455"/>
      <c r="H15" s="455" t="s">
        <v>864</v>
      </c>
      <c r="I15" s="456">
        <f t="array" ref="I15">IF(OR(ACOMPANHAMENTO="PLE",TIPOORCAMENTO="Proposto"),0,ORÇAMENTO!$X$15)</f>
        <v>0</v>
      </c>
      <c r="J15" s="340">
        <f t="array" aca="1" ref="J15" ca="1">IF(M$15=0,0,IF(RegimeExecucao="Global",M$15/$I$15*100,0))</f>
        <v>0</v>
      </c>
      <c r="K15" s="340">
        <f ca="1">L15-J15</f>
        <v>0</v>
      </c>
      <c r="L15" s="340">
        <f t="array" aca="1" ref="L15" ca="1">IF(O$15=0,0,IF(RegimeExecucao="Global",O$15/$I$15*100,0))</f>
        <v>0</v>
      </c>
      <c r="M15" s="341">
        <f t="array" aca="1" ref="M15" ca="1">IF(OR(ACOMPANHAMENTO="PLE",TIPOORCAMENTO="Proposto"),0,SUMIF(OFFSET($A15,1,0):$A$235,"S",OFFSET(M15,1,0):M$235))</f>
        <v>0</v>
      </c>
      <c r="N15" s="341">
        <f ca="1">O15-M15</f>
        <v>0</v>
      </c>
      <c r="O15" s="341">
        <f t="array" aca="1" ref="O15" ca="1">IF(OR(ACOMPANHAMENTO="PLE",TIPOORCAMENTO="Proposto"),0,SUMIF(OFFSET($A15,1,0):$A$235,"S",OFFSET(O15,1,0):O$235))</f>
        <v>0</v>
      </c>
      <c r="Q15" s="342"/>
      <c r="R15" s="342"/>
      <c r="T15" s="343"/>
      <c r="U15" s="344"/>
      <c r="V15" s="344"/>
      <c r="W15" s="344"/>
      <c r="X15" s="344"/>
      <c r="Y15" s="344"/>
      <c r="Z15" s="345"/>
      <c r="AB15" s="851" t="str">
        <f t="array" aca="1" ref="AB15" ca="1">"Preencher abaixo com a "&amp;CHOOSE(MATCH(RegimeExecucao,{"Unitário","Global"},0),"QUANTIDADE","PORCENTAGEM")&amp;" executada no PERÍODO"</f>
        <v>Preencher abaixo com a QUANTIDADE executada no PERÍODO</v>
      </c>
      <c r="AC15" s="851"/>
      <c r="AD15" s="851"/>
      <c r="AE15" s="851"/>
      <c r="AF15" s="851"/>
      <c r="AG15" s="851"/>
      <c r="AH15" s="851"/>
      <c r="AI15" s="851"/>
      <c r="AJ15" s="851"/>
      <c r="AK15" s="851"/>
      <c r="AL15" s="851"/>
      <c r="AM15" s="851"/>
    </row>
    <row r="16" spans="1:41" s="696" customFormat="1" x14ac:dyDescent="0.2">
      <c r="A16" s="696">
        <f ca="1">ORÇAMENTO!C16</f>
        <v>1</v>
      </c>
      <c r="B16" s="696">
        <f ca="1">ORÇAMENTO!D16</f>
        <v>219</v>
      </c>
      <c r="C16" s="114" t="str">
        <f t="shared" ref="C16:C74" ca="1" si="1">IF(OR($I16&gt;0,$A16=1,$A16=2,$A16=3,$A16=4),"F","")</f>
        <v>F</v>
      </c>
      <c r="D16" s="117" t="str">
        <f ca="1">ORÇAMENTO!O16</f>
        <v>1.</v>
      </c>
      <c r="E16" s="163" t="str">
        <f t="shared" ref="E16:E74" si="2">ORÇAMENTO.Descricao</f>
        <v>CONTRUÇÃO DE VINTE UNIDADES HABITACIONAIS</v>
      </c>
      <c r="F16" s="164" t="str">
        <f t="array" aca="1" ref="F16" ca="1">IF(RegimeExecucao="Global","",ORÇAMENTO.Unidade)</f>
        <v>-</v>
      </c>
      <c r="G16" s="122">
        <f t="array" aca="1" ref="G16" ca="1">IF(RegimeExecucao="Global","",ORÇAMENTO!T16)</f>
        <v>0</v>
      </c>
      <c r="H16" s="122">
        <f t="array" aca="1" ref="H16" ca="1">IF(RegimeExecucao="Global","",ORÇAMENTO!W16)</f>
        <v>0</v>
      </c>
      <c r="I16" s="125">
        <f ca="1">ORÇAMENTO!X16</f>
        <v>2675612.42</v>
      </c>
      <c r="J16" s="333">
        <f t="array" aca="1" ref="J16" ca="1">IF($A16="S",IF(CAIXA.Modo,BM.AFAnterior,BM.MEDAnterior),IF(AND(RegimeExecucao="Global",$I16&gt;0,COUNTIF($AB$13:$AM$13,BM.medicao-1)&gt;0),M16/$I16*100,0))</f>
        <v>0</v>
      </c>
      <c r="K16" s="122">
        <f t="shared" ref="K16:K74" ca="1" si="3">L16-J16</f>
        <v>0</v>
      </c>
      <c r="L16" s="334">
        <f t="array" aca="1" ref="L16" ca="1">IF($A16="S",IF(CAIXA.Modo,BM.AFAcumulado,BM.MEDAcumulado),IF(AND(RegimeExecucao="Global",$I16&gt;0,COUNTIF($AB$13:$AM$13,BM.medicao)&gt;0),O16/$I16*100,0))</f>
        <v>0</v>
      </c>
      <c r="M16" s="335">
        <f t="array" aca="1" ref="M16" ca="1">IF($A16="S",VTOTALBM,IF($A16=0,0,ROUND(SomaAgrupBM,15-13*ORÇAMENTO!$AF$11)))</f>
        <v>0</v>
      </c>
      <c r="N16" s="336">
        <f t="shared" ref="N16:N74" ca="1" si="4">O16-M16</f>
        <v>0</v>
      </c>
      <c r="O16" s="125">
        <f t="array" aca="1" ref="O16" ca="1">IF($A16="S",VTOTALBM,IF($A16=0,0,ROUND(SomaAgrupBM,15-13*ORÇAMENTO!$AF$11)))</f>
        <v>0</v>
      </c>
      <c r="Q16" s="337"/>
      <c r="R16" s="338"/>
      <c r="T16" s="117" t="str">
        <f t="shared" ref="T16:T74" ca="1" si="5">IF($W16&gt;0,$D16,"")</f>
        <v/>
      </c>
      <c r="U16" s="163" t="str">
        <f t="shared" ref="U16:U74" ca="1" si="6">IF($W16&gt;0,$E16,"")</f>
        <v/>
      </c>
      <c r="V16" s="164" t="str">
        <f t="array" aca="1" ref="V16" ca="1">IF(AND($W16&gt;0,RegimeExecucao="Unitário"),$F16,"")</f>
        <v/>
      </c>
      <c r="W16" s="453">
        <f t="array" aca="1" ref="W16" ca="1">IF($Y16&gt;0,CHOOSE(MATCH(RegimeExecucao,{"Unitário","Global"},0),IF($A16="S",$Y16/$X16,""),($Y16/$X16)*100),0)</f>
        <v>0</v>
      </c>
      <c r="X16" s="339" t="str">
        <f t="array" aca="1" ref="X16" ca="1">IF($Y16&gt;0,CHOOSE(MATCH(RegimeExecucao,{"Unitário","Global"},0),IF($A16="S",ROUND($H16,ORÇAMENTO!$AF$10),""),ROUND($I16,ORÇAMENTO!$AF$11)),"")</f>
        <v/>
      </c>
      <c r="Y16" s="339">
        <f t="shared" ref="Y16:Y74" ca="1" si="7">AO16-O16</f>
        <v>0</v>
      </c>
      <c r="Z16" s="472"/>
      <c r="AB16" s="337"/>
      <c r="AC16" s="437"/>
      <c r="AD16" s="437"/>
      <c r="AE16" s="437"/>
      <c r="AF16" s="437"/>
      <c r="AG16" s="437"/>
      <c r="AH16" s="437"/>
      <c r="AI16" s="437"/>
      <c r="AJ16" s="437"/>
      <c r="AK16" s="437"/>
      <c r="AL16" s="437"/>
      <c r="AM16" s="338"/>
      <c r="AO16" s="696">
        <f t="array" aca="1" ref="AO16" ca="1">IF($A16="S",IF(BM!$I16=0,0,CHOOSE(MATCH(RegimeExecucao,{"Global","Unitário"},0),ROUND(ROUND(BM.MEDAcumulado,15-13*BM!$A$9)/100*BM!$I16,15-13*ORÇAMENTO!$AF$11),ROUND(ROUND(BM.MEDAcumulado,15-13*BM!$A$9)*ROUND(BM!$H16,15-13*ORÇAMENTO!$AF$10),15-13*ORÇAMENTO!$AF$11))),IF($A16=0,0,ROUND(SomaAgrupBM,15-13*ORÇAMENTO!$AF$11)))</f>
        <v>0</v>
      </c>
    </row>
    <row r="17" spans="1:41" s="696" customFormat="1" ht="25.5" x14ac:dyDescent="0.2">
      <c r="A17" s="696">
        <f ca="1">ORÇAMENTO!C17</f>
        <v>2</v>
      </c>
      <c r="B17" s="696">
        <f ca="1">ORÇAMENTO!D17</f>
        <v>6</v>
      </c>
      <c r="C17" s="114" t="str">
        <f t="shared" ca="1" si="1"/>
        <v>F</v>
      </c>
      <c r="D17" s="117" t="str">
        <f ca="1">ORÇAMENTO!O17</f>
        <v>1.1.</v>
      </c>
      <c r="E17" s="163" t="str">
        <f t="shared" si="2"/>
        <v xml:space="preserve">PROJETOS (OS PROJETOS INDICADOS SE REFEREM A PROJETOS BÁSICOS E EXECUTIVOS </v>
      </c>
      <c r="F17" s="164" t="str">
        <f t="array" aca="1" ref="F17" ca="1">IF(RegimeExecucao="Global","",ORÇAMENTO.Unidade)</f>
        <v>-</v>
      </c>
      <c r="G17" s="122">
        <f t="array" aca="1" ref="G17" ca="1">IF(RegimeExecucao="Global","",ORÇAMENTO!T17)</f>
        <v>0</v>
      </c>
      <c r="H17" s="122">
        <f t="array" aca="1" ref="H17" ca="1">IF(RegimeExecucao="Global","",ORÇAMENTO!W17)</f>
        <v>0</v>
      </c>
      <c r="I17" s="125">
        <f ca="1">ORÇAMENTO!X17</f>
        <v>10301.870000000001</v>
      </c>
      <c r="J17" s="333">
        <f t="array" aca="1" ref="J17" ca="1">IF($A17="S",IF(CAIXA.Modo,BM.AFAnterior,BM.MEDAnterior),IF(AND(RegimeExecucao="Global",$I17&gt;0,COUNTIF($AB$13:$AM$13,BM.medicao-1)&gt;0),M17/$I17*100,0))</f>
        <v>0</v>
      </c>
      <c r="K17" s="122">
        <f t="shared" ca="1" si="3"/>
        <v>0</v>
      </c>
      <c r="L17" s="334">
        <f t="array" aca="1" ref="L17" ca="1">IF($A17="S",IF(CAIXA.Modo,BM.AFAcumulado,BM.MEDAcumulado),IF(AND(RegimeExecucao="Global",$I17&gt;0,COUNTIF($AB$13:$AM$13,BM.medicao)&gt;0),O17/$I17*100,0))</f>
        <v>0</v>
      </c>
      <c r="M17" s="335">
        <f t="array" aca="1" ref="M17" ca="1">IF($A17="S",VTOTALBM,IF($A17=0,0,ROUND(SomaAgrupBM,15-13*ORÇAMENTO!$AF$11)))</f>
        <v>0</v>
      </c>
      <c r="N17" s="336">
        <f t="shared" ca="1" si="4"/>
        <v>0</v>
      </c>
      <c r="O17" s="125">
        <f t="array" aca="1" ref="O17" ca="1">IF($A17="S",VTOTALBM,IF($A17=0,0,ROUND(SomaAgrupBM,15-13*ORÇAMENTO!$AF$11)))</f>
        <v>0</v>
      </c>
      <c r="Q17" s="337"/>
      <c r="R17" s="338"/>
      <c r="T17" s="117" t="str">
        <f t="shared" ca="1" si="5"/>
        <v/>
      </c>
      <c r="U17" s="163" t="str">
        <f t="shared" ca="1" si="6"/>
        <v/>
      </c>
      <c r="V17" s="164" t="str">
        <f t="array" aca="1" ref="V17" ca="1">IF(AND($W17&gt;0,RegimeExecucao="Unitário"),$F17,"")</f>
        <v/>
      </c>
      <c r="W17" s="453">
        <f t="array" aca="1" ref="W17" ca="1">IF($Y17&gt;0,CHOOSE(MATCH(RegimeExecucao,{"Unitário","Global"},0),IF($A17="S",$Y17/$X17,""),($Y17/$X17)*100),0)</f>
        <v>0</v>
      </c>
      <c r="X17" s="339" t="str">
        <f t="array" aca="1" ref="X17" ca="1">IF($Y17&gt;0,CHOOSE(MATCH(RegimeExecucao,{"Unitário","Global"},0),IF($A17="S",ROUND($H17,ORÇAMENTO!$AF$10),""),ROUND($I17,ORÇAMENTO!$AF$11)),"")</f>
        <v/>
      </c>
      <c r="Y17" s="339">
        <f t="shared" ca="1" si="7"/>
        <v>0</v>
      </c>
      <c r="Z17" s="472"/>
      <c r="AB17" s="337"/>
      <c r="AC17" s="437"/>
      <c r="AD17" s="437"/>
      <c r="AE17" s="437"/>
      <c r="AF17" s="437"/>
      <c r="AG17" s="437"/>
      <c r="AH17" s="437"/>
      <c r="AI17" s="437"/>
      <c r="AJ17" s="437"/>
      <c r="AK17" s="437"/>
      <c r="AL17" s="437"/>
      <c r="AM17" s="338"/>
      <c r="AO17" s="696">
        <f t="array" aca="1" ref="AO17" ca="1">IF($A17="S",IF(BM!$I17=0,0,CHOOSE(MATCH(RegimeExecucao,{"Global","Unitário"},0),ROUND(ROUND(BM.MEDAcumulado,15-13*BM!$A$9)/100*BM!$I17,15-13*ORÇAMENTO!$AF$11),ROUND(ROUND(BM.MEDAcumulado,15-13*BM!$A$9)*ROUND(BM!$H17,15-13*ORÇAMENTO!$AF$10),15-13*ORÇAMENTO!$AF$11))),IF($A17=0,0,ROUND(SomaAgrupBM,15-13*ORÇAMENTO!$AF$11)))</f>
        <v>0</v>
      </c>
    </row>
    <row r="18" spans="1:41" s="696" customFormat="1" ht="25.5" x14ac:dyDescent="0.2">
      <c r="A18" s="696" t="str">
        <f ca="1">ORÇAMENTO!C18</f>
        <v>S</v>
      </c>
      <c r="B18" s="696">
        <f ca="1">ORÇAMENTO!D18</f>
        <v>0</v>
      </c>
      <c r="C18" s="114" t="str">
        <f t="shared" ca="1" si="1"/>
        <v>F</v>
      </c>
      <c r="D18" s="117" t="str">
        <f ca="1">ORÇAMENTO!O18</f>
        <v>1.1.1.</v>
      </c>
      <c r="E18" s="163" t="str">
        <f t="shared" ca="1" si="2"/>
        <v>DESENVOLVIMENTO E DETALHAMENTO DE PROJETO ARQUITETÔNICO</v>
      </c>
      <c r="F18" s="164" t="str">
        <f t="array" aca="1" ref="F18" ca="1">IF(RegimeExecucao="Global","",ORÇAMENTO.Unidade)</f>
        <v>UN</v>
      </c>
      <c r="G18" s="122">
        <f t="array" aca="1" ref="G18" ca="1">IF(RegimeExecucao="Global","",ORÇAMENTO!T18)</f>
        <v>1</v>
      </c>
      <c r="H18" s="122">
        <f t="array" aca="1" ref="H18" ca="1">IF(RegimeExecucao="Global","",ORÇAMENTO!W18)</f>
        <v>647.38</v>
      </c>
      <c r="I18" s="125">
        <f ca="1">ORÇAMENTO!X18</f>
        <v>647.38</v>
      </c>
      <c r="J18" s="333">
        <f t="array" aca="1" ref="J18" ca="1">IF($A18="S",IF(CAIXA.Modo,BM.AFAnterior,BM.MEDAnterior),IF(AND(RegimeExecucao="Global",$I18&gt;0,COUNTIF($AB$13:$AM$13,BM.medicao-1)&gt;0),M18/$I18*100,0))</f>
        <v>0</v>
      </c>
      <c r="K18" s="122">
        <f t="shared" ca="1" si="3"/>
        <v>0</v>
      </c>
      <c r="L18" s="334">
        <f t="array" aca="1" ref="L18" ca="1">IF($A18="S",IF(CAIXA.Modo,BM.AFAcumulado,BM.MEDAcumulado),IF(AND(RegimeExecucao="Global",$I18&gt;0,COUNTIF($AB$13:$AM$13,BM.medicao)&gt;0),O18/$I18*100,0))</f>
        <v>0</v>
      </c>
      <c r="M18" s="335">
        <f t="array" aca="1" ref="M18" ca="1">IF($A18="S",VTOTALBM,IF($A18=0,0,ROUND(SomaAgrupBM,15-13*ORÇAMENTO!$AF$11)))</f>
        <v>0</v>
      </c>
      <c r="N18" s="336">
        <f t="shared" ca="1" si="4"/>
        <v>0</v>
      </c>
      <c r="O18" s="125">
        <f t="array" aca="1" ref="O18" ca="1">IF($A18="S",VTOTALBM,IF($A18=0,0,ROUND(SomaAgrupBM,15-13*ORÇAMENTO!$AF$11)))</f>
        <v>0</v>
      </c>
      <c r="Q18" s="337"/>
      <c r="R18" s="338"/>
      <c r="T18" s="117" t="str">
        <f t="shared" ca="1" si="5"/>
        <v/>
      </c>
      <c r="U18" s="163" t="str">
        <f t="shared" ca="1" si="6"/>
        <v/>
      </c>
      <c r="V18" s="164" t="str">
        <f t="array" aca="1" ref="V18" ca="1">IF(AND($W18&gt;0,RegimeExecucao="Unitário"),$F18,"")</f>
        <v/>
      </c>
      <c r="W18" s="453">
        <f t="array" aca="1" ref="W18" ca="1">IF($Y18&gt;0,CHOOSE(MATCH(RegimeExecucao,{"Unitário","Global"},0),IF($A18="S",$Y18/$X18,""),($Y18/$X18)*100),0)</f>
        <v>0</v>
      </c>
      <c r="X18" s="339" t="str">
        <f t="array" aca="1" ref="X18" ca="1">IF($Y18&gt;0,CHOOSE(MATCH(RegimeExecucao,{"Unitário","Global"},0),IF($A18="S",ROUND($H18,ORÇAMENTO!$AF$10),""),ROUND($I18,ORÇAMENTO!$AF$11)),"")</f>
        <v/>
      </c>
      <c r="Y18" s="339">
        <f t="shared" ca="1" si="7"/>
        <v>0</v>
      </c>
      <c r="Z18" s="472"/>
      <c r="AB18" s="337"/>
      <c r="AC18" s="437"/>
      <c r="AD18" s="437"/>
      <c r="AE18" s="437"/>
      <c r="AF18" s="437"/>
      <c r="AG18" s="437"/>
      <c r="AH18" s="437"/>
      <c r="AI18" s="437"/>
      <c r="AJ18" s="437"/>
      <c r="AK18" s="437"/>
      <c r="AL18" s="437"/>
      <c r="AM18" s="338"/>
      <c r="AO18" s="696">
        <f t="array" aca="1" ref="AO18" ca="1">IF($A18="S",IF(BM!$I18=0,0,CHOOSE(MATCH(RegimeExecucao,{"Global","Unitário"},0),ROUND(ROUND(BM.MEDAcumulado,15-13*BM!$A$9)/100*BM!$I18,15-13*ORÇAMENTO!$AF$11),ROUND(ROUND(BM.MEDAcumulado,15-13*BM!$A$9)*ROUND(BM!$H18,15-13*ORÇAMENTO!$AF$10),15-13*ORÇAMENTO!$AF$11))),IF($A18=0,0,ROUND(SomaAgrupBM,15-13*ORÇAMENTO!$AF$11)))</f>
        <v>0</v>
      </c>
    </row>
    <row r="19" spans="1:41" s="696" customFormat="1" ht="25.5" x14ac:dyDescent="0.2">
      <c r="A19" s="696" t="str">
        <f ca="1">ORÇAMENTO!C19</f>
        <v>S</v>
      </c>
      <c r="B19" s="696">
        <f ca="1">ORÇAMENTO!D19</f>
        <v>0</v>
      </c>
      <c r="C19" s="114" t="str">
        <f t="shared" ca="1" si="1"/>
        <v>F</v>
      </c>
      <c r="D19" s="117" t="str">
        <f ca="1">ORÇAMENTO!O19</f>
        <v>1.1.2.</v>
      </c>
      <c r="E19" s="163" t="str">
        <f t="shared" ca="1" si="2"/>
        <v>DESENVOLVIMENTO E DETALHAMENTO DE PROJETOS COMPLEMENTARES</v>
      </c>
      <c r="F19" s="164" t="str">
        <f t="array" aca="1" ref="F19" ca="1">IF(RegimeExecucao="Global","",ORÇAMENTO.Unidade)</f>
        <v>UN</v>
      </c>
      <c r="G19" s="122">
        <f t="array" aca="1" ref="G19" ca="1">IF(RegimeExecucao="Global","",ORÇAMENTO!T19)</f>
        <v>4</v>
      </c>
      <c r="H19" s="122">
        <f t="array" aca="1" ref="H19" ca="1">IF(RegimeExecucao="Global","",ORÇAMENTO!W19)</f>
        <v>657.4</v>
      </c>
      <c r="I19" s="125">
        <f ca="1">ORÇAMENTO!X19</f>
        <v>2629.6</v>
      </c>
      <c r="J19" s="333">
        <f t="array" aca="1" ref="J19" ca="1">IF($A19="S",IF(CAIXA.Modo,BM.AFAnterior,BM.MEDAnterior),IF(AND(RegimeExecucao="Global",$I19&gt;0,COUNTIF($AB$13:$AM$13,BM.medicao-1)&gt;0),M19/$I19*100,0))</f>
        <v>0</v>
      </c>
      <c r="K19" s="122">
        <f t="shared" ca="1" si="3"/>
        <v>0</v>
      </c>
      <c r="L19" s="334">
        <f t="array" aca="1" ref="L19" ca="1">IF($A19="S",IF(CAIXA.Modo,BM.AFAcumulado,BM.MEDAcumulado),IF(AND(RegimeExecucao="Global",$I19&gt;0,COUNTIF($AB$13:$AM$13,BM.medicao)&gt;0),O19/$I19*100,0))</f>
        <v>0</v>
      </c>
      <c r="M19" s="335">
        <f t="array" aca="1" ref="M19" ca="1">IF($A19="S",VTOTALBM,IF($A19=0,0,ROUND(SomaAgrupBM,15-13*ORÇAMENTO!$AF$11)))</f>
        <v>0</v>
      </c>
      <c r="N19" s="336">
        <f t="shared" ca="1" si="4"/>
        <v>0</v>
      </c>
      <c r="O19" s="125">
        <f t="array" aca="1" ref="O19" ca="1">IF($A19="S",VTOTALBM,IF($A19=0,0,ROUND(SomaAgrupBM,15-13*ORÇAMENTO!$AF$11)))</f>
        <v>0</v>
      </c>
      <c r="Q19" s="337"/>
      <c r="R19" s="338"/>
      <c r="T19" s="117" t="str">
        <f t="shared" ca="1" si="5"/>
        <v/>
      </c>
      <c r="U19" s="163" t="str">
        <f t="shared" ca="1" si="6"/>
        <v/>
      </c>
      <c r="V19" s="164" t="str">
        <f t="array" aca="1" ref="V19" ca="1">IF(AND($W19&gt;0,RegimeExecucao="Unitário"),$F19,"")</f>
        <v/>
      </c>
      <c r="W19" s="453">
        <f t="array" aca="1" ref="W19" ca="1">IF($Y19&gt;0,CHOOSE(MATCH(RegimeExecucao,{"Unitário","Global"},0),IF($A19="S",$Y19/$X19,""),($Y19/$X19)*100),0)</f>
        <v>0</v>
      </c>
      <c r="X19" s="339" t="str">
        <f t="array" aca="1" ref="X19" ca="1">IF($Y19&gt;0,CHOOSE(MATCH(RegimeExecucao,{"Unitário","Global"},0),IF($A19="S",ROUND($H19,ORÇAMENTO!$AF$10),""),ROUND($I19,ORÇAMENTO!$AF$11)),"")</f>
        <v/>
      </c>
      <c r="Y19" s="339">
        <f t="shared" ca="1" si="7"/>
        <v>0</v>
      </c>
      <c r="Z19" s="472"/>
      <c r="AB19" s="337"/>
      <c r="AC19" s="437"/>
      <c r="AD19" s="437"/>
      <c r="AE19" s="437"/>
      <c r="AF19" s="437"/>
      <c r="AG19" s="437"/>
      <c r="AH19" s="437"/>
      <c r="AI19" s="437"/>
      <c r="AJ19" s="437"/>
      <c r="AK19" s="437"/>
      <c r="AL19" s="437"/>
      <c r="AM19" s="338"/>
      <c r="AO19" s="696">
        <f t="array" aca="1" ref="AO19" ca="1">IF($A19="S",IF(BM!$I19=0,0,CHOOSE(MATCH(RegimeExecucao,{"Global","Unitário"},0),ROUND(ROUND(BM.MEDAcumulado,15-13*BM!$A$9)/100*BM!$I19,15-13*ORÇAMENTO!$AF$11),ROUND(ROUND(BM.MEDAcumulado,15-13*BM!$A$9)*ROUND(BM!$H19,15-13*ORÇAMENTO!$AF$10),15-13*ORÇAMENTO!$AF$11))),IF($A19=0,0,ROUND(SomaAgrupBM,15-13*ORÇAMENTO!$AF$11)))</f>
        <v>0</v>
      </c>
    </row>
    <row r="20" spans="1:41" s="696" customFormat="1" ht="38.25" x14ac:dyDescent="0.2">
      <c r="A20" s="696" t="str">
        <f ca="1">ORÇAMENTO!C20</f>
        <v>S</v>
      </c>
      <c r="B20" s="696">
        <f ca="1">ORÇAMENTO!D20</f>
        <v>0</v>
      </c>
      <c r="C20" s="114" t="str">
        <f t="shared" ca="1" si="1"/>
        <v>F</v>
      </c>
      <c r="D20" s="117" t="str">
        <f ca="1">ORÇAMENTO!O20</f>
        <v>1.1.3.</v>
      </c>
      <c r="E20" s="163" t="str">
        <f t="shared" ca="1" si="2"/>
        <v>ESPECIFICAÇÃO DOS MATERIAIS COM MEMORIAL DESCRITIVO DE CADA AMBIENTE E EQUIPAMENTOS PARA CONSTRUÇÕES NOVAS - ÁREA ATÉ 1.000 M2</v>
      </c>
      <c r="F20" s="164" t="str">
        <f t="array" aca="1" ref="F20" ca="1">IF(RegimeExecucao="Global","",ORÇAMENTO.Unidade)</f>
        <v>m2</v>
      </c>
      <c r="G20" s="122">
        <f t="array" aca="1" ref="G20" ca="1">IF(RegimeExecucao="Global","",ORÇAMENTO!T20)</f>
        <v>47.46</v>
      </c>
      <c r="H20" s="122">
        <f t="array" aca="1" ref="H20" ca="1">IF(RegimeExecucao="Global","",ORÇAMENTO!W20)</f>
        <v>2.96</v>
      </c>
      <c r="I20" s="125">
        <f ca="1">ORÇAMENTO!X20</f>
        <v>140.47999999999999</v>
      </c>
      <c r="J20" s="333">
        <f t="array" aca="1" ref="J20" ca="1">IF($A20="S",IF(CAIXA.Modo,BM.AFAnterior,BM.MEDAnterior),IF(AND(RegimeExecucao="Global",$I20&gt;0,COUNTIF($AB$13:$AM$13,BM.medicao-1)&gt;0),M20/$I20*100,0))</f>
        <v>0</v>
      </c>
      <c r="K20" s="122">
        <f t="shared" ca="1" si="3"/>
        <v>0</v>
      </c>
      <c r="L20" s="334">
        <f t="array" aca="1" ref="L20" ca="1">IF($A20="S",IF(CAIXA.Modo,BM.AFAcumulado,BM.MEDAcumulado),IF(AND(RegimeExecucao="Global",$I20&gt;0,COUNTIF($AB$13:$AM$13,BM.medicao)&gt;0),O20/$I20*100,0))</f>
        <v>0</v>
      </c>
      <c r="M20" s="335">
        <f t="array" aca="1" ref="M20" ca="1">IF($A20="S",VTOTALBM,IF($A20=0,0,ROUND(SomaAgrupBM,15-13*ORÇAMENTO!$AF$11)))</f>
        <v>0</v>
      </c>
      <c r="N20" s="336">
        <f t="shared" ca="1" si="4"/>
        <v>0</v>
      </c>
      <c r="O20" s="125">
        <f t="array" aca="1" ref="O20" ca="1">IF($A20="S",VTOTALBM,IF($A20=0,0,ROUND(SomaAgrupBM,15-13*ORÇAMENTO!$AF$11)))</f>
        <v>0</v>
      </c>
      <c r="Q20" s="337"/>
      <c r="R20" s="338"/>
      <c r="T20" s="117" t="str">
        <f t="shared" ca="1" si="5"/>
        <v/>
      </c>
      <c r="U20" s="163" t="str">
        <f t="shared" ca="1" si="6"/>
        <v/>
      </c>
      <c r="V20" s="164" t="str">
        <f t="array" aca="1" ref="V20" ca="1">IF(AND($W20&gt;0,RegimeExecucao="Unitário"),$F20,"")</f>
        <v/>
      </c>
      <c r="W20" s="453">
        <f t="array" aca="1" ref="W20" ca="1">IF($Y20&gt;0,CHOOSE(MATCH(RegimeExecucao,{"Unitário","Global"},0),IF($A20="S",$Y20/$X20,""),($Y20/$X20)*100),0)</f>
        <v>0</v>
      </c>
      <c r="X20" s="339" t="str">
        <f t="array" aca="1" ref="X20" ca="1">IF($Y20&gt;0,CHOOSE(MATCH(RegimeExecucao,{"Unitário","Global"},0),IF($A20="S",ROUND($H20,ORÇAMENTO!$AF$10),""),ROUND($I20,ORÇAMENTO!$AF$11)),"")</f>
        <v/>
      </c>
      <c r="Y20" s="339">
        <f t="shared" ca="1" si="7"/>
        <v>0</v>
      </c>
      <c r="Z20" s="472"/>
      <c r="AB20" s="337"/>
      <c r="AC20" s="437"/>
      <c r="AD20" s="437"/>
      <c r="AE20" s="437"/>
      <c r="AF20" s="437"/>
      <c r="AG20" s="437"/>
      <c r="AH20" s="437"/>
      <c r="AI20" s="437"/>
      <c r="AJ20" s="437"/>
      <c r="AK20" s="437"/>
      <c r="AL20" s="437"/>
      <c r="AM20" s="338"/>
      <c r="AO20" s="696">
        <f t="array" aca="1" ref="AO20" ca="1">IF($A20="S",IF(BM!$I20=0,0,CHOOSE(MATCH(RegimeExecucao,{"Global","Unitário"},0),ROUND(ROUND(BM.MEDAcumulado,15-13*BM!$A$9)/100*BM!$I20,15-13*ORÇAMENTO!$AF$11),ROUND(ROUND(BM.MEDAcumulado,15-13*BM!$A$9)*ROUND(BM!$H20,15-13*ORÇAMENTO!$AF$10),15-13*ORÇAMENTO!$AF$11))),IF($A20=0,0,ROUND(SomaAgrupBM,15-13*ORÇAMENTO!$AF$11)))</f>
        <v>0</v>
      </c>
    </row>
    <row r="21" spans="1:41" s="696" customFormat="1" ht="25.5" x14ac:dyDescent="0.2">
      <c r="A21" s="696" t="str">
        <f ca="1">ORÇAMENTO!C21</f>
        <v>S</v>
      </c>
      <c r="B21" s="696">
        <f ca="1">ORÇAMENTO!D21</f>
        <v>0</v>
      </c>
      <c r="C21" s="114" t="str">
        <f t="shared" ca="1" si="1"/>
        <v>F</v>
      </c>
      <c r="D21" s="117" t="str">
        <f ca="1">ORÇAMENTO!O21</f>
        <v>1.1.4.</v>
      </c>
      <c r="E21" s="163" t="str">
        <f t="shared" ca="1" si="2"/>
        <v>PLANILHA ORÇAMENTÁRIA PARA CONSTRUÇÕES NOVAS - ÁREA ATÉ 1.000 M2</v>
      </c>
      <c r="F21" s="164" t="str">
        <f t="array" aca="1" ref="F21" ca="1">IF(RegimeExecucao="Global","",ORÇAMENTO.Unidade)</f>
        <v>m2</v>
      </c>
      <c r="G21" s="122">
        <f t="array" aca="1" ref="G21" ca="1">IF(RegimeExecucao="Global","",ORÇAMENTO!T21)</f>
        <v>47.46</v>
      </c>
      <c r="H21" s="122">
        <f t="array" aca="1" ref="H21" ca="1">IF(RegimeExecucao="Global","",ORÇAMENTO!W21)</f>
        <v>6.04</v>
      </c>
      <c r="I21" s="125">
        <f ca="1">ORÇAMENTO!X21</f>
        <v>286.66000000000003</v>
      </c>
      <c r="J21" s="333">
        <f t="array" aca="1" ref="J21" ca="1">IF($A21="S",IF(CAIXA.Modo,BM.AFAnterior,BM.MEDAnterior),IF(AND(RegimeExecucao="Global",$I21&gt;0,COUNTIF($AB$13:$AM$13,BM.medicao-1)&gt;0),M21/$I21*100,0))</f>
        <v>0</v>
      </c>
      <c r="K21" s="122">
        <f t="shared" ca="1" si="3"/>
        <v>0</v>
      </c>
      <c r="L21" s="334">
        <f t="array" aca="1" ref="L21" ca="1">IF($A21="S",IF(CAIXA.Modo,BM.AFAcumulado,BM.MEDAcumulado),IF(AND(RegimeExecucao="Global",$I21&gt;0,COUNTIF($AB$13:$AM$13,BM.medicao)&gt;0),O21/$I21*100,0))</f>
        <v>0</v>
      </c>
      <c r="M21" s="335">
        <f t="array" aca="1" ref="M21" ca="1">IF($A21="S",VTOTALBM,IF($A21=0,0,ROUND(SomaAgrupBM,15-13*ORÇAMENTO!$AF$11)))</f>
        <v>0</v>
      </c>
      <c r="N21" s="336">
        <f t="shared" ca="1" si="4"/>
        <v>0</v>
      </c>
      <c r="O21" s="125">
        <f t="array" aca="1" ref="O21" ca="1">IF($A21="S",VTOTALBM,IF($A21=0,0,ROUND(SomaAgrupBM,15-13*ORÇAMENTO!$AF$11)))</f>
        <v>0</v>
      </c>
      <c r="Q21" s="337"/>
      <c r="R21" s="338"/>
      <c r="T21" s="117" t="str">
        <f t="shared" ca="1" si="5"/>
        <v/>
      </c>
      <c r="U21" s="163" t="str">
        <f t="shared" ca="1" si="6"/>
        <v/>
      </c>
      <c r="V21" s="164" t="str">
        <f t="array" aca="1" ref="V21" ca="1">IF(AND($W21&gt;0,RegimeExecucao="Unitário"),$F21,"")</f>
        <v/>
      </c>
      <c r="W21" s="453">
        <f t="array" aca="1" ref="W21" ca="1">IF($Y21&gt;0,CHOOSE(MATCH(RegimeExecucao,{"Unitário","Global"},0),IF($A21="S",$Y21/$X21,""),($Y21/$X21)*100),0)</f>
        <v>0</v>
      </c>
      <c r="X21" s="339" t="str">
        <f t="array" aca="1" ref="X21" ca="1">IF($Y21&gt;0,CHOOSE(MATCH(RegimeExecucao,{"Unitário","Global"},0),IF($A21="S",ROUND($H21,ORÇAMENTO!$AF$10),""),ROUND($I21,ORÇAMENTO!$AF$11)),"")</f>
        <v/>
      </c>
      <c r="Y21" s="339">
        <f t="shared" ca="1" si="7"/>
        <v>0</v>
      </c>
      <c r="Z21" s="472"/>
      <c r="AB21" s="337"/>
      <c r="AC21" s="437"/>
      <c r="AD21" s="437"/>
      <c r="AE21" s="437"/>
      <c r="AF21" s="437"/>
      <c r="AG21" s="437"/>
      <c r="AH21" s="437"/>
      <c r="AI21" s="437"/>
      <c r="AJ21" s="437"/>
      <c r="AK21" s="437"/>
      <c r="AL21" s="437"/>
      <c r="AM21" s="338"/>
      <c r="AO21" s="696">
        <f t="array" aca="1" ref="AO21" ca="1">IF($A21="S",IF(BM!$I21=0,0,CHOOSE(MATCH(RegimeExecucao,{"Global","Unitário"},0),ROUND(ROUND(BM.MEDAcumulado,15-13*BM!$A$9)/100*BM!$I21,15-13*ORÇAMENTO!$AF$11),ROUND(ROUND(BM.MEDAcumulado,15-13*BM!$A$9)*ROUND(BM!$H21,15-13*ORÇAMENTO!$AF$10),15-13*ORÇAMENTO!$AF$11))),IF($A21=0,0,ROUND(SomaAgrupBM,15-13*ORÇAMENTO!$AF$11)))</f>
        <v>0</v>
      </c>
    </row>
    <row r="22" spans="1:41" s="706" customFormat="1" x14ac:dyDescent="0.2">
      <c r="A22" s="706" t="str">
        <f ca="1">ORÇAMENTO!C22</f>
        <v>S</v>
      </c>
      <c r="B22" s="706">
        <f ca="1">ORÇAMENTO!D22</f>
        <v>0</v>
      </c>
      <c r="C22" s="114" t="str">
        <f ca="1">IF(OR($I22&gt;0,$A22=1,$A22=2,$A22=3,$A22=4),"F","")</f>
        <v>F</v>
      </c>
      <c r="D22" s="117" t="str">
        <f ca="1">ORÇAMENTO!O22</f>
        <v>1.1.5.</v>
      </c>
      <c r="E22" s="163" t="str">
        <f ca="1">ORÇAMENTO.Descricao</f>
        <v>PROJETO EXECUTIVO DE INSTALAÇÕES ELÉTRICAS</v>
      </c>
      <c r="F22" s="164" t="str">
        <f t="array" aca="1" ref="F22" ca="1">IF(RegimeExecucao="Global","",ORÇAMENTO.Unidade)</f>
        <v>UN</v>
      </c>
      <c r="G22" s="122">
        <f t="array" aca="1" ref="G22" ca="1">IF(RegimeExecucao="Global","",ORÇAMENTO!T22)</f>
        <v>3</v>
      </c>
      <c r="H22" s="122">
        <f t="array" aca="1" ref="H22" ca="1">IF(RegimeExecucao="Global","",ORÇAMENTO!W22)</f>
        <v>2199.25</v>
      </c>
      <c r="I22" s="125">
        <f ca="1">ORÇAMENTO!X22</f>
        <v>6597.75</v>
      </c>
      <c r="J22" s="333">
        <f t="array" aca="1" ref="J22" ca="1">IF($A22="S",IF(CAIXA.Modo,BM.AFAnterior,BM.MEDAnterior),IF(AND(RegimeExecucao="Global",$I22&gt;0,COUNTIF($AB$13:$AM$13,BM.medicao-1)&gt;0),M22/$I22*100,0))</f>
        <v>0</v>
      </c>
      <c r="K22" s="122">
        <f ca="1">L22-J22</f>
        <v>0</v>
      </c>
      <c r="L22" s="334">
        <f t="array" aca="1" ref="L22" ca="1">IF($A22="S",IF(CAIXA.Modo,BM.AFAcumulado,BM.MEDAcumulado),IF(AND(RegimeExecucao="Global",$I22&gt;0,COUNTIF($AB$13:$AM$13,BM.medicao)&gt;0),O22/$I22*100,0))</f>
        <v>0</v>
      </c>
      <c r="M22" s="335">
        <f t="array" aca="1" ref="M22" ca="1">IF($A22="S",VTOTALBM,IF($A22=0,0,ROUND(SomaAgrupBM,15-13*ORÇAMENTO!$AF$11)))</f>
        <v>0</v>
      </c>
      <c r="N22" s="336">
        <f ca="1">O22-M22</f>
        <v>0</v>
      </c>
      <c r="O22" s="125">
        <f t="array" aca="1" ref="O22" ca="1">IF($A22="S",VTOTALBM,IF($A22=0,0,ROUND(SomaAgrupBM,15-13*ORÇAMENTO!$AF$11)))</f>
        <v>0</v>
      </c>
      <c r="Q22" s="337"/>
      <c r="R22" s="338"/>
      <c r="T22" s="117" t="str">
        <f ca="1">IF($W22&gt;0,$D22,"")</f>
        <v/>
      </c>
      <c r="U22" s="163" t="str">
        <f ca="1">IF($W22&gt;0,$E22,"")</f>
        <v/>
      </c>
      <c r="V22" s="164" t="str">
        <f t="array" aca="1" ref="V22" ca="1">IF(AND($W22&gt;0,RegimeExecucao="Unitário"),$F22,"")</f>
        <v/>
      </c>
      <c r="W22" s="453">
        <f t="array" aca="1" ref="W22" ca="1">IF($Y22&gt;0,CHOOSE(MATCH(RegimeExecucao,{"Unitário","Global"},0),IF($A22="S",$Y22/$X22,""),($Y22/$X22)*100),0)</f>
        <v>0</v>
      </c>
      <c r="X22" s="339" t="str">
        <f t="array" aca="1" ref="X22" ca="1">IF($Y22&gt;0,CHOOSE(MATCH(RegimeExecucao,{"Unitário","Global"},0),IF($A22="S",ROUND($H22,ORÇAMENTO!$AF$10),""),ROUND($I22,ORÇAMENTO!$AF$11)),"")</f>
        <v/>
      </c>
      <c r="Y22" s="339">
        <f ca="1">AO22-O22</f>
        <v>0</v>
      </c>
      <c r="Z22" s="472"/>
      <c r="AB22" s="337"/>
      <c r="AC22" s="437"/>
      <c r="AD22" s="437"/>
      <c r="AE22" s="437"/>
      <c r="AF22" s="437"/>
      <c r="AG22" s="437"/>
      <c r="AH22" s="437"/>
      <c r="AI22" s="437"/>
      <c r="AJ22" s="437"/>
      <c r="AK22" s="437"/>
      <c r="AL22" s="437"/>
      <c r="AM22" s="338"/>
      <c r="AO22" s="706">
        <f t="array" aca="1" ref="AO22" ca="1">IF($A22="S",IF(BM!$I22=0,0,CHOOSE(MATCH(RegimeExecucao,{"Global","Unitário"},0),ROUND(ROUND(BM.MEDAcumulado,15-13*BM!$A$9)/100*BM!$I22,15-13*ORÇAMENTO!$AF$11),ROUND(ROUND(BM.MEDAcumulado,15-13*BM!$A$9)*ROUND(BM!$H22,15-13*ORÇAMENTO!$AF$10),15-13*ORÇAMENTO!$AF$11))),IF($A22=0,0,ROUND(SomaAgrupBM,15-13*ORÇAMENTO!$AF$11)))</f>
        <v>0</v>
      </c>
    </row>
    <row r="23" spans="1:41" s="696" customFormat="1" x14ac:dyDescent="0.2">
      <c r="A23" s="696">
        <f ca="1">ORÇAMENTO!C23</f>
        <v>2</v>
      </c>
      <c r="B23" s="696">
        <f ca="1">ORÇAMENTO!D23</f>
        <v>6</v>
      </c>
      <c r="C23" s="114" t="str">
        <f t="shared" ca="1" si="1"/>
        <v>F</v>
      </c>
      <c r="D23" s="117" t="str">
        <f ca="1">ORÇAMENTO!O23</f>
        <v>1.2.</v>
      </c>
      <c r="E23" s="163" t="str">
        <f t="shared" si="2"/>
        <v>SERVIÇOS INICIAIS GERAIS</v>
      </c>
      <c r="F23" s="164" t="str">
        <f t="array" aca="1" ref="F23" ca="1">IF(RegimeExecucao="Global","",ORÇAMENTO.Unidade)</f>
        <v>-</v>
      </c>
      <c r="G23" s="122">
        <f t="array" aca="1" ref="G23" ca="1">IF(RegimeExecucao="Global","",ORÇAMENTO!T23)</f>
        <v>0</v>
      </c>
      <c r="H23" s="122">
        <f t="array" aca="1" ref="H23" ca="1">IF(RegimeExecucao="Global","",ORÇAMENTO!W23)</f>
        <v>0</v>
      </c>
      <c r="I23" s="125">
        <f ca="1">ORÇAMENTO!X23</f>
        <v>23397.47</v>
      </c>
      <c r="J23" s="333">
        <f t="array" aca="1" ref="J23" ca="1">IF($A23="S",IF(CAIXA.Modo,BM.AFAnterior,BM.MEDAnterior),IF(AND(RegimeExecucao="Global",$I23&gt;0,COUNTIF($AB$13:$AM$13,BM.medicao-1)&gt;0),M23/$I23*100,0))</f>
        <v>0</v>
      </c>
      <c r="K23" s="122">
        <f t="shared" ca="1" si="3"/>
        <v>0</v>
      </c>
      <c r="L23" s="334">
        <f t="array" aca="1" ref="L23" ca="1">IF($A23="S",IF(CAIXA.Modo,BM.AFAcumulado,BM.MEDAcumulado),IF(AND(RegimeExecucao="Global",$I23&gt;0,COUNTIF($AB$13:$AM$13,BM.medicao)&gt;0),O23/$I23*100,0))</f>
        <v>0</v>
      </c>
      <c r="M23" s="335">
        <f t="array" aca="1" ref="M23" ca="1">IF($A23="S",VTOTALBM,IF($A23=0,0,ROUND(SomaAgrupBM,15-13*ORÇAMENTO!$AF$11)))</f>
        <v>0</v>
      </c>
      <c r="N23" s="336">
        <f t="shared" ca="1" si="4"/>
        <v>0</v>
      </c>
      <c r="O23" s="125">
        <f t="array" aca="1" ref="O23" ca="1">IF($A23="S",VTOTALBM,IF($A23=0,0,ROUND(SomaAgrupBM,15-13*ORÇAMENTO!$AF$11)))</f>
        <v>0</v>
      </c>
      <c r="Q23" s="337"/>
      <c r="R23" s="338"/>
      <c r="T23" s="117" t="str">
        <f t="shared" ca="1" si="5"/>
        <v/>
      </c>
      <c r="U23" s="163" t="str">
        <f t="shared" ca="1" si="6"/>
        <v/>
      </c>
      <c r="V23" s="164" t="str">
        <f t="array" aca="1" ref="V23" ca="1">IF(AND($W23&gt;0,RegimeExecucao="Unitário"),$F23,"")</f>
        <v/>
      </c>
      <c r="W23" s="453">
        <f t="array" aca="1" ref="W23" ca="1">IF($Y23&gt;0,CHOOSE(MATCH(RegimeExecucao,{"Unitário","Global"},0),IF($A23="S",$Y23/$X23,""),($Y23/$X23)*100),0)</f>
        <v>0</v>
      </c>
      <c r="X23" s="339" t="str">
        <f t="array" aca="1" ref="X23" ca="1">IF($Y23&gt;0,CHOOSE(MATCH(RegimeExecucao,{"Unitário","Global"},0),IF($A23="S",ROUND($H23,ORÇAMENTO!$AF$10),""),ROUND($I23,ORÇAMENTO!$AF$11)),"")</f>
        <v/>
      </c>
      <c r="Y23" s="339">
        <f t="shared" ca="1" si="7"/>
        <v>0</v>
      </c>
      <c r="Z23" s="472"/>
      <c r="AB23" s="337"/>
      <c r="AC23" s="437"/>
      <c r="AD23" s="437"/>
      <c r="AE23" s="437"/>
      <c r="AF23" s="437"/>
      <c r="AG23" s="437"/>
      <c r="AH23" s="437"/>
      <c r="AI23" s="437"/>
      <c r="AJ23" s="437"/>
      <c r="AK23" s="437"/>
      <c r="AL23" s="437"/>
      <c r="AM23" s="338"/>
      <c r="AO23" s="696">
        <f t="array" aca="1" ref="AO23" ca="1">IF($A23="S",IF(BM!$I23=0,0,CHOOSE(MATCH(RegimeExecucao,{"Global","Unitário"},0),ROUND(ROUND(BM.MEDAcumulado,15-13*BM!$A$9)/100*BM!$I23,15-13*ORÇAMENTO!$AF$11),ROUND(ROUND(BM.MEDAcumulado,15-13*BM!$A$9)*ROUND(BM!$H23,15-13*ORÇAMENTO!$AF$10),15-13*ORÇAMENTO!$AF$11))),IF($A23=0,0,ROUND(SomaAgrupBM,15-13*ORÇAMENTO!$AF$11)))</f>
        <v>0</v>
      </c>
    </row>
    <row r="24" spans="1:41" s="696" customFormat="1" ht="25.5" x14ac:dyDescent="0.2">
      <c r="A24" s="696" t="str">
        <f ca="1">ORÇAMENTO!C24</f>
        <v>S</v>
      </c>
      <c r="B24" s="696">
        <f ca="1">ORÇAMENTO!D24</f>
        <v>0</v>
      </c>
      <c r="C24" s="114" t="str">
        <f t="shared" ca="1" si="1"/>
        <v>F</v>
      </c>
      <c r="D24" s="117" t="str">
        <f ca="1">ORÇAMENTO!O24</f>
        <v>1.2.1.</v>
      </c>
      <c r="E24" s="163" t="str">
        <f t="shared" ca="1" si="2"/>
        <v>FORNECIMENTO E INSTALAÇÃO DE PLACA DE OBRA COM CHAPA GALVANIZADA E ESTRUTURA DE MADEIRA. AF_03/2022_PS</v>
      </c>
      <c r="F24" s="164" t="str">
        <f t="array" aca="1" ref="F24" ca="1">IF(RegimeExecucao="Global","",ORÇAMENTO.Unidade)</f>
        <v>M2</v>
      </c>
      <c r="G24" s="122">
        <f t="array" aca="1" ref="G24" ca="1">IF(RegimeExecucao="Global","",ORÇAMENTO!T24)</f>
        <v>6.49</v>
      </c>
      <c r="H24" s="122">
        <f t="array" aca="1" ref="H24" ca="1">IF(RegimeExecucao="Global","",ORÇAMENTO!W24)</f>
        <v>567.02</v>
      </c>
      <c r="I24" s="125">
        <f ca="1">ORÇAMENTO!X24</f>
        <v>3679.96</v>
      </c>
      <c r="J24" s="333">
        <f t="array" aca="1" ref="J24" ca="1">IF($A24="S",IF(CAIXA.Modo,BM.AFAnterior,BM.MEDAnterior),IF(AND(RegimeExecucao="Global",$I24&gt;0,COUNTIF($AB$13:$AM$13,BM.medicao-1)&gt;0),M24/$I24*100,0))</f>
        <v>0</v>
      </c>
      <c r="K24" s="122">
        <f t="shared" ca="1" si="3"/>
        <v>0</v>
      </c>
      <c r="L24" s="334">
        <f t="array" aca="1" ref="L24" ca="1">IF($A24="S",IF(CAIXA.Modo,BM.AFAcumulado,BM.MEDAcumulado),IF(AND(RegimeExecucao="Global",$I24&gt;0,COUNTIF($AB$13:$AM$13,BM.medicao)&gt;0),O24/$I24*100,0))</f>
        <v>0</v>
      </c>
      <c r="M24" s="335">
        <f t="array" aca="1" ref="M24" ca="1">IF($A24="S",VTOTALBM,IF($A24=0,0,ROUND(SomaAgrupBM,15-13*ORÇAMENTO!$AF$11)))</f>
        <v>0</v>
      </c>
      <c r="N24" s="336">
        <f t="shared" ca="1" si="4"/>
        <v>0</v>
      </c>
      <c r="O24" s="125">
        <f t="array" aca="1" ref="O24" ca="1">IF($A24="S",VTOTALBM,IF($A24=0,0,ROUND(SomaAgrupBM,15-13*ORÇAMENTO!$AF$11)))</f>
        <v>0</v>
      </c>
      <c r="Q24" s="337"/>
      <c r="R24" s="338"/>
      <c r="T24" s="117" t="str">
        <f t="shared" ca="1" si="5"/>
        <v/>
      </c>
      <c r="U24" s="163" t="str">
        <f t="shared" ca="1" si="6"/>
        <v/>
      </c>
      <c r="V24" s="164" t="str">
        <f t="array" aca="1" ref="V24" ca="1">IF(AND($W24&gt;0,RegimeExecucao="Unitário"),$F24,"")</f>
        <v/>
      </c>
      <c r="W24" s="453">
        <f t="array" aca="1" ref="W24" ca="1">IF($Y24&gt;0,CHOOSE(MATCH(RegimeExecucao,{"Unitário","Global"},0),IF($A24="S",$Y24/$X24,""),($Y24/$X24)*100),0)</f>
        <v>0</v>
      </c>
      <c r="X24" s="339" t="str">
        <f t="array" aca="1" ref="X24" ca="1">IF($Y24&gt;0,CHOOSE(MATCH(RegimeExecucao,{"Unitário","Global"},0),IF($A24="S",ROUND($H24,ORÇAMENTO!$AF$10),""),ROUND($I24,ORÇAMENTO!$AF$11)),"")</f>
        <v/>
      </c>
      <c r="Y24" s="339">
        <f t="shared" ca="1" si="7"/>
        <v>0</v>
      </c>
      <c r="Z24" s="472"/>
      <c r="AB24" s="337"/>
      <c r="AC24" s="437"/>
      <c r="AD24" s="437"/>
      <c r="AE24" s="437"/>
      <c r="AF24" s="437"/>
      <c r="AG24" s="437"/>
      <c r="AH24" s="437"/>
      <c r="AI24" s="437"/>
      <c r="AJ24" s="437"/>
      <c r="AK24" s="437"/>
      <c r="AL24" s="437"/>
      <c r="AM24" s="338"/>
      <c r="AO24" s="696">
        <f t="array" aca="1" ref="AO24" ca="1">IF($A24="S",IF(BM!$I24=0,0,CHOOSE(MATCH(RegimeExecucao,{"Global","Unitário"},0),ROUND(ROUND(BM.MEDAcumulado,15-13*BM!$A$9)/100*BM!$I24,15-13*ORÇAMENTO!$AF$11),ROUND(ROUND(BM.MEDAcumulado,15-13*BM!$A$9)*ROUND(BM!$H24,15-13*ORÇAMENTO!$AF$10),15-13*ORÇAMENTO!$AF$11))),IF($A24=0,0,ROUND(SomaAgrupBM,15-13*ORÇAMENTO!$AF$11)))</f>
        <v>0</v>
      </c>
    </row>
    <row r="25" spans="1:41" s="696" customFormat="1" ht="38.25" x14ac:dyDescent="0.2">
      <c r="A25" s="696" t="str">
        <f ca="1">ORÇAMENTO!C25</f>
        <v>S</v>
      </c>
      <c r="B25" s="696">
        <f ca="1">ORÇAMENTO!D25</f>
        <v>0</v>
      </c>
      <c r="C25" s="114" t="str">
        <f t="shared" ca="1" si="1"/>
        <v>F</v>
      </c>
      <c r="D25" s="117" t="str">
        <f ca="1">ORÇAMENTO!O25</f>
        <v>1.2.2.</v>
      </c>
      <c r="E25" s="163" t="str">
        <f t="shared" ca="1" si="2"/>
        <v>MOBILIZAÇÃO E DESMOBILIZAÇÃO DE EQUIPAMENTO DE SONDAGEM A PERCUSSÃO COM ENSAIO DE PENETRAÇÃO PADRÃO (SPT) - (CUSTO FIXO)</v>
      </c>
      <c r="F25" s="164" t="str">
        <f t="array" aca="1" ref="F25" ca="1">IF(RegimeExecucao="Global","",ORÇAMENTO.Unidade)</f>
        <v>un</v>
      </c>
      <c r="G25" s="122">
        <f t="array" aca="1" ref="G25" ca="1">IF(RegimeExecucao="Global","",ORÇAMENTO!T25)</f>
        <v>1</v>
      </c>
      <c r="H25" s="122">
        <f t="array" aca="1" ref="H25" ca="1">IF(RegimeExecucao="Global","",ORÇAMENTO!W25)</f>
        <v>988.21</v>
      </c>
      <c r="I25" s="125">
        <f ca="1">ORÇAMENTO!X25</f>
        <v>988.21</v>
      </c>
      <c r="J25" s="333">
        <f t="array" aca="1" ref="J25" ca="1">IF($A25="S",IF(CAIXA.Modo,BM.AFAnterior,BM.MEDAnterior),IF(AND(RegimeExecucao="Global",$I25&gt;0,COUNTIF($AB$13:$AM$13,BM.medicao-1)&gt;0),M25/$I25*100,0))</f>
        <v>0</v>
      </c>
      <c r="K25" s="122">
        <f t="shared" ca="1" si="3"/>
        <v>0</v>
      </c>
      <c r="L25" s="334">
        <f t="array" aca="1" ref="L25" ca="1">IF($A25="S",IF(CAIXA.Modo,BM.AFAcumulado,BM.MEDAcumulado),IF(AND(RegimeExecucao="Global",$I25&gt;0,COUNTIF($AB$13:$AM$13,BM.medicao)&gt;0),O25/$I25*100,0))</f>
        <v>0</v>
      </c>
      <c r="M25" s="335">
        <f t="array" aca="1" ref="M25" ca="1">IF($A25="S",VTOTALBM,IF($A25=0,0,ROUND(SomaAgrupBM,15-13*ORÇAMENTO!$AF$11)))</f>
        <v>0</v>
      </c>
      <c r="N25" s="336">
        <f t="shared" ca="1" si="4"/>
        <v>0</v>
      </c>
      <c r="O25" s="125">
        <f t="array" aca="1" ref="O25" ca="1">IF($A25="S",VTOTALBM,IF($A25=0,0,ROUND(SomaAgrupBM,15-13*ORÇAMENTO!$AF$11)))</f>
        <v>0</v>
      </c>
      <c r="Q25" s="337"/>
      <c r="R25" s="338"/>
      <c r="T25" s="117" t="str">
        <f t="shared" ca="1" si="5"/>
        <v/>
      </c>
      <c r="U25" s="163" t="str">
        <f t="shared" ca="1" si="6"/>
        <v/>
      </c>
      <c r="V25" s="164" t="str">
        <f t="array" aca="1" ref="V25" ca="1">IF(AND($W25&gt;0,RegimeExecucao="Unitário"),$F25,"")</f>
        <v/>
      </c>
      <c r="W25" s="453">
        <f t="array" aca="1" ref="W25" ca="1">IF($Y25&gt;0,CHOOSE(MATCH(RegimeExecucao,{"Unitário","Global"},0),IF($A25="S",$Y25/$X25,""),($Y25/$X25)*100),0)</f>
        <v>0</v>
      </c>
      <c r="X25" s="339" t="str">
        <f t="array" aca="1" ref="X25" ca="1">IF($Y25&gt;0,CHOOSE(MATCH(RegimeExecucao,{"Unitário","Global"},0),IF($A25="S",ROUND($H25,ORÇAMENTO!$AF$10),""),ROUND($I25,ORÇAMENTO!$AF$11)),"")</f>
        <v/>
      </c>
      <c r="Y25" s="339">
        <f t="shared" ca="1" si="7"/>
        <v>0</v>
      </c>
      <c r="Z25" s="472"/>
      <c r="AB25" s="337"/>
      <c r="AC25" s="437"/>
      <c r="AD25" s="437"/>
      <c r="AE25" s="437"/>
      <c r="AF25" s="437"/>
      <c r="AG25" s="437"/>
      <c r="AH25" s="437"/>
      <c r="AI25" s="437"/>
      <c r="AJ25" s="437"/>
      <c r="AK25" s="437"/>
      <c r="AL25" s="437"/>
      <c r="AM25" s="338"/>
      <c r="AO25" s="696">
        <f t="array" aca="1" ref="AO25" ca="1">IF($A25="S",IF(BM!$I25=0,0,CHOOSE(MATCH(RegimeExecucao,{"Global","Unitário"},0),ROUND(ROUND(BM.MEDAcumulado,15-13*BM!$A$9)/100*BM!$I25,15-13*ORÇAMENTO!$AF$11),ROUND(ROUND(BM.MEDAcumulado,15-13*BM!$A$9)*ROUND(BM!$H25,15-13*ORÇAMENTO!$AF$10),15-13*ORÇAMENTO!$AF$11))),IF($A25=0,0,ROUND(SomaAgrupBM,15-13*ORÇAMENTO!$AF$11)))</f>
        <v>0</v>
      </c>
    </row>
    <row r="26" spans="1:41" s="696" customFormat="1" ht="38.25" x14ac:dyDescent="0.2">
      <c r="A26" s="696" t="str">
        <f ca="1">ORÇAMENTO!C26</f>
        <v>S</v>
      </c>
      <c r="B26" s="696">
        <f ca="1">ORÇAMENTO!D26</f>
        <v>0</v>
      </c>
      <c r="C26" s="114" t="str">
        <f t="shared" ca="1" si="1"/>
        <v>F</v>
      </c>
      <c r="D26" s="117" t="str">
        <f ca="1">ORÇAMENTO!O26</f>
        <v>1.2.3.</v>
      </c>
      <c r="E26" s="163" t="str">
        <f t="shared" ca="1" si="2"/>
        <v>MOBILIZAÇÃO E DESMOBILIZAÇÃO DE EQUIPAMENTO DE SONDAGEM A PERCUSSÃO COM ENSAIO DE PENETRAÇÃO PADRÃO (SPT) - (CUSTO VARIÁVEL), EXCLUSIVE CUSTO FIXO</v>
      </c>
      <c r="F26" s="164" t="str">
        <f t="array" aca="1" ref="F26" ca="1">IF(RegimeExecucao="Global","",ORÇAMENTO.Unidade)</f>
        <v>km</v>
      </c>
      <c r="G26" s="122">
        <f t="array" aca="1" ref="G26" ca="1">IF(RegimeExecucao="Global","",ORÇAMENTO!T26)</f>
        <v>50</v>
      </c>
      <c r="H26" s="122">
        <f t="array" aca="1" ref="H26" ca="1">IF(RegimeExecucao="Global","",ORÇAMENTO!W26)</f>
        <v>2.31</v>
      </c>
      <c r="I26" s="125">
        <f ca="1">ORÇAMENTO!X26</f>
        <v>115.5</v>
      </c>
      <c r="J26" s="333">
        <f t="array" aca="1" ref="J26" ca="1">IF($A26="S",IF(CAIXA.Modo,BM.AFAnterior,BM.MEDAnterior),IF(AND(RegimeExecucao="Global",$I26&gt;0,COUNTIF($AB$13:$AM$13,BM.medicao-1)&gt;0),M26/$I26*100,0))</f>
        <v>0</v>
      </c>
      <c r="K26" s="122">
        <f t="shared" ca="1" si="3"/>
        <v>0</v>
      </c>
      <c r="L26" s="334">
        <f t="array" aca="1" ref="L26" ca="1">IF($A26="S",IF(CAIXA.Modo,BM.AFAcumulado,BM.MEDAcumulado),IF(AND(RegimeExecucao="Global",$I26&gt;0,COUNTIF($AB$13:$AM$13,BM.medicao)&gt;0),O26/$I26*100,0))</f>
        <v>0</v>
      </c>
      <c r="M26" s="335">
        <f t="array" aca="1" ref="M26" ca="1">IF($A26="S",VTOTALBM,IF($A26=0,0,ROUND(SomaAgrupBM,15-13*ORÇAMENTO!$AF$11)))</f>
        <v>0</v>
      </c>
      <c r="N26" s="336">
        <f t="shared" ca="1" si="4"/>
        <v>0</v>
      </c>
      <c r="O26" s="125">
        <f t="array" aca="1" ref="O26" ca="1">IF($A26="S",VTOTALBM,IF($A26=0,0,ROUND(SomaAgrupBM,15-13*ORÇAMENTO!$AF$11)))</f>
        <v>0</v>
      </c>
      <c r="Q26" s="337"/>
      <c r="R26" s="338"/>
      <c r="T26" s="117" t="str">
        <f t="shared" ca="1" si="5"/>
        <v/>
      </c>
      <c r="U26" s="163" t="str">
        <f t="shared" ca="1" si="6"/>
        <v/>
      </c>
      <c r="V26" s="164" t="str">
        <f t="array" aca="1" ref="V26" ca="1">IF(AND($W26&gt;0,RegimeExecucao="Unitário"),$F26,"")</f>
        <v/>
      </c>
      <c r="W26" s="453">
        <f t="array" aca="1" ref="W26" ca="1">IF($Y26&gt;0,CHOOSE(MATCH(RegimeExecucao,{"Unitário","Global"},0),IF($A26="S",$Y26/$X26,""),($Y26/$X26)*100),0)</f>
        <v>0</v>
      </c>
      <c r="X26" s="339" t="str">
        <f t="array" aca="1" ref="X26" ca="1">IF($Y26&gt;0,CHOOSE(MATCH(RegimeExecucao,{"Unitário","Global"},0),IF($A26="S",ROUND($H26,ORÇAMENTO!$AF$10),""),ROUND($I26,ORÇAMENTO!$AF$11)),"")</f>
        <v/>
      </c>
      <c r="Y26" s="339">
        <f t="shared" ca="1" si="7"/>
        <v>0</v>
      </c>
      <c r="Z26" s="472"/>
      <c r="AB26" s="337"/>
      <c r="AC26" s="437"/>
      <c r="AD26" s="437"/>
      <c r="AE26" s="437"/>
      <c r="AF26" s="437"/>
      <c r="AG26" s="437"/>
      <c r="AH26" s="437"/>
      <c r="AI26" s="437"/>
      <c r="AJ26" s="437"/>
      <c r="AK26" s="437"/>
      <c r="AL26" s="437"/>
      <c r="AM26" s="338"/>
      <c r="AO26" s="696">
        <f t="array" aca="1" ref="AO26" ca="1">IF($A26="S",IF(BM!$I26=0,0,CHOOSE(MATCH(RegimeExecucao,{"Global","Unitário"},0),ROUND(ROUND(BM.MEDAcumulado,15-13*BM!$A$9)/100*BM!$I26,15-13*ORÇAMENTO!$AF$11),ROUND(ROUND(BM.MEDAcumulado,15-13*BM!$A$9)*ROUND(BM!$H26,15-13*ORÇAMENTO!$AF$10),15-13*ORÇAMENTO!$AF$11))),IF($A26=0,0,ROUND(SomaAgrupBM,15-13*ORÇAMENTO!$AF$11)))</f>
        <v>0</v>
      </c>
    </row>
    <row r="27" spans="1:41" s="696" customFormat="1" ht="38.25" x14ac:dyDescent="0.2">
      <c r="A27" s="696" t="str">
        <f ca="1">ORÇAMENTO!C27</f>
        <v>S</v>
      </c>
      <c r="B27" s="696">
        <f ca="1">ORÇAMENTO!D27</f>
        <v>0</v>
      </c>
      <c r="C27" s="114" t="str">
        <f t="shared" ca="1" si="1"/>
        <v>F</v>
      </c>
      <c r="D27" s="117" t="str">
        <f ca="1">ORÇAMENTO!O27</f>
        <v>1.2.4.</v>
      </c>
      <c r="E27" s="163" t="str">
        <f t="shared" ca="1" si="2"/>
        <v>SONDAGEM A PERCUSSÃO COM ENSAIO DE PENETRAÇÃO PADRÃO (SPT), DIÂMETRO 2.1/2", EXCLUSIVE MOBILIZAÇÃO E DESMOBILIZAÇÃO</v>
      </c>
      <c r="F27" s="164" t="str">
        <f t="array" aca="1" ref="F27" ca="1">IF(RegimeExecucao="Global","",ORÇAMENTO.Unidade)</f>
        <v>m</v>
      </c>
      <c r="G27" s="122">
        <f t="array" aca="1" ref="G27" ca="1">IF(RegimeExecucao="Global","",ORÇAMENTO!T27)</f>
        <v>80</v>
      </c>
      <c r="H27" s="122">
        <f t="array" aca="1" ref="H27" ca="1">IF(RegimeExecucao="Global","",ORÇAMENTO!W27)</f>
        <v>89.46</v>
      </c>
      <c r="I27" s="125">
        <f ca="1">ORÇAMENTO!X27</f>
        <v>7156.8</v>
      </c>
      <c r="J27" s="333">
        <f t="array" aca="1" ref="J27" ca="1">IF($A27="S",IF(CAIXA.Modo,BM.AFAnterior,BM.MEDAnterior),IF(AND(RegimeExecucao="Global",$I27&gt;0,COUNTIF($AB$13:$AM$13,BM.medicao-1)&gt;0),M27/$I27*100,0))</f>
        <v>0</v>
      </c>
      <c r="K27" s="122">
        <f t="shared" ca="1" si="3"/>
        <v>0</v>
      </c>
      <c r="L27" s="334">
        <f t="array" aca="1" ref="L27" ca="1">IF($A27="S",IF(CAIXA.Modo,BM.AFAcumulado,BM.MEDAcumulado),IF(AND(RegimeExecucao="Global",$I27&gt;0,COUNTIF($AB$13:$AM$13,BM.medicao)&gt;0),O27/$I27*100,0))</f>
        <v>0</v>
      </c>
      <c r="M27" s="335">
        <f t="array" aca="1" ref="M27" ca="1">IF($A27="S",VTOTALBM,IF($A27=0,0,ROUND(SomaAgrupBM,15-13*ORÇAMENTO!$AF$11)))</f>
        <v>0</v>
      </c>
      <c r="N27" s="336">
        <f t="shared" ca="1" si="4"/>
        <v>0</v>
      </c>
      <c r="O27" s="125">
        <f t="array" aca="1" ref="O27" ca="1">IF($A27="S",VTOTALBM,IF($A27=0,0,ROUND(SomaAgrupBM,15-13*ORÇAMENTO!$AF$11)))</f>
        <v>0</v>
      </c>
      <c r="Q27" s="337"/>
      <c r="R27" s="338"/>
      <c r="T27" s="117" t="str">
        <f t="shared" ca="1" si="5"/>
        <v/>
      </c>
      <c r="U27" s="163" t="str">
        <f t="shared" ca="1" si="6"/>
        <v/>
      </c>
      <c r="V27" s="164" t="str">
        <f t="array" aca="1" ref="V27" ca="1">IF(AND($W27&gt;0,RegimeExecucao="Unitário"),$F27,"")</f>
        <v/>
      </c>
      <c r="W27" s="453">
        <f t="array" aca="1" ref="W27" ca="1">IF($Y27&gt;0,CHOOSE(MATCH(RegimeExecucao,{"Unitário","Global"},0),IF($A27="S",$Y27/$X27,""),($Y27/$X27)*100),0)</f>
        <v>0</v>
      </c>
      <c r="X27" s="339" t="str">
        <f t="array" aca="1" ref="X27" ca="1">IF($Y27&gt;0,CHOOSE(MATCH(RegimeExecucao,{"Unitário","Global"},0),IF($A27="S",ROUND($H27,ORÇAMENTO!$AF$10),""),ROUND($I27,ORÇAMENTO!$AF$11)),"")</f>
        <v/>
      </c>
      <c r="Y27" s="339">
        <f t="shared" ca="1" si="7"/>
        <v>0</v>
      </c>
      <c r="Z27" s="472"/>
      <c r="AB27" s="337"/>
      <c r="AC27" s="437"/>
      <c r="AD27" s="437"/>
      <c r="AE27" s="437"/>
      <c r="AF27" s="437"/>
      <c r="AG27" s="437"/>
      <c r="AH27" s="437"/>
      <c r="AI27" s="437"/>
      <c r="AJ27" s="437"/>
      <c r="AK27" s="437"/>
      <c r="AL27" s="437"/>
      <c r="AM27" s="338"/>
      <c r="AO27" s="696">
        <f t="array" aca="1" ref="AO27" ca="1">IF($A27="S",IF(BM!$I27=0,0,CHOOSE(MATCH(RegimeExecucao,{"Global","Unitário"},0),ROUND(ROUND(BM.MEDAcumulado,15-13*BM!$A$9)/100*BM!$I27,15-13*ORÇAMENTO!$AF$11),ROUND(ROUND(BM.MEDAcumulado,15-13*BM!$A$9)*ROUND(BM!$H27,15-13*ORÇAMENTO!$AF$10),15-13*ORÇAMENTO!$AF$11))),IF($A27=0,0,ROUND(SomaAgrupBM,15-13*ORÇAMENTO!$AF$11)))</f>
        <v>0</v>
      </c>
    </row>
    <row r="28" spans="1:41" s="699" customFormat="1" ht="38.25" x14ac:dyDescent="0.2">
      <c r="A28" s="699" t="str">
        <f ca="1">ORÇAMENTO!C28</f>
        <v>S</v>
      </c>
      <c r="B28" s="699">
        <f ca="1">ORÇAMENTO!D28</f>
        <v>0</v>
      </c>
      <c r="C28" s="114" t="str">
        <f ca="1">IF(OR($I28&gt;0,$A28=1,$A28=2,$A28=3,$A28=4),"F","")</f>
        <v>F</v>
      </c>
      <c r="D28" s="117" t="str">
        <f ca="1">ORÇAMENTO!O28</f>
        <v>1.2.5.</v>
      </c>
      <c r="E28" s="163" t="str">
        <f ca="1">ORÇAMENTO.Descricao</f>
        <v>BARRACÃO DE OBRA, EM CHAPA DE COMPENSADO RESINADO, INCLUSIVE  INSTALAÇÕES SANITÁRIAS E MOBILIÁRIO - PADRÃO DER-MG</v>
      </c>
      <c r="F28" s="164" t="str">
        <f t="array" aca="1" ref="F28" ca="1">IF(RegimeExecucao="Global","",ORÇAMENTO.Unidade)</f>
        <v>m2</v>
      </c>
      <c r="G28" s="122">
        <f t="array" aca="1" ref="G28" ca="1">IF(RegimeExecucao="Global","",ORÇAMENTO!T28)</f>
        <v>15</v>
      </c>
      <c r="H28" s="122">
        <f t="array" aca="1" ref="H28" ca="1">IF(RegimeExecucao="Global","",ORÇAMENTO!W28)</f>
        <v>763.8</v>
      </c>
      <c r="I28" s="125">
        <f ca="1">ORÇAMENTO!X28</f>
        <v>11457</v>
      </c>
      <c r="J28" s="333">
        <f t="array" aca="1" ref="J28" ca="1">IF($A28="S",IF(CAIXA.Modo,BM.AFAnterior,BM.MEDAnterior),IF(AND(RegimeExecucao="Global",$I28&gt;0,COUNTIF($AB$13:$AM$13,BM.medicao-1)&gt;0),M28/$I28*100,0))</f>
        <v>0</v>
      </c>
      <c r="K28" s="122">
        <f ca="1">L28-J28</f>
        <v>0</v>
      </c>
      <c r="L28" s="334">
        <f t="array" aca="1" ref="L28" ca="1">IF($A28="S",IF(CAIXA.Modo,BM.AFAcumulado,BM.MEDAcumulado),IF(AND(RegimeExecucao="Global",$I28&gt;0,COUNTIF($AB$13:$AM$13,BM.medicao)&gt;0),O28/$I28*100,0))</f>
        <v>0</v>
      </c>
      <c r="M28" s="335">
        <f t="array" aca="1" ref="M28" ca="1">IF($A28="S",VTOTALBM,IF($A28=0,0,ROUND(SomaAgrupBM,15-13*ORÇAMENTO!$AF$11)))</f>
        <v>0</v>
      </c>
      <c r="N28" s="336">
        <f ca="1">O28-M28</f>
        <v>0</v>
      </c>
      <c r="O28" s="125">
        <f t="array" aca="1" ref="O28" ca="1">IF($A28="S",VTOTALBM,IF($A28=0,0,ROUND(SomaAgrupBM,15-13*ORÇAMENTO!$AF$11)))</f>
        <v>0</v>
      </c>
      <c r="Q28" s="337"/>
      <c r="R28" s="338"/>
      <c r="T28" s="117" t="str">
        <f ca="1">IF($W28&gt;0,$D28,"")</f>
        <v/>
      </c>
      <c r="U28" s="163" t="str">
        <f ca="1">IF($W28&gt;0,$E28,"")</f>
        <v/>
      </c>
      <c r="V28" s="164" t="str">
        <f t="array" aca="1" ref="V28" ca="1">IF(AND($W28&gt;0,RegimeExecucao="Unitário"),$F28,"")</f>
        <v/>
      </c>
      <c r="W28" s="453">
        <f t="array" aca="1" ref="W28" ca="1">IF($Y28&gt;0,CHOOSE(MATCH(RegimeExecucao,{"Unitário","Global"},0),IF($A28="S",$Y28/$X28,""),($Y28/$X28)*100),0)</f>
        <v>0</v>
      </c>
      <c r="X28" s="339" t="str">
        <f t="array" aca="1" ref="X28" ca="1">IF($Y28&gt;0,CHOOSE(MATCH(RegimeExecucao,{"Unitário","Global"},0),IF($A28="S",ROUND($H28,ORÇAMENTO!$AF$10),""),ROUND($I28,ORÇAMENTO!$AF$11)),"")</f>
        <v/>
      </c>
      <c r="Y28" s="339">
        <f ca="1">AO28-O28</f>
        <v>0</v>
      </c>
      <c r="Z28" s="472"/>
      <c r="AB28" s="337"/>
      <c r="AC28" s="437"/>
      <c r="AD28" s="437"/>
      <c r="AE28" s="437"/>
      <c r="AF28" s="437"/>
      <c r="AG28" s="437"/>
      <c r="AH28" s="437"/>
      <c r="AI28" s="437"/>
      <c r="AJ28" s="437"/>
      <c r="AK28" s="437"/>
      <c r="AL28" s="437"/>
      <c r="AM28" s="338"/>
      <c r="AO28" s="699">
        <f t="array" aca="1" ref="AO28" ca="1">IF($A28="S",IF(BM!$I28=0,0,CHOOSE(MATCH(RegimeExecucao,{"Global","Unitário"},0),ROUND(ROUND(BM.MEDAcumulado,15-13*BM!$A$9)/100*BM!$I28,15-13*ORÇAMENTO!$AF$11),ROUND(ROUND(BM.MEDAcumulado,15-13*BM!$A$9)*ROUND(BM!$H28,15-13*ORÇAMENTO!$AF$10),15-13*ORÇAMENTO!$AF$11))),IF($A28=0,0,ROUND(SomaAgrupBM,15-13*ORÇAMENTO!$AF$11)))</f>
        <v>0</v>
      </c>
    </row>
    <row r="29" spans="1:41" s="696" customFormat="1" x14ac:dyDescent="0.2">
      <c r="A29" s="696">
        <f ca="1">ORÇAMENTO!C29</f>
        <v>2</v>
      </c>
      <c r="B29" s="696">
        <f ca="1">ORÇAMENTO!D29</f>
        <v>2</v>
      </c>
      <c r="C29" s="114" t="str">
        <f t="shared" ca="1" si="1"/>
        <v>F</v>
      </c>
      <c r="D29" s="117" t="str">
        <f ca="1">ORÇAMENTO!O29</f>
        <v>1.3.</v>
      </c>
      <c r="E29" s="163" t="str">
        <f t="shared" si="2"/>
        <v>ADMINISTRAÇÃO LOCAL</v>
      </c>
      <c r="F29" s="164" t="str">
        <f t="array" aca="1" ref="F29" ca="1">IF(RegimeExecucao="Global","",ORÇAMENTO.Unidade)</f>
        <v>-</v>
      </c>
      <c r="G29" s="122">
        <f t="array" aca="1" ref="G29" ca="1">IF(RegimeExecucao="Global","",ORÇAMENTO!T29)</f>
        <v>0</v>
      </c>
      <c r="H29" s="122">
        <f t="array" aca="1" ref="H29" ca="1">IF(RegimeExecucao="Global","",ORÇAMENTO!W29)</f>
        <v>0</v>
      </c>
      <c r="I29" s="125">
        <f ca="1">ORÇAMENTO!X29</f>
        <v>102880.01</v>
      </c>
      <c r="J29" s="333">
        <f t="array" aca="1" ref="J29" ca="1">IF($A29="S",IF(CAIXA.Modo,BM.AFAnterior,BM.MEDAnterior),IF(AND(RegimeExecucao="Global",$I29&gt;0,COUNTIF($AB$13:$AM$13,BM.medicao-1)&gt;0),M29/$I29*100,0))</f>
        <v>0</v>
      </c>
      <c r="K29" s="122">
        <f t="shared" ca="1" si="3"/>
        <v>0</v>
      </c>
      <c r="L29" s="334">
        <f t="array" aca="1" ref="L29" ca="1">IF($A29="S",IF(CAIXA.Modo,BM.AFAcumulado,BM.MEDAcumulado),IF(AND(RegimeExecucao="Global",$I29&gt;0,COUNTIF($AB$13:$AM$13,BM.medicao)&gt;0),O29/$I29*100,0))</f>
        <v>0</v>
      </c>
      <c r="M29" s="335">
        <f t="array" aca="1" ref="M29" ca="1">IF($A29="S",VTOTALBM,IF($A29=0,0,ROUND(SomaAgrupBM,15-13*ORÇAMENTO!$AF$11)))</f>
        <v>0</v>
      </c>
      <c r="N29" s="336">
        <f t="shared" ca="1" si="4"/>
        <v>0</v>
      </c>
      <c r="O29" s="125">
        <f t="array" aca="1" ref="O29" ca="1">IF($A29="S",VTOTALBM,IF($A29=0,0,ROUND(SomaAgrupBM,15-13*ORÇAMENTO!$AF$11)))</f>
        <v>0</v>
      </c>
      <c r="Q29" s="337"/>
      <c r="R29" s="338"/>
      <c r="T29" s="117" t="str">
        <f t="shared" ca="1" si="5"/>
        <v/>
      </c>
      <c r="U29" s="163" t="str">
        <f t="shared" ca="1" si="6"/>
        <v/>
      </c>
      <c r="V29" s="164" t="str">
        <f t="array" aca="1" ref="V29" ca="1">IF(AND($W29&gt;0,RegimeExecucao="Unitário"),$F29,"")</f>
        <v/>
      </c>
      <c r="W29" s="453">
        <f t="array" aca="1" ref="W29" ca="1">IF($Y29&gt;0,CHOOSE(MATCH(RegimeExecucao,{"Unitário","Global"},0),IF($A29="S",$Y29/$X29,""),($Y29/$X29)*100),0)</f>
        <v>0</v>
      </c>
      <c r="X29" s="339" t="str">
        <f t="array" aca="1" ref="X29" ca="1">IF($Y29&gt;0,CHOOSE(MATCH(RegimeExecucao,{"Unitário","Global"},0),IF($A29="S",ROUND($H29,ORÇAMENTO!$AF$10),""),ROUND($I29,ORÇAMENTO!$AF$11)),"")</f>
        <v/>
      </c>
      <c r="Y29" s="339">
        <f t="shared" ca="1" si="7"/>
        <v>0</v>
      </c>
      <c r="Z29" s="472"/>
      <c r="AB29" s="337"/>
      <c r="AC29" s="437"/>
      <c r="AD29" s="437"/>
      <c r="AE29" s="437"/>
      <c r="AF29" s="437"/>
      <c r="AG29" s="437"/>
      <c r="AH29" s="437"/>
      <c r="AI29" s="437"/>
      <c r="AJ29" s="437"/>
      <c r="AK29" s="437"/>
      <c r="AL29" s="437"/>
      <c r="AM29" s="338"/>
      <c r="AO29" s="696">
        <f t="array" aca="1" ref="AO29" ca="1">IF($A29="S",IF(BM!$I29=0,0,CHOOSE(MATCH(RegimeExecucao,{"Global","Unitário"},0),ROUND(ROUND(BM.MEDAcumulado,15-13*BM!$A$9)/100*BM!$I29,15-13*ORÇAMENTO!$AF$11),ROUND(ROUND(BM.MEDAcumulado,15-13*BM!$A$9)*ROUND(BM!$H29,15-13*ORÇAMENTO!$AF$10),15-13*ORÇAMENTO!$AF$11))),IF($A29=0,0,ROUND(SomaAgrupBM,15-13*ORÇAMENTO!$AF$11)))</f>
        <v>0</v>
      </c>
    </row>
    <row r="30" spans="1:41" s="696" customFormat="1" x14ac:dyDescent="0.2">
      <c r="A30" s="696" t="str">
        <f ca="1">ORÇAMENTO!C30</f>
        <v>S</v>
      </c>
      <c r="B30" s="696">
        <f ca="1">ORÇAMENTO!D30</f>
        <v>0</v>
      </c>
      <c r="C30" s="114" t="str">
        <f t="shared" ca="1" si="1"/>
        <v>F</v>
      </c>
      <c r="D30" s="117" t="str">
        <f ca="1">ORÇAMENTO!O30</f>
        <v>1.3.1.</v>
      </c>
      <c r="E30" s="163" t="str">
        <f t="shared" ca="1" si="2"/>
        <v>ADMINISTAÇÃO LOCAL</v>
      </c>
      <c r="F30" s="164" t="str">
        <f t="array" aca="1" ref="F30" ca="1">IF(RegimeExecucao="Global","",ORÇAMENTO.Unidade)</f>
        <v>%CT</v>
      </c>
      <c r="G30" s="122">
        <f t="array" aca="1" ref="G30" ca="1">IF(RegimeExecucao="Global","",ORÇAMENTO!T30)</f>
        <v>100</v>
      </c>
      <c r="H30" s="122">
        <f t="array" aca="1" ref="H30" ca="1">IF(RegimeExecucao="Global","",ORÇAMENTO!W30)</f>
        <v>1028.8</v>
      </c>
      <c r="I30" s="125">
        <f ca="1">ORÇAMENTO!X30</f>
        <v>102880.01000000001</v>
      </c>
      <c r="J30" s="333">
        <f t="array" aca="1" ref="J30" ca="1">IF($A30="S",IF(CAIXA.Modo,BM.AFAnterior,BM.MEDAnterior),IF(AND(RegimeExecucao="Global",$I30&gt;0,COUNTIF($AB$13:$AM$13,BM.medicao-1)&gt;0),M30/$I30*100,0))</f>
        <v>0</v>
      </c>
      <c r="K30" s="122">
        <f t="shared" ca="1" si="3"/>
        <v>0</v>
      </c>
      <c r="L30" s="334">
        <f t="array" aca="1" ref="L30" ca="1">IF($A30="S",IF(CAIXA.Modo,BM.AFAcumulado,BM.MEDAcumulado),IF(AND(RegimeExecucao="Global",$I30&gt;0,COUNTIF($AB$13:$AM$13,BM.medicao)&gt;0),O30/$I30*100,0))</f>
        <v>0</v>
      </c>
      <c r="M30" s="335">
        <f t="array" aca="1" ref="M30" ca="1">IF($A30="S",VTOTALBM,IF($A30=0,0,ROUND(SomaAgrupBM,15-13*ORÇAMENTO!$AF$11)))</f>
        <v>0</v>
      </c>
      <c r="N30" s="336">
        <f t="shared" ca="1" si="4"/>
        <v>0</v>
      </c>
      <c r="O30" s="125">
        <f t="array" aca="1" ref="O30" ca="1">IF($A30="S",VTOTALBM,IF($A30=0,0,ROUND(SomaAgrupBM,15-13*ORÇAMENTO!$AF$11)))</f>
        <v>0</v>
      </c>
      <c r="Q30" s="337"/>
      <c r="R30" s="338"/>
      <c r="T30" s="117" t="str">
        <f t="shared" ca="1" si="5"/>
        <v/>
      </c>
      <c r="U30" s="163" t="str">
        <f t="shared" ca="1" si="6"/>
        <v/>
      </c>
      <c r="V30" s="164" t="str">
        <f t="array" aca="1" ref="V30" ca="1">IF(AND($W30&gt;0,RegimeExecucao="Unitário"),$F30,"")</f>
        <v/>
      </c>
      <c r="W30" s="453">
        <f t="array" aca="1" ref="W30" ca="1">IF($Y30&gt;0,CHOOSE(MATCH(RegimeExecucao,{"Unitário","Global"},0),IF($A30="S",$Y30/$X30,""),($Y30/$X30)*100),0)</f>
        <v>0</v>
      </c>
      <c r="X30" s="339" t="str">
        <f t="array" aca="1" ref="X30" ca="1">IF($Y30&gt;0,CHOOSE(MATCH(RegimeExecucao,{"Unitário","Global"},0),IF($A30="S",ROUND($H30,ORÇAMENTO!$AF$10),""),ROUND($I30,ORÇAMENTO!$AF$11)),"")</f>
        <v/>
      </c>
      <c r="Y30" s="339">
        <f t="shared" ca="1" si="7"/>
        <v>0</v>
      </c>
      <c r="Z30" s="472"/>
      <c r="AB30" s="337"/>
      <c r="AC30" s="437"/>
      <c r="AD30" s="437"/>
      <c r="AE30" s="437"/>
      <c r="AF30" s="437"/>
      <c r="AG30" s="437"/>
      <c r="AH30" s="437"/>
      <c r="AI30" s="437"/>
      <c r="AJ30" s="437"/>
      <c r="AK30" s="437"/>
      <c r="AL30" s="437"/>
      <c r="AM30" s="338"/>
      <c r="AO30" s="696">
        <f t="array" aca="1" ref="AO30" ca="1">IF($A30="S",IF(BM!$I30=0,0,CHOOSE(MATCH(RegimeExecucao,{"Global","Unitário"},0),ROUND(ROUND(BM.MEDAcumulado,15-13*BM!$A$9)/100*BM!$I30,15-13*ORÇAMENTO!$AF$11),ROUND(ROUND(BM.MEDAcumulado,15-13*BM!$A$9)*ROUND(BM!$H30,15-13*ORÇAMENTO!$AF$10),15-13*ORÇAMENTO!$AF$11))),IF($A30=0,0,ROUND(SomaAgrupBM,15-13*ORÇAMENTO!$AF$11)))</f>
        <v>0</v>
      </c>
    </row>
    <row r="31" spans="1:41" s="696" customFormat="1" x14ac:dyDescent="0.2">
      <c r="A31" s="696">
        <f ca="1">ORÇAMENTO!C31</f>
        <v>2</v>
      </c>
      <c r="B31" s="696">
        <f ca="1">ORÇAMENTO!D31</f>
        <v>11</v>
      </c>
      <c r="C31" s="114" t="str">
        <f t="shared" ca="1" si="1"/>
        <v>F</v>
      </c>
      <c r="D31" s="117" t="str">
        <f ca="1">ORÇAMENTO!O31</f>
        <v>1.4.</v>
      </c>
      <c r="E31" s="163" t="str">
        <f t="shared" si="2"/>
        <v>SAPATAS</v>
      </c>
      <c r="F31" s="164" t="str">
        <f t="array" aca="1" ref="F31" ca="1">IF(RegimeExecucao="Global","",ORÇAMENTO.Unidade)</f>
        <v>-</v>
      </c>
      <c r="G31" s="122">
        <f t="array" aca="1" ref="G31" ca="1">IF(RegimeExecucao="Global","",ORÇAMENTO!T31)</f>
        <v>0</v>
      </c>
      <c r="H31" s="122">
        <f t="array" aca="1" ref="H31" ca="1">IF(RegimeExecucao="Global","",ORÇAMENTO!W31)</f>
        <v>0</v>
      </c>
      <c r="I31" s="125">
        <f ca="1">ORÇAMENTO!X31</f>
        <v>138162.01</v>
      </c>
      <c r="J31" s="333">
        <f t="array" aca="1" ref="J31" ca="1">IF($A31="S",IF(CAIXA.Modo,BM.AFAnterior,BM.MEDAnterior),IF(AND(RegimeExecucao="Global",$I31&gt;0,COUNTIF($AB$13:$AM$13,BM.medicao-1)&gt;0),M31/$I31*100,0))</f>
        <v>0</v>
      </c>
      <c r="K31" s="122">
        <f t="shared" ca="1" si="3"/>
        <v>0</v>
      </c>
      <c r="L31" s="334">
        <f t="array" aca="1" ref="L31" ca="1">IF($A31="S",IF(CAIXA.Modo,BM.AFAcumulado,BM.MEDAcumulado),IF(AND(RegimeExecucao="Global",$I31&gt;0,COUNTIF($AB$13:$AM$13,BM.medicao)&gt;0),O31/$I31*100,0))</f>
        <v>0</v>
      </c>
      <c r="M31" s="335">
        <f t="array" aca="1" ref="M31" ca="1">IF($A31="S",VTOTALBM,IF($A31=0,0,ROUND(SomaAgrupBM,15-13*ORÇAMENTO!$AF$11)))</f>
        <v>0</v>
      </c>
      <c r="N31" s="336">
        <f t="shared" ca="1" si="4"/>
        <v>0</v>
      </c>
      <c r="O31" s="125">
        <f t="array" aca="1" ref="O31" ca="1">IF($A31="S",VTOTALBM,IF($A31=0,0,ROUND(SomaAgrupBM,15-13*ORÇAMENTO!$AF$11)))</f>
        <v>0</v>
      </c>
      <c r="Q31" s="337"/>
      <c r="R31" s="338"/>
      <c r="T31" s="117" t="str">
        <f t="shared" ca="1" si="5"/>
        <v/>
      </c>
      <c r="U31" s="163" t="str">
        <f t="shared" ca="1" si="6"/>
        <v/>
      </c>
      <c r="V31" s="164" t="str">
        <f t="array" aca="1" ref="V31" ca="1">IF(AND($W31&gt;0,RegimeExecucao="Unitário"),$F31,"")</f>
        <v/>
      </c>
      <c r="W31" s="453">
        <f t="array" aca="1" ref="W31" ca="1">IF($Y31&gt;0,CHOOSE(MATCH(RegimeExecucao,{"Unitário","Global"},0),IF($A31="S",$Y31/$X31,""),($Y31/$X31)*100),0)</f>
        <v>0</v>
      </c>
      <c r="X31" s="339" t="str">
        <f t="array" aca="1" ref="X31" ca="1">IF($Y31&gt;0,CHOOSE(MATCH(RegimeExecucao,{"Unitário","Global"},0),IF($A31="S",ROUND($H31,ORÇAMENTO!$AF$10),""),ROUND($I31,ORÇAMENTO!$AF$11)),"")</f>
        <v/>
      </c>
      <c r="Y31" s="339">
        <f t="shared" ca="1" si="7"/>
        <v>0</v>
      </c>
      <c r="Z31" s="472"/>
      <c r="AB31" s="337"/>
      <c r="AC31" s="437"/>
      <c r="AD31" s="437"/>
      <c r="AE31" s="437"/>
      <c r="AF31" s="437"/>
      <c r="AG31" s="437"/>
      <c r="AH31" s="437"/>
      <c r="AI31" s="437"/>
      <c r="AJ31" s="437"/>
      <c r="AK31" s="437"/>
      <c r="AL31" s="437"/>
      <c r="AM31" s="338"/>
      <c r="AO31" s="696">
        <f t="array" aca="1" ref="AO31" ca="1">IF($A31="S",IF(BM!$I31=0,0,CHOOSE(MATCH(RegimeExecucao,{"Global","Unitário"},0),ROUND(ROUND(BM.MEDAcumulado,15-13*BM!$A$9)/100*BM!$I31,15-13*ORÇAMENTO!$AF$11),ROUND(ROUND(BM.MEDAcumulado,15-13*BM!$A$9)*ROUND(BM!$H31,15-13*ORÇAMENTO!$AF$10),15-13*ORÇAMENTO!$AF$11))),IF($A31=0,0,ROUND(SomaAgrupBM,15-13*ORÇAMENTO!$AF$11)))</f>
        <v>0</v>
      </c>
    </row>
    <row r="32" spans="1:41" s="696" customFormat="1" ht="25.5" x14ac:dyDescent="0.2">
      <c r="A32" s="696" t="str">
        <f ca="1">ORÇAMENTO!C32</f>
        <v>S</v>
      </c>
      <c r="B32" s="696">
        <f ca="1">ORÇAMENTO!D32</f>
        <v>0</v>
      </c>
      <c r="C32" s="114" t="str">
        <f t="shared" ca="1" si="1"/>
        <v>F</v>
      </c>
      <c r="D32" s="117" t="str">
        <f ca="1">ORÇAMENTO!O32</f>
        <v>1.4.1.</v>
      </c>
      <c r="E32" s="163" t="str">
        <f t="shared" ca="1" si="2"/>
        <v>LOCAÇÃO COM CAVALETE COM ALTURA DE 0,50 M - 2 UTILIZAÇÕES. AF_03/2024</v>
      </c>
      <c r="F32" s="164" t="str">
        <f t="array" aca="1" ref="F32" ca="1">IF(RegimeExecucao="Global","",ORÇAMENTO.Unidade)</f>
        <v>UN</v>
      </c>
      <c r="G32" s="122">
        <f t="array" aca="1" ref="G32" ca="1">IF(RegimeExecucao="Global","",ORÇAMENTO!T32)</f>
        <v>20</v>
      </c>
      <c r="H32" s="122">
        <f t="array" aca="1" ref="H32" ca="1">IF(RegimeExecucao="Global","",ORÇAMENTO!W32)</f>
        <v>151.22999999999999</v>
      </c>
      <c r="I32" s="125">
        <f ca="1">ORÇAMENTO!X32</f>
        <v>3024.6</v>
      </c>
      <c r="J32" s="333">
        <f t="array" aca="1" ref="J32" ca="1">IF($A32="S",IF(CAIXA.Modo,BM.AFAnterior,BM.MEDAnterior),IF(AND(RegimeExecucao="Global",$I32&gt;0,COUNTIF($AB$13:$AM$13,BM.medicao-1)&gt;0),M32/$I32*100,0))</f>
        <v>0</v>
      </c>
      <c r="K32" s="122">
        <f t="shared" ca="1" si="3"/>
        <v>0</v>
      </c>
      <c r="L32" s="334">
        <f t="array" aca="1" ref="L32" ca="1">IF($A32="S",IF(CAIXA.Modo,BM.AFAcumulado,BM.MEDAcumulado),IF(AND(RegimeExecucao="Global",$I32&gt;0,COUNTIF($AB$13:$AM$13,BM.medicao)&gt;0),O32/$I32*100,0))</f>
        <v>0</v>
      </c>
      <c r="M32" s="335">
        <f t="array" aca="1" ref="M32" ca="1">IF($A32="S",VTOTALBM,IF($A32=0,0,ROUND(SomaAgrupBM,15-13*ORÇAMENTO!$AF$11)))</f>
        <v>0</v>
      </c>
      <c r="N32" s="336">
        <f t="shared" ca="1" si="4"/>
        <v>0</v>
      </c>
      <c r="O32" s="125">
        <f t="array" aca="1" ref="O32" ca="1">IF($A32="S",VTOTALBM,IF($A32=0,0,ROUND(SomaAgrupBM,15-13*ORÇAMENTO!$AF$11)))</f>
        <v>0</v>
      </c>
      <c r="Q32" s="337"/>
      <c r="R32" s="338"/>
      <c r="T32" s="117" t="str">
        <f t="shared" ca="1" si="5"/>
        <v/>
      </c>
      <c r="U32" s="163" t="str">
        <f t="shared" ca="1" si="6"/>
        <v/>
      </c>
      <c r="V32" s="164" t="str">
        <f t="array" aca="1" ref="V32" ca="1">IF(AND($W32&gt;0,RegimeExecucao="Unitário"),$F32,"")</f>
        <v/>
      </c>
      <c r="W32" s="453">
        <f t="array" aca="1" ref="W32" ca="1">IF($Y32&gt;0,CHOOSE(MATCH(RegimeExecucao,{"Unitário","Global"},0),IF($A32="S",$Y32/$X32,""),($Y32/$X32)*100),0)</f>
        <v>0</v>
      </c>
      <c r="X32" s="339" t="str">
        <f t="array" aca="1" ref="X32" ca="1">IF($Y32&gt;0,CHOOSE(MATCH(RegimeExecucao,{"Unitário","Global"},0),IF($A32="S",ROUND($H32,ORÇAMENTO!$AF$10),""),ROUND($I32,ORÇAMENTO!$AF$11)),"")</f>
        <v/>
      </c>
      <c r="Y32" s="339">
        <f t="shared" ca="1" si="7"/>
        <v>0</v>
      </c>
      <c r="Z32" s="472"/>
      <c r="AB32" s="337"/>
      <c r="AC32" s="437"/>
      <c r="AD32" s="437"/>
      <c r="AE32" s="437"/>
      <c r="AF32" s="437"/>
      <c r="AG32" s="437"/>
      <c r="AH32" s="437"/>
      <c r="AI32" s="437"/>
      <c r="AJ32" s="437"/>
      <c r="AK32" s="437"/>
      <c r="AL32" s="437"/>
      <c r="AM32" s="338"/>
      <c r="AO32" s="696">
        <f t="array" aca="1" ref="AO32" ca="1">IF($A32="S",IF(BM!$I32=0,0,CHOOSE(MATCH(RegimeExecucao,{"Global","Unitário"},0),ROUND(ROUND(BM.MEDAcumulado,15-13*BM!$A$9)/100*BM!$I32,15-13*ORÇAMENTO!$AF$11),ROUND(ROUND(BM.MEDAcumulado,15-13*BM!$A$9)*ROUND(BM!$H32,15-13*ORÇAMENTO!$AF$10),15-13*ORÇAMENTO!$AF$11))),IF($A32=0,0,ROUND(SomaAgrupBM,15-13*ORÇAMENTO!$AF$11)))</f>
        <v>0</v>
      </c>
    </row>
    <row r="33" spans="1:41" s="696" customFormat="1" ht="38.25" x14ac:dyDescent="0.2">
      <c r="A33" s="696" t="str">
        <f ca="1">ORÇAMENTO!C33</f>
        <v>S</v>
      </c>
      <c r="B33" s="696">
        <f ca="1">ORÇAMENTO!D33</f>
        <v>0</v>
      </c>
      <c r="C33" s="114" t="str">
        <f t="shared" ca="1" si="1"/>
        <v>F</v>
      </c>
      <c r="D33" s="117" t="str">
        <f ca="1">ORÇAMENTO!O33</f>
        <v>1.4.2.</v>
      </c>
      <c r="E33" s="163" t="str">
        <f t="shared" ca="1" si="2"/>
        <v>ESCAVAÇÃO MECANIZADA PARA BLOCO DE COROAMENTO OU SAPATA COM RETROESCAVADEIRA (INCLUINDO ESCAVAÇÃO PARA COLOCAÇÃO DE FÔRMAS). AF_01/2024</v>
      </c>
      <c r="F33" s="164" t="str">
        <f t="array" aca="1" ref="F33" ca="1">IF(RegimeExecucao="Global","",ORÇAMENTO.Unidade)</f>
        <v>M3</v>
      </c>
      <c r="G33" s="122">
        <f t="array" aca="1" ref="G33" ca="1">IF(RegimeExecucao="Global","",ORÇAMENTO!T33)</f>
        <v>64.849999999999994</v>
      </c>
      <c r="H33" s="122">
        <f t="array" aca="1" ref="H33" ca="1">IF(RegimeExecucao="Global","",ORÇAMENTO!W33)</f>
        <v>50.23</v>
      </c>
      <c r="I33" s="125">
        <f ca="1">ORÇAMENTO!X33</f>
        <v>3257.4100000000003</v>
      </c>
      <c r="J33" s="333">
        <f t="array" aca="1" ref="J33" ca="1">IF($A33="S",IF(CAIXA.Modo,BM.AFAnterior,BM.MEDAnterior),IF(AND(RegimeExecucao="Global",$I33&gt;0,COUNTIF($AB$13:$AM$13,BM.medicao-1)&gt;0),M33/$I33*100,0))</f>
        <v>0</v>
      </c>
      <c r="K33" s="122">
        <f t="shared" ca="1" si="3"/>
        <v>0</v>
      </c>
      <c r="L33" s="334">
        <f t="array" aca="1" ref="L33" ca="1">IF($A33="S",IF(CAIXA.Modo,BM.AFAcumulado,BM.MEDAcumulado),IF(AND(RegimeExecucao="Global",$I33&gt;0,COUNTIF($AB$13:$AM$13,BM.medicao)&gt;0),O33/$I33*100,0))</f>
        <v>0</v>
      </c>
      <c r="M33" s="335">
        <f t="array" aca="1" ref="M33" ca="1">IF($A33="S",VTOTALBM,IF($A33=0,0,ROUND(SomaAgrupBM,15-13*ORÇAMENTO!$AF$11)))</f>
        <v>0</v>
      </c>
      <c r="N33" s="336">
        <f t="shared" ca="1" si="4"/>
        <v>0</v>
      </c>
      <c r="O33" s="125">
        <f t="array" aca="1" ref="O33" ca="1">IF($A33="S",VTOTALBM,IF($A33=0,0,ROUND(SomaAgrupBM,15-13*ORÇAMENTO!$AF$11)))</f>
        <v>0</v>
      </c>
      <c r="Q33" s="337"/>
      <c r="R33" s="338"/>
      <c r="T33" s="117" t="str">
        <f t="shared" ca="1" si="5"/>
        <v/>
      </c>
      <c r="U33" s="163" t="str">
        <f t="shared" ca="1" si="6"/>
        <v/>
      </c>
      <c r="V33" s="164" t="str">
        <f t="array" aca="1" ref="V33" ca="1">IF(AND($W33&gt;0,RegimeExecucao="Unitário"),$F33,"")</f>
        <v/>
      </c>
      <c r="W33" s="453">
        <f t="array" aca="1" ref="W33" ca="1">IF($Y33&gt;0,CHOOSE(MATCH(RegimeExecucao,{"Unitário","Global"},0),IF($A33="S",$Y33/$X33,""),($Y33/$X33)*100),0)</f>
        <v>0</v>
      </c>
      <c r="X33" s="339" t="str">
        <f t="array" aca="1" ref="X33" ca="1">IF($Y33&gt;0,CHOOSE(MATCH(RegimeExecucao,{"Unitário","Global"},0),IF($A33="S",ROUND($H33,ORÇAMENTO!$AF$10),""),ROUND($I33,ORÇAMENTO!$AF$11)),"")</f>
        <v/>
      </c>
      <c r="Y33" s="339">
        <f t="shared" ca="1" si="7"/>
        <v>0</v>
      </c>
      <c r="Z33" s="472"/>
      <c r="AB33" s="337"/>
      <c r="AC33" s="437"/>
      <c r="AD33" s="437"/>
      <c r="AE33" s="437"/>
      <c r="AF33" s="437"/>
      <c r="AG33" s="437"/>
      <c r="AH33" s="437"/>
      <c r="AI33" s="437"/>
      <c r="AJ33" s="437"/>
      <c r="AK33" s="437"/>
      <c r="AL33" s="437"/>
      <c r="AM33" s="338"/>
      <c r="AO33" s="696">
        <f t="array" aca="1" ref="AO33" ca="1">IF($A33="S",IF(BM!$I33=0,0,CHOOSE(MATCH(RegimeExecucao,{"Global","Unitário"},0),ROUND(ROUND(BM.MEDAcumulado,15-13*BM!$A$9)/100*BM!$I33,15-13*ORÇAMENTO!$AF$11),ROUND(ROUND(BM.MEDAcumulado,15-13*BM!$A$9)*ROUND(BM!$H33,15-13*ORÇAMENTO!$AF$10),15-13*ORÇAMENTO!$AF$11))),IF($A33=0,0,ROUND(SomaAgrupBM,15-13*ORÇAMENTO!$AF$11)))</f>
        <v>0</v>
      </c>
    </row>
    <row r="34" spans="1:41" s="696" customFormat="1" ht="25.5" x14ac:dyDescent="0.2">
      <c r="A34" s="696" t="str">
        <f ca="1">ORÇAMENTO!C34</f>
        <v>S</v>
      </c>
      <c r="B34" s="696">
        <f ca="1">ORÇAMENTO!D34</f>
        <v>0</v>
      </c>
      <c r="C34" s="114" t="str">
        <f t="shared" ca="1" si="1"/>
        <v>F</v>
      </c>
      <c r="D34" s="117" t="str">
        <f ca="1">ORÇAMENTO!O34</f>
        <v>1.4.3.</v>
      </c>
      <c r="E34" s="163" t="str">
        <f t="shared" ca="1" si="2"/>
        <v>PREPARO DE FUNDO DE VALA COM LARGURA MENOR QUE 1,5 M (ACERTO DO SOLO NATURAL). AF_08/2020</v>
      </c>
      <c r="F34" s="164" t="str">
        <f t="array" aca="1" ref="F34" ca="1">IF(RegimeExecucao="Global","",ORÇAMENTO.Unidade)</f>
        <v>M2</v>
      </c>
      <c r="G34" s="122">
        <f t="array" aca="1" ref="G34" ca="1">IF(RegimeExecucao="Global","",ORÇAMENTO!T34)</f>
        <v>93.6</v>
      </c>
      <c r="H34" s="122">
        <f t="array" aca="1" ref="H34" ca="1">IF(RegimeExecucao="Global","",ORÇAMENTO!W34)</f>
        <v>7.83</v>
      </c>
      <c r="I34" s="125">
        <f ca="1">ORÇAMENTO!X34</f>
        <v>732.88</v>
      </c>
      <c r="J34" s="333">
        <f t="array" aca="1" ref="J34" ca="1">IF($A34="S",IF(CAIXA.Modo,BM.AFAnterior,BM.MEDAnterior),IF(AND(RegimeExecucao="Global",$I34&gt;0,COUNTIF($AB$13:$AM$13,BM.medicao-1)&gt;0),M34/$I34*100,0))</f>
        <v>0</v>
      </c>
      <c r="K34" s="122">
        <f t="shared" ca="1" si="3"/>
        <v>0</v>
      </c>
      <c r="L34" s="334">
        <f t="array" aca="1" ref="L34" ca="1">IF($A34="S",IF(CAIXA.Modo,BM.AFAcumulado,BM.MEDAcumulado),IF(AND(RegimeExecucao="Global",$I34&gt;0,COUNTIF($AB$13:$AM$13,BM.medicao)&gt;0),O34/$I34*100,0))</f>
        <v>0</v>
      </c>
      <c r="M34" s="335">
        <f t="array" aca="1" ref="M34" ca="1">IF($A34="S",VTOTALBM,IF($A34=0,0,ROUND(SomaAgrupBM,15-13*ORÇAMENTO!$AF$11)))</f>
        <v>0</v>
      </c>
      <c r="N34" s="336">
        <f t="shared" ca="1" si="4"/>
        <v>0</v>
      </c>
      <c r="O34" s="125">
        <f t="array" aca="1" ref="O34" ca="1">IF($A34="S",VTOTALBM,IF($A34=0,0,ROUND(SomaAgrupBM,15-13*ORÇAMENTO!$AF$11)))</f>
        <v>0</v>
      </c>
      <c r="Q34" s="337"/>
      <c r="R34" s="338"/>
      <c r="T34" s="117" t="str">
        <f t="shared" ca="1" si="5"/>
        <v/>
      </c>
      <c r="U34" s="163" t="str">
        <f t="shared" ca="1" si="6"/>
        <v/>
      </c>
      <c r="V34" s="164" t="str">
        <f t="array" aca="1" ref="V34" ca="1">IF(AND($W34&gt;0,RegimeExecucao="Unitário"),$F34,"")</f>
        <v/>
      </c>
      <c r="W34" s="453">
        <f t="array" aca="1" ref="W34" ca="1">IF($Y34&gt;0,CHOOSE(MATCH(RegimeExecucao,{"Unitário","Global"},0),IF($A34="S",$Y34/$X34,""),($Y34/$X34)*100),0)</f>
        <v>0</v>
      </c>
      <c r="X34" s="339" t="str">
        <f t="array" aca="1" ref="X34" ca="1">IF($Y34&gt;0,CHOOSE(MATCH(RegimeExecucao,{"Unitário","Global"},0),IF($A34="S",ROUND($H34,ORÇAMENTO!$AF$10),""),ROUND($I34,ORÇAMENTO!$AF$11)),"")</f>
        <v/>
      </c>
      <c r="Y34" s="339">
        <f t="shared" ca="1" si="7"/>
        <v>0</v>
      </c>
      <c r="Z34" s="472"/>
      <c r="AB34" s="337"/>
      <c r="AC34" s="437"/>
      <c r="AD34" s="437"/>
      <c r="AE34" s="437"/>
      <c r="AF34" s="437"/>
      <c r="AG34" s="437"/>
      <c r="AH34" s="437"/>
      <c r="AI34" s="437"/>
      <c r="AJ34" s="437"/>
      <c r="AK34" s="437"/>
      <c r="AL34" s="437"/>
      <c r="AM34" s="338"/>
      <c r="AO34" s="696">
        <f t="array" aca="1" ref="AO34" ca="1">IF($A34="S",IF(BM!$I34=0,0,CHOOSE(MATCH(RegimeExecucao,{"Global","Unitário"},0),ROUND(ROUND(BM.MEDAcumulado,15-13*BM!$A$9)/100*BM!$I34,15-13*ORÇAMENTO!$AF$11),ROUND(ROUND(BM.MEDAcumulado,15-13*BM!$A$9)*ROUND(BM!$H34,15-13*ORÇAMENTO!$AF$10),15-13*ORÇAMENTO!$AF$11))),IF($A34=0,0,ROUND(SomaAgrupBM,15-13*ORÇAMENTO!$AF$11)))</f>
        <v>0</v>
      </c>
    </row>
    <row r="35" spans="1:41" s="696" customFormat="1" ht="25.5" x14ac:dyDescent="0.2">
      <c r="A35" s="696" t="str">
        <f ca="1">ORÇAMENTO!C35</f>
        <v>S</v>
      </c>
      <c r="B35" s="696">
        <f ca="1">ORÇAMENTO!D35</f>
        <v>0</v>
      </c>
      <c r="C35" s="114" t="str">
        <f t="shared" ca="1" si="1"/>
        <v>F</v>
      </c>
      <c r="D35" s="117" t="str">
        <f ca="1">ORÇAMENTO!O35</f>
        <v>1.4.4.</v>
      </c>
      <c r="E35" s="163" t="str">
        <f t="shared" ca="1" si="2"/>
        <v>LASTRO DE CONCRETO MAGRO, APLICADO EM BLOCOS DE COROAMENTO OU SAPATAS, ESPESSURA DE 5 CM. AF_01/2024</v>
      </c>
      <c r="F35" s="164" t="str">
        <f t="array" aca="1" ref="F35" ca="1">IF(RegimeExecucao="Global","",ORÇAMENTO.Unidade)</f>
        <v>M2</v>
      </c>
      <c r="G35" s="122">
        <f t="array" aca="1" ref="G35" ca="1">IF(RegimeExecucao="Global","",ORÇAMENTO!T35)</f>
        <v>93.6</v>
      </c>
      <c r="H35" s="122">
        <f t="array" aca="1" ref="H35" ca="1">IF(RegimeExecucao="Global","",ORÇAMENTO!W35)</f>
        <v>51.33</v>
      </c>
      <c r="I35" s="125">
        <f ca="1">ORÇAMENTO!X35</f>
        <v>4804.4799999999996</v>
      </c>
      <c r="J35" s="333">
        <f t="array" aca="1" ref="J35" ca="1">IF($A35="S",IF(CAIXA.Modo,BM.AFAnterior,BM.MEDAnterior),IF(AND(RegimeExecucao="Global",$I35&gt;0,COUNTIF($AB$13:$AM$13,BM.medicao-1)&gt;0),M35/$I35*100,0))</f>
        <v>0</v>
      </c>
      <c r="K35" s="122">
        <f t="shared" ca="1" si="3"/>
        <v>0</v>
      </c>
      <c r="L35" s="334">
        <f t="array" aca="1" ref="L35" ca="1">IF($A35="S",IF(CAIXA.Modo,BM.AFAcumulado,BM.MEDAcumulado),IF(AND(RegimeExecucao="Global",$I35&gt;0,COUNTIF($AB$13:$AM$13,BM.medicao)&gt;0),O35/$I35*100,0))</f>
        <v>0</v>
      </c>
      <c r="M35" s="335">
        <f t="array" aca="1" ref="M35" ca="1">IF($A35="S",VTOTALBM,IF($A35=0,0,ROUND(SomaAgrupBM,15-13*ORÇAMENTO!$AF$11)))</f>
        <v>0</v>
      </c>
      <c r="N35" s="336">
        <f t="shared" ca="1" si="4"/>
        <v>0</v>
      </c>
      <c r="O35" s="125">
        <f t="array" aca="1" ref="O35" ca="1">IF($A35="S",VTOTALBM,IF($A35=0,0,ROUND(SomaAgrupBM,15-13*ORÇAMENTO!$AF$11)))</f>
        <v>0</v>
      </c>
      <c r="Q35" s="337"/>
      <c r="R35" s="338"/>
      <c r="T35" s="117" t="str">
        <f t="shared" ca="1" si="5"/>
        <v/>
      </c>
      <c r="U35" s="163" t="str">
        <f t="shared" ca="1" si="6"/>
        <v/>
      </c>
      <c r="V35" s="164" t="str">
        <f t="array" aca="1" ref="V35" ca="1">IF(AND($W35&gt;0,RegimeExecucao="Unitário"),$F35,"")</f>
        <v/>
      </c>
      <c r="W35" s="453">
        <f t="array" aca="1" ref="W35" ca="1">IF($Y35&gt;0,CHOOSE(MATCH(RegimeExecucao,{"Unitário","Global"},0),IF($A35="S",$Y35/$X35,""),($Y35/$X35)*100),0)</f>
        <v>0</v>
      </c>
      <c r="X35" s="339" t="str">
        <f t="array" aca="1" ref="X35" ca="1">IF($Y35&gt;0,CHOOSE(MATCH(RegimeExecucao,{"Unitário","Global"},0),IF($A35="S",ROUND($H35,ORÇAMENTO!$AF$10),""),ROUND($I35,ORÇAMENTO!$AF$11)),"")</f>
        <v/>
      </c>
      <c r="Y35" s="339">
        <f t="shared" ca="1" si="7"/>
        <v>0</v>
      </c>
      <c r="Z35" s="472"/>
      <c r="AB35" s="337"/>
      <c r="AC35" s="437"/>
      <c r="AD35" s="437"/>
      <c r="AE35" s="437"/>
      <c r="AF35" s="437"/>
      <c r="AG35" s="437"/>
      <c r="AH35" s="437"/>
      <c r="AI35" s="437"/>
      <c r="AJ35" s="437"/>
      <c r="AK35" s="437"/>
      <c r="AL35" s="437"/>
      <c r="AM35" s="338"/>
      <c r="AO35" s="696">
        <f t="array" aca="1" ref="AO35" ca="1">IF($A35="S",IF(BM!$I35=0,0,CHOOSE(MATCH(RegimeExecucao,{"Global","Unitário"},0),ROUND(ROUND(BM.MEDAcumulado,15-13*BM!$A$9)/100*BM!$I35,15-13*ORÇAMENTO!$AF$11),ROUND(ROUND(BM.MEDAcumulado,15-13*BM!$A$9)*ROUND(BM!$H35,15-13*ORÇAMENTO!$AF$10),15-13*ORÇAMENTO!$AF$11))),IF($A35=0,0,ROUND(SomaAgrupBM,15-13*ORÇAMENTO!$AF$11)))</f>
        <v>0</v>
      </c>
    </row>
    <row r="36" spans="1:41" s="712" customFormat="1" ht="38.25" x14ac:dyDescent="0.2">
      <c r="A36" s="712" t="str">
        <f ca="1">ORÇAMENTO!C36</f>
        <v>S</v>
      </c>
      <c r="B36" s="712">
        <f ca="1">ORÇAMENTO!D36</f>
        <v>0</v>
      </c>
      <c r="C36" s="114" t="str">
        <f ca="1">IF(OR($I36&gt;0,$A36=1,$A36=2,$A36=3,$A36=4),"F","")</f>
        <v>F</v>
      </c>
      <c r="D36" s="117" t="str">
        <f ca="1">ORÇAMENTO!O36</f>
        <v>1.4.5.</v>
      </c>
      <c r="E36" s="163" t="str">
        <f ca="1">ORÇAMENTO.Descricao</f>
        <v>FABRICAÇÃO, MONTAGEM E DESMONTAGEM DE FÔRMA PARA SAPATA, EM CHAPA DE MADEIRA COMPENSADA RESINADA, E=17 MM, 4 UTILIZAÇÕES. AF_01/2024</v>
      </c>
      <c r="F36" s="164" t="str">
        <f t="array" aca="1" ref="F36" ca="1">IF(RegimeExecucao="Global","",ORÇAMENTO.Unidade)</f>
        <v>M2</v>
      </c>
      <c r="G36" s="122">
        <f t="array" aca="1" ref="G36" ca="1">IF(RegimeExecucao="Global","",ORÇAMENTO!T36)</f>
        <v>291.2</v>
      </c>
      <c r="H36" s="122">
        <f t="array" aca="1" ref="H36" ca="1">IF(RegimeExecucao="Global","",ORÇAMENTO!W36)</f>
        <v>234.04</v>
      </c>
      <c r="I36" s="125">
        <f ca="1">ORÇAMENTO!X36</f>
        <v>68152.44</v>
      </c>
      <c r="J36" s="333">
        <f t="array" aca="1" ref="J36" ca="1">IF($A36="S",IF(CAIXA.Modo,BM.AFAnterior,BM.MEDAnterior),IF(AND(RegimeExecucao="Global",$I36&gt;0,COUNTIF($AB$13:$AM$13,BM.medicao-1)&gt;0),M36/$I36*100,0))</f>
        <v>0</v>
      </c>
      <c r="K36" s="122">
        <f ca="1">L36-J36</f>
        <v>0</v>
      </c>
      <c r="L36" s="334">
        <f t="array" aca="1" ref="L36" ca="1">IF($A36="S",IF(CAIXA.Modo,BM.AFAcumulado,BM.MEDAcumulado),IF(AND(RegimeExecucao="Global",$I36&gt;0,COUNTIF($AB$13:$AM$13,BM.medicao)&gt;0),O36/$I36*100,0))</f>
        <v>0</v>
      </c>
      <c r="M36" s="335">
        <f t="array" aca="1" ref="M36" ca="1">IF($A36="S",VTOTALBM,IF($A36=0,0,ROUND(SomaAgrupBM,15-13*ORÇAMENTO!$AF$11)))</f>
        <v>0</v>
      </c>
      <c r="N36" s="336">
        <f ca="1">O36-M36</f>
        <v>0</v>
      </c>
      <c r="O36" s="125">
        <f t="array" aca="1" ref="O36" ca="1">IF($A36="S",VTOTALBM,IF($A36=0,0,ROUND(SomaAgrupBM,15-13*ORÇAMENTO!$AF$11)))</f>
        <v>0</v>
      </c>
      <c r="Q36" s="337"/>
      <c r="R36" s="338"/>
      <c r="T36" s="117" t="str">
        <f ca="1">IF($W36&gt;0,$D36,"")</f>
        <v/>
      </c>
      <c r="U36" s="163" t="str">
        <f ca="1">IF($W36&gt;0,$E36,"")</f>
        <v/>
      </c>
      <c r="V36" s="164" t="str">
        <f t="array" aca="1" ref="V36" ca="1">IF(AND($W36&gt;0,RegimeExecucao="Unitário"),$F36,"")</f>
        <v/>
      </c>
      <c r="W36" s="453">
        <f t="array" aca="1" ref="W36" ca="1">IF($Y36&gt;0,CHOOSE(MATCH(RegimeExecucao,{"Unitário","Global"},0),IF($A36="S",$Y36/$X36,""),($Y36/$X36)*100),0)</f>
        <v>0</v>
      </c>
      <c r="X36" s="339" t="str">
        <f t="array" aca="1" ref="X36" ca="1">IF($Y36&gt;0,CHOOSE(MATCH(RegimeExecucao,{"Unitário","Global"},0),IF($A36="S",ROUND($H36,ORÇAMENTO!$AF$10),""),ROUND($I36,ORÇAMENTO!$AF$11)),"")</f>
        <v/>
      </c>
      <c r="Y36" s="339">
        <f ca="1">AO36-O36</f>
        <v>0</v>
      </c>
      <c r="Z36" s="472"/>
      <c r="AB36" s="337"/>
      <c r="AC36" s="437"/>
      <c r="AD36" s="437"/>
      <c r="AE36" s="437"/>
      <c r="AF36" s="437"/>
      <c r="AG36" s="437"/>
      <c r="AH36" s="437"/>
      <c r="AI36" s="437"/>
      <c r="AJ36" s="437"/>
      <c r="AK36" s="437"/>
      <c r="AL36" s="437"/>
      <c r="AM36" s="338"/>
      <c r="AO36" s="712">
        <f t="array" aca="1" ref="AO36" ca="1">IF($A36="S",IF(BM!$I36=0,0,CHOOSE(MATCH(RegimeExecucao,{"Global","Unitário"},0),ROUND(ROUND(BM.MEDAcumulado,15-13*BM!$A$9)/100*BM!$I36,15-13*ORÇAMENTO!$AF$11),ROUND(ROUND(BM.MEDAcumulado,15-13*BM!$A$9)*ROUND(BM!$H36,15-13*ORÇAMENTO!$AF$10),15-13*ORÇAMENTO!$AF$11))),IF($A36=0,0,ROUND(SomaAgrupBM,15-13*ORÇAMENTO!$AF$11)))</f>
        <v>0</v>
      </c>
    </row>
    <row r="37" spans="1:41" s="696" customFormat="1" ht="38.25" x14ac:dyDescent="0.2">
      <c r="A37" s="696" t="str">
        <f ca="1">ORÇAMENTO!C37</f>
        <v>S</v>
      </c>
      <c r="B37" s="696">
        <f ca="1">ORÇAMENTO!D37</f>
        <v>0</v>
      </c>
      <c r="C37" s="114" t="str">
        <f t="shared" ca="1" si="1"/>
        <v>F</v>
      </c>
      <c r="D37" s="117" t="str">
        <f ca="1">ORÇAMENTO!O37</f>
        <v>1.4.6.</v>
      </c>
      <c r="E37" s="163" t="str">
        <f t="shared" ca="1" si="2"/>
        <v>ARMAÇÃO DE SAPATA ISOLADA, VIGA BALDRAME E SAPATA CORRIDA UTILIZANDO AÇO CA-50 DE 10 MM - MONTAGEM. AF_01/2024</v>
      </c>
      <c r="F37" s="164" t="str">
        <f t="array" aca="1" ref="F37" ca="1">IF(RegimeExecucao="Global","",ORÇAMENTO.Unidade)</f>
        <v>KG</v>
      </c>
      <c r="G37" s="122">
        <f t="array" aca="1" ref="G37" ca="1">IF(RegimeExecucao="Global","",ORÇAMENTO!T37)</f>
        <v>1014</v>
      </c>
      <c r="H37" s="122">
        <f t="array" aca="1" ref="H37" ca="1">IF(RegimeExecucao="Global","",ORÇAMENTO!W37)</f>
        <v>14.3</v>
      </c>
      <c r="I37" s="125">
        <f ca="1">ORÇAMENTO!X37</f>
        <v>14500.2</v>
      </c>
      <c r="J37" s="333">
        <f t="array" aca="1" ref="J37" ca="1">IF($A37="S",IF(CAIXA.Modo,BM.AFAnterior,BM.MEDAnterior),IF(AND(RegimeExecucao="Global",$I37&gt;0,COUNTIF($AB$13:$AM$13,BM.medicao-1)&gt;0),M37/$I37*100,0))</f>
        <v>0</v>
      </c>
      <c r="K37" s="122">
        <f t="shared" ca="1" si="3"/>
        <v>0</v>
      </c>
      <c r="L37" s="334">
        <f t="array" aca="1" ref="L37" ca="1">IF($A37="S",IF(CAIXA.Modo,BM.AFAcumulado,BM.MEDAcumulado),IF(AND(RegimeExecucao="Global",$I37&gt;0,COUNTIF($AB$13:$AM$13,BM.medicao)&gt;0),O37/$I37*100,0))</f>
        <v>0</v>
      </c>
      <c r="M37" s="335">
        <f t="array" aca="1" ref="M37" ca="1">IF($A37="S",VTOTALBM,IF($A37=0,0,ROUND(SomaAgrupBM,15-13*ORÇAMENTO!$AF$11)))</f>
        <v>0</v>
      </c>
      <c r="N37" s="336">
        <f t="shared" ca="1" si="4"/>
        <v>0</v>
      </c>
      <c r="O37" s="125">
        <f t="array" aca="1" ref="O37" ca="1">IF($A37="S",VTOTALBM,IF($A37=0,0,ROUND(SomaAgrupBM,15-13*ORÇAMENTO!$AF$11)))</f>
        <v>0</v>
      </c>
      <c r="Q37" s="337"/>
      <c r="R37" s="338"/>
      <c r="T37" s="117" t="str">
        <f t="shared" ca="1" si="5"/>
        <v/>
      </c>
      <c r="U37" s="163" t="str">
        <f t="shared" ca="1" si="6"/>
        <v/>
      </c>
      <c r="V37" s="164" t="str">
        <f t="array" aca="1" ref="V37" ca="1">IF(AND($W37&gt;0,RegimeExecucao="Unitário"),$F37,"")</f>
        <v/>
      </c>
      <c r="W37" s="453">
        <f t="array" aca="1" ref="W37" ca="1">IF($Y37&gt;0,CHOOSE(MATCH(RegimeExecucao,{"Unitário","Global"},0),IF($A37="S",$Y37/$X37,""),($Y37/$X37)*100),0)</f>
        <v>0</v>
      </c>
      <c r="X37" s="339" t="str">
        <f t="array" aca="1" ref="X37" ca="1">IF($Y37&gt;0,CHOOSE(MATCH(RegimeExecucao,{"Unitário","Global"},0),IF($A37="S",ROUND($H37,ORÇAMENTO!$AF$10),""),ROUND($I37,ORÇAMENTO!$AF$11)),"")</f>
        <v/>
      </c>
      <c r="Y37" s="339">
        <f t="shared" ca="1" si="7"/>
        <v>0</v>
      </c>
      <c r="Z37" s="472"/>
      <c r="AB37" s="337"/>
      <c r="AC37" s="437"/>
      <c r="AD37" s="437"/>
      <c r="AE37" s="437"/>
      <c r="AF37" s="437"/>
      <c r="AG37" s="437"/>
      <c r="AH37" s="437"/>
      <c r="AI37" s="437"/>
      <c r="AJ37" s="437"/>
      <c r="AK37" s="437"/>
      <c r="AL37" s="437"/>
      <c r="AM37" s="338"/>
      <c r="AO37" s="696">
        <f t="array" aca="1" ref="AO37" ca="1">IF($A37="S",IF(BM!$I37=0,0,CHOOSE(MATCH(RegimeExecucao,{"Global","Unitário"},0),ROUND(ROUND(BM.MEDAcumulado,15-13*BM!$A$9)/100*BM!$I37,15-13*ORÇAMENTO!$AF$11),ROUND(ROUND(BM.MEDAcumulado,15-13*BM!$A$9)*ROUND(BM!$H37,15-13*ORÇAMENTO!$AF$10),15-13*ORÇAMENTO!$AF$11))),IF($A37=0,0,ROUND(SomaAgrupBM,15-13*ORÇAMENTO!$AF$11)))</f>
        <v>0</v>
      </c>
    </row>
    <row r="38" spans="1:41" s="696" customFormat="1" ht="38.25" x14ac:dyDescent="0.2">
      <c r="A38" s="696" t="str">
        <f ca="1">ORÇAMENTO!C38</f>
        <v>S</v>
      </c>
      <c r="B38" s="696">
        <f ca="1">ORÇAMENTO!D38</f>
        <v>0</v>
      </c>
      <c r="C38" s="114" t="str">
        <f t="shared" ca="1" si="1"/>
        <v>F</v>
      </c>
      <c r="D38" s="117" t="str">
        <f ca="1">ORÇAMENTO!O38</f>
        <v>1.4.7.</v>
      </c>
      <c r="E38" s="163" t="str">
        <f t="shared" ca="1" si="2"/>
        <v>ARMAÇÃO DE SAPATA ISOLADA, VIGA BALDRAME E SAPATA CORRIDA UTILIZANDO AÇO CA-50 DE 6,3 MM - MONTAGEM. AF_01/2024</v>
      </c>
      <c r="F38" s="164" t="str">
        <f t="array" aca="1" ref="F38" ca="1">IF(RegimeExecucao="Global","",ORÇAMENTO.Unidade)</f>
        <v>KG</v>
      </c>
      <c r="G38" s="122">
        <f t="array" aca="1" ref="G38" ca="1">IF(RegimeExecucao="Global","",ORÇAMENTO!T38)</f>
        <v>534</v>
      </c>
      <c r="H38" s="122">
        <f t="array" aca="1" ref="H38" ca="1">IF(RegimeExecucao="Global","",ORÇAMENTO!W38)</f>
        <v>17.690000000000001</v>
      </c>
      <c r="I38" s="125">
        <f ca="1">ORÇAMENTO!X38</f>
        <v>9446.48</v>
      </c>
      <c r="J38" s="333">
        <f t="array" aca="1" ref="J38" ca="1">IF($A38="S",IF(CAIXA.Modo,BM.AFAnterior,BM.MEDAnterior),IF(AND(RegimeExecucao="Global",$I38&gt;0,COUNTIF($AB$13:$AM$13,BM.medicao-1)&gt;0),M38/$I38*100,0))</f>
        <v>0</v>
      </c>
      <c r="K38" s="122">
        <f t="shared" ca="1" si="3"/>
        <v>0</v>
      </c>
      <c r="L38" s="334">
        <f t="array" aca="1" ref="L38" ca="1">IF($A38="S",IF(CAIXA.Modo,BM.AFAcumulado,BM.MEDAcumulado),IF(AND(RegimeExecucao="Global",$I38&gt;0,COUNTIF($AB$13:$AM$13,BM.medicao)&gt;0),O38/$I38*100,0))</f>
        <v>0</v>
      </c>
      <c r="M38" s="335">
        <f t="array" aca="1" ref="M38" ca="1">IF($A38="S",VTOTALBM,IF($A38=0,0,ROUND(SomaAgrupBM,15-13*ORÇAMENTO!$AF$11)))</f>
        <v>0</v>
      </c>
      <c r="N38" s="336">
        <f t="shared" ca="1" si="4"/>
        <v>0</v>
      </c>
      <c r="O38" s="125">
        <f t="array" aca="1" ref="O38" ca="1">IF($A38="S",VTOTALBM,IF($A38=0,0,ROUND(SomaAgrupBM,15-13*ORÇAMENTO!$AF$11)))</f>
        <v>0</v>
      </c>
      <c r="Q38" s="337"/>
      <c r="R38" s="338"/>
      <c r="T38" s="117" t="str">
        <f t="shared" ca="1" si="5"/>
        <v/>
      </c>
      <c r="U38" s="163" t="str">
        <f t="shared" ca="1" si="6"/>
        <v/>
      </c>
      <c r="V38" s="164" t="str">
        <f t="array" aca="1" ref="V38" ca="1">IF(AND($W38&gt;0,RegimeExecucao="Unitário"),$F38,"")</f>
        <v/>
      </c>
      <c r="W38" s="453">
        <f t="array" aca="1" ref="W38" ca="1">IF($Y38&gt;0,CHOOSE(MATCH(RegimeExecucao,{"Unitário","Global"},0),IF($A38="S",$Y38/$X38,""),($Y38/$X38)*100),0)</f>
        <v>0</v>
      </c>
      <c r="X38" s="339" t="str">
        <f t="array" aca="1" ref="X38" ca="1">IF($Y38&gt;0,CHOOSE(MATCH(RegimeExecucao,{"Unitário","Global"},0),IF($A38="S",ROUND($H38,ORÇAMENTO!$AF$10),""),ROUND($I38,ORÇAMENTO!$AF$11)),"")</f>
        <v/>
      </c>
      <c r="Y38" s="339">
        <f t="shared" ca="1" si="7"/>
        <v>0</v>
      </c>
      <c r="Z38" s="472"/>
      <c r="AB38" s="337"/>
      <c r="AC38" s="437"/>
      <c r="AD38" s="437"/>
      <c r="AE38" s="437"/>
      <c r="AF38" s="437"/>
      <c r="AG38" s="437"/>
      <c r="AH38" s="437"/>
      <c r="AI38" s="437"/>
      <c r="AJ38" s="437"/>
      <c r="AK38" s="437"/>
      <c r="AL38" s="437"/>
      <c r="AM38" s="338"/>
      <c r="AO38" s="696">
        <f t="array" aca="1" ref="AO38" ca="1">IF($A38="S",IF(BM!$I38=0,0,CHOOSE(MATCH(RegimeExecucao,{"Global","Unitário"},0),ROUND(ROUND(BM.MEDAcumulado,15-13*BM!$A$9)/100*BM!$I38,15-13*ORÇAMENTO!$AF$11),ROUND(ROUND(BM.MEDAcumulado,15-13*BM!$A$9)*ROUND(BM!$H38,15-13*ORÇAMENTO!$AF$10),15-13*ORÇAMENTO!$AF$11))),IF($A38=0,0,ROUND(SomaAgrupBM,15-13*ORÇAMENTO!$AF$11)))</f>
        <v>0</v>
      </c>
    </row>
    <row r="39" spans="1:41" s="696" customFormat="1" ht="25.5" x14ac:dyDescent="0.2">
      <c r="A39" s="696" t="str">
        <f ca="1">ORÇAMENTO!C39</f>
        <v>S</v>
      </c>
      <c r="B39" s="696">
        <f ca="1">ORÇAMENTO!D39</f>
        <v>0</v>
      </c>
      <c r="C39" s="114" t="str">
        <f t="shared" ca="1" si="1"/>
        <v>F</v>
      </c>
      <c r="D39" s="117" t="str">
        <f ca="1">ORÇAMENTO!O39</f>
        <v>1.4.8.</v>
      </c>
      <c r="E39" s="163" t="str">
        <f t="shared" ca="1" si="2"/>
        <v>ARMAÇÃO DE SAPATA ISOLADA, VIGA BALDRAME E SAPATA CORRIDA UTILIZANDO AÇO CA-60 DE 5 MM - MONTAGEM. AF_01/2024</v>
      </c>
      <c r="F39" s="164" t="str">
        <f t="array" aca="1" ref="F39" ca="1">IF(RegimeExecucao="Global","",ORÇAMENTO.Unidade)</f>
        <v>KG</v>
      </c>
      <c r="G39" s="122">
        <f t="array" aca="1" ref="G39" ca="1">IF(RegimeExecucao="Global","",ORÇAMENTO!T39)</f>
        <v>256</v>
      </c>
      <c r="H39" s="122">
        <f t="array" aca="1" ref="H39" ca="1">IF(RegimeExecucao="Global","",ORÇAMENTO!W39)</f>
        <v>19.420000000000002</v>
      </c>
      <c r="I39" s="125">
        <f ca="1">ORÇAMENTO!X39</f>
        <v>4971.5200000000004</v>
      </c>
      <c r="J39" s="333">
        <f t="array" aca="1" ref="J39" ca="1">IF($A39="S",IF(CAIXA.Modo,BM.AFAnterior,BM.MEDAnterior),IF(AND(RegimeExecucao="Global",$I39&gt;0,COUNTIF($AB$13:$AM$13,BM.medicao-1)&gt;0),M39/$I39*100,0))</f>
        <v>0</v>
      </c>
      <c r="K39" s="122">
        <f t="shared" ca="1" si="3"/>
        <v>0</v>
      </c>
      <c r="L39" s="334">
        <f t="array" aca="1" ref="L39" ca="1">IF($A39="S",IF(CAIXA.Modo,BM.AFAcumulado,BM.MEDAcumulado),IF(AND(RegimeExecucao="Global",$I39&gt;0,COUNTIF($AB$13:$AM$13,BM.medicao)&gt;0),O39/$I39*100,0))</f>
        <v>0</v>
      </c>
      <c r="M39" s="335">
        <f t="array" aca="1" ref="M39" ca="1">IF($A39="S",VTOTALBM,IF($A39=0,0,ROUND(SomaAgrupBM,15-13*ORÇAMENTO!$AF$11)))</f>
        <v>0</v>
      </c>
      <c r="N39" s="336">
        <f t="shared" ca="1" si="4"/>
        <v>0</v>
      </c>
      <c r="O39" s="125">
        <f t="array" aca="1" ref="O39" ca="1">IF($A39="S",VTOTALBM,IF($A39=0,0,ROUND(SomaAgrupBM,15-13*ORÇAMENTO!$AF$11)))</f>
        <v>0</v>
      </c>
      <c r="Q39" s="337"/>
      <c r="R39" s="338"/>
      <c r="T39" s="117" t="str">
        <f t="shared" ca="1" si="5"/>
        <v/>
      </c>
      <c r="U39" s="163" t="str">
        <f t="shared" ca="1" si="6"/>
        <v/>
      </c>
      <c r="V39" s="164" t="str">
        <f t="array" aca="1" ref="V39" ca="1">IF(AND($W39&gt;0,RegimeExecucao="Unitário"),$F39,"")</f>
        <v/>
      </c>
      <c r="W39" s="453">
        <f t="array" aca="1" ref="W39" ca="1">IF($Y39&gt;0,CHOOSE(MATCH(RegimeExecucao,{"Unitário","Global"},0),IF($A39="S",$Y39/$X39,""),($Y39/$X39)*100),0)</f>
        <v>0</v>
      </c>
      <c r="X39" s="339" t="str">
        <f t="array" aca="1" ref="X39" ca="1">IF($Y39&gt;0,CHOOSE(MATCH(RegimeExecucao,{"Unitário","Global"},0),IF($A39="S",ROUND($H39,ORÇAMENTO!$AF$10),""),ROUND($I39,ORÇAMENTO!$AF$11)),"")</f>
        <v/>
      </c>
      <c r="Y39" s="339">
        <f t="shared" ca="1" si="7"/>
        <v>0</v>
      </c>
      <c r="Z39" s="472"/>
      <c r="AB39" s="337"/>
      <c r="AC39" s="437"/>
      <c r="AD39" s="437"/>
      <c r="AE39" s="437"/>
      <c r="AF39" s="437"/>
      <c r="AG39" s="437"/>
      <c r="AH39" s="437"/>
      <c r="AI39" s="437"/>
      <c r="AJ39" s="437"/>
      <c r="AK39" s="437"/>
      <c r="AL39" s="437"/>
      <c r="AM39" s="338"/>
      <c r="AO39" s="696">
        <f t="array" aca="1" ref="AO39" ca="1">IF($A39="S",IF(BM!$I39=0,0,CHOOSE(MATCH(RegimeExecucao,{"Global","Unitário"},0),ROUND(ROUND(BM.MEDAcumulado,15-13*BM!$A$9)/100*BM!$I39,15-13*ORÇAMENTO!$AF$11),ROUND(ROUND(BM.MEDAcumulado,15-13*BM!$A$9)*ROUND(BM!$H39,15-13*ORÇAMENTO!$AF$10),15-13*ORÇAMENTO!$AF$11))),IF($A39=0,0,ROUND(SomaAgrupBM,15-13*ORÇAMENTO!$AF$11)))</f>
        <v>0</v>
      </c>
    </row>
    <row r="40" spans="1:41" s="696" customFormat="1" ht="25.5" x14ac:dyDescent="0.2">
      <c r="A40" s="696" t="str">
        <f ca="1">ORÇAMENTO!C40</f>
        <v>S</v>
      </c>
      <c r="B40" s="696">
        <f ca="1">ORÇAMENTO!D40</f>
        <v>0</v>
      </c>
      <c r="C40" s="114" t="str">
        <f t="shared" ca="1" si="1"/>
        <v>F</v>
      </c>
      <c r="D40" s="117" t="str">
        <f ca="1">ORÇAMENTO!O40</f>
        <v>1.4.9.</v>
      </c>
      <c r="E40" s="163" t="str">
        <f t="shared" ca="1" si="2"/>
        <v>CONCRETAGEM DE SAPATA, FCK 20 MPA, COM USO DE JERICA - LANÇAMENTO, ADENSAMENTO E ACABAMENTO.</v>
      </c>
      <c r="F40" s="164" t="str">
        <f t="array" aca="1" ref="F40" ca="1">IF(RegimeExecucao="Global","",ORÇAMENTO.Unidade)</f>
        <v>M3</v>
      </c>
      <c r="G40" s="122">
        <f t="array" aca="1" ref="G40" ca="1">IF(RegimeExecucao="Global","",ORÇAMENTO!T40)</f>
        <v>28.2</v>
      </c>
      <c r="H40" s="122">
        <f t="array" aca="1" ref="H40" ca="1">IF(RegimeExecucao="Global","",ORÇAMENTO!W40)</f>
        <v>900.94</v>
      </c>
      <c r="I40" s="125">
        <f ca="1">ORÇAMENTO!X40</f>
        <v>25406.52</v>
      </c>
      <c r="J40" s="333">
        <f t="array" aca="1" ref="J40" ca="1">IF($A40="S",IF(CAIXA.Modo,BM.AFAnterior,BM.MEDAnterior),IF(AND(RegimeExecucao="Global",$I40&gt;0,COUNTIF($AB$13:$AM$13,BM.medicao-1)&gt;0),M40/$I40*100,0))</f>
        <v>0</v>
      </c>
      <c r="K40" s="122">
        <f t="shared" ca="1" si="3"/>
        <v>0</v>
      </c>
      <c r="L40" s="334">
        <f t="array" aca="1" ref="L40" ca="1">IF($A40="S",IF(CAIXA.Modo,BM.AFAcumulado,BM.MEDAcumulado),IF(AND(RegimeExecucao="Global",$I40&gt;0,COUNTIF($AB$13:$AM$13,BM.medicao)&gt;0),O40/$I40*100,0))</f>
        <v>0</v>
      </c>
      <c r="M40" s="335">
        <f t="array" aca="1" ref="M40" ca="1">IF($A40="S",VTOTALBM,IF($A40=0,0,ROUND(SomaAgrupBM,15-13*ORÇAMENTO!$AF$11)))</f>
        <v>0</v>
      </c>
      <c r="N40" s="336">
        <f t="shared" ca="1" si="4"/>
        <v>0</v>
      </c>
      <c r="O40" s="125">
        <f t="array" aca="1" ref="O40" ca="1">IF($A40="S",VTOTALBM,IF($A40=0,0,ROUND(SomaAgrupBM,15-13*ORÇAMENTO!$AF$11)))</f>
        <v>0</v>
      </c>
      <c r="Q40" s="337"/>
      <c r="R40" s="338"/>
      <c r="T40" s="117" t="str">
        <f t="shared" ca="1" si="5"/>
        <v/>
      </c>
      <c r="U40" s="163" t="str">
        <f t="shared" ca="1" si="6"/>
        <v/>
      </c>
      <c r="V40" s="164" t="str">
        <f t="array" aca="1" ref="V40" ca="1">IF(AND($W40&gt;0,RegimeExecucao="Unitário"),$F40,"")</f>
        <v/>
      </c>
      <c r="W40" s="453">
        <f t="array" aca="1" ref="W40" ca="1">IF($Y40&gt;0,CHOOSE(MATCH(RegimeExecucao,{"Unitário","Global"},0),IF($A40="S",$Y40/$X40,""),($Y40/$X40)*100),0)</f>
        <v>0</v>
      </c>
      <c r="X40" s="339" t="str">
        <f t="array" aca="1" ref="X40" ca="1">IF($Y40&gt;0,CHOOSE(MATCH(RegimeExecucao,{"Unitário","Global"},0),IF($A40="S",ROUND($H40,ORÇAMENTO!$AF$10),""),ROUND($I40,ORÇAMENTO!$AF$11)),"")</f>
        <v/>
      </c>
      <c r="Y40" s="339">
        <f t="shared" ca="1" si="7"/>
        <v>0</v>
      </c>
      <c r="Z40" s="472"/>
      <c r="AB40" s="337"/>
      <c r="AC40" s="437"/>
      <c r="AD40" s="437"/>
      <c r="AE40" s="437"/>
      <c r="AF40" s="437"/>
      <c r="AG40" s="437"/>
      <c r="AH40" s="437"/>
      <c r="AI40" s="437"/>
      <c r="AJ40" s="437"/>
      <c r="AK40" s="437"/>
      <c r="AL40" s="437"/>
      <c r="AM40" s="338"/>
      <c r="AO40" s="696">
        <f t="array" aca="1" ref="AO40" ca="1">IF($A40="S",IF(BM!$I40=0,0,CHOOSE(MATCH(RegimeExecucao,{"Global","Unitário"},0),ROUND(ROUND(BM.MEDAcumulado,15-13*BM!$A$9)/100*BM!$I40,15-13*ORÇAMENTO!$AF$11),ROUND(ROUND(BM.MEDAcumulado,15-13*BM!$A$9)*ROUND(BM!$H40,15-13*ORÇAMENTO!$AF$10),15-13*ORÇAMENTO!$AF$11))),IF($A40=0,0,ROUND(SomaAgrupBM,15-13*ORÇAMENTO!$AF$11)))</f>
        <v>0</v>
      </c>
    </row>
    <row r="41" spans="1:41" s="712" customFormat="1" ht="25.5" x14ac:dyDescent="0.2">
      <c r="A41" s="712" t="str">
        <f ca="1">ORÇAMENTO!C41</f>
        <v>S</v>
      </c>
      <c r="B41" s="712">
        <f ca="1">ORÇAMENTO!D41</f>
        <v>0</v>
      </c>
      <c r="C41" s="114" t="str">
        <f ca="1">IF(OR($I41&gt;0,$A41=1,$A41=2,$A41=3,$A41=4),"F","")</f>
        <v>F</v>
      </c>
      <c r="D41" s="117" t="str">
        <f ca="1">ORÇAMENTO!O41</f>
        <v>1.4.10.</v>
      </c>
      <c r="E41" s="163" t="str">
        <f ca="1">ORÇAMENTO.Descricao</f>
        <v>REATERRO MANUAL DE VALAS, COM COMPACTADOR DE SOLOS DE PERCUSSÃO. AF_08/2023</v>
      </c>
      <c r="F41" s="164" t="str">
        <f t="array" aca="1" ref="F41" ca="1">IF(RegimeExecucao="Global","",ORÇAMENTO.Unidade)</f>
        <v>M3</v>
      </c>
      <c r="G41" s="122">
        <f t="array" aca="1" ref="G41" ca="1">IF(RegimeExecucao="Global","",ORÇAMENTO!T41)</f>
        <v>141.80000000000001</v>
      </c>
      <c r="H41" s="122">
        <f t="array" aca="1" ref="H41" ca="1">IF(RegimeExecucao="Global","",ORÇAMENTO!W41)</f>
        <v>27.26</v>
      </c>
      <c r="I41" s="125">
        <f ca="1">ORÇAMENTO!X41</f>
        <v>3865.48</v>
      </c>
      <c r="J41" s="333">
        <f t="array" aca="1" ref="J41" ca="1">IF($A41="S",IF(CAIXA.Modo,BM.AFAnterior,BM.MEDAnterior),IF(AND(RegimeExecucao="Global",$I41&gt;0,COUNTIF($AB$13:$AM$13,BM.medicao-1)&gt;0),M41/$I41*100,0))</f>
        <v>0</v>
      </c>
      <c r="K41" s="122">
        <f ca="1">L41-J41</f>
        <v>0</v>
      </c>
      <c r="L41" s="334">
        <f t="array" aca="1" ref="L41" ca="1">IF($A41="S",IF(CAIXA.Modo,BM.AFAcumulado,BM.MEDAcumulado),IF(AND(RegimeExecucao="Global",$I41&gt;0,COUNTIF($AB$13:$AM$13,BM.medicao)&gt;0),O41/$I41*100,0))</f>
        <v>0</v>
      </c>
      <c r="M41" s="335">
        <f t="array" aca="1" ref="M41" ca="1">IF($A41="S",VTOTALBM,IF($A41=0,0,ROUND(SomaAgrupBM,15-13*ORÇAMENTO!$AF$11)))</f>
        <v>0</v>
      </c>
      <c r="N41" s="336">
        <f ca="1">O41-M41</f>
        <v>0</v>
      </c>
      <c r="O41" s="125">
        <f t="array" aca="1" ref="O41" ca="1">IF($A41="S",VTOTALBM,IF($A41=0,0,ROUND(SomaAgrupBM,15-13*ORÇAMENTO!$AF$11)))</f>
        <v>0</v>
      </c>
      <c r="Q41" s="337"/>
      <c r="R41" s="338"/>
      <c r="T41" s="117" t="str">
        <f ca="1">IF($W41&gt;0,$D41,"")</f>
        <v/>
      </c>
      <c r="U41" s="163" t="str">
        <f ca="1">IF($W41&gt;0,$E41,"")</f>
        <v/>
      </c>
      <c r="V41" s="164" t="str">
        <f t="array" aca="1" ref="V41" ca="1">IF(AND($W41&gt;0,RegimeExecucao="Unitário"),$F41,"")</f>
        <v/>
      </c>
      <c r="W41" s="453">
        <f t="array" aca="1" ref="W41" ca="1">IF($Y41&gt;0,CHOOSE(MATCH(RegimeExecucao,{"Unitário","Global"},0),IF($A41="S",$Y41/$X41,""),($Y41/$X41)*100),0)</f>
        <v>0</v>
      </c>
      <c r="X41" s="339" t="str">
        <f t="array" aca="1" ref="X41" ca="1">IF($Y41&gt;0,CHOOSE(MATCH(RegimeExecucao,{"Unitário","Global"},0),IF($A41="S",ROUND($H41,ORÇAMENTO!$AF$10),""),ROUND($I41,ORÇAMENTO!$AF$11)),"")</f>
        <v/>
      </c>
      <c r="Y41" s="339">
        <f ca="1">AO41-O41</f>
        <v>0</v>
      </c>
      <c r="Z41" s="472"/>
      <c r="AB41" s="337"/>
      <c r="AC41" s="437"/>
      <c r="AD41" s="437"/>
      <c r="AE41" s="437"/>
      <c r="AF41" s="437"/>
      <c r="AG41" s="437"/>
      <c r="AH41" s="437"/>
      <c r="AI41" s="437"/>
      <c r="AJ41" s="437"/>
      <c r="AK41" s="437"/>
      <c r="AL41" s="437"/>
      <c r="AM41" s="338"/>
      <c r="AO41" s="712">
        <f t="array" aca="1" ref="AO41" ca="1">IF($A41="S",IF(BM!$I41=0,0,CHOOSE(MATCH(RegimeExecucao,{"Global","Unitário"},0),ROUND(ROUND(BM.MEDAcumulado,15-13*BM!$A$9)/100*BM!$I41,15-13*ORÇAMENTO!$AF$11),ROUND(ROUND(BM.MEDAcumulado,15-13*BM!$A$9)*ROUND(BM!$H41,15-13*ORÇAMENTO!$AF$10),15-13*ORÇAMENTO!$AF$11))),IF($A41=0,0,ROUND(SomaAgrupBM,15-13*ORÇAMENTO!$AF$11)))</f>
        <v>0</v>
      </c>
    </row>
    <row r="42" spans="1:41" s="696" customFormat="1" x14ac:dyDescent="0.2">
      <c r="A42" s="696">
        <f ca="1">ORÇAMENTO!C42</f>
        <v>2</v>
      </c>
      <c r="B42" s="696">
        <f ca="1">ORÇAMENTO!D42</f>
        <v>9</v>
      </c>
      <c r="C42" s="114" t="str">
        <f t="shared" ca="1" si="1"/>
        <v>F</v>
      </c>
      <c r="D42" s="117" t="str">
        <f ca="1">ORÇAMENTO!O42</f>
        <v>1.5.</v>
      </c>
      <c r="E42" s="163" t="str">
        <f t="shared" si="2"/>
        <v>BALDRAMES</v>
      </c>
      <c r="F42" s="164" t="str">
        <f t="array" aca="1" ref="F42" ca="1">IF(RegimeExecucao="Global","",ORÇAMENTO.Unidade)</f>
        <v>-</v>
      </c>
      <c r="G42" s="122">
        <f t="array" aca="1" ref="G42" ca="1">IF(RegimeExecucao="Global","",ORÇAMENTO!T42)</f>
        <v>0</v>
      </c>
      <c r="H42" s="122">
        <f t="array" aca="1" ref="H42" ca="1">IF(RegimeExecucao="Global","",ORÇAMENTO!W42)</f>
        <v>0</v>
      </c>
      <c r="I42" s="125">
        <f ca="1">ORÇAMENTO!X42</f>
        <v>138717.84</v>
      </c>
      <c r="J42" s="333">
        <f t="array" aca="1" ref="J42" ca="1">IF($A42="S",IF(CAIXA.Modo,BM.AFAnterior,BM.MEDAnterior),IF(AND(RegimeExecucao="Global",$I42&gt;0,COUNTIF($AB$13:$AM$13,BM.medicao-1)&gt;0),M42/$I42*100,0))</f>
        <v>0</v>
      </c>
      <c r="K42" s="122">
        <f t="shared" ca="1" si="3"/>
        <v>0</v>
      </c>
      <c r="L42" s="334">
        <f t="array" aca="1" ref="L42" ca="1">IF($A42="S",IF(CAIXA.Modo,BM.AFAcumulado,BM.MEDAcumulado),IF(AND(RegimeExecucao="Global",$I42&gt;0,COUNTIF($AB$13:$AM$13,BM.medicao)&gt;0),O42/$I42*100,0))</f>
        <v>0</v>
      </c>
      <c r="M42" s="335">
        <f t="array" aca="1" ref="M42" ca="1">IF($A42="S",VTOTALBM,IF($A42=0,0,ROUND(SomaAgrupBM,15-13*ORÇAMENTO!$AF$11)))</f>
        <v>0</v>
      </c>
      <c r="N42" s="336">
        <f t="shared" ca="1" si="4"/>
        <v>0</v>
      </c>
      <c r="O42" s="125">
        <f t="array" aca="1" ref="O42" ca="1">IF($A42="S",VTOTALBM,IF($A42=0,0,ROUND(SomaAgrupBM,15-13*ORÇAMENTO!$AF$11)))</f>
        <v>0</v>
      </c>
      <c r="Q42" s="337"/>
      <c r="R42" s="338"/>
      <c r="T42" s="117" t="str">
        <f t="shared" ca="1" si="5"/>
        <v/>
      </c>
      <c r="U42" s="163" t="str">
        <f t="shared" ca="1" si="6"/>
        <v/>
      </c>
      <c r="V42" s="164" t="str">
        <f t="array" aca="1" ref="V42" ca="1">IF(AND($W42&gt;0,RegimeExecucao="Unitário"),$F42,"")</f>
        <v/>
      </c>
      <c r="W42" s="453">
        <f t="array" aca="1" ref="W42" ca="1">IF($Y42&gt;0,CHOOSE(MATCH(RegimeExecucao,{"Unitário","Global"},0),IF($A42="S",$Y42/$X42,""),($Y42/$X42)*100),0)</f>
        <v>0</v>
      </c>
      <c r="X42" s="339" t="str">
        <f t="array" aca="1" ref="X42" ca="1">IF($Y42&gt;0,CHOOSE(MATCH(RegimeExecucao,{"Unitário","Global"},0),IF($A42="S",ROUND($H42,ORÇAMENTO!$AF$10),""),ROUND($I42,ORÇAMENTO!$AF$11)),"")</f>
        <v/>
      </c>
      <c r="Y42" s="339">
        <f t="shared" ca="1" si="7"/>
        <v>0</v>
      </c>
      <c r="Z42" s="472"/>
      <c r="AB42" s="337"/>
      <c r="AC42" s="437"/>
      <c r="AD42" s="437"/>
      <c r="AE42" s="437"/>
      <c r="AF42" s="437"/>
      <c r="AG42" s="437"/>
      <c r="AH42" s="437"/>
      <c r="AI42" s="437"/>
      <c r="AJ42" s="437"/>
      <c r="AK42" s="437"/>
      <c r="AL42" s="437"/>
      <c r="AM42" s="338"/>
      <c r="AO42" s="696">
        <f t="array" aca="1" ref="AO42" ca="1">IF($A42="S",IF(BM!$I42=0,0,CHOOSE(MATCH(RegimeExecucao,{"Global","Unitário"},0),ROUND(ROUND(BM.MEDAcumulado,15-13*BM!$A$9)/100*BM!$I42,15-13*ORÇAMENTO!$AF$11),ROUND(ROUND(BM.MEDAcumulado,15-13*BM!$A$9)*ROUND(BM!$H42,15-13*ORÇAMENTO!$AF$10),15-13*ORÇAMENTO!$AF$11))),IF($A42=0,0,ROUND(SomaAgrupBM,15-13*ORÇAMENTO!$AF$11)))</f>
        <v>0</v>
      </c>
    </row>
    <row r="43" spans="1:41" s="696" customFormat="1" ht="38.25" x14ac:dyDescent="0.2">
      <c r="A43" s="696" t="str">
        <f ca="1">ORÇAMENTO!C43</f>
        <v>S</v>
      </c>
      <c r="B43" s="696">
        <f ca="1">ORÇAMENTO!D43</f>
        <v>0</v>
      </c>
      <c r="C43" s="114" t="str">
        <f t="shared" ca="1" si="1"/>
        <v>F</v>
      </c>
      <c r="D43" s="117" t="str">
        <f ca="1">ORÇAMENTO!O43</f>
        <v>1.5.1.</v>
      </c>
      <c r="E43" s="163" t="str">
        <f t="shared" ca="1" si="2"/>
        <v>ESCAVAÇÃO MANUAL PARA VIGA BALDRAME OU SAPATA CORRIDA (INCLUINDO ESCAVAÇÃO PARA COLOCAÇÃO DE FÔRMAS). AF_01/2024</v>
      </c>
      <c r="F43" s="164" t="str">
        <f t="array" aca="1" ref="F43" ca="1">IF(RegimeExecucao="Global","",ORÇAMENTO.Unidade)</f>
        <v>M3</v>
      </c>
      <c r="G43" s="122">
        <f t="array" aca="1" ref="G43" ca="1">IF(RegimeExecucao="Global","",ORÇAMENTO!T43)</f>
        <v>109.2</v>
      </c>
      <c r="H43" s="122">
        <f t="array" aca="1" ref="H43" ca="1">IF(RegimeExecucao="Global","",ORÇAMENTO!W43)</f>
        <v>125.45</v>
      </c>
      <c r="I43" s="125">
        <f ca="1">ORÇAMENTO!X43</f>
        <v>13699.16</v>
      </c>
      <c r="J43" s="333">
        <f t="array" aca="1" ref="J43" ca="1">IF($A43="S",IF(CAIXA.Modo,BM.AFAnterior,BM.MEDAnterior),IF(AND(RegimeExecucao="Global",$I43&gt;0,COUNTIF($AB$13:$AM$13,BM.medicao-1)&gt;0),M43/$I43*100,0))</f>
        <v>0</v>
      </c>
      <c r="K43" s="122">
        <f t="shared" ca="1" si="3"/>
        <v>0</v>
      </c>
      <c r="L43" s="334">
        <f t="array" aca="1" ref="L43" ca="1">IF($A43="S",IF(CAIXA.Modo,BM.AFAcumulado,BM.MEDAcumulado),IF(AND(RegimeExecucao="Global",$I43&gt;0,COUNTIF($AB$13:$AM$13,BM.medicao)&gt;0),O43/$I43*100,0))</f>
        <v>0</v>
      </c>
      <c r="M43" s="335">
        <f t="array" aca="1" ref="M43" ca="1">IF($A43="S",VTOTALBM,IF($A43=0,0,ROUND(SomaAgrupBM,15-13*ORÇAMENTO!$AF$11)))</f>
        <v>0</v>
      </c>
      <c r="N43" s="336">
        <f t="shared" ca="1" si="4"/>
        <v>0</v>
      </c>
      <c r="O43" s="125">
        <f t="array" aca="1" ref="O43" ca="1">IF($A43="S",VTOTALBM,IF($A43=0,0,ROUND(SomaAgrupBM,15-13*ORÇAMENTO!$AF$11)))</f>
        <v>0</v>
      </c>
      <c r="Q43" s="337"/>
      <c r="R43" s="338"/>
      <c r="T43" s="117" t="str">
        <f t="shared" ca="1" si="5"/>
        <v/>
      </c>
      <c r="U43" s="163" t="str">
        <f t="shared" ca="1" si="6"/>
        <v/>
      </c>
      <c r="V43" s="164" t="str">
        <f t="array" aca="1" ref="V43" ca="1">IF(AND($W43&gt;0,RegimeExecucao="Unitário"),$F43,"")</f>
        <v/>
      </c>
      <c r="W43" s="453">
        <f t="array" aca="1" ref="W43" ca="1">IF($Y43&gt;0,CHOOSE(MATCH(RegimeExecucao,{"Unitário","Global"},0),IF($A43="S",$Y43/$X43,""),($Y43/$X43)*100),0)</f>
        <v>0</v>
      </c>
      <c r="X43" s="339" t="str">
        <f t="array" aca="1" ref="X43" ca="1">IF($Y43&gt;0,CHOOSE(MATCH(RegimeExecucao,{"Unitário","Global"},0),IF($A43="S",ROUND($H43,ORÇAMENTO!$AF$10),""),ROUND($I43,ORÇAMENTO!$AF$11)),"")</f>
        <v/>
      </c>
      <c r="Y43" s="339">
        <f t="shared" ca="1" si="7"/>
        <v>0</v>
      </c>
      <c r="Z43" s="472"/>
      <c r="AB43" s="337"/>
      <c r="AC43" s="437"/>
      <c r="AD43" s="437"/>
      <c r="AE43" s="437"/>
      <c r="AF43" s="437"/>
      <c r="AG43" s="437"/>
      <c r="AH43" s="437"/>
      <c r="AI43" s="437"/>
      <c r="AJ43" s="437"/>
      <c r="AK43" s="437"/>
      <c r="AL43" s="437"/>
      <c r="AM43" s="338"/>
      <c r="AO43" s="696">
        <f t="array" aca="1" ref="AO43" ca="1">IF($A43="S",IF(BM!$I43=0,0,CHOOSE(MATCH(RegimeExecucao,{"Global","Unitário"},0),ROUND(ROUND(BM.MEDAcumulado,15-13*BM!$A$9)/100*BM!$I43,15-13*ORÇAMENTO!$AF$11),ROUND(ROUND(BM.MEDAcumulado,15-13*BM!$A$9)*ROUND(BM!$H43,15-13*ORÇAMENTO!$AF$10),15-13*ORÇAMENTO!$AF$11))),IF($A43=0,0,ROUND(SomaAgrupBM,15-13*ORÇAMENTO!$AF$11)))</f>
        <v>0</v>
      </c>
    </row>
    <row r="44" spans="1:41" s="696" customFormat="1" ht="25.5" x14ac:dyDescent="0.2">
      <c r="A44" s="696" t="str">
        <f ca="1">ORÇAMENTO!C44</f>
        <v>S</v>
      </c>
      <c r="B44" s="696">
        <f ca="1">ORÇAMENTO!D44</f>
        <v>0</v>
      </c>
      <c r="C44" s="114" t="str">
        <f t="shared" ca="1" si="1"/>
        <v>F</v>
      </c>
      <c r="D44" s="117" t="str">
        <f ca="1">ORÇAMENTO!O44</f>
        <v>1.5.2.</v>
      </c>
      <c r="E44" s="163" t="str">
        <f t="shared" ca="1" si="2"/>
        <v>LASTRO DE CONCRETO MAGRO, APLICADO EM BLOCOS DE COROAMENTO OU SAPATAS, ESPESSURA DE 5 CM. AF_01/2024</v>
      </c>
      <c r="F44" s="164" t="str">
        <f t="array" aca="1" ref="F44" ca="1">IF(RegimeExecucao="Global","",ORÇAMENTO.Unidade)</f>
        <v>M2</v>
      </c>
      <c r="G44" s="122">
        <f t="array" aca="1" ref="G44" ca="1">IF(RegimeExecucao="Global","",ORÇAMENTO!T44)</f>
        <v>136.6</v>
      </c>
      <c r="H44" s="122">
        <f t="array" aca="1" ref="H44" ca="1">IF(RegimeExecucao="Global","",ORÇAMENTO!W44)</f>
        <v>51.33</v>
      </c>
      <c r="I44" s="125">
        <f ca="1">ORÇAMENTO!X44</f>
        <v>7011.68</v>
      </c>
      <c r="J44" s="333">
        <f t="array" aca="1" ref="J44" ca="1">IF($A44="S",IF(CAIXA.Modo,BM.AFAnterior,BM.MEDAnterior),IF(AND(RegimeExecucao="Global",$I44&gt;0,COUNTIF($AB$13:$AM$13,BM.medicao-1)&gt;0),M44/$I44*100,0))</f>
        <v>0</v>
      </c>
      <c r="K44" s="122">
        <f t="shared" ca="1" si="3"/>
        <v>0</v>
      </c>
      <c r="L44" s="334">
        <f t="array" aca="1" ref="L44" ca="1">IF($A44="S",IF(CAIXA.Modo,BM.AFAcumulado,BM.MEDAcumulado),IF(AND(RegimeExecucao="Global",$I44&gt;0,COUNTIF($AB$13:$AM$13,BM.medicao)&gt;0),O44/$I44*100,0))</f>
        <v>0</v>
      </c>
      <c r="M44" s="335">
        <f t="array" aca="1" ref="M44" ca="1">IF($A44="S",VTOTALBM,IF($A44=0,0,ROUND(SomaAgrupBM,15-13*ORÇAMENTO!$AF$11)))</f>
        <v>0</v>
      </c>
      <c r="N44" s="336">
        <f t="shared" ca="1" si="4"/>
        <v>0</v>
      </c>
      <c r="O44" s="125">
        <f t="array" aca="1" ref="O44" ca="1">IF($A44="S",VTOTALBM,IF($A44=0,0,ROUND(SomaAgrupBM,15-13*ORÇAMENTO!$AF$11)))</f>
        <v>0</v>
      </c>
      <c r="Q44" s="337"/>
      <c r="R44" s="338"/>
      <c r="T44" s="117" t="str">
        <f t="shared" ca="1" si="5"/>
        <v/>
      </c>
      <c r="U44" s="163" t="str">
        <f t="shared" ca="1" si="6"/>
        <v/>
      </c>
      <c r="V44" s="164" t="str">
        <f t="array" aca="1" ref="V44" ca="1">IF(AND($W44&gt;0,RegimeExecucao="Unitário"),$F44,"")</f>
        <v/>
      </c>
      <c r="W44" s="453">
        <f t="array" aca="1" ref="W44" ca="1">IF($Y44&gt;0,CHOOSE(MATCH(RegimeExecucao,{"Unitário","Global"},0),IF($A44="S",$Y44/$X44,""),($Y44/$X44)*100),0)</f>
        <v>0</v>
      </c>
      <c r="X44" s="339" t="str">
        <f t="array" aca="1" ref="X44" ca="1">IF($Y44&gt;0,CHOOSE(MATCH(RegimeExecucao,{"Unitário","Global"},0),IF($A44="S",ROUND($H44,ORÇAMENTO!$AF$10),""),ROUND($I44,ORÇAMENTO!$AF$11)),"")</f>
        <v/>
      </c>
      <c r="Y44" s="339">
        <f t="shared" ca="1" si="7"/>
        <v>0</v>
      </c>
      <c r="Z44" s="472"/>
      <c r="AB44" s="337"/>
      <c r="AC44" s="437"/>
      <c r="AD44" s="437"/>
      <c r="AE44" s="437"/>
      <c r="AF44" s="437"/>
      <c r="AG44" s="437"/>
      <c r="AH44" s="437"/>
      <c r="AI44" s="437"/>
      <c r="AJ44" s="437"/>
      <c r="AK44" s="437"/>
      <c r="AL44" s="437"/>
      <c r="AM44" s="338"/>
      <c r="AO44" s="696">
        <f t="array" aca="1" ref="AO44" ca="1">IF($A44="S",IF(BM!$I44=0,0,CHOOSE(MATCH(RegimeExecucao,{"Global","Unitário"},0),ROUND(ROUND(BM.MEDAcumulado,15-13*BM!$A$9)/100*BM!$I44,15-13*ORÇAMENTO!$AF$11),ROUND(ROUND(BM.MEDAcumulado,15-13*BM!$A$9)*ROUND(BM!$H44,15-13*ORÇAMENTO!$AF$10),15-13*ORÇAMENTO!$AF$11))),IF($A44=0,0,ROUND(SomaAgrupBM,15-13*ORÇAMENTO!$AF$11)))</f>
        <v>0</v>
      </c>
    </row>
    <row r="45" spans="1:41" s="712" customFormat="1" ht="38.25" x14ac:dyDescent="0.2">
      <c r="A45" s="712" t="str">
        <f ca="1">ORÇAMENTO!C45</f>
        <v>S</v>
      </c>
      <c r="B45" s="712">
        <f ca="1">ORÇAMENTO!D45</f>
        <v>0</v>
      </c>
      <c r="C45" s="114" t="str">
        <f ca="1">IF(OR($I45&gt;0,$A45=1,$A45=2,$A45=3,$A45=4),"F","")</f>
        <v>F</v>
      </c>
      <c r="D45" s="117" t="str">
        <f ca="1">ORÇAMENTO!O45</f>
        <v>1.5.3.</v>
      </c>
      <c r="E45" s="163" t="str">
        <f ca="1">ORÇAMENTO.Descricao</f>
        <v>FABRICAÇÃO, MONTAGEM E DESMONTAGEM DE FÔRMA PARA VIGA BALDRAME, EM MADEIRA SERRADA, E=25 MM, 4 UTILIZAÇÕES. AF_01/2024</v>
      </c>
      <c r="F45" s="164" t="str">
        <f t="array" aca="1" ref="F45" ca="1">IF(RegimeExecucao="Global","",ORÇAMENTO.Unidade)</f>
        <v>M2</v>
      </c>
      <c r="G45" s="122">
        <f t="array" aca="1" ref="G45" ca="1">IF(RegimeExecucao="Global","",ORÇAMENTO!T45)</f>
        <v>511.6</v>
      </c>
      <c r="H45" s="122">
        <f t="array" aca="1" ref="H45" ca="1">IF(RegimeExecucao="Global","",ORÇAMENTO!W45)</f>
        <v>85.85</v>
      </c>
      <c r="I45" s="125">
        <f ca="1">ORÇAMENTO!X45</f>
        <v>43920.88</v>
      </c>
      <c r="J45" s="333">
        <f t="array" aca="1" ref="J45" ca="1">IF($A45="S",IF(CAIXA.Modo,BM.AFAnterior,BM.MEDAnterior),IF(AND(RegimeExecucao="Global",$I45&gt;0,COUNTIF($AB$13:$AM$13,BM.medicao-1)&gt;0),M45/$I45*100,0))</f>
        <v>0</v>
      </c>
      <c r="K45" s="122">
        <f ca="1">L45-J45</f>
        <v>0</v>
      </c>
      <c r="L45" s="334">
        <f t="array" aca="1" ref="L45" ca="1">IF($A45="S",IF(CAIXA.Modo,BM.AFAcumulado,BM.MEDAcumulado),IF(AND(RegimeExecucao="Global",$I45&gt;0,COUNTIF($AB$13:$AM$13,BM.medicao)&gt;0),O45/$I45*100,0))</f>
        <v>0</v>
      </c>
      <c r="M45" s="335">
        <f t="array" aca="1" ref="M45" ca="1">IF($A45="S",VTOTALBM,IF($A45=0,0,ROUND(SomaAgrupBM,15-13*ORÇAMENTO!$AF$11)))</f>
        <v>0</v>
      </c>
      <c r="N45" s="336">
        <f ca="1">O45-M45</f>
        <v>0</v>
      </c>
      <c r="O45" s="125">
        <f t="array" aca="1" ref="O45" ca="1">IF($A45="S",VTOTALBM,IF($A45=0,0,ROUND(SomaAgrupBM,15-13*ORÇAMENTO!$AF$11)))</f>
        <v>0</v>
      </c>
      <c r="Q45" s="337"/>
      <c r="R45" s="338"/>
      <c r="T45" s="117" t="str">
        <f ca="1">IF($W45&gt;0,$D45,"")</f>
        <v/>
      </c>
      <c r="U45" s="163" t="str">
        <f ca="1">IF($W45&gt;0,$E45,"")</f>
        <v/>
      </c>
      <c r="V45" s="164" t="str">
        <f t="array" aca="1" ref="V45" ca="1">IF(AND($W45&gt;0,RegimeExecucao="Unitário"),$F45,"")</f>
        <v/>
      </c>
      <c r="W45" s="453">
        <f t="array" aca="1" ref="W45" ca="1">IF($Y45&gt;0,CHOOSE(MATCH(RegimeExecucao,{"Unitário","Global"},0),IF($A45="S",$Y45/$X45,""),($Y45/$X45)*100),0)</f>
        <v>0</v>
      </c>
      <c r="X45" s="339" t="str">
        <f t="array" aca="1" ref="X45" ca="1">IF($Y45&gt;0,CHOOSE(MATCH(RegimeExecucao,{"Unitário","Global"},0),IF($A45="S",ROUND($H45,ORÇAMENTO!$AF$10),""),ROUND($I45,ORÇAMENTO!$AF$11)),"")</f>
        <v/>
      </c>
      <c r="Y45" s="339">
        <f ca="1">AO45-O45</f>
        <v>0</v>
      </c>
      <c r="Z45" s="472"/>
      <c r="AB45" s="337"/>
      <c r="AC45" s="437"/>
      <c r="AD45" s="437"/>
      <c r="AE45" s="437"/>
      <c r="AF45" s="437"/>
      <c r="AG45" s="437"/>
      <c r="AH45" s="437"/>
      <c r="AI45" s="437"/>
      <c r="AJ45" s="437"/>
      <c r="AK45" s="437"/>
      <c r="AL45" s="437"/>
      <c r="AM45" s="338"/>
      <c r="AO45" s="712">
        <f t="array" aca="1" ref="AO45" ca="1">IF($A45="S",IF(BM!$I45=0,0,CHOOSE(MATCH(RegimeExecucao,{"Global","Unitário"},0),ROUND(ROUND(BM.MEDAcumulado,15-13*BM!$A$9)/100*BM!$I45,15-13*ORÇAMENTO!$AF$11),ROUND(ROUND(BM.MEDAcumulado,15-13*BM!$A$9)*ROUND(BM!$H45,15-13*ORÇAMENTO!$AF$10),15-13*ORÇAMENTO!$AF$11))),IF($A45=0,0,ROUND(SomaAgrupBM,15-13*ORÇAMENTO!$AF$11)))</f>
        <v>0</v>
      </c>
    </row>
    <row r="46" spans="1:41" s="696" customFormat="1" ht="25.5" x14ac:dyDescent="0.2">
      <c r="A46" s="696" t="str">
        <f ca="1">ORÇAMENTO!C46</f>
        <v>S</v>
      </c>
      <c r="B46" s="696">
        <f ca="1">ORÇAMENTO!D46</f>
        <v>0</v>
      </c>
      <c r="C46" s="114" t="str">
        <f t="shared" ca="1" si="1"/>
        <v>F</v>
      </c>
      <c r="D46" s="117" t="str">
        <f ca="1">ORÇAMENTO!O46</f>
        <v>1.5.4.</v>
      </c>
      <c r="E46" s="163" t="str">
        <f t="shared" ca="1" si="2"/>
        <v>ARMAÇÃO DE SAPATA ISOLADA, VIGA BALDRAME E SAPATA CORRIDA UTILIZANDO AÇO CA-50 DE 8 MM - MONTAGEM. AF_01/2024</v>
      </c>
      <c r="F46" s="164" t="str">
        <f t="array" aca="1" ref="F46" ca="1">IF(RegimeExecucao="Global","",ORÇAMENTO.Unidade)</f>
        <v>KG</v>
      </c>
      <c r="G46" s="122">
        <f t="array" aca="1" ref="G46" ca="1">IF(RegimeExecucao="Global","",ORÇAMENTO!T46)</f>
        <v>1608</v>
      </c>
      <c r="H46" s="122">
        <f t="array" aca="1" ref="H46" ca="1">IF(RegimeExecucao="Global","",ORÇAMENTO!W46)</f>
        <v>16.16</v>
      </c>
      <c r="I46" s="125">
        <f ca="1">ORÇAMENTO!X46</f>
        <v>25985.279999999999</v>
      </c>
      <c r="J46" s="333">
        <f t="array" aca="1" ref="J46" ca="1">IF($A46="S",IF(CAIXA.Modo,BM.AFAnterior,BM.MEDAnterior),IF(AND(RegimeExecucao="Global",$I46&gt;0,COUNTIF($AB$13:$AM$13,BM.medicao-1)&gt;0),M46/$I46*100,0))</f>
        <v>0</v>
      </c>
      <c r="K46" s="122">
        <f t="shared" ca="1" si="3"/>
        <v>0</v>
      </c>
      <c r="L46" s="334">
        <f t="array" aca="1" ref="L46" ca="1">IF($A46="S",IF(CAIXA.Modo,BM.AFAcumulado,BM.MEDAcumulado),IF(AND(RegimeExecucao="Global",$I46&gt;0,COUNTIF($AB$13:$AM$13,BM.medicao)&gt;0),O46/$I46*100,0))</f>
        <v>0</v>
      </c>
      <c r="M46" s="335">
        <f t="array" aca="1" ref="M46" ca="1">IF($A46="S",VTOTALBM,IF($A46=0,0,ROUND(SomaAgrupBM,15-13*ORÇAMENTO!$AF$11)))</f>
        <v>0</v>
      </c>
      <c r="N46" s="336">
        <f t="shared" ca="1" si="4"/>
        <v>0</v>
      </c>
      <c r="O46" s="125">
        <f t="array" aca="1" ref="O46" ca="1">IF($A46="S",VTOTALBM,IF($A46=0,0,ROUND(SomaAgrupBM,15-13*ORÇAMENTO!$AF$11)))</f>
        <v>0</v>
      </c>
      <c r="Q46" s="337"/>
      <c r="R46" s="338"/>
      <c r="T46" s="117" t="str">
        <f t="shared" ca="1" si="5"/>
        <v/>
      </c>
      <c r="U46" s="163" t="str">
        <f t="shared" ca="1" si="6"/>
        <v/>
      </c>
      <c r="V46" s="164" t="str">
        <f t="array" aca="1" ref="V46" ca="1">IF(AND($W46&gt;0,RegimeExecucao="Unitário"),$F46,"")</f>
        <v/>
      </c>
      <c r="W46" s="453">
        <f t="array" aca="1" ref="W46" ca="1">IF($Y46&gt;0,CHOOSE(MATCH(RegimeExecucao,{"Unitário","Global"},0),IF($A46="S",$Y46/$X46,""),($Y46/$X46)*100),0)</f>
        <v>0</v>
      </c>
      <c r="X46" s="339" t="str">
        <f t="array" aca="1" ref="X46" ca="1">IF($Y46&gt;0,CHOOSE(MATCH(RegimeExecucao,{"Unitário","Global"},0),IF($A46="S",ROUND($H46,ORÇAMENTO!$AF$10),""),ROUND($I46,ORÇAMENTO!$AF$11)),"")</f>
        <v/>
      </c>
      <c r="Y46" s="339">
        <f t="shared" ca="1" si="7"/>
        <v>0</v>
      </c>
      <c r="Z46" s="472"/>
      <c r="AB46" s="337"/>
      <c r="AC46" s="437"/>
      <c r="AD46" s="437"/>
      <c r="AE46" s="437"/>
      <c r="AF46" s="437"/>
      <c r="AG46" s="437"/>
      <c r="AH46" s="437"/>
      <c r="AI46" s="437"/>
      <c r="AJ46" s="437"/>
      <c r="AK46" s="437"/>
      <c r="AL46" s="437"/>
      <c r="AM46" s="338"/>
      <c r="AO46" s="696">
        <f t="array" aca="1" ref="AO46" ca="1">IF($A46="S",IF(BM!$I46=0,0,CHOOSE(MATCH(RegimeExecucao,{"Global","Unitário"},0),ROUND(ROUND(BM.MEDAcumulado,15-13*BM!$A$9)/100*BM!$I46,15-13*ORÇAMENTO!$AF$11),ROUND(ROUND(BM.MEDAcumulado,15-13*BM!$A$9)*ROUND(BM!$H46,15-13*ORÇAMENTO!$AF$10),15-13*ORÇAMENTO!$AF$11))),IF($A46=0,0,ROUND(SomaAgrupBM,15-13*ORÇAMENTO!$AF$11)))</f>
        <v>0</v>
      </c>
    </row>
    <row r="47" spans="1:41" s="696" customFormat="1" ht="38.25" x14ac:dyDescent="0.2">
      <c r="A47" s="696" t="str">
        <f ca="1">ORÇAMENTO!C47</f>
        <v>S</v>
      </c>
      <c r="B47" s="696">
        <f ca="1">ORÇAMENTO!D47</f>
        <v>0</v>
      </c>
      <c r="C47" s="114" t="str">
        <f t="shared" ca="1" si="1"/>
        <v>F</v>
      </c>
      <c r="D47" s="117" t="str">
        <f ca="1">ORÇAMENTO!O47</f>
        <v>1.5.5.</v>
      </c>
      <c r="E47" s="163" t="str">
        <f t="shared" ca="1" si="2"/>
        <v>ARMAÇÃO DE SAPATA ISOLADA, VIGA BALDRAME E SAPATA CORRIDA UTILIZANDO AÇO CA-50 DE 6,3 MM - MONTAGEM. AF_01/2024</v>
      </c>
      <c r="F47" s="164" t="str">
        <f t="array" aca="1" ref="F47" ca="1">IF(RegimeExecucao="Global","",ORÇAMENTO.Unidade)</f>
        <v>KG</v>
      </c>
      <c r="G47" s="122">
        <f t="array" aca="1" ref="G47" ca="1">IF(RegimeExecucao="Global","",ORÇAMENTO!T47)</f>
        <v>154</v>
      </c>
      <c r="H47" s="122">
        <f t="array" aca="1" ref="H47" ca="1">IF(RegimeExecucao="Global","",ORÇAMENTO!W47)</f>
        <v>17.690000000000001</v>
      </c>
      <c r="I47" s="125">
        <f ca="1">ORÇAMENTO!X47</f>
        <v>2724.28</v>
      </c>
      <c r="J47" s="333">
        <f t="array" aca="1" ref="J47" ca="1">IF($A47="S",IF(CAIXA.Modo,BM.AFAnterior,BM.MEDAnterior),IF(AND(RegimeExecucao="Global",$I47&gt;0,COUNTIF($AB$13:$AM$13,BM.medicao-1)&gt;0),M47/$I47*100,0))</f>
        <v>0</v>
      </c>
      <c r="K47" s="122">
        <f t="shared" ca="1" si="3"/>
        <v>0</v>
      </c>
      <c r="L47" s="334">
        <f t="array" aca="1" ref="L47" ca="1">IF($A47="S",IF(CAIXA.Modo,BM.AFAcumulado,BM.MEDAcumulado),IF(AND(RegimeExecucao="Global",$I47&gt;0,COUNTIF($AB$13:$AM$13,BM.medicao)&gt;0),O47/$I47*100,0))</f>
        <v>0</v>
      </c>
      <c r="M47" s="335">
        <f t="array" aca="1" ref="M47" ca="1">IF($A47="S",VTOTALBM,IF($A47=0,0,ROUND(SomaAgrupBM,15-13*ORÇAMENTO!$AF$11)))</f>
        <v>0</v>
      </c>
      <c r="N47" s="336">
        <f t="shared" ca="1" si="4"/>
        <v>0</v>
      </c>
      <c r="O47" s="125">
        <f t="array" aca="1" ref="O47" ca="1">IF($A47="S",VTOTALBM,IF($A47=0,0,ROUND(SomaAgrupBM,15-13*ORÇAMENTO!$AF$11)))</f>
        <v>0</v>
      </c>
      <c r="Q47" s="337"/>
      <c r="R47" s="338"/>
      <c r="T47" s="117" t="str">
        <f t="shared" ca="1" si="5"/>
        <v/>
      </c>
      <c r="U47" s="163" t="str">
        <f t="shared" ca="1" si="6"/>
        <v/>
      </c>
      <c r="V47" s="164" t="str">
        <f t="array" aca="1" ref="V47" ca="1">IF(AND($W47&gt;0,RegimeExecucao="Unitário"),$F47,"")</f>
        <v/>
      </c>
      <c r="W47" s="453">
        <f t="array" aca="1" ref="W47" ca="1">IF($Y47&gt;0,CHOOSE(MATCH(RegimeExecucao,{"Unitário","Global"},0),IF($A47="S",$Y47/$X47,""),($Y47/$X47)*100),0)</f>
        <v>0</v>
      </c>
      <c r="X47" s="339" t="str">
        <f t="array" aca="1" ref="X47" ca="1">IF($Y47&gt;0,CHOOSE(MATCH(RegimeExecucao,{"Unitário","Global"},0),IF($A47="S",ROUND($H47,ORÇAMENTO!$AF$10),""),ROUND($I47,ORÇAMENTO!$AF$11)),"")</f>
        <v/>
      </c>
      <c r="Y47" s="339">
        <f t="shared" ca="1" si="7"/>
        <v>0</v>
      </c>
      <c r="Z47" s="472"/>
      <c r="AB47" s="337"/>
      <c r="AC47" s="437"/>
      <c r="AD47" s="437"/>
      <c r="AE47" s="437"/>
      <c r="AF47" s="437"/>
      <c r="AG47" s="437"/>
      <c r="AH47" s="437"/>
      <c r="AI47" s="437"/>
      <c r="AJ47" s="437"/>
      <c r="AK47" s="437"/>
      <c r="AL47" s="437"/>
      <c r="AM47" s="338"/>
      <c r="AO47" s="696">
        <f t="array" aca="1" ref="AO47" ca="1">IF($A47="S",IF(BM!$I47=0,0,CHOOSE(MATCH(RegimeExecucao,{"Global","Unitário"},0),ROUND(ROUND(BM.MEDAcumulado,15-13*BM!$A$9)/100*BM!$I47,15-13*ORÇAMENTO!$AF$11),ROUND(ROUND(BM.MEDAcumulado,15-13*BM!$A$9)*ROUND(BM!$H47,15-13*ORÇAMENTO!$AF$10),15-13*ORÇAMENTO!$AF$11))),IF($A47=0,0,ROUND(SomaAgrupBM,15-13*ORÇAMENTO!$AF$11)))</f>
        <v>0</v>
      </c>
    </row>
    <row r="48" spans="1:41" s="696" customFormat="1" ht="25.5" x14ac:dyDescent="0.2">
      <c r="A48" s="696" t="str">
        <f ca="1">ORÇAMENTO!C48</f>
        <v>S</v>
      </c>
      <c r="B48" s="696">
        <f ca="1">ORÇAMENTO!D48</f>
        <v>0</v>
      </c>
      <c r="C48" s="114" t="str">
        <f t="shared" ca="1" si="1"/>
        <v>F</v>
      </c>
      <c r="D48" s="117" t="str">
        <f ca="1">ORÇAMENTO!O48</f>
        <v>1.5.6.</v>
      </c>
      <c r="E48" s="163" t="str">
        <f t="shared" ca="1" si="2"/>
        <v>ARMAÇÃO DE SAPATA ISOLADA, VIGA BALDRAME E SAPATA CORRIDA UTILIZANDO AÇO CA-60 DE 5 MM - MONTAGEM. AF_01/2024</v>
      </c>
      <c r="F48" s="164" t="str">
        <f t="array" aca="1" ref="F48" ca="1">IF(RegimeExecucao="Global","",ORÇAMENTO.Unidade)</f>
        <v>KG</v>
      </c>
      <c r="G48" s="122">
        <f t="array" aca="1" ref="G48" ca="1">IF(RegimeExecucao="Global","",ORÇAMENTO!T48)</f>
        <v>780</v>
      </c>
      <c r="H48" s="122">
        <f t="array" aca="1" ref="H48" ca="1">IF(RegimeExecucao="Global","",ORÇAMENTO!W48)</f>
        <v>19.420000000000002</v>
      </c>
      <c r="I48" s="125">
        <f ca="1">ORÇAMENTO!X48</f>
        <v>15147.6</v>
      </c>
      <c r="J48" s="333">
        <f t="array" aca="1" ref="J48" ca="1">IF($A48="S",IF(CAIXA.Modo,BM.AFAnterior,BM.MEDAnterior),IF(AND(RegimeExecucao="Global",$I48&gt;0,COUNTIF($AB$13:$AM$13,BM.medicao-1)&gt;0),M48/$I48*100,0))</f>
        <v>0</v>
      </c>
      <c r="K48" s="122">
        <f t="shared" ca="1" si="3"/>
        <v>0</v>
      </c>
      <c r="L48" s="334">
        <f t="array" aca="1" ref="L48" ca="1">IF($A48="S",IF(CAIXA.Modo,BM.AFAcumulado,BM.MEDAcumulado),IF(AND(RegimeExecucao="Global",$I48&gt;0,COUNTIF($AB$13:$AM$13,BM.medicao)&gt;0),O48/$I48*100,0))</f>
        <v>0</v>
      </c>
      <c r="M48" s="335">
        <f t="array" aca="1" ref="M48" ca="1">IF($A48="S",VTOTALBM,IF($A48=0,0,ROUND(SomaAgrupBM,15-13*ORÇAMENTO!$AF$11)))</f>
        <v>0</v>
      </c>
      <c r="N48" s="336">
        <f t="shared" ca="1" si="4"/>
        <v>0</v>
      </c>
      <c r="O48" s="125">
        <f t="array" aca="1" ref="O48" ca="1">IF($A48="S",VTOTALBM,IF($A48=0,0,ROUND(SomaAgrupBM,15-13*ORÇAMENTO!$AF$11)))</f>
        <v>0</v>
      </c>
      <c r="Q48" s="337"/>
      <c r="R48" s="338"/>
      <c r="T48" s="117" t="str">
        <f t="shared" ca="1" si="5"/>
        <v/>
      </c>
      <c r="U48" s="163" t="str">
        <f t="shared" ca="1" si="6"/>
        <v/>
      </c>
      <c r="V48" s="164" t="str">
        <f t="array" aca="1" ref="V48" ca="1">IF(AND($W48&gt;0,RegimeExecucao="Unitário"),$F48,"")</f>
        <v/>
      </c>
      <c r="W48" s="453">
        <f t="array" aca="1" ref="W48" ca="1">IF($Y48&gt;0,CHOOSE(MATCH(RegimeExecucao,{"Unitário","Global"},0),IF($A48="S",$Y48/$X48,""),($Y48/$X48)*100),0)</f>
        <v>0</v>
      </c>
      <c r="X48" s="339" t="str">
        <f t="array" aca="1" ref="X48" ca="1">IF($Y48&gt;0,CHOOSE(MATCH(RegimeExecucao,{"Unitário","Global"},0),IF($A48="S",ROUND($H48,ORÇAMENTO!$AF$10),""),ROUND($I48,ORÇAMENTO!$AF$11)),"")</f>
        <v/>
      </c>
      <c r="Y48" s="339">
        <f t="shared" ca="1" si="7"/>
        <v>0</v>
      </c>
      <c r="Z48" s="472"/>
      <c r="AB48" s="337"/>
      <c r="AC48" s="437"/>
      <c r="AD48" s="437"/>
      <c r="AE48" s="437"/>
      <c r="AF48" s="437"/>
      <c r="AG48" s="437"/>
      <c r="AH48" s="437"/>
      <c r="AI48" s="437"/>
      <c r="AJ48" s="437"/>
      <c r="AK48" s="437"/>
      <c r="AL48" s="437"/>
      <c r="AM48" s="338"/>
      <c r="AO48" s="696">
        <f t="array" aca="1" ref="AO48" ca="1">IF($A48="S",IF(BM!$I48=0,0,CHOOSE(MATCH(RegimeExecucao,{"Global","Unitário"},0),ROUND(ROUND(BM.MEDAcumulado,15-13*BM!$A$9)/100*BM!$I48,15-13*ORÇAMENTO!$AF$11),ROUND(ROUND(BM.MEDAcumulado,15-13*BM!$A$9)*ROUND(BM!$H48,15-13*ORÇAMENTO!$AF$10),15-13*ORÇAMENTO!$AF$11))),IF($A48=0,0,ROUND(SomaAgrupBM,15-13*ORÇAMENTO!$AF$11)))</f>
        <v>0</v>
      </c>
    </row>
    <row r="49" spans="1:41" s="696" customFormat="1" ht="38.25" x14ac:dyDescent="0.2">
      <c r="A49" s="696" t="str">
        <f ca="1">ORÇAMENTO!C49</f>
        <v>S</v>
      </c>
      <c r="B49" s="696">
        <f ca="1">ORÇAMENTO!D49</f>
        <v>0</v>
      </c>
      <c r="C49" s="114" t="str">
        <f t="shared" ca="1" si="1"/>
        <v>F</v>
      </c>
      <c r="D49" s="117" t="str">
        <f ca="1">ORÇAMENTO!O49</f>
        <v>1.5.7.</v>
      </c>
      <c r="E49" s="163" t="str">
        <f t="shared" ca="1" si="2"/>
        <v>CONCRETAGEM DE BLOCO DE COROAMENTO OU VIGA BALDRAME, FCK 20 MPA, COM USO DE JERICA - LANÇAMENTO, ADENSAMENTO E ACABAMENTO.</v>
      </c>
      <c r="F49" s="164" t="str">
        <f t="array" aca="1" ref="F49" ca="1">IF(RegimeExecucao="Global","",ORÇAMENTO.Unidade)</f>
        <v>M3</v>
      </c>
      <c r="G49" s="122">
        <f t="array" aca="1" ref="G49" ca="1">IF(RegimeExecucao="Global","",ORÇAMENTO!T49)</f>
        <v>38.200000000000003</v>
      </c>
      <c r="H49" s="122">
        <f t="array" aca="1" ref="H49" ca="1">IF(RegimeExecucao="Global","",ORÇAMENTO!W49)</f>
        <v>745.52</v>
      </c>
      <c r="I49" s="125">
        <f ca="1">ORÇAMENTO!X49</f>
        <v>28478.880000000001</v>
      </c>
      <c r="J49" s="333">
        <f t="array" aca="1" ref="J49" ca="1">IF($A49="S",IF(CAIXA.Modo,BM.AFAnterior,BM.MEDAnterior),IF(AND(RegimeExecucao="Global",$I49&gt;0,COUNTIF($AB$13:$AM$13,BM.medicao-1)&gt;0),M49/$I49*100,0))</f>
        <v>0</v>
      </c>
      <c r="K49" s="122">
        <f t="shared" ca="1" si="3"/>
        <v>0</v>
      </c>
      <c r="L49" s="334">
        <f t="array" aca="1" ref="L49" ca="1">IF($A49="S",IF(CAIXA.Modo,BM.AFAcumulado,BM.MEDAcumulado),IF(AND(RegimeExecucao="Global",$I49&gt;0,COUNTIF($AB$13:$AM$13,BM.medicao)&gt;0),O49/$I49*100,0))</f>
        <v>0</v>
      </c>
      <c r="M49" s="335">
        <f t="array" aca="1" ref="M49" ca="1">IF($A49="S",VTOTALBM,IF($A49=0,0,ROUND(SomaAgrupBM,15-13*ORÇAMENTO!$AF$11)))</f>
        <v>0</v>
      </c>
      <c r="N49" s="336">
        <f t="shared" ca="1" si="4"/>
        <v>0</v>
      </c>
      <c r="O49" s="125">
        <f t="array" aca="1" ref="O49" ca="1">IF($A49="S",VTOTALBM,IF($A49=0,0,ROUND(SomaAgrupBM,15-13*ORÇAMENTO!$AF$11)))</f>
        <v>0</v>
      </c>
      <c r="Q49" s="337"/>
      <c r="R49" s="338"/>
      <c r="T49" s="117" t="str">
        <f t="shared" ca="1" si="5"/>
        <v/>
      </c>
      <c r="U49" s="163" t="str">
        <f t="shared" ca="1" si="6"/>
        <v/>
      </c>
      <c r="V49" s="164" t="str">
        <f t="array" aca="1" ref="V49" ca="1">IF(AND($W49&gt;0,RegimeExecucao="Unitário"),$F49,"")</f>
        <v/>
      </c>
      <c r="W49" s="453">
        <f t="array" aca="1" ref="W49" ca="1">IF($Y49&gt;0,CHOOSE(MATCH(RegimeExecucao,{"Unitário","Global"},0),IF($A49="S",$Y49/$X49,""),($Y49/$X49)*100),0)</f>
        <v>0</v>
      </c>
      <c r="X49" s="339" t="str">
        <f t="array" aca="1" ref="X49" ca="1">IF($Y49&gt;0,CHOOSE(MATCH(RegimeExecucao,{"Unitário","Global"},0),IF($A49="S",ROUND($H49,ORÇAMENTO!$AF$10),""),ROUND($I49,ORÇAMENTO!$AF$11)),"")</f>
        <v/>
      </c>
      <c r="Y49" s="339">
        <f t="shared" ca="1" si="7"/>
        <v>0</v>
      </c>
      <c r="Z49" s="472"/>
      <c r="AB49" s="337"/>
      <c r="AC49" s="437"/>
      <c r="AD49" s="437"/>
      <c r="AE49" s="437"/>
      <c r="AF49" s="437"/>
      <c r="AG49" s="437"/>
      <c r="AH49" s="437"/>
      <c r="AI49" s="437"/>
      <c r="AJ49" s="437"/>
      <c r="AK49" s="437"/>
      <c r="AL49" s="437"/>
      <c r="AM49" s="338"/>
      <c r="AO49" s="696">
        <f t="array" aca="1" ref="AO49" ca="1">IF($A49="S",IF(BM!$I49=0,0,CHOOSE(MATCH(RegimeExecucao,{"Global","Unitário"},0),ROUND(ROUND(BM.MEDAcumulado,15-13*BM!$A$9)/100*BM!$I49,15-13*ORÇAMENTO!$AF$11),ROUND(ROUND(BM.MEDAcumulado,15-13*BM!$A$9)*ROUND(BM!$H49,15-13*ORÇAMENTO!$AF$10),15-13*ORÇAMENTO!$AF$11))),IF($A49=0,0,ROUND(SomaAgrupBM,15-13*ORÇAMENTO!$AF$11)))</f>
        <v>0</v>
      </c>
    </row>
    <row r="50" spans="1:41" s="712" customFormat="1" ht="25.5" x14ac:dyDescent="0.2">
      <c r="A50" s="712" t="str">
        <f ca="1">ORÇAMENTO!C50</f>
        <v>S</v>
      </c>
      <c r="B50" s="712">
        <f ca="1">ORÇAMENTO!D50</f>
        <v>0</v>
      </c>
      <c r="C50" s="114" t="str">
        <f ca="1">IF(OR($I50&gt;0,$A50=1,$A50=2,$A50=3,$A50=4),"F","")</f>
        <v>F</v>
      </c>
      <c r="D50" s="117" t="str">
        <f ca="1">ORÇAMENTO!O50</f>
        <v>1.5.8.</v>
      </c>
      <c r="E50" s="163" t="str">
        <f ca="1">ORÇAMENTO.Descricao</f>
        <v>REATERRO MANUAL DE VALAS, COM COMPACTADOR DE SOLOS DE PERCUSSÃO. AF_08/2023</v>
      </c>
      <c r="F50" s="164" t="str">
        <f t="array" aca="1" ref="F50" ca="1">IF(RegimeExecucao="Global","",ORÇAMENTO.Unidade)</f>
        <v>M3</v>
      </c>
      <c r="G50" s="122">
        <f t="array" aca="1" ref="G50" ca="1">IF(RegimeExecucao="Global","",ORÇAMENTO!T50)</f>
        <v>64.2</v>
      </c>
      <c r="H50" s="122">
        <f t="array" aca="1" ref="H50" ca="1">IF(RegimeExecucao="Global","",ORÇAMENTO!W50)</f>
        <v>27.26</v>
      </c>
      <c r="I50" s="125">
        <f ca="1">ORÇAMENTO!X50</f>
        <v>1750.08</v>
      </c>
      <c r="J50" s="333">
        <f t="array" aca="1" ref="J50" ca="1">IF($A50="S",IF(CAIXA.Modo,BM.AFAnterior,BM.MEDAnterior),IF(AND(RegimeExecucao="Global",$I50&gt;0,COUNTIF($AB$13:$AM$13,BM.medicao-1)&gt;0),M50/$I50*100,0))</f>
        <v>0</v>
      </c>
      <c r="K50" s="122">
        <f ca="1">L50-J50</f>
        <v>0</v>
      </c>
      <c r="L50" s="334">
        <f t="array" aca="1" ref="L50" ca="1">IF($A50="S",IF(CAIXA.Modo,BM.AFAcumulado,BM.MEDAcumulado),IF(AND(RegimeExecucao="Global",$I50&gt;0,COUNTIF($AB$13:$AM$13,BM.medicao)&gt;0),O50/$I50*100,0))</f>
        <v>0</v>
      </c>
      <c r="M50" s="335">
        <f t="array" aca="1" ref="M50" ca="1">IF($A50="S",VTOTALBM,IF($A50=0,0,ROUND(SomaAgrupBM,15-13*ORÇAMENTO!$AF$11)))</f>
        <v>0</v>
      </c>
      <c r="N50" s="336">
        <f ca="1">O50-M50</f>
        <v>0</v>
      </c>
      <c r="O50" s="125">
        <f t="array" aca="1" ref="O50" ca="1">IF($A50="S",VTOTALBM,IF($A50=0,0,ROUND(SomaAgrupBM,15-13*ORÇAMENTO!$AF$11)))</f>
        <v>0</v>
      </c>
      <c r="Q50" s="337"/>
      <c r="R50" s="338"/>
      <c r="T50" s="117" t="str">
        <f ca="1">IF($W50&gt;0,$D50,"")</f>
        <v/>
      </c>
      <c r="U50" s="163" t="str">
        <f ca="1">IF($W50&gt;0,$E50,"")</f>
        <v/>
      </c>
      <c r="V50" s="164" t="str">
        <f t="array" aca="1" ref="V50" ca="1">IF(AND($W50&gt;0,RegimeExecucao="Unitário"),$F50,"")</f>
        <v/>
      </c>
      <c r="W50" s="453">
        <f t="array" aca="1" ref="W50" ca="1">IF($Y50&gt;0,CHOOSE(MATCH(RegimeExecucao,{"Unitário","Global"},0),IF($A50="S",$Y50/$X50,""),($Y50/$X50)*100),0)</f>
        <v>0</v>
      </c>
      <c r="X50" s="339" t="str">
        <f t="array" aca="1" ref="X50" ca="1">IF($Y50&gt;0,CHOOSE(MATCH(RegimeExecucao,{"Unitário","Global"},0),IF($A50="S",ROUND($H50,ORÇAMENTO!$AF$10),""),ROUND($I50,ORÇAMENTO!$AF$11)),"")</f>
        <v/>
      </c>
      <c r="Y50" s="339">
        <f ca="1">AO50-O50</f>
        <v>0</v>
      </c>
      <c r="Z50" s="472"/>
      <c r="AB50" s="337"/>
      <c r="AC50" s="437"/>
      <c r="AD50" s="437"/>
      <c r="AE50" s="437"/>
      <c r="AF50" s="437"/>
      <c r="AG50" s="437"/>
      <c r="AH50" s="437"/>
      <c r="AI50" s="437"/>
      <c r="AJ50" s="437"/>
      <c r="AK50" s="437"/>
      <c r="AL50" s="437"/>
      <c r="AM50" s="338"/>
      <c r="AO50" s="712">
        <f t="array" aca="1" ref="AO50" ca="1">IF($A50="S",IF(BM!$I50=0,0,CHOOSE(MATCH(RegimeExecucao,{"Global","Unitário"},0),ROUND(ROUND(BM.MEDAcumulado,15-13*BM!$A$9)/100*BM!$I50,15-13*ORÇAMENTO!$AF$11),ROUND(ROUND(BM.MEDAcumulado,15-13*BM!$A$9)*ROUND(BM!$H50,15-13*ORÇAMENTO!$AF$10),15-13*ORÇAMENTO!$AF$11))),IF($A50=0,0,ROUND(SomaAgrupBM,15-13*ORÇAMENTO!$AF$11)))</f>
        <v>0</v>
      </c>
    </row>
    <row r="51" spans="1:41" s="696" customFormat="1" x14ac:dyDescent="0.2">
      <c r="A51" s="696">
        <f ca="1">ORÇAMENTO!C51</f>
        <v>2</v>
      </c>
      <c r="B51" s="696">
        <f ca="1">ORÇAMENTO!D51</f>
        <v>4</v>
      </c>
      <c r="C51" s="114" t="str">
        <f t="shared" ca="1" si="1"/>
        <v>F</v>
      </c>
      <c r="D51" s="117" t="str">
        <f ca="1">ORÇAMENTO!O51</f>
        <v>1.6.</v>
      </c>
      <c r="E51" s="163" t="str">
        <f t="shared" si="2"/>
        <v>IMPERMEABILIZAÇÃO</v>
      </c>
      <c r="F51" s="164" t="str">
        <f t="array" aca="1" ref="F51" ca="1">IF(RegimeExecucao="Global","",ORÇAMENTO.Unidade)</f>
        <v>-</v>
      </c>
      <c r="G51" s="122">
        <f t="array" aca="1" ref="G51" ca="1">IF(RegimeExecucao="Global","",ORÇAMENTO!T51)</f>
        <v>0</v>
      </c>
      <c r="H51" s="122">
        <f t="array" aca="1" ref="H51" ca="1">IF(RegimeExecucao="Global","",ORÇAMENTO!W51)</f>
        <v>0</v>
      </c>
      <c r="I51" s="125">
        <f ca="1">ORÇAMENTO!X51</f>
        <v>77243.08</v>
      </c>
      <c r="J51" s="333">
        <f t="array" aca="1" ref="J51" ca="1">IF($A51="S",IF(CAIXA.Modo,BM.AFAnterior,BM.MEDAnterior),IF(AND(RegimeExecucao="Global",$I51&gt;0,COUNTIF($AB$13:$AM$13,BM.medicao-1)&gt;0),M51/$I51*100,0))</f>
        <v>0</v>
      </c>
      <c r="K51" s="122">
        <f t="shared" ca="1" si="3"/>
        <v>0</v>
      </c>
      <c r="L51" s="334">
        <f t="array" aca="1" ref="L51" ca="1">IF($A51="S",IF(CAIXA.Modo,BM.AFAcumulado,BM.MEDAcumulado),IF(AND(RegimeExecucao="Global",$I51&gt;0,COUNTIF($AB$13:$AM$13,BM.medicao)&gt;0),O51/$I51*100,0))</f>
        <v>0</v>
      </c>
      <c r="M51" s="335">
        <f t="array" aca="1" ref="M51" ca="1">IF($A51="S",VTOTALBM,IF($A51=0,0,ROUND(SomaAgrupBM,15-13*ORÇAMENTO!$AF$11)))</f>
        <v>0</v>
      </c>
      <c r="N51" s="336">
        <f t="shared" ca="1" si="4"/>
        <v>0</v>
      </c>
      <c r="O51" s="125">
        <f t="array" aca="1" ref="O51" ca="1">IF($A51="S",VTOTALBM,IF($A51=0,0,ROUND(SomaAgrupBM,15-13*ORÇAMENTO!$AF$11)))</f>
        <v>0</v>
      </c>
      <c r="Q51" s="337"/>
      <c r="R51" s="338"/>
      <c r="T51" s="117" t="str">
        <f t="shared" ca="1" si="5"/>
        <v/>
      </c>
      <c r="U51" s="163" t="str">
        <f t="shared" ca="1" si="6"/>
        <v/>
      </c>
      <c r="V51" s="164" t="str">
        <f t="array" aca="1" ref="V51" ca="1">IF(AND($W51&gt;0,RegimeExecucao="Unitário"),$F51,"")</f>
        <v/>
      </c>
      <c r="W51" s="453">
        <f t="array" aca="1" ref="W51" ca="1">IF($Y51&gt;0,CHOOSE(MATCH(RegimeExecucao,{"Unitário","Global"},0),IF($A51="S",$Y51/$X51,""),($Y51/$X51)*100),0)</f>
        <v>0</v>
      </c>
      <c r="X51" s="339" t="str">
        <f t="array" aca="1" ref="X51" ca="1">IF($Y51&gt;0,CHOOSE(MATCH(RegimeExecucao,{"Unitário","Global"},0),IF($A51="S",ROUND($H51,ORÇAMENTO!$AF$10),""),ROUND($I51,ORÇAMENTO!$AF$11)),"")</f>
        <v/>
      </c>
      <c r="Y51" s="339">
        <f t="shared" ca="1" si="7"/>
        <v>0</v>
      </c>
      <c r="Z51" s="472"/>
      <c r="AB51" s="337"/>
      <c r="AC51" s="437"/>
      <c r="AD51" s="437"/>
      <c r="AE51" s="437"/>
      <c r="AF51" s="437"/>
      <c r="AG51" s="437"/>
      <c r="AH51" s="437"/>
      <c r="AI51" s="437"/>
      <c r="AJ51" s="437"/>
      <c r="AK51" s="437"/>
      <c r="AL51" s="437"/>
      <c r="AM51" s="338"/>
      <c r="AO51" s="696">
        <f t="array" aca="1" ref="AO51" ca="1">IF($A51="S",IF(BM!$I51=0,0,CHOOSE(MATCH(RegimeExecucao,{"Global","Unitário"},0),ROUND(ROUND(BM.MEDAcumulado,15-13*BM!$A$9)/100*BM!$I51,15-13*ORÇAMENTO!$AF$11),ROUND(ROUND(BM.MEDAcumulado,15-13*BM!$A$9)*ROUND(BM!$H51,15-13*ORÇAMENTO!$AF$10),15-13*ORÇAMENTO!$AF$11))),IF($A51=0,0,ROUND(SomaAgrupBM,15-13*ORÇAMENTO!$AF$11)))</f>
        <v>0</v>
      </c>
    </row>
    <row r="52" spans="1:41" s="696" customFormat="1" ht="38.25" x14ac:dyDescent="0.2">
      <c r="A52" s="696" t="str">
        <f ca="1">ORÇAMENTO!C52</f>
        <v>S</v>
      </c>
      <c r="B52" s="696">
        <f ca="1">ORÇAMENTO!D52</f>
        <v>0</v>
      </c>
      <c r="C52" s="114" t="str">
        <f t="shared" ca="1" si="1"/>
        <v>F</v>
      </c>
      <c r="D52" s="117" t="str">
        <f ca="1">ORÇAMENTO!O52</f>
        <v>1.6.1.</v>
      </c>
      <c r="E52" s="163" t="str">
        <f t="shared" ca="1" si="2"/>
        <v>CHAPISCO APLICADO EM ALVENARIAS E ESTRUTURAS DE CONCRETO INTERNAS, COM COLHER DE PEDREIRO. ARGAMASSA TRAÇO 1:3 COM PREPARO MANUAL. AF_10/2022</v>
      </c>
      <c r="F52" s="164" t="str">
        <f t="array" aca="1" ref="F52" ca="1">IF(RegimeExecucao="Global","",ORÇAMENTO.Unidade)</f>
        <v>M2</v>
      </c>
      <c r="G52" s="122">
        <f t="array" aca="1" ref="G52" ca="1">IF(RegimeExecucao="Global","",ORÇAMENTO!T52)</f>
        <v>679</v>
      </c>
      <c r="H52" s="122">
        <f t="array" aca="1" ref="H52" ca="1">IF(RegimeExecucao="Global","",ORÇAMENTO!W52)</f>
        <v>6.09</v>
      </c>
      <c r="I52" s="125">
        <f ca="1">ORÇAMENTO!X52</f>
        <v>4135.12</v>
      </c>
      <c r="J52" s="333">
        <f t="array" aca="1" ref="J52" ca="1">IF($A52="S",IF(CAIXA.Modo,BM.AFAnterior,BM.MEDAnterior),IF(AND(RegimeExecucao="Global",$I52&gt;0,COUNTIF($AB$13:$AM$13,BM.medicao-1)&gt;0),M52/$I52*100,0))</f>
        <v>0</v>
      </c>
      <c r="K52" s="122">
        <f t="shared" ca="1" si="3"/>
        <v>0</v>
      </c>
      <c r="L52" s="334">
        <f t="array" aca="1" ref="L52" ca="1">IF($A52="S",IF(CAIXA.Modo,BM.AFAcumulado,BM.MEDAcumulado),IF(AND(RegimeExecucao="Global",$I52&gt;0,COUNTIF($AB$13:$AM$13,BM.medicao)&gt;0),O52/$I52*100,0))</f>
        <v>0</v>
      </c>
      <c r="M52" s="335">
        <f t="array" aca="1" ref="M52" ca="1">IF($A52="S",VTOTALBM,IF($A52=0,0,ROUND(SomaAgrupBM,15-13*ORÇAMENTO!$AF$11)))</f>
        <v>0</v>
      </c>
      <c r="N52" s="336">
        <f t="shared" ca="1" si="4"/>
        <v>0</v>
      </c>
      <c r="O52" s="125">
        <f t="array" aca="1" ref="O52" ca="1">IF($A52="S",VTOTALBM,IF($A52=0,0,ROUND(SomaAgrupBM,15-13*ORÇAMENTO!$AF$11)))</f>
        <v>0</v>
      </c>
      <c r="Q52" s="337"/>
      <c r="R52" s="338"/>
      <c r="T52" s="117" t="str">
        <f t="shared" ca="1" si="5"/>
        <v/>
      </c>
      <c r="U52" s="163" t="str">
        <f t="shared" ca="1" si="6"/>
        <v/>
      </c>
      <c r="V52" s="164" t="str">
        <f t="array" aca="1" ref="V52" ca="1">IF(AND($W52&gt;0,RegimeExecucao="Unitário"),$F52,"")</f>
        <v/>
      </c>
      <c r="W52" s="453">
        <f t="array" aca="1" ref="W52" ca="1">IF($Y52&gt;0,CHOOSE(MATCH(RegimeExecucao,{"Unitário","Global"},0),IF($A52="S",$Y52/$X52,""),($Y52/$X52)*100),0)</f>
        <v>0</v>
      </c>
      <c r="X52" s="339" t="str">
        <f t="array" aca="1" ref="X52" ca="1">IF($Y52&gt;0,CHOOSE(MATCH(RegimeExecucao,{"Unitário","Global"},0),IF($A52="S",ROUND($H52,ORÇAMENTO!$AF$10),""),ROUND($I52,ORÇAMENTO!$AF$11)),"")</f>
        <v/>
      </c>
      <c r="Y52" s="339">
        <f t="shared" ca="1" si="7"/>
        <v>0</v>
      </c>
      <c r="Z52" s="472"/>
      <c r="AB52" s="337"/>
      <c r="AC52" s="437"/>
      <c r="AD52" s="437"/>
      <c r="AE52" s="437"/>
      <c r="AF52" s="437"/>
      <c r="AG52" s="437"/>
      <c r="AH52" s="437"/>
      <c r="AI52" s="437"/>
      <c r="AJ52" s="437"/>
      <c r="AK52" s="437"/>
      <c r="AL52" s="437"/>
      <c r="AM52" s="338"/>
      <c r="AO52" s="696">
        <f t="array" aca="1" ref="AO52" ca="1">IF($A52="S",IF(BM!$I52=0,0,CHOOSE(MATCH(RegimeExecucao,{"Global","Unitário"},0),ROUND(ROUND(BM.MEDAcumulado,15-13*BM!$A$9)/100*BM!$I52,15-13*ORÇAMENTO!$AF$11),ROUND(ROUND(BM.MEDAcumulado,15-13*BM!$A$9)*ROUND(BM!$H52,15-13*ORÇAMENTO!$AF$10),15-13*ORÇAMENTO!$AF$11))),IF($A52=0,0,ROUND(SomaAgrupBM,15-13*ORÇAMENTO!$AF$11)))</f>
        <v>0</v>
      </c>
    </row>
    <row r="53" spans="1:41" s="696" customFormat="1" ht="38.25" x14ac:dyDescent="0.2">
      <c r="A53" s="696" t="str">
        <f ca="1">ORÇAMENTO!C53</f>
        <v>S</v>
      </c>
      <c r="B53" s="696">
        <f ca="1">ORÇAMENTO!D53</f>
        <v>0</v>
      </c>
      <c r="C53" s="114" t="str">
        <f t="shared" ca="1" si="1"/>
        <v>F</v>
      </c>
      <c r="D53" s="117" t="str">
        <f ca="1">ORÇAMENTO!O53</f>
        <v>1.6.2.</v>
      </c>
      <c r="E53" s="163" t="str">
        <f t="shared" ca="1" si="2"/>
        <v>IMPERMEABILIZAÇÃO DE SUPERFÍCIE COM ARGAMASSA DE CIMENTO E AREIA, COM ADITIVO IMPERMEABILIZANTE, E = 1,5CM. AF_09/2023</v>
      </c>
      <c r="F53" s="164" t="str">
        <f t="array" aca="1" ref="F53" ca="1">IF(RegimeExecucao="Global","",ORÇAMENTO.Unidade)</f>
        <v>M2</v>
      </c>
      <c r="G53" s="122">
        <f t="array" aca="1" ref="G53" ca="1">IF(RegimeExecucao="Global","",ORÇAMENTO!T53)</f>
        <v>679</v>
      </c>
      <c r="H53" s="122">
        <f t="array" aca="1" ref="H53" ca="1">IF(RegimeExecucao="Global","",ORÇAMENTO!W53)</f>
        <v>61.34</v>
      </c>
      <c r="I53" s="125">
        <f ca="1">ORÇAMENTO!X53</f>
        <v>41649.879999999997</v>
      </c>
      <c r="J53" s="333">
        <f t="array" aca="1" ref="J53" ca="1">IF($A53="S",IF(CAIXA.Modo,BM.AFAnterior,BM.MEDAnterior),IF(AND(RegimeExecucao="Global",$I53&gt;0,COUNTIF($AB$13:$AM$13,BM.medicao-1)&gt;0),M53/$I53*100,0))</f>
        <v>0</v>
      </c>
      <c r="K53" s="122">
        <f t="shared" ca="1" si="3"/>
        <v>0</v>
      </c>
      <c r="L53" s="334">
        <f t="array" aca="1" ref="L53" ca="1">IF($A53="S",IF(CAIXA.Modo,BM.AFAcumulado,BM.MEDAcumulado),IF(AND(RegimeExecucao="Global",$I53&gt;0,COUNTIF($AB$13:$AM$13,BM.medicao)&gt;0),O53/$I53*100,0))</f>
        <v>0</v>
      </c>
      <c r="M53" s="335">
        <f t="array" aca="1" ref="M53" ca="1">IF($A53="S",VTOTALBM,IF($A53=0,0,ROUND(SomaAgrupBM,15-13*ORÇAMENTO!$AF$11)))</f>
        <v>0</v>
      </c>
      <c r="N53" s="336">
        <f t="shared" ca="1" si="4"/>
        <v>0</v>
      </c>
      <c r="O53" s="125">
        <f t="array" aca="1" ref="O53" ca="1">IF($A53="S",VTOTALBM,IF($A53=0,0,ROUND(SomaAgrupBM,15-13*ORÇAMENTO!$AF$11)))</f>
        <v>0</v>
      </c>
      <c r="Q53" s="337"/>
      <c r="R53" s="338"/>
      <c r="T53" s="117" t="str">
        <f t="shared" ca="1" si="5"/>
        <v/>
      </c>
      <c r="U53" s="163" t="str">
        <f t="shared" ca="1" si="6"/>
        <v/>
      </c>
      <c r="V53" s="164" t="str">
        <f t="array" aca="1" ref="V53" ca="1">IF(AND($W53&gt;0,RegimeExecucao="Unitário"),$F53,"")</f>
        <v/>
      </c>
      <c r="W53" s="453">
        <f t="array" aca="1" ref="W53" ca="1">IF($Y53&gt;0,CHOOSE(MATCH(RegimeExecucao,{"Unitário","Global"},0),IF($A53="S",$Y53/$X53,""),($Y53/$X53)*100),0)</f>
        <v>0</v>
      </c>
      <c r="X53" s="339" t="str">
        <f t="array" aca="1" ref="X53" ca="1">IF($Y53&gt;0,CHOOSE(MATCH(RegimeExecucao,{"Unitário","Global"},0),IF($A53="S",ROUND($H53,ORÇAMENTO!$AF$10),""),ROUND($I53,ORÇAMENTO!$AF$11)),"")</f>
        <v/>
      </c>
      <c r="Y53" s="339">
        <f t="shared" ca="1" si="7"/>
        <v>0</v>
      </c>
      <c r="Z53" s="472"/>
      <c r="AB53" s="337"/>
      <c r="AC53" s="437"/>
      <c r="AD53" s="437"/>
      <c r="AE53" s="437"/>
      <c r="AF53" s="437"/>
      <c r="AG53" s="437"/>
      <c r="AH53" s="437"/>
      <c r="AI53" s="437"/>
      <c r="AJ53" s="437"/>
      <c r="AK53" s="437"/>
      <c r="AL53" s="437"/>
      <c r="AM53" s="338"/>
      <c r="AO53" s="696">
        <f t="array" aca="1" ref="AO53" ca="1">IF($A53="S",IF(BM!$I53=0,0,CHOOSE(MATCH(RegimeExecucao,{"Global","Unitário"},0),ROUND(ROUND(BM.MEDAcumulado,15-13*BM!$A$9)/100*BM!$I53,15-13*ORÇAMENTO!$AF$11),ROUND(ROUND(BM.MEDAcumulado,15-13*BM!$A$9)*ROUND(BM!$H53,15-13*ORÇAMENTO!$AF$10),15-13*ORÇAMENTO!$AF$11))),IF($A53=0,0,ROUND(SomaAgrupBM,15-13*ORÇAMENTO!$AF$11)))</f>
        <v>0</v>
      </c>
    </row>
    <row r="54" spans="1:41" s="696" customFormat="1" ht="25.5" x14ac:dyDescent="0.2">
      <c r="A54" s="696" t="str">
        <f ca="1">ORÇAMENTO!C54</f>
        <v>S</v>
      </c>
      <c r="B54" s="696">
        <f ca="1">ORÇAMENTO!D54</f>
        <v>0</v>
      </c>
      <c r="C54" s="114" t="str">
        <f t="shared" ca="1" si="1"/>
        <v>F</v>
      </c>
      <c r="D54" s="117" t="str">
        <f ca="1">ORÇAMENTO!O54</f>
        <v>1.6.3.</v>
      </c>
      <c r="E54" s="163" t="str">
        <f t="shared" ca="1" si="2"/>
        <v>IMPERMEABILIZAÇÃO DE SUPERFÍCIE COM EMULSÃO ASFÁLTICA, 2 DEMÃOS. AF_09/2023</v>
      </c>
      <c r="F54" s="164" t="str">
        <f t="array" aca="1" ref="F54" ca="1">IF(RegimeExecucao="Global","",ORÇAMENTO.Unidade)</f>
        <v>M2</v>
      </c>
      <c r="G54" s="122">
        <f t="array" aca="1" ref="G54" ca="1">IF(RegimeExecucao="Global","",ORÇAMENTO!T54)</f>
        <v>679</v>
      </c>
      <c r="H54" s="122">
        <f t="array" aca="1" ref="H54" ca="1">IF(RegimeExecucao="Global","",ORÇAMENTO!W54)</f>
        <v>46.33</v>
      </c>
      <c r="I54" s="125">
        <f ca="1">ORÇAMENTO!X54</f>
        <v>31458.080000000002</v>
      </c>
      <c r="J54" s="333">
        <f t="array" aca="1" ref="J54" ca="1">IF($A54="S",IF(CAIXA.Modo,BM.AFAnterior,BM.MEDAnterior),IF(AND(RegimeExecucao="Global",$I54&gt;0,COUNTIF($AB$13:$AM$13,BM.medicao-1)&gt;0),M54/$I54*100,0))</f>
        <v>0</v>
      </c>
      <c r="K54" s="122">
        <f t="shared" ca="1" si="3"/>
        <v>0</v>
      </c>
      <c r="L54" s="334">
        <f t="array" aca="1" ref="L54" ca="1">IF($A54="S",IF(CAIXA.Modo,BM.AFAcumulado,BM.MEDAcumulado),IF(AND(RegimeExecucao="Global",$I54&gt;0,COUNTIF($AB$13:$AM$13,BM.medicao)&gt;0),O54/$I54*100,0))</f>
        <v>0</v>
      </c>
      <c r="M54" s="335">
        <f t="array" aca="1" ref="M54" ca="1">IF($A54="S",VTOTALBM,IF($A54=0,0,ROUND(SomaAgrupBM,15-13*ORÇAMENTO!$AF$11)))</f>
        <v>0</v>
      </c>
      <c r="N54" s="336">
        <f t="shared" ca="1" si="4"/>
        <v>0</v>
      </c>
      <c r="O54" s="125">
        <f t="array" aca="1" ref="O54" ca="1">IF($A54="S",VTOTALBM,IF($A54=0,0,ROUND(SomaAgrupBM,15-13*ORÇAMENTO!$AF$11)))</f>
        <v>0</v>
      </c>
      <c r="Q54" s="337"/>
      <c r="R54" s="338"/>
      <c r="T54" s="117" t="str">
        <f t="shared" ca="1" si="5"/>
        <v/>
      </c>
      <c r="U54" s="163" t="str">
        <f t="shared" ca="1" si="6"/>
        <v/>
      </c>
      <c r="V54" s="164" t="str">
        <f t="array" aca="1" ref="V54" ca="1">IF(AND($W54&gt;0,RegimeExecucao="Unitário"),$F54,"")</f>
        <v/>
      </c>
      <c r="W54" s="453">
        <f t="array" aca="1" ref="W54" ca="1">IF($Y54&gt;0,CHOOSE(MATCH(RegimeExecucao,{"Unitário","Global"},0),IF($A54="S",$Y54/$X54,""),($Y54/$X54)*100),0)</f>
        <v>0</v>
      </c>
      <c r="X54" s="339" t="str">
        <f t="array" aca="1" ref="X54" ca="1">IF($Y54&gt;0,CHOOSE(MATCH(RegimeExecucao,{"Unitário","Global"},0),IF($A54="S",ROUND($H54,ORÇAMENTO!$AF$10),""),ROUND($I54,ORÇAMENTO!$AF$11)),"")</f>
        <v/>
      </c>
      <c r="Y54" s="339">
        <f t="shared" ca="1" si="7"/>
        <v>0</v>
      </c>
      <c r="Z54" s="472"/>
      <c r="AB54" s="337"/>
      <c r="AC54" s="437"/>
      <c r="AD54" s="437"/>
      <c r="AE54" s="437"/>
      <c r="AF54" s="437"/>
      <c r="AG54" s="437"/>
      <c r="AH54" s="437"/>
      <c r="AI54" s="437"/>
      <c r="AJ54" s="437"/>
      <c r="AK54" s="437"/>
      <c r="AL54" s="437"/>
      <c r="AM54" s="338"/>
      <c r="AO54" s="696">
        <f t="array" aca="1" ref="AO54" ca="1">IF($A54="S",IF(BM!$I54=0,0,CHOOSE(MATCH(RegimeExecucao,{"Global","Unitário"},0),ROUND(ROUND(BM.MEDAcumulado,15-13*BM!$A$9)/100*BM!$I54,15-13*ORÇAMENTO!$AF$11),ROUND(ROUND(BM.MEDAcumulado,15-13*BM!$A$9)*ROUND(BM!$H54,15-13*ORÇAMENTO!$AF$10),15-13*ORÇAMENTO!$AF$11))),IF($A54=0,0,ROUND(SomaAgrupBM,15-13*ORÇAMENTO!$AF$11)))</f>
        <v>0</v>
      </c>
    </row>
    <row r="55" spans="1:41" s="696" customFormat="1" x14ac:dyDescent="0.2">
      <c r="A55" s="696">
        <f ca="1">ORÇAMENTO!C55</f>
        <v>2</v>
      </c>
      <c r="B55" s="696">
        <f ca="1">ORÇAMENTO!D55</f>
        <v>11</v>
      </c>
      <c r="C55" s="114" t="str">
        <f t="shared" ca="1" si="1"/>
        <v>F</v>
      </c>
      <c r="D55" s="117" t="str">
        <f ca="1">ORÇAMENTO!O55</f>
        <v>1.7.</v>
      </c>
      <c r="E55" s="163" t="str">
        <f t="shared" si="2"/>
        <v>PILARES, VIGAS E LAJES</v>
      </c>
      <c r="F55" s="164" t="str">
        <f t="array" aca="1" ref="F55" ca="1">IF(RegimeExecucao="Global","",ORÇAMENTO.Unidade)</f>
        <v>-</v>
      </c>
      <c r="G55" s="122">
        <f t="array" aca="1" ref="G55" ca="1">IF(RegimeExecucao="Global","",ORÇAMENTO!T55)</f>
        <v>0</v>
      </c>
      <c r="H55" s="122">
        <f t="array" aca="1" ref="H55" ca="1">IF(RegimeExecucao="Global","",ORÇAMENTO!W55)</f>
        <v>0</v>
      </c>
      <c r="I55" s="125">
        <f ca="1">ORÇAMENTO!X55</f>
        <v>221034.12</v>
      </c>
      <c r="J55" s="333">
        <f t="array" aca="1" ref="J55" ca="1">IF($A55="S",IF(CAIXA.Modo,BM.AFAnterior,BM.MEDAnterior),IF(AND(RegimeExecucao="Global",$I55&gt;0,COUNTIF($AB$13:$AM$13,BM.medicao-1)&gt;0),M55/$I55*100,0))</f>
        <v>0</v>
      </c>
      <c r="K55" s="122">
        <f t="shared" ca="1" si="3"/>
        <v>0</v>
      </c>
      <c r="L55" s="334">
        <f t="array" aca="1" ref="L55" ca="1">IF($A55="S",IF(CAIXA.Modo,BM.AFAcumulado,BM.MEDAcumulado),IF(AND(RegimeExecucao="Global",$I55&gt;0,COUNTIF($AB$13:$AM$13,BM.medicao)&gt;0),O55/$I55*100,0))</f>
        <v>0</v>
      </c>
      <c r="M55" s="335">
        <f t="array" aca="1" ref="M55" ca="1">IF($A55="S",VTOTALBM,IF($A55=0,0,ROUND(SomaAgrupBM,15-13*ORÇAMENTO!$AF$11)))</f>
        <v>0</v>
      </c>
      <c r="N55" s="336">
        <f t="shared" ca="1" si="4"/>
        <v>0</v>
      </c>
      <c r="O55" s="125">
        <f t="array" aca="1" ref="O55" ca="1">IF($A55="S",VTOTALBM,IF($A55=0,0,ROUND(SomaAgrupBM,15-13*ORÇAMENTO!$AF$11)))</f>
        <v>0</v>
      </c>
      <c r="Q55" s="337"/>
      <c r="R55" s="338"/>
      <c r="T55" s="117" t="str">
        <f t="shared" ca="1" si="5"/>
        <v/>
      </c>
      <c r="U55" s="163" t="str">
        <f t="shared" ca="1" si="6"/>
        <v/>
      </c>
      <c r="V55" s="164" t="str">
        <f t="array" aca="1" ref="V55" ca="1">IF(AND($W55&gt;0,RegimeExecucao="Unitário"),$F55,"")</f>
        <v/>
      </c>
      <c r="W55" s="453">
        <f t="array" aca="1" ref="W55" ca="1">IF($Y55&gt;0,CHOOSE(MATCH(RegimeExecucao,{"Unitário","Global"},0),IF($A55="S",$Y55/$X55,""),($Y55/$X55)*100),0)</f>
        <v>0</v>
      </c>
      <c r="X55" s="339" t="str">
        <f t="array" aca="1" ref="X55" ca="1">IF($Y55&gt;0,CHOOSE(MATCH(RegimeExecucao,{"Unitário","Global"},0),IF($A55="S",ROUND($H55,ORÇAMENTO!$AF$10),""),ROUND($I55,ORÇAMENTO!$AF$11)),"")</f>
        <v/>
      </c>
      <c r="Y55" s="339">
        <f t="shared" ca="1" si="7"/>
        <v>0</v>
      </c>
      <c r="Z55" s="472"/>
      <c r="AB55" s="337"/>
      <c r="AC55" s="437"/>
      <c r="AD55" s="437"/>
      <c r="AE55" s="437"/>
      <c r="AF55" s="437"/>
      <c r="AG55" s="437"/>
      <c r="AH55" s="437"/>
      <c r="AI55" s="437"/>
      <c r="AJ55" s="437"/>
      <c r="AK55" s="437"/>
      <c r="AL55" s="437"/>
      <c r="AM55" s="338"/>
      <c r="AO55" s="696">
        <f t="array" aca="1" ref="AO55" ca="1">IF($A55="S",IF(BM!$I55=0,0,CHOOSE(MATCH(RegimeExecucao,{"Global","Unitário"},0),ROUND(ROUND(BM.MEDAcumulado,15-13*BM!$A$9)/100*BM!$I55,15-13*ORÇAMENTO!$AF$11),ROUND(ROUND(BM.MEDAcumulado,15-13*BM!$A$9)*ROUND(BM!$H55,15-13*ORÇAMENTO!$AF$10),15-13*ORÇAMENTO!$AF$11))),IF($A55=0,0,ROUND(SomaAgrupBM,15-13*ORÇAMENTO!$AF$11)))</f>
        <v>0</v>
      </c>
    </row>
    <row r="56" spans="1:41" s="696" customFormat="1" ht="51" x14ac:dyDescent="0.2">
      <c r="A56" s="696" t="str">
        <f ca="1">ORÇAMENTO!C56</f>
        <v>S</v>
      </c>
      <c r="B56" s="696">
        <f ca="1">ORÇAMENTO!D56</f>
        <v>0</v>
      </c>
      <c r="C56" s="114" t="str">
        <f t="shared" ca="1" si="1"/>
        <v>F</v>
      </c>
      <c r="D56" s="117" t="str">
        <f ca="1">ORÇAMENTO!O56</f>
        <v>1.7.1.</v>
      </c>
      <c r="E56" s="163" t="str">
        <f t="shared" ca="1" si="2"/>
        <v>MONTAGEM E DESMONTAGEM DE FÔRMA DE PILARES RETANGULARES E ESTRUTURAS SIMILARES, PÉ-DIREITO SIMPLES, EM CHAPA DE MADEIRA COMPENSADA RESINADA, 8 UTILIZAÇÕES. AF_09/2020</v>
      </c>
      <c r="F56" s="164" t="str">
        <f t="array" aca="1" ref="F56" ca="1">IF(RegimeExecucao="Global","",ORÇAMENTO.Unidade)</f>
        <v>M2</v>
      </c>
      <c r="G56" s="122">
        <f t="array" aca="1" ref="G56" ca="1">IF(RegimeExecucao="Global","",ORÇAMENTO!T56)</f>
        <v>287.8</v>
      </c>
      <c r="H56" s="122">
        <f t="array" aca="1" ref="H56" ca="1">IF(RegimeExecucao="Global","",ORÇAMENTO!W56)</f>
        <v>73.069999999999993</v>
      </c>
      <c r="I56" s="125">
        <f ca="1">ORÇAMENTO!X56</f>
        <v>21029.56</v>
      </c>
      <c r="J56" s="333">
        <f t="array" aca="1" ref="J56" ca="1">IF($A56="S",IF(CAIXA.Modo,BM.AFAnterior,BM.MEDAnterior),IF(AND(RegimeExecucao="Global",$I56&gt;0,COUNTIF($AB$13:$AM$13,BM.medicao-1)&gt;0),M56/$I56*100,0))</f>
        <v>0</v>
      </c>
      <c r="K56" s="122">
        <f t="shared" ca="1" si="3"/>
        <v>0</v>
      </c>
      <c r="L56" s="334">
        <f t="array" aca="1" ref="L56" ca="1">IF($A56="S",IF(CAIXA.Modo,BM.AFAcumulado,BM.MEDAcumulado),IF(AND(RegimeExecucao="Global",$I56&gt;0,COUNTIF($AB$13:$AM$13,BM.medicao)&gt;0),O56/$I56*100,0))</f>
        <v>0</v>
      </c>
      <c r="M56" s="335">
        <f t="array" aca="1" ref="M56" ca="1">IF($A56="S",VTOTALBM,IF($A56=0,0,ROUND(SomaAgrupBM,15-13*ORÇAMENTO!$AF$11)))</f>
        <v>0</v>
      </c>
      <c r="N56" s="336">
        <f t="shared" ca="1" si="4"/>
        <v>0</v>
      </c>
      <c r="O56" s="125">
        <f t="array" aca="1" ref="O56" ca="1">IF($A56="S",VTOTALBM,IF($A56=0,0,ROUND(SomaAgrupBM,15-13*ORÇAMENTO!$AF$11)))</f>
        <v>0</v>
      </c>
      <c r="Q56" s="337"/>
      <c r="R56" s="338"/>
      <c r="T56" s="117" t="str">
        <f t="shared" ca="1" si="5"/>
        <v/>
      </c>
      <c r="U56" s="163" t="str">
        <f t="shared" ca="1" si="6"/>
        <v/>
      </c>
      <c r="V56" s="164" t="str">
        <f t="array" aca="1" ref="V56" ca="1">IF(AND($W56&gt;0,RegimeExecucao="Unitário"),$F56,"")</f>
        <v/>
      </c>
      <c r="W56" s="453">
        <f t="array" aca="1" ref="W56" ca="1">IF($Y56&gt;0,CHOOSE(MATCH(RegimeExecucao,{"Unitário","Global"},0),IF($A56="S",$Y56/$X56,""),($Y56/$X56)*100),0)</f>
        <v>0</v>
      </c>
      <c r="X56" s="339" t="str">
        <f t="array" aca="1" ref="X56" ca="1">IF($Y56&gt;0,CHOOSE(MATCH(RegimeExecucao,{"Unitário","Global"},0),IF($A56="S",ROUND($H56,ORÇAMENTO!$AF$10),""),ROUND($I56,ORÇAMENTO!$AF$11)),"")</f>
        <v/>
      </c>
      <c r="Y56" s="339">
        <f t="shared" ca="1" si="7"/>
        <v>0</v>
      </c>
      <c r="Z56" s="472"/>
      <c r="AB56" s="337"/>
      <c r="AC56" s="437"/>
      <c r="AD56" s="437"/>
      <c r="AE56" s="437"/>
      <c r="AF56" s="437"/>
      <c r="AG56" s="437"/>
      <c r="AH56" s="437"/>
      <c r="AI56" s="437"/>
      <c r="AJ56" s="437"/>
      <c r="AK56" s="437"/>
      <c r="AL56" s="437"/>
      <c r="AM56" s="338"/>
      <c r="AO56" s="696">
        <f t="array" aca="1" ref="AO56" ca="1">IF($A56="S",IF(BM!$I56=0,0,CHOOSE(MATCH(RegimeExecucao,{"Global","Unitário"},0),ROUND(ROUND(BM.MEDAcumulado,15-13*BM!$A$9)/100*BM!$I56,15-13*ORÇAMENTO!$AF$11),ROUND(ROUND(BM.MEDAcumulado,15-13*BM!$A$9)*ROUND(BM!$H56,15-13*ORÇAMENTO!$AF$10),15-13*ORÇAMENTO!$AF$11))),IF($A56=0,0,ROUND(SomaAgrupBM,15-13*ORÇAMENTO!$AF$11)))</f>
        <v>0</v>
      </c>
    </row>
    <row r="57" spans="1:41" s="696" customFormat="1" ht="38.25" x14ac:dyDescent="0.2">
      <c r="A57" s="696" t="str">
        <f ca="1">ORÇAMENTO!C57</f>
        <v>S</v>
      </c>
      <c r="B57" s="696">
        <f ca="1">ORÇAMENTO!D57</f>
        <v>0</v>
      </c>
      <c r="C57" s="114" t="str">
        <f t="shared" ca="1" si="1"/>
        <v>F</v>
      </c>
      <c r="D57" s="117" t="str">
        <f ca="1">ORÇAMENTO!O57</f>
        <v>1.7.2.</v>
      </c>
      <c r="E57" s="163" t="str">
        <f t="shared" ca="1" si="2"/>
        <v xml:space="preserve">MONTAGEM E DESMONTAGEM DE FÔRMA DE VIGA, SEM ESCORAMENTO, PÉ-DIREITO SIMPLES, EM CHAPA DE MADEIRA RESINADA, 8 UTILIZAÇÕES. </v>
      </c>
      <c r="F57" s="164" t="str">
        <f t="array" aca="1" ref="F57" ca="1">IF(RegimeExecucao="Global","",ORÇAMENTO.Unidade)</f>
        <v>M2</v>
      </c>
      <c r="G57" s="122">
        <f t="array" aca="1" ref="G57" ca="1">IF(RegimeExecucao="Global","",ORÇAMENTO!T57)</f>
        <v>410.8</v>
      </c>
      <c r="H57" s="122">
        <f t="array" aca="1" ref="H57" ca="1">IF(RegimeExecucao="Global","",ORÇAMENTO!W57)</f>
        <v>74.739999999999995</v>
      </c>
      <c r="I57" s="125">
        <f ca="1">ORÇAMENTO!X57</f>
        <v>30703.200000000001</v>
      </c>
      <c r="J57" s="333">
        <f t="array" aca="1" ref="J57" ca="1">IF($A57="S",IF(CAIXA.Modo,BM.AFAnterior,BM.MEDAnterior),IF(AND(RegimeExecucao="Global",$I57&gt;0,COUNTIF($AB$13:$AM$13,BM.medicao-1)&gt;0),M57/$I57*100,0))</f>
        <v>0</v>
      </c>
      <c r="K57" s="122">
        <f t="shared" ca="1" si="3"/>
        <v>0</v>
      </c>
      <c r="L57" s="334">
        <f t="array" aca="1" ref="L57" ca="1">IF($A57="S",IF(CAIXA.Modo,BM.AFAcumulado,BM.MEDAcumulado),IF(AND(RegimeExecucao="Global",$I57&gt;0,COUNTIF($AB$13:$AM$13,BM.medicao)&gt;0),O57/$I57*100,0))</f>
        <v>0</v>
      </c>
      <c r="M57" s="335">
        <f t="array" aca="1" ref="M57" ca="1">IF($A57="S",VTOTALBM,IF($A57=0,0,ROUND(SomaAgrupBM,15-13*ORÇAMENTO!$AF$11)))</f>
        <v>0</v>
      </c>
      <c r="N57" s="336">
        <f t="shared" ca="1" si="4"/>
        <v>0</v>
      </c>
      <c r="O57" s="125">
        <f t="array" aca="1" ref="O57" ca="1">IF($A57="S",VTOTALBM,IF($A57=0,0,ROUND(SomaAgrupBM,15-13*ORÇAMENTO!$AF$11)))</f>
        <v>0</v>
      </c>
      <c r="Q57" s="337"/>
      <c r="R57" s="338"/>
      <c r="T57" s="117" t="str">
        <f t="shared" ca="1" si="5"/>
        <v/>
      </c>
      <c r="U57" s="163" t="str">
        <f t="shared" ca="1" si="6"/>
        <v/>
      </c>
      <c r="V57" s="164" t="str">
        <f t="array" aca="1" ref="V57" ca="1">IF(AND($W57&gt;0,RegimeExecucao="Unitário"),$F57,"")</f>
        <v/>
      </c>
      <c r="W57" s="453">
        <f t="array" aca="1" ref="W57" ca="1">IF($Y57&gt;0,CHOOSE(MATCH(RegimeExecucao,{"Unitário","Global"},0),IF($A57="S",$Y57/$X57,""),($Y57/$X57)*100),0)</f>
        <v>0</v>
      </c>
      <c r="X57" s="339" t="str">
        <f t="array" aca="1" ref="X57" ca="1">IF($Y57&gt;0,CHOOSE(MATCH(RegimeExecucao,{"Unitário","Global"},0),IF($A57="S",ROUND($H57,ORÇAMENTO!$AF$10),""),ROUND($I57,ORÇAMENTO!$AF$11)),"")</f>
        <v/>
      </c>
      <c r="Y57" s="339">
        <f t="shared" ca="1" si="7"/>
        <v>0</v>
      </c>
      <c r="Z57" s="472"/>
      <c r="AB57" s="337"/>
      <c r="AC57" s="437"/>
      <c r="AD57" s="437"/>
      <c r="AE57" s="437"/>
      <c r="AF57" s="437"/>
      <c r="AG57" s="437"/>
      <c r="AH57" s="437"/>
      <c r="AI57" s="437"/>
      <c r="AJ57" s="437"/>
      <c r="AK57" s="437"/>
      <c r="AL57" s="437"/>
      <c r="AM57" s="338"/>
      <c r="AO57" s="696">
        <f t="array" aca="1" ref="AO57" ca="1">IF($A57="S",IF(BM!$I57=0,0,CHOOSE(MATCH(RegimeExecucao,{"Global","Unitário"},0),ROUND(ROUND(BM.MEDAcumulado,15-13*BM!$A$9)/100*BM!$I57,15-13*ORÇAMENTO!$AF$11),ROUND(ROUND(BM.MEDAcumulado,15-13*BM!$A$9)*ROUND(BM!$H57,15-13*ORÇAMENTO!$AF$10),15-13*ORÇAMENTO!$AF$11))),IF($A57=0,0,ROUND(SomaAgrupBM,15-13*ORÇAMENTO!$AF$11)))</f>
        <v>0</v>
      </c>
    </row>
    <row r="58" spans="1:41" s="696" customFormat="1" ht="38.25" x14ac:dyDescent="0.2">
      <c r="A58" s="696" t="str">
        <f ca="1">ORÇAMENTO!C58</f>
        <v>S</v>
      </c>
      <c r="B58" s="696">
        <f ca="1">ORÇAMENTO!D58</f>
        <v>0</v>
      </c>
      <c r="C58" s="114" t="str">
        <f t="shared" ca="1" si="1"/>
        <v>F</v>
      </c>
      <c r="D58" s="117" t="str">
        <f ca="1">ORÇAMENTO!O58</f>
        <v>1.7.3.</v>
      </c>
      <c r="E58" s="163" t="str">
        <f t="shared" ca="1" si="2"/>
        <v>MONTAGEM E DESMONTAGEM DE FÔRMA DE VIGA, ESCORAMENTO COM GARFO DE MADEIRA, PÉ-DIREITO SIMPLES, EM CHAPA DE MADEIRA RESINADA, 8 UTILIZAÇÕES. AF_09/2020</v>
      </c>
      <c r="F58" s="164" t="str">
        <f t="array" aca="1" ref="F58" ca="1">IF(RegimeExecucao="Global","",ORÇAMENTO.Unidade)</f>
        <v>M2</v>
      </c>
      <c r="G58" s="122">
        <f t="array" aca="1" ref="G58" ca="1">IF(RegimeExecucao="Global","",ORÇAMENTO!T58)</f>
        <v>82.6</v>
      </c>
      <c r="H58" s="122">
        <f t="array" aca="1" ref="H58" ca="1">IF(RegimeExecucao="Global","",ORÇAMENTO!W58)</f>
        <v>143.83000000000001</v>
      </c>
      <c r="I58" s="125">
        <f ca="1">ORÇAMENTO!X58</f>
        <v>11880.36</v>
      </c>
      <c r="J58" s="333">
        <f t="array" aca="1" ref="J58" ca="1">IF($A58="S",IF(CAIXA.Modo,BM.AFAnterior,BM.MEDAnterior),IF(AND(RegimeExecucao="Global",$I58&gt;0,COUNTIF($AB$13:$AM$13,BM.medicao-1)&gt;0),M58/$I58*100,0))</f>
        <v>0</v>
      </c>
      <c r="K58" s="122">
        <f t="shared" ca="1" si="3"/>
        <v>0</v>
      </c>
      <c r="L58" s="334">
        <f t="array" aca="1" ref="L58" ca="1">IF($A58="S",IF(CAIXA.Modo,BM.AFAcumulado,BM.MEDAcumulado),IF(AND(RegimeExecucao="Global",$I58&gt;0,COUNTIF($AB$13:$AM$13,BM.medicao)&gt;0),O58/$I58*100,0))</f>
        <v>0</v>
      </c>
      <c r="M58" s="335">
        <f t="array" aca="1" ref="M58" ca="1">IF($A58="S",VTOTALBM,IF($A58=0,0,ROUND(SomaAgrupBM,15-13*ORÇAMENTO!$AF$11)))</f>
        <v>0</v>
      </c>
      <c r="N58" s="336">
        <f t="shared" ca="1" si="4"/>
        <v>0</v>
      </c>
      <c r="O58" s="125">
        <f t="array" aca="1" ref="O58" ca="1">IF($A58="S",VTOTALBM,IF($A58=0,0,ROUND(SomaAgrupBM,15-13*ORÇAMENTO!$AF$11)))</f>
        <v>0</v>
      </c>
      <c r="Q58" s="337"/>
      <c r="R58" s="338"/>
      <c r="T58" s="117" t="str">
        <f t="shared" ca="1" si="5"/>
        <v/>
      </c>
      <c r="U58" s="163" t="str">
        <f t="shared" ca="1" si="6"/>
        <v/>
      </c>
      <c r="V58" s="164" t="str">
        <f t="array" aca="1" ref="V58" ca="1">IF(AND($W58&gt;0,RegimeExecucao="Unitário"),$F58,"")</f>
        <v/>
      </c>
      <c r="W58" s="453">
        <f t="array" aca="1" ref="W58" ca="1">IF($Y58&gt;0,CHOOSE(MATCH(RegimeExecucao,{"Unitário","Global"},0),IF($A58="S",$Y58/$X58,""),($Y58/$X58)*100),0)</f>
        <v>0</v>
      </c>
      <c r="X58" s="339" t="str">
        <f t="array" aca="1" ref="X58" ca="1">IF($Y58&gt;0,CHOOSE(MATCH(RegimeExecucao,{"Unitário","Global"},0),IF($A58="S",ROUND($H58,ORÇAMENTO!$AF$10),""),ROUND($I58,ORÇAMENTO!$AF$11)),"")</f>
        <v/>
      </c>
      <c r="Y58" s="339">
        <f t="shared" ca="1" si="7"/>
        <v>0</v>
      </c>
      <c r="Z58" s="472"/>
      <c r="AB58" s="337"/>
      <c r="AC58" s="437"/>
      <c r="AD58" s="437"/>
      <c r="AE58" s="437"/>
      <c r="AF58" s="437"/>
      <c r="AG58" s="437"/>
      <c r="AH58" s="437"/>
      <c r="AI58" s="437"/>
      <c r="AJ58" s="437"/>
      <c r="AK58" s="437"/>
      <c r="AL58" s="437"/>
      <c r="AM58" s="338"/>
      <c r="AO58" s="696">
        <f t="array" aca="1" ref="AO58" ca="1">IF($A58="S",IF(BM!$I58=0,0,CHOOSE(MATCH(RegimeExecucao,{"Global","Unitário"},0),ROUND(ROUND(BM.MEDAcumulado,15-13*BM!$A$9)/100*BM!$I58,15-13*ORÇAMENTO!$AF$11),ROUND(ROUND(BM.MEDAcumulado,15-13*BM!$A$9)*ROUND(BM!$H58,15-13*ORÇAMENTO!$AF$10),15-13*ORÇAMENTO!$AF$11))),IF($A58=0,0,ROUND(SomaAgrupBM,15-13*ORÇAMENTO!$AF$11)))</f>
        <v>0</v>
      </c>
    </row>
    <row r="59" spans="1:41" s="696" customFormat="1" ht="38.25" x14ac:dyDescent="0.2">
      <c r="A59" s="696" t="str">
        <f ca="1">ORÇAMENTO!C59</f>
        <v>S</v>
      </c>
      <c r="B59" s="696">
        <f ca="1">ORÇAMENTO!D59</f>
        <v>0</v>
      </c>
      <c r="C59" s="114" t="str">
        <f t="shared" ca="1" si="1"/>
        <v>F</v>
      </c>
      <c r="D59" s="117" t="str">
        <f ca="1">ORÇAMENTO!O59</f>
        <v>1.7.4.</v>
      </c>
      <c r="E59" s="163" t="str">
        <f t="shared" ca="1" si="2"/>
        <v>ARMAÇÃO DE PILAR OU VIGA DE ESTRUTURA CONVENCIONAL DE CONCRETO ARMADO UTILIZANDO AÇO CA-60 DE 5,0 MM - MONTAGEM. AF_06/2022</v>
      </c>
      <c r="F59" s="164" t="str">
        <f t="array" aca="1" ref="F59" ca="1">IF(RegimeExecucao="Global","",ORÇAMENTO.Unidade)</f>
        <v>KG</v>
      </c>
      <c r="G59" s="122">
        <f t="array" aca="1" ref="G59" ca="1">IF(RegimeExecucao="Global","",ORÇAMENTO!T59)</f>
        <v>1408</v>
      </c>
      <c r="H59" s="122">
        <f t="array" aca="1" ref="H59" ca="1">IF(RegimeExecucao="Global","",ORÇAMENTO!W59)</f>
        <v>16.11</v>
      </c>
      <c r="I59" s="125">
        <f ca="1">ORÇAMENTO!X59</f>
        <v>22682.880000000001</v>
      </c>
      <c r="J59" s="333">
        <f t="array" aca="1" ref="J59" ca="1">IF($A59="S",IF(CAIXA.Modo,BM.AFAnterior,BM.MEDAnterior),IF(AND(RegimeExecucao="Global",$I59&gt;0,COUNTIF($AB$13:$AM$13,BM.medicao-1)&gt;0),M59/$I59*100,0))</f>
        <v>0</v>
      </c>
      <c r="K59" s="122">
        <f t="shared" ca="1" si="3"/>
        <v>0</v>
      </c>
      <c r="L59" s="334">
        <f t="array" aca="1" ref="L59" ca="1">IF($A59="S",IF(CAIXA.Modo,BM.AFAcumulado,BM.MEDAcumulado),IF(AND(RegimeExecucao="Global",$I59&gt;0,COUNTIF($AB$13:$AM$13,BM.medicao)&gt;0),O59/$I59*100,0))</f>
        <v>0</v>
      </c>
      <c r="M59" s="335">
        <f t="array" aca="1" ref="M59" ca="1">IF($A59="S",VTOTALBM,IF($A59=0,0,ROUND(SomaAgrupBM,15-13*ORÇAMENTO!$AF$11)))</f>
        <v>0</v>
      </c>
      <c r="N59" s="336">
        <f t="shared" ca="1" si="4"/>
        <v>0</v>
      </c>
      <c r="O59" s="125">
        <f t="array" aca="1" ref="O59" ca="1">IF($A59="S",VTOTALBM,IF($A59=0,0,ROUND(SomaAgrupBM,15-13*ORÇAMENTO!$AF$11)))</f>
        <v>0</v>
      </c>
      <c r="Q59" s="337"/>
      <c r="R59" s="338"/>
      <c r="T59" s="117" t="str">
        <f t="shared" ca="1" si="5"/>
        <v/>
      </c>
      <c r="U59" s="163" t="str">
        <f t="shared" ca="1" si="6"/>
        <v/>
      </c>
      <c r="V59" s="164" t="str">
        <f t="array" aca="1" ref="V59" ca="1">IF(AND($W59&gt;0,RegimeExecucao="Unitário"),$F59,"")</f>
        <v/>
      </c>
      <c r="W59" s="453">
        <f t="array" aca="1" ref="W59" ca="1">IF($Y59&gt;0,CHOOSE(MATCH(RegimeExecucao,{"Unitário","Global"},0),IF($A59="S",$Y59/$X59,""),($Y59/$X59)*100),0)</f>
        <v>0</v>
      </c>
      <c r="X59" s="339" t="str">
        <f t="array" aca="1" ref="X59" ca="1">IF($Y59&gt;0,CHOOSE(MATCH(RegimeExecucao,{"Unitário","Global"},0),IF($A59="S",ROUND($H59,ORÇAMENTO!$AF$10),""),ROUND($I59,ORÇAMENTO!$AF$11)),"")</f>
        <v/>
      </c>
      <c r="Y59" s="339">
        <f t="shared" ca="1" si="7"/>
        <v>0</v>
      </c>
      <c r="Z59" s="472"/>
      <c r="AB59" s="337"/>
      <c r="AC59" s="437"/>
      <c r="AD59" s="437"/>
      <c r="AE59" s="437"/>
      <c r="AF59" s="437"/>
      <c r="AG59" s="437"/>
      <c r="AH59" s="437"/>
      <c r="AI59" s="437"/>
      <c r="AJ59" s="437"/>
      <c r="AK59" s="437"/>
      <c r="AL59" s="437"/>
      <c r="AM59" s="338"/>
      <c r="AO59" s="696">
        <f t="array" aca="1" ref="AO59" ca="1">IF($A59="S",IF(BM!$I59=0,0,CHOOSE(MATCH(RegimeExecucao,{"Global","Unitário"},0),ROUND(ROUND(BM.MEDAcumulado,15-13*BM!$A$9)/100*BM!$I59,15-13*ORÇAMENTO!$AF$11),ROUND(ROUND(BM.MEDAcumulado,15-13*BM!$A$9)*ROUND(BM!$H59,15-13*ORÇAMENTO!$AF$10),15-13*ORÇAMENTO!$AF$11))),IF($A59=0,0,ROUND(SomaAgrupBM,15-13*ORÇAMENTO!$AF$11)))</f>
        <v>0</v>
      </c>
    </row>
    <row r="60" spans="1:41" s="696" customFormat="1" ht="38.25" x14ac:dyDescent="0.2">
      <c r="A60" s="696" t="str">
        <f ca="1">ORÇAMENTO!C60</f>
        <v>S</v>
      </c>
      <c r="B60" s="696">
        <f ca="1">ORÇAMENTO!D60</f>
        <v>0</v>
      </c>
      <c r="C60" s="114" t="str">
        <f t="shared" ca="1" si="1"/>
        <v>F</v>
      </c>
      <c r="D60" s="117" t="str">
        <f ca="1">ORÇAMENTO!O60</f>
        <v>1.7.5.</v>
      </c>
      <c r="E60" s="163" t="str">
        <f t="shared" ca="1" si="2"/>
        <v>ARMAÇÃO DE PILAR OU VIGA DE ESTRUTURA CONVENCIONAL DE CONCRETO ARMADO UTILIZANDO AÇO CA-50 DE 6,3 MM - MONTAGEM. AF_06/2022</v>
      </c>
      <c r="F60" s="164" t="str">
        <f t="array" aca="1" ref="F60" ca="1">IF(RegimeExecucao="Global","",ORÇAMENTO.Unidade)</f>
        <v>KG</v>
      </c>
      <c r="G60" s="122">
        <f t="array" aca="1" ref="G60" ca="1">IF(RegimeExecucao="Global","",ORÇAMENTO!T60)</f>
        <v>300</v>
      </c>
      <c r="H60" s="122">
        <f t="array" aca="1" ref="H60" ca="1">IF(RegimeExecucao="Global","",ORÇAMENTO!W60)</f>
        <v>14.9</v>
      </c>
      <c r="I60" s="125">
        <f ca="1">ORÇAMENTO!X60</f>
        <v>4470</v>
      </c>
      <c r="J60" s="333">
        <f t="array" aca="1" ref="J60" ca="1">IF($A60="S",IF(CAIXA.Modo,BM.AFAnterior,BM.MEDAnterior),IF(AND(RegimeExecucao="Global",$I60&gt;0,COUNTIF($AB$13:$AM$13,BM.medicao-1)&gt;0),M60/$I60*100,0))</f>
        <v>0</v>
      </c>
      <c r="K60" s="122">
        <f t="shared" ca="1" si="3"/>
        <v>0</v>
      </c>
      <c r="L60" s="334">
        <f t="array" aca="1" ref="L60" ca="1">IF($A60="S",IF(CAIXA.Modo,BM.AFAcumulado,BM.MEDAcumulado),IF(AND(RegimeExecucao="Global",$I60&gt;0,COUNTIF($AB$13:$AM$13,BM.medicao)&gt;0),O60/$I60*100,0))</f>
        <v>0</v>
      </c>
      <c r="M60" s="335">
        <f t="array" aca="1" ref="M60" ca="1">IF($A60="S",VTOTALBM,IF($A60=0,0,ROUND(SomaAgrupBM,15-13*ORÇAMENTO!$AF$11)))</f>
        <v>0</v>
      </c>
      <c r="N60" s="336">
        <f t="shared" ca="1" si="4"/>
        <v>0</v>
      </c>
      <c r="O60" s="125">
        <f t="array" aca="1" ref="O60" ca="1">IF($A60="S",VTOTALBM,IF($A60=0,0,ROUND(SomaAgrupBM,15-13*ORÇAMENTO!$AF$11)))</f>
        <v>0</v>
      </c>
      <c r="Q60" s="337"/>
      <c r="R60" s="338"/>
      <c r="T60" s="117" t="str">
        <f t="shared" ca="1" si="5"/>
        <v/>
      </c>
      <c r="U60" s="163" t="str">
        <f t="shared" ca="1" si="6"/>
        <v/>
      </c>
      <c r="V60" s="164" t="str">
        <f t="array" aca="1" ref="V60" ca="1">IF(AND($W60&gt;0,RegimeExecucao="Unitário"),$F60,"")</f>
        <v/>
      </c>
      <c r="W60" s="453">
        <f t="array" aca="1" ref="W60" ca="1">IF($Y60&gt;0,CHOOSE(MATCH(RegimeExecucao,{"Unitário","Global"},0),IF($A60="S",$Y60/$X60,""),($Y60/$X60)*100),0)</f>
        <v>0</v>
      </c>
      <c r="X60" s="339" t="str">
        <f t="array" aca="1" ref="X60" ca="1">IF($Y60&gt;0,CHOOSE(MATCH(RegimeExecucao,{"Unitário","Global"},0),IF($A60="S",ROUND($H60,ORÇAMENTO!$AF$10),""),ROUND($I60,ORÇAMENTO!$AF$11)),"")</f>
        <v/>
      </c>
      <c r="Y60" s="339">
        <f t="shared" ca="1" si="7"/>
        <v>0</v>
      </c>
      <c r="Z60" s="472"/>
      <c r="AB60" s="337"/>
      <c r="AC60" s="437"/>
      <c r="AD60" s="437"/>
      <c r="AE60" s="437"/>
      <c r="AF60" s="437"/>
      <c r="AG60" s="437"/>
      <c r="AH60" s="437"/>
      <c r="AI60" s="437"/>
      <c r="AJ60" s="437"/>
      <c r="AK60" s="437"/>
      <c r="AL60" s="437"/>
      <c r="AM60" s="338"/>
      <c r="AO60" s="696">
        <f t="array" aca="1" ref="AO60" ca="1">IF($A60="S",IF(BM!$I60=0,0,CHOOSE(MATCH(RegimeExecucao,{"Global","Unitário"},0),ROUND(ROUND(BM.MEDAcumulado,15-13*BM!$A$9)/100*BM!$I60,15-13*ORÇAMENTO!$AF$11),ROUND(ROUND(BM.MEDAcumulado,15-13*BM!$A$9)*ROUND(BM!$H60,15-13*ORÇAMENTO!$AF$10),15-13*ORÇAMENTO!$AF$11))),IF($A60=0,0,ROUND(SomaAgrupBM,15-13*ORÇAMENTO!$AF$11)))</f>
        <v>0</v>
      </c>
    </row>
    <row r="61" spans="1:41" s="696" customFormat="1" ht="38.25" x14ac:dyDescent="0.2">
      <c r="A61" s="696" t="str">
        <f ca="1">ORÇAMENTO!C61</f>
        <v>S</v>
      </c>
      <c r="B61" s="696">
        <f ca="1">ORÇAMENTO!D61</f>
        <v>0</v>
      </c>
      <c r="C61" s="114" t="str">
        <f t="shared" ca="1" si="1"/>
        <v>F</v>
      </c>
      <c r="D61" s="117" t="str">
        <f ca="1">ORÇAMENTO!O61</f>
        <v>1.7.6.</v>
      </c>
      <c r="E61" s="163" t="str">
        <f t="shared" ca="1" si="2"/>
        <v>ARMAÇÃO DE PILAR OU VIGA DE ESTRUTURA CONVENCIONAL DE CONCRETO ARMADO UTILIZANDO AÇO CA-50 DE 8,0 MM - MONTAGEM. AF_06/2022</v>
      </c>
      <c r="F61" s="164" t="str">
        <f t="array" aca="1" ref="F61" ca="1">IF(RegimeExecucao="Global","",ORÇAMENTO.Unidade)</f>
        <v>KG</v>
      </c>
      <c r="G61" s="122">
        <f t="array" aca="1" ref="G61" ca="1">IF(RegimeExecucao="Global","",ORÇAMENTO!T61)</f>
        <v>1306</v>
      </c>
      <c r="H61" s="122">
        <f t="array" aca="1" ref="H61" ca="1">IF(RegimeExecucao="Global","",ORÇAMENTO!W61)</f>
        <v>13.78</v>
      </c>
      <c r="I61" s="125">
        <f ca="1">ORÇAMENTO!X61</f>
        <v>17996.68</v>
      </c>
      <c r="J61" s="333">
        <f t="array" aca="1" ref="J61" ca="1">IF($A61="S",IF(CAIXA.Modo,BM.AFAnterior,BM.MEDAnterior),IF(AND(RegimeExecucao="Global",$I61&gt;0,COUNTIF($AB$13:$AM$13,BM.medicao-1)&gt;0),M61/$I61*100,0))</f>
        <v>0</v>
      </c>
      <c r="K61" s="122">
        <f t="shared" ca="1" si="3"/>
        <v>0</v>
      </c>
      <c r="L61" s="334">
        <f t="array" aca="1" ref="L61" ca="1">IF($A61="S",IF(CAIXA.Modo,BM.AFAcumulado,BM.MEDAcumulado),IF(AND(RegimeExecucao="Global",$I61&gt;0,COUNTIF($AB$13:$AM$13,BM.medicao)&gt;0),O61/$I61*100,0))</f>
        <v>0</v>
      </c>
      <c r="M61" s="335">
        <f t="array" aca="1" ref="M61" ca="1">IF($A61="S",VTOTALBM,IF($A61=0,0,ROUND(SomaAgrupBM,15-13*ORÇAMENTO!$AF$11)))</f>
        <v>0</v>
      </c>
      <c r="N61" s="336">
        <f t="shared" ca="1" si="4"/>
        <v>0</v>
      </c>
      <c r="O61" s="125">
        <f t="array" aca="1" ref="O61" ca="1">IF($A61="S",VTOTALBM,IF($A61=0,0,ROUND(SomaAgrupBM,15-13*ORÇAMENTO!$AF$11)))</f>
        <v>0</v>
      </c>
      <c r="Q61" s="337"/>
      <c r="R61" s="338"/>
      <c r="T61" s="117" t="str">
        <f t="shared" ca="1" si="5"/>
        <v/>
      </c>
      <c r="U61" s="163" t="str">
        <f t="shared" ca="1" si="6"/>
        <v/>
      </c>
      <c r="V61" s="164" t="str">
        <f t="array" aca="1" ref="V61" ca="1">IF(AND($W61&gt;0,RegimeExecucao="Unitário"),$F61,"")</f>
        <v/>
      </c>
      <c r="W61" s="453">
        <f t="array" aca="1" ref="W61" ca="1">IF($Y61&gt;0,CHOOSE(MATCH(RegimeExecucao,{"Unitário","Global"},0),IF($A61="S",$Y61/$X61,""),($Y61/$X61)*100),0)</f>
        <v>0</v>
      </c>
      <c r="X61" s="339" t="str">
        <f t="array" aca="1" ref="X61" ca="1">IF($Y61&gt;0,CHOOSE(MATCH(RegimeExecucao,{"Unitário","Global"},0),IF($A61="S",ROUND($H61,ORÇAMENTO!$AF$10),""),ROUND($I61,ORÇAMENTO!$AF$11)),"")</f>
        <v/>
      </c>
      <c r="Y61" s="339">
        <f t="shared" ca="1" si="7"/>
        <v>0</v>
      </c>
      <c r="Z61" s="472"/>
      <c r="AB61" s="337"/>
      <c r="AC61" s="437"/>
      <c r="AD61" s="437"/>
      <c r="AE61" s="437"/>
      <c r="AF61" s="437"/>
      <c r="AG61" s="437"/>
      <c r="AH61" s="437"/>
      <c r="AI61" s="437"/>
      <c r="AJ61" s="437"/>
      <c r="AK61" s="437"/>
      <c r="AL61" s="437"/>
      <c r="AM61" s="338"/>
      <c r="AO61" s="696">
        <f t="array" aca="1" ref="AO61" ca="1">IF($A61="S",IF(BM!$I61=0,0,CHOOSE(MATCH(RegimeExecucao,{"Global","Unitário"},0),ROUND(ROUND(BM.MEDAcumulado,15-13*BM!$A$9)/100*BM!$I61,15-13*ORÇAMENTO!$AF$11),ROUND(ROUND(BM.MEDAcumulado,15-13*BM!$A$9)*ROUND(BM!$H61,15-13*ORÇAMENTO!$AF$10),15-13*ORÇAMENTO!$AF$11))),IF($A61=0,0,ROUND(SomaAgrupBM,15-13*ORÇAMENTO!$AF$11)))</f>
        <v>0</v>
      </c>
    </row>
    <row r="62" spans="1:41" s="696" customFormat="1" ht="38.25" x14ac:dyDescent="0.2">
      <c r="A62" s="696" t="str">
        <f ca="1">ORÇAMENTO!C62</f>
        <v>S</v>
      </c>
      <c r="B62" s="696">
        <f ca="1">ORÇAMENTO!D62</f>
        <v>0</v>
      </c>
      <c r="C62" s="114" t="str">
        <f t="shared" ca="1" si="1"/>
        <v>F</v>
      </c>
      <c r="D62" s="117" t="str">
        <f ca="1">ORÇAMENTO!O62</f>
        <v>1.7.7.</v>
      </c>
      <c r="E62" s="163" t="str">
        <f t="shared" ca="1" si="2"/>
        <v>ARMAÇÃO DE PILAR OU VIGA DE ESTRUTURA CONVENCIONAL DE CONCRETO ARMADO UTILIZANDO AÇO CA-50 DE 10,0 MM - MONTAGEM. AF_06/2022</v>
      </c>
      <c r="F62" s="164" t="str">
        <f t="array" aca="1" ref="F62" ca="1">IF(RegimeExecucao="Global","",ORÇAMENTO.Unidade)</f>
        <v>KG</v>
      </c>
      <c r="G62" s="122">
        <f t="array" aca="1" ref="G62" ca="1">IF(RegimeExecucao="Global","",ORÇAMENTO!T62)</f>
        <v>1712</v>
      </c>
      <c r="H62" s="122">
        <f t="array" aca="1" ref="H62" ca="1">IF(RegimeExecucao="Global","",ORÇAMENTO!W62)</f>
        <v>12.18</v>
      </c>
      <c r="I62" s="125">
        <f ca="1">ORÇAMENTO!X62</f>
        <v>20852.16</v>
      </c>
      <c r="J62" s="333">
        <f t="array" aca="1" ref="J62" ca="1">IF($A62="S",IF(CAIXA.Modo,BM.AFAnterior,BM.MEDAnterior),IF(AND(RegimeExecucao="Global",$I62&gt;0,COUNTIF($AB$13:$AM$13,BM.medicao-1)&gt;0),M62/$I62*100,0))</f>
        <v>0</v>
      </c>
      <c r="K62" s="122">
        <f t="shared" ca="1" si="3"/>
        <v>0</v>
      </c>
      <c r="L62" s="334">
        <f t="array" aca="1" ref="L62" ca="1">IF($A62="S",IF(CAIXA.Modo,BM.AFAcumulado,BM.MEDAcumulado),IF(AND(RegimeExecucao="Global",$I62&gt;0,COUNTIF($AB$13:$AM$13,BM.medicao)&gt;0),O62/$I62*100,0))</f>
        <v>0</v>
      </c>
      <c r="M62" s="335">
        <f t="array" aca="1" ref="M62" ca="1">IF($A62="S",VTOTALBM,IF($A62=0,0,ROUND(SomaAgrupBM,15-13*ORÇAMENTO!$AF$11)))</f>
        <v>0</v>
      </c>
      <c r="N62" s="336">
        <f t="shared" ca="1" si="4"/>
        <v>0</v>
      </c>
      <c r="O62" s="125">
        <f t="array" aca="1" ref="O62" ca="1">IF($A62="S",VTOTALBM,IF($A62=0,0,ROUND(SomaAgrupBM,15-13*ORÇAMENTO!$AF$11)))</f>
        <v>0</v>
      </c>
      <c r="Q62" s="337"/>
      <c r="R62" s="338"/>
      <c r="T62" s="117" t="str">
        <f t="shared" ca="1" si="5"/>
        <v/>
      </c>
      <c r="U62" s="163" t="str">
        <f t="shared" ca="1" si="6"/>
        <v/>
      </c>
      <c r="V62" s="164" t="str">
        <f t="array" aca="1" ref="V62" ca="1">IF(AND($W62&gt;0,RegimeExecucao="Unitário"),$F62,"")</f>
        <v/>
      </c>
      <c r="W62" s="453">
        <f t="array" aca="1" ref="W62" ca="1">IF($Y62&gt;0,CHOOSE(MATCH(RegimeExecucao,{"Unitário","Global"},0),IF($A62="S",$Y62/$X62,""),($Y62/$X62)*100),0)</f>
        <v>0</v>
      </c>
      <c r="X62" s="339" t="str">
        <f t="array" aca="1" ref="X62" ca="1">IF($Y62&gt;0,CHOOSE(MATCH(RegimeExecucao,{"Unitário","Global"},0),IF($A62="S",ROUND($H62,ORÇAMENTO!$AF$10),""),ROUND($I62,ORÇAMENTO!$AF$11)),"")</f>
        <v/>
      </c>
      <c r="Y62" s="339">
        <f t="shared" ca="1" si="7"/>
        <v>0</v>
      </c>
      <c r="Z62" s="472"/>
      <c r="AB62" s="337"/>
      <c r="AC62" s="437"/>
      <c r="AD62" s="437"/>
      <c r="AE62" s="437"/>
      <c r="AF62" s="437"/>
      <c r="AG62" s="437"/>
      <c r="AH62" s="437"/>
      <c r="AI62" s="437"/>
      <c r="AJ62" s="437"/>
      <c r="AK62" s="437"/>
      <c r="AL62" s="437"/>
      <c r="AM62" s="338"/>
      <c r="AO62" s="696">
        <f t="array" aca="1" ref="AO62" ca="1">IF($A62="S",IF(BM!$I62=0,0,CHOOSE(MATCH(RegimeExecucao,{"Global","Unitário"},0),ROUND(ROUND(BM.MEDAcumulado,15-13*BM!$A$9)/100*BM!$I62,15-13*ORÇAMENTO!$AF$11),ROUND(ROUND(BM.MEDAcumulado,15-13*BM!$A$9)*ROUND(BM!$H62,15-13*ORÇAMENTO!$AF$10),15-13*ORÇAMENTO!$AF$11))),IF($A62=0,0,ROUND(SomaAgrupBM,15-13*ORÇAMENTO!$AF$11)))</f>
        <v>0</v>
      </c>
    </row>
    <row r="63" spans="1:41" s="696" customFormat="1" ht="51" x14ac:dyDescent="0.2">
      <c r="A63" s="696" t="str">
        <f ca="1">ORÇAMENTO!C63</f>
        <v>S</v>
      </c>
      <c r="B63" s="696">
        <f ca="1">ORÇAMENTO!D63</f>
        <v>0</v>
      </c>
      <c r="C63" s="114" t="str">
        <f t="shared" ca="1" si="1"/>
        <v>F</v>
      </c>
      <c r="D63" s="117" t="str">
        <f ca="1">ORÇAMENTO!O63</f>
        <v>1.7.8.</v>
      </c>
      <c r="E63" s="163" t="str">
        <f t="shared" ca="1" si="2"/>
        <v>LAJE PRÉ-MOLDADA UNIDIRECIONAL, BIAPOIADA, PARA PISO, ENCHIMENTO EM CERÂMICA, VIGOTA CONVENCIONAL, ALTURA TOTAL DA LAJE "LT" = 12 CM (ENCHIMENTO+CAPA) = (8+4). AF_08/2025</v>
      </c>
      <c r="F63" s="164" t="str">
        <f t="array" aca="1" ref="F63" ca="1">IF(RegimeExecucao="Global","",ORÇAMENTO.Unidade)</f>
        <v>M2</v>
      </c>
      <c r="G63" s="122">
        <f t="array" aca="1" ref="G63" ca="1">IF(RegimeExecucao="Global","",ORÇAMENTO!T63)</f>
        <v>115.4</v>
      </c>
      <c r="H63" s="122">
        <f t="array" aca="1" ref="H63" ca="1">IF(RegimeExecucao="Global","",ORÇAMENTO!W63)</f>
        <v>259.02999999999997</v>
      </c>
      <c r="I63" s="125">
        <f ca="1">ORÇAMENTO!X63</f>
        <v>29892.080000000002</v>
      </c>
      <c r="J63" s="333">
        <f t="array" aca="1" ref="J63" ca="1">IF($A63="S",IF(CAIXA.Modo,BM.AFAnterior,BM.MEDAnterior),IF(AND(RegimeExecucao="Global",$I63&gt;0,COUNTIF($AB$13:$AM$13,BM.medicao-1)&gt;0),M63/$I63*100,0))</f>
        <v>0</v>
      </c>
      <c r="K63" s="122">
        <f t="shared" ca="1" si="3"/>
        <v>0</v>
      </c>
      <c r="L63" s="334">
        <f t="array" aca="1" ref="L63" ca="1">IF($A63="S",IF(CAIXA.Modo,BM.AFAcumulado,BM.MEDAcumulado),IF(AND(RegimeExecucao="Global",$I63&gt;0,COUNTIF($AB$13:$AM$13,BM.medicao)&gt;0),O63/$I63*100,0))</f>
        <v>0</v>
      </c>
      <c r="M63" s="335">
        <f t="array" aca="1" ref="M63" ca="1">IF($A63="S",VTOTALBM,IF($A63=0,0,ROUND(SomaAgrupBM,15-13*ORÇAMENTO!$AF$11)))</f>
        <v>0</v>
      </c>
      <c r="N63" s="336">
        <f t="shared" ca="1" si="4"/>
        <v>0</v>
      </c>
      <c r="O63" s="125">
        <f t="array" aca="1" ref="O63" ca="1">IF($A63="S",VTOTALBM,IF($A63=0,0,ROUND(SomaAgrupBM,15-13*ORÇAMENTO!$AF$11)))</f>
        <v>0</v>
      </c>
      <c r="Q63" s="337"/>
      <c r="R63" s="338"/>
      <c r="T63" s="117" t="str">
        <f t="shared" ca="1" si="5"/>
        <v/>
      </c>
      <c r="U63" s="163" t="str">
        <f t="shared" ca="1" si="6"/>
        <v/>
      </c>
      <c r="V63" s="164" t="str">
        <f t="array" aca="1" ref="V63" ca="1">IF(AND($W63&gt;0,RegimeExecucao="Unitário"),$F63,"")</f>
        <v/>
      </c>
      <c r="W63" s="453">
        <f t="array" aca="1" ref="W63" ca="1">IF($Y63&gt;0,CHOOSE(MATCH(RegimeExecucao,{"Unitário","Global"},0),IF($A63="S",$Y63/$X63,""),($Y63/$X63)*100),0)</f>
        <v>0</v>
      </c>
      <c r="X63" s="339" t="str">
        <f t="array" aca="1" ref="X63" ca="1">IF($Y63&gt;0,CHOOSE(MATCH(RegimeExecucao,{"Unitário","Global"},0),IF($A63="S",ROUND($H63,ORÇAMENTO!$AF$10),""),ROUND($I63,ORÇAMENTO!$AF$11)),"")</f>
        <v/>
      </c>
      <c r="Y63" s="339">
        <f t="shared" ca="1" si="7"/>
        <v>0</v>
      </c>
      <c r="Z63" s="472"/>
      <c r="AB63" s="337"/>
      <c r="AC63" s="437"/>
      <c r="AD63" s="437"/>
      <c r="AE63" s="437"/>
      <c r="AF63" s="437"/>
      <c r="AG63" s="437"/>
      <c r="AH63" s="437"/>
      <c r="AI63" s="437"/>
      <c r="AJ63" s="437"/>
      <c r="AK63" s="437"/>
      <c r="AL63" s="437"/>
      <c r="AM63" s="338"/>
      <c r="AO63" s="696">
        <f t="array" aca="1" ref="AO63" ca="1">IF($A63="S",IF(BM!$I63=0,0,CHOOSE(MATCH(RegimeExecucao,{"Global","Unitário"},0),ROUND(ROUND(BM.MEDAcumulado,15-13*BM!$A$9)/100*BM!$I63,15-13*ORÇAMENTO!$AF$11),ROUND(ROUND(BM.MEDAcumulado,15-13*BM!$A$9)*ROUND(BM!$H63,15-13*ORÇAMENTO!$AF$10),15-13*ORÇAMENTO!$AF$11))),IF($A63=0,0,ROUND(SomaAgrupBM,15-13*ORÇAMENTO!$AF$11)))</f>
        <v>0</v>
      </c>
    </row>
    <row r="64" spans="1:41" s="696" customFormat="1" ht="25.5" x14ac:dyDescent="0.2">
      <c r="A64" s="696" t="str">
        <f ca="1">ORÇAMENTO!C64</f>
        <v>S</v>
      </c>
      <c r="B64" s="696">
        <f ca="1">ORÇAMENTO!D64</f>
        <v>0</v>
      </c>
      <c r="C64" s="114" t="str">
        <f t="shared" ca="1" si="1"/>
        <v>F</v>
      </c>
      <c r="D64" s="117" t="str">
        <f ca="1">ORÇAMENTO!O64</f>
        <v>1.7.9.</v>
      </c>
      <c r="E64" s="163" t="str">
        <f t="shared" ca="1" si="2"/>
        <v>CONCRETAGEM DE PILARES, FCK = 20 MPA,  COM USO DE BALDES - LANÇAMENTO, ADENSAMENTO E ACABAMENTO.</v>
      </c>
      <c r="F64" s="164" t="str">
        <f t="array" aca="1" ref="F64" ca="1">IF(RegimeExecucao="Global","",ORÇAMENTO.Unidade)</f>
        <v>M3</v>
      </c>
      <c r="G64" s="122">
        <f t="array" aca="1" ref="G64" ca="1">IF(RegimeExecucao="Global","",ORÇAMENTO!T64)</f>
        <v>25.6</v>
      </c>
      <c r="H64" s="122">
        <f t="array" aca="1" ref="H64" ca="1">IF(RegimeExecucao="Global","",ORÇAMENTO!W64)</f>
        <v>994.3</v>
      </c>
      <c r="I64" s="125">
        <f ca="1">ORÇAMENTO!X64</f>
        <v>25454.080000000002</v>
      </c>
      <c r="J64" s="333">
        <f t="array" aca="1" ref="J64" ca="1">IF($A64="S",IF(CAIXA.Modo,BM.AFAnterior,BM.MEDAnterior),IF(AND(RegimeExecucao="Global",$I64&gt;0,COUNTIF($AB$13:$AM$13,BM.medicao-1)&gt;0),M64/$I64*100,0))</f>
        <v>0</v>
      </c>
      <c r="K64" s="122">
        <f t="shared" ca="1" si="3"/>
        <v>0</v>
      </c>
      <c r="L64" s="334">
        <f t="array" aca="1" ref="L64" ca="1">IF($A64="S",IF(CAIXA.Modo,BM.AFAcumulado,BM.MEDAcumulado),IF(AND(RegimeExecucao="Global",$I64&gt;0,COUNTIF($AB$13:$AM$13,BM.medicao)&gt;0),O64/$I64*100,0))</f>
        <v>0</v>
      </c>
      <c r="M64" s="335">
        <f t="array" aca="1" ref="M64" ca="1">IF($A64="S",VTOTALBM,IF($A64=0,0,ROUND(SomaAgrupBM,15-13*ORÇAMENTO!$AF$11)))</f>
        <v>0</v>
      </c>
      <c r="N64" s="336">
        <f t="shared" ca="1" si="4"/>
        <v>0</v>
      </c>
      <c r="O64" s="125">
        <f t="array" aca="1" ref="O64" ca="1">IF($A64="S",VTOTALBM,IF($A64=0,0,ROUND(SomaAgrupBM,15-13*ORÇAMENTO!$AF$11)))</f>
        <v>0</v>
      </c>
      <c r="Q64" s="337"/>
      <c r="R64" s="338"/>
      <c r="T64" s="117" t="str">
        <f t="shared" ca="1" si="5"/>
        <v/>
      </c>
      <c r="U64" s="163" t="str">
        <f t="shared" ca="1" si="6"/>
        <v/>
      </c>
      <c r="V64" s="164" t="str">
        <f t="array" aca="1" ref="V64" ca="1">IF(AND($W64&gt;0,RegimeExecucao="Unitário"),$F64,"")</f>
        <v/>
      </c>
      <c r="W64" s="453">
        <f t="array" aca="1" ref="W64" ca="1">IF($Y64&gt;0,CHOOSE(MATCH(RegimeExecucao,{"Unitário","Global"},0),IF($A64="S",$Y64/$X64,""),($Y64/$X64)*100),0)</f>
        <v>0</v>
      </c>
      <c r="X64" s="339" t="str">
        <f t="array" aca="1" ref="X64" ca="1">IF($Y64&gt;0,CHOOSE(MATCH(RegimeExecucao,{"Unitário","Global"},0),IF($A64="S",ROUND($H64,ORÇAMENTO!$AF$10),""),ROUND($I64,ORÇAMENTO!$AF$11)),"")</f>
        <v/>
      </c>
      <c r="Y64" s="339">
        <f t="shared" ca="1" si="7"/>
        <v>0</v>
      </c>
      <c r="Z64" s="472"/>
      <c r="AB64" s="337"/>
      <c r="AC64" s="437"/>
      <c r="AD64" s="437"/>
      <c r="AE64" s="437"/>
      <c r="AF64" s="437"/>
      <c r="AG64" s="437"/>
      <c r="AH64" s="437"/>
      <c r="AI64" s="437"/>
      <c r="AJ64" s="437"/>
      <c r="AK64" s="437"/>
      <c r="AL64" s="437"/>
      <c r="AM64" s="338"/>
      <c r="AO64" s="696">
        <f t="array" aca="1" ref="AO64" ca="1">IF($A64="S",IF(BM!$I64=0,0,CHOOSE(MATCH(RegimeExecucao,{"Global","Unitário"},0),ROUND(ROUND(BM.MEDAcumulado,15-13*BM!$A$9)/100*BM!$I64,15-13*ORÇAMENTO!$AF$11),ROUND(ROUND(BM.MEDAcumulado,15-13*BM!$A$9)*ROUND(BM!$H64,15-13*ORÇAMENTO!$AF$10),15-13*ORÇAMENTO!$AF$11))),IF($A64=0,0,ROUND(SomaAgrupBM,15-13*ORÇAMENTO!$AF$11)))</f>
        <v>0</v>
      </c>
    </row>
    <row r="65" spans="1:41" s="696" customFormat="1" ht="38.25" x14ac:dyDescent="0.2">
      <c r="A65" s="696" t="str">
        <f ca="1">ORÇAMENTO!C65</f>
        <v>S</v>
      </c>
      <c r="B65" s="696">
        <f ca="1">ORÇAMENTO!D65</f>
        <v>0</v>
      </c>
      <c r="C65" s="114" t="str">
        <f t="shared" ca="1" si="1"/>
        <v>F</v>
      </c>
      <c r="D65" s="117" t="str">
        <f ca="1">ORÇAMENTO!O65</f>
        <v>1.7.10.</v>
      </c>
      <c r="E65" s="163" t="str">
        <f t="shared" ca="1" si="2"/>
        <v xml:space="preserve">CONCRETAGEM DE VIGAS E LAJES, FCK=20 MPA, PARA QUALQUER TIPO DE LAJE COM BALDES EM EDIFICAÇÃO TÉRREA - LANÇAMENTO, ADENSAMENTO E ACABAMENTO. </v>
      </c>
      <c r="F65" s="164" t="str">
        <f t="array" aca="1" ref="F65" ca="1">IF(RegimeExecucao="Global","",ORÇAMENTO.Unidade)</f>
        <v>M3</v>
      </c>
      <c r="G65" s="122">
        <f t="array" aca="1" ref="G65" ca="1">IF(RegimeExecucao="Global","",ORÇAMENTO!T65)</f>
        <v>35.6</v>
      </c>
      <c r="H65" s="122">
        <f t="array" aca="1" ref="H65" ca="1">IF(RegimeExecucao="Global","",ORÇAMENTO!W65)</f>
        <v>1013.29</v>
      </c>
      <c r="I65" s="125">
        <f ca="1">ORÇAMENTO!X65</f>
        <v>36073.120000000003</v>
      </c>
      <c r="J65" s="333">
        <f t="array" aca="1" ref="J65" ca="1">IF($A65="S",IF(CAIXA.Modo,BM.AFAnterior,BM.MEDAnterior),IF(AND(RegimeExecucao="Global",$I65&gt;0,COUNTIF($AB$13:$AM$13,BM.medicao-1)&gt;0),M65/$I65*100,0))</f>
        <v>0</v>
      </c>
      <c r="K65" s="122">
        <f t="shared" ca="1" si="3"/>
        <v>0</v>
      </c>
      <c r="L65" s="334">
        <f t="array" aca="1" ref="L65" ca="1">IF($A65="S",IF(CAIXA.Modo,BM.AFAcumulado,BM.MEDAcumulado),IF(AND(RegimeExecucao="Global",$I65&gt;0,COUNTIF($AB$13:$AM$13,BM.medicao)&gt;0),O65/$I65*100,0))</f>
        <v>0</v>
      </c>
      <c r="M65" s="335">
        <f t="array" aca="1" ref="M65" ca="1">IF($A65="S",VTOTALBM,IF($A65=0,0,ROUND(SomaAgrupBM,15-13*ORÇAMENTO!$AF$11)))</f>
        <v>0</v>
      </c>
      <c r="N65" s="336">
        <f t="shared" ca="1" si="4"/>
        <v>0</v>
      </c>
      <c r="O65" s="125">
        <f t="array" aca="1" ref="O65" ca="1">IF($A65="S",VTOTALBM,IF($A65=0,0,ROUND(SomaAgrupBM,15-13*ORÇAMENTO!$AF$11)))</f>
        <v>0</v>
      </c>
      <c r="Q65" s="337"/>
      <c r="R65" s="338"/>
      <c r="T65" s="117" t="str">
        <f t="shared" ca="1" si="5"/>
        <v/>
      </c>
      <c r="U65" s="163" t="str">
        <f t="shared" ca="1" si="6"/>
        <v/>
      </c>
      <c r="V65" s="164" t="str">
        <f t="array" aca="1" ref="V65" ca="1">IF(AND($W65&gt;0,RegimeExecucao="Unitário"),$F65,"")</f>
        <v/>
      </c>
      <c r="W65" s="453">
        <f t="array" aca="1" ref="W65" ca="1">IF($Y65&gt;0,CHOOSE(MATCH(RegimeExecucao,{"Unitário","Global"},0),IF($A65="S",$Y65/$X65,""),($Y65/$X65)*100),0)</f>
        <v>0</v>
      </c>
      <c r="X65" s="339" t="str">
        <f t="array" aca="1" ref="X65" ca="1">IF($Y65&gt;0,CHOOSE(MATCH(RegimeExecucao,{"Unitário","Global"},0),IF($A65="S",ROUND($H65,ORÇAMENTO!$AF$10),""),ROUND($I65,ORÇAMENTO!$AF$11)),"")</f>
        <v/>
      </c>
      <c r="Y65" s="339">
        <f t="shared" ca="1" si="7"/>
        <v>0</v>
      </c>
      <c r="Z65" s="472"/>
      <c r="AB65" s="337"/>
      <c r="AC65" s="437"/>
      <c r="AD65" s="437"/>
      <c r="AE65" s="437"/>
      <c r="AF65" s="437"/>
      <c r="AG65" s="437"/>
      <c r="AH65" s="437"/>
      <c r="AI65" s="437"/>
      <c r="AJ65" s="437"/>
      <c r="AK65" s="437"/>
      <c r="AL65" s="437"/>
      <c r="AM65" s="338"/>
      <c r="AO65" s="696">
        <f t="array" aca="1" ref="AO65" ca="1">IF($A65="S",IF(BM!$I65=0,0,CHOOSE(MATCH(RegimeExecucao,{"Global","Unitário"},0),ROUND(ROUND(BM.MEDAcumulado,15-13*BM!$A$9)/100*BM!$I65,15-13*ORÇAMENTO!$AF$11),ROUND(ROUND(BM.MEDAcumulado,15-13*BM!$A$9)*ROUND(BM!$H65,15-13*ORÇAMENTO!$AF$10),15-13*ORÇAMENTO!$AF$11))),IF($A65=0,0,ROUND(SomaAgrupBM,15-13*ORÇAMENTO!$AF$11)))</f>
        <v>0</v>
      </c>
    </row>
    <row r="66" spans="1:41" s="696" customFormat="1" x14ac:dyDescent="0.2">
      <c r="A66" s="696">
        <f ca="1">ORÇAMENTO!C66</f>
        <v>2</v>
      </c>
      <c r="B66" s="696">
        <f ca="1">ORÇAMENTO!D66</f>
        <v>2</v>
      </c>
      <c r="C66" s="114" t="str">
        <f t="shared" ca="1" si="1"/>
        <v>F</v>
      </c>
      <c r="D66" s="117" t="str">
        <f ca="1">ORÇAMENTO!O66</f>
        <v>1.8.</v>
      </c>
      <c r="E66" s="163" t="str">
        <f t="shared" si="2"/>
        <v>ALVENARIA</v>
      </c>
      <c r="F66" s="164" t="str">
        <f t="array" aca="1" ref="F66" ca="1">IF(RegimeExecucao="Global","",ORÇAMENTO.Unidade)</f>
        <v>-</v>
      </c>
      <c r="G66" s="122">
        <f t="array" aca="1" ref="G66" ca="1">IF(RegimeExecucao="Global","",ORÇAMENTO!T66)</f>
        <v>0</v>
      </c>
      <c r="H66" s="122">
        <f t="array" aca="1" ref="H66" ca="1">IF(RegimeExecucao="Global","",ORÇAMENTO!W66)</f>
        <v>0</v>
      </c>
      <c r="I66" s="125">
        <f ca="1">ORÇAMENTO!X66</f>
        <v>195836</v>
      </c>
      <c r="J66" s="333">
        <f t="array" aca="1" ref="J66" ca="1">IF($A66="S",IF(CAIXA.Modo,BM.AFAnterior,BM.MEDAnterior),IF(AND(RegimeExecucao="Global",$I66&gt;0,COUNTIF($AB$13:$AM$13,BM.medicao-1)&gt;0),M66/$I66*100,0))</f>
        <v>0</v>
      </c>
      <c r="K66" s="122">
        <f t="shared" ca="1" si="3"/>
        <v>0</v>
      </c>
      <c r="L66" s="334">
        <f t="array" aca="1" ref="L66" ca="1">IF($A66="S",IF(CAIXA.Modo,BM.AFAcumulado,BM.MEDAcumulado),IF(AND(RegimeExecucao="Global",$I66&gt;0,COUNTIF($AB$13:$AM$13,BM.medicao)&gt;0),O66/$I66*100,0))</f>
        <v>0</v>
      </c>
      <c r="M66" s="335">
        <f t="array" aca="1" ref="M66" ca="1">IF($A66="S",VTOTALBM,IF($A66=0,0,ROUND(SomaAgrupBM,15-13*ORÇAMENTO!$AF$11)))</f>
        <v>0</v>
      </c>
      <c r="N66" s="336">
        <f t="shared" ca="1" si="4"/>
        <v>0</v>
      </c>
      <c r="O66" s="125">
        <f t="array" aca="1" ref="O66" ca="1">IF($A66="S",VTOTALBM,IF($A66=0,0,ROUND(SomaAgrupBM,15-13*ORÇAMENTO!$AF$11)))</f>
        <v>0</v>
      </c>
      <c r="Q66" s="337"/>
      <c r="R66" s="338"/>
      <c r="T66" s="117" t="str">
        <f t="shared" ca="1" si="5"/>
        <v/>
      </c>
      <c r="U66" s="163" t="str">
        <f t="shared" ca="1" si="6"/>
        <v/>
      </c>
      <c r="V66" s="164" t="str">
        <f t="array" aca="1" ref="V66" ca="1">IF(AND($W66&gt;0,RegimeExecucao="Unitário"),$F66,"")</f>
        <v/>
      </c>
      <c r="W66" s="453">
        <f t="array" aca="1" ref="W66" ca="1">IF($Y66&gt;0,CHOOSE(MATCH(RegimeExecucao,{"Unitário","Global"},0),IF($A66="S",$Y66/$X66,""),($Y66/$X66)*100),0)</f>
        <v>0</v>
      </c>
      <c r="X66" s="339" t="str">
        <f t="array" aca="1" ref="X66" ca="1">IF($Y66&gt;0,CHOOSE(MATCH(RegimeExecucao,{"Unitário","Global"},0),IF($A66="S",ROUND($H66,ORÇAMENTO!$AF$10),""),ROUND($I66,ORÇAMENTO!$AF$11)),"")</f>
        <v/>
      </c>
      <c r="Y66" s="339">
        <f t="shared" ca="1" si="7"/>
        <v>0</v>
      </c>
      <c r="Z66" s="472"/>
      <c r="AB66" s="337"/>
      <c r="AC66" s="437"/>
      <c r="AD66" s="437"/>
      <c r="AE66" s="437"/>
      <c r="AF66" s="437"/>
      <c r="AG66" s="437"/>
      <c r="AH66" s="437"/>
      <c r="AI66" s="437"/>
      <c r="AJ66" s="437"/>
      <c r="AK66" s="437"/>
      <c r="AL66" s="437"/>
      <c r="AM66" s="338"/>
      <c r="AO66" s="696">
        <f t="array" aca="1" ref="AO66" ca="1">IF($A66="S",IF(BM!$I66=0,0,CHOOSE(MATCH(RegimeExecucao,{"Global","Unitário"},0),ROUND(ROUND(BM.MEDAcumulado,15-13*BM!$A$9)/100*BM!$I66,15-13*ORÇAMENTO!$AF$11),ROUND(ROUND(BM.MEDAcumulado,15-13*BM!$A$9)*ROUND(BM!$H66,15-13*ORÇAMENTO!$AF$10),15-13*ORÇAMENTO!$AF$11))),IF($A66=0,0,ROUND(SomaAgrupBM,15-13*ORÇAMENTO!$AF$11)))</f>
        <v>0</v>
      </c>
    </row>
    <row r="67" spans="1:41" s="696" customFormat="1" ht="38.25" x14ac:dyDescent="0.2">
      <c r="A67" s="696" t="str">
        <f ca="1">ORÇAMENTO!C67</f>
        <v>S</v>
      </c>
      <c r="B67" s="696">
        <f ca="1">ORÇAMENTO!D67</f>
        <v>0</v>
      </c>
      <c r="C67" s="114" t="str">
        <f t="shared" ca="1" si="1"/>
        <v>F</v>
      </c>
      <c r="D67" s="117" t="str">
        <f ca="1">ORÇAMENTO!O67</f>
        <v>1.8.1.</v>
      </c>
      <c r="E67" s="163" t="str">
        <f t="shared" ca="1" si="2"/>
        <v>ALVENARIA DE VEDAÇÃO DE BLOCOS CERÂMICOS FURADOS NA HORIZONTAL DE 9X19X19 CM (ESPESSURA 9 CM) E ARGAMASSA DE ASSENTAMENTO COM PREPARO EM BETONEIRA. AF_12/2021</v>
      </c>
      <c r="F67" s="164" t="str">
        <f t="array" aca="1" ref="F67" ca="1">IF(RegimeExecucao="Global","",ORÇAMENTO.Unidade)</f>
        <v>M2</v>
      </c>
      <c r="G67" s="122">
        <f t="array" aca="1" ref="G67" ca="1">IF(RegimeExecucao="Global","",ORÇAMENTO!T67)</f>
        <v>1730</v>
      </c>
      <c r="H67" s="122">
        <f t="array" aca="1" ref="H67" ca="1">IF(RegimeExecucao="Global","",ORÇAMENTO!W67)</f>
        <v>113.2</v>
      </c>
      <c r="I67" s="125">
        <f ca="1">ORÇAMENTO!X67</f>
        <v>195836</v>
      </c>
      <c r="J67" s="333">
        <f t="array" aca="1" ref="J67" ca="1">IF($A67="S",IF(CAIXA.Modo,BM.AFAnterior,BM.MEDAnterior),IF(AND(RegimeExecucao="Global",$I67&gt;0,COUNTIF($AB$13:$AM$13,BM.medicao-1)&gt;0),M67/$I67*100,0))</f>
        <v>0</v>
      </c>
      <c r="K67" s="122">
        <f t="shared" ca="1" si="3"/>
        <v>0</v>
      </c>
      <c r="L67" s="334">
        <f t="array" aca="1" ref="L67" ca="1">IF($A67="S",IF(CAIXA.Modo,BM.AFAcumulado,BM.MEDAcumulado),IF(AND(RegimeExecucao="Global",$I67&gt;0,COUNTIF($AB$13:$AM$13,BM.medicao)&gt;0),O67/$I67*100,0))</f>
        <v>0</v>
      </c>
      <c r="M67" s="335">
        <f t="array" aca="1" ref="M67" ca="1">IF($A67="S",VTOTALBM,IF($A67=0,0,ROUND(SomaAgrupBM,15-13*ORÇAMENTO!$AF$11)))</f>
        <v>0</v>
      </c>
      <c r="N67" s="336">
        <f t="shared" ca="1" si="4"/>
        <v>0</v>
      </c>
      <c r="O67" s="125">
        <f t="array" aca="1" ref="O67" ca="1">IF($A67="S",VTOTALBM,IF($A67=0,0,ROUND(SomaAgrupBM,15-13*ORÇAMENTO!$AF$11)))</f>
        <v>0</v>
      </c>
      <c r="Q67" s="337"/>
      <c r="R67" s="338"/>
      <c r="T67" s="117" t="str">
        <f t="shared" ca="1" si="5"/>
        <v/>
      </c>
      <c r="U67" s="163" t="str">
        <f t="shared" ca="1" si="6"/>
        <v/>
      </c>
      <c r="V67" s="164" t="str">
        <f t="array" aca="1" ref="V67" ca="1">IF(AND($W67&gt;0,RegimeExecucao="Unitário"),$F67,"")</f>
        <v/>
      </c>
      <c r="W67" s="453">
        <f t="array" aca="1" ref="W67" ca="1">IF($Y67&gt;0,CHOOSE(MATCH(RegimeExecucao,{"Unitário","Global"},0),IF($A67="S",$Y67/$X67,""),($Y67/$X67)*100),0)</f>
        <v>0</v>
      </c>
      <c r="X67" s="339" t="str">
        <f t="array" aca="1" ref="X67" ca="1">IF($Y67&gt;0,CHOOSE(MATCH(RegimeExecucao,{"Unitário","Global"},0),IF($A67="S",ROUND($H67,ORÇAMENTO!$AF$10),""),ROUND($I67,ORÇAMENTO!$AF$11)),"")</f>
        <v/>
      </c>
      <c r="Y67" s="339">
        <f t="shared" ca="1" si="7"/>
        <v>0</v>
      </c>
      <c r="Z67" s="472"/>
      <c r="AB67" s="337"/>
      <c r="AC67" s="437"/>
      <c r="AD67" s="437"/>
      <c r="AE67" s="437"/>
      <c r="AF67" s="437"/>
      <c r="AG67" s="437"/>
      <c r="AH67" s="437"/>
      <c r="AI67" s="437"/>
      <c r="AJ67" s="437"/>
      <c r="AK67" s="437"/>
      <c r="AL67" s="437"/>
      <c r="AM67" s="338"/>
      <c r="AO67" s="696">
        <f t="array" aca="1" ref="AO67" ca="1">IF($A67="S",IF(BM!$I67=0,0,CHOOSE(MATCH(RegimeExecucao,{"Global","Unitário"},0),ROUND(ROUND(BM.MEDAcumulado,15-13*BM!$A$9)/100*BM!$I67,15-13*ORÇAMENTO!$AF$11),ROUND(ROUND(BM.MEDAcumulado,15-13*BM!$A$9)*ROUND(BM!$H67,15-13*ORÇAMENTO!$AF$10),15-13*ORÇAMENTO!$AF$11))),IF($A67=0,0,ROUND(SomaAgrupBM,15-13*ORÇAMENTO!$AF$11)))</f>
        <v>0</v>
      </c>
    </row>
    <row r="68" spans="1:41" s="696" customFormat="1" x14ac:dyDescent="0.2">
      <c r="A68" s="696">
        <f ca="1">ORÇAMENTO!C68</f>
        <v>2</v>
      </c>
      <c r="B68" s="696">
        <f ca="1">ORÇAMENTO!D68</f>
        <v>3</v>
      </c>
      <c r="C68" s="114" t="str">
        <f t="shared" ca="1" si="1"/>
        <v>F</v>
      </c>
      <c r="D68" s="117" t="str">
        <f ca="1">ORÇAMENTO!O68</f>
        <v>1.9.</v>
      </c>
      <c r="E68" s="163" t="str">
        <f t="shared" si="2"/>
        <v>VERGAS E CONTRAVERGAS</v>
      </c>
      <c r="F68" s="164" t="str">
        <f t="array" aca="1" ref="F68" ca="1">IF(RegimeExecucao="Global","",ORÇAMENTO.Unidade)</f>
        <v>-</v>
      </c>
      <c r="G68" s="122">
        <f t="array" aca="1" ref="G68" ca="1">IF(RegimeExecucao="Global","",ORÇAMENTO!T68)</f>
        <v>0</v>
      </c>
      <c r="H68" s="122">
        <f t="array" aca="1" ref="H68" ca="1">IF(RegimeExecucao="Global","",ORÇAMENTO!W68)</f>
        <v>0</v>
      </c>
      <c r="I68" s="125">
        <f ca="1">ORÇAMENTO!X68</f>
        <v>18367.759999999998</v>
      </c>
      <c r="J68" s="333">
        <f t="array" aca="1" ref="J68" ca="1">IF($A68="S",IF(CAIXA.Modo,BM.AFAnterior,BM.MEDAnterior),IF(AND(RegimeExecucao="Global",$I68&gt;0,COUNTIF($AB$13:$AM$13,BM.medicao-1)&gt;0),M68/$I68*100,0))</f>
        <v>0</v>
      </c>
      <c r="K68" s="122">
        <f t="shared" ca="1" si="3"/>
        <v>0</v>
      </c>
      <c r="L68" s="334">
        <f t="array" aca="1" ref="L68" ca="1">IF($A68="S",IF(CAIXA.Modo,BM.AFAcumulado,BM.MEDAcumulado),IF(AND(RegimeExecucao="Global",$I68&gt;0,COUNTIF($AB$13:$AM$13,BM.medicao)&gt;0),O68/$I68*100,0))</f>
        <v>0</v>
      </c>
      <c r="M68" s="335">
        <f t="array" aca="1" ref="M68" ca="1">IF($A68="S",VTOTALBM,IF($A68=0,0,ROUND(SomaAgrupBM,15-13*ORÇAMENTO!$AF$11)))</f>
        <v>0</v>
      </c>
      <c r="N68" s="336">
        <f t="shared" ca="1" si="4"/>
        <v>0</v>
      </c>
      <c r="O68" s="125">
        <f t="array" aca="1" ref="O68" ca="1">IF($A68="S",VTOTALBM,IF($A68=0,0,ROUND(SomaAgrupBM,15-13*ORÇAMENTO!$AF$11)))</f>
        <v>0</v>
      </c>
      <c r="Q68" s="337"/>
      <c r="R68" s="338"/>
      <c r="T68" s="117" t="str">
        <f t="shared" ca="1" si="5"/>
        <v/>
      </c>
      <c r="U68" s="163" t="str">
        <f t="shared" ca="1" si="6"/>
        <v/>
      </c>
      <c r="V68" s="164" t="str">
        <f t="array" aca="1" ref="V68" ca="1">IF(AND($W68&gt;0,RegimeExecucao="Unitário"),$F68,"")</f>
        <v/>
      </c>
      <c r="W68" s="453">
        <f t="array" aca="1" ref="W68" ca="1">IF($Y68&gt;0,CHOOSE(MATCH(RegimeExecucao,{"Unitário","Global"},0),IF($A68="S",$Y68/$X68,""),($Y68/$X68)*100),0)</f>
        <v>0</v>
      </c>
      <c r="X68" s="339" t="str">
        <f t="array" aca="1" ref="X68" ca="1">IF($Y68&gt;0,CHOOSE(MATCH(RegimeExecucao,{"Unitário","Global"},0),IF($A68="S",ROUND($H68,ORÇAMENTO!$AF$10),""),ROUND($I68,ORÇAMENTO!$AF$11)),"")</f>
        <v/>
      </c>
      <c r="Y68" s="339">
        <f t="shared" ca="1" si="7"/>
        <v>0</v>
      </c>
      <c r="Z68" s="472"/>
      <c r="AB68" s="337"/>
      <c r="AC68" s="437"/>
      <c r="AD68" s="437"/>
      <c r="AE68" s="437"/>
      <c r="AF68" s="437"/>
      <c r="AG68" s="437"/>
      <c r="AH68" s="437"/>
      <c r="AI68" s="437"/>
      <c r="AJ68" s="437"/>
      <c r="AK68" s="437"/>
      <c r="AL68" s="437"/>
      <c r="AM68" s="338"/>
      <c r="AO68" s="696">
        <f t="array" aca="1" ref="AO68" ca="1">IF($A68="S",IF(BM!$I68=0,0,CHOOSE(MATCH(RegimeExecucao,{"Global","Unitário"},0),ROUND(ROUND(BM.MEDAcumulado,15-13*BM!$A$9)/100*BM!$I68,15-13*ORÇAMENTO!$AF$11),ROUND(ROUND(BM.MEDAcumulado,15-13*BM!$A$9)*ROUND(BM!$H68,15-13*ORÇAMENTO!$AF$10),15-13*ORÇAMENTO!$AF$11))),IF($A68=0,0,ROUND(SomaAgrupBM,15-13*ORÇAMENTO!$AF$11)))</f>
        <v>0</v>
      </c>
    </row>
    <row r="69" spans="1:41" s="696" customFormat="1" ht="25.5" x14ac:dyDescent="0.2">
      <c r="A69" s="696" t="str">
        <f ca="1">ORÇAMENTO!C69</f>
        <v>S</v>
      </c>
      <c r="B69" s="696">
        <f ca="1">ORÇAMENTO!D69</f>
        <v>0</v>
      </c>
      <c r="C69" s="114" t="str">
        <f t="shared" ca="1" si="1"/>
        <v>F</v>
      </c>
      <c r="D69" s="117" t="str">
        <f ca="1">ORÇAMENTO!O69</f>
        <v>1.9.1.</v>
      </c>
      <c r="E69" s="163" t="str">
        <f t="shared" ca="1" si="2"/>
        <v>VERGA PRÉ-MOLDADA COM ATÉ 1,5 M DE VÃO, ESPESSURA DE *10* CM. AF_03/2024</v>
      </c>
      <c r="F69" s="164" t="str">
        <f t="array" aca="1" ref="F69" ca="1">IF(RegimeExecucao="Global","",ORÇAMENTO.Unidade)</f>
        <v>M</v>
      </c>
      <c r="G69" s="122">
        <f t="array" aca="1" ref="G69" ca="1">IF(RegimeExecucao="Global","",ORÇAMENTO!T69)</f>
        <v>324</v>
      </c>
      <c r="H69" s="122">
        <f t="array" aca="1" ref="H69" ca="1">IF(RegimeExecucao="Global","",ORÇAMENTO!W69)</f>
        <v>27.12</v>
      </c>
      <c r="I69" s="125">
        <f ca="1">ORÇAMENTO!X69</f>
        <v>8786.8799999999992</v>
      </c>
      <c r="J69" s="333">
        <f t="array" aca="1" ref="J69" ca="1">IF($A69="S",IF(CAIXA.Modo,BM.AFAnterior,BM.MEDAnterior),IF(AND(RegimeExecucao="Global",$I69&gt;0,COUNTIF($AB$13:$AM$13,BM.medicao-1)&gt;0),M69/$I69*100,0))</f>
        <v>0</v>
      </c>
      <c r="K69" s="122">
        <f t="shared" ca="1" si="3"/>
        <v>0</v>
      </c>
      <c r="L69" s="334">
        <f t="array" aca="1" ref="L69" ca="1">IF($A69="S",IF(CAIXA.Modo,BM.AFAcumulado,BM.MEDAcumulado),IF(AND(RegimeExecucao="Global",$I69&gt;0,COUNTIF($AB$13:$AM$13,BM.medicao)&gt;0),O69/$I69*100,0))</f>
        <v>0</v>
      </c>
      <c r="M69" s="335">
        <f t="array" aca="1" ref="M69" ca="1">IF($A69="S",VTOTALBM,IF($A69=0,0,ROUND(SomaAgrupBM,15-13*ORÇAMENTO!$AF$11)))</f>
        <v>0</v>
      </c>
      <c r="N69" s="336">
        <f t="shared" ca="1" si="4"/>
        <v>0</v>
      </c>
      <c r="O69" s="125">
        <f t="array" aca="1" ref="O69" ca="1">IF($A69="S",VTOTALBM,IF($A69=0,0,ROUND(SomaAgrupBM,15-13*ORÇAMENTO!$AF$11)))</f>
        <v>0</v>
      </c>
      <c r="Q69" s="337"/>
      <c r="R69" s="338"/>
      <c r="T69" s="117" t="str">
        <f t="shared" ca="1" si="5"/>
        <v/>
      </c>
      <c r="U69" s="163" t="str">
        <f t="shared" ca="1" si="6"/>
        <v/>
      </c>
      <c r="V69" s="164" t="str">
        <f t="array" aca="1" ref="V69" ca="1">IF(AND($W69&gt;0,RegimeExecucao="Unitário"),$F69,"")</f>
        <v/>
      </c>
      <c r="W69" s="453">
        <f t="array" aca="1" ref="W69" ca="1">IF($Y69&gt;0,CHOOSE(MATCH(RegimeExecucao,{"Unitário","Global"},0),IF($A69="S",$Y69/$X69,""),($Y69/$X69)*100),0)</f>
        <v>0</v>
      </c>
      <c r="X69" s="339" t="str">
        <f t="array" aca="1" ref="X69" ca="1">IF($Y69&gt;0,CHOOSE(MATCH(RegimeExecucao,{"Unitário","Global"},0),IF($A69="S",ROUND($H69,ORÇAMENTO!$AF$10),""),ROUND($I69,ORÇAMENTO!$AF$11)),"")</f>
        <v/>
      </c>
      <c r="Y69" s="339">
        <f t="shared" ca="1" si="7"/>
        <v>0</v>
      </c>
      <c r="Z69" s="472"/>
      <c r="AB69" s="337"/>
      <c r="AC69" s="437"/>
      <c r="AD69" s="437"/>
      <c r="AE69" s="437"/>
      <c r="AF69" s="437"/>
      <c r="AG69" s="437"/>
      <c r="AH69" s="437"/>
      <c r="AI69" s="437"/>
      <c r="AJ69" s="437"/>
      <c r="AK69" s="437"/>
      <c r="AL69" s="437"/>
      <c r="AM69" s="338"/>
      <c r="AO69" s="696">
        <f t="array" aca="1" ref="AO69" ca="1">IF($A69="S",IF(BM!$I69=0,0,CHOOSE(MATCH(RegimeExecucao,{"Global","Unitário"},0),ROUND(ROUND(BM.MEDAcumulado,15-13*BM!$A$9)/100*BM!$I69,15-13*ORÇAMENTO!$AF$11),ROUND(ROUND(BM.MEDAcumulado,15-13*BM!$A$9)*ROUND(BM!$H69,15-13*ORÇAMENTO!$AF$10),15-13*ORÇAMENTO!$AF$11))),IF($A69=0,0,ROUND(SomaAgrupBM,15-13*ORÇAMENTO!$AF$11)))</f>
        <v>0</v>
      </c>
    </row>
    <row r="70" spans="1:41" s="696" customFormat="1" ht="25.5" x14ac:dyDescent="0.2">
      <c r="A70" s="696" t="str">
        <f ca="1">ORÇAMENTO!C70</f>
        <v>S</v>
      </c>
      <c r="B70" s="696">
        <f ca="1">ORÇAMENTO!D70</f>
        <v>0</v>
      </c>
      <c r="C70" s="114" t="str">
        <f t="shared" ca="1" si="1"/>
        <v>F</v>
      </c>
      <c r="D70" s="117" t="str">
        <f ca="1">ORÇAMENTO!O70</f>
        <v>1.9.2.</v>
      </c>
      <c r="E70" s="163" t="str">
        <f t="shared" ca="1" si="2"/>
        <v>CONTRAVERGA MOLDADA IN LOCO EM CONCRETO, ESPESSURA DE *10* CM. AF_03/2024</v>
      </c>
      <c r="F70" s="164" t="str">
        <f t="array" aca="1" ref="F70" ca="1">IF(RegimeExecucao="Global","",ORÇAMENTO.Unidade)</f>
        <v>M</v>
      </c>
      <c r="G70" s="122">
        <f t="array" aca="1" ref="G70" ca="1">IF(RegimeExecucao="Global","",ORÇAMENTO!T70)</f>
        <v>184</v>
      </c>
      <c r="H70" s="122">
        <f t="array" aca="1" ref="H70" ca="1">IF(RegimeExecucao="Global","",ORÇAMENTO!W70)</f>
        <v>52.07</v>
      </c>
      <c r="I70" s="125">
        <f ca="1">ORÇAMENTO!X70</f>
        <v>9580.8799999999992</v>
      </c>
      <c r="J70" s="333">
        <f t="array" aca="1" ref="J70" ca="1">IF($A70="S",IF(CAIXA.Modo,BM.AFAnterior,BM.MEDAnterior),IF(AND(RegimeExecucao="Global",$I70&gt;0,COUNTIF($AB$13:$AM$13,BM.medicao-1)&gt;0),M70/$I70*100,0))</f>
        <v>0</v>
      </c>
      <c r="K70" s="122">
        <f t="shared" ca="1" si="3"/>
        <v>0</v>
      </c>
      <c r="L70" s="334">
        <f t="array" aca="1" ref="L70" ca="1">IF($A70="S",IF(CAIXA.Modo,BM.AFAcumulado,BM.MEDAcumulado),IF(AND(RegimeExecucao="Global",$I70&gt;0,COUNTIF($AB$13:$AM$13,BM.medicao)&gt;0),O70/$I70*100,0))</f>
        <v>0</v>
      </c>
      <c r="M70" s="335">
        <f t="array" aca="1" ref="M70" ca="1">IF($A70="S",VTOTALBM,IF($A70=0,0,ROUND(SomaAgrupBM,15-13*ORÇAMENTO!$AF$11)))</f>
        <v>0</v>
      </c>
      <c r="N70" s="336">
        <f t="shared" ca="1" si="4"/>
        <v>0</v>
      </c>
      <c r="O70" s="125">
        <f t="array" aca="1" ref="O70" ca="1">IF($A70="S",VTOTALBM,IF($A70=0,0,ROUND(SomaAgrupBM,15-13*ORÇAMENTO!$AF$11)))</f>
        <v>0</v>
      </c>
      <c r="Q70" s="337"/>
      <c r="R70" s="338"/>
      <c r="T70" s="117" t="str">
        <f t="shared" ca="1" si="5"/>
        <v/>
      </c>
      <c r="U70" s="163" t="str">
        <f t="shared" ca="1" si="6"/>
        <v/>
      </c>
      <c r="V70" s="164" t="str">
        <f t="array" aca="1" ref="V70" ca="1">IF(AND($W70&gt;0,RegimeExecucao="Unitário"),$F70,"")</f>
        <v/>
      </c>
      <c r="W70" s="453">
        <f t="array" aca="1" ref="W70" ca="1">IF($Y70&gt;0,CHOOSE(MATCH(RegimeExecucao,{"Unitário","Global"},0),IF($A70="S",$Y70/$X70,""),($Y70/$X70)*100),0)</f>
        <v>0</v>
      </c>
      <c r="X70" s="339" t="str">
        <f t="array" aca="1" ref="X70" ca="1">IF($Y70&gt;0,CHOOSE(MATCH(RegimeExecucao,{"Unitário","Global"},0),IF($A70="S",ROUND($H70,ORÇAMENTO!$AF$10),""),ROUND($I70,ORÇAMENTO!$AF$11)),"")</f>
        <v/>
      </c>
      <c r="Y70" s="339">
        <f t="shared" ca="1" si="7"/>
        <v>0</v>
      </c>
      <c r="Z70" s="472"/>
      <c r="AB70" s="337"/>
      <c r="AC70" s="437"/>
      <c r="AD70" s="437"/>
      <c r="AE70" s="437"/>
      <c r="AF70" s="437"/>
      <c r="AG70" s="437"/>
      <c r="AH70" s="437"/>
      <c r="AI70" s="437"/>
      <c r="AJ70" s="437"/>
      <c r="AK70" s="437"/>
      <c r="AL70" s="437"/>
      <c r="AM70" s="338"/>
      <c r="AO70" s="696">
        <f t="array" aca="1" ref="AO70" ca="1">IF($A70="S",IF(BM!$I70=0,0,CHOOSE(MATCH(RegimeExecucao,{"Global","Unitário"},0),ROUND(ROUND(BM.MEDAcumulado,15-13*BM!$A$9)/100*BM!$I70,15-13*ORÇAMENTO!$AF$11),ROUND(ROUND(BM.MEDAcumulado,15-13*BM!$A$9)*ROUND(BM!$H70,15-13*ORÇAMENTO!$AF$10),15-13*ORÇAMENTO!$AF$11))),IF($A70=0,0,ROUND(SomaAgrupBM,15-13*ORÇAMENTO!$AF$11)))</f>
        <v>0</v>
      </c>
    </row>
    <row r="71" spans="1:41" s="696" customFormat="1" x14ac:dyDescent="0.2">
      <c r="A71" s="696">
        <f ca="1">ORÇAMENTO!C71</f>
        <v>2</v>
      </c>
      <c r="B71" s="696">
        <f ca="1">ORÇAMENTO!D71</f>
        <v>5</v>
      </c>
      <c r="C71" s="114" t="str">
        <f t="shared" ca="1" si="1"/>
        <v>F</v>
      </c>
      <c r="D71" s="117" t="str">
        <f ca="1">ORÇAMENTO!O71</f>
        <v>1.10.</v>
      </c>
      <c r="E71" s="163" t="str">
        <f t="shared" si="2"/>
        <v>ESQUADRIAS METÁLICAS</v>
      </c>
      <c r="F71" s="164" t="str">
        <f t="array" aca="1" ref="F71" ca="1">IF(RegimeExecucao="Global","",ORÇAMENTO.Unidade)</f>
        <v>-</v>
      </c>
      <c r="G71" s="122">
        <f t="array" aca="1" ref="G71" ca="1">IF(RegimeExecucao="Global","",ORÇAMENTO!T71)</f>
        <v>0</v>
      </c>
      <c r="H71" s="122">
        <f t="array" aca="1" ref="H71" ca="1">IF(RegimeExecucao="Global","",ORÇAMENTO!W71)</f>
        <v>0</v>
      </c>
      <c r="I71" s="125">
        <f ca="1">ORÇAMENTO!X71</f>
        <v>117095.16</v>
      </c>
      <c r="J71" s="333">
        <f t="array" aca="1" ref="J71" ca="1">IF($A71="S",IF(CAIXA.Modo,BM.AFAnterior,BM.MEDAnterior),IF(AND(RegimeExecucao="Global",$I71&gt;0,COUNTIF($AB$13:$AM$13,BM.medicao-1)&gt;0),M71/$I71*100,0))</f>
        <v>0</v>
      </c>
      <c r="K71" s="122">
        <f t="shared" ca="1" si="3"/>
        <v>0</v>
      </c>
      <c r="L71" s="334">
        <f t="array" aca="1" ref="L71" ca="1">IF($A71="S",IF(CAIXA.Modo,BM.AFAcumulado,BM.MEDAcumulado),IF(AND(RegimeExecucao="Global",$I71&gt;0,COUNTIF($AB$13:$AM$13,BM.medicao)&gt;0),O71/$I71*100,0))</f>
        <v>0</v>
      </c>
      <c r="M71" s="335">
        <f t="array" aca="1" ref="M71" ca="1">IF($A71="S",VTOTALBM,IF($A71=0,0,ROUND(SomaAgrupBM,15-13*ORÇAMENTO!$AF$11)))</f>
        <v>0</v>
      </c>
      <c r="N71" s="336">
        <f t="shared" ca="1" si="4"/>
        <v>0</v>
      </c>
      <c r="O71" s="125">
        <f t="array" aca="1" ref="O71" ca="1">IF($A71="S",VTOTALBM,IF($A71=0,0,ROUND(SomaAgrupBM,15-13*ORÇAMENTO!$AF$11)))</f>
        <v>0</v>
      </c>
      <c r="Q71" s="337"/>
      <c r="R71" s="338"/>
      <c r="T71" s="117" t="str">
        <f t="shared" ca="1" si="5"/>
        <v/>
      </c>
      <c r="U71" s="163" t="str">
        <f t="shared" ca="1" si="6"/>
        <v/>
      </c>
      <c r="V71" s="164" t="str">
        <f t="array" aca="1" ref="V71" ca="1">IF(AND($W71&gt;0,RegimeExecucao="Unitário"),$F71,"")</f>
        <v/>
      </c>
      <c r="W71" s="453">
        <f t="array" aca="1" ref="W71" ca="1">IF($Y71&gt;0,CHOOSE(MATCH(RegimeExecucao,{"Unitário","Global"},0),IF($A71="S",$Y71/$X71,""),($Y71/$X71)*100),0)</f>
        <v>0</v>
      </c>
      <c r="X71" s="339" t="str">
        <f t="array" aca="1" ref="X71" ca="1">IF($Y71&gt;0,CHOOSE(MATCH(RegimeExecucao,{"Unitário","Global"},0),IF($A71="S",ROUND($H71,ORÇAMENTO!$AF$10),""),ROUND($I71,ORÇAMENTO!$AF$11)),"")</f>
        <v/>
      </c>
      <c r="Y71" s="339">
        <f t="shared" ca="1" si="7"/>
        <v>0</v>
      </c>
      <c r="Z71" s="472"/>
      <c r="AB71" s="337"/>
      <c r="AC71" s="437"/>
      <c r="AD71" s="437"/>
      <c r="AE71" s="437"/>
      <c r="AF71" s="437"/>
      <c r="AG71" s="437"/>
      <c r="AH71" s="437"/>
      <c r="AI71" s="437"/>
      <c r="AJ71" s="437"/>
      <c r="AK71" s="437"/>
      <c r="AL71" s="437"/>
      <c r="AM71" s="338"/>
      <c r="AO71" s="696">
        <f t="array" aca="1" ref="AO71" ca="1">IF($A71="S",IF(BM!$I71=0,0,CHOOSE(MATCH(RegimeExecucao,{"Global","Unitário"},0),ROUND(ROUND(BM.MEDAcumulado,15-13*BM!$A$9)/100*BM!$I71,15-13*ORÇAMENTO!$AF$11),ROUND(ROUND(BM.MEDAcumulado,15-13*BM!$A$9)*ROUND(BM!$H71,15-13*ORÇAMENTO!$AF$10),15-13*ORÇAMENTO!$AF$11))),IF($A71=0,0,ROUND(SomaAgrupBM,15-13*ORÇAMENTO!$AF$11)))</f>
        <v>0</v>
      </c>
    </row>
    <row r="72" spans="1:41" s="696" customFormat="1" ht="38.25" x14ac:dyDescent="0.2">
      <c r="A72" s="696" t="str">
        <f ca="1">ORÇAMENTO!C72</f>
        <v>S</v>
      </c>
      <c r="B72" s="696">
        <f ca="1">ORÇAMENTO!D72</f>
        <v>0</v>
      </c>
      <c r="C72" s="114" t="str">
        <f t="shared" ca="1" si="1"/>
        <v>F</v>
      </c>
      <c r="D72" s="117" t="str">
        <f ca="1">ORÇAMENTO!O72</f>
        <v>1.10.1.</v>
      </c>
      <c r="E72" s="163" t="str">
        <f t="shared" ca="1" si="2"/>
        <v>PORTA DE ALUMÍNIO DE ABRIR COM LAMBRI, COM GUARNIÇÃO, FIXAÇÃO COM PARAFUSOS - FORNECIMENTO E INSTALAÇÃO. AF_12/2019</v>
      </c>
      <c r="F72" s="164" t="str">
        <f t="array" aca="1" ref="F72" ca="1">IF(RegimeExecucao="Global","",ORÇAMENTO.Unidade)</f>
        <v>M2</v>
      </c>
      <c r="G72" s="122">
        <f t="array" aca="1" ref="G72" ca="1">IF(RegimeExecucao="Global","",ORÇAMENTO!T72)</f>
        <v>67.2</v>
      </c>
      <c r="H72" s="122">
        <f t="array" aca="1" ref="H72" ca="1">IF(RegimeExecucao="Global","",ORÇAMENTO!W72)</f>
        <v>973.03</v>
      </c>
      <c r="I72" s="125">
        <f ca="1">ORÇAMENTO!X72</f>
        <v>65387.6</v>
      </c>
      <c r="J72" s="333">
        <f t="array" aca="1" ref="J72" ca="1">IF($A72="S",IF(CAIXA.Modo,BM.AFAnterior,BM.MEDAnterior),IF(AND(RegimeExecucao="Global",$I72&gt;0,COUNTIF($AB$13:$AM$13,BM.medicao-1)&gt;0),M72/$I72*100,0))</f>
        <v>0</v>
      </c>
      <c r="K72" s="122">
        <f t="shared" ca="1" si="3"/>
        <v>0</v>
      </c>
      <c r="L72" s="334">
        <f t="array" aca="1" ref="L72" ca="1">IF($A72="S",IF(CAIXA.Modo,BM.AFAcumulado,BM.MEDAcumulado),IF(AND(RegimeExecucao="Global",$I72&gt;0,COUNTIF($AB$13:$AM$13,BM.medicao)&gt;0),O72/$I72*100,0))</f>
        <v>0</v>
      </c>
      <c r="M72" s="335">
        <f t="array" aca="1" ref="M72" ca="1">IF($A72="S",VTOTALBM,IF($A72=0,0,ROUND(SomaAgrupBM,15-13*ORÇAMENTO!$AF$11)))</f>
        <v>0</v>
      </c>
      <c r="N72" s="336">
        <f t="shared" ca="1" si="4"/>
        <v>0</v>
      </c>
      <c r="O72" s="125">
        <f t="array" aca="1" ref="O72" ca="1">IF($A72="S",VTOTALBM,IF($A72=0,0,ROUND(SomaAgrupBM,15-13*ORÇAMENTO!$AF$11)))</f>
        <v>0</v>
      </c>
      <c r="Q72" s="337"/>
      <c r="R72" s="338"/>
      <c r="T72" s="117" t="str">
        <f t="shared" ca="1" si="5"/>
        <v/>
      </c>
      <c r="U72" s="163" t="str">
        <f t="shared" ca="1" si="6"/>
        <v/>
      </c>
      <c r="V72" s="164" t="str">
        <f t="array" aca="1" ref="V72" ca="1">IF(AND($W72&gt;0,RegimeExecucao="Unitário"),$F72,"")</f>
        <v/>
      </c>
      <c r="W72" s="453">
        <f t="array" aca="1" ref="W72" ca="1">IF($Y72&gt;0,CHOOSE(MATCH(RegimeExecucao,{"Unitário","Global"},0),IF($A72="S",$Y72/$X72,""),($Y72/$X72)*100),0)</f>
        <v>0</v>
      </c>
      <c r="X72" s="339" t="str">
        <f t="array" aca="1" ref="X72" ca="1">IF($Y72&gt;0,CHOOSE(MATCH(RegimeExecucao,{"Unitário","Global"},0),IF($A72="S",ROUND($H72,ORÇAMENTO!$AF$10),""),ROUND($I72,ORÇAMENTO!$AF$11)),"")</f>
        <v/>
      </c>
      <c r="Y72" s="339">
        <f t="shared" ca="1" si="7"/>
        <v>0</v>
      </c>
      <c r="Z72" s="472"/>
      <c r="AB72" s="337"/>
      <c r="AC72" s="437"/>
      <c r="AD72" s="437"/>
      <c r="AE72" s="437"/>
      <c r="AF72" s="437"/>
      <c r="AG72" s="437"/>
      <c r="AH72" s="437"/>
      <c r="AI72" s="437"/>
      <c r="AJ72" s="437"/>
      <c r="AK72" s="437"/>
      <c r="AL72" s="437"/>
      <c r="AM72" s="338"/>
      <c r="AO72" s="696">
        <f t="array" aca="1" ref="AO72" ca="1">IF($A72="S",IF(BM!$I72=0,0,CHOOSE(MATCH(RegimeExecucao,{"Global","Unitário"},0),ROUND(ROUND(BM.MEDAcumulado,15-13*BM!$A$9)/100*BM!$I72,15-13*ORÇAMENTO!$AF$11),ROUND(ROUND(BM.MEDAcumulado,15-13*BM!$A$9)*ROUND(BM!$H72,15-13*ORÇAMENTO!$AF$10),15-13*ORÇAMENTO!$AF$11))),IF($A72=0,0,ROUND(SomaAgrupBM,15-13*ORÇAMENTO!$AF$11)))</f>
        <v>0</v>
      </c>
    </row>
    <row r="73" spans="1:41" s="696" customFormat="1" ht="76.5" x14ac:dyDescent="0.2">
      <c r="A73" s="696" t="str">
        <f ca="1">ORÇAMENTO!C73</f>
        <v>S</v>
      </c>
      <c r="B73" s="696">
        <f ca="1">ORÇAMENTO!D73</f>
        <v>0</v>
      </c>
      <c r="C73" s="114" t="str">
        <f t="shared" ca="1" si="1"/>
        <v>F</v>
      </c>
      <c r="D73" s="117" t="str">
        <f ca="1">ORÇAMENTO!O73</f>
        <v>1.10.2.</v>
      </c>
      <c r="E73" s="163" t="str">
        <f t="shared" ca="1" si="2"/>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
      <c r="F73" s="164" t="str">
        <f t="array" aca="1" ref="F73" ca="1">IF(RegimeExecucao="Global","",ORÇAMENTO.Unidade)</f>
        <v>M2</v>
      </c>
      <c r="G73" s="122">
        <f t="array" aca="1" ref="G73" ca="1">IF(RegimeExecucao="Global","",ORÇAMENTO!T73)</f>
        <v>52</v>
      </c>
      <c r="H73" s="122">
        <f t="array" aca="1" ref="H73" ca="1">IF(RegimeExecucao="Global","",ORÇAMENTO!W73)</f>
        <v>343.99</v>
      </c>
      <c r="I73" s="125">
        <f ca="1">ORÇAMENTO!X73</f>
        <v>17887.48</v>
      </c>
      <c r="J73" s="333">
        <f t="array" aca="1" ref="J73" ca="1">IF($A73="S",IF(CAIXA.Modo,BM.AFAnterior,BM.MEDAnterior),IF(AND(RegimeExecucao="Global",$I73&gt;0,COUNTIF($AB$13:$AM$13,BM.medicao-1)&gt;0),M73/$I73*100,0))</f>
        <v>0</v>
      </c>
      <c r="K73" s="122">
        <f t="shared" ca="1" si="3"/>
        <v>0</v>
      </c>
      <c r="L73" s="334">
        <f t="array" aca="1" ref="L73" ca="1">IF($A73="S",IF(CAIXA.Modo,BM.AFAcumulado,BM.MEDAcumulado),IF(AND(RegimeExecucao="Global",$I73&gt;0,COUNTIF($AB$13:$AM$13,BM.medicao)&gt;0),O73/$I73*100,0))</f>
        <v>0</v>
      </c>
      <c r="M73" s="335">
        <f t="array" aca="1" ref="M73" ca="1">IF($A73="S",VTOTALBM,IF($A73=0,0,ROUND(SomaAgrupBM,15-13*ORÇAMENTO!$AF$11)))</f>
        <v>0</v>
      </c>
      <c r="N73" s="336">
        <f t="shared" ca="1" si="4"/>
        <v>0</v>
      </c>
      <c r="O73" s="125">
        <f t="array" aca="1" ref="O73" ca="1">IF($A73="S",VTOTALBM,IF($A73=0,0,ROUND(SomaAgrupBM,15-13*ORÇAMENTO!$AF$11)))</f>
        <v>0</v>
      </c>
      <c r="Q73" s="337"/>
      <c r="R73" s="338"/>
      <c r="T73" s="117" t="str">
        <f t="shared" ca="1" si="5"/>
        <v/>
      </c>
      <c r="U73" s="163" t="str">
        <f t="shared" ca="1" si="6"/>
        <v/>
      </c>
      <c r="V73" s="164" t="str">
        <f t="array" aca="1" ref="V73" ca="1">IF(AND($W73&gt;0,RegimeExecucao="Unitário"),$F73,"")</f>
        <v/>
      </c>
      <c r="W73" s="453">
        <f t="array" aca="1" ref="W73" ca="1">IF($Y73&gt;0,CHOOSE(MATCH(RegimeExecucao,{"Unitário","Global"},0),IF($A73="S",$Y73/$X73,""),($Y73/$X73)*100),0)</f>
        <v>0</v>
      </c>
      <c r="X73" s="339" t="str">
        <f t="array" aca="1" ref="X73" ca="1">IF($Y73&gt;0,CHOOSE(MATCH(RegimeExecucao,{"Unitário","Global"},0),IF($A73="S",ROUND($H73,ORÇAMENTO!$AF$10),""),ROUND($I73,ORÇAMENTO!$AF$11)),"")</f>
        <v/>
      </c>
      <c r="Y73" s="339">
        <f t="shared" ca="1" si="7"/>
        <v>0</v>
      </c>
      <c r="Z73" s="472"/>
      <c r="AB73" s="337"/>
      <c r="AC73" s="437"/>
      <c r="AD73" s="437"/>
      <c r="AE73" s="437"/>
      <c r="AF73" s="437"/>
      <c r="AG73" s="437"/>
      <c r="AH73" s="437"/>
      <c r="AI73" s="437"/>
      <c r="AJ73" s="437"/>
      <c r="AK73" s="437"/>
      <c r="AL73" s="437"/>
      <c r="AM73" s="338"/>
      <c r="AO73" s="696">
        <f t="array" aca="1" ref="AO73" ca="1">IF($A73="S",IF(BM!$I73=0,0,CHOOSE(MATCH(RegimeExecucao,{"Global","Unitário"},0),ROUND(ROUND(BM.MEDAcumulado,15-13*BM!$A$9)/100*BM!$I73,15-13*ORÇAMENTO!$AF$11),ROUND(ROUND(BM.MEDAcumulado,15-13*BM!$A$9)*ROUND(BM!$H73,15-13*ORÇAMENTO!$AF$10),15-13*ORÇAMENTO!$AF$11))),IF($A73=0,0,ROUND(SomaAgrupBM,15-13*ORÇAMENTO!$AF$11)))</f>
        <v>0</v>
      </c>
    </row>
    <row r="74" spans="1:41" s="696" customFormat="1" ht="76.5" x14ac:dyDescent="0.2">
      <c r="A74" s="696" t="str">
        <f ca="1">ORÇAMENTO!C74</f>
        <v>S</v>
      </c>
      <c r="B74" s="696">
        <f ca="1">ORÇAMENTO!D74</f>
        <v>0</v>
      </c>
      <c r="C74" s="114" t="str">
        <f t="shared" ca="1" si="1"/>
        <v>F</v>
      </c>
      <c r="D74" s="117" t="str">
        <f ca="1">ORÇAMENTO!O74</f>
        <v>1.10.3.</v>
      </c>
      <c r="E74" s="163" t="str">
        <f t="shared" ca="1" si="2"/>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
      <c r="F74" s="164" t="str">
        <f t="array" aca="1" ref="F74" ca="1">IF(RegimeExecucao="Global","",ORÇAMENTO.Unidade)</f>
        <v>M2</v>
      </c>
      <c r="G74" s="122">
        <f t="array" aca="1" ref="G74" ca="1">IF(RegimeExecucao="Global","",ORÇAMENTO!T74)</f>
        <v>56</v>
      </c>
      <c r="H74" s="122">
        <f t="array" aca="1" ref="H74" ca="1">IF(RegimeExecucao="Global","",ORÇAMENTO!W74)</f>
        <v>491.67</v>
      </c>
      <c r="I74" s="125">
        <f ca="1">ORÇAMENTO!X74</f>
        <v>27533.52</v>
      </c>
      <c r="J74" s="333">
        <f t="array" aca="1" ref="J74" ca="1">IF($A74="S",IF(CAIXA.Modo,BM.AFAnterior,BM.MEDAnterior),IF(AND(RegimeExecucao="Global",$I74&gt;0,COUNTIF($AB$13:$AM$13,BM.medicao-1)&gt;0),M74/$I74*100,0))</f>
        <v>0</v>
      </c>
      <c r="K74" s="122">
        <f t="shared" ca="1" si="3"/>
        <v>0</v>
      </c>
      <c r="L74" s="334">
        <f t="array" aca="1" ref="L74" ca="1">IF($A74="S",IF(CAIXA.Modo,BM.AFAcumulado,BM.MEDAcumulado),IF(AND(RegimeExecucao="Global",$I74&gt;0,COUNTIF($AB$13:$AM$13,BM.medicao)&gt;0),O74/$I74*100,0))</f>
        <v>0</v>
      </c>
      <c r="M74" s="335">
        <f t="array" aca="1" ref="M74" ca="1">IF($A74="S",VTOTALBM,IF($A74=0,0,ROUND(SomaAgrupBM,15-13*ORÇAMENTO!$AF$11)))</f>
        <v>0</v>
      </c>
      <c r="N74" s="336">
        <f t="shared" ca="1" si="4"/>
        <v>0</v>
      </c>
      <c r="O74" s="125">
        <f t="array" aca="1" ref="O74" ca="1">IF($A74="S",VTOTALBM,IF($A74=0,0,ROUND(SomaAgrupBM,15-13*ORÇAMENTO!$AF$11)))</f>
        <v>0</v>
      </c>
      <c r="Q74" s="337"/>
      <c r="R74" s="338"/>
      <c r="T74" s="117" t="str">
        <f t="shared" ca="1" si="5"/>
        <v/>
      </c>
      <c r="U74" s="163" t="str">
        <f t="shared" ca="1" si="6"/>
        <v/>
      </c>
      <c r="V74" s="164" t="str">
        <f t="array" aca="1" ref="V74" ca="1">IF(AND($W74&gt;0,RegimeExecucao="Unitário"),$F74,"")</f>
        <v/>
      </c>
      <c r="W74" s="453">
        <f t="array" aca="1" ref="W74" ca="1">IF($Y74&gt;0,CHOOSE(MATCH(RegimeExecucao,{"Unitário","Global"},0),IF($A74="S",$Y74/$X74,""),($Y74/$X74)*100),0)</f>
        <v>0</v>
      </c>
      <c r="X74" s="339" t="str">
        <f t="array" aca="1" ref="X74" ca="1">IF($Y74&gt;0,CHOOSE(MATCH(RegimeExecucao,{"Unitário","Global"},0),IF($A74="S",ROUND($H74,ORÇAMENTO!$AF$10),""),ROUND($I74,ORÇAMENTO!$AF$11)),"")</f>
        <v/>
      </c>
      <c r="Y74" s="339">
        <f t="shared" ca="1" si="7"/>
        <v>0</v>
      </c>
      <c r="Z74" s="472"/>
      <c r="AB74" s="337"/>
      <c r="AC74" s="437"/>
      <c r="AD74" s="437"/>
      <c r="AE74" s="437"/>
      <c r="AF74" s="437"/>
      <c r="AG74" s="437"/>
      <c r="AH74" s="437"/>
      <c r="AI74" s="437"/>
      <c r="AJ74" s="437"/>
      <c r="AK74" s="437"/>
      <c r="AL74" s="437"/>
      <c r="AM74" s="338"/>
      <c r="AO74" s="696">
        <f t="array" aca="1" ref="AO74" ca="1">IF($A74="S",IF(BM!$I74=0,0,CHOOSE(MATCH(RegimeExecucao,{"Global","Unitário"},0),ROUND(ROUND(BM.MEDAcumulado,15-13*BM!$A$9)/100*BM!$I74,15-13*ORÇAMENTO!$AF$11),ROUND(ROUND(BM.MEDAcumulado,15-13*BM!$A$9)*ROUND(BM!$H74,15-13*ORÇAMENTO!$AF$10),15-13*ORÇAMENTO!$AF$11))),IF($A74=0,0,ROUND(SomaAgrupBM,15-13*ORÇAMENTO!$AF$11)))</f>
        <v>0</v>
      </c>
    </row>
    <row r="75" spans="1:41" s="696" customFormat="1" ht="63.75" x14ac:dyDescent="0.2">
      <c r="A75" s="696" t="str">
        <f ca="1">ORÇAMENTO!C75</f>
        <v>S</v>
      </c>
      <c r="B75" s="696">
        <f ca="1">ORÇAMENTO!D75</f>
        <v>0</v>
      </c>
      <c r="C75" s="114" t="str">
        <f t="shared" ref="C75:C131" ca="1" si="8">IF(OR($I75&gt;0,$A75=1,$A75=2,$A75=3,$A75=4),"F","")</f>
        <v>F</v>
      </c>
      <c r="D75" s="117" t="str">
        <f ca="1">ORÇAMENTO!O75</f>
        <v>1.10.4.</v>
      </c>
      <c r="E75" s="163" t="str">
        <f t="shared" ref="E75:E131" ca="1" si="9">ORÇAMENTO.Descricao</f>
        <v>JANELA DE ALUMÍNIO TIPO MAXIM-AR, BATENTE/ REQUADRO 3 A 14 CM, VIDRO INCLUSO, FIXAÇÃO COM PARAFUSO, SEM GUARNIÇÃO/ ALIZAR, DIMENSÕES 60X80 (A X L) CM, SEM ACABAMENTO, VEDAÇÃO COM SILICONE, EXCLUSIVE CONTRAMARCO - FORNECIMENTO E INSTALAÇÃO. AF_11/2024</v>
      </c>
      <c r="F75" s="164" t="str">
        <f t="array" aca="1" ref="F75" ca="1">IF(RegimeExecucao="Global","",ORÇAMENTO.Unidade)</f>
        <v>M2</v>
      </c>
      <c r="G75" s="122">
        <f t="array" aca="1" ref="G75" ca="1">IF(RegimeExecucao="Global","",ORÇAMENTO!T75)</f>
        <v>9.6</v>
      </c>
      <c r="H75" s="122">
        <f t="array" aca="1" ref="H75" ca="1">IF(RegimeExecucao="Global","",ORÇAMENTO!W75)</f>
        <v>654.85</v>
      </c>
      <c r="I75" s="125">
        <f ca="1">ORÇAMENTO!X75</f>
        <v>6286.56</v>
      </c>
      <c r="J75" s="333">
        <f t="array" aca="1" ref="J75" ca="1">IF($A75="S",IF(CAIXA.Modo,BM.AFAnterior,BM.MEDAnterior),IF(AND(RegimeExecucao="Global",$I75&gt;0,COUNTIF($AB$13:$AM$13,BM.medicao-1)&gt;0),M75/$I75*100,0))</f>
        <v>0</v>
      </c>
      <c r="K75" s="122">
        <f t="shared" ref="K75:K131" ca="1" si="10">L75-J75</f>
        <v>0</v>
      </c>
      <c r="L75" s="334">
        <f t="array" aca="1" ref="L75" ca="1">IF($A75="S",IF(CAIXA.Modo,BM.AFAcumulado,BM.MEDAcumulado),IF(AND(RegimeExecucao="Global",$I75&gt;0,COUNTIF($AB$13:$AM$13,BM.medicao)&gt;0),O75/$I75*100,0))</f>
        <v>0</v>
      </c>
      <c r="M75" s="335">
        <f t="array" aca="1" ref="M75" ca="1">IF($A75="S",VTOTALBM,IF($A75=0,0,ROUND(SomaAgrupBM,15-13*ORÇAMENTO!$AF$11)))</f>
        <v>0</v>
      </c>
      <c r="N75" s="336">
        <f t="shared" ref="N75:N131" ca="1" si="11">O75-M75</f>
        <v>0</v>
      </c>
      <c r="O75" s="125">
        <f t="array" aca="1" ref="O75" ca="1">IF($A75="S",VTOTALBM,IF($A75=0,0,ROUND(SomaAgrupBM,15-13*ORÇAMENTO!$AF$11)))</f>
        <v>0</v>
      </c>
      <c r="Q75" s="337"/>
      <c r="R75" s="338"/>
      <c r="T75" s="117" t="str">
        <f t="shared" ref="T75:T131" ca="1" si="12">IF($W75&gt;0,$D75,"")</f>
        <v/>
      </c>
      <c r="U75" s="163" t="str">
        <f t="shared" ref="U75:U131" ca="1" si="13">IF($W75&gt;0,$E75,"")</f>
        <v/>
      </c>
      <c r="V75" s="164" t="str">
        <f t="array" aca="1" ref="V75" ca="1">IF(AND($W75&gt;0,RegimeExecucao="Unitário"),$F75,"")</f>
        <v/>
      </c>
      <c r="W75" s="453">
        <f t="array" aca="1" ref="W75" ca="1">IF($Y75&gt;0,CHOOSE(MATCH(RegimeExecucao,{"Unitário","Global"},0),IF($A75="S",$Y75/$X75,""),($Y75/$X75)*100),0)</f>
        <v>0</v>
      </c>
      <c r="X75" s="339" t="str">
        <f t="array" aca="1" ref="X75" ca="1">IF($Y75&gt;0,CHOOSE(MATCH(RegimeExecucao,{"Unitário","Global"},0),IF($A75="S",ROUND($H75,ORÇAMENTO!$AF$10),""),ROUND($I75,ORÇAMENTO!$AF$11)),"")</f>
        <v/>
      </c>
      <c r="Y75" s="339">
        <f t="shared" ref="Y75:Y131" ca="1" si="14">AO75-O75</f>
        <v>0</v>
      </c>
      <c r="Z75" s="472"/>
      <c r="AB75" s="337"/>
      <c r="AC75" s="437"/>
      <c r="AD75" s="437"/>
      <c r="AE75" s="437"/>
      <c r="AF75" s="437"/>
      <c r="AG75" s="437"/>
      <c r="AH75" s="437"/>
      <c r="AI75" s="437"/>
      <c r="AJ75" s="437"/>
      <c r="AK75" s="437"/>
      <c r="AL75" s="437"/>
      <c r="AM75" s="338"/>
      <c r="AO75" s="696">
        <f t="array" aca="1" ref="AO75" ca="1">IF($A75="S",IF(BM!$I75=0,0,CHOOSE(MATCH(RegimeExecucao,{"Global","Unitário"},0),ROUND(ROUND(BM.MEDAcumulado,15-13*BM!$A$9)/100*BM!$I75,15-13*ORÇAMENTO!$AF$11),ROUND(ROUND(BM.MEDAcumulado,15-13*BM!$A$9)*ROUND(BM!$H75,15-13*ORÇAMENTO!$AF$10),15-13*ORÇAMENTO!$AF$11))),IF($A75=0,0,ROUND(SomaAgrupBM,15-13*ORÇAMENTO!$AF$11)))</f>
        <v>0</v>
      </c>
    </row>
    <row r="76" spans="1:41" s="696" customFormat="1" x14ac:dyDescent="0.2">
      <c r="A76" s="696">
        <f ca="1">ORÇAMENTO!C76</f>
        <v>2</v>
      </c>
      <c r="B76" s="696">
        <f ca="1">ORÇAMENTO!D76</f>
        <v>2</v>
      </c>
      <c r="C76" s="114" t="str">
        <f t="shared" ca="1" si="8"/>
        <v>F</v>
      </c>
      <c r="D76" s="117" t="str">
        <f ca="1">ORÇAMENTO!O76</f>
        <v>1.11.</v>
      </c>
      <c r="E76" s="163" t="str">
        <f t="shared" si="9"/>
        <v>ESQUADRIA DE MADEIRA</v>
      </c>
      <c r="F76" s="164" t="str">
        <f t="array" aca="1" ref="F76" ca="1">IF(RegimeExecucao="Global","",ORÇAMENTO.Unidade)</f>
        <v>-</v>
      </c>
      <c r="G76" s="122">
        <f t="array" aca="1" ref="G76" ca="1">IF(RegimeExecucao="Global","",ORÇAMENTO!T76)</f>
        <v>0</v>
      </c>
      <c r="H76" s="122">
        <f t="array" aca="1" ref="H76" ca="1">IF(RegimeExecucao="Global","",ORÇAMENTO!W76)</f>
        <v>0</v>
      </c>
      <c r="I76" s="125">
        <f ca="1">ORÇAMENTO!X76</f>
        <v>63173.4</v>
      </c>
      <c r="J76" s="333">
        <f t="array" aca="1" ref="J76" ca="1">IF($A76="S",IF(CAIXA.Modo,BM.AFAnterior,BM.MEDAnterior),IF(AND(RegimeExecucao="Global",$I76&gt;0,COUNTIF($AB$13:$AM$13,BM.medicao-1)&gt;0),M76/$I76*100,0))</f>
        <v>0</v>
      </c>
      <c r="K76" s="122">
        <f t="shared" ca="1" si="10"/>
        <v>0</v>
      </c>
      <c r="L76" s="334">
        <f t="array" aca="1" ref="L76" ca="1">IF($A76="S",IF(CAIXA.Modo,BM.AFAcumulado,BM.MEDAcumulado),IF(AND(RegimeExecucao="Global",$I76&gt;0,COUNTIF($AB$13:$AM$13,BM.medicao)&gt;0),O76/$I76*100,0))</f>
        <v>0</v>
      </c>
      <c r="M76" s="335">
        <f t="array" aca="1" ref="M76" ca="1">IF($A76="S",VTOTALBM,IF($A76=0,0,ROUND(SomaAgrupBM,15-13*ORÇAMENTO!$AF$11)))</f>
        <v>0</v>
      </c>
      <c r="N76" s="336">
        <f t="shared" ca="1" si="11"/>
        <v>0</v>
      </c>
      <c r="O76" s="125">
        <f t="array" aca="1" ref="O76" ca="1">IF($A76="S",VTOTALBM,IF($A76=0,0,ROUND(SomaAgrupBM,15-13*ORÇAMENTO!$AF$11)))</f>
        <v>0</v>
      </c>
      <c r="Q76" s="337"/>
      <c r="R76" s="338"/>
      <c r="T76" s="117" t="str">
        <f t="shared" ca="1" si="12"/>
        <v/>
      </c>
      <c r="U76" s="163" t="str">
        <f t="shared" ca="1" si="13"/>
        <v/>
      </c>
      <c r="V76" s="164" t="str">
        <f t="array" aca="1" ref="V76" ca="1">IF(AND($W76&gt;0,RegimeExecucao="Unitário"),$F76,"")</f>
        <v/>
      </c>
      <c r="W76" s="453">
        <f t="array" aca="1" ref="W76" ca="1">IF($Y76&gt;0,CHOOSE(MATCH(RegimeExecucao,{"Unitário","Global"},0),IF($A76="S",$Y76/$X76,""),($Y76/$X76)*100),0)</f>
        <v>0</v>
      </c>
      <c r="X76" s="339" t="str">
        <f t="array" aca="1" ref="X76" ca="1">IF($Y76&gt;0,CHOOSE(MATCH(RegimeExecucao,{"Unitário","Global"},0),IF($A76="S",ROUND($H76,ORÇAMENTO!$AF$10),""),ROUND($I76,ORÇAMENTO!$AF$11)),"")</f>
        <v/>
      </c>
      <c r="Y76" s="339">
        <f t="shared" ca="1" si="14"/>
        <v>0</v>
      </c>
      <c r="Z76" s="472"/>
      <c r="AB76" s="337"/>
      <c r="AC76" s="437"/>
      <c r="AD76" s="437"/>
      <c r="AE76" s="437"/>
      <c r="AF76" s="437"/>
      <c r="AG76" s="437"/>
      <c r="AH76" s="437"/>
      <c r="AI76" s="437"/>
      <c r="AJ76" s="437"/>
      <c r="AK76" s="437"/>
      <c r="AL76" s="437"/>
      <c r="AM76" s="338"/>
      <c r="AO76" s="696">
        <f t="array" aca="1" ref="AO76" ca="1">IF($A76="S",IF(BM!$I76=0,0,CHOOSE(MATCH(RegimeExecucao,{"Global","Unitário"},0),ROUND(ROUND(BM.MEDAcumulado,15-13*BM!$A$9)/100*BM!$I76,15-13*ORÇAMENTO!$AF$11),ROUND(ROUND(BM.MEDAcumulado,15-13*BM!$A$9)*ROUND(BM!$H76,15-13*ORÇAMENTO!$AF$10),15-13*ORÇAMENTO!$AF$11))),IF($A76=0,0,ROUND(SomaAgrupBM,15-13*ORÇAMENTO!$AF$11)))</f>
        <v>0</v>
      </c>
    </row>
    <row r="77" spans="1:41" s="696" customFormat="1" ht="63.75" x14ac:dyDescent="0.2">
      <c r="A77" s="696" t="str">
        <f ca="1">ORÇAMENTO!C77</f>
        <v>S</v>
      </c>
      <c r="B77" s="696">
        <f ca="1">ORÇAMENTO!D77</f>
        <v>0</v>
      </c>
      <c r="C77" s="114" t="str">
        <f t="shared" ca="1" si="8"/>
        <v>F</v>
      </c>
      <c r="D77" s="117" t="str">
        <f ca="1">ORÇAMENTO!O77</f>
        <v>1.11.1.</v>
      </c>
      <c r="E77" s="163" t="str">
        <f t="shared" ca="1" si="9"/>
        <v>KIT DE PORTA DE MADEIRA PARA PINTURA, SEMI-OCA (LEVE OU MÉDIA), PADRÃO POPULAR, 80X210CM, ESPESSURA DE 3,5CM, ITENS INCLUSOS: DOBRADIÇAS, MONTAGEM E INSTALAÇÃO DO BATENTE, FECHADURA COM EXECUÇÃO DO FURO - FORNECIMENTO E INSTALAÇÃO. AF_12/2019</v>
      </c>
      <c r="F77" s="164" t="str">
        <f t="array" aca="1" ref="F77" ca="1">IF(RegimeExecucao="Global","",ORÇAMENTO.Unidade)</f>
        <v>UN</v>
      </c>
      <c r="G77" s="122">
        <f t="array" aca="1" ref="G77" ca="1">IF(RegimeExecucao="Global","",ORÇAMENTO!T77)</f>
        <v>60</v>
      </c>
      <c r="H77" s="122">
        <f t="array" aca="1" ref="H77" ca="1">IF(RegimeExecucao="Global","",ORÇAMENTO!W77)</f>
        <v>1052.8900000000001</v>
      </c>
      <c r="I77" s="125">
        <f ca="1">ORÇAMENTO!X77</f>
        <v>63173.4</v>
      </c>
      <c r="J77" s="333">
        <f t="array" aca="1" ref="J77" ca="1">IF($A77="S",IF(CAIXA.Modo,BM.AFAnterior,BM.MEDAnterior),IF(AND(RegimeExecucao="Global",$I77&gt;0,COUNTIF($AB$13:$AM$13,BM.medicao-1)&gt;0),M77/$I77*100,0))</f>
        <v>0</v>
      </c>
      <c r="K77" s="122">
        <f t="shared" ca="1" si="10"/>
        <v>0</v>
      </c>
      <c r="L77" s="334">
        <f t="array" aca="1" ref="L77" ca="1">IF($A77="S",IF(CAIXA.Modo,BM.AFAcumulado,BM.MEDAcumulado),IF(AND(RegimeExecucao="Global",$I77&gt;0,COUNTIF($AB$13:$AM$13,BM.medicao)&gt;0),O77/$I77*100,0))</f>
        <v>0</v>
      </c>
      <c r="M77" s="335">
        <f t="array" aca="1" ref="M77" ca="1">IF($A77="S",VTOTALBM,IF($A77=0,0,ROUND(SomaAgrupBM,15-13*ORÇAMENTO!$AF$11)))</f>
        <v>0</v>
      </c>
      <c r="N77" s="336">
        <f t="shared" ca="1" si="11"/>
        <v>0</v>
      </c>
      <c r="O77" s="125">
        <f t="array" aca="1" ref="O77" ca="1">IF($A77="S",VTOTALBM,IF($A77=0,0,ROUND(SomaAgrupBM,15-13*ORÇAMENTO!$AF$11)))</f>
        <v>0</v>
      </c>
      <c r="Q77" s="337"/>
      <c r="R77" s="338"/>
      <c r="T77" s="117" t="str">
        <f t="shared" ca="1" si="12"/>
        <v/>
      </c>
      <c r="U77" s="163" t="str">
        <f t="shared" ca="1" si="13"/>
        <v/>
      </c>
      <c r="V77" s="164" t="str">
        <f t="array" aca="1" ref="V77" ca="1">IF(AND($W77&gt;0,RegimeExecucao="Unitário"),$F77,"")</f>
        <v/>
      </c>
      <c r="W77" s="453">
        <f t="array" aca="1" ref="W77" ca="1">IF($Y77&gt;0,CHOOSE(MATCH(RegimeExecucao,{"Unitário","Global"},0),IF($A77="S",$Y77/$X77,""),($Y77/$X77)*100),0)</f>
        <v>0</v>
      </c>
      <c r="X77" s="339" t="str">
        <f t="array" aca="1" ref="X77" ca="1">IF($Y77&gt;0,CHOOSE(MATCH(RegimeExecucao,{"Unitário","Global"},0),IF($A77="S",ROUND($H77,ORÇAMENTO!$AF$10),""),ROUND($I77,ORÇAMENTO!$AF$11)),"")</f>
        <v/>
      </c>
      <c r="Y77" s="339">
        <f t="shared" ca="1" si="14"/>
        <v>0</v>
      </c>
      <c r="Z77" s="472"/>
      <c r="AB77" s="337"/>
      <c r="AC77" s="437"/>
      <c r="AD77" s="437"/>
      <c r="AE77" s="437"/>
      <c r="AF77" s="437"/>
      <c r="AG77" s="437"/>
      <c r="AH77" s="437"/>
      <c r="AI77" s="437"/>
      <c r="AJ77" s="437"/>
      <c r="AK77" s="437"/>
      <c r="AL77" s="437"/>
      <c r="AM77" s="338"/>
      <c r="AO77" s="696">
        <f t="array" aca="1" ref="AO77" ca="1">IF($A77="S",IF(BM!$I77=0,0,CHOOSE(MATCH(RegimeExecucao,{"Global","Unitário"},0),ROUND(ROUND(BM.MEDAcumulado,15-13*BM!$A$9)/100*BM!$I77,15-13*ORÇAMENTO!$AF$11),ROUND(ROUND(BM.MEDAcumulado,15-13*BM!$A$9)*ROUND(BM!$H77,15-13*ORÇAMENTO!$AF$10),15-13*ORÇAMENTO!$AF$11))),IF($A77=0,0,ROUND(SomaAgrupBM,15-13*ORÇAMENTO!$AF$11)))</f>
        <v>0</v>
      </c>
    </row>
    <row r="78" spans="1:41" s="696" customFormat="1" x14ac:dyDescent="0.2">
      <c r="A78" s="696">
        <f ca="1">ORÇAMENTO!C78</f>
        <v>2</v>
      </c>
      <c r="B78" s="696">
        <f ca="1">ORÇAMENTO!D78</f>
        <v>6</v>
      </c>
      <c r="C78" s="114" t="str">
        <f t="shared" ca="1" si="8"/>
        <v>F</v>
      </c>
      <c r="D78" s="117" t="str">
        <f ca="1">ORÇAMENTO!O78</f>
        <v>1.12.</v>
      </c>
      <c r="E78" s="163" t="str">
        <f t="shared" si="9"/>
        <v>COBERTURAS</v>
      </c>
      <c r="F78" s="164" t="str">
        <f t="array" aca="1" ref="F78" ca="1">IF(RegimeExecucao="Global","",ORÇAMENTO.Unidade)</f>
        <v>-</v>
      </c>
      <c r="G78" s="122">
        <f t="array" aca="1" ref="G78" ca="1">IF(RegimeExecucao="Global","",ORÇAMENTO!T78)</f>
        <v>0</v>
      </c>
      <c r="H78" s="122">
        <f t="array" aca="1" ref="H78" ca="1">IF(RegimeExecucao="Global","",ORÇAMENTO!W78)</f>
        <v>0</v>
      </c>
      <c r="I78" s="125">
        <f ca="1">ORÇAMENTO!X78</f>
        <v>526174.64</v>
      </c>
      <c r="J78" s="333">
        <f t="array" aca="1" ref="J78" ca="1">IF($A78="S",IF(CAIXA.Modo,BM.AFAnterior,BM.MEDAnterior),IF(AND(RegimeExecucao="Global",$I78&gt;0,COUNTIF($AB$13:$AM$13,BM.medicao-1)&gt;0),M78/$I78*100,0))</f>
        <v>0</v>
      </c>
      <c r="K78" s="122">
        <f t="shared" ca="1" si="10"/>
        <v>0</v>
      </c>
      <c r="L78" s="334">
        <f t="array" aca="1" ref="L78" ca="1">IF($A78="S",IF(CAIXA.Modo,BM.AFAcumulado,BM.MEDAcumulado),IF(AND(RegimeExecucao="Global",$I78&gt;0,COUNTIF($AB$13:$AM$13,BM.medicao)&gt;0),O78/$I78*100,0))</f>
        <v>0</v>
      </c>
      <c r="M78" s="335">
        <f t="array" aca="1" ref="M78" ca="1">IF($A78="S",VTOTALBM,IF($A78=0,0,ROUND(SomaAgrupBM,15-13*ORÇAMENTO!$AF$11)))</f>
        <v>0</v>
      </c>
      <c r="N78" s="336">
        <f t="shared" ca="1" si="11"/>
        <v>0</v>
      </c>
      <c r="O78" s="125">
        <f t="array" aca="1" ref="O78" ca="1">IF($A78="S",VTOTALBM,IF($A78=0,0,ROUND(SomaAgrupBM,15-13*ORÇAMENTO!$AF$11)))</f>
        <v>0</v>
      </c>
      <c r="Q78" s="337"/>
      <c r="R78" s="338"/>
      <c r="T78" s="117" t="str">
        <f t="shared" ca="1" si="12"/>
        <v/>
      </c>
      <c r="U78" s="163" t="str">
        <f t="shared" ca="1" si="13"/>
        <v/>
      </c>
      <c r="V78" s="164" t="str">
        <f t="array" aca="1" ref="V78" ca="1">IF(AND($W78&gt;0,RegimeExecucao="Unitário"),$F78,"")</f>
        <v/>
      </c>
      <c r="W78" s="453">
        <f t="array" aca="1" ref="W78" ca="1">IF($Y78&gt;0,CHOOSE(MATCH(RegimeExecucao,{"Unitário","Global"},0),IF($A78="S",$Y78/$X78,""),($Y78/$X78)*100),0)</f>
        <v>0</v>
      </c>
      <c r="X78" s="339" t="str">
        <f t="array" aca="1" ref="X78" ca="1">IF($Y78&gt;0,CHOOSE(MATCH(RegimeExecucao,{"Unitário","Global"},0),IF($A78="S",ROUND($H78,ORÇAMENTO!$AF$10),""),ROUND($I78,ORÇAMENTO!$AF$11)),"")</f>
        <v/>
      </c>
      <c r="Y78" s="339">
        <f t="shared" ca="1" si="14"/>
        <v>0</v>
      </c>
      <c r="Z78" s="472"/>
      <c r="AB78" s="337"/>
      <c r="AC78" s="437"/>
      <c r="AD78" s="437"/>
      <c r="AE78" s="437"/>
      <c r="AF78" s="437"/>
      <c r="AG78" s="437"/>
      <c r="AH78" s="437"/>
      <c r="AI78" s="437"/>
      <c r="AJ78" s="437"/>
      <c r="AK78" s="437"/>
      <c r="AL78" s="437"/>
      <c r="AM78" s="338"/>
      <c r="AO78" s="696">
        <f t="array" aca="1" ref="AO78" ca="1">IF($A78="S",IF(BM!$I78=0,0,CHOOSE(MATCH(RegimeExecucao,{"Global","Unitário"},0),ROUND(ROUND(BM.MEDAcumulado,15-13*BM!$A$9)/100*BM!$I78,15-13*ORÇAMENTO!$AF$11),ROUND(ROUND(BM.MEDAcumulado,15-13*BM!$A$9)*ROUND(BM!$H78,15-13*ORÇAMENTO!$AF$10),15-13*ORÇAMENTO!$AF$11))),IF($A78=0,0,ROUND(SomaAgrupBM,15-13*ORÇAMENTO!$AF$11)))</f>
        <v>0</v>
      </c>
    </row>
    <row r="79" spans="1:41" s="696" customFormat="1" ht="38.25" x14ac:dyDescent="0.2">
      <c r="A79" s="696" t="str">
        <f ca="1">ORÇAMENTO!C79</f>
        <v>S</v>
      </c>
      <c r="B79" s="696">
        <f ca="1">ORÇAMENTO!D79</f>
        <v>0</v>
      </c>
      <c r="C79" s="114" t="str">
        <f t="shared" ca="1" si="8"/>
        <v>F</v>
      </c>
      <c r="D79" s="117" t="str">
        <f ca="1">ORÇAMENTO!O79</f>
        <v>1.12.1.</v>
      </c>
      <c r="E79" s="163" t="str">
        <f t="shared" ca="1" si="9"/>
        <v>TRAMA DE MADEIRA COMPOSTA POR RIPAS, CAIBROS E TERÇAS PARA TELHADOS DE ATÉ 2 ÁGUAS PARA TELHA CERÂMICA CAPA-CANAL, INCLUSO TRANSPORTE VERTICAL. AF_07/2019</v>
      </c>
      <c r="F79" s="164" t="str">
        <f t="array" aca="1" ref="F79" ca="1">IF(RegimeExecucao="Global","",ORÇAMENTO.Unidade)</f>
        <v>M2</v>
      </c>
      <c r="G79" s="122">
        <f t="array" aca="1" ref="G79" ca="1">IF(RegimeExecucao="Global","",ORÇAMENTO!T79)</f>
        <v>1469.8</v>
      </c>
      <c r="H79" s="122">
        <f t="array" aca="1" ref="H79" ca="1">IF(RegimeExecucao="Global","",ORÇAMENTO!W79)</f>
        <v>120.71</v>
      </c>
      <c r="I79" s="125">
        <f ca="1">ORÇAMENTO!X79</f>
        <v>177419.56</v>
      </c>
      <c r="J79" s="333">
        <f t="array" aca="1" ref="J79" ca="1">IF($A79="S",IF(CAIXA.Modo,BM.AFAnterior,BM.MEDAnterior),IF(AND(RegimeExecucao="Global",$I79&gt;0,COUNTIF($AB$13:$AM$13,BM.medicao-1)&gt;0),M79/$I79*100,0))</f>
        <v>0</v>
      </c>
      <c r="K79" s="122">
        <f t="shared" ca="1" si="10"/>
        <v>0</v>
      </c>
      <c r="L79" s="334">
        <f t="array" aca="1" ref="L79" ca="1">IF($A79="S",IF(CAIXA.Modo,BM.AFAcumulado,BM.MEDAcumulado),IF(AND(RegimeExecucao="Global",$I79&gt;0,COUNTIF($AB$13:$AM$13,BM.medicao)&gt;0),O79/$I79*100,0))</f>
        <v>0</v>
      </c>
      <c r="M79" s="335">
        <f t="array" aca="1" ref="M79" ca="1">IF($A79="S",VTOTALBM,IF($A79=0,0,ROUND(SomaAgrupBM,15-13*ORÇAMENTO!$AF$11)))</f>
        <v>0</v>
      </c>
      <c r="N79" s="336">
        <f t="shared" ca="1" si="11"/>
        <v>0</v>
      </c>
      <c r="O79" s="125">
        <f t="array" aca="1" ref="O79" ca="1">IF($A79="S",VTOTALBM,IF($A79=0,0,ROUND(SomaAgrupBM,15-13*ORÇAMENTO!$AF$11)))</f>
        <v>0</v>
      </c>
      <c r="Q79" s="337"/>
      <c r="R79" s="338"/>
      <c r="T79" s="117" t="str">
        <f t="shared" ca="1" si="12"/>
        <v/>
      </c>
      <c r="U79" s="163" t="str">
        <f t="shared" ca="1" si="13"/>
        <v/>
      </c>
      <c r="V79" s="164" t="str">
        <f t="array" aca="1" ref="V79" ca="1">IF(AND($W79&gt;0,RegimeExecucao="Unitário"),$F79,"")</f>
        <v/>
      </c>
      <c r="W79" s="453">
        <f t="array" aca="1" ref="W79" ca="1">IF($Y79&gt;0,CHOOSE(MATCH(RegimeExecucao,{"Unitário","Global"},0),IF($A79="S",$Y79/$X79,""),($Y79/$X79)*100),0)</f>
        <v>0</v>
      </c>
      <c r="X79" s="339" t="str">
        <f t="array" aca="1" ref="X79" ca="1">IF($Y79&gt;0,CHOOSE(MATCH(RegimeExecucao,{"Unitário","Global"},0),IF($A79="S",ROUND($H79,ORÇAMENTO!$AF$10),""),ROUND($I79,ORÇAMENTO!$AF$11)),"")</f>
        <v/>
      </c>
      <c r="Y79" s="339">
        <f t="shared" ca="1" si="14"/>
        <v>0</v>
      </c>
      <c r="Z79" s="472"/>
      <c r="AB79" s="337"/>
      <c r="AC79" s="437"/>
      <c r="AD79" s="437"/>
      <c r="AE79" s="437"/>
      <c r="AF79" s="437"/>
      <c r="AG79" s="437"/>
      <c r="AH79" s="437"/>
      <c r="AI79" s="437"/>
      <c r="AJ79" s="437"/>
      <c r="AK79" s="437"/>
      <c r="AL79" s="437"/>
      <c r="AM79" s="338"/>
      <c r="AO79" s="696">
        <f t="array" aca="1" ref="AO79" ca="1">IF($A79="S",IF(BM!$I79=0,0,CHOOSE(MATCH(RegimeExecucao,{"Global","Unitário"},0),ROUND(ROUND(BM.MEDAcumulado,15-13*BM!$A$9)/100*BM!$I79,15-13*ORÇAMENTO!$AF$11),ROUND(ROUND(BM.MEDAcumulado,15-13*BM!$A$9)*ROUND(BM!$H79,15-13*ORÇAMENTO!$AF$10),15-13*ORÇAMENTO!$AF$11))),IF($A79=0,0,ROUND(SomaAgrupBM,15-13*ORÇAMENTO!$AF$11)))</f>
        <v>0</v>
      </c>
    </row>
    <row r="80" spans="1:41" s="696" customFormat="1" ht="38.25" x14ac:dyDescent="0.2">
      <c r="A80" s="696" t="str">
        <f ca="1">ORÇAMENTO!C80</f>
        <v>S</v>
      </c>
      <c r="B80" s="696">
        <f ca="1">ORÇAMENTO!D80</f>
        <v>0</v>
      </c>
      <c r="C80" s="114" t="str">
        <f t="shared" ca="1" si="8"/>
        <v>F</v>
      </c>
      <c r="D80" s="117" t="str">
        <f ca="1">ORÇAMENTO!O80</f>
        <v>1.12.2.</v>
      </c>
      <c r="E80" s="163" t="str">
        <f t="shared" ca="1" si="9"/>
        <v>TELHAMENTO COM TELHA CERÂMICA CAPA-CANAL, TIPO PAULISTA, COM ATÉ 2 ÁGUAS, INCLUSO TRANSPORTE VERTICAL. AF_07/2019</v>
      </c>
      <c r="F80" s="164" t="str">
        <f t="array" aca="1" ref="F80" ca="1">IF(RegimeExecucao="Global","",ORÇAMENTO.Unidade)</f>
        <v>M2</v>
      </c>
      <c r="G80" s="122">
        <f t="array" aca="1" ref="G80" ca="1">IF(RegimeExecucao="Global","",ORÇAMENTO!T80)</f>
        <v>1469.8</v>
      </c>
      <c r="H80" s="122">
        <f t="array" aca="1" ref="H80" ca="1">IF(RegimeExecucao="Global","",ORÇAMENTO!W80)</f>
        <v>99.8</v>
      </c>
      <c r="I80" s="125">
        <f ca="1">ORÇAMENTO!X80</f>
        <v>146686.04</v>
      </c>
      <c r="J80" s="333">
        <f t="array" aca="1" ref="J80" ca="1">IF($A80="S",IF(CAIXA.Modo,BM.AFAnterior,BM.MEDAnterior),IF(AND(RegimeExecucao="Global",$I80&gt;0,COUNTIF($AB$13:$AM$13,BM.medicao-1)&gt;0),M80/$I80*100,0))</f>
        <v>0</v>
      </c>
      <c r="K80" s="122">
        <f t="shared" ca="1" si="10"/>
        <v>0</v>
      </c>
      <c r="L80" s="334">
        <f t="array" aca="1" ref="L80" ca="1">IF($A80="S",IF(CAIXA.Modo,BM.AFAcumulado,BM.MEDAcumulado),IF(AND(RegimeExecucao="Global",$I80&gt;0,COUNTIF($AB$13:$AM$13,BM.medicao)&gt;0),O80/$I80*100,0))</f>
        <v>0</v>
      </c>
      <c r="M80" s="335">
        <f t="array" aca="1" ref="M80" ca="1">IF($A80="S",VTOTALBM,IF($A80=0,0,ROUND(SomaAgrupBM,15-13*ORÇAMENTO!$AF$11)))</f>
        <v>0</v>
      </c>
      <c r="N80" s="336">
        <f t="shared" ca="1" si="11"/>
        <v>0</v>
      </c>
      <c r="O80" s="125">
        <f t="array" aca="1" ref="O80" ca="1">IF($A80="S",VTOTALBM,IF($A80=0,0,ROUND(SomaAgrupBM,15-13*ORÇAMENTO!$AF$11)))</f>
        <v>0</v>
      </c>
      <c r="Q80" s="337"/>
      <c r="R80" s="338"/>
      <c r="T80" s="117" t="str">
        <f t="shared" ca="1" si="12"/>
        <v/>
      </c>
      <c r="U80" s="163" t="str">
        <f t="shared" ca="1" si="13"/>
        <v/>
      </c>
      <c r="V80" s="164" t="str">
        <f t="array" aca="1" ref="V80" ca="1">IF(AND($W80&gt;0,RegimeExecucao="Unitário"),$F80,"")</f>
        <v/>
      </c>
      <c r="W80" s="453">
        <f t="array" aca="1" ref="W80" ca="1">IF($Y80&gt;0,CHOOSE(MATCH(RegimeExecucao,{"Unitário","Global"},0),IF($A80="S",$Y80/$X80,""),($Y80/$X80)*100),0)</f>
        <v>0</v>
      </c>
      <c r="X80" s="339" t="str">
        <f t="array" aca="1" ref="X80" ca="1">IF($Y80&gt;0,CHOOSE(MATCH(RegimeExecucao,{"Unitário","Global"},0),IF($A80="S",ROUND($H80,ORÇAMENTO!$AF$10),""),ROUND($I80,ORÇAMENTO!$AF$11)),"")</f>
        <v/>
      </c>
      <c r="Y80" s="339">
        <f t="shared" ca="1" si="14"/>
        <v>0</v>
      </c>
      <c r="Z80" s="472"/>
      <c r="AB80" s="337"/>
      <c r="AC80" s="437"/>
      <c r="AD80" s="437"/>
      <c r="AE80" s="437"/>
      <c r="AF80" s="437"/>
      <c r="AG80" s="437"/>
      <c r="AH80" s="437"/>
      <c r="AI80" s="437"/>
      <c r="AJ80" s="437"/>
      <c r="AK80" s="437"/>
      <c r="AL80" s="437"/>
      <c r="AM80" s="338"/>
      <c r="AO80" s="696">
        <f t="array" aca="1" ref="AO80" ca="1">IF($A80="S",IF(BM!$I80=0,0,CHOOSE(MATCH(RegimeExecucao,{"Global","Unitário"},0),ROUND(ROUND(BM.MEDAcumulado,15-13*BM!$A$9)/100*BM!$I80,15-13*ORÇAMENTO!$AF$11),ROUND(ROUND(BM.MEDAcumulado,15-13*BM!$A$9)*ROUND(BM!$H80,15-13*ORÇAMENTO!$AF$10),15-13*ORÇAMENTO!$AF$11))),IF($A80=0,0,ROUND(SomaAgrupBM,15-13*ORÇAMENTO!$AF$11)))</f>
        <v>0</v>
      </c>
    </row>
    <row r="81" spans="1:41" s="696" customFormat="1" x14ac:dyDescent="0.2">
      <c r="A81" s="696" t="str">
        <f ca="1">ORÇAMENTO!C81</f>
        <v>S</v>
      </c>
      <c r="B81" s="696">
        <f ca="1">ORÇAMENTO!D81</f>
        <v>0</v>
      </c>
      <c r="C81" s="114" t="str">
        <f t="shared" ca="1" si="8"/>
        <v>F</v>
      </c>
      <c r="D81" s="117" t="str">
        <f ca="1">ORÇAMENTO!O81</f>
        <v>1.12.3.</v>
      </c>
      <c r="E81" s="163" t="str">
        <f t="shared" ca="1" si="9"/>
        <v>PINTURA IMUNIZANTE PARA MADEIRA, 1 DEMÃO. AF_01/2021</v>
      </c>
      <c r="F81" s="164" t="str">
        <f t="array" aca="1" ref="F81" ca="1">IF(RegimeExecucao="Global","",ORÇAMENTO.Unidade)</f>
        <v>M2</v>
      </c>
      <c r="G81" s="122">
        <f t="array" aca="1" ref="G81" ca="1">IF(RegimeExecucao="Global","",ORÇAMENTO!T81)</f>
        <v>2076</v>
      </c>
      <c r="H81" s="122">
        <f t="array" aca="1" ref="H81" ca="1">IF(RegimeExecucao="Global","",ORÇAMENTO!W81)</f>
        <v>13.06</v>
      </c>
      <c r="I81" s="125">
        <f ca="1">ORÇAMENTO!X81</f>
        <v>27112.560000000001</v>
      </c>
      <c r="J81" s="333">
        <f t="array" aca="1" ref="J81" ca="1">IF($A81="S",IF(CAIXA.Modo,BM.AFAnterior,BM.MEDAnterior),IF(AND(RegimeExecucao="Global",$I81&gt;0,COUNTIF($AB$13:$AM$13,BM.medicao-1)&gt;0),M81/$I81*100,0))</f>
        <v>0</v>
      </c>
      <c r="K81" s="122">
        <f t="shared" ca="1" si="10"/>
        <v>0</v>
      </c>
      <c r="L81" s="334">
        <f t="array" aca="1" ref="L81" ca="1">IF($A81="S",IF(CAIXA.Modo,BM.AFAcumulado,BM.MEDAcumulado),IF(AND(RegimeExecucao="Global",$I81&gt;0,COUNTIF($AB$13:$AM$13,BM.medicao)&gt;0),O81/$I81*100,0))</f>
        <v>0</v>
      </c>
      <c r="M81" s="335">
        <f t="array" aca="1" ref="M81" ca="1">IF($A81="S",VTOTALBM,IF($A81=0,0,ROUND(SomaAgrupBM,15-13*ORÇAMENTO!$AF$11)))</f>
        <v>0</v>
      </c>
      <c r="N81" s="336">
        <f t="shared" ca="1" si="11"/>
        <v>0</v>
      </c>
      <c r="O81" s="125">
        <f t="array" aca="1" ref="O81" ca="1">IF($A81="S",VTOTALBM,IF($A81=0,0,ROUND(SomaAgrupBM,15-13*ORÇAMENTO!$AF$11)))</f>
        <v>0</v>
      </c>
      <c r="Q81" s="337"/>
      <c r="R81" s="338"/>
      <c r="T81" s="117" t="str">
        <f t="shared" ca="1" si="12"/>
        <v/>
      </c>
      <c r="U81" s="163" t="str">
        <f t="shared" ca="1" si="13"/>
        <v/>
      </c>
      <c r="V81" s="164" t="str">
        <f t="array" aca="1" ref="V81" ca="1">IF(AND($W81&gt;0,RegimeExecucao="Unitário"),$F81,"")</f>
        <v/>
      </c>
      <c r="W81" s="453">
        <f t="array" aca="1" ref="W81" ca="1">IF($Y81&gt;0,CHOOSE(MATCH(RegimeExecucao,{"Unitário","Global"},0),IF($A81="S",$Y81/$X81,""),($Y81/$X81)*100),0)</f>
        <v>0</v>
      </c>
      <c r="X81" s="339" t="str">
        <f t="array" aca="1" ref="X81" ca="1">IF($Y81&gt;0,CHOOSE(MATCH(RegimeExecucao,{"Unitário","Global"},0),IF($A81="S",ROUND($H81,ORÇAMENTO!$AF$10),""),ROUND($I81,ORÇAMENTO!$AF$11)),"")</f>
        <v/>
      </c>
      <c r="Y81" s="339">
        <f t="shared" ca="1" si="14"/>
        <v>0</v>
      </c>
      <c r="Z81" s="472"/>
      <c r="AB81" s="337"/>
      <c r="AC81" s="437"/>
      <c r="AD81" s="437"/>
      <c r="AE81" s="437"/>
      <c r="AF81" s="437"/>
      <c r="AG81" s="437"/>
      <c r="AH81" s="437"/>
      <c r="AI81" s="437"/>
      <c r="AJ81" s="437"/>
      <c r="AK81" s="437"/>
      <c r="AL81" s="437"/>
      <c r="AM81" s="338"/>
      <c r="AO81" s="696">
        <f t="array" aca="1" ref="AO81" ca="1">IF($A81="S",IF(BM!$I81=0,0,CHOOSE(MATCH(RegimeExecucao,{"Global","Unitário"},0),ROUND(ROUND(BM.MEDAcumulado,15-13*BM!$A$9)/100*BM!$I81,15-13*ORÇAMENTO!$AF$11),ROUND(ROUND(BM.MEDAcumulado,15-13*BM!$A$9)*ROUND(BM!$H81,15-13*ORÇAMENTO!$AF$10),15-13*ORÇAMENTO!$AF$11))),IF($A81=0,0,ROUND(SomaAgrupBM,15-13*ORÇAMENTO!$AF$11)))</f>
        <v>0</v>
      </c>
    </row>
    <row r="82" spans="1:41" s="696" customFormat="1" ht="38.25" x14ac:dyDescent="0.2">
      <c r="A82" s="696" t="str">
        <f ca="1">ORÇAMENTO!C82</f>
        <v>S</v>
      </c>
      <c r="B82" s="696">
        <f ca="1">ORÇAMENTO!D82</f>
        <v>0</v>
      </c>
      <c r="C82" s="114" t="str">
        <f t="shared" ca="1" si="8"/>
        <v>F</v>
      </c>
      <c r="D82" s="117" t="str">
        <f ca="1">ORÇAMENTO!O82</f>
        <v>1.12.4.</v>
      </c>
      <c r="E82" s="163" t="str">
        <f t="shared" ca="1" si="9"/>
        <v>CUMEEIRA PARA TELHA CERÂMICA EMBOÇADA COM ARGAMASSA TRAÇO 1:2:9 (CIMENTO, CAL E AREIA) PARA TELHADOS COM ATÉ 2 ÁGUAS, INCLUSO TRANSPORTE VERTICAL. AF_07/2019</v>
      </c>
      <c r="F82" s="164" t="str">
        <f t="array" aca="1" ref="F82" ca="1">IF(RegimeExecucao="Global","",ORÇAMENTO.Unidade)</f>
        <v>M</v>
      </c>
      <c r="G82" s="122">
        <f t="array" aca="1" ref="G82" ca="1">IF(RegimeExecucao="Global","",ORÇAMENTO!T82)</f>
        <v>213</v>
      </c>
      <c r="H82" s="122">
        <f t="array" aca="1" ref="H82" ca="1">IF(RegimeExecucao="Global","",ORÇAMENTO!W82)</f>
        <v>43.36</v>
      </c>
      <c r="I82" s="125">
        <f ca="1">ORÇAMENTO!X82</f>
        <v>9235.68</v>
      </c>
      <c r="J82" s="333">
        <f t="array" aca="1" ref="J82" ca="1">IF($A82="S",IF(CAIXA.Modo,BM.AFAnterior,BM.MEDAnterior),IF(AND(RegimeExecucao="Global",$I82&gt;0,COUNTIF($AB$13:$AM$13,BM.medicao-1)&gt;0),M82/$I82*100,0))</f>
        <v>0</v>
      </c>
      <c r="K82" s="122">
        <f t="shared" ca="1" si="10"/>
        <v>0</v>
      </c>
      <c r="L82" s="334">
        <f t="array" aca="1" ref="L82" ca="1">IF($A82="S",IF(CAIXA.Modo,BM.AFAcumulado,BM.MEDAcumulado),IF(AND(RegimeExecucao="Global",$I82&gt;0,COUNTIF($AB$13:$AM$13,BM.medicao)&gt;0),O82/$I82*100,0))</f>
        <v>0</v>
      </c>
      <c r="M82" s="335">
        <f t="array" aca="1" ref="M82" ca="1">IF($A82="S",VTOTALBM,IF($A82=0,0,ROUND(SomaAgrupBM,15-13*ORÇAMENTO!$AF$11)))</f>
        <v>0</v>
      </c>
      <c r="N82" s="336">
        <f t="shared" ca="1" si="11"/>
        <v>0</v>
      </c>
      <c r="O82" s="125">
        <f t="array" aca="1" ref="O82" ca="1">IF($A82="S",VTOTALBM,IF($A82=0,0,ROUND(SomaAgrupBM,15-13*ORÇAMENTO!$AF$11)))</f>
        <v>0</v>
      </c>
      <c r="Q82" s="337"/>
      <c r="R82" s="338"/>
      <c r="T82" s="117" t="str">
        <f t="shared" ca="1" si="12"/>
        <v/>
      </c>
      <c r="U82" s="163" t="str">
        <f t="shared" ca="1" si="13"/>
        <v/>
      </c>
      <c r="V82" s="164" t="str">
        <f t="array" aca="1" ref="V82" ca="1">IF(AND($W82&gt;0,RegimeExecucao="Unitário"),$F82,"")</f>
        <v/>
      </c>
      <c r="W82" s="453">
        <f t="array" aca="1" ref="W82" ca="1">IF($Y82&gt;0,CHOOSE(MATCH(RegimeExecucao,{"Unitário","Global"},0),IF($A82="S",$Y82/$X82,""),($Y82/$X82)*100),0)</f>
        <v>0</v>
      </c>
      <c r="X82" s="339" t="str">
        <f t="array" aca="1" ref="X82" ca="1">IF($Y82&gt;0,CHOOSE(MATCH(RegimeExecucao,{"Unitário","Global"},0),IF($A82="S",ROUND($H82,ORÇAMENTO!$AF$10),""),ROUND($I82,ORÇAMENTO!$AF$11)),"")</f>
        <v/>
      </c>
      <c r="Y82" s="339">
        <f t="shared" ca="1" si="14"/>
        <v>0</v>
      </c>
      <c r="Z82" s="472"/>
      <c r="AB82" s="337"/>
      <c r="AC82" s="437"/>
      <c r="AD82" s="437"/>
      <c r="AE82" s="437"/>
      <c r="AF82" s="437"/>
      <c r="AG82" s="437"/>
      <c r="AH82" s="437"/>
      <c r="AI82" s="437"/>
      <c r="AJ82" s="437"/>
      <c r="AK82" s="437"/>
      <c r="AL82" s="437"/>
      <c r="AM82" s="338"/>
      <c r="AO82" s="696">
        <f t="array" aca="1" ref="AO82" ca="1">IF($A82="S",IF(BM!$I82=0,0,CHOOSE(MATCH(RegimeExecucao,{"Global","Unitário"},0),ROUND(ROUND(BM.MEDAcumulado,15-13*BM!$A$9)/100*BM!$I82,15-13*ORÇAMENTO!$AF$11),ROUND(ROUND(BM.MEDAcumulado,15-13*BM!$A$9)*ROUND(BM!$H82,15-13*ORÇAMENTO!$AF$10),15-13*ORÇAMENTO!$AF$11))),IF($A82=0,0,ROUND(SomaAgrupBM,15-13*ORÇAMENTO!$AF$11)))</f>
        <v>0</v>
      </c>
    </row>
    <row r="83" spans="1:41" s="696" customFormat="1" ht="38.25" x14ac:dyDescent="0.2">
      <c r="A83" s="696" t="str">
        <f ca="1">ORÇAMENTO!C83</f>
        <v>S</v>
      </c>
      <c r="B83" s="696">
        <f ca="1">ORÇAMENTO!D83</f>
        <v>0</v>
      </c>
      <c r="C83" s="114" t="str">
        <f t="shared" ca="1" si="8"/>
        <v>F</v>
      </c>
      <c r="D83" s="117" t="str">
        <f ca="1">ORÇAMENTO!O83</f>
        <v>1.12.5.</v>
      </c>
      <c r="E83" s="163" t="str">
        <f t="shared" ca="1" si="9"/>
        <v>FABRICAÇÃO E INSTALAÇÃO DE TESOURA INTEIRA EM MADEIRA NÃO APARELHADA, VÃO DE 6 M, PARA TELHA CERÂMICA OU DE CONCRETO, INCLUSO IÇAMENTO. AF_07/2019</v>
      </c>
      <c r="F83" s="164" t="str">
        <f t="array" aca="1" ref="F83" ca="1">IF(RegimeExecucao="Global","",ORÇAMENTO.Unidade)</f>
        <v>UN</v>
      </c>
      <c r="G83" s="122">
        <f t="array" aca="1" ref="G83" ca="1">IF(RegimeExecucao="Global","",ORÇAMENTO!T83)</f>
        <v>80</v>
      </c>
      <c r="H83" s="122">
        <f t="array" aca="1" ref="H83" ca="1">IF(RegimeExecucao="Global","",ORÇAMENTO!W83)</f>
        <v>2071.5100000000002</v>
      </c>
      <c r="I83" s="125">
        <f ca="1">ORÇAMENTO!X83</f>
        <v>165720.79999999999</v>
      </c>
      <c r="J83" s="333">
        <f t="array" aca="1" ref="J83" ca="1">IF($A83="S",IF(CAIXA.Modo,BM.AFAnterior,BM.MEDAnterior),IF(AND(RegimeExecucao="Global",$I83&gt;0,COUNTIF($AB$13:$AM$13,BM.medicao-1)&gt;0),M83/$I83*100,0))</f>
        <v>0</v>
      </c>
      <c r="K83" s="122">
        <f t="shared" ca="1" si="10"/>
        <v>0</v>
      </c>
      <c r="L83" s="334">
        <f t="array" aca="1" ref="L83" ca="1">IF($A83="S",IF(CAIXA.Modo,BM.AFAcumulado,BM.MEDAcumulado),IF(AND(RegimeExecucao="Global",$I83&gt;0,COUNTIF($AB$13:$AM$13,BM.medicao)&gt;0),O83/$I83*100,0))</f>
        <v>0</v>
      </c>
      <c r="M83" s="335">
        <f t="array" aca="1" ref="M83" ca="1">IF($A83="S",VTOTALBM,IF($A83=0,0,ROUND(SomaAgrupBM,15-13*ORÇAMENTO!$AF$11)))</f>
        <v>0</v>
      </c>
      <c r="N83" s="336">
        <f t="shared" ca="1" si="11"/>
        <v>0</v>
      </c>
      <c r="O83" s="125">
        <f t="array" aca="1" ref="O83" ca="1">IF($A83="S",VTOTALBM,IF($A83=0,0,ROUND(SomaAgrupBM,15-13*ORÇAMENTO!$AF$11)))</f>
        <v>0</v>
      </c>
      <c r="Q83" s="337"/>
      <c r="R83" s="338"/>
      <c r="T83" s="117" t="str">
        <f t="shared" ca="1" si="12"/>
        <v/>
      </c>
      <c r="U83" s="163" t="str">
        <f t="shared" ca="1" si="13"/>
        <v/>
      </c>
      <c r="V83" s="164" t="str">
        <f t="array" aca="1" ref="V83" ca="1">IF(AND($W83&gt;0,RegimeExecucao="Unitário"),$F83,"")</f>
        <v/>
      </c>
      <c r="W83" s="453">
        <f t="array" aca="1" ref="W83" ca="1">IF($Y83&gt;0,CHOOSE(MATCH(RegimeExecucao,{"Unitário","Global"},0),IF($A83="S",$Y83/$X83,""),($Y83/$X83)*100),0)</f>
        <v>0</v>
      </c>
      <c r="X83" s="339" t="str">
        <f t="array" aca="1" ref="X83" ca="1">IF($Y83&gt;0,CHOOSE(MATCH(RegimeExecucao,{"Unitário","Global"},0),IF($A83="S",ROUND($H83,ORÇAMENTO!$AF$10),""),ROUND($I83,ORÇAMENTO!$AF$11)),"")</f>
        <v/>
      </c>
      <c r="Y83" s="339">
        <f t="shared" ca="1" si="14"/>
        <v>0</v>
      </c>
      <c r="Z83" s="472"/>
      <c r="AB83" s="337"/>
      <c r="AC83" s="437"/>
      <c r="AD83" s="437"/>
      <c r="AE83" s="437"/>
      <c r="AF83" s="437"/>
      <c r="AG83" s="437"/>
      <c r="AH83" s="437"/>
      <c r="AI83" s="437"/>
      <c r="AJ83" s="437"/>
      <c r="AK83" s="437"/>
      <c r="AL83" s="437"/>
      <c r="AM83" s="338"/>
      <c r="AO83" s="696">
        <f t="array" aca="1" ref="AO83" ca="1">IF($A83="S",IF(BM!$I83=0,0,CHOOSE(MATCH(RegimeExecucao,{"Global","Unitário"},0),ROUND(ROUND(BM.MEDAcumulado,15-13*BM!$A$9)/100*BM!$I83,15-13*ORÇAMENTO!$AF$11),ROUND(ROUND(BM.MEDAcumulado,15-13*BM!$A$9)*ROUND(BM!$H83,15-13*ORÇAMENTO!$AF$10),15-13*ORÇAMENTO!$AF$11))),IF($A83=0,0,ROUND(SomaAgrupBM,15-13*ORÇAMENTO!$AF$11)))</f>
        <v>0</v>
      </c>
    </row>
    <row r="84" spans="1:41" s="696" customFormat="1" x14ac:dyDescent="0.2">
      <c r="A84" s="696">
        <f ca="1">ORÇAMENTO!C84</f>
        <v>2</v>
      </c>
      <c r="B84" s="696">
        <f ca="1">ORÇAMENTO!D84</f>
        <v>2</v>
      </c>
      <c r="C84" s="114" t="str">
        <f t="shared" ca="1" si="8"/>
        <v>F</v>
      </c>
      <c r="D84" s="117" t="str">
        <f ca="1">ORÇAMENTO!O84</f>
        <v>1.13.</v>
      </c>
      <c r="E84" s="163" t="str">
        <f t="shared" si="9"/>
        <v>FORRO</v>
      </c>
      <c r="F84" s="164" t="str">
        <f t="array" aca="1" ref="F84" ca="1">IF(RegimeExecucao="Global","",ORÇAMENTO.Unidade)</f>
        <v>-</v>
      </c>
      <c r="G84" s="122">
        <f t="array" aca="1" ref="G84" ca="1">IF(RegimeExecucao="Global","",ORÇAMENTO!T84)</f>
        <v>0</v>
      </c>
      <c r="H84" s="122">
        <f t="array" aca="1" ref="H84" ca="1">IF(RegimeExecucao="Global","",ORÇAMENTO!W84)</f>
        <v>0</v>
      </c>
      <c r="I84" s="125">
        <f ca="1">ORÇAMENTO!X84</f>
        <v>49656.88</v>
      </c>
      <c r="J84" s="333">
        <f t="array" aca="1" ref="J84" ca="1">IF($A84="S",IF(CAIXA.Modo,BM.AFAnterior,BM.MEDAnterior),IF(AND(RegimeExecucao="Global",$I84&gt;0,COUNTIF($AB$13:$AM$13,BM.medicao-1)&gt;0),M84/$I84*100,0))</f>
        <v>0</v>
      </c>
      <c r="K84" s="122">
        <f t="shared" ca="1" si="10"/>
        <v>0</v>
      </c>
      <c r="L84" s="334">
        <f t="array" aca="1" ref="L84" ca="1">IF($A84="S",IF(CAIXA.Modo,BM.AFAcumulado,BM.MEDAcumulado),IF(AND(RegimeExecucao="Global",$I84&gt;0,COUNTIF($AB$13:$AM$13,BM.medicao)&gt;0),O84/$I84*100,0))</f>
        <v>0</v>
      </c>
      <c r="M84" s="335">
        <f t="array" aca="1" ref="M84" ca="1">IF($A84="S",VTOTALBM,IF($A84=0,0,ROUND(SomaAgrupBM,15-13*ORÇAMENTO!$AF$11)))</f>
        <v>0</v>
      </c>
      <c r="N84" s="336">
        <f t="shared" ca="1" si="11"/>
        <v>0</v>
      </c>
      <c r="O84" s="125">
        <f t="array" aca="1" ref="O84" ca="1">IF($A84="S",VTOTALBM,IF($A84=0,0,ROUND(SomaAgrupBM,15-13*ORÇAMENTO!$AF$11)))</f>
        <v>0</v>
      </c>
      <c r="Q84" s="337"/>
      <c r="R84" s="338"/>
      <c r="T84" s="117" t="str">
        <f t="shared" ca="1" si="12"/>
        <v/>
      </c>
      <c r="U84" s="163" t="str">
        <f t="shared" ca="1" si="13"/>
        <v/>
      </c>
      <c r="V84" s="164" t="str">
        <f t="array" aca="1" ref="V84" ca="1">IF(AND($W84&gt;0,RegimeExecucao="Unitário"),$F84,"")</f>
        <v/>
      </c>
      <c r="W84" s="453">
        <f t="array" aca="1" ref="W84" ca="1">IF($Y84&gt;0,CHOOSE(MATCH(RegimeExecucao,{"Unitário","Global"},0),IF($A84="S",$Y84/$X84,""),($Y84/$X84)*100),0)</f>
        <v>0</v>
      </c>
      <c r="X84" s="339" t="str">
        <f t="array" aca="1" ref="X84" ca="1">IF($Y84&gt;0,CHOOSE(MATCH(RegimeExecucao,{"Unitário","Global"},0),IF($A84="S",ROUND($H84,ORÇAMENTO!$AF$10),""),ROUND($I84,ORÇAMENTO!$AF$11)),"")</f>
        <v/>
      </c>
      <c r="Y84" s="339">
        <f t="shared" ca="1" si="14"/>
        <v>0</v>
      </c>
      <c r="Z84" s="472"/>
      <c r="AB84" s="337"/>
      <c r="AC84" s="437"/>
      <c r="AD84" s="437"/>
      <c r="AE84" s="437"/>
      <c r="AF84" s="437"/>
      <c r="AG84" s="437"/>
      <c r="AH84" s="437"/>
      <c r="AI84" s="437"/>
      <c r="AJ84" s="437"/>
      <c r="AK84" s="437"/>
      <c r="AL84" s="437"/>
      <c r="AM84" s="338"/>
      <c r="AO84" s="696">
        <f t="array" aca="1" ref="AO84" ca="1">IF($A84="S",IF(BM!$I84=0,0,CHOOSE(MATCH(RegimeExecucao,{"Global","Unitário"},0),ROUND(ROUND(BM.MEDAcumulado,15-13*BM!$A$9)/100*BM!$I84,15-13*ORÇAMENTO!$AF$11),ROUND(ROUND(BM.MEDAcumulado,15-13*BM!$A$9)*ROUND(BM!$H84,15-13*ORÇAMENTO!$AF$10),15-13*ORÇAMENTO!$AF$11))),IF($A84=0,0,ROUND(SomaAgrupBM,15-13*ORÇAMENTO!$AF$11)))</f>
        <v>0</v>
      </c>
    </row>
    <row r="85" spans="1:41" s="696" customFormat="1" ht="38.25" x14ac:dyDescent="0.2">
      <c r="A85" s="696" t="str">
        <f ca="1">ORÇAMENTO!C85</f>
        <v>S</v>
      </c>
      <c r="B85" s="696">
        <f ca="1">ORÇAMENTO!D85</f>
        <v>0</v>
      </c>
      <c r="C85" s="114" t="str">
        <f t="shared" ca="1" si="8"/>
        <v>F</v>
      </c>
      <c r="D85" s="117" t="str">
        <f ca="1">ORÇAMENTO!O85</f>
        <v>1.13.1.</v>
      </c>
      <c r="E85" s="163" t="str">
        <f t="shared" ca="1" si="9"/>
        <v>FORRO EM RÉGUAS DE PVC, FRISADO, PARA AMBIENTES RESIDENCIAIS, INCLUSIVE ESTRUTURA UNIDIRECIONAL DE FIXAÇÃO. AF_08/2023_PS</v>
      </c>
      <c r="F85" s="164" t="str">
        <f t="array" aca="1" ref="F85" ca="1">IF(RegimeExecucao="Global","",ORÇAMENTO.Unidade)</f>
        <v>M2</v>
      </c>
      <c r="G85" s="122">
        <f t="array" aca="1" ref="G85" ca="1">IF(RegimeExecucao="Global","",ORÇAMENTO!T85)</f>
        <v>718</v>
      </c>
      <c r="H85" s="122">
        <f t="array" aca="1" ref="H85" ca="1">IF(RegimeExecucao="Global","",ORÇAMENTO!W85)</f>
        <v>69.16</v>
      </c>
      <c r="I85" s="125">
        <f ca="1">ORÇAMENTO!X85</f>
        <v>49656.88</v>
      </c>
      <c r="J85" s="333">
        <f t="array" aca="1" ref="J85" ca="1">IF($A85="S",IF(CAIXA.Modo,BM.AFAnterior,BM.MEDAnterior),IF(AND(RegimeExecucao="Global",$I85&gt;0,COUNTIF($AB$13:$AM$13,BM.medicao-1)&gt;0),M85/$I85*100,0))</f>
        <v>0</v>
      </c>
      <c r="K85" s="122">
        <f t="shared" ca="1" si="10"/>
        <v>0</v>
      </c>
      <c r="L85" s="334">
        <f t="array" aca="1" ref="L85" ca="1">IF($A85="S",IF(CAIXA.Modo,BM.AFAcumulado,BM.MEDAcumulado),IF(AND(RegimeExecucao="Global",$I85&gt;0,COUNTIF($AB$13:$AM$13,BM.medicao)&gt;0),O85/$I85*100,0))</f>
        <v>0</v>
      </c>
      <c r="M85" s="335">
        <f t="array" aca="1" ref="M85" ca="1">IF($A85="S",VTOTALBM,IF($A85=0,0,ROUND(SomaAgrupBM,15-13*ORÇAMENTO!$AF$11)))</f>
        <v>0</v>
      </c>
      <c r="N85" s="336">
        <f t="shared" ca="1" si="11"/>
        <v>0</v>
      </c>
      <c r="O85" s="125">
        <f t="array" aca="1" ref="O85" ca="1">IF($A85="S",VTOTALBM,IF($A85=0,0,ROUND(SomaAgrupBM,15-13*ORÇAMENTO!$AF$11)))</f>
        <v>0</v>
      </c>
      <c r="Q85" s="337"/>
      <c r="R85" s="338"/>
      <c r="T85" s="117" t="str">
        <f t="shared" ca="1" si="12"/>
        <v/>
      </c>
      <c r="U85" s="163" t="str">
        <f t="shared" ca="1" si="13"/>
        <v/>
      </c>
      <c r="V85" s="164" t="str">
        <f t="array" aca="1" ref="V85" ca="1">IF(AND($W85&gt;0,RegimeExecucao="Unitário"),$F85,"")</f>
        <v/>
      </c>
      <c r="W85" s="453">
        <f t="array" aca="1" ref="W85" ca="1">IF($Y85&gt;0,CHOOSE(MATCH(RegimeExecucao,{"Unitário","Global"},0),IF($A85="S",$Y85/$X85,""),($Y85/$X85)*100),0)</f>
        <v>0</v>
      </c>
      <c r="X85" s="339" t="str">
        <f t="array" aca="1" ref="X85" ca="1">IF($Y85&gt;0,CHOOSE(MATCH(RegimeExecucao,{"Unitário","Global"},0),IF($A85="S",ROUND($H85,ORÇAMENTO!$AF$10),""),ROUND($I85,ORÇAMENTO!$AF$11)),"")</f>
        <v/>
      </c>
      <c r="Y85" s="339">
        <f t="shared" ca="1" si="14"/>
        <v>0</v>
      </c>
      <c r="Z85" s="472"/>
      <c r="AB85" s="337"/>
      <c r="AC85" s="437"/>
      <c r="AD85" s="437"/>
      <c r="AE85" s="437"/>
      <c r="AF85" s="437"/>
      <c r="AG85" s="437"/>
      <c r="AH85" s="437"/>
      <c r="AI85" s="437"/>
      <c r="AJ85" s="437"/>
      <c r="AK85" s="437"/>
      <c r="AL85" s="437"/>
      <c r="AM85" s="338"/>
      <c r="AO85" s="696">
        <f t="array" aca="1" ref="AO85" ca="1">IF($A85="S",IF(BM!$I85=0,0,CHOOSE(MATCH(RegimeExecucao,{"Global","Unitário"},0),ROUND(ROUND(BM.MEDAcumulado,15-13*BM!$A$9)/100*BM!$I85,15-13*ORÇAMENTO!$AF$11),ROUND(ROUND(BM.MEDAcumulado,15-13*BM!$A$9)*ROUND(BM!$H85,15-13*ORÇAMENTO!$AF$10),15-13*ORÇAMENTO!$AF$11))),IF($A85=0,0,ROUND(SomaAgrupBM,15-13*ORÇAMENTO!$AF$11)))</f>
        <v>0</v>
      </c>
    </row>
    <row r="86" spans="1:41" s="696" customFormat="1" x14ac:dyDescent="0.2">
      <c r="A86" s="696">
        <f ca="1">ORÇAMENTO!C86</f>
        <v>2</v>
      </c>
      <c r="B86" s="696">
        <f ca="1">ORÇAMENTO!D86</f>
        <v>7</v>
      </c>
      <c r="C86" s="114" t="str">
        <f t="shared" ca="1" si="8"/>
        <v>F</v>
      </c>
      <c r="D86" s="117" t="str">
        <f ca="1">ORÇAMENTO!O86</f>
        <v>1.14.</v>
      </c>
      <c r="E86" s="163" t="str">
        <f t="shared" si="9"/>
        <v>REVESTIMENTOS INTERNOS</v>
      </c>
      <c r="F86" s="164" t="str">
        <f t="array" aca="1" ref="F86" ca="1">IF(RegimeExecucao="Global","",ORÇAMENTO.Unidade)</f>
        <v>-</v>
      </c>
      <c r="G86" s="122">
        <f t="array" aca="1" ref="G86" ca="1">IF(RegimeExecucao="Global","",ORÇAMENTO!T86)</f>
        <v>0</v>
      </c>
      <c r="H86" s="122">
        <f t="array" aca="1" ref="H86" ca="1">IF(RegimeExecucao="Global","",ORÇAMENTO!W86)</f>
        <v>0</v>
      </c>
      <c r="I86" s="125">
        <f ca="1">ORÇAMENTO!X86</f>
        <v>94923.199999999997</v>
      </c>
      <c r="J86" s="333">
        <f t="array" aca="1" ref="J86" ca="1">IF($A86="S",IF(CAIXA.Modo,BM.AFAnterior,BM.MEDAnterior),IF(AND(RegimeExecucao="Global",$I86&gt;0,COUNTIF($AB$13:$AM$13,BM.medicao-1)&gt;0),M86/$I86*100,0))</f>
        <v>0</v>
      </c>
      <c r="K86" s="122">
        <f t="shared" ca="1" si="10"/>
        <v>0</v>
      </c>
      <c r="L86" s="334">
        <f t="array" aca="1" ref="L86" ca="1">IF($A86="S",IF(CAIXA.Modo,BM.AFAcumulado,BM.MEDAcumulado),IF(AND(RegimeExecucao="Global",$I86&gt;0,COUNTIF($AB$13:$AM$13,BM.medicao)&gt;0),O86/$I86*100,0))</f>
        <v>0</v>
      </c>
      <c r="M86" s="335">
        <f t="array" aca="1" ref="M86" ca="1">IF($A86="S",VTOTALBM,IF($A86=0,0,ROUND(SomaAgrupBM,15-13*ORÇAMENTO!$AF$11)))</f>
        <v>0</v>
      </c>
      <c r="N86" s="336">
        <f t="shared" ca="1" si="11"/>
        <v>0</v>
      </c>
      <c r="O86" s="125">
        <f t="array" aca="1" ref="O86" ca="1">IF($A86="S",VTOTALBM,IF($A86=0,0,ROUND(SomaAgrupBM,15-13*ORÇAMENTO!$AF$11)))</f>
        <v>0</v>
      </c>
      <c r="Q86" s="337"/>
      <c r="R86" s="338"/>
      <c r="T86" s="117" t="str">
        <f t="shared" ca="1" si="12"/>
        <v/>
      </c>
      <c r="U86" s="163" t="str">
        <f t="shared" ca="1" si="13"/>
        <v/>
      </c>
      <c r="V86" s="164" t="str">
        <f t="array" aca="1" ref="V86" ca="1">IF(AND($W86&gt;0,RegimeExecucao="Unitário"),$F86,"")</f>
        <v/>
      </c>
      <c r="W86" s="453">
        <f t="array" aca="1" ref="W86" ca="1">IF($Y86&gt;0,CHOOSE(MATCH(RegimeExecucao,{"Unitário","Global"},0),IF($A86="S",$Y86/$X86,""),($Y86/$X86)*100),0)</f>
        <v>0</v>
      </c>
      <c r="X86" s="339" t="str">
        <f t="array" aca="1" ref="X86" ca="1">IF($Y86&gt;0,CHOOSE(MATCH(RegimeExecucao,{"Unitário","Global"},0),IF($A86="S",ROUND($H86,ORÇAMENTO!$AF$10),""),ROUND($I86,ORÇAMENTO!$AF$11)),"")</f>
        <v/>
      </c>
      <c r="Y86" s="339">
        <f t="shared" ca="1" si="14"/>
        <v>0</v>
      </c>
      <c r="Z86" s="472"/>
      <c r="AB86" s="337"/>
      <c r="AC86" s="437"/>
      <c r="AD86" s="437"/>
      <c r="AE86" s="437"/>
      <c r="AF86" s="437"/>
      <c r="AG86" s="437"/>
      <c r="AH86" s="437"/>
      <c r="AI86" s="437"/>
      <c r="AJ86" s="437"/>
      <c r="AK86" s="437"/>
      <c r="AL86" s="437"/>
      <c r="AM86" s="338"/>
      <c r="AO86" s="696">
        <f t="array" aca="1" ref="AO86" ca="1">IF($A86="S",IF(BM!$I86=0,0,CHOOSE(MATCH(RegimeExecucao,{"Global","Unitário"},0),ROUND(ROUND(BM.MEDAcumulado,15-13*BM!$A$9)/100*BM!$I86,15-13*ORÇAMENTO!$AF$11),ROUND(ROUND(BM.MEDAcumulado,15-13*BM!$A$9)*ROUND(BM!$H86,15-13*ORÇAMENTO!$AF$10),15-13*ORÇAMENTO!$AF$11))),IF($A86=0,0,ROUND(SomaAgrupBM,15-13*ORÇAMENTO!$AF$11)))</f>
        <v>0</v>
      </c>
    </row>
    <row r="87" spans="1:41" s="696" customFormat="1" ht="38.25" x14ac:dyDescent="0.2">
      <c r="A87" s="696" t="str">
        <f ca="1">ORÇAMENTO!C87</f>
        <v>S</v>
      </c>
      <c r="B87" s="696">
        <f ca="1">ORÇAMENTO!D87</f>
        <v>0</v>
      </c>
      <c r="C87" s="114" t="str">
        <f t="shared" ca="1" si="8"/>
        <v>F</v>
      </c>
      <c r="D87" s="117" t="str">
        <f ca="1">ORÇAMENTO!O87</f>
        <v>1.14.1.</v>
      </c>
      <c r="E87" s="163" t="str">
        <f t="shared" ca="1" si="9"/>
        <v>CHAPISCO APLICADO EM ALVENARIAS E ESTRUTURAS DE CONCRETO INTERNAS, COM COLHER DE PEDREIRO. ARGAMASSA TRAÇO 1:3 COM PREPARO EM BETONEIRA 400L. AF_10/2022</v>
      </c>
      <c r="F87" s="164" t="str">
        <f t="array" aca="1" ref="F87" ca="1">IF(RegimeExecucao="Global","",ORÇAMENTO.Unidade)</f>
        <v>M2</v>
      </c>
      <c r="G87" s="122">
        <f t="array" aca="1" ref="G87" ca="1">IF(RegimeExecucao="Global","",ORÇAMENTO!T87)</f>
        <v>2722</v>
      </c>
      <c r="H87" s="122">
        <f t="array" aca="1" ref="H87" ca="1">IF(RegimeExecucao="Global","",ORÇAMENTO!W87)</f>
        <v>5.57</v>
      </c>
      <c r="I87" s="125">
        <f ca="1">ORÇAMENTO!X87</f>
        <v>15161.56</v>
      </c>
      <c r="J87" s="333">
        <f t="array" aca="1" ref="J87" ca="1">IF($A87="S",IF(CAIXA.Modo,BM.AFAnterior,BM.MEDAnterior),IF(AND(RegimeExecucao="Global",$I87&gt;0,COUNTIF($AB$13:$AM$13,BM.medicao-1)&gt;0),M87/$I87*100,0))</f>
        <v>0</v>
      </c>
      <c r="K87" s="122">
        <f t="shared" ca="1" si="10"/>
        <v>0</v>
      </c>
      <c r="L87" s="334">
        <f t="array" aca="1" ref="L87" ca="1">IF($A87="S",IF(CAIXA.Modo,BM.AFAcumulado,BM.MEDAcumulado),IF(AND(RegimeExecucao="Global",$I87&gt;0,COUNTIF($AB$13:$AM$13,BM.medicao)&gt;0),O87/$I87*100,0))</f>
        <v>0</v>
      </c>
      <c r="M87" s="335">
        <f t="array" aca="1" ref="M87" ca="1">IF($A87="S",VTOTALBM,IF($A87=0,0,ROUND(SomaAgrupBM,15-13*ORÇAMENTO!$AF$11)))</f>
        <v>0</v>
      </c>
      <c r="N87" s="336">
        <f t="shared" ca="1" si="11"/>
        <v>0</v>
      </c>
      <c r="O87" s="125">
        <f t="array" aca="1" ref="O87" ca="1">IF($A87="S",VTOTALBM,IF($A87=0,0,ROUND(SomaAgrupBM,15-13*ORÇAMENTO!$AF$11)))</f>
        <v>0</v>
      </c>
      <c r="Q87" s="337"/>
      <c r="R87" s="338"/>
      <c r="T87" s="117" t="str">
        <f t="shared" ca="1" si="12"/>
        <v/>
      </c>
      <c r="U87" s="163" t="str">
        <f t="shared" ca="1" si="13"/>
        <v/>
      </c>
      <c r="V87" s="164" t="str">
        <f t="array" aca="1" ref="V87" ca="1">IF(AND($W87&gt;0,RegimeExecucao="Unitário"),$F87,"")</f>
        <v/>
      </c>
      <c r="W87" s="453">
        <f t="array" aca="1" ref="W87" ca="1">IF($Y87&gt;0,CHOOSE(MATCH(RegimeExecucao,{"Unitário","Global"},0),IF($A87="S",$Y87/$X87,""),($Y87/$X87)*100),0)</f>
        <v>0</v>
      </c>
      <c r="X87" s="339" t="str">
        <f t="array" aca="1" ref="X87" ca="1">IF($Y87&gt;0,CHOOSE(MATCH(RegimeExecucao,{"Unitário","Global"},0),IF($A87="S",ROUND($H87,ORÇAMENTO!$AF$10),""),ROUND($I87,ORÇAMENTO!$AF$11)),"")</f>
        <v/>
      </c>
      <c r="Y87" s="339">
        <f t="shared" ca="1" si="14"/>
        <v>0</v>
      </c>
      <c r="Z87" s="472"/>
      <c r="AB87" s="337"/>
      <c r="AC87" s="437"/>
      <c r="AD87" s="437"/>
      <c r="AE87" s="437"/>
      <c r="AF87" s="437"/>
      <c r="AG87" s="437"/>
      <c r="AH87" s="437"/>
      <c r="AI87" s="437"/>
      <c r="AJ87" s="437"/>
      <c r="AK87" s="437"/>
      <c r="AL87" s="437"/>
      <c r="AM87" s="338"/>
      <c r="AO87" s="696">
        <f t="array" aca="1" ref="AO87" ca="1">IF($A87="S",IF(BM!$I87=0,0,CHOOSE(MATCH(RegimeExecucao,{"Global","Unitário"},0),ROUND(ROUND(BM.MEDAcumulado,15-13*BM!$A$9)/100*BM!$I87,15-13*ORÇAMENTO!$AF$11),ROUND(ROUND(BM.MEDAcumulado,15-13*BM!$A$9)*ROUND(BM!$H87,15-13*ORÇAMENTO!$AF$10),15-13*ORÇAMENTO!$AF$11))),IF($A87=0,0,ROUND(SomaAgrupBM,15-13*ORÇAMENTO!$AF$11)))</f>
        <v>0</v>
      </c>
    </row>
    <row r="88" spans="1:41" s="696" customFormat="1" ht="51" x14ac:dyDescent="0.2">
      <c r="A88" s="696" t="str">
        <f ca="1">ORÇAMENTO!C88</f>
        <v>S</v>
      </c>
      <c r="B88" s="696">
        <f ca="1">ORÇAMENTO!D88</f>
        <v>0</v>
      </c>
      <c r="C88" s="114" t="str">
        <f t="shared" ca="1" si="8"/>
        <v>F</v>
      </c>
      <c r="D88" s="117" t="str">
        <f ca="1">ORÇAMENTO!O88</f>
        <v>1.14.2.</v>
      </c>
      <c r="E88" s="163" t="str">
        <f t="shared" ca="1" si="9"/>
        <v>CHAPISCO APLICADO NO TETO OU EM ALVENARIA E ESTRUTURA, COM ROLO PARA TEXTURA ACRÍLICA. ARGAMASSA TRAÇO 1:4 E EMULSÃO POLIMÉRICA (ADESIVO) COM PREPARO EM BETONEIRA 400L. AF_10/2022</v>
      </c>
      <c r="F88" s="164" t="str">
        <f t="array" aca="1" ref="F88" ca="1">IF(RegimeExecucao="Global","",ORÇAMENTO.Unidade)</f>
        <v>M2</v>
      </c>
      <c r="G88" s="122">
        <f t="array" aca="1" ref="G88" ca="1">IF(RegimeExecucao="Global","",ORÇAMENTO!T88)</f>
        <v>88</v>
      </c>
      <c r="H88" s="122">
        <f t="array" aca="1" ref="H88" ca="1">IF(RegimeExecucao="Global","",ORÇAMENTO!W88)</f>
        <v>6.87</v>
      </c>
      <c r="I88" s="125">
        <f ca="1">ORÇAMENTO!X88</f>
        <v>604.55999999999995</v>
      </c>
      <c r="J88" s="333">
        <f t="array" aca="1" ref="J88" ca="1">IF($A88="S",IF(CAIXA.Modo,BM.AFAnterior,BM.MEDAnterior),IF(AND(RegimeExecucao="Global",$I88&gt;0,COUNTIF($AB$13:$AM$13,BM.medicao-1)&gt;0),M88/$I88*100,0))</f>
        <v>0</v>
      </c>
      <c r="K88" s="122">
        <f t="shared" ca="1" si="10"/>
        <v>0</v>
      </c>
      <c r="L88" s="334">
        <f t="array" aca="1" ref="L88" ca="1">IF($A88="S",IF(CAIXA.Modo,BM.AFAcumulado,BM.MEDAcumulado),IF(AND(RegimeExecucao="Global",$I88&gt;0,COUNTIF($AB$13:$AM$13,BM.medicao)&gt;0),O88/$I88*100,0))</f>
        <v>0</v>
      </c>
      <c r="M88" s="335">
        <f t="array" aca="1" ref="M88" ca="1">IF($A88="S",VTOTALBM,IF($A88=0,0,ROUND(SomaAgrupBM,15-13*ORÇAMENTO!$AF$11)))</f>
        <v>0</v>
      </c>
      <c r="N88" s="336">
        <f t="shared" ca="1" si="11"/>
        <v>0</v>
      </c>
      <c r="O88" s="125">
        <f t="array" aca="1" ref="O88" ca="1">IF($A88="S",VTOTALBM,IF($A88=0,0,ROUND(SomaAgrupBM,15-13*ORÇAMENTO!$AF$11)))</f>
        <v>0</v>
      </c>
      <c r="Q88" s="337"/>
      <c r="R88" s="338"/>
      <c r="T88" s="117" t="str">
        <f t="shared" ca="1" si="12"/>
        <v/>
      </c>
      <c r="U88" s="163" t="str">
        <f t="shared" ca="1" si="13"/>
        <v/>
      </c>
      <c r="V88" s="164" t="str">
        <f t="array" aca="1" ref="V88" ca="1">IF(AND($W88&gt;0,RegimeExecucao="Unitário"),$F88,"")</f>
        <v/>
      </c>
      <c r="W88" s="453">
        <f t="array" aca="1" ref="W88" ca="1">IF($Y88&gt;0,CHOOSE(MATCH(RegimeExecucao,{"Unitário","Global"},0),IF($A88="S",$Y88/$X88,""),($Y88/$X88)*100),0)</f>
        <v>0</v>
      </c>
      <c r="X88" s="339" t="str">
        <f t="array" aca="1" ref="X88" ca="1">IF($Y88&gt;0,CHOOSE(MATCH(RegimeExecucao,{"Unitário","Global"},0),IF($A88="S",ROUND($H88,ORÇAMENTO!$AF$10),""),ROUND($I88,ORÇAMENTO!$AF$11)),"")</f>
        <v/>
      </c>
      <c r="Y88" s="339">
        <f t="shared" ca="1" si="14"/>
        <v>0</v>
      </c>
      <c r="Z88" s="472"/>
      <c r="AB88" s="337"/>
      <c r="AC88" s="437"/>
      <c r="AD88" s="437"/>
      <c r="AE88" s="437"/>
      <c r="AF88" s="437"/>
      <c r="AG88" s="437"/>
      <c r="AH88" s="437"/>
      <c r="AI88" s="437"/>
      <c r="AJ88" s="437"/>
      <c r="AK88" s="437"/>
      <c r="AL88" s="437"/>
      <c r="AM88" s="338"/>
      <c r="AO88" s="696">
        <f t="array" aca="1" ref="AO88" ca="1">IF($A88="S",IF(BM!$I88=0,0,CHOOSE(MATCH(RegimeExecucao,{"Global","Unitário"},0),ROUND(ROUND(BM.MEDAcumulado,15-13*BM!$A$9)/100*BM!$I88,15-13*ORÇAMENTO!$AF$11),ROUND(ROUND(BM.MEDAcumulado,15-13*BM!$A$9)*ROUND(BM!$H88,15-13*ORÇAMENTO!$AF$10),15-13*ORÇAMENTO!$AF$11))),IF($A88=0,0,ROUND(SomaAgrupBM,15-13*ORÇAMENTO!$AF$11)))</f>
        <v>0</v>
      </c>
    </row>
    <row r="89" spans="1:41" s="696" customFormat="1" ht="51" x14ac:dyDescent="0.2">
      <c r="A89" s="696" t="str">
        <f ca="1">ORÇAMENTO!C89</f>
        <v>S</v>
      </c>
      <c r="B89" s="696">
        <f ca="1">ORÇAMENTO!D89</f>
        <v>0</v>
      </c>
      <c r="C89" s="114" t="str">
        <f t="shared" ca="1" si="8"/>
        <v>F</v>
      </c>
      <c r="D89" s="117" t="str">
        <f ca="1">ORÇAMENTO!O89</f>
        <v>1.14.3.</v>
      </c>
      <c r="E89" s="163" t="str">
        <f t="shared" ca="1" si="9"/>
        <v>EMBOÇO, EM ARGAMASSA TRAÇO 1:2:8, PREPARO MECÂNICO, APLICADO MANUALMENTE EM PAREDES INTERNAS, PARA AMBIENTES COM ÁREA MENOR QUE 5M², E = 10MM, COM TALISCAS. AF_03/2024</v>
      </c>
      <c r="F89" s="164" t="str">
        <f t="array" aca="1" ref="F89" ca="1">IF(RegimeExecucao="Global","",ORÇAMENTO.Unidade)</f>
        <v>M2</v>
      </c>
      <c r="G89" s="122">
        <f t="array" aca="1" ref="G89" ca="1">IF(RegimeExecucao="Global","",ORÇAMENTO!T89)</f>
        <v>93.96</v>
      </c>
      <c r="H89" s="122">
        <f t="array" aca="1" ref="H89" ca="1">IF(RegimeExecucao="Global","",ORÇAMENTO!W89)</f>
        <v>36.96</v>
      </c>
      <c r="I89" s="125">
        <f ca="1">ORÇAMENTO!X89</f>
        <v>3472.76</v>
      </c>
      <c r="J89" s="333">
        <f t="array" aca="1" ref="J89" ca="1">IF($A89="S",IF(CAIXA.Modo,BM.AFAnterior,BM.MEDAnterior),IF(AND(RegimeExecucao="Global",$I89&gt;0,COUNTIF($AB$13:$AM$13,BM.medicao-1)&gt;0),M89/$I89*100,0))</f>
        <v>0</v>
      </c>
      <c r="K89" s="122">
        <f t="shared" ca="1" si="10"/>
        <v>0</v>
      </c>
      <c r="L89" s="334">
        <f t="array" aca="1" ref="L89" ca="1">IF($A89="S",IF(CAIXA.Modo,BM.AFAcumulado,BM.MEDAcumulado),IF(AND(RegimeExecucao="Global",$I89&gt;0,COUNTIF($AB$13:$AM$13,BM.medicao)&gt;0),O89/$I89*100,0))</f>
        <v>0</v>
      </c>
      <c r="M89" s="335">
        <f t="array" aca="1" ref="M89" ca="1">IF($A89="S",VTOTALBM,IF($A89=0,0,ROUND(SomaAgrupBM,15-13*ORÇAMENTO!$AF$11)))</f>
        <v>0</v>
      </c>
      <c r="N89" s="336">
        <f t="shared" ca="1" si="11"/>
        <v>0</v>
      </c>
      <c r="O89" s="125">
        <f t="array" aca="1" ref="O89" ca="1">IF($A89="S",VTOTALBM,IF($A89=0,0,ROUND(SomaAgrupBM,15-13*ORÇAMENTO!$AF$11)))</f>
        <v>0</v>
      </c>
      <c r="Q89" s="337"/>
      <c r="R89" s="338"/>
      <c r="T89" s="117" t="str">
        <f t="shared" ca="1" si="12"/>
        <v/>
      </c>
      <c r="U89" s="163" t="str">
        <f t="shared" ca="1" si="13"/>
        <v/>
      </c>
      <c r="V89" s="164" t="str">
        <f t="array" aca="1" ref="V89" ca="1">IF(AND($W89&gt;0,RegimeExecucao="Unitário"),$F89,"")</f>
        <v/>
      </c>
      <c r="W89" s="453">
        <f t="array" aca="1" ref="W89" ca="1">IF($Y89&gt;0,CHOOSE(MATCH(RegimeExecucao,{"Unitário","Global"},0),IF($A89="S",$Y89/$X89,""),($Y89/$X89)*100),0)</f>
        <v>0</v>
      </c>
      <c r="X89" s="339" t="str">
        <f t="array" aca="1" ref="X89" ca="1">IF($Y89&gt;0,CHOOSE(MATCH(RegimeExecucao,{"Unitário","Global"},0),IF($A89="S",ROUND($H89,ORÇAMENTO!$AF$10),""),ROUND($I89,ORÇAMENTO!$AF$11)),"")</f>
        <v/>
      </c>
      <c r="Y89" s="339">
        <f t="shared" ca="1" si="14"/>
        <v>0</v>
      </c>
      <c r="Z89" s="472"/>
      <c r="AB89" s="337"/>
      <c r="AC89" s="437"/>
      <c r="AD89" s="437"/>
      <c r="AE89" s="437"/>
      <c r="AF89" s="437"/>
      <c r="AG89" s="437"/>
      <c r="AH89" s="437"/>
      <c r="AI89" s="437"/>
      <c r="AJ89" s="437"/>
      <c r="AK89" s="437"/>
      <c r="AL89" s="437"/>
      <c r="AM89" s="338"/>
      <c r="AO89" s="696">
        <f t="array" aca="1" ref="AO89" ca="1">IF($A89="S",IF(BM!$I89=0,0,CHOOSE(MATCH(RegimeExecucao,{"Global","Unitário"},0),ROUND(ROUND(BM.MEDAcumulado,15-13*BM!$A$9)/100*BM!$I89,15-13*ORÇAMENTO!$AF$11),ROUND(ROUND(BM.MEDAcumulado,15-13*BM!$A$9)*ROUND(BM!$H89,15-13*ORÇAMENTO!$AF$10),15-13*ORÇAMENTO!$AF$11))),IF($A89=0,0,ROUND(SomaAgrupBM,15-13*ORÇAMENTO!$AF$11)))</f>
        <v>0</v>
      </c>
    </row>
    <row r="90" spans="1:41" s="696" customFormat="1" ht="38.25" x14ac:dyDescent="0.2">
      <c r="A90" s="696" t="str">
        <f ca="1">ORÇAMENTO!C90</f>
        <v>S</v>
      </c>
      <c r="B90" s="696">
        <f ca="1">ORÇAMENTO!D90</f>
        <v>0</v>
      </c>
      <c r="C90" s="114" t="str">
        <f t="shared" ca="1" si="8"/>
        <v>F</v>
      </c>
      <c r="D90" s="117" t="str">
        <f ca="1">ORÇAMENTO!O90</f>
        <v>1.14.4.</v>
      </c>
      <c r="E90" s="163" t="str">
        <f t="shared" ca="1" si="9"/>
        <v>MASSA ÚNICA, EM ARGAMASSA TRAÇO 1:2:8, PREPARO MECÂNICO, APLICADA MANUALMENTE EM PAREDES INTERNAS DE AMBIENTES COM ÁREA ENTRE 5M² E 10M², E = 10MM, COM TALISCAS. AF_03/2024</v>
      </c>
      <c r="F90" s="164" t="str">
        <f t="array" aca="1" ref="F90" ca="1">IF(RegimeExecucao="Global","",ORÇAMENTO.Unidade)</f>
        <v>M2</v>
      </c>
      <c r="G90" s="122">
        <f t="array" aca="1" ref="G90" ca="1">IF(RegimeExecucao="Global","",ORÇAMENTO!T90)</f>
        <v>1601</v>
      </c>
      <c r="H90" s="122">
        <f t="array" aca="1" ref="H90" ca="1">IF(RegimeExecucao="Global","",ORÇAMENTO!W90)</f>
        <v>33.14</v>
      </c>
      <c r="I90" s="125">
        <f ca="1">ORÇAMENTO!X90</f>
        <v>53057.16</v>
      </c>
      <c r="J90" s="333">
        <f t="array" aca="1" ref="J90" ca="1">IF($A90="S",IF(CAIXA.Modo,BM.AFAnterior,BM.MEDAnterior),IF(AND(RegimeExecucao="Global",$I90&gt;0,COUNTIF($AB$13:$AM$13,BM.medicao-1)&gt;0),M90/$I90*100,0))</f>
        <v>0</v>
      </c>
      <c r="K90" s="122">
        <f t="shared" ca="1" si="10"/>
        <v>0</v>
      </c>
      <c r="L90" s="334">
        <f t="array" aca="1" ref="L90" ca="1">IF($A90="S",IF(CAIXA.Modo,BM.AFAcumulado,BM.MEDAcumulado),IF(AND(RegimeExecucao="Global",$I90&gt;0,COUNTIF($AB$13:$AM$13,BM.medicao)&gt;0),O90/$I90*100,0))</f>
        <v>0</v>
      </c>
      <c r="M90" s="335">
        <f t="array" aca="1" ref="M90" ca="1">IF($A90="S",VTOTALBM,IF($A90=0,0,ROUND(SomaAgrupBM,15-13*ORÇAMENTO!$AF$11)))</f>
        <v>0</v>
      </c>
      <c r="N90" s="336">
        <f t="shared" ca="1" si="11"/>
        <v>0</v>
      </c>
      <c r="O90" s="125">
        <f t="array" aca="1" ref="O90" ca="1">IF($A90="S",VTOTALBM,IF($A90=0,0,ROUND(SomaAgrupBM,15-13*ORÇAMENTO!$AF$11)))</f>
        <v>0</v>
      </c>
      <c r="Q90" s="337"/>
      <c r="R90" s="338"/>
      <c r="T90" s="117" t="str">
        <f t="shared" ca="1" si="12"/>
        <v/>
      </c>
      <c r="U90" s="163" t="str">
        <f t="shared" ca="1" si="13"/>
        <v/>
      </c>
      <c r="V90" s="164" t="str">
        <f t="array" aca="1" ref="V90" ca="1">IF(AND($W90&gt;0,RegimeExecucao="Unitário"),$F90,"")</f>
        <v/>
      </c>
      <c r="W90" s="453">
        <f t="array" aca="1" ref="W90" ca="1">IF($Y90&gt;0,CHOOSE(MATCH(RegimeExecucao,{"Unitário","Global"},0),IF($A90="S",$Y90/$X90,""),($Y90/$X90)*100),0)</f>
        <v>0</v>
      </c>
      <c r="X90" s="339" t="str">
        <f t="array" aca="1" ref="X90" ca="1">IF($Y90&gt;0,CHOOSE(MATCH(RegimeExecucao,{"Unitário","Global"},0),IF($A90="S",ROUND($H90,ORÇAMENTO!$AF$10),""),ROUND($I90,ORÇAMENTO!$AF$11)),"")</f>
        <v/>
      </c>
      <c r="Y90" s="339">
        <f t="shared" ca="1" si="14"/>
        <v>0</v>
      </c>
      <c r="Z90" s="472"/>
      <c r="AB90" s="337"/>
      <c r="AC90" s="437"/>
      <c r="AD90" s="437"/>
      <c r="AE90" s="437"/>
      <c r="AF90" s="437"/>
      <c r="AG90" s="437"/>
      <c r="AH90" s="437"/>
      <c r="AI90" s="437"/>
      <c r="AJ90" s="437"/>
      <c r="AK90" s="437"/>
      <c r="AL90" s="437"/>
      <c r="AM90" s="338"/>
      <c r="AO90" s="696">
        <f t="array" aca="1" ref="AO90" ca="1">IF($A90="S",IF(BM!$I90=0,0,CHOOSE(MATCH(RegimeExecucao,{"Global","Unitário"},0),ROUND(ROUND(BM.MEDAcumulado,15-13*BM!$A$9)/100*BM!$I90,15-13*ORÇAMENTO!$AF$11),ROUND(ROUND(BM.MEDAcumulado,15-13*BM!$A$9)*ROUND(BM!$H90,15-13*ORÇAMENTO!$AF$10),15-13*ORÇAMENTO!$AF$11))),IF($A90=0,0,ROUND(SomaAgrupBM,15-13*ORÇAMENTO!$AF$11)))</f>
        <v>0</v>
      </c>
    </row>
    <row r="91" spans="1:41" s="696" customFormat="1" ht="38.25" x14ac:dyDescent="0.2">
      <c r="A91" s="696" t="str">
        <f ca="1">ORÇAMENTO!C91</f>
        <v>S</v>
      </c>
      <c r="B91" s="696">
        <f ca="1">ORÇAMENTO!D91</f>
        <v>0</v>
      </c>
      <c r="C91" s="114" t="str">
        <f t="shared" ca="1" si="8"/>
        <v>F</v>
      </c>
      <c r="D91" s="117" t="str">
        <f ca="1">ORÇAMENTO!O91</f>
        <v>1.14.5.</v>
      </c>
      <c r="E91" s="163" t="str">
        <f t="shared" ca="1" si="9"/>
        <v>MASSA ÚNICA, EM ARGAMASSA TRAÇO 1:2:8 PREPARO MECÂNICO, APLICADA MANUALMENTE EM PAREDES INTERNAS DE AMBIENTES COM ÁREA MAIOR QUE 10M², E = 10MM, COM TALISCAS. AF_03/2024</v>
      </c>
      <c r="F91" s="164" t="str">
        <f t="array" aca="1" ref="F91" ca="1">IF(RegimeExecucao="Global","",ORÇAMENTO.Unidade)</f>
        <v>M2</v>
      </c>
      <c r="G91" s="122">
        <f t="array" aca="1" ref="G91" ca="1">IF(RegimeExecucao="Global","",ORÇAMENTO!T91)</f>
        <v>651.20000000000005</v>
      </c>
      <c r="H91" s="122">
        <f t="array" aca="1" ref="H91" ca="1">IF(RegimeExecucao="Global","",ORÇAMENTO!W91)</f>
        <v>29.22</v>
      </c>
      <c r="I91" s="125">
        <f ca="1">ORÇAMENTO!X91</f>
        <v>19028.080000000002</v>
      </c>
      <c r="J91" s="333">
        <f t="array" aca="1" ref="J91" ca="1">IF($A91="S",IF(CAIXA.Modo,BM.AFAnterior,BM.MEDAnterior),IF(AND(RegimeExecucao="Global",$I91&gt;0,COUNTIF($AB$13:$AM$13,BM.medicao-1)&gt;0),M91/$I91*100,0))</f>
        <v>0</v>
      </c>
      <c r="K91" s="122">
        <f t="shared" ca="1" si="10"/>
        <v>0</v>
      </c>
      <c r="L91" s="334">
        <f t="array" aca="1" ref="L91" ca="1">IF($A91="S",IF(CAIXA.Modo,BM.AFAcumulado,BM.MEDAcumulado),IF(AND(RegimeExecucao="Global",$I91&gt;0,COUNTIF($AB$13:$AM$13,BM.medicao)&gt;0),O91/$I91*100,0))</f>
        <v>0</v>
      </c>
      <c r="M91" s="335">
        <f t="array" aca="1" ref="M91" ca="1">IF($A91="S",VTOTALBM,IF($A91=0,0,ROUND(SomaAgrupBM,15-13*ORÇAMENTO!$AF$11)))</f>
        <v>0</v>
      </c>
      <c r="N91" s="336">
        <f t="shared" ca="1" si="11"/>
        <v>0</v>
      </c>
      <c r="O91" s="125">
        <f t="array" aca="1" ref="O91" ca="1">IF($A91="S",VTOTALBM,IF($A91=0,0,ROUND(SomaAgrupBM,15-13*ORÇAMENTO!$AF$11)))</f>
        <v>0</v>
      </c>
      <c r="Q91" s="337"/>
      <c r="R91" s="338"/>
      <c r="T91" s="117" t="str">
        <f t="shared" ca="1" si="12"/>
        <v/>
      </c>
      <c r="U91" s="163" t="str">
        <f t="shared" ca="1" si="13"/>
        <v/>
      </c>
      <c r="V91" s="164" t="str">
        <f t="array" aca="1" ref="V91" ca="1">IF(AND($W91&gt;0,RegimeExecucao="Unitário"),$F91,"")</f>
        <v/>
      </c>
      <c r="W91" s="453">
        <f t="array" aca="1" ref="W91" ca="1">IF($Y91&gt;0,CHOOSE(MATCH(RegimeExecucao,{"Unitário","Global"},0),IF($A91="S",$Y91/$X91,""),($Y91/$X91)*100),0)</f>
        <v>0</v>
      </c>
      <c r="X91" s="339" t="str">
        <f t="array" aca="1" ref="X91" ca="1">IF($Y91&gt;0,CHOOSE(MATCH(RegimeExecucao,{"Unitário","Global"},0),IF($A91="S",ROUND($H91,ORÇAMENTO!$AF$10),""),ROUND($I91,ORÇAMENTO!$AF$11)),"")</f>
        <v/>
      </c>
      <c r="Y91" s="339">
        <f t="shared" ca="1" si="14"/>
        <v>0</v>
      </c>
      <c r="Z91" s="472"/>
      <c r="AB91" s="337"/>
      <c r="AC91" s="437"/>
      <c r="AD91" s="437"/>
      <c r="AE91" s="437"/>
      <c r="AF91" s="437"/>
      <c r="AG91" s="437"/>
      <c r="AH91" s="437"/>
      <c r="AI91" s="437"/>
      <c r="AJ91" s="437"/>
      <c r="AK91" s="437"/>
      <c r="AL91" s="437"/>
      <c r="AM91" s="338"/>
      <c r="AO91" s="696">
        <f t="array" aca="1" ref="AO91" ca="1">IF($A91="S",IF(BM!$I91=0,0,CHOOSE(MATCH(RegimeExecucao,{"Global","Unitário"},0),ROUND(ROUND(BM.MEDAcumulado,15-13*BM!$A$9)/100*BM!$I91,15-13*ORÇAMENTO!$AF$11),ROUND(ROUND(BM.MEDAcumulado,15-13*BM!$A$9)*ROUND(BM!$H91,15-13*ORÇAMENTO!$AF$10),15-13*ORÇAMENTO!$AF$11))),IF($A91=0,0,ROUND(SomaAgrupBM,15-13*ORÇAMENTO!$AF$11)))</f>
        <v>0</v>
      </c>
    </row>
    <row r="92" spans="1:41" s="696" customFormat="1" ht="38.25" x14ac:dyDescent="0.2">
      <c r="A92" s="696" t="str">
        <f ca="1">ORÇAMENTO!C92</f>
        <v>S</v>
      </c>
      <c r="B92" s="696">
        <f ca="1">ORÇAMENTO!D92</f>
        <v>0</v>
      </c>
      <c r="C92" s="114" t="str">
        <f t="shared" ca="1" si="8"/>
        <v>F</v>
      </c>
      <c r="D92" s="117" t="str">
        <f ca="1">ORÇAMENTO!O92</f>
        <v>1.14.6.</v>
      </c>
      <c r="E92" s="163" t="str">
        <f t="shared" ca="1" si="9"/>
        <v>MASSA ÚNICA, EM ARGAMASSA TRAÇO 1:2:8, PREPARO MECÂNICO, APLICADA MANUALMENTE EM TETO, E = 10MM, COM TALISCAS. AF_03/2024</v>
      </c>
      <c r="F92" s="164" t="str">
        <f t="array" aca="1" ref="F92" ca="1">IF(RegimeExecucao="Global","",ORÇAMENTO.Unidade)</f>
        <v>M2</v>
      </c>
      <c r="G92" s="122">
        <f t="array" aca="1" ref="G92" ca="1">IF(RegimeExecucao="Global","",ORÇAMENTO!T92)</f>
        <v>88.8</v>
      </c>
      <c r="H92" s="122">
        <f t="array" aca="1" ref="H92" ca="1">IF(RegimeExecucao="Global","",ORÇAMENTO!W92)</f>
        <v>40.53</v>
      </c>
      <c r="I92" s="125">
        <f ca="1">ORÇAMENTO!X92</f>
        <v>3599.08</v>
      </c>
      <c r="J92" s="333">
        <f t="array" aca="1" ref="J92" ca="1">IF($A92="S",IF(CAIXA.Modo,BM.AFAnterior,BM.MEDAnterior),IF(AND(RegimeExecucao="Global",$I92&gt;0,COUNTIF($AB$13:$AM$13,BM.medicao-1)&gt;0),M92/$I92*100,0))</f>
        <v>0</v>
      </c>
      <c r="K92" s="122">
        <f t="shared" ca="1" si="10"/>
        <v>0</v>
      </c>
      <c r="L92" s="334">
        <f t="array" aca="1" ref="L92" ca="1">IF($A92="S",IF(CAIXA.Modo,BM.AFAcumulado,BM.MEDAcumulado),IF(AND(RegimeExecucao="Global",$I92&gt;0,COUNTIF($AB$13:$AM$13,BM.medicao)&gt;0),O92/$I92*100,0))</f>
        <v>0</v>
      </c>
      <c r="M92" s="335">
        <f t="array" aca="1" ref="M92" ca="1">IF($A92="S",VTOTALBM,IF($A92=0,0,ROUND(SomaAgrupBM,15-13*ORÇAMENTO!$AF$11)))</f>
        <v>0</v>
      </c>
      <c r="N92" s="336">
        <f t="shared" ca="1" si="11"/>
        <v>0</v>
      </c>
      <c r="O92" s="125">
        <f t="array" aca="1" ref="O92" ca="1">IF($A92="S",VTOTALBM,IF($A92=0,0,ROUND(SomaAgrupBM,15-13*ORÇAMENTO!$AF$11)))</f>
        <v>0</v>
      </c>
      <c r="Q92" s="337"/>
      <c r="R92" s="338"/>
      <c r="T92" s="117" t="str">
        <f t="shared" ca="1" si="12"/>
        <v/>
      </c>
      <c r="U92" s="163" t="str">
        <f t="shared" ca="1" si="13"/>
        <v/>
      </c>
      <c r="V92" s="164" t="str">
        <f t="array" aca="1" ref="V92" ca="1">IF(AND($W92&gt;0,RegimeExecucao="Unitário"),$F92,"")</f>
        <v/>
      </c>
      <c r="W92" s="453">
        <f t="array" aca="1" ref="W92" ca="1">IF($Y92&gt;0,CHOOSE(MATCH(RegimeExecucao,{"Unitário","Global"},0),IF($A92="S",$Y92/$X92,""),($Y92/$X92)*100),0)</f>
        <v>0</v>
      </c>
      <c r="X92" s="339" t="str">
        <f t="array" aca="1" ref="X92" ca="1">IF($Y92&gt;0,CHOOSE(MATCH(RegimeExecucao,{"Unitário","Global"},0),IF($A92="S",ROUND($H92,ORÇAMENTO!$AF$10),""),ROUND($I92,ORÇAMENTO!$AF$11)),"")</f>
        <v/>
      </c>
      <c r="Y92" s="339">
        <f t="shared" ca="1" si="14"/>
        <v>0</v>
      </c>
      <c r="Z92" s="472"/>
      <c r="AB92" s="337"/>
      <c r="AC92" s="437"/>
      <c r="AD92" s="437"/>
      <c r="AE92" s="437"/>
      <c r="AF92" s="437"/>
      <c r="AG92" s="437"/>
      <c r="AH92" s="437"/>
      <c r="AI92" s="437"/>
      <c r="AJ92" s="437"/>
      <c r="AK92" s="437"/>
      <c r="AL92" s="437"/>
      <c r="AM92" s="338"/>
      <c r="AO92" s="696">
        <f t="array" aca="1" ref="AO92" ca="1">IF($A92="S",IF(BM!$I92=0,0,CHOOSE(MATCH(RegimeExecucao,{"Global","Unitário"},0),ROUND(ROUND(BM.MEDAcumulado,15-13*BM!$A$9)/100*BM!$I92,15-13*ORÇAMENTO!$AF$11),ROUND(ROUND(BM.MEDAcumulado,15-13*BM!$A$9)*ROUND(BM!$H92,15-13*ORÇAMENTO!$AF$10),15-13*ORÇAMENTO!$AF$11))),IF($A92=0,0,ROUND(SomaAgrupBM,15-13*ORÇAMENTO!$AF$11)))</f>
        <v>0</v>
      </c>
    </row>
    <row r="93" spans="1:41" s="696" customFormat="1" x14ac:dyDescent="0.2">
      <c r="A93" s="696">
        <f ca="1">ORÇAMENTO!C93</f>
        <v>2</v>
      </c>
      <c r="B93" s="696">
        <f ca="1">ORÇAMENTO!D93</f>
        <v>3</v>
      </c>
      <c r="C93" s="114" t="str">
        <f t="shared" ca="1" si="8"/>
        <v>F</v>
      </c>
      <c r="D93" s="117" t="str">
        <f ca="1">ORÇAMENTO!O93</f>
        <v>1.15.</v>
      </c>
      <c r="E93" s="163" t="str">
        <f t="shared" si="9"/>
        <v>REVESTIMENTOS CERÂMICOS</v>
      </c>
      <c r="F93" s="164" t="str">
        <f t="array" aca="1" ref="F93" ca="1">IF(RegimeExecucao="Global","",ORÇAMENTO.Unidade)</f>
        <v>-</v>
      </c>
      <c r="G93" s="122">
        <f t="array" aca="1" ref="G93" ca="1">IF(RegimeExecucao="Global","",ORÇAMENTO!T93)</f>
        <v>0</v>
      </c>
      <c r="H93" s="122">
        <f t="array" aca="1" ref="H93" ca="1">IF(RegimeExecucao="Global","",ORÇAMENTO!W93)</f>
        <v>0</v>
      </c>
      <c r="I93" s="125">
        <f ca="1">ORÇAMENTO!X93</f>
        <v>35453.32</v>
      </c>
      <c r="J93" s="333">
        <f t="array" aca="1" ref="J93" ca="1">IF($A93="S",IF(CAIXA.Modo,BM.AFAnterior,BM.MEDAnterior),IF(AND(RegimeExecucao="Global",$I93&gt;0,COUNTIF($AB$13:$AM$13,BM.medicao-1)&gt;0),M93/$I93*100,0))</f>
        <v>0</v>
      </c>
      <c r="K93" s="122">
        <f t="shared" ca="1" si="10"/>
        <v>0</v>
      </c>
      <c r="L93" s="334">
        <f t="array" aca="1" ref="L93" ca="1">IF($A93="S",IF(CAIXA.Modo,BM.AFAcumulado,BM.MEDAcumulado),IF(AND(RegimeExecucao="Global",$I93&gt;0,COUNTIF($AB$13:$AM$13,BM.medicao)&gt;0),O93/$I93*100,0))</f>
        <v>0</v>
      </c>
      <c r="M93" s="335">
        <f t="array" aca="1" ref="M93" ca="1">IF($A93="S",VTOTALBM,IF($A93=0,0,ROUND(SomaAgrupBM,15-13*ORÇAMENTO!$AF$11)))</f>
        <v>0</v>
      </c>
      <c r="N93" s="336">
        <f t="shared" ca="1" si="11"/>
        <v>0</v>
      </c>
      <c r="O93" s="125">
        <f t="array" aca="1" ref="O93" ca="1">IF($A93="S",VTOTALBM,IF($A93=0,0,ROUND(SomaAgrupBM,15-13*ORÇAMENTO!$AF$11)))</f>
        <v>0</v>
      </c>
      <c r="Q93" s="337"/>
      <c r="R93" s="338"/>
      <c r="T93" s="117" t="str">
        <f t="shared" ca="1" si="12"/>
        <v/>
      </c>
      <c r="U93" s="163" t="str">
        <f t="shared" ca="1" si="13"/>
        <v/>
      </c>
      <c r="V93" s="164" t="str">
        <f t="array" aca="1" ref="V93" ca="1">IF(AND($W93&gt;0,RegimeExecucao="Unitário"),$F93,"")</f>
        <v/>
      </c>
      <c r="W93" s="453">
        <f t="array" aca="1" ref="W93" ca="1">IF($Y93&gt;0,CHOOSE(MATCH(RegimeExecucao,{"Unitário","Global"},0),IF($A93="S",$Y93/$X93,""),($Y93/$X93)*100),0)</f>
        <v>0</v>
      </c>
      <c r="X93" s="339" t="str">
        <f t="array" aca="1" ref="X93" ca="1">IF($Y93&gt;0,CHOOSE(MATCH(RegimeExecucao,{"Unitário","Global"},0),IF($A93="S",ROUND($H93,ORÇAMENTO!$AF$10),""),ROUND($I93,ORÇAMENTO!$AF$11)),"")</f>
        <v/>
      </c>
      <c r="Y93" s="339">
        <f t="shared" ca="1" si="14"/>
        <v>0</v>
      </c>
      <c r="Z93" s="472"/>
      <c r="AB93" s="337"/>
      <c r="AC93" s="437"/>
      <c r="AD93" s="437"/>
      <c r="AE93" s="437"/>
      <c r="AF93" s="437"/>
      <c r="AG93" s="437"/>
      <c r="AH93" s="437"/>
      <c r="AI93" s="437"/>
      <c r="AJ93" s="437"/>
      <c r="AK93" s="437"/>
      <c r="AL93" s="437"/>
      <c r="AM93" s="338"/>
      <c r="AO93" s="696">
        <f t="array" aca="1" ref="AO93" ca="1">IF($A93="S",IF(BM!$I93=0,0,CHOOSE(MATCH(RegimeExecucao,{"Global","Unitário"},0),ROUND(ROUND(BM.MEDAcumulado,15-13*BM!$A$9)/100*BM!$I93,15-13*ORÇAMENTO!$AF$11),ROUND(ROUND(BM.MEDAcumulado,15-13*BM!$A$9)*ROUND(BM!$H93,15-13*ORÇAMENTO!$AF$10),15-13*ORÇAMENTO!$AF$11))),IF($A93=0,0,ROUND(SomaAgrupBM,15-13*ORÇAMENTO!$AF$11)))</f>
        <v>0</v>
      </c>
    </row>
    <row r="94" spans="1:41" s="696" customFormat="1" ht="38.25" x14ac:dyDescent="0.2">
      <c r="A94" s="696" t="str">
        <f ca="1">ORÇAMENTO!C94</f>
        <v>S</v>
      </c>
      <c r="B94" s="696">
        <f ca="1">ORÇAMENTO!D94</f>
        <v>0</v>
      </c>
      <c r="C94" s="114" t="str">
        <f t="shared" ca="1" si="8"/>
        <v>F</v>
      </c>
      <c r="D94" s="117" t="str">
        <f ca="1">ORÇAMENTO!O94</f>
        <v>1.15.1.</v>
      </c>
      <c r="E94" s="163" t="str">
        <f t="shared" ca="1" si="9"/>
        <v>REVESTIMENTO CERÂMICO PARA PAREDES INTERNAS COM PLACAS TIPO ESMALTADA DE DIMENSÕES 20X20 CM APLICADAS A MEIA ALTURA DAS PAREDES. AF_02/2023_PE</v>
      </c>
      <c r="F94" s="164" t="str">
        <f t="array" aca="1" ref="F94" ca="1">IF(RegimeExecucao="Global","",ORÇAMENTO.Unidade)</f>
        <v>M2</v>
      </c>
      <c r="G94" s="122">
        <f t="array" aca="1" ref="G94" ca="1">IF(RegimeExecucao="Global","",ORÇAMENTO!T94)</f>
        <v>393</v>
      </c>
      <c r="H94" s="122">
        <f t="array" aca="1" ref="H94" ca="1">IF(RegimeExecucao="Global","",ORÇAMENTO!W94)</f>
        <v>76.56</v>
      </c>
      <c r="I94" s="125">
        <f ca="1">ORÇAMENTO!X94</f>
        <v>30088.080000000002</v>
      </c>
      <c r="J94" s="333">
        <f t="array" aca="1" ref="J94" ca="1">IF($A94="S",IF(CAIXA.Modo,BM.AFAnterior,BM.MEDAnterior),IF(AND(RegimeExecucao="Global",$I94&gt;0,COUNTIF($AB$13:$AM$13,BM.medicao-1)&gt;0),M94/$I94*100,0))</f>
        <v>0</v>
      </c>
      <c r="K94" s="122">
        <f t="shared" ca="1" si="10"/>
        <v>0</v>
      </c>
      <c r="L94" s="334">
        <f t="array" aca="1" ref="L94" ca="1">IF($A94="S",IF(CAIXA.Modo,BM.AFAcumulado,BM.MEDAcumulado),IF(AND(RegimeExecucao="Global",$I94&gt;0,COUNTIF($AB$13:$AM$13,BM.medicao)&gt;0),O94/$I94*100,0))</f>
        <v>0</v>
      </c>
      <c r="M94" s="335">
        <f t="array" aca="1" ref="M94" ca="1">IF($A94="S",VTOTALBM,IF($A94=0,0,ROUND(SomaAgrupBM,15-13*ORÇAMENTO!$AF$11)))</f>
        <v>0</v>
      </c>
      <c r="N94" s="336">
        <f t="shared" ca="1" si="11"/>
        <v>0</v>
      </c>
      <c r="O94" s="125">
        <f t="array" aca="1" ref="O94" ca="1">IF($A94="S",VTOTALBM,IF($A94=0,0,ROUND(SomaAgrupBM,15-13*ORÇAMENTO!$AF$11)))</f>
        <v>0</v>
      </c>
      <c r="Q94" s="337"/>
      <c r="R94" s="338"/>
      <c r="T94" s="117" t="str">
        <f t="shared" ca="1" si="12"/>
        <v/>
      </c>
      <c r="U94" s="163" t="str">
        <f t="shared" ca="1" si="13"/>
        <v/>
      </c>
      <c r="V94" s="164" t="str">
        <f t="array" aca="1" ref="V94" ca="1">IF(AND($W94&gt;0,RegimeExecucao="Unitário"),$F94,"")</f>
        <v/>
      </c>
      <c r="W94" s="453">
        <f t="array" aca="1" ref="W94" ca="1">IF($Y94&gt;0,CHOOSE(MATCH(RegimeExecucao,{"Unitário","Global"},0),IF($A94="S",$Y94/$X94,""),($Y94/$X94)*100),0)</f>
        <v>0</v>
      </c>
      <c r="X94" s="339" t="str">
        <f t="array" aca="1" ref="X94" ca="1">IF($Y94&gt;0,CHOOSE(MATCH(RegimeExecucao,{"Unitário","Global"},0),IF($A94="S",ROUND($H94,ORÇAMENTO!$AF$10),""),ROUND($I94,ORÇAMENTO!$AF$11)),"")</f>
        <v/>
      </c>
      <c r="Y94" s="339">
        <f t="shared" ca="1" si="14"/>
        <v>0</v>
      </c>
      <c r="Z94" s="472"/>
      <c r="AB94" s="337"/>
      <c r="AC94" s="437"/>
      <c r="AD94" s="437"/>
      <c r="AE94" s="437"/>
      <c r="AF94" s="437"/>
      <c r="AG94" s="437"/>
      <c r="AH94" s="437"/>
      <c r="AI94" s="437"/>
      <c r="AJ94" s="437"/>
      <c r="AK94" s="437"/>
      <c r="AL94" s="437"/>
      <c r="AM94" s="338"/>
      <c r="AO94" s="696">
        <f t="array" aca="1" ref="AO94" ca="1">IF($A94="S",IF(BM!$I94=0,0,CHOOSE(MATCH(RegimeExecucao,{"Global","Unitário"},0),ROUND(ROUND(BM.MEDAcumulado,15-13*BM!$A$9)/100*BM!$I94,15-13*ORÇAMENTO!$AF$11),ROUND(ROUND(BM.MEDAcumulado,15-13*BM!$A$9)*ROUND(BM!$H94,15-13*ORÇAMENTO!$AF$10),15-13*ORÇAMENTO!$AF$11))),IF($A94=0,0,ROUND(SomaAgrupBM,15-13*ORÇAMENTO!$AF$11)))</f>
        <v>0</v>
      </c>
    </row>
    <row r="95" spans="1:41" s="696" customFormat="1" ht="38.25" x14ac:dyDescent="0.2">
      <c r="A95" s="696" t="str">
        <f ca="1">ORÇAMENTO!C95</f>
        <v>S</v>
      </c>
      <c r="B95" s="696">
        <f ca="1">ORÇAMENTO!D95</f>
        <v>0</v>
      </c>
      <c r="C95" s="114" t="str">
        <f t="shared" ca="1" si="8"/>
        <v>F</v>
      </c>
      <c r="D95" s="117" t="str">
        <f ca="1">ORÇAMENTO!O95</f>
        <v>1.15.2.</v>
      </c>
      <c r="E95" s="163" t="str">
        <f t="shared" ca="1" si="9"/>
        <v>REVESTIMENTO CERÂMICO PARA PAREDES INTERNAS COM PLACAS TIPO ESMALTADA DE DIMENSÕES 20X20 CM APLICADAS NA ALTURA INTEIRA DAS PAREDES. AF_02/2023_PE</v>
      </c>
      <c r="F95" s="164" t="str">
        <f t="array" aca="1" ref="F95" ca="1">IF(RegimeExecucao="Global","",ORÇAMENTO.Unidade)</f>
        <v>M2</v>
      </c>
      <c r="G95" s="122">
        <f t="array" aca="1" ref="G95" ca="1">IF(RegimeExecucao="Global","",ORÇAMENTO!T95)</f>
        <v>76.8</v>
      </c>
      <c r="H95" s="122">
        <f t="array" aca="1" ref="H95" ca="1">IF(RegimeExecucao="Global","",ORÇAMENTO!W95)</f>
        <v>69.86</v>
      </c>
      <c r="I95" s="125">
        <f ca="1">ORÇAMENTO!X95</f>
        <v>5365.24</v>
      </c>
      <c r="J95" s="333">
        <f t="array" aca="1" ref="J95" ca="1">IF($A95="S",IF(CAIXA.Modo,BM.AFAnterior,BM.MEDAnterior),IF(AND(RegimeExecucao="Global",$I95&gt;0,COUNTIF($AB$13:$AM$13,BM.medicao-1)&gt;0),M95/$I95*100,0))</f>
        <v>0</v>
      </c>
      <c r="K95" s="122">
        <f t="shared" ca="1" si="10"/>
        <v>0</v>
      </c>
      <c r="L95" s="334">
        <f t="array" aca="1" ref="L95" ca="1">IF($A95="S",IF(CAIXA.Modo,BM.AFAcumulado,BM.MEDAcumulado),IF(AND(RegimeExecucao="Global",$I95&gt;0,COUNTIF($AB$13:$AM$13,BM.medicao)&gt;0),O95/$I95*100,0))</f>
        <v>0</v>
      </c>
      <c r="M95" s="335">
        <f t="array" aca="1" ref="M95" ca="1">IF($A95="S",VTOTALBM,IF($A95=0,0,ROUND(SomaAgrupBM,15-13*ORÇAMENTO!$AF$11)))</f>
        <v>0</v>
      </c>
      <c r="N95" s="336">
        <f t="shared" ca="1" si="11"/>
        <v>0</v>
      </c>
      <c r="O95" s="125">
        <f t="array" aca="1" ref="O95" ca="1">IF($A95="S",VTOTALBM,IF($A95=0,0,ROUND(SomaAgrupBM,15-13*ORÇAMENTO!$AF$11)))</f>
        <v>0</v>
      </c>
      <c r="Q95" s="337"/>
      <c r="R95" s="338"/>
      <c r="T95" s="117" t="str">
        <f t="shared" ca="1" si="12"/>
        <v/>
      </c>
      <c r="U95" s="163" t="str">
        <f t="shared" ca="1" si="13"/>
        <v/>
      </c>
      <c r="V95" s="164" t="str">
        <f t="array" aca="1" ref="V95" ca="1">IF(AND($W95&gt;0,RegimeExecucao="Unitário"),$F95,"")</f>
        <v/>
      </c>
      <c r="W95" s="453">
        <f t="array" aca="1" ref="W95" ca="1">IF($Y95&gt;0,CHOOSE(MATCH(RegimeExecucao,{"Unitário","Global"},0),IF($A95="S",$Y95/$X95,""),($Y95/$X95)*100),0)</f>
        <v>0</v>
      </c>
      <c r="X95" s="339" t="str">
        <f t="array" aca="1" ref="X95" ca="1">IF($Y95&gt;0,CHOOSE(MATCH(RegimeExecucao,{"Unitário","Global"},0),IF($A95="S",ROUND($H95,ORÇAMENTO!$AF$10),""),ROUND($I95,ORÇAMENTO!$AF$11)),"")</f>
        <v/>
      </c>
      <c r="Y95" s="339">
        <f t="shared" ca="1" si="14"/>
        <v>0</v>
      </c>
      <c r="Z95" s="472"/>
      <c r="AB95" s="337"/>
      <c r="AC95" s="437"/>
      <c r="AD95" s="437"/>
      <c r="AE95" s="437"/>
      <c r="AF95" s="437"/>
      <c r="AG95" s="437"/>
      <c r="AH95" s="437"/>
      <c r="AI95" s="437"/>
      <c r="AJ95" s="437"/>
      <c r="AK95" s="437"/>
      <c r="AL95" s="437"/>
      <c r="AM95" s="338"/>
      <c r="AO95" s="696">
        <f t="array" aca="1" ref="AO95" ca="1">IF($A95="S",IF(BM!$I95=0,0,CHOOSE(MATCH(RegimeExecucao,{"Global","Unitário"},0),ROUND(ROUND(BM.MEDAcumulado,15-13*BM!$A$9)/100*BM!$I95,15-13*ORÇAMENTO!$AF$11),ROUND(ROUND(BM.MEDAcumulado,15-13*BM!$A$9)*ROUND(BM!$H95,15-13*ORÇAMENTO!$AF$10),15-13*ORÇAMENTO!$AF$11))),IF($A95=0,0,ROUND(SomaAgrupBM,15-13*ORÇAMENTO!$AF$11)))</f>
        <v>0</v>
      </c>
    </row>
    <row r="96" spans="1:41" s="696" customFormat="1" x14ac:dyDescent="0.2">
      <c r="A96" s="696">
        <f ca="1">ORÇAMENTO!C96</f>
        <v>2</v>
      </c>
      <c r="B96" s="696">
        <f ca="1">ORÇAMENTO!D96</f>
        <v>5</v>
      </c>
      <c r="C96" s="114" t="str">
        <f t="shared" ca="1" si="8"/>
        <v>F</v>
      </c>
      <c r="D96" s="117" t="str">
        <f ca="1">ORÇAMENTO!O96</f>
        <v>1.16.</v>
      </c>
      <c r="E96" s="163" t="str">
        <f t="shared" si="9"/>
        <v>REVESTIMENTOS EXTERNOS</v>
      </c>
      <c r="F96" s="164" t="str">
        <f t="array" aca="1" ref="F96" ca="1">IF(RegimeExecucao="Global","",ORÇAMENTO.Unidade)</f>
        <v>-</v>
      </c>
      <c r="G96" s="122">
        <f t="array" aca="1" ref="G96" ca="1">IF(RegimeExecucao="Global","",ORÇAMENTO!T96)</f>
        <v>0</v>
      </c>
      <c r="H96" s="122">
        <f t="array" aca="1" ref="H96" ca="1">IF(RegimeExecucao="Global","",ORÇAMENTO!W96)</f>
        <v>0</v>
      </c>
      <c r="I96" s="125">
        <f ca="1">ORÇAMENTO!X96</f>
        <v>83337.64</v>
      </c>
      <c r="J96" s="333">
        <f t="array" aca="1" ref="J96" ca="1">IF($A96="S",IF(CAIXA.Modo,BM.AFAnterior,BM.MEDAnterior),IF(AND(RegimeExecucao="Global",$I96&gt;0,COUNTIF($AB$13:$AM$13,BM.medicao-1)&gt;0),M96/$I96*100,0))</f>
        <v>0</v>
      </c>
      <c r="K96" s="122">
        <f t="shared" ca="1" si="10"/>
        <v>0</v>
      </c>
      <c r="L96" s="334">
        <f t="array" aca="1" ref="L96" ca="1">IF($A96="S",IF(CAIXA.Modo,BM.AFAcumulado,BM.MEDAcumulado),IF(AND(RegimeExecucao="Global",$I96&gt;0,COUNTIF($AB$13:$AM$13,BM.medicao)&gt;0),O96/$I96*100,0))</f>
        <v>0</v>
      </c>
      <c r="M96" s="335">
        <f t="array" aca="1" ref="M96" ca="1">IF($A96="S",VTOTALBM,IF($A96=0,0,ROUND(SomaAgrupBM,15-13*ORÇAMENTO!$AF$11)))</f>
        <v>0</v>
      </c>
      <c r="N96" s="336">
        <f t="shared" ca="1" si="11"/>
        <v>0</v>
      </c>
      <c r="O96" s="125">
        <f t="array" aca="1" ref="O96" ca="1">IF($A96="S",VTOTALBM,IF($A96=0,0,ROUND(SomaAgrupBM,15-13*ORÇAMENTO!$AF$11)))</f>
        <v>0</v>
      </c>
      <c r="Q96" s="337"/>
      <c r="R96" s="338"/>
      <c r="T96" s="117" t="str">
        <f t="shared" ca="1" si="12"/>
        <v/>
      </c>
      <c r="U96" s="163" t="str">
        <f t="shared" ca="1" si="13"/>
        <v/>
      </c>
      <c r="V96" s="164" t="str">
        <f t="array" aca="1" ref="V96" ca="1">IF(AND($W96&gt;0,RegimeExecucao="Unitário"),$F96,"")</f>
        <v/>
      </c>
      <c r="W96" s="453">
        <f t="array" aca="1" ref="W96" ca="1">IF($Y96&gt;0,CHOOSE(MATCH(RegimeExecucao,{"Unitário","Global"},0),IF($A96="S",$Y96/$X96,""),($Y96/$X96)*100),0)</f>
        <v>0</v>
      </c>
      <c r="X96" s="339" t="str">
        <f t="array" aca="1" ref="X96" ca="1">IF($Y96&gt;0,CHOOSE(MATCH(RegimeExecucao,{"Unitário","Global"},0),IF($A96="S",ROUND($H96,ORÇAMENTO!$AF$10),""),ROUND($I96,ORÇAMENTO!$AF$11)),"")</f>
        <v/>
      </c>
      <c r="Y96" s="339">
        <f t="shared" ca="1" si="14"/>
        <v>0</v>
      </c>
      <c r="Z96" s="472"/>
      <c r="AB96" s="337"/>
      <c r="AC96" s="437"/>
      <c r="AD96" s="437"/>
      <c r="AE96" s="437"/>
      <c r="AF96" s="437"/>
      <c r="AG96" s="437"/>
      <c r="AH96" s="437"/>
      <c r="AI96" s="437"/>
      <c r="AJ96" s="437"/>
      <c r="AK96" s="437"/>
      <c r="AL96" s="437"/>
      <c r="AM96" s="338"/>
      <c r="AO96" s="696">
        <f t="array" aca="1" ref="AO96" ca="1">IF($A96="S",IF(BM!$I96=0,0,CHOOSE(MATCH(RegimeExecucao,{"Global","Unitário"},0),ROUND(ROUND(BM.MEDAcumulado,15-13*BM!$A$9)/100*BM!$I96,15-13*ORÇAMENTO!$AF$11),ROUND(ROUND(BM.MEDAcumulado,15-13*BM!$A$9)*ROUND(BM!$H96,15-13*ORÇAMENTO!$AF$10),15-13*ORÇAMENTO!$AF$11))),IF($A96=0,0,ROUND(SomaAgrupBM,15-13*ORÇAMENTO!$AF$11)))</f>
        <v>0</v>
      </c>
    </row>
    <row r="97" spans="1:41" s="696" customFormat="1" ht="51" x14ac:dyDescent="0.2">
      <c r="A97" s="696" t="str">
        <f ca="1">ORÇAMENTO!C97</f>
        <v>S</v>
      </c>
      <c r="B97" s="696">
        <f ca="1">ORÇAMENTO!D97</f>
        <v>0</v>
      </c>
      <c r="C97" s="114" t="str">
        <f t="shared" ca="1" si="8"/>
        <v>F</v>
      </c>
      <c r="D97" s="117" t="str">
        <f ca="1">ORÇAMENTO!O97</f>
        <v>1.16.1.</v>
      </c>
      <c r="E97" s="163" t="str">
        <f t="shared" ca="1" si="9"/>
        <v>CHAPISCO APLICADO EM ALVENARIA (COM PRESENÇA DE VÃOS) E ESTRUTURAS DE CONCRETO DE FACHADA, COM COLHER DE PEDREIRO. ARGAMASSA TRAÇO 1:3 COM PREPARO EM BETONEIRA 400L. AF_10/2022</v>
      </c>
      <c r="F97" s="164" t="str">
        <f t="array" aca="1" ref="F97" ca="1">IF(RegimeExecucao="Global","",ORÇAMENTO.Unidade)</f>
        <v>M2</v>
      </c>
      <c r="G97" s="122">
        <f t="array" aca="1" ref="G97" ca="1">IF(RegimeExecucao="Global","",ORÇAMENTO!T97)</f>
        <v>607</v>
      </c>
      <c r="H97" s="122">
        <f t="array" aca="1" ref="H97" ca="1">IF(RegimeExecucao="Global","",ORÇAMENTO!W97)</f>
        <v>10.08</v>
      </c>
      <c r="I97" s="125">
        <f ca="1">ORÇAMENTO!X97</f>
        <v>6118.56</v>
      </c>
      <c r="J97" s="333">
        <f t="array" aca="1" ref="J97" ca="1">IF($A97="S",IF(CAIXA.Modo,BM.AFAnterior,BM.MEDAnterior),IF(AND(RegimeExecucao="Global",$I97&gt;0,COUNTIF($AB$13:$AM$13,BM.medicao-1)&gt;0),M97/$I97*100,0))</f>
        <v>0</v>
      </c>
      <c r="K97" s="122">
        <f t="shared" ca="1" si="10"/>
        <v>0</v>
      </c>
      <c r="L97" s="334">
        <f t="array" aca="1" ref="L97" ca="1">IF($A97="S",IF(CAIXA.Modo,BM.AFAcumulado,BM.MEDAcumulado),IF(AND(RegimeExecucao="Global",$I97&gt;0,COUNTIF($AB$13:$AM$13,BM.medicao)&gt;0),O97/$I97*100,0))</f>
        <v>0</v>
      </c>
      <c r="M97" s="335">
        <f t="array" aca="1" ref="M97" ca="1">IF($A97="S",VTOTALBM,IF($A97=0,0,ROUND(SomaAgrupBM,15-13*ORÇAMENTO!$AF$11)))</f>
        <v>0</v>
      </c>
      <c r="N97" s="336">
        <f t="shared" ca="1" si="11"/>
        <v>0</v>
      </c>
      <c r="O97" s="125">
        <f t="array" aca="1" ref="O97" ca="1">IF($A97="S",VTOTALBM,IF($A97=0,0,ROUND(SomaAgrupBM,15-13*ORÇAMENTO!$AF$11)))</f>
        <v>0</v>
      </c>
      <c r="Q97" s="337"/>
      <c r="R97" s="338"/>
      <c r="T97" s="117" t="str">
        <f t="shared" ca="1" si="12"/>
        <v/>
      </c>
      <c r="U97" s="163" t="str">
        <f t="shared" ca="1" si="13"/>
        <v/>
      </c>
      <c r="V97" s="164" t="str">
        <f t="array" aca="1" ref="V97" ca="1">IF(AND($W97&gt;0,RegimeExecucao="Unitário"),$F97,"")</f>
        <v/>
      </c>
      <c r="W97" s="453">
        <f t="array" aca="1" ref="W97" ca="1">IF($Y97&gt;0,CHOOSE(MATCH(RegimeExecucao,{"Unitário","Global"},0),IF($A97="S",$Y97/$X97,""),($Y97/$X97)*100),0)</f>
        <v>0</v>
      </c>
      <c r="X97" s="339" t="str">
        <f t="array" aca="1" ref="X97" ca="1">IF($Y97&gt;0,CHOOSE(MATCH(RegimeExecucao,{"Unitário","Global"},0),IF($A97="S",ROUND($H97,ORÇAMENTO!$AF$10),""),ROUND($I97,ORÇAMENTO!$AF$11)),"")</f>
        <v/>
      </c>
      <c r="Y97" s="339">
        <f t="shared" ca="1" si="14"/>
        <v>0</v>
      </c>
      <c r="Z97" s="472"/>
      <c r="AB97" s="337"/>
      <c r="AC97" s="437"/>
      <c r="AD97" s="437"/>
      <c r="AE97" s="437"/>
      <c r="AF97" s="437"/>
      <c r="AG97" s="437"/>
      <c r="AH97" s="437"/>
      <c r="AI97" s="437"/>
      <c r="AJ97" s="437"/>
      <c r="AK97" s="437"/>
      <c r="AL97" s="437"/>
      <c r="AM97" s="338"/>
      <c r="AO97" s="696">
        <f t="array" aca="1" ref="AO97" ca="1">IF($A97="S",IF(BM!$I97=0,0,CHOOSE(MATCH(RegimeExecucao,{"Global","Unitário"},0),ROUND(ROUND(BM.MEDAcumulado,15-13*BM!$A$9)/100*BM!$I97,15-13*ORÇAMENTO!$AF$11),ROUND(ROUND(BM.MEDAcumulado,15-13*BM!$A$9)*ROUND(BM!$H97,15-13*ORÇAMENTO!$AF$10),15-13*ORÇAMENTO!$AF$11))),IF($A97=0,0,ROUND(SomaAgrupBM,15-13*ORÇAMENTO!$AF$11)))</f>
        <v>0</v>
      </c>
    </row>
    <row r="98" spans="1:41" s="696" customFormat="1" ht="51" x14ac:dyDescent="0.2">
      <c r="A98" s="696" t="str">
        <f ca="1">ORÇAMENTO!C98</f>
        <v>S</v>
      </c>
      <c r="B98" s="696">
        <f ca="1">ORÇAMENTO!D98</f>
        <v>0</v>
      </c>
      <c r="C98" s="114" t="str">
        <f t="shared" ca="1" si="8"/>
        <v>F</v>
      </c>
      <c r="D98" s="117" t="str">
        <f ca="1">ORÇAMENTO!O98</f>
        <v>1.16.2.</v>
      </c>
      <c r="E98" s="163" t="str">
        <f t="shared" ca="1" si="9"/>
        <v>CHAPISCO APLICADO EM ALVENARIA (SEM PRESENÇA DE VÃOS) E ESTRUTURAS DE CONCRETO DE FACHADA, COM COLHER DE PEDREIRO. ARGAMASSA TRAÇO 1:3 COM PREPARO EM BETONEIRA 400L. AF_10/2022</v>
      </c>
      <c r="F98" s="164" t="str">
        <f t="array" aca="1" ref="F98" ca="1">IF(RegimeExecucao="Global","",ORÇAMENTO.Unidade)</f>
        <v>M2</v>
      </c>
      <c r="G98" s="122">
        <f t="array" aca="1" ref="G98" ca="1">IF(RegimeExecucao="Global","",ORÇAMENTO!T98)</f>
        <v>609</v>
      </c>
      <c r="H98" s="122">
        <f t="array" aca="1" ref="H98" ca="1">IF(RegimeExecucao="Global","",ORÇAMENTO!W98)</f>
        <v>8.64</v>
      </c>
      <c r="I98" s="125">
        <f ca="1">ORÇAMENTO!X98</f>
        <v>5261.76</v>
      </c>
      <c r="J98" s="333">
        <f t="array" aca="1" ref="J98" ca="1">IF($A98="S",IF(CAIXA.Modo,BM.AFAnterior,BM.MEDAnterior),IF(AND(RegimeExecucao="Global",$I98&gt;0,COUNTIF($AB$13:$AM$13,BM.medicao-1)&gt;0),M98/$I98*100,0))</f>
        <v>0</v>
      </c>
      <c r="K98" s="122">
        <f t="shared" ca="1" si="10"/>
        <v>0</v>
      </c>
      <c r="L98" s="334">
        <f t="array" aca="1" ref="L98" ca="1">IF($A98="S",IF(CAIXA.Modo,BM.AFAcumulado,BM.MEDAcumulado),IF(AND(RegimeExecucao="Global",$I98&gt;0,COUNTIF($AB$13:$AM$13,BM.medicao)&gt;0),O98/$I98*100,0))</f>
        <v>0</v>
      </c>
      <c r="M98" s="335">
        <f t="array" aca="1" ref="M98" ca="1">IF($A98="S",VTOTALBM,IF($A98=0,0,ROUND(SomaAgrupBM,15-13*ORÇAMENTO!$AF$11)))</f>
        <v>0</v>
      </c>
      <c r="N98" s="336">
        <f t="shared" ca="1" si="11"/>
        <v>0</v>
      </c>
      <c r="O98" s="125">
        <f t="array" aca="1" ref="O98" ca="1">IF($A98="S",VTOTALBM,IF($A98=0,0,ROUND(SomaAgrupBM,15-13*ORÇAMENTO!$AF$11)))</f>
        <v>0</v>
      </c>
      <c r="Q98" s="337"/>
      <c r="R98" s="338"/>
      <c r="T98" s="117" t="str">
        <f t="shared" ca="1" si="12"/>
        <v/>
      </c>
      <c r="U98" s="163" t="str">
        <f t="shared" ca="1" si="13"/>
        <v/>
      </c>
      <c r="V98" s="164" t="str">
        <f t="array" aca="1" ref="V98" ca="1">IF(AND($W98&gt;0,RegimeExecucao="Unitário"),$F98,"")</f>
        <v/>
      </c>
      <c r="W98" s="453">
        <f t="array" aca="1" ref="W98" ca="1">IF($Y98&gt;0,CHOOSE(MATCH(RegimeExecucao,{"Unitário","Global"},0),IF($A98="S",$Y98/$X98,""),($Y98/$X98)*100),0)</f>
        <v>0</v>
      </c>
      <c r="X98" s="339" t="str">
        <f t="array" aca="1" ref="X98" ca="1">IF($Y98&gt;0,CHOOSE(MATCH(RegimeExecucao,{"Unitário","Global"},0),IF($A98="S",ROUND($H98,ORÇAMENTO!$AF$10),""),ROUND($I98,ORÇAMENTO!$AF$11)),"")</f>
        <v/>
      </c>
      <c r="Y98" s="339">
        <f t="shared" ca="1" si="14"/>
        <v>0</v>
      </c>
      <c r="Z98" s="472"/>
      <c r="AB98" s="337"/>
      <c r="AC98" s="437"/>
      <c r="AD98" s="437"/>
      <c r="AE98" s="437"/>
      <c r="AF98" s="437"/>
      <c r="AG98" s="437"/>
      <c r="AH98" s="437"/>
      <c r="AI98" s="437"/>
      <c r="AJ98" s="437"/>
      <c r="AK98" s="437"/>
      <c r="AL98" s="437"/>
      <c r="AM98" s="338"/>
      <c r="AO98" s="696">
        <f t="array" aca="1" ref="AO98" ca="1">IF($A98="S",IF(BM!$I98=0,0,CHOOSE(MATCH(RegimeExecucao,{"Global","Unitário"},0),ROUND(ROUND(BM.MEDAcumulado,15-13*BM!$A$9)/100*BM!$I98,15-13*ORÇAMENTO!$AF$11),ROUND(ROUND(BM.MEDAcumulado,15-13*BM!$A$9)*ROUND(BM!$H98,15-13*ORÇAMENTO!$AF$10),15-13*ORÇAMENTO!$AF$11))),IF($A98=0,0,ROUND(SomaAgrupBM,15-13*ORÇAMENTO!$AF$11)))</f>
        <v>0</v>
      </c>
    </row>
    <row r="99" spans="1:41" s="696" customFormat="1" ht="51" x14ac:dyDescent="0.2">
      <c r="A99" s="696" t="str">
        <f ca="1">ORÇAMENTO!C99</f>
        <v>S</v>
      </c>
      <c r="B99" s="696">
        <f ca="1">ORÇAMENTO!D99</f>
        <v>0</v>
      </c>
      <c r="C99" s="114" t="str">
        <f t="shared" ca="1" si="8"/>
        <v>F</v>
      </c>
      <c r="D99" s="117" t="str">
        <f ca="1">ORÇAMENTO!O99</f>
        <v>1.16.3.</v>
      </c>
      <c r="E99" s="163" t="str">
        <f t="shared" ca="1" si="9"/>
        <v>EMBOÇO OU MASSA ÚNICA EM ARGAMASSA TRAÇO 1:2:8, PREPARO MECÂNICO COM BETONEIRA 400 L, APLICADA MANUALMENTE EM PANOS CEGOS DE FACHADA (SEM PRESENÇA DE VÃOS), ESPESSURA DE 25 MM. AF_08/2022</v>
      </c>
      <c r="F99" s="164" t="str">
        <f t="array" aca="1" ref="F99" ca="1">IF(RegimeExecucao="Global","",ORÇAMENTO.Unidade)</f>
        <v>M2</v>
      </c>
      <c r="G99" s="122">
        <f t="array" aca="1" ref="G99" ca="1">IF(RegimeExecucao="Global","",ORÇAMENTO!T99)</f>
        <v>609</v>
      </c>
      <c r="H99" s="122">
        <f t="array" aca="1" ref="H99" ca="1">IF(RegimeExecucao="Global","",ORÇAMENTO!W99)</f>
        <v>50.33</v>
      </c>
      <c r="I99" s="125">
        <f ca="1">ORÇAMENTO!X99</f>
        <v>30650.959999999999</v>
      </c>
      <c r="J99" s="333">
        <f t="array" aca="1" ref="J99" ca="1">IF($A99="S",IF(CAIXA.Modo,BM.AFAnterior,BM.MEDAnterior),IF(AND(RegimeExecucao="Global",$I99&gt;0,COUNTIF($AB$13:$AM$13,BM.medicao-1)&gt;0),M99/$I99*100,0))</f>
        <v>0</v>
      </c>
      <c r="K99" s="122">
        <f t="shared" ca="1" si="10"/>
        <v>0</v>
      </c>
      <c r="L99" s="334">
        <f t="array" aca="1" ref="L99" ca="1">IF($A99="S",IF(CAIXA.Modo,BM.AFAcumulado,BM.MEDAcumulado),IF(AND(RegimeExecucao="Global",$I99&gt;0,COUNTIF($AB$13:$AM$13,BM.medicao)&gt;0),O99/$I99*100,0))</f>
        <v>0</v>
      </c>
      <c r="M99" s="335">
        <f t="array" aca="1" ref="M99" ca="1">IF($A99="S",VTOTALBM,IF($A99=0,0,ROUND(SomaAgrupBM,15-13*ORÇAMENTO!$AF$11)))</f>
        <v>0</v>
      </c>
      <c r="N99" s="336">
        <f t="shared" ca="1" si="11"/>
        <v>0</v>
      </c>
      <c r="O99" s="125">
        <f t="array" aca="1" ref="O99" ca="1">IF($A99="S",VTOTALBM,IF($A99=0,0,ROUND(SomaAgrupBM,15-13*ORÇAMENTO!$AF$11)))</f>
        <v>0</v>
      </c>
      <c r="Q99" s="337"/>
      <c r="R99" s="338"/>
      <c r="T99" s="117" t="str">
        <f t="shared" ca="1" si="12"/>
        <v/>
      </c>
      <c r="U99" s="163" t="str">
        <f t="shared" ca="1" si="13"/>
        <v/>
      </c>
      <c r="V99" s="164" t="str">
        <f t="array" aca="1" ref="V99" ca="1">IF(AND($W99&gt;0,RegimeExecucao="Unitário"),$F99,"")</f>
        <v/>
      </c>
      <c r="W99" s="453">
        <f t="array" aca="1" ref="W99" ca="1">IF($Y99&gt;0,CHOOSE(MATCH(RegimeExecucao,{"Unitário","Global"},0),IF($A99="S",$Y99/$X99,""),($Y99/$X99)*100),0)</f>
        <v>0</v>
      </c>
      <c r="X99" s="339" t="str">
        <f t="array" aca="1" ref="X99" ca="1">IF($Y99&gt;0,CHOOSE(MATCH(RegimeExecucao,{"Unitário","Global"},0),IF($A99="S",ROUND($H99,ORÇAMENTO!$AF$10),""),ROUND($I99,ORÇAMENTO!$AF$11)),"")</f>
        <v/>
      </c>
      <c r="Y99" s="339">
        <f t="shared" ca="1" si="14"/>
        <v>0</v>
      </c>
      <c r="Z99" s="472"/>
      <c r="AB99" s="337"/>
      <c r="AC99" s="437"/>
      <c r="AD99" s="437"/>
      <c r="AE99" s="437"/>
      <c r="AF99" s="437"/>
      <c r="AG99" s="437"/>
      <c r="AH99" s="437"/>
      <c r="AI99" s="437"/>
      <c r="AJ99" s="437"/>
      <c r="AK99" s="437"/>
      <c r="AL99" s="437"/>
      <c r="AM99" s="338"/>
      <c r="AO99" s="696">
        <f t="array" aca="1" ref="AO99" ca="1">IF($A99="S",IF(BM!$I99=0,0,CHOOSE(MATCH(RegimeExecucao,{"Global","Unitário"},0),ROUND(ROUND(BM.MEDAcumulado,15-13*BM!$A$9)/100*BM!$I99,15-13*ORÇAMENTO!$AF$11),ROUND(ROUND(BM.MEDAcumulado,15-13*BM!$A$9)*ROUND(BM!$H99,15-13*ORÇAMENTO!$AF$10),15-13*ORÇAMENTO!$AF$11))),IF($A99=0,0,ROUND(SomaAgrupBM,15-13*ORÇAMENTO!$AF$11)))</f>
        <v>0</v>
      </c>
    </row>
    <row r="100" spans="1:41" s="696" customFormat="1" ht="51" x14ac:dyDescent="0.2">
      <c r="A100" s="696" t="str">
        <f ca="1">ORÇAMENTO!C100</f>
        <v>S</v>
      </c>
      <c r="B100" s="696">
        <f ca="1">ORÇAMENTO!D100</f>
        <v>0</v>
      </c>
      <c r="C100" s="114" t="str">
        <f t="shared" ca="1" si="8"/>
        <v>F</v>
      </c>
      <c r="D100" s="117" t="str">
        <f ca="1">ORÇAMENTO!O100</f>
        <v>1.16.4.</v>
      </c>
      <c r="E100" s="163" t="str">
        <f t="shared" ca="1" si="9"/>
        <v>EMBOÇO OU MASSA ÚNICA EM ARGAMASSA TRAÇO 1:2:8, PREPARO MECÂNICO COM BETONEIRA 400 L, APLICADA MANUALMENTE EM PANOS DE FACHADA COM PRESENÇA DE VÃOS, ESPESSURA DE 25 MM. AF_08/2022</v>
      </c>
      <c r="F100" s="164" t="str">
        <f t="array" aca="1" ref="F100" ca="1">IF(RegimeExecucao="Global","",ORÇAMENTO.Unidade)</f>
        <v>M2</v>
      </c>
      <c r="G100" s="122">
        <f t="array" aca="1" ref="G100" ca="1">IF(RegimeExecucao="Global","",ORÇAMENTO!T100)</f>
        <v>607</v>
      </c>
      <c r="H100" s="122">
        <f t="array" aca="1" ref="H100" ca="1">IF(RegimeExecucao="Global","",ORÇAMENTO!W100)</f>
        <v>68.05</v>
      </c>
      <c r="I100" s="125">
        <f ca="1">ORÇAMENTO!X100</f>
        <v>41306.36</v>
      </c>
      <c r="J100" s="333">
        <f t="array" aca="1" ref="J100" ca="1">IF($A100="S",IF(CAIXA.Modo,BM.AFAnterior,BM.MEDAnterior),IF(AND(RegimeExecucao="Global",$I100&gt;0,COUNTIF($AB$13:$AM$13,BM.medicao-1)&gt;0),M100/$I100*100,0))</f>
        <v>0</v>
      </c>
      <c r="K100" s="122">
        <f t="shared" ca="1" si="10"/>
        <v>0</v>
      </c>
      <c r="L100" s="334">
        <f t="array" aca="1" ref="L100" ca="1">IF($A100="S",IF(CAIXA.Modo,BM.AFAcumulado,BM.MEDAcumulado),IF(AND(RegimeExecucao="Global",$I100&gt;0,COUNTIF($AB$13:$AM$13,BM.medicao)&gt;0),O100/$I100*100,0))</f>
        <v>0</v>
      </c>
      <c r="M100" s="335">
        <f t="array" aca="1" ref="M100" ca="1">IF($A100="S",VTOTALBM,IF($A100=0,0,ROUND(SomaAgrupBM,15-13*ORÇAMENTO!$AF$11)))</f>
        <v>0</v>
      </c>
      <c r="N100" s="336">
        <f t="shared" ca="1" si="11"/>
        <v>0</v>
      </c>
      <c r="O100" s="125">
        <f t="array" aca="1" ref="O100" ca="1">IF($A100="S",VTOTALBM,IF($A100=0,0,ROUND(SomaAgrupBM,15-13*ORÇAMENTO!$AF$11)))</f>
        <v>0</v>
      </c>
      <c r="Q100" s="337"/>
      <c r="R100" s="338"/>
      <c r="T100" s="117" t="str">
        <f t="shared" ca="1" si="12"/>
        <v/>
      </c>
      <c r="U100" s="163" t="str">
        <f t="shared" ca="1" si="13"/>
        <v/>
      </c>
      <c r="V100" s="164" t="str">
        <f t="array" aca="1" ref="V100" ca="1">IF(AND($W100&gt;0,RegimeExecucao="Unitário"),$F100,"")</f>
        <v/>
      </c>
      <c r="W100" s="453">
        <f t="array" aca="1" ref="W100" ca="1">IF($Y100&gt;0,CHOOSE(MATCH(RegimeExecucao,{"Unitário","Global"},0),IF($A100="S",$Y100/$X100,""),($Y100/$X100)*100),0)</f>
        <v>0</v>
      </c>
      <c r="X100" s="339" t="str">
        <f t="array" aca="1" ref="X100" ca="1">IF($Y100&gt;0,CHOOSE(MATCH(RegimeExecucao,{"Unitário","Global"},0),IF($A100="S",ROUND($H100,ORÇAMENTO!$AF$10),""),ROUND($I100,ORÇAMENTO!$AF$11)),"")</f>
        <v/>
      </c>
      <c r="Y100" s="339">
        <f t="shared" ca="1" si="14"/>
        <v>0</v>
      </c>
      <c r="Z100" s="472"/>
      <c r="AB100" s="337"/>
      <c r="AC100" s="437"/>
      <c r="AD100" s="437"/>
      <c r="AE100" s="437"/>
      <c r="AF100" s="437"/>
      <c r="AG100" s="437"/>
      <c r="AH100" s="437"/>
      <c r="AI100" s="437"/>
      <c r="AJ100" s="437"/>
      <c r="AK100" s="437"/>
      <c r="AL100" s="437"/>
      <c r="AM100" s="338"/>
      <c r="AO100" s="696">
        <f t="array" aca="1" ref="AO100" ca="1">IF($A100="S",IF(BM!$I100=0,0,CHOOSE(MATCH(RegimeExecucao,{"Global","Unitário"},0),ROUND(ROUND(BM.MEDAcumulado,15-13*BM!$A$9)/100*BM!$I100,15-13*ORÇAMENTO!$AF$11),ROUND(ROUND(BM.MEDAcumulado,15-13*BM!$A$9)*ROUND(BM!$H100,15-13*ORÇAMENTO!$AF$10),15-13*ORÇAMENTO!$AF$11))),IF($A100=0,0,ROUND(SomaAgrupBM,15-13*ORÇAMENTO!$AF$11)))</f>
        <v>0</v>
      </c>
    </row>
    <row r="101" spans="1:41" s="696" customFormat="1" x14ac:dyDescent="0.2">
      <c r="A101" s="696">
        <f ca="1">ORÇAMENTO!C101</f>
        <v>2</v>
      </c>
      <c r="B101" s="696">
        <f ca="1">ORÇAMENTO!D101</f>
        <v>5</v>
      </c>
      <c r="C101" s="114" t="str">
        <f t="shared" ca="1" si="8"/>
        <v>F</v>
      </c>
      <c r="D101" s="117" t="str">
        <f ca="1">ORÇAMENTO!O101</f>
        <v>1.17.</v>
      </c>
      <c r="E101" s="163" t="str">
        <f t="shared" si="9"/>
        <v>PINTURAS INTERNAS</v>
      </c>
      <c r="F101" s="164" t="str">
        <f t="array" aca="1" ref="F101" ca="1">IF(RegimeExecucao="Global","",ORÇAMENTO.Unidade)</f>
        <v>-</v>
      </c>
      <c r="G101" s="122">
        <f t="array" aca="1" ref="G101" ca="1">IF(RegimeExecucao="Global","",ORÇAMENTO!T101)</f>
        <v>0</v>
      </c>
      <c r="H101" s="122">
        <f t="array" aca="1" ref="H101" ca="1">IF(RegimeExecucao="Global","",ORÇAMENTO!W101)</f>
        <v>0</v>
      </c>
      <c r="I101" s="125">
        <f ca="1">ORÇAMENTO!X101</f>
        <v>42525.48</v>
      </c>
      <c r="J101" s="333">
        <f t="array" aca="1" ref="J101" ca="1">IF($A101="S",IF(CAIXA.Modo,BM.AFAnterior,BM.MEDAnterior),IF(AND(RegimeExecucao="Global",$I101&gt;0,COUNTIF($AB$13:$AM$13,BM.medicao-1)&gt;0),M101/$I101*100,0))</f>
        <v>0</v>
      </c>
      <c r="K101" s="122">
        <f t="shared" ca="1" si="10"/>
        <v>0</v>
      </c>
      <c r="L101" s="334">
        <f t="array" aca="1" ref="L101" ca="1">IF($A101="S",IF(CAIXA.Modo,BM.AFAcumulado,BM.MEDAcumulado),IF(AND(RegimeExecucao="Global",$I101&gt;0,COUNTIF($AB$13:$AM$13,BM.medicao)&gt;0),O101/$I101*100,0))</f>
        <v>0</v>
      </c>
      <c r="M101" s="335">
        <f t="array" aca="1" ref="M101" ca="1">IF($A101="S",VTOTALBM,IF($A101=0,0,ROUND(SomaAgrupBM,15-13*ORÇAMENTO!$AF$11)))</f>
        <v>0</v>
      </c>
      <c r="N101" s="336">
        <f t="shared" ca="1" si="11"/>
        <v>0</v>
      </c>
      <c r="O101" s="125">
        <f t="array" aca="1" ref="O101" ca="1">IF($A101="S",VTOTALBM,IF($A101=0,0,ROUND(SomaAgrupBM,15-13*ORÇAMENTO!$AF$11)))</f>
        <v>0</v>
      </c>
      <c r="Q101" s="337"/>
      <c r="R101" s="338"/>
      <c r="T101" s="117" t="str">
        <f t="shared" ca="1" si="12"/>
        <v/>
      </c>
      <c r="U101" s="163" t="str">
        <f t="shared" ca="1" si="13"/>
        <v/>
      </c>
      <c r="V101" s="164" t="str">
        <f t="array" aca="1" ref="V101" ca="1">IF(AND($W101&gt;0,RegimeExecucao="Unitário"),$F101,"")</f>
        <v/>
      </c>
      <c r="W101" s="453">
        <f t="array" aca="1" ref="W101" ca="1">IF($Y101&gt;0,CHOOSE(MATCH(RegimeExecucao,{"Unitário","Global"},0),IF($A101="S",$Y101/$X101,""),($Y101/$X101)*100),0)</f>
        <v>0</v>
      </c>
      <c r="X101" s="339" t="str">
        <f t="array" aca="1" ref="X101" ca="1">IF($Y101&gt;0,CHOOSE(MATCH(RegimeExecucao,{"Unitário","Global"},0),IF($A101="S",ROUND($H101,ORÇAMENTO!$AF$10),""),ROUND($I101,ORÇAMENTO!$AF$11)),"")</f>
        <v/>
      </c>
      <c r="Y101" s="339">
        <f t="shared" ca="1" si="14"/>
        <v>0</v>
      </c>
      <c r="Z101" s="472"/>
      <c r="AB101" s="337"/>
      <c r="AC101" s="437"/>
      <c r="AD101" s="437"/>
      <c r="AE101" s="437"/>
      <c r="AF101" s="437"/>
      <c r="AG101" s="437"/>
      <c r="AH101" s="437"/>
      <c r="AI101" s="437"/>
      <c r="AJ101" s="437"/>
      <c r="AK101" s="437"/>
      <c r="AL101" s="437"/>
      <c r="AM101" s="338"/>
      <c r="AO101" s="696">
        <f t="array" aca="1" ref="AO101" ca="1">IF($A101="S",IF(BM!$I101=0,0,CHOOSE(MATCH(RegimeExecucao,{"Global","Unitário"},0),ROUND(ROUND(BM.MEDAcumulado,15-13*BM!$A$9)/100*BM!$I101,15-13*ORÇAMENTO!$AF$11),ROUND(ROUND(BM.MEDAcumulado,15-13*BM!$A$9)*ROUND(BM!$H101,15-13*ORÇAMENTO!$AF$10),15-13*ORÇAMENTO!$AF$11))),IF($A101=0,0,ROUND(SomaAgrupBM,15-13*ORÇAMENTO!$AF$11)))</f>
        <v>0</v>
      </c>
    </row>
    <row r="102" spans="1:41" s="696" customFormat="1" ht="25.5" x14ac:dyDescent="0.2">
      <c r="A102" s="696" t="str">
        <f ca="1">ORÇAMENTO!C102</f>
        <v>S</v>
      </c>
      <c r="B102" s="696">
        <f ca="1">ORÇAMENTO!D102</f>
        <v>0</v>
      </c>
      <c r="C102" s="114" t="str">
        <f t="shared" ca="1" si="8"/>
        <v>F</v>
      </c>
      <c r="D102" s="117" t="str">
        <f ca="1">ORÇAMENTO!O102</f>
        <v>1.17.1.</v>
      </c>
      <c r="E102" s="163" t="str">
        <f t="shared" ca="1" si="9"/>
        <v>FUNDO SELADOR ACRÍLICO, APLICAÇÃO MANUAL EM PAREDE, UMA DEMÃO. AF_04/2023</v>
      </c>
      <c r="F102" s="164" t="str">
        <f t="array" aca="1" ref="F102" ca="1">IF(RegimeExecucao="Global","",ORÇAMENTO.Unidade)</f>
        <v>M2</v>
      </c>
      <c r="G102" s="122">
        <f t="array" aca="1" ref="G102" ca="1">IF(RegimeExecucao="Global","",ORÇAMENTO!T102)</f>
        <v>2252.1999999999998</v>
      </c>
      <c r="H102" s="122">
        <f t="array" aca="1" ref="H102" ca="1">IF(RegimeExecucao="Global","",ORÇAMENTO!W102)</f>
        <v>5.37</v>
      </c>
      <c r="I102" s="125">
        <f ca="1">ORÇAMENTO!X102</f>
        <v>12094.32</v>
      </c>
      <c r="J102" s="333">
        <f t="array" aca="1" ref="J102" ca="1">IF($A102="S",IF(CAIXA.Modo,BM.AFAnterior,BM.MEDAnterior),IF(AND(RegimeExecucao="Global",$I102&gt;0,COUNTIF($AB$13:$AM$13,BM.medicao-1)&gt;0),M102/$I102*100,0))</f>
        <v>0</v>
      </c>
      <c r="K102" s="122">
        <f t="shared" ca="1" si="10"/>
        <v>0</v>
      </c>
      <c r="L102" s="334">
        <f t="array" aca="1" ref="L102" ca="1">IF($A102="S",IF(CAIXA.Modo,BM.AFAcumulado,BM.MEDAcumulado),IF(AND(RegimeExecucao="Global",$I102&gt;0,COUNTIF($AB$13:$AM$13,BM.medicao)&gt;0),O102/$I102*100,0))</f>
        <v>0</v>
      </c>
      <c r="M102" s="335">
        <f t="array" aca="1" ref="M102" ca="1">IF($A102="S",VTOTALBM,IF($A102=0,0,ROUND(SomaAgrupBM,15-13*ORÇAMENTO!$AF$11)))</f>
        <v>0</v>
      </c>
      <c r="N102" s="336">
        <f t="shared" ca="1" si="11"/>
        <v>0</v>
      </c>
      <c r="O102" s="125">
        <f t="array" aca="1" ref="O102" ca="1">IF($A102="S",VTOTALBM,IF($A102=0,0,ROUND(SomaAgrupBM,15-13*ORÇAMENTO!$AF$11)))</f>
        <v>0</v>
      </c>
      <c r="Q102" s="337"/>
      <c r="R102" s="338"/>
      <c r="T102" s="117" t="str">
        <f t="shared" ca="1" si="12"/>
        <v/>
      </c>
      <c r="U102" s="163" t="str">
        <f t="shared" ca="1" si="13"/>
        <v/>
      </c>
      <c r="V102" s="164" t="str">
        <f t="array" aca="1" ref="V102" ca="1">IF(AND($W102&gt;0,RegimeExecucao="Unitário"),$F102,"")</f>
        <v/>
      </c>
      <c r="W102" s="453">
        <f t="array" aca="1" ref="W102" ca="1">IF($Y102&gt;0,CHOOSE(MATCH(RegimeExecucao,{"Unitário","Global"},0),IF($A102="S",$Y102/$X102,""),($Y102/$X102)*100),0)</f>
        <v>0</v>
      </c>
      <c r="X102" s="339" t="str">
        <f t="array" aca="1" ref="X102" ca="1">IF($Y102&gt;0,CHOOSE(MATCH(RegimeExecucao,{"Unitário","Global"},0),IF($A102="S",ROUND($H102,ORÇAMENTO!$AF$10),""),ROUND($I102,ORÇAMENTO!$AF$11)),"")</f>
        <v/>
      </c>
      <c r="Y102" s="339">
        <f t="shared" ca="1" si="14"/>
        <v>0</v>
      </c>
      <c r="Z102" s="472"/>
      <c r="AB102" s="337"/>
      <c r="AC102" s="437"/>
      <c r="AD102" s="437"/>
      <c r="AE102" s="437"/>
      <c r="AF102" s="437"/>
      <c r="AG102" s="437"/>
      <c r="AH102" s="437"/>
      <c r="AI102" s="437"/>
      <c r="AJ102" s="437"/>
      <c r="AK102" s="437"/>
      <c r="AL102" s="437"/>
      <c r="AM102" s="338"/>
      <c r="AO102" s="696">
        <f t="array" aca="1" ref="AO102" ca="1">IF($A102="S",IF(BM!$I102=0,0,CHOOSE(MATCH(RegimeExecucao,{"Global","Unitário"},0),ROUND(ROUND(BM.MEDAcumulado,15-13*BM!$A$9)/100*BM!$I102,15-13*ORÇAMENTO!$AF$11),ROUND(ROUND(BM.MEDAcumulado,15-13*BM!$A$9)*ROUND(BM!$H102,15-13*ORÇAMENTO!$AF$10),15-13*ORÇAMENTO!$AF$11))),IF($A102=0,0,ROUND(SomaAgrupBM,15-13*ORÇAMENTO!$AF$11)))</f>
        <v>0</v>
      </c>
    </row>
    <row r="103" spans="1:41" s="696" customFormat="1" ht="25.5" x14ac:dyDescent="0.2">
      <c r="A103" s="696" t="str">
        <f ca="1">ORÇAMENTO!C103</f>
        <v>S</v>
      </c>
      <c r="B103" s="696">
        <f ca="1">ORÇAMENTO!D103</f>
        <v>0</v>
      </c>
      <c r="C103" s="114" t="str">
        <f t="shared" ca="1" si="8"/>
        <v>F</v>
      </c>
      <c r="D103" s="117" t="str">
        <f ca="1">ORÇAMENTO!O103</f>
        <v>1.17.2.</v>
      </c>
      <c r="E103" s="163" t="str">
        <f t="shared" ca="1" si="9"/>
        <v>FUNDO SELADOR ACRÍLICO, APLICAÇÃO MANUAL EM TETO, UMA DEMÃO. AF_04/2023</v>
      </c>
      <c r="F103" s="164" t="str">
        <f t="array" aca="1" ref="F103" ca="1">IF(RegimeExecucao="Global","",ORÇAMENTO.Unidade)</f>
        <v>M2</v>
      </c>
      <c r="G103" s="122">
        <f t="array" aca="1" ref="G103" ca="1">IF(RegimeExecucao="Global","",ORÇAMENTO!T103)</f>
        <v>88.8</v>
      </c>
      <c r="H103" s="122">
        <f t="array" aca="1" ref="H103" ca="1">IF(RegimeExecucao="Global","",ORÇAMENTO!W103)</f>
        <v>6.55</v>
      </c>
      <c r="I103" s="125">
        <f ca="1">ORÇAMENTO!X103</f>
        <v>581.64</v>
      </c>
      <c r="J103" s="333">
        <f t="array" aca="1" ref="J103" ca="1">IF($A103="S",IF(CAIXA.Modo,BM.AFAnterior,BM.MEDAnterior),IF(AND(RegimeExecucao="Global",$I103&gt;0,COUNTIF($AB$13:$AM$13,BM.medicao-1)&gt;0),M103/$I103*100,0))</f>
        <v>0</v>
      </c>
      <c r="K103" s="122">
        <f t="shared" ca="1" si="10"/>
        <v>0</v>
      </c>
      <c r="L103" s="334">
        <f t="array" aca="1" ref="L103" ca="1">IF($A103="S",IF(CAIXA.Modo,BM.AFAcumulado,BM.MEDAcumulado),IF(AND(RegimeExecucao="Global",$I103&gt;0,COUNTIF($AB$13:$AM$13,BM.medicao)&gt;0),O103/$I103*100,0))</f>
        <v>0</v>
      </c>
      <c r="M103" s="335">
        <f t="array" aca="1" ref="M103" ca="1">IF($A103="S",VTOTALBM,IF($A103=0,0,ROUND(SomaAgrupBM,15-13*ORÇAMENTO!$AF$11)))</f>
        <v>0</v>
      </c>
      <c r="N103" s="336">
        <f t="shared" ca="1" si="11"/>
        <v>0</v>
      </c>
      <c r="O103" s="125">
        <f t="array" aca="1" ref="O103" ca="1">IF($A103="S",VTOTALBM,IF($A103=0,0,ROUND(SomaAgrupBM,15-13*ORÇAMENTO!$AF$11)))</f>
        <v>0</v>
      </c>
      <c r="Q103" s="337"/>
      <c r="R103" s="338"/>
      <c r="T103" s="117" t="str">
        <f t="shared" ca="1" si="12"/>
        <v/>
      </c>
      <c r="U103" s="163" t="str">
        <f t="shared" ca="1" si="13"/>
        <v/>
      </c>
      <c r="V103" s="164" t="str">
        <f t="array" aca="1" ref="V103" ca="1">IF(AND($W103&gt;0,RegimeExecucao="Unitário"),$F103,"")</f>
        <v/>
      </c>
      <c r="W103" s="453">
        <f t="array" aca="1" ref="W103" ca="1">IF($Y103&gt;0,CHOOSE(MATCH(RegimeExecucao,{"Unitário","Global"},0),IF($A103="S",$Y103/$X103,""),($Y103/$X103)*100),0)</f>
        <v>0</v>
      </c>
      <c r="X103" s="339" t="str">
        <f t="array" aca="1" ref="X103" ca="1">IF($Y103&gt;0,CHOOSE(MATCH(RegimeExecucao,{"Unitário","Global"},0),IF($A103="S",ROUND($H103,ORÇAMENTO!$AF$10),""),ROUND($I103,ORÇAMENTO!$AF$11)),"")</f>
        <v/>
      </c>
      <c r="Y103" s="339">
        <f t="shared" ca="1" si="14"/>
        <v>0</v>
      </c>
      <c r="Z103" s="472"/>
      <c r="AB103" s="337"/>
      <c r="AC103" s="437"/>
      <c r="AD103" s="437"/>
      <c r="AE103" s="437"/>
      <c r="AF103" s="437"/>
      <c r="AG103" s="437"/>
      <c r="AH103" s="437"/>
      <c r="AI103" s="437"/>
      <c r="AJ103" s="437"/>
      <c r="AK103" s="437"/>
      <c r="AL103" s="437"/>
      <c r="AM103" s="338"/>
      <c r="AO103" s="696">
        <f t="array" aca="1" ref="AO103" ca="1">IF($A103="S",IF(BM!$I103=0,0,CHOOSE(MATCH(RegimeExecucao,{"Global","Unitário"},0),ROUND(ROUND(BM.MEDAcumulado,15-13*BM!$A$9)/100*BM!$I103,15-13*ORÇAMENTO!$AF$11),ROUND(ROUND(BM.MEDAcumulado,15-13*BM!$A$9)*ROUND(BM!$H103,15-13*ORÇAMENTO!$AF$10),15-13*ORÇAMENTO!$AF$11))),IF($A103=0,0,ROUND(SomaAgrupBM,15-13*ORÇAMENTO!$AF$11)))</f>
        <v>0</v>
      </c>
    </row>
    <row r="104" spans="1:41" s="696" customFormat="1" ht="25.5" x14ac:dyDescent="0.2">
      <c r="A104" s="696" t="str">
        <f ca="1">ORÇAMENTO!C104</f>
        <v>S</v>
      </c>
      <c r="B104" s="696">
        <f ca="1">ORÇAMENTO!D104</f>
        <v>0</v>
      </c>
      <c r="C104" s="114" t="str">
        <f t="shared" ca="1" si="8"/>
        <v>F</v>
      </c>
      <c r="D104" s="117" t="str">
        <f ca="1">ORÇAMENTO!O104</f>
        <v>1.17.3.</v>
      </c>
      <c r="E104" s="163" t="str">
        <f t="shared" ca="1" si="9"/>
        <v>PINTURA LÁTEX ACRÍLICA STANDARD, APLICAÇÃO MANUAL EM TETO, DUAS DEMÃOS. AF_04/2023</v>
      </c>
      <c r="F104" s="164" t="str">
        <f t="array" aca="1" ref="F104" ca="1">IF(RegimeExecucao="Global","",ORÇAMENTO.Unidade)</f>
        <v>M2</v>
      </c>
      <c r="G104" s="122">
        <f t="array" aca="1" ref="G104" ca="1">IF(RegimeExecucao="Global","",ORÇAMENTO!T104)</f>
        <v>88.8</v>
      </c>
      <c r="H104" s="122">
        <f t="array" aca="1" ref="H104" ca="1">IF(RegimeExecucao="Global","",ORÇAMENTO!W104)</f>
        <v>15.56</v>
      </c>
      <c r="I104" s="125">
        <f ca="1">ORÇAMENTO!X104</f>
        <v>1381.72</v>
      </c>
      <c r="J104" s="333">
        <f t="array" aca="1" ref="J104" ca="1">IF($A104="S",IF(CAIXA.Modo,BM.AFAnterior,BM.MEDAnterior),IF(AND(RegimeExecucao="Global",$I104&gt;0,COUNTIF($AB$13:$AM$13,BM.medicao-1)&gt;0),M104/$I104*100,0))</f>
        <v>0</v>
      </c>
      <c r="K104" s="122">
        <f t="shared" ca="1" si="10"/>
        <v>0</v>
      </c>
      <c r="L104" s="334">
        <f t="array" aca="1" ref="L104" ca="1">IF($A104="S",IF(CAIXA.Modo,BM.AFAcumulado,BM.MEDAcumulado),IF(AND(RegimeExecucao="Global",$I104&gt;0,COUNTIF($AB$13:$AM$13,BM.medicao)&gt;0),O104/$I104*100,0))</f>
        <v>0</v>
      </c>
      <c r="M104" s="335">
        <f t="array" aca="1" ref="M104" ca="1">IF($A104="S",VTOTALBM,IF($A104=0,0,ROUND(SomaAgrupBM,15-13*ORÇAMENTO!$AF$11)))</f>
        <v>0</v>
      </c>
      <c r="N104" s="336">
        <f t="shared" ca="1" si="11"/>
        <v>0</v>
      </c>
      <c r="O104" s="125">
        <f t="array" aca="1" ref="O104" ca="1">IF($A104="S",VTOTALBM,IF($A104=0,0,ROUND(SomaAgrupBM,15-13*ORÇAMENTO!$AF$11)))</f>
        <v>0</v>
      </c>
      <c r="Q104" s="337"/>
      <c r="R104" s="338"/>
      <c r="T104" s="117" t="str">
        <f t="shared" ca="1" si="12"/>
        <v/>
      </c>
      <c r="U104" s="163" t="str">
        <f t="shared" ca="1" si="13"/>
        <v/>
      </c>
      <c r="V104" s="164" t="str">
        <f t="array" aca="1" ref="V104" ca="1">IF(AND($W104&gt;0,RegimeExecucao="Unitário"),$F104,"")</f>
        <v/>
      </c>
      <c r="W104" s="453">
        <f t="array" aca="1" ref="W104" ca="1">IF($Y104&gt;0,CHOOSE(MATCH(RegimeExecucao,{"Unitário","Global"},0),IF($A104="S",$Y104/$X104,""),($Y104/$X104)*100),0)</f>
        <v>0</v>
      </c>
      <c r="X104" s="339" t="str">
        <f t="array" aca="1" ref="X104" ca="1">IF($Y104&gt;0,CHOOSE(MATCH(RegimeExecucao,{"Unitário","Global"},0),IF($A104="S",ROUND($H104,ORÇAMENTO!$AF$10),""),ROUND($I104,ORÇAMENTO!$AF$11)),"")</f>
        <v/>
      </c>
      <c r="Y104" s="339">
        <f t="shared" ca="1" si="14"/>
        <v>0</v>
      </c>
      <c r="Z104" s="472"/>
      <c r="AB104" s="337"/>
      <c r="AC104" s="437"/>
      <c r="AD104" s="437"/>
      <c r="AE104" s="437"/>
      <c r="AF104" s="437"/>
      <c r="AG104" s="437"/>
      <c r="AH104" s="437"/>
      <c r="AI104" s="437"/>
      <c r="AJ104" s="437"/>
      <c r="AK104" s="437"/>
      <c r="AL104" s="437"/>
      <c r="AM104" s="338"/>
      <c r="AO104" s="696">
        <f t="array" aca="1" ref="AO104" ca="1">IF($A104="S",IF(BM!$I104=0,0,CHOOSE(MATCH(RegimeExecucao,{"Global","Unitário"},0),ROUND(ROUND(BM.MEDAcumulado,15-13*BM!$A$9)/100*BM!$I104,15-13*ORÇAMENTO!$AF$11),ROUND(ROUND(BM.MEDAcumulado,15-13*BM!$A$9)*ROUND(BM!$H104,15-13*ORÇAMENTO!$AF$10),15-13*ORÇAMENTO!$AF$11))),IF($A104=0,0,ROUND(SomaAgrupBM,15-13*ORÇAMENTO!$AF$11)))</f>
        <v>0</v>
      </c>
    </row>
    <row r="105" spans="1:41" s="696" customFormat="1" ht="25.5" x14ac:dyDescent="0.2">
      <c r="A105" s="696" t="str">
        <f ca="1">ORÇAMENTO!C105</f>
        <v>S</v>
      </c>
      <c r="B105" s="696">
        <f ca="1">ORÇAMENTO!D105</f>
        <v>0</v>
      </c>
      <c r="C105" s="114" t="str">
        <f t="shared" ca="1" si="8"/>
        <v>F</v>
      </c>
      <c r="D105" s="117" t="str">
        <f ca="1">ORÇAMENTO!O105</f>
        <v>1.17.4.</v>
      </c>
      <c r="E105" s="163" t="str">
        <f t="shared" ca="1" si="9"/>
        <v>PINTURA LÁTEX ACRÍLICA STANDARD, APLICAÇÃO MANUAL EM PAREDES, DUAS DEMÃOS. AF_04/2023</v>
      </c>
      <c r="F105" s="164" t="str">
        <f t="array" aca="1" ref="F105" ca="1">IF(RegimeExecucao="Global","",ORÇAMENTO.Unidade)</f>
        <v>M2</v>
      </c>
      <c r="G105" s="122">
        <f t="array" aca="1" ref="G105" ca="1">IF(RegimeExecucao="Global","",ORÇAMENTO!T105)</f>
        <v>2252.1999999999998</v>
      </c>
      <c r="H105" s="122">
        <f t="array" aca="1" ref="H105" ca="1">IF(RegimeExecucao="Global","",ORÇAMENTO!W105)</f>
        <v>12.64</v>
      </c>
      <c r="I105" s="125">
        <f ca="1">ORÇAMENTO!X105</f>
        <v>28467.8</v>
      </c>
      <c r="J105" s="333">
        <f t="array" aca="1" ref="J105" ca="1">IF($A105="S",IF(CAIXA.Modo,BM.AFAnterior,BM.MEDAnterior),IF(AND(RegimeExecucao="Global",$I105&gt;0,COUNTIF($AB$13:$AM$13,BM.medicao-1)&gt;0),M105/$I105*100,0))</f>
        <v>0</v>
      </c>
      <c r="K105" s="122">
        <f t="shared" ca="1" si="10"/>
        <v>0</v>
      </c>
      <c r="L105" s="334">
        <f t="array" aca="1" ref="L105" ca="1">IF($A105="S",IF(CAIXA.Modo,BM.AFAcumulado,BM.MEDAcumulado),IF(AND(RegimeExecucao="Global",$I105&gt;0,COUNTIF($AB$13:$AM$13,BM.medicao)&gt;0),O105/$I105*100,0))</f>
        <v>0</v>
      </c>
      <c r="M105" s="335">
        <f t="array" aca="1" ref="M105" ca="1">IF($A105="S",VTOTALBM,IF($A105=0,0,ROUND(SomaAgrupBM,15-13*ORÇAMENTO!$AF$11)))</f>
        <v>0</v>
      </c>
      <c r="N105" s="336">
        <f t="shared" ca="1" si="11"/>
        <v>0</v>
      </c>
      <c r="O105" s="125">
        <f t="array" aca="1" ref="O105" ca="1">IF($A105="S",VTOTALBM,IF($A105=0,0,ROUND(SomaAgrupBM,15-13*ORÇAMENTO!$AF$11)))</f>
        <v>0</v>
      </c>
      <c r="Q105" s="337"/>
      <c r="R105" s="338"/>
      <c r="T105" s="117" t="str">
        <f t="shared" ca="1" si="12"/>
        <v/>
      </c>
      <c r="U105" s="163" t="str">
        <f t="shared" ca="1" si="13"/>
        <v/>
      </c>
      <c r="V105" s="164" t="str">
        <f t="array" aca="1" ref="V105" ca="1">IF(AND($W105&gt;0,RegimeExecucao="Unitário"),$F105,"")</f>
        <v/>
      </c>
      <c r="W105" s="453">
        <f t="array" aca="1" ref="W105" ca="1">IF($Y105&gt;0,CHOOSE(MATCH(RegimeExecucao,{"Unitário","Global"},0),IF($A105="S",$Y105/$X105,""),($Y105/$X105)*100),0)</f>
        <v>0</v>
      </c>
      <c r="X105" s="339" t="str">
        <f t="array" aca="1" ref="X105" ca="1">IF($Y105&gt;0,CHOOSE(MATCH(RegimeExecucao,{"Unitário","Global"},0),IF($A105="S",ROUND($H105,ORÇAMENTO!$AF$10),""),ROUND($I105,ORÇAMENTO!$AF$11)),"")</f>
        <v/>
      </c>
      <c r="Y105" s="339">
        <f t="shared" ca="1" si="14"/>
        <v>0</v>
      </c>
      <c r="Z105" s="472"/>
      <c r="AB105" s="337"/>
      <c r="AC105" s="437"/>
      <c r="AD105" s="437"/>
      <c r="AE105" s="437"/>
      <c r="AF105" s="437"/>
      <c r="AG105" s="437"/>
      <c r="AH105" s="437"/>
      <c r="AI105" s="437"/>
      <c r="AJ105" s="437"/>
      <c r="AK105" s="437"/>
      <c r="AL105" s="437"/>
      <c r="AM105" s="338"/>
      <c r="AO105" s="696">
        <f t="array" aca="1" ref="AO105" ca="1">IF($A105="S",IF(BM!$I105=0,0,CHOOSE(MATCH(RegimeExecucao,{"Global","Unitário"},0),ROUND(ROUND(BM.MEDAcumulado,15-13*BM!$A$9)/100*BM!$I105,15-13*ORÇAMENTO!$AF$11),ROUND(ROUND(BM.MEDAcumulado,15-13*BM!$A$9)*ROUND(BM!$H105,15-13*ORÇAMENTO!$AF$10),15-13*ORÇAMENTO!$AF$11))),IF($A105=0,0,ROUND(SomaAgrupBM,15-13*ORÇAMENTO!$AF$11)))</f>
        <v>0</v>
      </c>
    </row>
    <row r="106" spans="1:41" s="696" customFormat="1" x14ac:dyDescent="0.2">
      <c r="A106" s="696">
        <f ca="1">ORÇAMENTO!C106</f>
        <v>2</v>
      </c>
      <c r="B106" s="696">
        <f ca="1">ORÇAMENTO!D106</f>
        <v>3</v>
      </c>
      <c r="C106" s="114" t="str">
        <f t="shared" ca="1" si="8"/>
        <v>F</v>
      </c>
      <c r="D106" s="117" t="str">
        <f ca="1">ORÇAMENTO!O106</f>
        <v>1.18.</v>
      </c>
      <c r="E106" s="163" t="str">
        <f t="shared" si="9"/>
        <v>PINTURAS EXTERNAS</v>
      </c>
      <c r="F106" s="164" t="str">
        <f t="array" aca="1" ref="F106" ca="1">IF(RegimeExecucao="Global","",ORÇAMENTO.Unidade)</f>
        <v>-</v>
      </c>
      <c r="G106" s="122">
        <f t="array" aca="1" ref="G106" ca="1">IF(RegimeExecucao="Global","",ORÇAMENTO!T106)</f>
        <v>0</v>
      </c>
      <c r="H106" s="122">
        <f t="array" aca="1" ref="H106" ca="1">IF(RegimeExecucao="Global","",ORÇAMENTO!W106)</f>
        <v>0</v>
      </c>
      <c r="I106" s="125">
        <f ca="1">ORÇAMENTO!X106</f>
        <v>23225.599999999999</v>
      </c>
      <c r="J106" s="333">
        <f t="array" aca="1" ref="J106" ca="1">IF($A106="S",IF(CAIXA.Modo,BM.AFAnterior,BM.MEDAnterior),IF(AND(RegimeExecucao="Global",$I106&gt;0,COUNTIF($AB$13:$AM$13,BM.medicao-1)&gt;0),M106/$I106*100,0))</f>
        <v>0</v>
      </c>
      <c r="K106" s="122">
        <f t="shared" ca="1" si="10"/>
        <v>0</v>
      </c>
      <c r="L106" s="334">
        <f t="array" aca="1" ref="L106" ca="1">IF($A106="S",IF(CAIXA.Modo,BM.AFAcumulado,BM.MEDAcumulado),IF(AND(RegimeExecucao="Global",$I106&gt;0,COUNTIF($AB$13:$AM$13,BM.medicao)&gt;0),O106/$I106*100,0))</f>
        <v>0</v>
      </c>
      <c r="M106" s="335">
        <f t="array" aca="1" ref="M106" ca="1">IF($A106="S",VTOTALBM,IF($A106=0,0,ROUND(SomaAgrupBM,15-13*ORÇAMENTO!$AF$11)))</f>
        <v>0</v>
      </c>
      <c r="N106" s="336">
        <f t="shared" ca="1" si="11"/>
        <v>0</v>
      </c>
      <c r="O106" s="125">
        <f t="array" aca="1" ref="O106" ca="1">IF($A106="S",VTOTALBM,IF($A106=0,0,ROUND(SomaAgrupBM,15-13*ORÇAMENTO!$AF$11)))</f>
        <v>0</v>
      </c>
      <c r="Q106" s="337"/>
      <c r="R106" s="338"/>
      <c r="T106" s="117" t="str">
        <f t="shared" ca="1" si="12"/>
        <v/>
      </c>
      <c r="U106" s="163" t="str">
        <f t="shared" ca="1" si="13"/>
        <v/>
      </c>
      <c r="V106" s="164" t="str">
        <f t="array" aca="1" ref="V106" ca="1">IF(AND($W106&gt;0,RegimeExecucao="Unitário"),$F106,"")</f>
        <v/>
      </c>
      <c r="W106" s="453">
        <f t="array" aca="1" ref="W106" ca="1">IF($Y106&gt;0,CHOOSE(MATCH(RegimeExecucao,{"Unitário","Global"},0),IF($A106="S",$Y106/$X106,""),($Y106/$X106)*100),0)</f>
        <v>0</v>
      </c>
      <c r="X106" s="339" t="str">
        <f t="array" aca="1" ref="X106" ca="1">IF($Y106&gt;0,CHOOSE(MATCH(RegimeExecucao,{"Unitário","Global"},0),IF($A106="S",ROUND($H106,ORÇAMENTO!$AF$10),""),ROUND($I106,ORÇAMENTO!$AF$11)),"")</f>
        <v/>
      </c>
      <c r="Y106" s="339">
        <f t="shared" ca="1" si="14"/>
        <v>0</v>
      </c>
      <c r="Z106" s="472"/>
      <c r="AB106" s="337"/>
      <c r="AC106" s="437"/>
      <c r="AD106" s="437"/>
      <c r="AE106" s="437"/>
      <c r="AF106" s="437"/>
      <c r="AG106" s="437"/>
      <c r="AH106" s="437"/>
      <c r="AI106" s="437"/>
      <c r="AJ106" s="437"/>
      <c r="AK106" s="437"/>
      <c r="AL106" s="437"/>
      <c r="AM106" s="338"/>
      <c r="AO106" s="696">
        <f t="array" aca="1" ref="AO106" ca="1">IF($A106="S",IF(BM!$I106=0,0,CHOOSE(MATCH(RegimeExecucao,{"Global","Unitário"},0),ROUND(ROUND(BM.MEDAcumulado,15-13*BM!$A$9)/100*BM!$I106,15-13*ORÇAMENTO!$AF$11),ROUND(ROUND(BM.MEDAcumulado,15-13*BM!$A$9)*ROUND(BM!$H106,15-13*ORÇAMENTO!$AF$10),15-13*ORÇAMENTO!$AF$11))),IF($A106=0,0,ROUND(SomaAgrupBM,15-13*ORÇAMENTO!$AF$11)))</f>
        <v>0</v>
      </c>
    </row>
    <row r="107" spans="1:41" s="696" customFormat="1" ht="25.5" x14ac:dyDescent="0.2">
      <c r="A107" s="696" t="str">
        <f ca="1">ORÇAMENTO!C107</f>
        <v>S</v>
      </c>
      <c r="B107" s="696">
        <f ca="1">ORÇAMENTO!D107</f>
        <v>0</v>
      </c>
      <c r="C107" s="114" t="str">
        <f t="shared" ca="1" si="8"/>
        <v>F</v>
      </c>
      <c r="D107" s="117" t="str">
        <f ca="1">ORÇAMENTO!O107</f>
        <v>1.18.1.</v>
      </c>
      <c r="E107" s="163" t="str">
        <f t="shared" ca="1" si="9"/>
        <v>APLICAÇÃO MANUAL DE FUNDO SELADOR ACRÍLICO EM PAREDES EXTERNAS DE CASAS. AF_03/2024</v>
      </c>
      <c r="F107" s="164" t="str">
        <f t="array" aca="1" ref="F107" ca="1">IF(RegimeExecucao="Global","",ORÇAMENTO.Unidade)</f>
        <v>M2</v>
      </c>
      <c r="G107" s="122">
        <f t="array" aca="1" ref="G107" ca="1">IF(RegimeExecucao="Global","",ORÇAMENTO!T107)</f>
        <v>1216</v>
      </c>
      <c r="H107" s="122">
        <f t="array" aca="1" ref="H107" ca="1">IF(RegimeExecucao="Global","",ORÇAMENTO!W107)</f>
        <v>6.46</v>
      </c>
      <c r="I107" s="125">
        <f ca="1">ORÇAMENTO!X107</f>
        <v>7855.36</v>
      </c>
      <c r="J107" s="333">
        <f t="array" aca="1" ref="J107" ca="1">IF($A107="S",IF(CAIXA.Modo,BM.AFAnterior,BM.MEDAnterior),IF(AND(RegimeExecucao="Global",$I107&gt;0,COUNTIF($AB$13:$AM$13,BM.medicao-1)&gt;0),M107/$I107*100,0))</f>
        <v>0</v>
      </c>
      <c r="K107" s="122">
        <f t="shared" ca="1" si="10"/>
        <v>0</v>
      </c>
      <c r="L107" s="334">
        <f t="array" aca="1" ref="L107" ca="1">IF($A107="S",IF(CAIXA.Modo,BM.AFAcumulado,BM.MEDAcumulado),IF(AND(RegimeExecucao="Global",$I107&gt;0,COUNTIF($AB$13:$AM$13,BM.medicao)&gt;0),O107/$I107*100,0))</f>
        <v>0</v>
      </c>
      <c r="M107" s="335">
        <f t="array" aca="1" ref="M107" ca="1">IF($A107="S",VTOTALBM,IF($A107=0,0,ROUND(SomaAgrupBM,15-13*ORÇAMENTO!$AF$11)))</f>
        <v>0</v>
      </c>
      <c r="N107" s="336">
        <f t="shared" ca="1" si="11"/>
        <v>0</v>
      </c>
      <c r="O107" s="125">
        <f t="array" aca="1" ref="O107" ca="1">IF($A107="S",VTOTALBM,IF($A107=0,0,ROUND(SomaAgrupBM,15-13*ORÇAMENTO!$AF$11)))</f>
        <v>0</v>
      </c>
      <c r="Q107" s="337"/>
      <c r="R107" s="338"/>
      <c r="T107" s="117" t="str">
        <f t="shared" ca="1" si="12"/>
        <v/>
      </c>
      <c r="U107" s="163" t="str">
        <f t="shared" ca="1" si="13"/>
        <v/>
      </c>
      <c r="V107" s="164" t="str">
        <f t="array" aca="1" ref="V107" ca="1">IF(AND($W107&gt;0,RegimeExecucao="Unitário"),$F107,"")</f>
        <v/>
      </c>
      <c r="W107" s="453">
        <f t="array" aca="1" ref="W107" ca="1">IF($Y107&gt;0,CHOOSE(MATCH(RegimeExecucao,{"Unitário","Global"},0),IF($A107="S",$Y107/$X107,""),($Y107/$X107)*100),0)</f>
        <v>0</v>
      </c>
      <c r="X107" s="339" t="str">
        <f t="array" aca="1" ref="X107" ca="1">IF($Y107&gt;0,CHOOSE(MATCH(RegimeExecucao,{"Unitário","Global"},0),IF($A107="S",ROUND($H107,ORÇAMENTO!$AF$10),""),ROUND($I107,ORÇAMENTO!$AF$11)),"")</f>
        <v/>
      </c>
      <c r="Y107" s="339">
        <f t="shared" ca="1" si="14"/>
        <v>0</v>
      </c>
      <c r="Z107" s="472"/>
      <c r="AB107" s="337"/>
      <c r="AC107" s="437"/>
      <c r="AD107" s="437"/>
      <c r="AE107" s="437"/>
      <c r="AF107" s="437"/>
      <c r="AG107" s="437"/>
      <c r="AH107" s="437"/>
      <c r="AI107" s="437"/>
      <c r="AJ107" s="437"/>
      <c r="AK107" s="437"/>
      <c r="AL107" s="437"/>
      <c r="AM107" s="338"/>
      <c r="AO107" s="696">
        <f t="array" aca="1" ref="AO107" ca="1">IF($A107="S",IF(BM!$I107=0,0,CHOOSE(MATCH(RegimeExecucao,{"Global","Unitário"},0),ROUND(ROUND(BM.MEDAcumulado,15-13*BM!$A$9)/100*BM!$I107,15-13*ORÇAMENTO!$AF$11),ROUND(ROUND(BM.MEDAcumulado,15-13*BM!$A$9)*ROUND(BM!$H107,15-13*ORÇAMENTO!$AF$10),15-13*ORÇAMENTO!$AF$11))),IF($A107=0,0,ROUND(SomaAgrupBM,15-13*ORÇAMENTO!$AF$11)))</f>
        <v>0</v>
      </c>
    </row>
    <row r="108" spans="1:41" s="696" customFormat="1" ht="25.5" x14ac:dyDescent="0.2">
      <c r="A108" s="696" t="str">
        <f ca="1">ORÇAMENTO!C108</f>
        <v>S</v>
      </c>
      <c r="B108" s="696">
        <f ca="1">ORÇAMENTO!D108</f>
        <v>0</v>
      </c>
      <c r="C108" s="114" t="str">
        <f t="shared" ca="1" si="8"/>
        <v>F</v>
      </c>
      <c r="D108" s="117" t="str">
        <f ca="1">ORÇAMENTO!O108</f>
        <v>1.18.2.</v>
      </c>
      <c r="E108" s="163" t="str">
        <f t="shared" ca="1" si="9"/>
        <v>PINTURA LÁTEX ACRÍLICA STANDARD, APLICAÇÃO MANUAL EM PAREDES, DUAS DEMÃOS. AF_04/2023</v>
      </c>
      <c r="F108" s="164" t="str">
        <f t="array" aca="1" ref="F108" ca="1">IF(RegimeExecucao="Global","",ORÇAMENTO.Unidade)</f>
        <v>M2</v>
      </c>
      <c r="G108" s="122">
        <f t="array" aca="1" ref="G108" ca="1">IF(RegimeExecucao="Global","",ORÇAMENTO!T108)</f>
        <v>1216</v>
      </c>
      <c r="H108" s="122">
        <f t="array" aca="1" ref="H108" ca="1">IF(RegimeExecucao="Global","",ORÇAMENTO!W108)</f>
        <v>12.64</v>
      </c>
      <c r="I108" s="125">
        <f ca="1">ORÇAMENTO!X108</f>
        <v>15370.24</v>
      </c>
      <c r="J108" s="333">
        <f t="array" aca="1" ref="J108" ca="1">IF($A108="S",IF(CAIXA.Modo,BM.AFAnterior,BM.MEDAnterior),IF(AND(RegimeExecucao="Global",$I108&gt;0,COUNTIF($AB$13:$AM$13,BM.medicao-1)&gt;0),M108/$I108*100,0))</f>
        <v>0</v>
      </c>
      <c r="K108" s="122">
        <f t="shared" ca="1" si="10"/>
        <v>0</v>
      </c>
      <c r="L108" s="334">
        <f t="array" aca="1" ref="L108" ca="1">IF($A108="S",IF(CAIXA.Modo,BM.AFAcumulado,BM.MEDAcumulado),IF(AND(RegimeExecucao="Global",$I108&gt;0,COUNTIF($AB$13:$AM$13,BM.medicao)&gt;0),O108/$I108*100,0))</f>
        <v>0</v>
      </c>
      <c r="M108" s="335">
        <f t="array" aca="1" ref="M108" ca="1">IF($A108="S",VTOTALBM,IF($A108=0,0,ROUND(SomaAgrupBM,15-13*ORÇAMENTO!$AF$11)))</f>
        <v>0</v>
      </c>
      <c r="N108" s="336">
        <f t="shared" ca="1" si="11"/>
        <v>0</v>
      </c>
      <c r="O108" s="125">
        <f t="array" aca="1" ref="O108" ca="1">IF($A108="S",VTOTALBM,IF($A108=0,0,ROUND(SomaAgrupBM,15-13*ORÇAMENTO!$AF$11)))</f>
        <v>0</v>
      </c>
      <c r="Q108" s="337"/>
      <c r="R108" s="338"/>
      <c r="T108" s="117" t="str">
        <f t="shared" ca="1" si="12"/>
        <v/>
      </c>
      <c r="U108" s="163" t="str">
        <f t="shared" ca="1" si="13"/>
        <v/>
      </c>
      <c r="V108" s="164" t="str">
        <f t="array" aca="1" ref="V108" ca="1">IF(AND($W108&gt;0,RegimeExecucao="Unitário"),$F108,"")</f>
        <v/>
      </c>
      <c r="W108" s="453">
        <f t="array" aca="1" ref="W108" ca="1">IF($Y108&gt;0,CHOOSE(MATCH(RegimeExecucao,{"Unitário","Global"},0),IF($A108="S",$Y108/$X108,""),($Y108/$X108)*100),0)</f>
        <v>0</v>
      </c>
      <c r="X108" s="339" t="str">
        <f t="array" aca="1" ref="X108" ca="1">IF($Y108&gt;0,CHOOSE(MATCH(RegimeExecucao,{"Unitário","Global"},0),IF($A108="S",ROUND($H108,ORÇAMENTO!$AF$10),""),ROUND($I108,ORÇAMENTO!$AF$11)),"")</f>
        <v/>
      </c>
      <c r="Y108" s="339">
        <f t="shared" ca="1" si="14"/>
        <v>0</v>
      </c>
      <c r="Z108" s="472"/>
      <c r="AB108" s="337"/>
      <c r="AC108" s="437"/>
      <c r="AD108" s="437"/>
      <c r="AE108" s="437"/>
      <c r="AF108" s="437"/>
      <c r="AG108" s="437"/>
      <c r="AH108" s="437"/>
      <c r="AI108" s="437"/>
      <c r="AJ108" s="437"/>
      <c r="AK108" s="437"/>
      <c r="AL108" s="437"/>
      <c r="AM108" s="338"/>
      <c r="AO108" s="696">
        <f t="array" aca="1" ref="AO108" ca="1">IF($A108="S",IF(BM!$I108=0,0,CHOOSE(MATCH(RegimeExecucao,{"Global","Unitário"},0),ROUND(ROUND(BM.MEDAcumulado,15-13*BM!$A$9)/100*BM!$I108,15-13*ORÇAMENTO!$AF$11),ROUND(ROUND(BM.MEDAcumulado,15-13*BM!$A$9)*ROUND(BM!$H108,15-13*ORÇAMENTO!$AF$10),15-13*ORÇAMENTO!$AF$11))),IF($A108=0,0,ROUND(SomaAgrupBM,15-13*ORÇAMENTO!$AF$11)))</f>
        <v>0</v>
      </c>
    </row>
    <row r="109" spans="1:41" s="696" customFormat="1" x14ac:dyDescent="0.2">
      <c r="A109" s="696">
        <f ca="1">ORÇAMENTO!C109</f>
        <v>2</v>
      </c>
      <c r="B109" s="696">
        <f ca="1">ORÇAMENTO!D109</f>
        <v>3</v>
      </c>
      <c r="C109" s="114" t="str">
        <f t="shared" ca="1" si="8"/>
        <v>F</v>
      </c>
      <c r="D109" s="117" t="str">
        <f ca="1">ORÇAMENTO!O109</f>
        <v>1.19.</v>
      </c>
      <c r="E109" s="163" t="str">
        <f t="shared" si="9"/>
        <v>PINTURA EM ESQUADRIAS</v>
      </c>
      <c r="F109" s="164" t="str">
        <f t="array" aca="1" ref="F109" ca="1">IF(RegimeExecucao="Global","",ORÇAMENTO.Unidade)</f>
        <v>-</v>
      </c>
      <c r="G109" s="122">
        <f t="array" aca="1" ref="G109" ca="1">IF(RegimeExecucao="Global","",ORÇAMENTO!T109)</f>
        <v>0</v>
      </c>
      <c r="H109" s="122">
        <f t="array" aca="1" ref="H109" ca="1">IF(RegimeExecucao="Global","",ORÇAMENTO!W109)</f>
        <v>0</v>
      </c>
      <c r="I109" s="125">
        <f ca="1">ORÇAMENTO!X109</f>
        <v>18165</v>
      </c>
      <c r="J109" s="333">
        <f t="array" aca="1" ref="J109" ca="1">IF($A109="S",IF(CAIXA.Modo,BM.AFAnterior,BM.MEDAnterior),IF(AND(RegimeExecucao="Global",$I109&gt;0,COUNTIF($AB$13:$AM$13,BM.medicao-1)&gt;0),M109/$I109*100,0))</f>
        <v>0</v>
      </c>
      <c r="K109" s="122">
        <f t="shared" ca="1" si="10"/>
        <v>0</v>
      </c>
      <c r="L109" s="334">
        <f t="array" aca="1" ref="L109" ca="1">IF($A109="S",IF(CAIXA.Modo,BM.AFAcumulado,BM.MEDAcumulado),IF(AND(RegimeExecucao="Global",$I109&gt;0,COUNTIF($AB$13:$AM$13,BM.medicao)&gt;0),O109/$I109*100,0))</f>
        <v>0</v>
      </c>
      <c r="M109" s="335">
        <f t="array" aca="1" ref="M109" ca="1">IF($A109="S",VTOTALBM,IF($A109=0,0,ROUND(SomaAgrupBM,15-13*ORÇAMENTO!$AF$11)))</f>
        <v>0</v>
      </c>
      <c r="N109" s="336">
        <f t="shared" ca="1" si="11"/>
        <v>0</v>
      </c>
      <c r="O109" s="125">
        <f t="array" aca="1" ref="O109" ca="1">IF($A109="S",VTOTALBM,IF($A109=0,0,ROUND(SomaAgrupBM,15-13*ORÇAMENTO!$AF$11)))</f>
        <v>0</v>
      </c>
      <c r="Q109" s="337"/>
      <c r="R109" s="338"/>
      <c r="T109" s="117" t="str">
        <f t="shared" ca="1" si="12"/>
        <v/>
      </c>
      <c r="U109" s="163" t="str">
        <f t="shared" ca="1" si="13"/>
        <v/>
      </c>
      <c r="V109" s="164" t="str">
        <f t="array" aca="1" ref="V109" ca="1">IF(AND($W109&gt;0,RegimeExecucao="Unitário"),$F109,"")</f>
        <v/>
      </c>
      <c r="W109" s="453">
        <f t="array" aca="1" ref="W109" ca="1">IF($Y109&gt;0,CHOOSE(MATCH(RegimeExecucao,{"Unitário","Global"},0),IF($A109="S",$Y109/$X109,""),($Y109/$X109)*100),0)</f>
        <v>0</v>
      </c>
      <c r="X109" s="339" t="str">
        <f t="array" aca="1" ref="X109" ca="1">IF($Y109&gt;0,CHOOSE(MATCH(RegimeExecucao,{"Unitário","Global"},0),IF($A109="S",ROUND($H109,ORÇAMENTO!$AF$10),""),ROUND($I109,ORÇAMENTO!$AF$11)),"")</f>
        <v/>
      </c>
      <c r="Y109" s="339">
        <f t="shared" ca="1" si="14"/>
        <v>0</v>
      </c>
      <c r="Z109" s="472"/>
      <c r="AB109" s="337"/>
      <c r="AC109" s="437"/>
      <c r="AD109" s="437"/>
      <c r="AE109" s="437"/>
      <c r="AF109" s="437"/>
      <c r="AG109" s="437"/>
      <c r="AH109" s="437"/>
      <c r="AI109" s="437"/>
      <c r="AJ109" s="437"/>
      <c r="AK109" s="437"/>
      <c r="AL109" s="437"/>
      <c r="AM109" s="338"/>
      <c r="AO109" s="696">
        <f t="array" aca="1" ref="AO109" ca="1">IF($A109="S",IF(BM!$I109=0,0,CHOOSE(MATCH(RegimeExecucao,{"Global","Unitário"},0),ROUND(ROUND(BM.MEDAcumulado,15-13*BM!$A$9)/100*BM!$I109,15-13*ORÇAMENTO!$AF$11),ROUND(ROUND(BM.MEDAcumulado,15-13*BM!$A$9)*ROUND(BM!$H109,15-13*ORÇAMENTO!$AF$10),15-13*ORÇAMENTO!$AF$11))),IF($A109=0,0,ROUND(SomaAgrupBM,15-13*ORÇAMENTO!$AF$11)))</f>
        <v>0</v>
      </c>
    </row>
    <row r="110" spans="1:41" s="696" customFormat="1" ht="25.5" x14ac:dyDescent="0.2">
      <c r="A110" s="696" t="str">
        <f ca="1">ORÇAMENTO!C110</f>
        <v>S</v>
      </c>
      <c r="B110" s="696">
        <f ca="1">ORÇAMENTO!D110</f>
        <v>0</v>
      </c>
      <c r="C110" s="114" t="str">
        <f t="shared" ca="1" si="8"/>
        <v>F</v>
      </c>
      <c r="D110" s="117" t="str">
        <f ca="1">ORÇAMENTO!O110</f>
        <v>1.19.1.</v>
      </c>
      <c r="E110" s="163" t="str">
        <f t="shared" ca="1" si="9"/>
        <v>LIXAMENTO DE MADEIRA PARA APLICAÇÃO DE FUNDO OU PINTURA. AF_01/2021</v>
      </c>
      <c r="F110" s="164" t="str">
        <f t="array" aca="1" ref="F110" ca="1">IF(RegimeExecucao="Global","",ORÇAMENTO.Unidade)</f>
        <v>M2</v>
      </c>
      <c r="G110" s="122">
        <f t="array" aca="1" ref="G110" ca="1">IF(RegimeExecucao="Global","",ORÇAMENTO!T110)</f>
        <v>420</v>
      </c>
      <c r="H110" s="122">
        <f t="array" aca="1" ref="H110" ca="1">IF(RegimeExecucao="Global","",ORÇAMENTO!W110)</f>
        <v>2.58</v>
      </c>
      <c r="I110" s="125">
        <f ca="1">ORÇAMENTO!X110</f>
        <v>1083.5999999999999</v>
      </c>
      <c r="J110" s="333">
        <f t="array" aca="1" ref="J110" ca="1">IF($A110="S",IF(CAIXA.Modo,BM.AFAnterior,BM.MEDAnterior),IF(AND(RegimeExecucao="Global",$I110&gt;0,COUNTIF($AB$13:$AM$13,BM.medicao-1)&gt;0),M110/$I110*100,0))</f>
        <v>0</v>
      </c>
      <c r="K110" s="122">
        <f t="shared" ca="1" si="10"/>
        <v>0</v>
      </c>
      <c r="L110" s="334">
        <f t="array" aca="1" ref="L110" ca="1">IF($A110="S",IF(CAIXA.Modo,BM.AFAcumulado,BM.MEDAcumulado),IF(AND(RegimeExecucao="Global",$I110&gt;0,COUNTIF($AB$13:$AM$13,BM.medicao)&gt;0),O110/$I110*100,0))</f>
        <v>0</v>
      </c>
      <c r="M110" s="335">
        <f t="array" aca="1" ref="M110" ca="1">IF($A110="S",VTOTALBM,IF($A110=0,0,ROUND(SomaAgrupBM,15-13*ORÇAMENTO!$AF$11)))</f>
        <v>0</v>
      </c>
      <c r="N110" s="336">
        <f t="shared" ca="1" si="11"/>
        <v>0</v>
      </c>
      <c r="O110" s="125">
        <f t="array" aca="1" ref="O110" ca="1">IF($A110="S",VTOTALBM,IF($A110=0,0,ROUND(SomaAgrupBM,15-13*ORÇAMENTO!$AF$11)))</f>
        <v>0</v>
      </c>
      <c r="Q110" s="337"/>
      <c r="R110" s="338"/>
      <c r="T110" s="117" t="str">
        <f t="shared" ca="1" si="12"/>
        <v/>
      </c>
      <c r="U110" s="163" t="str">
        <f t="shared" ca="1" si="13"/>
        <v/>
      </c>
      <c r="V110" s="164" t="str">
        <f t="array" aca="1" ref="V110" ca="1">IF(AND($W110&gt;0,RegimeExecucao="Unitário"),$F110,"")</f>
        <v/>
      </c>
      <c r="W110" s="453">
        <f t="array" aca="1" ref="W110" ca="1">IF($Y110&gt;0,CHOOSE(MATCH(RegimeExecucao,{"Unitário","Global"},0),IF($A110="S",$Y110/$X110,""),($Y110/$X110)*100),0)</f>
        <v>0</v>
      </c>
      <c r="X110" s="339" t="str">
        <f t="array" aca="1" ref="X110" ca="1">IF($Y110&gt;0,CHOOSE(MATCH(RegimeExecucao,{"Unitário","Global"},0),IF($A110="S",ROUND($H110,ORÇAMENTO!$AF$10),""),ROUND($I110,ORÇAMENTO!$AF$11)),"")</f>
        <v/>
      </c>
      <c r="Y110" s="339">
        <f t="shared" ca="1" si="14"/>
        <v>0</v>
      </c>
      <c r="Z110" s="472"/>
      <c r="AB110" s="337"/>
      <c r="AC110" s="437"/>
      <c r="AD110" s="437"/>
      <c r="AE110" s="437"/>
      <c r="AF110" s="437"/>
      <c r="AG110" s="437"/>
      <c r="AH110" s="437"/>
      <c r="AI110" s="437"/>
      <c r="AJ110" s="437"/>
      <c r="AK110" s="437"/>
      <c r="AL110" s="437"/>
      <c r="AM110" s="338"/>
      <c r="AO110" s="696">
        <f t="array" aca="1" ref="AO110" ca="1">IF($A110="S",IF(BM!$I110=0,0,CHOOSE(MATCH(RegimeExecucao,{"Global","Unitário"},0),ROUND(ROUND(BM.MEDAcumulado,15-13*BM!$A$9)/100*BM!$I110,15-13*ORÇAMENTO!$AF$11),ROUND(ROUND(BM.MEDAcumulado,15-13*BM!$A$9)*ROUND(BM!$H110,15-13*ORÇAMENTO!$AF$10),15-13*ORÇAMENTO!$AF$11))),IF($A110=0,0,ROUND(SomaAgrupBM,15-13*ORÇAMENTO!$AF$11)))</f>
        <v>0</v>
      </c>
    </row>
    <row r="111" spans="1:41" s="696" customFormat="1" ht="51" x14ac:dyDescent="0.2">
      <c r="A111" s="696" t="str">
        <f ca="1">ORÇAMENTO!C111</f>
        <v>S</v>
      </c>
      <c r="B111" s="696">
        <f ca="1">ORÇAMENTO!D111</f>
        <v>0</v>
      </c>
      <c r="C111" s="114" t="str">
        <f t="shared" ca="1" si="8"/>
        <v>F</v>
      </c>
      <c r="D111" s="117" t="str">
        <f ca="1">ORÇAMENTO!O111</f>
        <v>1.19.2.</v>
      </c>
      <c r="E111" s="163" t="str">
        <f t="shared" ca="1" si="9"/>
        <v>PINTURA ESMALTE BASE SOLVENTE EM ESQUADRIA DE MADEIRA, DUAS (2) DEMÃOS, COM APLICAÇÃO MANUAL, INCLUSIVE UMA (1) DEMÃO DE FUNDO NIVELADOR E PREPARAÇÃO DA SUPERFÍCIE COM LIXAMENTO, EXCLUSIVE MASSA A ÓLEO</v>
      </c>
      <c r="F111" s="164" t="str">
        <f t="array" aca="1" ref="F111" ca="1">IF(RegimeExecucao="Global","",ORÇAMENTO.Unidade)</f>
        <v>m2</v>
      </c>
      <c r="G111" s="122">
        <f t="array" aca="1" ref="G111" ca="1">IF(RegimeExecucao="Global","",ORÇAMENTO!T111)</f>
        <v>420</v>
      </c>
      <c r="H111" s="122">
        <f t="array" aca="1" ref="H111" ca="1">IF(RegimeExecucao="Global","",ORÇAMENTO!W111)</f>
        <v>40.67</v>
      </c>
      <c r="I111" s="125">
        <f ca="1">ORÇAMENTO!X111</f>
        <v>17081.400000000001</v>
      </c>
      <c r="J111" s="333">
        <f t="array" aca="1" ref="J111" ca="1">IF($A111="S",IF(CAIXA.Modo,BM.AFAnterior,BM.MEDAnterior),IF(AND(RegimeExecucao="Global",$I111&gt;0,COUNTIF($AB$13:$AM$13,BM.medicao-1)&gt;0),M111/$I111*100,0))</f>
        <v>0</v>
      </c>
      <c r="K111" s="122">
        <f t="shared" ca="1" si="10"/>
        <v>0</v>
      </c>
      <c r="L111" s="334">
        <f t="array" aca="1" ref="L111" ca="1">IF($A111="S",IF(CAIXA.Modo,BM.AFAcumulado,BM.MEDAcumulado),IF(AND(RegimeExecucao="Global",$I111&gt;0,COUNTIF($AB$13:$AM$13,BM.medicao)&gt;0),O111/$I111*100,0))</f>
        <v>0</v>
      </c>
      <c r="M111" s="335">
        <f t="array" aca="1" ref="M111" ca="1">IF($A111="S",VTOTALBM,IF($A111=0,0,ROUND(SomaAgrupBM,15-13*ORÇAMENTO!$AF$11)))</f>
        <v>0</v>
      </c>
      <c r="N111" s="336">
        <f t="shared" ca="1" si="11"/>
        <v>0</v>
      </c>
      <c r="O111" s="125">
        <f t="array" aca="1" ref="O111" ca="1">IF($A111="S",VTOTALBM,IF($A111=0,0,ROUND(SomaAgrupBM,15-13*ORÇAMENTO!$AF$11)))</f>
        <v>0</v>
      </c>
      <c r="Q111" s="337"/>
      <c r="R111" s="338"/>
      <c r="T111" s="117" t="str">
        <f t="shared" ca="1" si="12"/>
        <v/>
      </c>
      <c r="U111" s="163" t="str">
        <f t="shared" ca="1" si="13"/>
        <v/>
      </c>
      <c r="V111" s="164" t="str">
        <f t="array" aca="1" ref="V111" ca="1">IF(AND($W111&gt;0,RegimeExecucao="Unitário"),$F111,"")</f>
        <v/>
      </c>
      <c r="W111" s="453">
        <f t="array" aca="1" ref="W111" ca="1">IF($Y111&gt;0,CHOOSE(MATCH(RegimeExecucao,{"Unitário","Global"},0),IF($A111="S",$Y111/$X111,""),($Y111/$X111)*100),0)</f>
        <v>0</v>
      </c>
      <c r="X111" s="339" t="str">
        <f t="array" aca="1" ref="X111" ca="1">IF($Y111&gt;0,CHOOSE(MATCH(RegimeExecucao,{"Unitário","Global"},0),IF($A111="S",ROUND($H111,ORÇAMENTO!$AF$10),""),ROUND($I111,ORÇAMENTO!$AF$11)),"")</f>
        <v/>
      </c>
      <c r="Y111" s="339">
        <f t="shared" ca="1" si="14"/>
        <v>0</v>
      </c>
      <c r="Z111" s="472"/>
      <c r="AB111" s="337"/>
      <c r="AC111" s="437"/>
      <c r="AD111" s="437"/>
      <c r="AE111" s="437"/>
      <c r="AF111" s="437"/>
      <c r="AG111" s="437"/>
      <c r="AH111" s="437"/>
      <c r="AI111" s="437"/>
      <c r="AJ111" s="437"/>
      <c r="AK111" s="437"/>
      <c r="AL111" s="437"/>
      <c r="AM111" s="338"/>
      <c r="AO111" s="696">
        <f t="array" aca="1" ref="AO111" ca="1">IF($A111="S",IF(BM!$I111=0,0,CHOOSE(MATCH(RegimeExecucao,{"Global","Unitário"},0),ROUND(ROUND(BM.MEDAcumulado,15-13*BM!$A$9)/100*BM!$I111,15-13*ORÇAMENTO!$AF$11),ROUND(ROUND(BM.MEDAcumulado,15-13*BM!$A$9)*ROUND(BM!$H111,15-13*ORÇAMENTO!$AF$10),15-13*ORÇAMENTO!$AF$11))),IF($A111=0,0,ROUND(SomaAgrupBM,15-13*ORÇAMENTO!$AF$11)))</f>
        <v>0</v>
      </c>
    </row>
    <row r="112" spans="1:41" s="696" customFormat="1" x14ac:dyDescent="0.2">
      <c r="A112" s="696">
        <f ca="1">ORÇAMENTO!C112</f>
        <v>2</v>
      </c>
      <c r="B112" s="696">
        <f ca="1">ORÇAMENTO!D112</f>
        <v>10</v>
      </c>
      <c r="C112" s="114" t="str">
        <f t="shared" ca="1" si="8"/>
        <v>F</v>
      </c>
      <c r="D112" s="117" t="str">
        <f ca="1">ORÇAMENTO!O112</f>
        <v>1.20.</v>
      </c>
      <c r="E112" s="163" t="str">
        <f t="shared" si="9"/>
        <v>CERÂMICA</v>
      </c>
      <c r="F112" s="164" t="str">
        <f t="array" aca="1" ref="F112" ca="1">IF(RegimeExecucao="Global","",ORÇAMENTO.Unidade)</f>
        <v>-</v>
      </c>
      <c r="G112" s="122">
        <f t="array" aca="1" ref="G112" ca="1">IF(RegimeExecucao="Global","",ORÇAMENTO!T112)</f>
        <v>0</v>
      </c>
      <c r="H112" s="122">
        <f t="array" aca="1" ref="H112" ca="1">IF(RegimeExecucao="Global","",ORÇAMENTO!W112)</f>
        <v>0</v>
      </c>
      <c r="I112" s="125">
        <f ca="1">ORÇAMENTO!X112</f>
        <v>200638.2</v>
      </c>
      <c r="J112" s="333">
        <f t="array" aca="1" ref="J112" ca="1">IF($A112="S",IF(CAIXA.Modo,BM.AFAnterior,BM.MEDAnterior),IF(AND(RegimeExecucao="Global",$I112&gt;0,COUNTIF($AB$13:$AM$13,BM.medicao-1)&gt;0),M112/$I112*100,0))</f>
        <v>0</v>
      </c>
      <c r="K112" s="122">
        <f t="shared" ca="1" si="10"/>
        <v>0</v>
      </c>
      <c r="L112" s="334">
        <f t="array" aca="1" ref="L112" ca="1">IF($A112="S",IF(CAIXA.Modo,BM.AFAcumulado,BM.MEDAcumulado),IF(AND(RegimeExecucao="Global",$I112&gt;0,COUNTIF($AB$13:$AM$13,BM.medicao)&gt;0),O112/$I112*100,0))</f>
        <v>0</v>
      </c>
      <c r="M112" s="335">
        <f t="array" aca="1" ref="M112" ca="1">IF($A112="S",VTOTALBM,IF($A112=0,0,ROUND(SomaAgrupBM,15-13*ORÇAMENTO!$AF$11)))</f>
        <v>0</v>
      </c>
      <c r="N112" s="336">
        <f t="shared" ca="1" si="11"/>
        <v>0</v>
      </c>
      <c r="O112" s="125">
        <f t="array" aca="1" ref="O112" ca="1">IF($A112="S",VTOTALBM,IF($A112=0,0,ROUND(SomaAgrupBM,15-13*ORÇAMENTO!$AF$11)))</f>
        <v>0</v>
      </c>
      <c r="Q112" s="337"/>
      <c r="R112" s="338"/>
      <c r="T112" s="117" t="str">
        <f t="shared" ca="1" si="12"/>
        <v/>
      </c>
      <c r="U112" s="163" t="str">
        <f t="shared" ca="1" si="13"/>
        <v/>
      </c>
      <c r="V112" s="164" t="str">
        <f t="array" aca="1" ref="V112" ca="1">IF(AND($W112&gt;0,RegimeExecucao="Unitário"),$F112,"")</f>
        <v/>
      </c>
      <c r="W112" s="453">
        <f t="array" aca="1" ref="W112" ca="1">IF($Y112&gt;0,CHOOSE(MATCH(RegimeExecucao,{"Unitário","Global"},0),IF($A112="S",$Y112/$X112,""),($Y112/$X112)*100),0)</f>
        <v>0</v>
      </c>
      <c r="X112" s="339" t="str">
        <f t="array" aca="1" ref="X112" ca="1">IF($Y112&gt;0,CHOOSE(MATCH(RegimeExecucao,{"Unitário","Global"},0),IF($A112="S",ROUND($H112,ORÇAMENTO!$AF$10),""),ROUND($I112,ORÇAMENTO!$AF$11)),"")</f>
        <v/>
      </c>
      <c r="Y112" s="339">
        <f t="shared" ca="1" si="14"/>
        <v>0</v>
      </c>
      <c r="Z112" s="472"/>
      <c r="AB112" s="337"/>
      <c r="AC112" s="437"/>
      <c r="AD112" s="437"/>
      <c r="AE112" s="437"/>
      <c r="AF112" s="437"/>
      <c r="AG112" s="437"/>
      <c r="AH112" s="437"/>
      <c r="AI112" s="437"/>
      <c r="AJ112" s="437"/>
      <c r="AK112" s="437"/>
      <c r="AL112" s="437"/>
      <c r="AM112" s="338"/>
      <c r="AO112" s="696">
        <f t="array" aca="1" ref="AO112" ca="1">IF($A112="S",IF(BM!$I112=0,0,CHOOSE(MATCH(RegimeExecucao,{"Global","Unitário"},0),ROUND(ROUND(BM.MEDAcumulado,15-13*BM!$A$9)/100*BM!$I112,15-13*ORÇAMENTO!$AF$11),ROUND(ROUND(BM.MEDAcumulado,15-13*BM!$A$9)*ROUND(BM!$H112,15-13*ORÇAMENTO!$AF$10),15-13*ORÇAMENTO!$AF$11))),IF($A112=0,0,ROUND(SomaAgrupBM,15-13*ORÇAMENTO!$AF$11)))</f>
        <v>0</v>
      </c>
    </row>
    <row r="113" spans="1:41" s="696" customFormat="1" ht="38.25" x14ac:dyDescent="0.2">
      <c r="A113" s="696" t="str">
        <f ca="1">ORÇAMENTO!C113</f>
        <v>S</v>
      </c>
      <c r="B113" s="696">
        <f ca="1">ORÇAMENTO!D113</f>
        <v>0</v>
      </c>
      <c r="C113" s="114" t="str">
        <f t="shared" ca="1" si="8"/>
        <v>F</v>
      </c>
      <c r="D113" s="117" t="str">
        <f ca="1">ORÇAMENTO!O113</f>
        <v>1.20.1.</v>
      </c>
      <c r="E113" s="163" t="str">
        <f t="shared" ca="1" si="9"/>
        <v>COMPACTAÇÃO MECÂNICA DE SOLO PARA EXECUÇÃO DE RADIER, PISO DE CONCRETO OU LAJE SOBRE SOLO, COM COMPACTADOR DE SOLOS TIPO PLACA VIBRATÓRIA. AF_09/2021</v>
      </c>
      <c r="F113" s="164" t="str">
        <f t="array" aca="1" ref="F113" ca="1">IF(RegimeExecucao="Global","",ORÇAMENTO.Unidade)</f>
        <v>M2</v>
      </c>
      <c r="G113" s="122">
        <f t="array" aca="1" ref="G113" ca="1">IF(RegimeExecucao="Global","",ORÇAMENTO!T113)</f>
        <v>1077.4000000000001</v>
      </c>
      <c r="H113" s="122">
        <f t="array" aca="1" ref="H113" ca="1">IF(RegimeExecucao="Global","",ORÇAMENTO!W113)</f>
        <v>0.85</v>
      </c>
      <c r="I113" s="125">
        <f ca="1">ORÇAMENTO!X113</f>
        <v>915.8</v>
      </c>
      <c r="J113" s="333">
        <f t="array" aca="1" ref="J113" ca="1">IF($A113="S",IF(CAIXA.Modo,BM.AFAnterior,BM.MEDAnterior),IF(AND(RegimeExecucao="Global",$I113&gt;0,COUNTIF($AB$13:$AM$13,BM.medicao-1)&gt;0),M113/$I113*100,0))</f>
        <v>0</v>
      </c>
      <c r="K113" s="122">
        <f t="shared" ca="1" si="10"/>
        <v>0</v>
      </c>
      <c r="L113" s="334">
        <f t="array" aca="1" ref="L113" ca="1">IF($A113="S",IF(CAIXA.Modo,BM.AFAcumulado,BM.MEDAcumulado),IF(AND(RegimeExecucao="Global",$I113&gt;0,COUNTIF($AB$13:$AM$13,BM.medicao)&gt;0),O113/$I113*100,0))</f>
        <v>0</v>
      </c>
      <c r="M113" s="335">
        <f t="array" aca="1" ref="M113" ca="1">IF($A113="S",VTOTALBM,IF($A113=0,0,ROUND(SomaAgrupBM,15-13*ORÇAMENTO!$AF$11)))</f>
        <v>0</v>
      </c>
      <c r="N113" s="336">
        <f t="shared" ca="1" si="11"/>
        <v>0</v>
      </c>
      <c r="O113" s="125">
        <f t="array" aca="1" ref="O113" ca="1">IF($A113="S",VTOTALBM,IF($A113=0,0,ROUND(SomaAgrupBM,15-13*ORÇAMENTO!$AF$11)))</f>
        <v>0</v>
      </c>
      <c r="Q113" s="337"/>
      <c r="R113" s="338"/>
      <c r="T113" s="117" t="str">
        <f t="shared" ca="1" si="12"/>
        <v/>
      </c>
      <c r="U113" s="163" t="str">
        <f t="shared" ca="1" si="13"/>
        <v/>
      </c>
      <c r="V113" s="164" t="str">
        <f t="array" aca="1" ref="V113" ca="1">IF(AND($W113&gt;0,RegimeExecucao="Unitário"),$F113,"")</f>
        <v/>
      </c>
      <c r="W113" s="453">
        <f t="array" aca="1" ref="W113" ca="1">IF($Y113&gt;0,CHOOSE(MATCH(RegimeExecucao,{"Unitário","Global"},0),IF($A113="S",$Y113/$X113,""),($Y113/$X113)*100),0)</f>
        <v>0</v>
      </c>
      <c r="X113" s="339" t="str">
        <f t="array" aca="1" ref="X113" ca="1">IF($Y113&gt;0,CHOOSE(MATCH(RegimeExecucao,{"Unitário","Global"},0),IF($A113="S",ROUND($H113,ORÇAMENTO!$AF$10),""),ROUND($I113,ORÇAMENTO!$AF$11)),"")</f>
        <v/>
      </c>
      <c r="Y113" s="339">
        <f t="shared" ca="1" si="14"/>
        <v>0</v>
      </c>
      <c r="Z113" s="472"/>
      <c r="AB113" s="337"/>
      <c r="AC113" s="437"/>
      <c r="AD113" s="437"/>
      <c r="AE113" s="437"/>
      <c r="AF113" s="437"/>
      <c r="AG113" s="437"/>
      <c r="AH113" s="437"/>
      <c r="AI113" s="437"/>
      <c r="AJ113" s="437"/>
      <c r="AK113" s="437"/>
      <c r="AL113" s="437"/>
      <c r="AM113" s="338"/>
      <c r="AO113" s="696">
        <f t="array" aca="1" ref="AO113" ca="1">IF($A113="S",IF(BM!$I113=0,0,CHOOSE(MATCH(RegimeExecucao,{"Global","Unitário"},0),ROUND(ROUND(BM.MEDAcumulado,15-13*BM!$A$9)/100*BM!$I113,15-13*ORÇAMENTO!$AF$11),ROUND(ROUND(BM.MEDAcumulado,15-13*BM!$A$9)*ROUND(BM!$H113,15-13*ORÇAMENTO!$AF$10),15-13*ORÇAMENTO!$AF$11))),IF($A113=0,0,ROUND(SomaAgrupBM,15-13*ORÇAMENTO!$AF$11)))</f>
        <v>0</v>
      </c>
    </row>
    <row r="114" spans="1:41" s="696" customFormat="1" ht="38.25" x14ac:dyDescent="0.2">
      <c r="A114" s="696" t="str">
        <f ca="1">ORÇAMENTO!C114</f>
        <v>S</v>
      </c>
      <c r="B114" s="696">
        <f ca="1">ORÇAMENTO!D114</f>
        <v>0</v>
      </c>
      <c r="C114" s="114" t="str">
        <f t="shared" ca="1" si="8"/>
        <v>F</v>
      </c>
      <c r="D114" s="117" t="str">
        <f ca="1">ORÇAMENTO!O114</f>
        <v>1.20.2.</v>
      </c>
      <c r="E114" s="163" t="str">
        <f t="shared" ca="1" si="9"/>
        <v>LASTRO COM MATERIAL GRANULAR (PEDRA BRITADA N.3), APLICADO EM PISOS OU LAJES SOBRE SOLO, ESPESSURA DE *10 CM*. AF_01/2024</v>
      </c>
      <c r="F114" s="164" t="str">
        <f t="array" aca="1" ref="F114" ca="1">IF(RegimeExecucao="Global","",ORÇAMENTO.Unidade)</f>
        <v>M3</v>
      </c>
      <c r="G114" s="122">
        <f t="array" aca="1" ref="G114" ca="1">IF(RegimeExecucao="Global","",ORÇAMENTO!T114)</f>
        <v>107.8</v>
      </c>
      <c r="H114" s="122">
        <f t="array" aca="1" ref="H114" ca="1">IF(RegimeExecucao="Global","",ORÇAMENTO!W114)</f>
        <v>233.71</v>
      </c>
      <c r="I114" s="125">
        <f ca="1">ORÇAMENTO!X114</f>
        <v>25193.919999999998</v>
      </c>
      <c r="J114" s="333">
        <f t="array" aca="1" ref="J114" ca="1">IF($A114="S",IF(CAIXA.Modo,BM.AFAnterior,BM.MEDAnterior),IF(AND(RegimeExecucao="Global",$I114&gt;0,COUNTIF($AB$13:$AM$13,BM.medicao-1)&gt;0),M114/$I114*100,0))</f>
        <v>0</v>
      </c>
      <c r="K114" s="122">
        <f t="shared" ca="1" si="10"/>
        <v>0</v>
      </c>
      <c r="L114" s="334">
        <f t="array" aca="1" ref="L114" ca="1">IF($A114="S",IF(CAIXA.Modo,BM.AFAcumulado,BM.MEDAcumulado),IF(AND(RegimeExecucao="Global",$I114&gt;0,COUNTIF($AB$13:$AM$13,BM.medicao)&gt;0),O114/$I114*100,0))</f>
        <v>0</v>
      </c>
      <c r="M114" s="335">
        <f t="array" aca="1" ref="M114" ca="1">IF($A114="S",VTOTALBM,IF($A114=0,0,ROUND(SomaAgrupBM,15-13*ORÇAMENTO!$AF$11)))</f>
        <v>0</v>
      </c>
      <c r="N114" s="336">
        <f t="shared" ca="1" si="11"/>
        <v>0</v>
      </c>
      <c r="O114" s="125">
        <f t="array" aca="1" ref="O114" ca="1">IF($A114="S",VTOTALBM,IF($A114=0,0,ROUND(SomaAgrupBM,15-13*ORÇAMENTO!$AF$11)))</f>
        <v>0</v>
      </c>
      <c r="Q114" s="337"/>
      <c r="R114" s="338"/>
      <c r="T114" s="117" t="str">
        <f t="shared" ca="1" si="12"/>
        <v/>
      </c>
      <c r="U114" s="163" t="str">
        <f t="shared" ca="1" si="13"/>
        <v/>
      </c>
      <c r="V114" s="164" t="str">
        <f t="array" aca="1" ref="V114" ca="1">IF(AND($W114&gt;0,RegimeExecucao="Unitário"),$F114,"")</f>
        <v/>
      </c>
      <c r="W114" s="453">
        <f t="array" aca="1" ref="W114" ca="1">IF($Y114&gt;0,CHOOSE(MATCH(RegimeExecucao,{"Unitário","Global"},0),IF($A114="S",$Y114/$X114,""),($Y114/$X114)*100),0)</f>
        <v>0</v>
      </c>
      <c r="X114" s="339" t="str">
        <f t="array" aca="1" ref="X114" ca="1">IF($Y114&gt;0,CHOOSE(MATCH(RegimeExecucao,{"Unitário","Global"},0),IF($A114="S",ROUND($H114,ORÇAMENTO!$AF$10),""),ROUND($I114,ORÇAMENTO!$AF$11)),"")</f>
        <v/>
      </c>
      <c r="Y114" s="339">
        <f t="shared" ca="1" si="14"/>
        <v>0</v>
      </c>
      <c r="Z114" s="472"/>
      <c r="AB114" s="337"/>
      <c r="AC114" s="437"/>
      <c r="AD114" s="437"/>
      <c r="AE114" s="437"/>
      <c r="AF114" s="437"/>
      <c r="AG114" s="437"/>
      <c r="AH114" s="437"/>
      <c r="AI114" s="437"/>
      <c r="AJ114" s="437"/>
      <c r="AK114" s="437"/>
      <c r="AL114" s="437"/>
      <c r="AM114" s="338"/>
      <c r="AO114" s="696">
        <f t="array" aca="1" ref="AO114" ca="1">IF($A114="S",IF(BM!$I114=0,0,CHOOSE(MATCH(RegimeExecucao,{"Global","Unitário"},0),ROUND(ROUND(BM.MEDAcumulado,15-13*BM!$A$9)/100*BM!$I114,15-13*ORÇAMENTO!$AF$11),ROUND(ROUND(BM.MEDAcumulado,15-13*BM!$A$9)*ROUND(BM!$H114,15-13*ORÇAMENTO!$AF$10),15-13*ORÇAMENTO!$AF$11))),IF($A114=0,0,ROUND(SomaAgrupBM,15-13*ORÇAMENTO!$AF$11)))</f>
        <v>0</v>
      </c>
    </row>
    <row r="115" spans="1:41" s="696" customFormat="1" ht="25.5" x14ac:dyDescent="0.2">
      <c r="A115" s="696" t="str">
        <f ca="1">ORÇAMENTO!C115</f>
        <v>S</v>
      </c>
      <c r="B115" s="696">
        <f ca="1">ORÇAMENTO!D115</f>
        <v>0</v>
      </c>
      <c r="C115" s="114" t="str">
        <f t="shared" ca="1" si="8"/>
        <v>F</v>
      </c>
      <c r="D115" s="117" t="str">
        <f ca="1">ORÇAMENTO!O115</f>
        <v>1.20.3.</v>
      </c>
      <c r="E115" s="163" t="str">
        <f t="shared" ca="1" si="9"/>
        <v>CAMADA SEPARADORA PARA EXECUÇÃO DE RADIER, PISO DE CONCRETO OU LAJE SOBRE SOLO, EM LONA PLÁSTICA. AF_09/2021</v>
      </c>
      <c r="F115" s="164" t="str">
        <f t="array" aca="1" ref="F115" ca="1">IF(RegimeExecucao="Global","",ORÇAMENTO.Unidade)</f>
        <v>M2</v>
      </c>
      <c r="G115" s="122">
        <f t="array" aca="1" ref="G115" ca="1">IF(RegimeExecucao="Global","",ORÇAMENTO!T115)</f>
        <v>1077.4000000000001</v>
      </c>
      <c r="H115" s="122">
        <f t="array" aca="1" ref="H115" ca="1">IF(RegimeExecucao="Global","",ORÇAMENTO!W115)</f>
        <v>3.48</v>
      </c>
      <c r="I115" s="125">
        <f ca="1">ORÇAMENTO!X115</f>
        <v>3749.36</v>
      </c>
      <c r="J115" s="333">
        <f t="array" aca="1" ref="J115" ca="1">IF($A115="S",IF(CAIXA.Modo,BM.AFAnterior,BM.MEDAnterior),IF(AND(RegimeExecucao="Global",$I115&gt;0,COUNTIF($AB$13:$AM$13,BM.medicao-1)&gt;0),M115/$I115*100,0))</f>
        <v>0</v>
      </c>
      <c r="K115" s="122">
        <f t="shared" ca="1" si="10"/>
        <v>0</v>
      </c>
      <c r="L115" s="334">
        <f t="array" aca="1" ref="L115" ca="1">IF($A115="S",IF(CAIXA.Modo,BM.AFAcumulado,BM.MEDAcumulado),IF(AND(RegimeExecucao="Global",$I115&gt;0,COUNTIF($AB$13:$AM$13,BM.medicao)&gt;0),O115/$I115*100,0))</f>
        <v>0</v>
      </c>
      <c r="M115" s="335">
        <f t="array" aca="1" ref="M115" ca="1">IF($A115="S",VTOTALBM,IF($A115=0,0,ROUND(SomaAgrupBM,15-13*ORÇAMENTO!$AF$11)))</f>
        <v>0</v>
      </c>
      <c r="N115" s="336">
        <f t="shared" ca="1" si="11"/>
        <v>0</v>
      </c>
      <c r="O115" s="125">
        <f t="array" aca="1" ref="O115" ca="1">IF($A115="S",VTOTALBM,IF($A115=0,0,ROUND(SomaAgrupBM,15-13*ORÇAMENTO!$AF$11)))</f>
        <v>0</v>
      </c>
      <c r="Q115" s="337"/>
      <c r="R115" s="338"/>
      <c r="T115" s="117" t="str">
        <f t="shared" ca="1" si="12"/>
        <v/>
      </c>
      <c r="U115" s="163" t="str">
        <f t="shared" ca="1" si="13"/>
        <v/>
      </c>
      <c r="V115" s="164" t="str">
        <f t="array" aca="1" ref="V115" ca="1">IF(AND($W115&gt;0,RegimeExecucao="Unitário"),$F115,"")</f>
        <v/>
      </c>
      <c r="W115" s="453">
        <f t="array" aca="1" ref="W115" ca="1">IF($Y115&gt;0,CHOOSE(MATCH(RegimeExecucao,{"Unitário","Global"},0),IF($A115="S",$Y115/$X115,""),($Y115/$X115)*100),0)</f>
        <v>0</v>
      </c>
      <c r="X115" s="339" t="str">
        <f t="array" aca="1" ref="X115" ca="1">IF($Y115&gt;0,CHOOSE(MATCH(RegimeExecucao,{"Unitário","Global"},0),IF($A115="S",ROUND($H115,ORÇAMENTO!$AF$10),""),ROUND($I115,ORÇAMENTO!$AF$11)),"")</f>
        <v/>
      </c>
      <c r="Y115" s="339">
        <f t="shared" ca="1" si="14"/>
        <v>0</v>
      </c>
      <c r="Z115" s="472"/>
      <c r="AB115" s="337"/>
      <c r="AC115" s="437"/>
      <c r="AD115" s="437"/>
      <c r="AE115" s="437"/>
      <c r="AF115" s="437"/>
      <c r="AG115" s="437"/>
      <c r="AH115" s="437"/>
      <c r="AI115" s="437"/>
      <c r="AJ115" s="437"/>
      <c r="AK115" s="437"/>
      <c r="AL115" s="437"/>
      <c r="AM115" s="338"/>
      <c r="AO115" s="696">
        <f t="array" aca="1" ref="AO115" ca="1">IF($A115="S",IF(BM!$I115=0,0,CHOOSE(MATCH(RegimeExecucao,{"Global","Unitário"},0),ROUND(ROUND(BM.MEDAcumulado,15-13*BM!$A$9)/100*BM!$I115,15-13*ORÇAMENTO!$AF$11),ROUND(ROUND(BM.MEDAcumulado,15-13*BM!$A$9)*ROUND(BM!$H115,15-13*ORÇAMENTO!$AF$10),15-13*ORÇAMENTO!$AF$11))),IF($A115=0,0,ROUND(SomaAgrupBM,15-13*ORÇAMENTO!$AF$11)))</f>
        <v>0</v>
      </c>
    </row>
    <row r="116" spans="1:41" s="696" customFormat="1" ht="25.5" x14ac:dyDescent="0.2">
      <c r="A116" s="696" t="str">
        <f ca="1">ORÇAMENTO!C116</f>
        <v>S</v>
      </c>
      <c r="B116" s="696">
        <f ca="1">ORÇAMENTO!D116</f>
        <v>0</v>
      </c>
      <c r="C116" s="114" t="str">
        <f t="shared" ca="1" si="8"/>
        <v>F</v>
      </c>
      <c r="D116" s="117" t="str">
        <f ca="1">ORÇAMENTO!O116</f>
        <v>1.20.4.</v>
      </c>
      <c r="E116" s="163" t="str">
        <f t="shared" ca="1" si="9"/>
        <v>LASTRO DE CONCRETO MAGRO, APLICADO EM PISOS, LAJES SOBRE SOLO OU RADIERS, ESPESSURA DE 5 CM. AF_01/2024</v>
      </c>
      <c r="F116" s="164" t="str">
        <f t="array" aca="1" ref="F116" ca="1">IF(RegimeExecucao="Global","",ORÇAMENTO.Unidade)</f>
        <v>M2</v>
      </c>
      <c r="G116" s="122">
        <f t="array" aca="1" ref="G116" ca="1">IF(RegimeExecucao="Global","",ORÇAMENTO!T116)</f>
        <v>1077.4000000000001</v>
      </c>
      <c r="H116" s="122">
        <f t="array" aca="1" ref="H116" ca="1">IF(RegimeExecucao="Global","",ORÇAMENTO!W116)</f>
        <v>47.55</v>
      </c>
      <c r="I116" s="125">
        <f ca="1">ORÇAMENTO!X116</f>
        <v>51230.36</v>
      </c>
      <c r="J116" s="333">
        <f t="array" aca="1" ref="J116" ca="1">IF($A116="S",IF(CAIXA.Modo,BM.AFAnterior,BM.MEDAnterior),IF(AND(RegimeExecucao="Global",$I116&gt;0,COUNTIF($AB$13:$AM$13,BM.medicao-1)&gt;0),M116/$I116*100,0))</f>
        <v>0</v>
      </c>
      <c r="K116" s="122">
        <f t="shared" ca="1" si="10"/>
        <v>0</v>
      </c>
      <c r="L116" s="334">
        <f t="array" aca="1" ref="L116" ca="1">IF($A116="S",IF(CAIXA.Modo,BM.AFAcumulado,BM.MEDAcumulado),IF(AND(RegimeExecucao="Global",$I116&gt;0,COUNTIF($AB$13:$AM$13,BM.medicao)&gt;0),O116/$I116*100,0))</f>
        <v>0</v>
      </c>
      <c r="M116" s="335">
        <f t="array" aca="1" ref="M116" ca="1">IF($A116="S",VTOTALBM,IF($A116=0,0,ROUND(SomaAgrupBM,15-13*ORÇAMENTO!$AF$11)))</f>
        <v>0</v>
      </c>
      <c r="N116" s="336">
        <f t="shared" ca="1" si="11"/>
        <v>0</v>
      </c>
      <c r="O116" s="125">
        <f t="array" aca="1" ref="O116" ca="1">IF($A116="S",VTOTALBM,IF($A116=0,0,ROUND(SomaAgrupBM,15-13*ORÇAMENTO!$AF$11)))</f>
        <v>0</v>
      </c>
      <c r="Q116" s="337"/>
      <c r="R116" s="338"/>
      <c r="T116" s="117" t="str">
        <f t="shared" ca="1" si="12"/>
        <v/>
      </c>
      <c r="U116" s="163" t="str">
        <f t="shared" ca="1" si="13"/>
        <v/>
      </c>
      <c r="V116" s="164" t="str">
        <f t="array" aca="1" ref="V116" ca="1">IF(AND($W116&gt;0,RegimeExecucao="Unitário"),$F116,"")</f>
        <v/>
      </c>
      <c r="W116" s="453">
        <f t="array" aca="1" ref="W116" ca="1">IF($Y116&gt;0,CHOOSE(MATCH(RegimeExecucao,{"Unitário","Global"},0),IF($A116="S",$Y116/$X116,""),($Y116/$X116)*100),0)</f>
        <v>0</v>
      </c>
      <c r="X116" s="339" t="str">
        <f t="array" aca="1" ref="X116" ca="1">IF($Y116&gt;0,CHOOSE(MATCH(RegimeExecucao,{"Unitário","Global"},0),IF($A116="S",ROUND($H116,ORÇAMENTO!$AF$10),""),ROUND($I116,ORÇAMENTO!$AF$11)),"")</f>
        <v/>
      </c>
      <c r="Y116" s="339">
        <f t="shared" ca="1" si="14"/>
        <v>0</v>
      </c>
      <c r="Z116" s="472"/>
      <c r="AB116" s="337"/>
      <c r="AC116" s="437"/>
      <c r="AD116" s="437"/>
      <c r="AE116" s="437"/>
      <c r="AF116" s="437"/>
      <c r="AG116" s="437"/>
      <c r="AH116" s="437"/>
      <c r="AI116" s="437"/>
      <c r="AJ116" s="437"/>
      <c r="AK116" s="437"/>
      <c r="AL116" s="437"/>
      <c r="AM116" s="338"/>
      <c r="AO116" s="696">
        <f t="array" aca="1" ref="AO116" ca="1">IF($A116="S",IF(BM!$I116=0,0,CHOOSE(MATCH(RegimeExecucao,{"Global","Unitário"},0),ROUND(ROUND(BM.MEDAcumulado,15-13*BM!$A$9)/100*BM!$I116,15-13*ORÇAMENTO!$AF$11),ROUND(ROUND(BM.MEDAcumulado,15-13*BM!$A$9)*ROUND(BM!$H116,15-13*ORÇAMENTO!$AF$10),15-13*ORÇAMENTO!$AF$11))),IF($A116=0,0,ROUND(SomaAgrupBM,15-13*ORÇAMENTO!$AF$11)))</f>
        <v>0</v>
      </c>
    </row>
    <row r="117" spans="1:41" s="696" customFormat="1" ht="51" x14ac:dyDescent="0.2">
      <c r="A117" s="696" t="str">
        <f ca="1">ORÇAMENTO!C117</f>
        <v>S</v>
      </c>
      <c r="B117" s="696">
        <f ca="1">ORÇAMENTO!D117</f>
        <v>0</v>
      </c>
      <c r="C117" s="114" t="str">
        <f t="shared" ca="1" si="8"/>
        <v>F</v>
      </c>
      <c r="D117" s="117" t="str">
        <f ca="1">ORÇAMENTO!O117</f>
        <v>1.20.5.</v>
      </c>
      <c r="E117" s="163" t="str">
        <f t="shared" ca="1" si="9"/>
        <v>CONTRAPISO EM ARGAMASSA TRAÇO 1:4 (CIMENTO E AREIA), PREPARO MECÂNICO COM BETONEIRA 400 L, APLICADO EM ÁREAS MOLHADAS SOBRE LAJE, ADERIDO, ACABAMENTO NÃO REFORÇADO, ESPESSURA 3CM. AF_07/2021</v>
      </c>
      <c r="F117" s="164" t="str">
        <f t="array" aca="1" ref="F117" ca="1">IF(RegimeExecucao="Global","",ORÇAMENTO.Unidade)</f>
        <v>M2</v>
      </c>
      <c r="G117" s="122">
        <f t="array" aca="1" ref="G117" ca="1">IF(RegimeExecucao="Global","",ORÇAMENTO!T117)</f>
        <v>302.60000000000002</v>
      </c>
      <c r="H117" s="122">
        <f t="array" aca="1" ref="H117" ca="1">IF(RegimeExecucao="Global","",ORÇAMENTO!W117)</f>
        <v>65.38</v>
      </c>
      <c r="I117" s="125">
        <f ca="1">ORÇAMENTO!X117</f>
        <v>19784</v>
      </c>
      <c r="J117" s="333">
        <f t="array" aca="1" ref="J117" ca="1">IF($A117="S",IF(CAIXA.Modo,BM.AFAnterior,BM.MEDAnterior),IF(AND(RegimeExecucao="Global",$I117&gt;0,COUNTIF($AB$13:$AM$13,BM.medicao-1)&gt;0),M117/$I117*100,0))</f>
        <v>0</v>
      </c>
      <c r="K117" s="122">
        <f t="shared" ca="1" si="10"/>
        <v>0</v>
      </c>
      <c r="L117" s="334">
        <f t="array" aca="1" ref="L117" ca="1">IF($A117="S",IF(CAIXA.Modo,BM.AFAcumulado,BM.MEDAcumulado),IF(AND(RegimeExecucao="Global",$I117&gt;0,COUNTIF($AB$13:$AM$13,BM.medicao)&gt;0),O117/$I117*100,0))</f>
        <v>0</v>
      </c>
      <c r="M117" s="335">
        <f t="array" aca="1" ref="M117" ca="1">IF($A117="S",VTOTALBM,IF($A117=0,0,ROUND(SomaAgrupBM,15-13*ORÇAMENTO!$AF$11)))</f>
        <v>0</v>
      </c>
      <c r="N117" s="336">
        <f t="shared" ca="1" si="11"/>
        <v>0</v>
      </c>
      <c r="O117" s="125">
        <f t="array" aca="1" ref="O117" ca="1">IF($A117="S",VTOTALBM,IF($A117=0,0,ROUND(SomaAgrupBM,15-13*ORÇAMENTO!$AF$11)))</f>
        <v>0</v>
      </c>
      <c r="Q117" s="337"/>
      <c r="R117" s="338"/>
      <c r="T117" s="117" t="str">
        <f t="shared" ca="1" si="12"/>
        <v/>
      </c>
      <c r="U117" s="163" t="str">
        <f t="shared" ca="1" si="13"/>
        <v/>
      </c>
      <c r="V117" s="164" t="str">
        <f t="array" aca="1" ref="V117" ca="1">IF(AND($W117&gt;0,RegimeExecucao="Unitário"),$F117,"")</f>
        <v/>
      </c>
      <c r="W117" s="453">
        <f t="array" aca="1" ref="W117" ca="1">IF($Y117&gt;0,CHOOSE(MATCH(RegimeExecucao,{"Unitário","Global"},0),IF($A117="S",$Y117/$X117,""),($Y117/$X117)*100),0)</f>
        <v>0</v>
      </c>
      <c r="X117" s="339" t="str">
        <f t="array" aca="1" ref="X117" ca="1">IF($Y117&gt;0,CHOOSE(MATCH(RegimeExecucao,{"Unitário","Global"},0),IF($A117="S",ROUND($H117,ORÇAMENTO!$AF$10),""),ROUND($I117,ORÇAMENTO!$AF$11)),"")</f>
        <v/>
      </c>
      <c r="Y117" s="339">
        <f t="shared" ca="1" si="14"/>
        <v>0</v>
      </c>
      <c r="Z117" s="472"/>
      <c r="AB117" s="337"/>
      <c r="AC117" s="437"/>
      <c r="AD117" s="437"/>
      <c r="AE117" s="437"/>
      <c r="AF117" s="437"/>
      <c r="AG117" s="437"/>
      <c r="AH117" s="437"/>
      <c r="AI117" s="437"/>
      <c r="AJ117" s="437"/>
      <c r="AK117" s="437"/>
      <c r="AL117" s="437"/>
      <c r="AM117" s="338"/>
      <c r="AO117" s="696">
        <f t="array" aca="1" ref="AO117" ca="1">IF($A117="S",IF(BM!$I117=0,0,CHOOSE(MATCH(RegimeExecucao,{"Global","Unitário"},0),ROUND(ROUND(BM.MEDAcumulado,15-13*BM!$A$9)/100*BM!$I117,15-13*ORÇAMENTO!$AF$11),ROUND(ROUND(BM.MEDAcumulado,15-13*BM!$A$9)*ROUND(BM!$H117,15-13*ORÇAMENTO!$AF$10),15-13*ORÇAMENTO!$AF$11))),IF($A117=0,0,ROUND(SomaAgrupBM,15-13*ORÇAMENTO!$AF$11)))</f>
        <v>0</v>
      </c>
    </row>
    <row r="118" spans="1:41" s="696" customFormat="1" ht="51" x14ac:dyDescent="0.2">
      <c r="A118" s="696" t="str">
        <f ca="1">ORÇAMENTO!C118</f>
        <v>S</v>
      </c>
      <c r="B118" s="696">
        <f ca="1">ORÇAMENTO!D118</f>
        <v>0</v>
      </c>
      <c r="C118" s="114" t="str">
        <f t="shared" ca="1" si="8"/>
        <v>F</v>
      </c>
      <c r="D118" s="117" t="str">
        <f ca="1">ORÇAMENTO!O118</f>
        <v>1.20.6.</v>
      </c>
      <c r="E118" s="163" t="str">
        <f t="shared" ca="1" si="9"/>
        <v>CONTRAPISO EM ARGAMASSA TRAÇO 1:4 (CIMENTO E AREIA), PREPARO MECÂNICO COM BETONEIRA 400 L, APLICADO EM ÁREAS SECAS SOBRE LAJE, ADERIDO, ACABAMENTO NÃO REFORÇADO, ESPESSURA 3CM. AF_07/2021</v>
      </c>
      <c r="F118" s="164" t="str">
        <f t="array" aca="1" ref="F118" ca="1">IF(RegimeExecucao="Global","",ORÇAMENTO.Unidade)</f>
        <v>M2</v>
      </c>
      <c r="G118" s="122">
        <f t="array" aca="1" ref="G118" ca="1">IF(RegimeExecucao="Global","",ORÇAMENTO!T118)</f>
        <v>643.79999999999995</v>
      </c>
      <c r="H118" s="122">
        <f t="array" aca="1" ref="H118" ca="1">IF(RegimeExecucao="Global","",ORÇAMENTO!W118)</f>
        <v>50.22</v>
      </c>
      <c r="I118" s="125">
        <f ca="1">ORÇAMENTO!X118</f>
        <v>32331.64</v>
      </c>
      <c r="J118" s="333">
        <f t="array" aca="1" ref="J118" ca="1">IF($A118="S",IF(CAIXA.Modo,BM.AFAnterior,BM.MEDAnterior),IF(AND(RegimeExecucao="Global",$I118&gt;0,COUNTIF($AB$13:$AM$13,BM.medicao-1)&gt;0),M118/$I118*100,0))</f>
        <v>0</v>
      </c>
      <c r="K118" s="122">
        <f t="shared" ca="1" si="10"/>
        <v>0</v>
      </c>
      <c r="L118" s="334">
        <f t="array" aca="1" ref="L118" ca="1">IF($A118="S",IF(CAIXA.Modo,BM.AFAcumulado,BM.MEDAcumulado),IF(AND(RegimeExecucao="Global",$I118&gt;0,COUNTIF($AB$13:$AM$13,BM.medicao)&gt;0),O118/$I118*100,0))</f>
        <v>0</v>
      </c>
      <c r="M118" s="335">
        <f t="array" aca="1" ref="M118" ca="1">IF($A118="S",VTOTALBM,IF($A118=0,0,ROUND(SomaAgrupBM,15-13*ORÇAMENTO!$AF$11)))</f>
        <v>0</v>
      </c>
      <c r="N118" s="336">
        <f t="shared" ca="1" si="11"/>
        <v>0</v>
      </c>
      <c r="O118" s="125">
        <f t="array" aca="1" ref="O118" ca="1">IF($A118="S",VTOTALBM,IF($A118=0,0,ROUND(SomaAgrupBM,15-13*ORÇAMENTO!$AF$11)))</f>
        <v>0</v>
      </c>
      <c r="Q118" s="337"/>
      <c r="R118" s="338"/>
      <c r="T118" s="117" t="str">
        <f t="shared" ca="1" si="12"/>
        <v/>
      </c>
      <c r="U118" s="163" t="str">
        <f t="shared" ca="1" si="13"/>
        <v/>
      </c>
      <c r="V118" s="164" t="str">
        <f t="array" aca="1" ref="V118" ca="1">IF(AND($W118&gt;0,RegimeExecucao="Unitário"),$F118,"")</f>
        <v/>
      </c>
      <c r="W118" s="453">
        <f t="array" aca="1" ref="W118" ca="1">IF($Y118&gt;0,CHOOSE(MATCH(RegimeExecucao,{"Unitário","Global"},0),IF($A118="S",$Y118/$X118,""),($Y118/$X118)*100),0)</f>
        <v>0</v>
      </c>
      <c r="X118" s="339" t="str">
        <f t="array" aca="1" ref="X118" ca="1">IF($Y118&gt;0,CHOOSE(MATCH(RegimeExecucao,{"Unitário","Global"},0),IF($A118="S",ROUND($H118,ORÇAMENTO!$AF$10),""),ROUND($I118,ORÇAMENTO!$AF$11)),"")</f>
        <v/>
      </c>
      <c r="Y118" s="339">
        <f t="shared" ca="1" si="14"/>
        <v>0</v>
      </c>
      <c r="Z118" s="472"/>
      <c r="AB118" s="337"/>
      <c r="AC118" s="437"/>
      <c r="AD118" s="437"/>
      <c r="AE118" s="437"/>
      <c r="AF118" s="437"/>
      <c r="AG118" s="437"/>
      <c r="AH118" s="437"/>
      <c r="AI118" s="437"/>
      <c r="AJ118" s="437"/>
      <c r="AK118" s="437"/>
      <c r="AL118" s="437"/>
      <c r="AM118" s="338"/>
      <c r="AO118" s="696">
        <f t="array" aca="1" ref="AO118" ca="1">IF($A118="S",IF(BM!$I118=0,0,CHOOSE(MATCH(RegimeExecucao,{"Global","Unitário"},0),ROUND(ROUND(BM.MEDAcumulado,15-13*BM!$A$9)/100*BM!$I118,15-13*ORÇAMENTO!$AF$11),ROUND(ROUND(BM.MEDAcumulado,15-13*BM!$A$9)*ROUND(BM!$H118,15-13*ORÇAMENTO!$AF$10),15-13*ORÇAMENTO!$AF$11))),IF($A118=0,0,ROUND(SomaAgrupBM,15-13*ORÇAMENTO!$AF$11)))</f>
        <v>0</v>
      </c>
    </row>
    <row r="119" spans="1:41" s="696" customFormat="1" ht="38.25" x14ac:dyDescent="0.2">
      <c r="A119" s="696" t="str">
        <f ca="1">ORÇAMENTO!C119</f>
        <v>S</v>
      </c>
      <c r="B119" s="696">
        <f ca="1">ORÇAMENTO!D119</f>
        <v>0</v>
      </c>
      <c r="C119" s="114" t="str">
        <f t="shared" ca="1" si="8"/>
        <v>F</v>
      </c>
      <c r="D119" s="117" t="str">
        <f ca="1">ORÇAMENTO!O119</f>
        <v>1.20.7.</v>
      </c>
      <c r="E119" s="163" t="str">
        <f t="shared" ca="1" si="9"/>
        <v>REVESTIMENTO CERÂMICO PARA PISO COM PLACAS TIPO ESMALTADA DE DIMENSÕES 35X35 CM APLICADA EM AMBIENTES DE ÁREA ENTRE 5 M2 E 10 M2. AF_02/2023_PE</v>
      </c>
      <c r="F119" s="164" t="str">
        <f t="array" aca="1" ref="F119" ca="1">IF(RegimeExecucao="Global","",ORÇAMENTO.Unidade)</f>
        <v>M2</v>
      </c>
      <c r="G119" s="122">
        <f t="array" aca="1" ref="G119" ca="1">IF(RegimeExecucao="Global","",ORÇAMENTO!T119)</f>
        <v>336</v>
      </c>
      <c r="H119" s="122">
        <f t="array" aca="1" ref="H119" ca="1">IF(RegimeExecucao="Global","",ORÇAMENTO!W119)</f>
        <v>70.34</v>
      </c>
      <c r="I119" s="125">
        <f ca="1">ORÇAMENTO!X119</f>
        <v>23634.240000000002</v>
      </c>
      <c r="J119" s="333">
        <f t="array" aca="1" ref="J119" ca="1">IF($A119="S",IF(CAIXA.Modo,BM.AFAnterior,BM.MEDAnterior),IF(AND(RegimeExecucao="Global",$I119&gt;0,COUNTIF($AB$13:$AM$13,BM.medicao-1)&gt;0),M119/$I119*100,0))</f>
        <v>0</v>
      </c>
      <c r="K119" s="122">
        <f t="shared" ca="1" si="10"/>
        <v>0</v>
      </c>
      <c r="L119" s="334">
        <f t="array" aca="1" ref="L119" ca="1">IF($A119="S",IF(CAIXA.Modo,BM.AFAcumulado,BM.MEDAcumulado),IF(AND(RegimeExecucao="Global",$I119&gt;0,COUNTIF($AB$13:$AM$13,BM.medicao)&gt;0),O119/$I119*100,0))</f>
        <v>0</v>
      </c>
      <c r="M119" s="335">
        <f t="array" aca="1" ref="M119" ca="1">IF($A119="S",VTOTALBM,IF($A119=0,0,ROUND(SomaAgrupBM,15-13*ORÇAMENTO!$AF$11)))</f>
        <v>0</v>
      </c>
      <c r="N119" s="336">
        <f t="shared" ca="1" si="11"/>
        <v>0</v>
      </c>
      <c r="O119" s="125">
        <f t="array" aca="1" ref="O119" ca="1">IF($A119="S",VTOTALBM,IF($A119=0,0,ROUND(SomaAgrupBM,15-13*ORÇAMENTO!$AF$11)))</f>
        <v>0</v>
      </c>
      <c r="Q119" s="337"/>
      <c r="R119" s="338"/>
      <c r="T119" s="117" t="str">
        <f t="shared" ca="1" si="12"/>
        <v/>
      </c>
      <c r="U119" s="163" t="str">
        <f t="shared" ca="1" si="13"/>
        <v/>
      </c>
      <c r="V119" s="164" t="str">
        <f t="array" aca="1" ref="V119" ca="1">IF(AND($W119&gt;0,RegimeExecucao="Unitário"),$F119,"")</f>
        <v/>
      </c>
      <c r="W119" s="453">
        <f t="array" aca="1" ref="W119" ca="1">IF($Y119&gt;0,CHOOSE(MATCH(RegimeExecucao,{"Unitário","Global"},0),IF($A119="S",$Y119/$X119,""),($Y119/$X119)*100),0)</f>
        <v>0</v>
      </c>
      <c r="X119" s="339" t="str">
        <f t="array" aca="1" ref="X119" ca="1">IF($Y119&gt;0,CHOOSE(MATCH(RegimeExecucao,{"Unitário","Global"},0),IF($A119="S",ROUND($H119,ORÇAMENTO!$AF$10),""),ROUND($I119,ORÇAMENTO!$AF$11)),"")</f>
        <v/>
      </c>
      <c r="Y119" s="339">
        <f t="shared" ca="1" si="14"/>
        <v>0</v>
      </c>
      <c r="Z119" s="472"/>
      <c r="AB119" s="337"/>
      <c r="AC119" s="437"/>
      <c r="AD119" s="437"/>
      <c r="AE119" s="437"/>
      <c r="AF119" s="437"/>
      <c r="AG119" s="437"/>
      <c r="AH119" s="437"/>
      <c r="AI119" s="437"/>
      <c r="AJ119" s="437"/>
      <c r="AK119" s="437"/>
      <c r="AL119" s="437"/>
      <c r="AM119" s="338"/>
      <c r="AO119" s="696">
        <f t="array" aca="1" ref="AO119" ca="1">IF($A119="S",IF(BM!$I119=0,0,CHOOSE(MATCH(RegimeExecucao,{"Global","Unitário"},0),ROUND(ROUND(BM.MEDAcumulado,15-13*BM!$A$9)/100*BM!$I119,15-13*ORÇAMENTO!$AF$11),ROUND(ROUND(BM.MEDAcumulado,15-13*BM!$A$9)*ROUND(BM!$H119,15-13*ORÇAMENTO!$AF$10),15-13*ORÇAMENTO!$AF$11))),IF($A119=0,0,ROUND(SomaAgrupBM,15-13*ORÇAMENTO!$AF$11)))</f>
        <v>0</v>
      </c>
    </row>
    <row r="120" spans="1:41" s="696" customFormat="1" ht="38.25" x14ac:dyDescent="0.2">
      <c r="A120" s="696" t="str">
        <f ca="1">ORÇAMENTO!C120</f>
        <v>S</v>
      </c>
      <c r="B120" s="696">
        <f ca="1">ORÇAMENTO!D120</f>
        <v>0</v>
      </c>
      <c r="C120" s="114" t="str">
        <f t="shared" ca="1" si="8"/>
        <v>F</v>
      </c>
      <c r="D120" s="117" t="str">
        <f ca="1">ORÇAMENTO!O120</f>
        <v>1.20.8.</v>
      </c>
      <c r="E120" s="163" t="str">
        <f t="shared" ca="1" si="9"/>
        <v>REVESTIMENTO CERÂMICO PARA PISO COM PLACAS TIPO ESMALTADA DE DIMENSÕES 35X35 CM APLICADA EM AMBIENTES DE ÁREA MAIOR QUE 10 M2. AF_02/2023_PE</v>
      </c>
      <c r="F120" s="164" t="str">
        <f t="array" aca="1" ref="F120" ca="1">IF(RegimeExecucao="Global","",ORÇAMENTO.Unidade)</f>
        <v>M2</v>
      </c>
      <c r="G120" s="122">
        <f t="array" aca="1" ref="G120" ca="1">IF(RegimeExecucao="Global","",ORÇAMENTO!T120)</f>
        <v>382</v>
      </c>
      <c r="H120" s="122">
        <f t="array" aca="1" ref="H120" ca="1">IF(RegimeExecucao="Global","",ORÇAMENTO!W120)</f>
        <v>60.63</v>
      </c>
      <c r="I120" s="125">
        <f ca="1">ORÇAMENTO!X120</f>
        <v>23160.68</v>
      </c>
      <c r="J120" s="333">
        <f t="array" aca="1" ref="J120" ca="1">IF($A120="S",IF(CAIXA.Modo,BM.AFAnterior,BM.MEDAnterior),IF(AND(RegimeExecucao="Global",$I120&gt;0,COUNTIF($AB$13:$AM$13,BM.medicao-1)&gt;0),M120/$I120*100,0))</f>
        <v>0</v>
      </c>
      <c r="K120" s="122">
        <f t="shared" ca="1" si="10"/>
        <v>0</v>
      </c>
      <c r="L120" s="334">
        <f t="array" aca="1" ref="L120" ca="1">IF($A120="S",IF(CAIXA.Modo,BM.AFAcumulado,BM.MEDAcumulado),IF(AND(RegimeExecucao="Global",$I120&gt;0,COUNTIF($AB$13:$AM$13,BM.medicao)&gt;0),O120/$I120*100,0))</f>
        <v>0</v>
      </c>
      <c r="M120" s="335">
        <f t="array" aca="1" ref="M120" ca="1">IF($A120="S",VTOTALBM,IF($A120=0,0,ROUND(SomaAgrupBM,15-13*ORÇAMENTO!$AF$11)))</f>
        <v>0</v>
      </c>
      <c r="N120" s="336">
        <f t="shared" ca="1" si="11"/>
        <v>0</v>
      </c>
      <c r="O120" s="125">
        <f t="array" aca="1" ref="O120" ca="1">IF($A120="S",VTOTALBM,IF($A120=0,0,ROUND(SomaAgrupBM,15-13*ORÇAMENTO!$AF$11)))</f>
        <v>0</v>
      </c>
      <c r="Q120" s="337"/>
      <c r="R120" s="338"/>
      <c r="T120" s="117" t="str">
        <f t="shared" ca="1" si="12"/>
        <v/>
      </c>
      <c r="U120" s="163" t="str">
        <f t="shared" ca="1" si="13"/>
        <v/>
      </c>
      <c r="V120" s="164" t="str">
        <f t="array" aca="1" ref="V120" ca="1">IF(AND($W120&gt;0,RegimeExecucao="Unitário"),$F120,"")</f>
        <v/>
      </c>
      <c r="W120" s="453">
        <f t="array" aca="1" ref="W120" ca="1">IF($Y120&gt;0,CHOOSE(MATCH(RegimeExecucao,{"Unitário","Global"},0),IF($A120="S",$Y120/$X120,""),($Y120/$X120)*100),0)</f>
        <v>0</v>
      </c>
      <c r="X120" s="339" t="str">
        <f t="array" aca="1" ref="X120" ca="1">IF($Y120&gt;0,CHOOSE(MATCH(RegimeExecucao,{"Unitário","Global"},0),IF($A120="S",ROUND($H120,ORÇAMENTO!$AF$10),""),ROUND($I120,ORÇAMENTO!$AF$11)),"")</f>
        <v/>
      </c>
      <c r="Y120" s="339">
        <f t="shared" ca="1" si="14"/>
        <v>0</v>
      </c>
      <c r="Z120" s="472"/>
      <c r="AB120" s="337"/>
      <c r="AC120" s="437"/>
      <c r="AD120" s="437"/>
      <c r="AE120" s="437"/>
      <c r="AF120" s="437"/>
      <c r="AG120" s="437"/>
      <c r="AH120" s="437"/>
      <c r="AI120" s="437"/>
      <c r="AJ120" s="437"/>
      <c r="AK120" s="437"/>
      <c r="AL120" s="437"/>
      <c r="AM120" s="338"/>
      <c r="AO120" s="696">
        <f t="array" aca="1" ref="AO120" ca="1">IF($A120="S",IF(BM!$I120=0,0,CHOOSE(MATCH(RegimeExecucao,{"Global","Unitário"},0),ROUND(ROUND(BM.MEDAcumulado,15-13*BM!$A$9)/100*BM!$I120,15-13*ORÇAMENTO!$AF$11),ROUND(ROUND(BM.MEDAcumulado,15-13*BM!$A$9)*ROUND(BM!$H120,15-13*ORÇAMENTO!$AF$10),15-13*ORÇAMENTO!$AF$11))),IF($A120=0,0,ROUND(SomaAgrupBM,15-13*ORÇAMENTO!$AF$11)))</f>
        <v>0</v>
      </c>
    </row>
    <row r="121" spans="1:41" s="696" customFormat="1" ht="38.25" x14ac:dyDescent="0.2">
      <c r="A121" s="696" t="str">
        <f ca="1">ORÇAMENTO!C121</f>
        <v>S</v>
      </c>
      <c r="B121" s="696">
        <f ca="1">ORÇAMENTO!D121</f>
        <v>0</v>
      </c>
      <c r="C121" s="114" t="str">
        <f t="shared" ca="1" si="8"/>
        <v>F</v>
      </c>
      <c r="D121" s="117" t="str">
        <f ca="1">ORÇAMENTO!O121</f>
        <v>1.20.9.</v>
      </c>
      <c r="E121" s="163" t="str">
        <f t="shared" ca="1" si="9"/>
        <v>REVESTIMENTO CERÂMICO PARA PISO COM PLACAS TIPO ESMALTADA DE DIMENSÕES 35X35 CM APLICADA EM AMBIENTES DE ÁREA MENOR QUE 5 M2. AF_02/2023_PE</v>
      </c>
      <c r="F121" s="164" t="str">
        <f t="array" aca="1" ref="F121" ca="1">IF(RegimeExecucao="Global","",ORÇAMENTO.Unidade)</f>
        <v>M2</v>
      </c>
      <c r="G121" s="122">
        <f t="array" aca="1" ref="G121" ca="1">IF(RegimeExecucao="Global","",ORÇAMENTO!T121)</f>
        <v>259.60000000000002</v>
      </c>
      <c r="H121" s="122">
        <f t="array" aca="1" ref="H121" ca="1">IF(RegimeExecucao="Global","",ORÇAMENTO!W121)</f>
        <v>79.5</v>
      </c>
      <c r="I121" s="125">
        <f ca="1">ORÇAMENTO!X121</f>
        <v>20638.2</v>
      </c>
      <c r="J121" s="333">
        <f t="array" aca="1" ref="J121" ca="1">IF($A121="S",IF(CAIXA.Modo,BM.AFAnterior,BM.MEDAnterior),IF(AND(RegimeExecucao="Global",$I121&gt;0,COUNTIF($AB$13:$AM$13,BM.medicao-1)&gt;0),M121/$I121*100,0))</f>
        <v>0</v>
      </c>
      <c r="K121" s="122">
        <f t="shared" ca="1" si="10"/>
        <v>0</v>
      </c>
      <c r="L121" s="334">
        <f t="array" aca="1" ref="L121" ca="1">IF($A121="S",IF(CAIXA.Modo,BM.AFAcumulado,BM.MEDAcumulado),IF(AND(RegimeExecucao="Global",$I121&gt;0,COUNTIF($AB$13:$AM$13,BM.medicao)&gt;0),O121/$I121*100,0))</f>
        <v>0</v>
      </c>
      <c r="M121" s="335">
        <f t="array" aca="1" ref="M121" ca="1">IF($A121="S",VTOTALBM,IF($A121=0,0,ROUND(SomaAgrupBM,15-13*ORÇAMENTO!$AF$11)))</f>
        <v>0</v>
      </c>
      <c r="N121" s="336">
        <f t="shared" ca="1" si="11"/>
        <v>0</v>
      </c>
      <c r="O121" s="125">
        <f t="array" aca="1" ref="O121" ca="1">IF($A121="S",VTOTALBM,IF($A121=0,0,ROUND(SomaAgrupBM,15-13*ORÇAMENTO!$AF$11)))</f>
        <v>0</v>
      </c>
      <c r="Q121" s="337"/>
      <c r="R121" s="338"/>
      <c r="T121" s="117" t="str">
        <f t="shared" ca="1" si="12"/>
        <v/>
      </c>
      <c r="U121" s="163" t="str">
        <f t="shared" ca="1" si="13"/>
        <v/>
      </c>
      <c r="V121" s="164" t="str">
        <f t="array" aca="1" ref="V121" ca="1">IF(AND($W121&gt;0,RegimeExecucao="Unitário"),$F121,"")</f>
        <v/>
      </c>
      <c r="W121" s="453">
        <f t="array" aca="1" ref="W121" ca="1">IF($Y121&gt;0,CHOOSE(MATCH(RegimeExecucao,{"Unitário","Global"},0),IF($A121="S",$Y121/$X121,""),($Y121/$X121)*100),0)</f>
        <v>0</v>
      </c>
      <c r="X121" s="339" t="str">
        <f t="array" aca="1" ref="X121" ca="1">IF($Y121&gt;0,CHOOSE(MATCH(RegimeExecucao,{"Unitário","Global"},0),IF($A121="S",ROUND($H121,ORÇAMENTO!$AF$10),""),ROUND($I121,ORÇAMENTO!$AF$11)),"")</f>
        <v/>
      </c>
      <c r="Y121" s="339">
        <f t="shared" ca="1" si="14"/>
        <v>0</v>
      </c>
      <c r="Z121" s="472"/>
      <c r="AB121" s="337"/>
      <c r="AC121" s="437"/>
      <c r="AD121" s="437"/>
      <c r="AE121" s="437"/>
      <c r="AF121" s="437"/>
      <c r="AG121" s="437"/>
      <c r="AH121" s="437"/>
      <c r="AI121" s="437"/>
      <c r="AJ121" s="437"/>
      <c r="AK121" s="437"/>
      <c r="AL121" s="437"/>
      <c r="AM121" s="338"/>
      <c r="AO121" s="696">
        <f t="array" aca="1" ref="AO121" ca="1">IF($A121="S",IF(BM!$I121=0,0,CHOOSE(MATCH(RegimeExecucao,{"Global","Unitário"},0),ROUND(ROUND(BM.MEDAcumulado,15-13*BM!$A$9)/100*BM!$I121,15-13*ORÇAMENTO!$AF$11),ROUND(ROUND(BM.MEDAcumulado,15-13*BM!$A$9)*ROUND(BM!$H121,15-13*ORÇAMENTO!$AF$10),15-13*ORÇAMENTO!$AF$11))),IF($A121=0,0,ROUND(SomaAgrupBM,15-13*ORÇAMENTO!$AF$11)))</f>
        <v>0</v>
      </c>
    </row>
    <row r="122" spans="1:41" s="696" customFormat="1" x14ac:dyDescent="0.2">
      <c r="A122" s="696">
        <f ca="1">ORÇAMENTO!C122</f>
        <v>2</v>
      </c>
      <c r="B122" s="696">
        <f ca="1">ORÇAMENTO!D122</f>
        <v>3</v>
      </c>
      <c r="C122" s="114" t="str">
        <f t="shared" ca="1" si="8"/>
        <v>F</v>
      </c>
      <c r="D122" s="117" t="str">
        <f ca="1">ORÇAMENTO!O122</f>
        <v>1.21.</v>
      </c>
      <c r="E122" s="163" t="str">
        <f t="shared" si="9"/>
        <v>CIMENTADOS</v>
      </c>
      <c r="F122" s="164" t="str">
        <f t="array" aca="1" ref="F122" ca="1">IF(RegimeExecucao="Global","",ORÇAMENTO.Unidade)</f>
        <v>-</v>
      </c>
      <c r="G122" s="122">
        <f t="array" aca="1" ref="G122" ca="1">IF(RegimeExecucao="Global","",ORÇAMENTO!T122)</f>
        <v>0</v>
      </c>
      <c r="H122" s="122">
        <f t="array" aca="1" ref="H122" ca="1">IF(RegimeExecucao="Global","",ORÇAMENTO!W122)</f>
        <v>0</v>
      </c>
      <c r="I122" s="125">
        <f ca="1">ORÇAMENTO!X122</f>
        <v>22365.16</v>
      </c>
      <c r="J122" s="333">
        <f t="array" aca="1" ref="J122" ca="1">IF($A122="S",IF(CAIXA.Modo,BM.AFAnterior,BM.MEDAnterior),IF(AND(RegimeExecucao="Global",$I122&gt;0,COUNTIF($AB$13:$AM$13,BM.medicao-1)&gt;0),M122/$I122*100,0))</f>
        <v>0</v>
      </c>
      <c r="K122" s="122">
        <f t="shared" ca="1" si="10"/>
        <v>0</v>
      </c>
      <c r="L122" s="334">
        <f t="array" aca="1" ref="L122" ca="1">IF($A122="S",IF(CAIXA.Modo,BM.AFAcumulado,BM.MEDAcumulado),IF(AND(RegimeExecucao="Global",$I122&gt;0,COUNTIF($AB$13:$AM$13,BM.medicao)&gt;0),O122/$I122*100,0))</f>
        <v>0</v>
      </c>
      <c r="M122" s="335">
        <f t="array" aca="1" ref="M122" ca="1">IF($A122="S",VTOTALBM,IF($A122=0,0,ROUND(SomaAgrupBM,15-13*ORÇAMENTO!$AF$11)))</f>
        <v>0</v>
      </c>
      <c r="N122" s="336">
        <f t="shared" ca="1" si="11"/>
        <v>0</v>
      </c>
      <c r="O122" s="125">
        <f t="array" aca="1" ref="O122" ca="1">IF($A122="S",VTOTALBM,IF($A122=0,0,ROUND(SomaAgrupBM,15-13*ORÇAMENTO!$AF$11)))</f>
        <v>0</v>
      </c>
      <c r="Q122" s="337"/>
      <c r="R122" s="338"/>
      <c r="T122" s="117" t="str">
        <f t="shared" ca="1" si="12"/>
        <v/>
      </c>
      <c r="U122" s="163" t="str">
        <f t="shared" ca="1" si="13"/>
        <v/>
      </c>
      <c r="V122" s="164" t="str">
        <f t="array" aca="1" ref="V122" ca="1">IF(AND($W122&gt;0,RegimeExecucao="Unitário"),$F122,"")</f>
        <v/>
      </c>
      <c r="W122" s="453">
        <f t="array" aca="1" ref="W122" ca="1">IF($Y122&gt;0,CHOOSE(MATCH(RegimeExecucao,{"Unitário","Global"},0),IF($A122="S",$Y122/$X122,""),($Y122/$X122)*100),0)</f>
        <v>0</v>
      </c>
      <c r="X122" s="339" t="str">
        <f t="array" aca="1" ref="X122" ca="1">IF($Y122&gt;0,CHOOSE(MATCH(RegimeExecucao,{"Unitário","Global"},0),IF($A122="S",ROUND($H122,ORÇAMENTO!$AF$10),""),ROUND($I122,ORÇAMENTO!$AF$11)),"")</f>
        <v/>
      </c>
      <c r="Y122" s="339">
        <f t="shared" ca="1" si="14"/>
        <v>0</v>
      </c>
      <c r="Z122" s="472"/>
      <c r="AB122" s="337"/>
      <c r="AC122" s="437"/>
      <c r="AD122" s="437"/>
      <c r="AE122" s="437"/>
      <c r="AF122" s="437"/>
      <c r="AG122" s="437"/>
      <c r="AH122" s="437"/>
      <c r="AI122" s="437"/>
      <c r="AJ122" s="437"/>
      <c r="AK122" s="437"/>
      <c r="AL122" s="437"/>
      <c r="AM122" s="338"/>
      <c r="AO122" s="696">
        <f t="array" aca="1" ref="AO122" ca="1">IF($A122="S",IF(BM!$I122=0,0,CHOOSE(MATCH(RegimeExecucao,{"Global","Unitário"},0),ROUND(ROUND(BM.MEDAcumulado,15-13*BM!$A$9)/100*BM!$I122,15-13*ORÇAMENTO!$AF$11),ROUND(ROUND(BM.MEDAcumulado,15-13*BM!$A$9)*ROUND(BM!$H122,15-13*ORÇAMENTO!$AF$10),15-13*ORÇAMENTO!$AF$11))),IF($A122=0,0,ROUND(SomaAgrupBM,15-13*ORÇAMENTO!$AF$11)))</f>
        <v>0</v>
      </c>
    </row>
    <row r="123" spans="1:41" s="696" customFormat="1" ht="38.25" x14ac:dyDescent="0.2">
      <c r="A123" s="696" t="str">
        <f ca="1">ORÇAMENTO!C123</f>
        <v>S</v>
      </c>
      <c r="B123" s="696">
        <f ca="1">ORÇAMENTO!D123</f>
        <v>0</v>
      </c>
      <c r="C123" s="114" t="str">
        <f t="shared" ca="1" si="8"/>
        <v>F</v>
      </c>
      <c r="D123" s="117" t="str">
        <f ca="1">ORÇAMENTO!O123</f>
        <v>1.21.1.</v>
      </c>
      <c r="E123" s="163" t="str">
        <f t="shared" ca="1" si="9"/>
        <v>COMPACTAÇÃO MECÂNICA DE SOLO PARA EXECUÇÃO DE RADIER, PISO DE CONCRETO OU LAJE SOBRE SOLO, COM COMPACTADOR DE SOLOS TIPO PLACA VIBRATÓRIA. AF_09/2021</v>
      </c>
      <c r="F123" s="164" t="str">
        <f t="array" aca="1" ref="F123" ca="1">IF(RegimeExecucao="Global","",ORÇAMENTO.Unidade)</f>
        <v>M2</v>
      </c>
      <c r="G123" s="122">
        <f t="array" aca="1" ref="G123" ca="1">IF(RegimeExecucao="Global","",ORÇAMENTO!T123)</f>
        <v>323</v>
      </c>
      <c r="H123" s="122">
        <f t="array" aca="1" ref="H123" ca="1">IF(RegimeExecucao="Global","",ORÇAMENTO!W123)</f>
        <v>0.85</v>
      </c>
      <c r="I123" s="125">
        <f ca="1">ORÇAMENTO!X123</f>
        <v>274.56</v>
      </c>
      <c r="J123" s="333">
        <f t="array" aca="1" ref="J123" ca="1">IF($A123="S",IF(CAIXA.Modo,BM.AFAnterior,BM.MEDAnterior),IF(AND(RegimeExecucao="Global",$I123&gt;0,COUNTIF($AB$13:$AM$13,BM.medicao-1)&gt;0),M123/$I123*100,0))</f>
        <v>0</v>
      </c>
      <c r="K123" s="122">
        <f t="shared" ca="1" si="10"/>
        <v>0</v>
      </c>
      <c r="L123" s="334">
        <f t="array" aca="1" ref="L123" ca="1">IF($A123="S",IF(CAIXA.Modo,BM.AFAcumulado,BM.MEDAcumulado),IF(AND(RegimeExecucao="Global",$I123&gt;0,COUNTIF($AB$13:$AM$13,BM.medicao)&gt;0),O123/$I123*100,0))</f>
        <v>0</v>
      </c>
      <c r="M123" s="335">
        <f t="array" aca="1" ref="M123" ca="1">IF($A123="S",VTOTALBM,IF($A123=0,0,ROUND(SomaAgrupBM,15-13*ORÇAMENTO!$AF$11)))</f>
        <v>0</v>
      </c>
      <c r="N123" s="336">
        <f t="shared" ca="1" si="11"/>
        <v>0</v>
      </c>
      <c r="O123" s="125">
        <f t="array" aca="1" ref="O123" ca="1">IF($A123="S",VTOTALBM,IF($A123=0,0,ROUND(SomaAgrupBM,15-13*ORÇAMENTO!$AF$11)))</f>
        <v>0</v>
      </c>
      <c r="Q123" s="337"/>
      <c r="R123" s="338"/>
      <c r="T123" s="117" t="str">
        <f t="shared" ca="1" si="12"/>
        <v/>
      </c>
      <c r="U123" s="163" t="str">
        <f t="shared" ca="1" si="13"/>
        <v/>
      </c>
      <c r="V123" s="164" t="str">
        <f t="array" aca="1" ref="V123" ca="1">IF(AND($W123&gt;0,RegimeExecucao="Unitário"),$F123,"")</f>
        <v/>
      </c>
      <c r="W123" s="453">
        <f t="array" aca="1" ref="W123" ca="1">IF($Y123&gt;0,CHOOSE(MATCH(RegimeExecucao,{"Unitário","Global"},0),IF($A123="S",$Y123/$X123,""),($Y123/$X123)*100),0)</f>
        <v>0</v>
      </c>
      <c r="X123" s="339" t="str">
        <f t="array" aca="1" ref="X123" ca="1">IF($Y123&gt;0,CHOOSE(MATCH(RegimeExecucao,{"Unitário","Global"},0),IF($A123="S",ROUND($H123,ORÇAMENTO!$AF$10),""),ROUND($I123,ORÇAMENTO!$AF$11)),"")</f>
        <v/>
      </c>
      <c r="Y123" s="339">
        <f t="shared" ca="1" si="14"/>
        <v>0</v>
      </c>
      <c r="Z123" s="472"/>
      <c r="AB123" s="337"/>
      <c r="AC123" s="437"/>
      <c r="AD123" s="437"/>
      <c r="AE123" s="437"/>
      <c r="AF123" s="437"/>
      <c r="AG123" s="437"/>
      <c r="AH123" s="437"/>
      <c r="AI123" s="437"/>
      <c r="AJ123" s="437"/>
      <c r="AK123" s="437"/>
      <c r="AL123" s="437"/>
      <c r="AM123" s="338"/>
      <c r="AO123" s="696">
        <f t="array" aca="1" ref="AO123" ca="1">IF($A123="S",IF(BM!$I123=0,0,CHOOSE(MATCH(RegimeExecucao,{"Global","Unitário"},0),ROUND(ROUND(BM.MEDAcumulado,15-13*BM!$A$9)/100*BM!$I123,15-13*ORÇAMENTO!$AF$11),ROUND(ROUND(BM.MEDAcumulado,15-13*BM!$A$9)*ROUND(BM!$H123,15-13*ORÇAMENTO!$AF$10),15-13*ORÇAMENTO!$AF$11))),IF($A123=0,0,ROUND(SomaAgrupBM,15-13*ORÇAMENTO!$AF$11)))</f>
        <v>0</v>
      </c>
    </row>
    <row r="124" spans="1:41" s="696" customFormat="1" ht="38.25" x14ac:dyDescent="0.2">
      <c r="A124" s="696" t="str">
        <f ca="1">ORÇAMENTO!C124</f>
        <v>S</v>
      </c>
      <c r="B124" s="696">
        <f ca="1">ORÇAMENTO!D124</f>
        <v>0</v>
      </c>
      <c r="C124" s="114" t="str">
        <f t="shared" ca="1" si="8"/>
        <v>F</v>
      </c>
      <c r="D124" s="117" t="str">
        <f ca="1">ORÇAMENTO!O124</f>
        <v>1.21.2.</v>
      </c>
      <c r="E124" s="163" t="str">
        <f t="shared" ca="1" si="9"/>
        <v>EXECUÇÃO DE PASSEIO (CALÇADA) OU PISO DE CONCRETO COM CONCRETO MOLDADO IN LOCO, FEITO EM OBRA, ACABAMENTO CONVENCIONAL, NÃO ARMADO. AF_08/2022</v>
      </c>
      <c r="F124" s="164" t="str">
        <f t="array" aca="1" ref="F124" ca="1">IF(RegimeExecucao="Global","",ORÇAMENTO.Unidade)</f>
        <v>M3</v>
      </c>
      <c r="G124" s="122">
        <f t="array" aca="1" ref="G124" ca="1">IF(RegimeExecucao="Global","",ORÇAMENTO!T124)</f>
        <v>22.6</v>
      </c>
      <c r="H124" s="122">
        <f t="array" aca="1" ref="H124" ca="1">IF(RegimeExecucao="Global","",ORÇAMENTO!W124)</f>
        <v>977.46</v>
      </c>
      <c r="I124" s="125">
        <f ca="1">ORÇAMENTO!X124</f>
        <v>22090.6</v>
      </c>
      <c r="J124" s="333">
        <f t="array" aca="1" ref="J124" ca="1">IF($A124="S",IF(CAIXA.Modo,BM.AFAnterior,BM.MEDAnterior),IF(AND(RegimeExecucao="Global",$I124&gt;0,COUNTIF($AB$13:$AM$13,BM.medicao-1)&gt;0),M124/$I124*100,0))</f>
        <v>0</v>
      </c>
      <c r="K124" s="122">
        <f t="shared" ca="1" si="10"/>
        <v>0</v>
      </c>
      <c r="L124" s="334">
        <f t="array" aca="1" ref="L124" ca="1">IF($A124="S",IF(CAIXA.Modo,BM.AFAcumulado,BM.MEDAcumulado),IF(AND(RegimeExecucao="Global",$I124&gt;0,COUNTIF($AB$13:$AM$13,BM.medicao)&gt;0),O124/$I124*100,0))</f>
        <v>0</v>
      </c>
      <c r="M124" s="335">
        <f t="array" aca="1" ref="M124" ca="1">IF($A124="S",VTOTALBM,IF($A124=0,0,ROUND(SomaAgrupBM,15-13*ORÇAMENTO!$AF$11)))</f>
        <v>0</v>
      </c>
      <c r="N124" s="336">
        <f t="shared" ca="1" si="11"/>
        <v>0</v>
      </c>
      <c r="O124" s="125">
        <f t="array" aca="1" ref="O124" ca="1">IF($A124="S",VTOTALBM,IF($A124=0,0,ROUND(SomaAgrupBM,15-13*ORÇAMENTO!$AF$11)))</f>
        <v>0</v>
      </c>
      <c r="Q124" s="337"/>
      <c r="R124" s="338"/>
      <c r="T124" s="117" t="str">
        <f t="shared" ca="1" si="12"/>
        <v/>
      </c>
      <c r="U124" s="163" t="str">
        <f t="shared" ca="1" si="13"/>
        <v/>
      </c>
      <c r="V124" s="164" t="str">
        <f t="array" aca="1" ref="V124" ca="1">IF(AND($W124&gt;0,RegimeExecucao="Unitário"),$F124,"")</f>
        <v/>
      </c>
      <c r="W124" s="453">
        <f t="array" aca="1" ref="W124" ca="1">IF($Y124&gt;0,CHOOSE(MATCH(RegimeExecucao,{"Unitário","Global"},0),IF($A124="S",$Y124/$X124,""),($Y124/$X124)*100),0)</f>
        <v>0</v>
      </c>
      <c r="X124" s="339" t="str">
        <f t="array" aca="1" ref="X124" ca="1">IF($Y124&gt;0,CHOOSE(MATCH(RegimeExecucao,{"Unitário","Global"},0),IF($A124="S",ROUND($H124,ORÇAMENTO!$AF$10),""),ROUND($I124,ORÇAMENTO!$AF$11)),"")</f>
        <v/>
      </c>
      <c r="Y124" s="339">
        <f t="shared" ca="1" si="14"/>
        <v>0</v>
      </c>
      <c r="Z124" s="472"/>
      <c r="AB124" s="337"/>
      <c r="AC124" s="437"/>
      <c r="AD124" s="437"/>
      <c r="AE124" s="437"/>
      <c r="AF124" s="437"/>
      <c r="AG124" s="437"/>
      <c r="AH124" s="437"/>
      <c r="AI124" s="437"/>
      <c r="AJ124" s="437"/>
      <c r="AK124" s="437"/>
      <c r="AL124" s="437"/>
      <c r="AM124" s="338"/>
      <c r="AO124" s="696">
        <f t="array" aca="1" ref="AO124" ca="1">IF($A124="S",IF(BM!$I124=0,0,CHOOSE(MATCH(RegimeExecucao,{"Global","Unitário"},0),ROUND(ROUND(BM.MEDAcumulado,15-13*BM!$A$9)/100*BM!$I124,15-13*ORÇAMENTO!$AF$11),ROUND(ROUND(BM.MEDAcumulado,15-13*BM!$A$9)*ROUND(BM!$H124,15-13*ORÇAMENTO!$AF$10),15-13*ORÇAMENTO!$AF$11))),IF($A124=0,0,ROUND(SomaAgrupBM,15-13*ORÇAMENTO!$AF$11)))</f>
        <v>0</v>
      </c>
    </row>
    <row r="125" spans="1:41" s="696" customFormat="1" x14ac:dyDescent="0.2">
      <c r="A125" s="696">
        <f ca="1">ORÇAMENTO!C125</f>
        <v>2</v>
      </c>
      <c r="B125" s="696">
        <f ca="1">ORÇAMENTO!D125</f>
        <v>4</v>
      </c>
      <c r="C125" s="114" t="str">
        <f t="shared" ca="1" si="8"/>
        <v>F</v>
      </c>
      <c r="D125" s="117" t="str">
        <f ca="1">ORÇAMENTO!O125</f>
        <v>1.22.</v>
      </c>
      <c r="E125" s="163" t="str">
        <f t="shared" si="9"/>
        <v>RODAPÉS, SOLEIRAS E PEITORIS</v>
      </c>
      <c r="F125" s="164" t="str">
        <f t="array" aca="1" ref="F125" ca="1">IF(RegimeExecucao="Global","",ORÇAMENTO.Unidade)</f>
        <v>-</v>
      </c>
      <c r="G125" s="122">
        <f t="array" aca="1" ref="G125" ca="1">IF(RegimeExecucao="Global","",ORÇAMENTO!T125)</f>
        <v>0</v>
      </c>
      <c r="H125" s="122">
        <f t="array" aca="1" ref="H125" ca="1">IF(RegimeExecucao="Global","",ORÇAMENTO!W125)</f>
        <v>0</v>
      </c>
      <c r="I125" s="125">
        <f ca="1">ORÇAMENTO!X125</f>
        <v>29004.400000000001</v>
      </c>
      <c r="J125" s="333">
        <f t="array" aca="1" ref="J125" ca="1">IF($A125="S",IF(CAIXA.Modo,BM.AFAnterior,BM.MEDAnterior),IF(AND(RegimeExecucao="Global",$I125&gt;0,COUNTIF($AB$13:$AM$13,BM.medicao-1)&gt;0),M125/$I125*100,0))</f>
        <v>0</v>
      </c>
      <c r="K125" s="122">
        <f t="shared" ca="1" si="10"/>
        <v>0</v>
      </c>
      <c r="L125" s="334">
        <f t="array" aca="1" ref="L125" ca="1">IF($A125="S",IF(CAIXA.Modo,BM.AFAcumulado,BM.MEDAcumulado),IF(AND(RegimeExecucao="Global",$I125&gt;0,COUNTIF($AB$13:$AM$13,BM.medicao)&gt;0),O125/$I125*100,0))</f>
        <v>0</v>
      </c>
      <c r="M125" s="335">
        <f t="array" aca="1" ref="M125" ca="1">IF($A125="S",VTOTALBM,IF($A125=0,0,ROUND(SomaAgrupBM,15-13*ORÇAMENTO!$AF$11)))</f>
        <v>0</v>
      </c>
      <c r="N125" s="336">
        <f t="shared" ca="1" si="11"/>
        <v>0</v>
      </c>
      <c r="O125" s="125">
        <f t="array" aca="1" ref="O125" ca="1">IF($A125="S",VTOTALBM,IF($A125=0,0,ROUND(SomaAgrupBM,15-13*ORÇAMENTO!$AF$11)))</f>
        <v>0</v>
      </c>
      <c r="Q125" s="337"/>
      <c r="R125" s="338"/>
      <c r="T125" s="117" t="str">
        <f t="shared" ca="1" si="12"/>
        <v/>
      </c>
      <c r="U125" s="163" t="str">
        <f t="shared" ca="1" si="13"/>
        <v/>
      </c>
      <c r="V125" s="164" t="str">
        <f t="array" aca="1" ref="V125" ca="1">IF(AND($W125&gt;0,RegimeExecucao="Unitário"),$F125,"")</f>
        <v/>
      </c>
      <c r="W125" s="453">
        <f t="array" aca="1" ref="W125" ca="1">IF($Y125&gt;0,CHOOSE(MATCH(RegimeExecucao,{"Unitário","Global"},0),IF($A125="S",$Y125/$X125,""),($Y125/$X125)*100),0)</f>
        <v>0</v>
      </c>
      <c r="X125" s="339" t="str">
        <f t="array" aca="1" ref="X125" ca="1">IF($Y125&gt;0,CHOOSE(MATCH(RegimeExecucao,{"Unitário","Global"},0),IF($A125="S",ROUND($H125,ORÇAMENTO!$AF$10),""),ROUND($I125,ORÇAMENTO!$AF$11)),"")</f>
        <v/>
      </c>
      <c r="Y125" s="339">
        <f t="shared" ca="1" si="14"/>
        <v>0</v>
      </c>
      <c r="Z125" s="472"/>
      <c r="AB125" s="337"/>
      <c r="AC125" s="437"/>
      <c r="AD125" s="437"/>
      <c r="AE125" s="437"/>
      <c r="AF125" s="437"/>
      <c r="AG125" s="437"/>
      <c r="AH125" s="437"/>
      <c r="AI125" s="437"/>
      <c r="AJ125" s="437"/>
      <c r="AK125" s="437"/>
      <c r="AL125" s="437"/>
      <c r="AM125" s="338"/>
      <c r="AO125" s="696">
        <f t="array" aca="1" ref="AO125" ca="1">IF($A125="S",IF(BM!$I125=0,0,CHOOSE(MATCH(RegimeExecucao,{"Global","Unitário"},0),ROUND(ROUND(BM.MEDAcumulado,15-13*BM!$A$9)/100*BM!$I125,15-13*ORÇAMENTO!$AF$11),ROUND(ROUND(BM.MEDAcumulado,15-13*BM!$A$9)*ROUND(BM!$H125,15-13*ORÇAMENTO!$AF$10),15-13*ORÇAMENTO!$AF$11))),IF($A125=0,0,ROUND(SomaAgrupBM,15-13*ORÇAMENTO!$AF$11)))</f>
        <v>0</v>
      </c>
    </row>
    <row r="126" spans="1:41" s="696" customFormat="1" ht="25.5" x14ac:dyDescent="0.2">
      <c r="A126" s="696" t="str">
        <f ca="1">ORÇAMENTO!C126</f>
        <v>S</v>
      </c>
      <c r="B126" s="696">
        <f ca="1">ORÇAMENTO!D126</f>
        <v>0</v>
      </c>
      <c r="C126" s="114" t="str">
        <f t="shared" ca="1" si="8"/>
        <v>F</v>
      </c>
      <c r="D126" s="117" t="str">
        <f ca="1">ORÇAMENTO!O126</f>
        <v>1.22.1.</v>
      </c>
      <c r="E126" s="163" t="str">
        <f t="shared" ca="1" si="9"/>
        <v>SOLEIRA EM MÁRMORE, LARGURA 15 CM, ESPESSURA 2,0 CM. AF_09/2020</v>
      </c>
      <c r="F126" s="164" t="str">
        <f t="array" aca="1" ref="F126" ca="1">IF(RegimeExecucao="Global","",ORÇAMENTO.Unidade)</f>
        <v>M</v>
      </c>
      <c r="G126" s="122">
        <f t="array" aca="1" ref="G126" ca="1">IF(RegimeExecucao="Global","",ORÇAMENTO!T126)</f>
        <v>50.4</v>
      </c>
      <c r="H126" s="122">
        <f t="array" aca="1" ref="H126" ca="1">IF(RegimeExecucao="Global","",ORÇAMENTO!W126)</f>
        <v>95.45</v>
      </c>
      <c r="I126" s="125">
        <f ca="1">ORÇAMENTO!X126</f>
        <v>4810.68</v>
      </c>
      <c r="J126" s="333">
        <f t="array" aca="1" ref="J126" ca="1">IF($A126="S",IF(CAIXA.Modo,BM.AFAnterior,BM.MEDAnterior),IF(AND(RegimeExecucao="Global",$I126&gt;0,COUNTIF($AB$13:$AM$13,BM.medicao-1)&gt;0),M126/$I126*100,0))</f>
        <v>0</v>
      </c>
      <c r="K126" s="122">
        <f t="shared" ca="1" si="10"/>
        <v>0</v>
      </c>
      <c r="L126" s="334">
        <f t="array" aca="1" ref="L126" ca="1">IF($A126="S",IF(CAIXA.Modo,BM.AFAcumulado,BM.MEDAcumulado),IF(AND(RegimeExecucao="Global",$I126&gt;0,COUNTIF($AB$13:$AM$13,BM.medicao)&gt;0),O126/$I126*100,0))</f>
        <v>0</v>
      </c>
      <c r="M126" s="335">
        <f t="array" aca="1" ref="M126" ca="1">IF($A126="S",VTOTALBM,IF($A126=0,0,ROUND(SomaAgrupBM,15-13*ORÇAMENTO!$AF$11)))</f>
        <v>0</v>
      </c>
      <c r="N126" s="336">
        <f t="shared" ca="1" si="11"/>
        <v>0</v>
      </c>
      <c r="O126" s="125">
        <f t="array" aca="1" ref="O126" ca="1">IF($A126="S",VTOTALBM,IF($A126=0,0,ROUND(SomaAgrupBM,15-13*ORÇAMENTO!$AF$11)))</f>
        <v>0</v>
      </c>
      <c r="Q126" s="337"/>
      <c r="R126" s="338"/>
      <c r="T126" s="117" t="str">
        <f t="shared" ca="1" si="12"/>
        <v/>
      </c>
      <c r="U126" s="163" t="str">
        <f t="shared" ca="1" si="13"/>
        <v/>
      </c>
      <c r="V126" s="164" t="str">
        <f t="array" aca="1" ref="V126" ca="1">IF(AND($W126&gt;0,RegimeExecucao="Unitário"),$F126,"")</f>
        <v/>
      </c>
      <c r="W126" s="453">
        <f t="array" aca="1" ref="W126" ca="1">IF($Y126&gt;0,CHOOSE(MATCH(RegimeExecucao,{"Unitário","Global"},0),IF($A126="S",$Y126/$X126,""),($Y126/$X126)*100),0)</f>
        <v>0</v>
      </c>
      <c r="X126" s="339" t="str">
        <f t="array" aca="1" ref="X126" ca="1">IF($Y126&gt;0,CHOOSE(MATCH(RegimeExecucao,{"Unitário","Global"},0),IF($A126="S",ROUND($H126,ORÇAMENTO!$AF$10),""),ROUND($I126,ORÇAMENTO!$AF$11)),"")</f>
        <v/>
      </c>
      <c r="Y126" s="339">
        <f t="shared" ca="1" si="14"/>
        <v>0</v>
      </c>
      <c r="Z126" s="472"/>
      <c r="AB126" s="337"/>
      <c r="AC126" s="437"/>
      <c r="AD126" s="437"/>
      <c r="AE126" s="437"/>
      <c r="AF126" s="437"/>
      <c r="AG126" s="437"/>
      <c r="AH126" s="437"/>
      <c r="AI126" s="437"/>
      <c r="AJ126" s="437"/>
      <c r="AK126" s="437"/>
      <c r="AL126" s="437"/>
      <c r="AM126" s="338"/>
      <c r="AO126" s="696">
        <f t="array" aca="1" ref="AO126" ca="1">IF($A126="S",IF(BM!$I126=0,0,CHOOSE(MATCH(RegimeExecucao,{"Global","Unitário"},0),ROUND(ROUND(BM.MEDAcumulado,15-13*BM!$A$9)/100*BM!$I126,15-13*ORÇAMENTO!$AF$11),ROUND(ROUND(BM.MEDAcumulado,15-13*BM!$A$9)*ROUND(BM!$H126,15-13*ORÇAMENTO!$AF$10),15-13*ORÇAMENTO!$AF$11))),IF($A126=0,0,ROUND(SomaAgrupBM,15-13*ORÇAMENTO!$AF$11)))</f>
        <v>0</v>
      </c>
    </row>
    <row r="127" spans="1:41" s="696" customFormat="1" ht="25.5" x14ac:dyDescent="0.2">
      <c r="A127" s="696" t="str">
        <f ca="1">ORÇAMENTO!C127</f>
        <v>S</v>
      </c>
      <c r="B127" s="696">
        <f ca="1">ORÇAMENTO!D127</f>
        <v>0</v>
      </c>
      <c r="C127" s="114" t="str">
        <f t="shared" ca="1" si="8"/>
        <v>F</v>
      </c>
      <c r="D127" s="117" t="str">
        <f ca="1">ORÇAMENTO!O127</f>
        <v>1.22.2.</v>
      </c>
      <c r="E127" s="163" t="str">
        <f t="shared" ca="1" si="9"/>
        <v>RODAPÉ CERÂMICO DE 7CM DE ALTURA COM PLACAS TIPO ESMALTADA DE DIMENSÕES 35X35CM. AF_02/2023</v>
      </c>
      <c r="F127" s="164" t="str">
        <f t="array" aca="1" ref="F127" ca="1">IF(RegimeExecucao="Global","",ORÇAMENTO.Unidade)</f>
        <v>M</v>
      </c>
      <c r="G127" s="122">
        <f t="array" aca="1" ref="G127" ca="1">IF(RegimeExecucao="Global","",ORÇAMENTO!T127)</f>
        <v>774</v>
      </c>
      <c r="H127" s="122">
        <f t="array" aca="1" ref="H127" ca="1">IF(RegimeExecucao="Global","",ORÇAMENTO!W127)</f>
        <v>8.98</v>
      </c>
      <c r="I127" s="125">
        <f ca="1">ORÇAMENTO!X127</f>
        <v>6950.52</v>
      </c>
      <c r="J127" s="333">
        <f t="array" aca="1" ref="J127" ca="1">IF($A127="S",IF(CAIXA.Modo,BM.AFAnterior,BM.MEDAnterior),IF(AND(RegimeExecucao="Global",$I127&gt;0,COUNTIF($AB$13:$AM$13,BM.medicao-1)&gt;0),M127/$I127*100,0))</f>
        <v>0</v>
      </c>
      <c r="K127" s="122">
        <f t="shared" ca="1" si="10"/>
        <v>0</v>
      </c>
      <c r="L127" s="334">
        <f t="array" aca="1" ref="L127" ca="1">IF($A127="S",IF(CAIXA.Modo,BM.AFAcumulado,BM.MEDAcumulado),IF(AND(RegimeExecucao="Global",$I127&gt;0,COUNTIF($AB$13:$AM$13,BM.medicao)&gt;0),O127/$I127*100,0))</f>
        <v>0</v>
      </c>
      <c r="M127" s="335">
        <f t="array" aca="1" ref="M127" ca="1">IF($A127="S",VTOTALBM,IF($A127=0,0,ROUND(SomaAgrupBM,15-13*ORÇAMENTO!$AF$11)))</f>
        <v>0</v>
      </c>
      <c r="N127" s="336">
        <f t="shared" ca="1" si="11"/>
        <v>0</v>
      </c>
      <c r="O127" s="125">
        <f t="array" aca="1" ref="O127" ca="1">IF($A127="S",VTOTALBM,IF($A127=0,0,ROUND(SomaAgrupBM,15-13*ORÇAMENTO!$AF$11)))</f>
        <v>0</v>
      </c>
      <c r="Q127" s="337"/>
      <c r="R127" s="338"/>
      <c r="T127" s="117" t="str">
        <f t="shared" ca="1" si="12"/>
        <v/>
      </c>
      <c r="U127" s="163" t="str">
        <f t="shared" ca="1" si="13"/>
        <v/>
      </c>
      <c r="V127" s="164" t="str">
        <f t="array" aca="1" ref="V127" ca="1">IF(AND($W127&gt;0,RegimeExecucao="Unitário"),$F127,"")</f>
        <v/>
      </c>
      <c r="W127" s="453">
        <f t="array" aca="1" ref="W127" ca="1">IF($Y127&gt;0,CHOOSE(MATCH(RegimeExecucao,{"Unitário","Global"},0),IF($A127="S",$Y127/$X127,""),($Y127/$X127)*100),0)</f>
        <v>0</v>
      </c>
      <c r="X127" s="339" t="str">
        <f t="array" aca="1" ref="X127" ca="1">IF($Y127&gt;0,CHOOSE(MATCH(RegimeExecucao,{"Unitário","Global"},0),IF($A127="S",ROUND($H127,ORÇAMENTO!$AF$10),""),ROUND($I127,ORÇAMENTO!$AF$11)),"")</f>
        <v/>
      </c>
      <c r="Y127" s="339">
        <f t="shared" ca="1" si="14"/>
        <v>0</v>
      </c>
      <c r="Z127" s="472"/>
      <c r="AB127" s="337"/>
      <c r="AC127" s="437"/>
      <c r="AD127" s="437"/>
      <c r="AE127" s="437"/>
      <c r="AF127" s="437"/>
      <c r="AG127" s="437"/>
      <c r="AH127" s="437"/>
      <c r="AI127" s="437"/>
      <c r="AJ127" s="437"/>
      <c r="AK127" s="437"/>
      <c r="AL127" s="437"/>
      <c r="AM127" s="338"/>
      <c r="AO127" s="696">
        <f t="array" aca="1" ref="AO127" ca="1">IF($A127="S",IF(BM!$I127=0,0,CHOOSE(MATCH(RegimeExecucao,{"Global","Unitário"},0),ROUND(ROUND(BM.MEDAcumulado,15-13*BM!$A$9)/100*BM!$I127,15-13*ORÇAMENTO!$AF$11),ROUND(ROUND(BM.MEDAcumulado,15-13*BM!$A$9)*ROUND(BM!$H127,15-13*ORÇAMENTO!$AF$10),15-13*ORÇAMENTO!$AF$11))),IF($A127=0,0,ROUND(SomaAgrupBM,15-13*ORÇAMENTO!$AF$11)))</f>
        <v>0</v>
      </c>
    </row>
    <row r="128" spans="1:41" s="696" customFormat="1" ht="25.5" x14ac:dyDescent="0.2">
      <c r="A128" s="696" t="str">
        <f ca="1">ORÇAMENTO!C128</f>
        <v>S</v>
      </c>
      <c r="B128" s="696">
        <f ca="1">ORÇAMENTO!D128</f>
        <v>0</v>
      </c>
      <c r="C128" s="114" t="str">
        <f t="shared" ca="1" si="8"/>
        <v>F</v>
      </c>
      <c r="D128" s="117" t="str">
        <f ca="1">ORÇAMENTO!O128</f>
        <v>1.22.3.</v>
      </c>
      <c r="E128" s="163" t="str">
        <f t="shared" ca="1" si="9"/>
        <v>PEITORIL LINEAR EM GRANITO OU MÁRMORE, L = 15CM, ASSENTADO COM ARGAMASSA 1:6 COM ADITIVO. AF_11/2020</v>
      </c>
      <c r="F128" s="164" t="str">
        <f t="array" aca="1" ref="F128" ca="1">IF(RegimeExecucao="Global","",ORÇAMENTO.Unidade)</f>
        <v>M</v>
      </c>
      <c r="G128" s="122">
        <f t="array" aca="1" ref="G128" ca="1">IF(RegimeExecucao="Global","",ORÇAMENTO!T128)</f>
        <v>130</v>
      </c>
      <c r="H128" s="122">
        <f t="array" aca="1" ref="H128" ca="1">IF(RegimeExecucao="Global","",ORÇAMENTO!W128)</f>
        <v>132.63999999999999</v>
      </c>
      <c r="I128" s="125">
        <f ca="1">ORÇAMENTO!X128</f>
        <v>17243.2</v>
      </c>
      <c r="J128" s="333">
        <f t="array" aca="1" ref="J128" ca="1">IF($A128="S",IF(CAIXA.Modo,BM.AFAnterior,BM.MEDAnterior),IF(AND(RegimeExecucao="Global",$I128&gt;0,COUNTIF($AB$13:$AM$13,BM.medicao-1)&gt;0),M128/$I128*100,0))</f>
        <v>0</v>
      </c>
      <c r="K128" s="122">
        <f t="shared" ca="1" si="10"/>
        <v>0</v>
      </c>
      <c r="L128" s="334">
        <f t="array" aca="1" ref="L128" ca="1">IF($A128="S",IF(CAIXA.Modo,BM.AFAcumulado,BM.MEDAcumulado),IF(AND(RegimeExecucao="Global",$I128&gt;0,COUNTIF($AB$13:$AM$13,BM.medicao)&gt;0),O128/$I128*100,0))</f>
        <v>0</v>
      </c>
      <c r="M128" s="335">
        <f t="array" aca="1" ref="M128" ca="1">IF($A128="S",VTOTALBM,IF($A128=0,0,ROUND(SomaAgrupBM,15-13*ORÇAMENTO!$AF$11)))</f>
        <v>0</v>
      </c>
      <c r="N128" s="336">
        <f t="shared" ca="1" si="11"/>
        <v>0</v>
      </c>
      <c r="O128" s="125">
        <f t="array" aca="1" ref="O128" ca="1">IF($A128="S",VTOTALBM,IF($A128=0,0,ROUND(SomaAgrupBM,15-13*ORÇAMENTO!$AF$11)))</f>
        <v>0</v>
      </c>
      <c r="Q128" s="337"/>
      <c r="R128" s="338"/>
      <c r="T128" s="117" t="str">
        <f t="shared" ca="1" si="12"/>
        <v/>
      </c>
      <c r="U128" s="163" t="str">
        <f t="shared" ca="1" si="13"/>
        <v/>
      </c>
      <c r="V128" s="164" t="str">
        <f t="array" aca="1" ref="V128" ca="1">IF(AND($W128&gt;0,RegimeExecucao="Unitário"),$F128,"")</f>
        <v/>
      </c>
      <c r="W128" s="453">
        <f t="array" aca="1" ref="W128" ca="1">IF($Y128&gt;0,CHOOSE(MATCH(RegimeExecucao,{"Unitário","Global"},0),IF($A128="S",$Y128/$X128,""),($Y128/$X128)*100),0)</f>
        <v>0</v>
      </c>
      <c r="X128" s="339" t="str">
        <f t="array" aca="1" ref="X128" ca="1">IF($Y128&gt;0,CHOOSE(MATCH(RegimeExecucao,{"Unitário","Global"},0),IF($A128="S",ROUND($H128,ORÇAMENTO!$AF$10),""),ROUND($I128,ORÇAMENTO!$AF$11)),"")</f>
        <v/>
      </c>
      <c r="Y128" s="339">
        <f t="shared" ca="1" si="14"/>
        <v>0</v>
      </c>
      <c r="Z128" s="472"/>
      <c r="AB128" s="337"/>
      <c r="AC128" s="437"/>
      <c r="AD128" s="437"/>
      <c r="AE128" s="437"/>
      <c r="AF128" s="437"/>
      <c r="AG128" s="437"/>
      <c r="AH128" s="437"/>
      <c r="AI128" s="437"/>
      <c r="AJ128" s="437"/>
      <c r="AK128" s="437"/>
      <c r="AL128" s="437"/>
      <c r="AM128" s="338"/>
      <c r="AO128" s="696">
        <f t="array" aca="1" ref="AO128" ca="1">IF($A128="S",IF(BM!$I128=0,0,CHOOSE(MATCH(RegimeExecucao,{"Global","Unitário"},0),ROUND(ROUND(BM.MEDAcumulado,15-13*BM!$A$9)/100*BM!$I128,15-13*ORÇAMENTO!$AF$11),ROUND(ROUND(BM.MEDAcumulado,15-13*BM!$A$9)*ROUND(BM!$H128,15-13*ORÇAMENTO!$AF$10),15-13*ORÇAMENTO!$AF$11))),IF($A128=0,0,ROUND(SomaAgrupBM,15-13*ORÇAMENTO!$AF$11)))</f>
        <v>0</v>
      </c>
    </row>
    <row r="129" spans="1:41" s="696" customFormat="1" x14ac:dyDescent="0.2">
      <c r="A129" s="696">
        <f ca="1">ORÇAMENTO!C129</f>
        <v>2</v>
      </c>
      <c r="B129" s="696">
        <f ca="1">ORÇAMENTO!D129</f>
        <v>8</v>
      </c>
      <c r="C129" s="114" t="str">
        <f t="shared" ca="1" si="8"/>
        <v>F</v>
      </c>
      <c r="D129" s="117" t="str">
        <f ca="1">ORÇAMENTO!O129</f>
        <v>1.23.</v>
      </c>
      <c r="E129" s="163" t="str">
        <f t="shared" si="9"/>
        <v>INSTALAÇÕES ELÉTRICAS/TELEFONE</v>
      </c>
      <c r="F129" s="164" t="str">
        <f t="array" aca="1" ref="F129" ca="1">IF(RegimeExecucao="Global","",ORÇAMENTO.Unidade)</f>
        <v>-</v>
      </c>
      <c r="G129" s="122">
        <f t="array" aca="1" ref="G129" ca="1">IF(RegimeExecucao="Global","",ORÇAMENTO!T129)</f>
        <v>0</v>
      </c>
      <c r="H129" s="122">
        <f t="array" aca="1" ref="H129" ca="1">IF(RegimeExecucao="Global","",ORÇAMENTO!W129)</f>
        <v>0</v>
      </c>
      <c r="I129" s="125">
        <f ca="1">ORÇAMENTO!X129</f>
        <v>52827.76</v>
      </c>
      <c r="J129" s="333">
        <f t="array" aca="1" ref="J129" ca="1">IF($A129="S",IF(CAIXA.Modo,BM.AFAnterior,BM.MEDAnterior),IF(AND(RegimeExecucao="Global",$I129&gt;0,COUNTIF($AB$13:$AM$13,BM.medicao-1)&gt;0),M129/$I129*100,0))</f>
        <v>0</v>
      </c>
      <c r="K129" s="122">
        <f t="shared" ca="1" si="10"/>
        <v>0</v>
      </c>
      <c r="L129" s="334">
        <f t="array" aca="1" ref="L129" ca="1">IF($A129="S",IF(CAIXA.Modo,BM.AFAcumulado,BM.MEDAcumulado),IF(AND(RegimeExecucao="Global",$I129&gt;0,COUNTIF($AB$13:$AM$13,BM.medicao)&gt;0),O129/$I129*100,0))</f>
        <v>0</v>
      </c>
      <c r="M129" s="335">
        <f t="array" aca="1" ref="M129" ca="1">IF($A129="S",VTOTALBM,IF($A129=0,0,ROUND(SomaAgrupBM,15-13*ORÇAMENTO!$AF$11)))</f>
        <v>0</v>
      </c>
      <c r="N129" s="336">
        <f t="shared" ca="1" si="11"/>
        <v>0</v>
      </c>
      <c r="O129" s="125">
        <f t="array" aca="1" ref="O129" ca="1">IF($A129="S",VTOTALBM,IF($A129=0,0,ROUND(SomaAgrupBM,15-13*ORÇAMENTO!$AF$11)))</f>
        <v>0</v>
      </c>
      <c r="Q129" s="337"/>
      <c r="R129" s="338"/>
      <c r="T129" s="117" t="str">
        <f t="shared" ca="1" si="12"/>
        <v/>
      </c>
      <c r="U129" s="163" t="str">
        <f t="shared" ca="1" si="13"/>
        <v/>
      </c>
      <c r="V129" s="164" t="str">
        <f t="array" aca="1" ref="V129" ca="1">IF(AND($W129&gt;0,RegimeExecucao="Unitário"),$F129,"")</f>
        <v/>
      </c>
      <c r="W129" s="453">
        <f t="array" aca="1" ref="W129" ca="1">IF($Y129&gt;0,CHOOSE(MATCH(RegimeExecucao,{"Unitário","Global"},0),IF($A129="S",$Y129/$X129,""),($Y129/$X129)*100),0)</f>
        <v>0</v>
      </c>
      <c r="X129" s="339" t="str">
        <f t="array" aca="1" ref="X129" ca="1">IF($Y129&gt;0,CHOOSE(MATCH(RegimeExecucao,{"Unitário","Global"},0),IF($A129="S",ROUND($H129,ORÇAMENTO!$AF$10),""),ROUND($I129,ORÇAMENTO!$AF$11)),"")</f>
        <v/>
      </c>
      <c r="Y129" s="339">
        <f t="shared" ca="1" si="14"/>
        <v>0</v>
      </c>
      <c r="Z129" s="472"/>
      <c r="AB129" s="337"/>
      <c r="AC129" s="437"/>
      <c r="AD129" s="437"/>
      <c r="AE129" s="437"/>
      <c r="AF129" s="437"/>
      <c r="AG129" s="437"/>
      <c r="AH129" s="437"/>
      <c r="AI129" s="437"/>
      <c r="AJ129" s="437"/>
      <c r="AK129" s="437"/>
      <c r="AL129" s="437"/>
      <c r="AM129" s="338"/>
      <c r="AO129" s="696">
        <f t="array" aca="1" ref="AO129" ca="1">IF($A129="S",IF(BM!$I129=0,0,CHOOSE(MATCH(RegimeExecucao,{"Global","Unitário"},0),ROUND(ROUND(BM.MEDAcumulado,15-13*BM!$A$9)/100*BM!$I129,15-13*ORÇAMENTO!$AF$11),ROUND(ROUND(BM.MEDAcumulado,15-13*BM!$A$9)*ROUND(BM!$H129,15-13*ORÇAMENTO!$AF$10),15-13*ORÇAMENTO!$AF$11))),IF($A129=0,0,ROUND(SomaAgrupBM,15-13*ORÇAMENTO!$AF$11)))</f>
        <v>0</v>
      </c>
    </row>
    <row r="130" spans="1:41" s="696" customFormat="1" ht="25.5" x14ac:dyDescent="0.2">
      <c r="A130" s="696" t="str">
        <f ca="1">ORÇAMENTO!C130</f>
        <v>S</v>
      </c>
      <c r="B130" s="696">
        <f ca="1">ORÇAMENTO!D130</f>
        <v>0</v>
      </c>
      <c r="C130" s="114" t="str">
        <f t="shared" ca="1" si="8"/>
        <v>F</v>
      </c>
      <c r="D130" s="117" t="str">
        <f ca="1">ORÇAMENTO!O130</f>
        <v>1.23.1.</v>
      </c>
      <c r="E130" s="163" t="str">
        <f t="shared" ca="1" si="9"/>
        <v>DISJUNTOR MONOPOLAR TIPO DIN, CORRENTE NOMINAL DE 10A - FORNECIMENTO E INSTALAÇÃO. AF_07/2025</v>
      </c>
      <c r="F130" s="164" t="str">
        <f t="array" aca="1" ref="F130" ca="1">IF(RegimeExecucao="Global","",ORÇAMENTO.Unidade)</f>
        <v>UN</v>
      </c>
      <c r="G130" s="122">
        <f t="array" aca="1" ref="G130" ca="1">IF(RegimeExecucao="Global","",ORÇAMENTO!T130)</f>
        <v>40</v>
      </c>
      <c r="H130" s="122">
        <f t="array" aca="1" ref="H130" ca="1">IF(RegimeExecucao="Global","",ORÇAMENTO!W130)</f>
        <v>16.510000000000002</v>
      </c>
      <c r="I130" s="125">
        <f ca="1">ORÇAMENTO!X130</f>
        <v>660.4</v>
      </c>
      <c r="J130" s="333">
        <f t="array" aca="1" ref="J130" ca="1">IF($A130="S",IF(CAIXA.Modo,BM.AFAnterior,BM.MEDAnterior),IF(AND(RegimeExecucao="Global",$I130&gt;0,COUNTIF($AB$13:$AM$13,BM.medicao-1)&gt;0),M130/$I130*100,0))</f>
        <v>0</v>
      </c>
      <c r="K130" s="122">
        <f t="shared" ca="1" si="10"/>
        <v>0</v>
      </c>
      <c r="L130" s="334">
        <f t="array" aca="1" ref="L130" ca="1">IF($A130="S",IF(CAIXA.Modo,BM.AFAcumulado,BM.MEDAcumulado),IF(AND(RegimeExecucao="Global",$I130&gt;0,COUNTIF($AB$13:$AM$13,BM.medicao)&gt;0),O130/$I130*100,0))</f>
        <v>0</v>
      </c>
      <c r="M130" s="335">
        <f t="array" aca="1" ref="M130" ca="1">IF($A130="S",VTOTALBM,IF($A130=0,0,ROUND(SomaAgrupBM,15-13*ORÇAMENTO!$AF$11)))</f>
        <v>0</v>
      </c>
      <c r="N130" s="336">
        <f t="shared" ca="1" si="11"/>
        <v>0</v>
      </c>
      <c r="O130" s="125">
        <f t="array" aca="1" ref="O130" ca="1">IF($A130="S",VTOTALBM,IF($A130=0,0,ROUND(SomaAgrupBM,15-13*ORÇAMENTO!$AF$11)))</f>
        <v>0</v>
      </c>
      <c r="Q130" s="337"/>
      <c r="R130" s="338"/>
      <c r="T130" s="117" t="str">
        <f t="shared" ca="1" si="12"/>
        <v/>
      </c>
      <c r="U130" s="163" t="str">
        <f t="shared" ca="1" si="13"/>
        <v/>
      </c>
      <c r="V130" s="164" t="str">
        <f t="array" aca="1" ref="V130" ca="1">IF(AND($W130&gt;0,RegimeExecucao="Unitário"),$F130,"")</f>
        <v/>
      </c>
      <c r="W130" s="453">
        <f t="array" aca="1" ref="W130" ca="1">IF($Y130&gt;0,CHOOSE(MATCH(RegimeExecucao,{"Unitário","Global"},0),IF($A130="S",$Y130/$X130,""),($Y130/$X130)*100),0)</f>
        <v>0</v>
      </c>
      <c r="X130" s="339" t="str">
        <f t="array" aca="1" ref="X130" ca="1">IF($Y130&gt;0,CHOOSE(MATCH(RegimeExecucao,{"Unitário","Global"},0),IF($A130="S",ROUND($H130,ORÇAMENTO!$AF$10),""),ROUND($I130,ORÇAMENTO!$AF$11)),"")</f>
        <v/>
      </c>
      <c r="Y130" s="339">
        <f t="shared" ca="1" si="14"/>
        <v>0</v>
      </c>
      <c r="Z130" s="472"/>
      <c r="AB130" s="337"/>
      <c r="AC130" s="437"/>
      <c r="AD130" s="437"/>
      <c r="AE130" s="437"/>
      <c r="AF130" s="437"/>
      <c r="AG130" s="437"/>
      <c r="AH130" s="437"/>
      <c r="AI130" s="437"/>
      <c r="AJ130" s="437"/>
      <c r="AK130" s="437"/>
      <c r="AL130" s="437"/>
      <c r="AM130" s="338"/>
      <c r="AO130" s="696">
        <f t="array" aca="1" ref="AO130" ca="1">IF($A130="S",IF(BM!$I130=0,0,CHOOSE(MATCH(RegimeExecucao,{"Global","Unitário"},0),ROUND(ROUND(BM.MEDAcumulado,15-13*BM!$A$9)/100*BM!$I130,15-13*ORÇAMENTO!$AF$11),ROUND(ROUND(BM.MEDAcumulado,15-13*BM!$A$9)*ROUND(BM!$H130,15-13*ORÇAMENTO!$AF$10),15-13*ORÇAMENTO!$AF$11))),IF($A130=0,0,ROUND(SomaAgrupBM,15-13*ORÇAMENTO!$AF$11)))</f>
        <v>0</v>
      </c>
    </row>
    <row r="131" spans="1:41" s="696" customFormat="1" ht="25.5" x14ac:dyDescent="0.2">
      <c r="A131" s="696" t="str">
        <f ca="1">ORÇAMENTO!C131</f>
        <v>S</v>
      </c>
      <c r="B131" s="696">
        <f ca="1">ORÇAMENTO!D131</f>
        <v>0</v>
      </c>
      <c r="C131" s="114" t="str">
        <f t="shared" ca="1" si="8"/>
        <v>F</v>
      </c>
      <c r="D131" s="117" t="str">
        <f ca="1">ORÇAMENTO!O131</f>
        <v>1.23.2.</v>
      </c>
      <c r="E131" s="163" t="str">
        <f t="shared" ca="1" si="9"/>
        <v>DISJUNTOR MONOPOLAR TIPO DIN, CORRENTE NOMINAL DE 16A - FORNECIMENTO E INSTALAÇÃO. AF_07/2025</v>
      </c>
      <c r="F131" s="164" t="str">
        <f t="array" aca="1" ref="F131" ca="1">IF(RegimeExecucao="Global","",ORÇAMENTO.Unidade)</f>
        <v>UN</v>
      </c>
      <c r="G131" s="122">
        <f t="array" aca="1" ref="G131" ca="1">IF(RegimeExecucao="Global","",ORÇAMENTO!T131)</f>
        <v>20</v>
      </c>
      <c r="H131" s="122">
        <f t="array" aca="1" ref="H131" ca="1">IF(RegimeExecucao="Global","",ORÇAMENTO!W131)</f>
        <v>16.510000000000002</v>
      </c>
      <c r="I131" s="125">
        <f ca="1">ORÇAMENTO!X131</f>
        <v>330.2</v>
      </c>
      <c r="J131" s="333">
        <f t="array" aca="1" ref="J131" ca="1">IF($A131="S",IF(CAIXA.Modo,BM.AFAnterior,BM.MEDAnterior),IF(AND(RegimeExecucao="Global",$I131&gt;0,COUNTIF($AB$13:$AM$13,BM.medicao-1)&gt;0),M131/$I131*100,0))</f>
        <v>0</v>
      </c>
      <c r="K131" s="122">
        <f t="shared" ca="1" si="10"/>
        <v>0</v>
      </c>
      <c r="L131" s="334">
        <f t="array" aca="1" ref="L131" ca="1">IF($A131="S",IF(CAIXA.Modo,BM.AFAcumulado,BM.MEDAcumulado),IF(AND(RegimeExecucao="Global",$I131&gt;0,COUNTIF($AB$13:$AM$13,BM.medicao)&gt;0),O131/$I131*100,0))</f>
        <v>0</v>
      </c>
      <c r="M131" s="335">
        <f t="array" aca="1" ref="M131" ca="1">IF($A131="S",VTOTALBM,IF($A131=0,0,ROUND(SomaAgrupBM,15-13*ORÇAMENTO!$AF$11)))</f>
        <v>0</v>
      </c>
      <c r="N131" s="336">
        <f t="shared" ca="1" si="11"/>
        <v>0</v>
      </c>
      <c r="O131" s="125">
        <f t="array" aca="1" ref="O131" ca="1">IF($A131="S",VTOTALBM,IF($A131=0,0,ROUND(SomaAgrupBM,15-13*ORÇAMENTO!$AF$11)))</f>
        <v>0</v>
      </c>
      <c r="Q131" s="337"/>
      <c r="R131" s="338"/>
      <c r="T131" s="117" t="str">
        <f t="shared" ca="1" si="12"/>
        <v/>
      </c>
      <c r="U131" s="163" t="str">
        <f t="shared" ca="1" si="13"/>
        <v/>
      </c>
      <c r="V131" s="164" t="str">
        <f t="array" aca="1" ref="V131" ca="1">IF(AND($W131&gt;0,RegimeExecucao="Unitário"),$F131,"")</f>
        <v/>
      </c>
      <c r="W131" s="453">
        <f t="array" aca="1" ref="W131" ca="1">IF($Y131&gt;0,CHOOSE(MATCH(RegimeExecucao,{"Unitário","Global"},0),IF($A131="S",$Y131/$X131,""),($Y131/$X131)*100),0)</f>
        <v>0</v>
      </c>
      <c r="X131" s="339" t="str">
        <f t="array" aca="1" ref="X131" ca="1">IF($Y131&gt;0,CHOOSE(MATCH(RegimeExecucao,{"Unitário","Global"},0),IF($A131="S",ROUND($H131,ORÇAMENTO!$AF$10),""),ROUND($I131,ORÇAMENTO!$AF$11)),"")</f>
        <v/>
      </c>
      <c r="Y131" s="339">
        <f t="shared" ca="1" si="14"/>
        <v>0</v>
      </c>
      <c r="Z131" s="472"/>
      <c r="AB131" s="337"/>
      <c r="AC131" s="437"/>
      <c r="AD131" s="437"/>
      <c r="AE131" s="437"/>
      <c r="AF131" s="437"/>
      <c r="AG131" s="437"/>
      <c r="AH131" s="437"/>
      <c r="AI131" s="437"/>
      <c r="AJ131" s="437"/>
      <c r="AK131" s="437"/>
      <c r="AL131" s="437"/>
      <c r="AM131" s="338"/>
      <c r="AO131" s="696">
        <f t="array" aca="1" ref="AO131" ca="1">IF($A131="S",IF(BM!$I131=0,0,CHOOSE(MATCH(RegimeExecucao,{"Global","Unitário"},0),ROUND(ROUND(BM.MEDAcumulado,15-13*BM!$A$9)/100*BM!$I131,15-13*ORÇAMENTO!$AF$11),ROUND(ROUND(BM.MEDAcumulado,15-13*BM!$A$9)*ROUND(BM!$H131,15-13*ORÇAMENTO!$AF$10),15-13*ORÇAMENTO!$AF$11))),IF($A131=0,0,ROUND(SomaAgrupBM,15-13*ORÇAMENTO!$AF$11)))</f>
        <v>0</v>
      </c>
    </row>
    <row r="132" spans="1:41" s="696" customFormat="1" ht="25.5" x14ac:dyDescent="0.2">
      <c r="A132" s="696" t="str">
        <f ca="1">ORÇAMENTO!C132</f>
        <v>S</v>
      </c>
      <c r="B132" s="696">
        <f ca="1">ORÇAMENTO!D132</f>
        <v>0</v>
      </c>
      <c r="C132" s="114" t="str">
        <f t="shared" ref="C132:C195" ca="1" si="15">IF(OR($I132&gt;0,$A132=1,$A132=2,$A132=3,$A132=4),"F","")</f>
        <v>F</v>
      </c>
      <c r="D132" s="117" t="str">
        <f ca="1">ORÇAMENTO!O132</f>
        <v>1.23.3.</v>
      </c>
      <c r="E132" s="163" t="str">
        <f t="shared" ref="E132:E195" ca="1" si="16">ORÇAMENTO.Descricao</f>
        <v>DISJUNTOR MONOPOLAR TIPO DIN, CORRENTE NOMINAL DE 25A - FORNECIMENTO E INSTALAÇÃO. AF_07/2025</v>
      </c>
      <c r="F132" s="164" t="str">
        <f t="array" aca="1" ref="F132" ca="1">IF(RegimeExecucao="Global","",ORÇAMENTO.Unidade)</f>
        <v>UN</v>
      </c>
      <c r="G132" s="122">
        <f t="array" aca="1" ref="G132" ca="1">IF(RegimeExecucao="Global","",ORÇAMENTO!T132)</f>
        <v>12</v>
      </c>
      <c r="H132" s="122">
        <f t="array" aca="1" ref="H132" ca="1">IF(RegimeExecucao="Global","",ORÇAMENTO!W132)</f>
        <v>18.829999999999998</v>
      </c>
      <c r="I132" s="125">
        <f ca="1">ORÇAMENTO!X132</f>
        <v>225.96</v>
      </c>
      <c r="J132" s="333">
        <f t="array" aca="1" ref="J132" ca="1">IF($A132="S",IF(CAIXA.Modo,BM.AFAnterior,BM.MEDAnterior),IF(AND(RegimeExecucao="Global",$I132&gt;0,COUNTIF($AB$13:$AM$13,BM.medicao-1)&gt;0),M132/$I132*100,0))</f>
        <v>0</v>
      </c>
      <c r="K132" s="122">
        <f t="shared" ref="K132:K195" ca="1" si="17">L132-J132</f>
        <v>0</v>
      </c>
      <c r="L132" s="334">
        <f t="array" aca="1" ref="L132" ca="1">IF($A132="S",IF(CAIXA.Modo,BM.AFAcumulado,BM.MEDAcumulado),IF(AND(RegimeExecucao="Global",$I132&gt;0,COUNTIF($AB$13:$AM$13,BM.medicao)&gt;0),O132/$I132*100,0))</f>
        <v>0</v>
      </c>
      <c r="M132" s="335">
        <f t="array" aca="1" ref="M132" ca="1">IF($A132="S",VTOTALBM,IF($A132=0,0,ROUND(SomaAgrupBM,15-13*ORÇAMENTO!$AF$11)))</f>
        <v>0</v>
      </c>
      <c r="N132" s="336">
        <f t="shared" ref="N132:N195" ca="1" si="18">O132-M132</f>
        <v>0</v>
      </c>
      <c r="O132" s="125">
        <f t="array" aca="1" ref="O132" ca="1">IF($A132="S",VTOTALBM,IF($A132=0,0,ROUND(SomaAgrupBM,15-13*ORÇAMENTO!$AF$11)))</f>
        <v>0</v>
      </c>
      <c r="Q132" s="337"/>
      <c r="R132" s="338"/>
      <c r="T132" s="117" t="str">
        <f t="shared" ref="T132:T195" ca="1" si="19">IF($W132&gt;0,$D132,"")</f>
        <v/>
      </c>
      <c r="U132" s="163" t="str">
        <f t="shared" ref="U132:U195" ca="1" si="20">IF($W132&gt;0,$E132,"")</f>
        <v/>
      </c>
      <c r="V132" s="164" t="str">
        <f t="array" aca="1" ref="V132" ca="1">IF(AND($W132&gt;0,RegimeExecucao="Unitário"),$F132,"")</f>
        <v/>
      </c>
      <c r="W132" s="453">
        <f t="array" aca="1" ref="W132" ca="1">IF($Y132&gt;0,CHOOSE(MATCH(RegimeExecucao,{"Unitário","Global"},0),IF($A132="S",$Y132/$X132,""),($Y132/$X132)*100),0)</f>
        <v>0</v>
      </c>
      <c r="X132" s="339" t="str">
        <f t="array" aca="1" ref="X132" ca="1">IF($Y132&gt;0,CHOOSE(MATCH(RegimeExecucao,{"Unitário","Global"},0),IF($A132="S",ROUND($H132,ORÇAMENTO!$AF$10),""),ROUND($I132,ORÇAMENTO!$AF$11)),"")</f>
        <v/>
      </c>
      <c r="Y132" s="339">
        <f t="shared" ref="Y132:Y195" ca="1" si="21">AO132-O132</f>
        <v>0</v>
      </c>
      <c r="Z132" s="472"/>
      <c r="AB132" s="337"/>
      <c r="AC132" s="437"/>
      <c r="AD132" s="437"/>
      <c r="AE132" s="437"/>
      <c r="AF132" s="437"/>
      <c r="AG132" s="437"/>
      <c r="AH132" s="437"/>
      <c r="AI132" s="437"/>
      <c r="AJ132" s="437"/>
      <c r="AK132" s="437"/>
      <c r="AL132" s="437"/>
      <c r="AM132" s="338"/>
      <c r="AO132" s="696">
        <f t="array" aca="1" ref="AO132" ca="1">IF($A132="S",IF(BM!$I132=0,0,CHOOSE(MATCH(RegimeExecucao,{"Global","Unitário"},0),ROUND(ROUND(BM.MEDAcumulado,15-13*BM!$A$9)/100*BM!$I132,15-13*ORÇAMENTO!$AF$11),ROUND(ROUND(BM.MEDAcumulado,15-13*BM!$A$9)*ROUND(BM!$H132,15-13*ORÇAMENTO!$AF$10),15-13*ORÇAMENTO!$AF$11))),IF($A132=0,0,ROUND(SomaAgrupBM,15-13*ORÇAMENTO!$AF$11)))</f>
        <v>0</v>
      </c>
    </row>
    <row r="133" spans="1:41" s="696" customFormat="1" ht="25.5" x14ac:dyDescent="0.2">
      <c r="A133" s="696" t="str">
        <f ca="1">ORÇAMENTO!C133</f>
        <v>S</v>
      </c>
      <c r="B133" s="696">
        <f ca="1">ORÇAMENTO!D133</f>
        <v>0</v>
      </c>
      <c r="C133" s="114" t="str">
        <f t="shared" ca="1" si="15"/>
        <v>F</v>
      </c>
      <c r="D133" s="117" t="str">
        <f ca="1">ORÇAMENTO!O133</f>
        <v>1.23.4.</v>
      </c>
      <c r="E133" s="163" t="str">
        <f t="shared" ca="1" si="16"/>
        <v>DISJUNTOR MONOPOLAR TIPO DIN, CORRENTE NOMINAL DE 50A - FORNECIMENTO E INSTALAÇÃO. AF_07/2025</v>
      </c>
      <c r="F133" s="164" t="str">
        <f t="array" aca="1" ref="F133" ca="1">IF(RegimeExecucao="Global","",ORÇAMENTO.Unidade)</f>
        <v>UN</v>
      </c>
      <c r="G133" s="122">
        <f t="array" aca="1" ref="G133" ca="1">IF(RegimeExecucao="Global","",ORÇAMENTO!T133)</f>
        <v>20</v>
      </c>
      <c r="H133" s="122">
        <f t="array" aca="1" ref="H133" ca="1">IF(RegimeExecucao="Global","",ORÇAMENTO!W133)</f>
        <v>33.31</v>
      </c>
      <c r="I133" s="125">
        <f ca="1">ORÇAMENTO!X133</f>
        <v>666.2</v>
      </c>
      <c r="J133" s="333">
        <f t="array" aca="1" ref="J133" ca="1">IF($A133="S",IF(CAIXA.Modo,BM.AFAnterior,BM.MEDAnterior),IF(AND(RegimeExecucao="Global",$I133&gt;0,COUNTIF($AB$13:$AM$13,BM.medicao-1)&gt;0),M133/$I133*100,0))</f>
        <v>0</v>
      </c>
      <c r="K133" s="122">
        <f t="shared" ca="1" si="17"/>
        <v>0</v>
      </c>
      <c r="L133" s="334">
        <f t="array" aca="1" ref="L133" ca="1">IF($A133="S",IF(CAIXA.Modo,BM.AFAcumulado,BM.MEDAcumulado),IF(AND(RegimeExecucao="Global",$I133&gt;0,COUNTIF($AB$13:$AM$13,BM.medicao)&gt;0),O133/$I133*100,0))</f>
        <v>0</v>
      </c>
      <c r="M133" s="335">
        <f t="array" aca="1" ref="M133" ca="1">IF($A133="S",VTOTALBM,IF($A133=0,0,ROUND(SomaAgrupBM,15-13*ORÇAMENTO!$AF$11)))</f>
        <v>0</v>
      </c>
      <c r="N133" s="336">
        <f t="shared" ca="1" si="18"/>
        <v>0</v>
      </c>
      <c r="O133" s="125">
        <f t="array" aca="1" ref="O133" ca="1">IF($A133="S",VTOTALBM,IF($A133=0,0,ROUND(SomaAgrupBM,15-13*ORÇAMENTO!$AF$11)))</f>
        <v>0</v>
      </c>
      <c r="Q133" s="337"/>
      <c r="R133" s="338"/>
      <c r="T133" s="117" t="str">
        <f t="shared" ca="1" si="19"/>
        <v/>
      </c>
      <c r="U133" s="163" t="str">
        <f t="shared" ca="1" si="20"/>
        <v/>
      </c>
      <c r="V133" s="164" t="str">
        <f t="array" aca="1" ref="V133" ca="1">IF(AND($W133&gt;0,RegimeExecucao="Unitário"),$F133,"")</f>
        <v/>
      </c>
      <c r="W133" s="453">
        <f t="array" aca="1" ref="W133" ca="1">IF($Y133&gt;0,CHOOSE(MATCH(RegimeExecucao,{"Unitário","Global"},0),IF($A133="S",$Y133/$X133,""),($Y133/$X133)*100),0)</f>
        <v>0</v>
      </c>
      <c r="X133" s="339" t="str">
        <f t="array" aca="1" ref="X133" ca="1">IF($Y133&gt;0,CHOOSE(MATCH(RegimeExecucao,{"Unitário","Global"},0),IF($A133="S",ROUND($H133,ORÇAMENTO!$AF$10),""),ROUND($I133,ORÇAMENTO!$AF$11)),"")</f>
        <v/>
      </c>
      <c r="Y133" s="339">
        <f t="shared" ca="1" si="21"/>
        <v>0</v>
      </c>
      <c r="Z133" s="472"/>
      <c r="AB133" s="337"/>
      <c r="AC133" s="437"/>
      <c r="AD133" s="437"/>
      <c r="AE133" s="437"/>
      <c r="AF133" s="437"/>
      <c r="AG133" s="437"/>
      <c r="AH133" s="437"/>
      <c r="AI133" s="437"/>
      <c r="AJ133" s="437"/>
      <c r="AK133" s="437"/>
      <c r="AL133" s="437"/>
      <c r="AM133" s="338"/>
      <c r="AO133" s="696">
        <f t="array" aca="1" ref="AO133" ca="1">IF($A133="S",IF(BM!$I133=0,0,CHOOSE(MATCH(RegimeExecucao,{"Global","Unitário"},0),ROUND(ROUND(BM.MEDAcumulado,15-13*BM!$A$9)/100*BM!$I133,15-13*ORÇAMENTO!$AF$11),ROUND(ROUND(BM.MEDAcumulado,15-13*BM!$A$9)*ROUND(BM!$H133,15-13*ORÇAMENTO!$AF$10),15-13*ORÇAMENTO!$AF$11))),IF($A133=0,0,ROUND(SomaAgrupBM,15-13*ORÇAMENTO!$AF$11)))</f>
        <v>0</v>
      </c>
    </row>
    <row r="134" spans="1:41" s="696" customFormat="1" ht="25.5" x14ac:dyDescent="0.2">
      <c r="A134" s="696" t="str">
        <f ca="1">ORÇAMENTO!C134</f>
        <v>S</v>
      </c>
      <c r="B134" s="696">
        <f ca="1">ORÇAMENTO!D134</f>
        <v>0</v>
      </c>
      <c r="C134" s="114" t="str">
        <f t="shared" ca="1" si="15"/>
        <v>F</v>
      </c>
      <c r="D134" s="117" t="str">
        <f ca="1">ORÇAMENTO!O134</f>
        <v>1.23.5.</v>
      </c>
      <c r="E134" s="163" t="str">
        <f t="shared" ca="1" si="16"/>
        <v>DISJUNTOR BIPOLAR TIPO DR, CORRENTE NOMINAL DE 25A - FORNECIMENTO E INSTALAÇÃO. AF_07/2025</v>
      </c>
      <c r="F134" s="164" t="str">
        <f t="array" aca="1" ref="F134" ca="1">IF(RegimeExecucao="Global","",ORÇAMENTO.Unidade)</f>
        <v>UN</v>
      </c>
      <c r="G134" s="122">
        <f t="array" aca="1" ref="G134" ca="1">IF(RegimeExecucao="Global","",ORÇAMENTO!T134)</f>
        <v>40</v>
      </c>
      <c r="H134" s="122">
        <f t="array" aca="1" ref="H134" ca="1">IF(RegimeExecucao="Global","",ORÇAMENTO!W134)</f>
        <v>207.35</v>
      </c>
      <c r="I134" s="125">
        <f ca="1">ORÇAMENTO!X134</f>
        <v>8294</v>
      </c>
      <c r="J134" s="333">
        <f t="array" aca="1" ref="J134" ca="1">IF($A134="S",IF(CAIXA.Modo,BM.AFAnterior,BM.MEDAnterior),IF(AND(RegimeExecucao="Global",$I134&gt;0,COUNTIF($AB$13:$AM$13,BM.medicao-1)&gt;0),M134/$I134*100,0))</f>
        <v>0</v>
      </c>
      <c r="K134" s="122">
        <f t="shared" ca="1" si="17"/>
        <v>0</v>
      </c>
      <c r="L134" s="334">
        <f t="array" aca="1" ref="L134" ca="1">IF($A134="S",IF(CAIXA.Modo,BM.AFAcumulado,BM.MEDAcumulado),IF(AND(RegimeExecucao="Global",$I134&gt;0,COUNTIF($AB$13:$AM$13,BM.medicao)&gt;0),O134/$I134*100,0))</f>
        <v>0</v>
      </c>
      <c r="M134" s="335">
        <f t="array" aca="1" ref="M134" ca="1">IF($A134="S",VTOTALBM,IF($A134=0,0,ROUND(SomaAgrupBM,15-13*ORÇAMENTO!$AF$11)))</f>
        <v>0</v>
      </c>
      <c r="N134" s="336">
        <f t="shared" ca="1" si="18"/>
        <v>0</v>
      </c>
      <c r="O134" s="125">
        <f t="array" aca="1" ref="O134" ca="1">IF($A134="S",VTOTALBM,IF($A134=0,0,ROUND(SomaAgrupBM,15-13*ORÇAMENTO!$AF$11)))</f>
        <v>0</v>
      </c>
      <c r="Q134" s="337"/>
      <c r="R134" s="338"/>
      <c r="T134" s="117" t="str">
        <f t="shared" ca="1" si="19"/>
        <v/>
      </c>
      <c r="U134" s="163" t="str">
        <f t="shared" ca="1" si="20"/>
        <v/>
      </c>
      <c r="V134" s="164" t="str">
        <f t="array" aca="1" ref="V134" ca="1">IF(AND($W134&gt;0,RegimeExecucao="Unitário"),$F134,"")</f>
        <v/>
      </c>
      <c r="W134" s="453">
        <f t="array" aca="1" ref="W134" ca="1">IF($Y134&gt;0,CHOOSE(MATCH(RegimeExecucao,{"Unitário","Global"},0),IF($A134="S",$Y134/$X134,""),($Y134/$X134)*100),0)</f>
        <v>0</v>
      </c>
      <c r="X134" s="339" t="str">
        <f t="array" aca="1" ref="X134" ca="1">IF($Y134&gt;0,CHOOSE(MATCH(RegimeExecucao,{"Unitário","Global"},0),IF($A134="S",ROUND($H134,ORÇAMENTO!$AF$10),""),ROUND($I134,ORÇAMENTO!$AF$11)),"")</f>
        <v/>
      </c>
      <c r="Y134" s="339">
        <f t="shared" ca="1" si="21"/>
        <v>0</v>
      </c>
      <c r="Z134" s="472"/>
      <c r="AB134" s="337"/>
      <c r="AC134" s="437"/>
      <c r="AD134" s="437"/>
      <c r="AE134" s="437"/>
      <c r="AF134" s="437"/>
      <c r="AG134" s="437"/>
      <c r="AH134" s="437"/>
      <c r="AI134" s="437"/>
      <c r="AJ134" s="437"/>
      <c r="AK134" s="437"/>
      <c r="AL134" s="437"/>
      <c r="AM134" s="338"/>
      <c r="AO134" s="696">
        <f t="array" aca="1" ref="AO134" ca="1">IF($A134="S",IF(BM!$I134=0,0,CHOOSE(MATCH(RegimeExecucao,{"Global","Unitário"},0),ROUND(ROUND(BM.MEDAcumulado,15-13*BM!$A$9)/100*BM!$I134,15-13*ORÇAMENTO!$AF$11),ROUND(ROUND(BM.MEDAcumulado,15-13*BM!$A$9)*ROUND(BM!$H134,15-13*ORÇAMENTO!$AF$10),15-13*ORÇAMENTO!$AF$11))),IF($A134=0,0,ROUND(SomaAgrupBM,15-13*ORÇAMENTO!$AF$11)))</f>
        <v>0</v>
      </c>
    </row>
    <row r="135" spans="1:41" s="696" customFormat="1" ht="51" x14ac:dyDescent="0.2">
      <c r="A135" s="696" t="str">
        <f ca="1">ORÇAMENTO!C135</f>
        <v>S</v>
      </c>
      <c r="B135" s="696">
        <f ca="1">ORÇAMENTO!D135</f>
        <v>0</v>
      </c>
      <c r="C135" s="114" t="str">
        <f t="shared" ca="1" si="15"/>
        <v>F</v>
      </c>
      <c r="D135" s="117" t="str">
        <f ca="1">ORÇAMENTO!O135</f>
        <v>1.23.6.</v>
      </c>
      <c r="E135" s="163" t="str">
        <f t="shared" ca="1" si="16"/>
        <v>ENTRADA DE ENERGIA AÉREA, TIPO B1, PADRÃO CEMIG, CARGA INSTALADA DE ATÉ 10KW, BIFÁSICO, COM SAÍDA SUBTERRÂNEA, INCLUSIVE POSTE, CAIXA PARA MEDIDOR, DISJUNTOR, BARRAMENTO, ATERRAMENTO E ACESSÓRIOS</v>
      </c>
      <c r="F135" s="164" t="str">
        <f t="array" aca="1" ref="F135" ca="1">IF(RegimeExecucao="Global","",ORÇAMENTO.Unidade)</f>
        <v>un</v>
      </c>
      <c r="G135" s="122">
        <f t="array" aca="1" ref="G135" ca="1">IF(RegimeExecucao="Global","",ORÇAMENTO!T135)</f>
        <v>20</v>
      </c>
      <c r="H135" s="122">
        <f t="array" aca="1" ref="H135" ca="1">IF(RegimeExecucao="Global","",ORÇAMENTO!W135)</f>
        <v>2006</v>
      </c>
      <c r="I135" s="125">
        <f ca="1">ORÇAMENTO!X135</f>
        <v>40120</v>
      </c>
      <c r="J135" s="333">
        <f t="array" aca="1" ref="J135" ca="1">IF($A135="S",IF(CAIXA.Modo,BM.AFAnterior,BM.MEDAnterior),IF(AND(RegimeExecucao="Global",$I135&gt;0,COUNTIF($AB$13:$AM$13,BM.medicao-1)&gt;0),M135/$I135*100,0))</f>
        <v>0</v>
      </c>
      <c r="K135" s="122">
        <f t="shared" ca="1" si="17"/>
        <v>0</v>
      </c>
      <c r="L135" s="334">
        <f t="array" aca="1" ref="L135" ca="1">IF($A135="S",IF(CAIXA.Modo,BM.AFAcumulado,BM.MEDAcumulado),IF(AND(RegimeExecucao="Global",$I135&gt;0,COUNTIF($AB$13:$AM$13,BM.medicao)&gt;0),O135/$I135*100,0))</f>
        <v>0</v>
      </c>
      <c r="M135" s="335">
        <f t="array" aca="1" ref="M135" ca="1">IF($A135="S",VTOTALBM,IF($A135=0,0,ROUND(SomaAgrupBM,15-13*ORÇAMENTO!$AF$11)))</f>
        <v>0</v>
      </c>
      <c r="N135" s="336">
        <f t="shared" ca="1" si="18"/>
        <v>0</v>
      </c>
      <c r="O135" s="125">
        <f t="array" aca="1" ref="O135" ca="1">IF($A135="S",VTOTALBM,IF($A135=0,0,ROUND(SomaAgrupBM,15-13*ORÇAMENTO!$AF$11)))</f>
        <v>0</v>
      </c>
      <c r="Q135" s="337"/>
      <c r="R135" s="338"/>
      <c r="T135" s="117" t="str">
        <f t="shared" ca="1" si="19"/>
        <v/>
      </c>
      <c r="U135" s="163" t="str">
        <f t="shared" ca="1" si="20"/>
        <v/>
      </c>
      <c r="V135" s="164" t="str">
        <f t="array" aca="1" ref="V135" ca="1">IF(AND($W135&gt;0,RegimeExecucao="Unitário"),$F135,"")</f>
        <v/>
      </c>
      <c r="W135" s="453">
        <f t="array" aca="1" ref="W135" ca="1">IF($Y135&gt;0,CHOOSE(MATCH(RegimeExecucao,{"Unitário","Global"},0),IF($A135="S",$Y135/$X135,""),($Y135/$X135)*100),0)</f>
        <v>0</v>
      </c>
      <c r="X135" s="339" t="str">
        <f t="array" aca="1" ref="X135" ca="1">IF($Y135&gt;0,CHOOSE(MATCH(RegimeExecucao,{"Unitário","Global"},0),IF($A135="S",ROUND($H135,ORÇAMENTO!$AF$10),""),ROUND($I135,ORÇAMENTO!$AF$11)),"")</f>
        <v/>
      </c>
      <c r="Y135" s="339">
        <f t="shared" ca="1" si="21"/>
        <v>0</v>
      </c>
      <c r="Z135" s="472"/>
      <c r="AB135" s="337"/>
      <c r="AC135" s="437"/>
      <c r="AD135" s="437"/>
      <c r="AE135" s="437"/>
      <c r="AF135" s="437"/>
      <c r="AG135" s="437"/>
      <c r="AH135" s="437"/>
      <c r="AI135" s="437"/>
      <c r="AJ135" s="437"/>
      <c r="AK135" s="437"/>
      <c r="AL135" s="437"/>
      <c r="AM135" s="338"/>
      <c r="AO135" s="696">
        <f t="array" aca="1" ref="AO135" ca="1">IF($A135="S",IF(BM!$I135=0,0,CHOOSE(MATCH(RegimeExecucao,{"Global","Unitário"},0),ROUND(ROUND(BM.MEDAcumulado,15-13*BM!$A$9)/100*BM!$I135,15-13*ORÇAMENTO!$AF$11),ROUND(ROUND(BM.MEDAcumulado,15-13*BM!$A$9)*ROUND(BM!$H135,15-13*ORÇAMENTO!$AF$10),15-13*ORÇAMENTO!$AF$11))),IF($A135=0,0,ROUND(SomaAgrupBM,15-13*ORÇAMENTO!$AF$11)))</f>
        <v>0</v>
      </c>
    </row>
    <row r="136" spans="1:41" s="696" customFormat="1" ht="25.5" x14ac:dyDescent="0.2">
      <c r="A136" s="696" t="str">
        <f ca="1">ORÇAMENTO!C136</f>
        <v>S</v>
      </c>
      <c r="B136" s="696">
        <f ca="1">ORÇAMENTO!D136</f>
        <v>0</v>
      </c>
      <c r="C136" s="114" t="str">
        <f t="shared" ca="1" si="15"/>
        <v>F</v>
      </c>
      <c r="D136" s="117" t="str">
        <f ca="1">ORÇAMENTO!O136</f>
        <v>1.23.7.</v>
      </c>
      <c r="E136" s="163" t="str">
        <f t="shared" ca="1" si="16"/>
        <v>CHUVEIRO ELÉTRICO COMUM CORPO PLÁSTICO, TIPO DUCHA - FORNECIMENTO E INSTALAÇÃO. AF_01/2020</v>
      </c>
      <c r="F136" s="164" t="str">
        <f t="array" aca="1" ref="F136" ca="1">IF(RegimeExecucao="Global","",ORÇAMENTO.Unidade)</f>
        <v>UN</v>
      </c>
      <c r="G136" s="122">
        <f t="array" aca="1" ref="G136" ca="1">IF(RegimeExecucao="Global","",ORÇAMENTO!T136)</f>
        <v>20</v>
      </c>
      <c r="H136" s="122">
        <f t="array" aca="1" ref="H136" ca="1">IF(RegimeExecucao="Global","",ORÇAMENTO!W136)</f>
        <v>126.55</v>
      </c>
      <c r="I136" s="125">
        <f ca="1">ORÇAMENTO!X136</f>
        <v>2531</v>
      </c>
      <c r="J136" s="333">
        <f t="array" aca="1" ref="J136" ca="1">IF($A136="S",IF(CAIXA.Modo,BM.AFAnterior,BM.MEDAnterior),IF(AND(RegimeExecucao="Global",$I136&gt;0,COUNTIF($AB$13:$AM$13,BM.medicao-1)&gt;0),M136/$I136*100,0))</f>
        <v>0</v>
      </c>
      <c r="K136" s="122">
        <f t="shared" ca="1" si="17"/>
        <v>0</v>
      </c>
      <c r="L136" s="334">
        <f t="array" aca="1" ref="L136" ca="1">IF($A136="S",IF(CAIXA.Modo,BM.AFAcumulado,BM.MEDAcumulado),IF(AND(RegimeExecucao="Global",$I136&gt;0,COUNTIF($AB$13:$AM$13,BM.medicao)&gt;0),O136/$I136*100,0))</f>
        <v>0</v>
      </c>
      <c r="M136" s="335">
        <f t="array" aca="1" ref="M136" ca="1">IF($A136="S",VTOTALBM,IF($A136=0,0,ROUND(SomaAgrupBM,15-13*ORÇAMENTO!$AF$11)))</f>
        <v>0</v>
      </c>
      <c r="N136" s="336">
        <f t="shared" ca="1" si="18"/>
        <v>0</v>
      </c>
      <c r="O136" s="125">
        <f t="array" aca="1" ref="O136" ca="1">IF($A136="S",VTOTALBM,IF($A136=0,0,ROUND(SomaAgrupBM,15-13*ORÇAMENTO!$AF$11)))</f>
        <v>0</v>
      </c>
      <c r="Q136" s="337"/>
      <c r="R136" s="338"/>
      <c r="T136" s="117" t="str">
        <f t="shared" ca="1" si="19"/>
        <v/>
      </c>
      <c r="U136" s="163" t="str">
        <f t="shared" ca="1" si="20"/>
        <v/>
      </c>
      <c r="V136" s="164" t="str">
        <f t="array" aca="1" ref="V136" ca="1">IF(AND($W136&gt;0,RegimeExecucao="Unitário"),$F136,"")</f>
        <v/>
      </c>
      <c r="W136" s="453">
        <f t="array" aca="1" ref="W136" ca="1">IF($Y136&gt;0,CHOOSE(MATCH(RegimeExecucao,{"Unitário","Global"},0),IF($A136="S",$Y136/$X136,""),($Y136/$X136)*100),0)</f>
        <v>0</v>
      </c>
      <c r="X136" s="339" t="str">
        <f t="array" aca="1" ref="X136" ca="1">IF($Y136&gt;0,CHOOSE(MATCH(RegimeExecucao,{"Unitário","Global"},0),IF($A136="S",ROUND($H136,ORÇAMENTO!$AF$10),""),ROUND($I136,ORÇAMENTO!$AF$11)),"")</f>
        <v/>
      </c>
      <c r="Y136" s="339">
        <f t="shared" ca="1" si="21"/>
        <v>0</v>
      </c>
      <c r="Z136" s="472"/>
      <c r="AB136" s="337"/>
      <c r="AC136" s="437"/>
      <c r="AD136" s="437"/>
      <c r="AE136" s="437"/>
      <c r="AF136" s="437"/>
      <c r="AG136" s="437"/>
      <c r="AH136" s="437"/>
      <c r="AI136" s="437"/>
      <c r="AJ136" s="437"/>
      <c r="AK136" s="437"/>
      <c r="AL136" s="437"/>
      <c r="AM136" s="338"/>
      <c r="AO136" s="696">
        <f t="array" aca="1" ref="AO136" ca="1">IF($A136="S",IF(BM!$I136=0,0,CHOOSE(MATCH(RegimeExecucao,{"Global","Unitário"},0),ROUND(ROUND(BM.MEDAcumulado,15-13*BM!$A$9)/100*BM!$I136,15-13*ORÇAMENTO!$AF$11),ROUND(ROUND(BM.MEDAcumulado,15-13*BM!$A$9)*ROUND(BM!$H136,15-13*ORÇAMENTO!$AF$10),15-13*ORÇAMENTO!$AF$11))),IF($A136=0,0,ROUND(SomaAgrupBM,15-13*ORÇAMENTO!$AF$11)))</f>
        <v>0</v>
      </c>
    </row>
    <row r="137" spans="1:41" s="696" customFormat="1" x14ac:dyDescent="0.2">
      <c r="A137" s="696">
        <f ca="1">ORÇAMENTO!C137</f>
        <v>2</v>
      </c>
      <c r="B137" s="696">
        <f ca="1">ORÇAMENTO!D137</f>
        <v>15</v>
      </c>
      <c r="C137" s="114" t="str">
        <f t="shared" ca="1" si="15"/>
        <v>F</v>
      </c>
      <c r="D137" s="117" t="str">
        <f ca="1">ORÇAMENTO!O137</f>
        <v>1.24.</v>
      </c>
      <c r="E137" s="163" t="str">
        <f t="shared" si="16"/>
        <v>ILUMINAÇÃO, TOMADAS E INTERRUPTORES</v>
      </c>
      <c r="F137" s="164" t="str">
        <f t="array" aca="1" ref="F137" ca="1">IF(RegimeExecucao="Global","",ORÇAMENTO.Unidade)</f>
        <v>-</v>
      </c>
      <c r="G137" s="122">
        <f t="array" aca="1" ref="G137" ca="1">IF(RegimeExecucao="Global","",ORÇAMENTO!T137)</f>
        <v>0</v>
      </c>
      <c r="H137" s="122">
        <f t="array" aca="1" ref="H137" ca="1">IF(RegimeExecucao="Global","",ORÇAMENTO!W137)</f>
        <v>0</v>
      </c>
      <c r="I137" s="125">
        <f ca="1">ORÇAMENTO!X137</f>
        <v>41021.4</v>
      </c>
      <c r="J137" s="333">
        <f t="array" aca="1" ref="J137" ca="1">IF($A137="S",IF(CAIXA.Modo,BM.AFAnterior,BM.MEDAnterior),IF(AND(RegimeExecucao="Global",$I137&gt;0,COUNTIF($AB$13:$AM$13,BM.medicao-1)&gt;0),M137/$I137*100,0))</f>
        <v>0</v>
      </c>
      <c r="K137" s="122">
        <f t="shared" ca="1" si="17"/>
        <v>0</v>
      </c>
      <c r="L137" s="334">
        <f t="array" aca="1" ref="L137" ca="1">IF($A137="S",IF(CAIXA.Modo,BM.AFAcumulado,BM.MEDAcumulado),IF(AND(RegimeExecucao="Global",$I137&gt;0,COUNTIF($AB$13:$AM$13,BM.medicao)&gt;0),O137/$I137*100,0))</f>
        <v>0</v>
      </c>
      <c r="M137" s="335">
        <f t="array" aca="1" ref="M137" ca="1">IF($A137="S",VTOTALBM,IF($A137=0,0,ROUND(SomaAgrupBM,15-13*ORÇAMENTO!$AF$11)))</f>
        <v>0</v>
      </c>
      <c r="N137" s="336">
        <f t="shared" ca="1" si="18"/>
        <v>0</v>
      </c>
      <c r="O137" s="125">
        <f t="array" aca="1" ref="O137" ca="1">IF($A137="S",VTOTALBM,IF($A137=0,0,ROUND(SomaAgrupBM,15-13*ORÇAMENTO!$AF$11)))</f>
        <v>0</v>
      </c>
      <c r="Q137" s="337"/>
      <c r="R137" s="338"/>
      <c r="T137" s="117" t="str">
        <f t="shared" ca="1" si="19"/>
        <v/>
      </c>
      <c r="U137" s="163" t="str">
        <f t="shared" ca="1" si="20"/>
        <v/>
      </c>
      <c r="V137" s="164" t="str">
        <f t="array" aca="1" ref="V137" ca="1">IF(AND($W137&gt;0,RegimeExecucao="Unitário"),$F137,"")</f>
        <v/>
      </c>
      <c r="W137" s="453">
        <f t="array" aca="1" ref="W137" ca="1">IF($Y137&gt;0,CHOOSE(MATCH(RegimeExecucao,{"Unitário","Global"},0),IF($A137="S",$Y137/$X137,""),($Y137/$X137)*100),0)</f>
        <v>0</v>
      </c>
      <c r="X137" s="339" t="str">
        <f t="array" aca="1" ref="X137" ca="1">IF($Y137&gt;0,CHOOSE(MATCH(RegimeExecucao,{"Unitário","Global"},0),IF($A137="S",ROUND($H137,ORÇAMENTO!$AF$10),""),ROUND($I137,ORÇAMENTO!$AF$11)),"")</f>
        <v/>
      </c>
      <c r="Y137" s="339">
        <f t="shared" ca="1" si="21"/>
        <v>0</v>
      </c>
      <c r="Z137" s="472"/>
      <c r="AB137" s="337"/>
      <c r="AC137" s="437"/>
      <c r="AD137" s="437"/>
      <c r="AE137" s="437"/>
      <c r="AF137" s="437"/>
      <c r="AG137" s="437"/>
      <c r="AH137" s="437"/>
      <c r="AI137" s="437"/>
      <c r="AJ137" s="437"/>
      <c r="AK137" s="437"/>
      <c r="AL137" s="437"/>
      <c r="AM137" s="338"/>
      <c r="AO137" s="696">
        <f t="array" aca="1" ref="AO137" ca="1">IF($A137="S",IF(BM!$I137=0,0,CHOOSE(MATCH(RegimeExecucao,{"Global","Unitário"},0),ROUND(ROUND(BM.MEDAcumulado,15-13*BM!$A$9)/100*BM!$I137,15-13*ORÇAMENTO!$AF$11),ROUND(ROUND(BM.MEDAcumulado,15-13*BM!$A$9)*ROUND(BM!$H137,15-13*ORÇAMENTO!$AF$10),15-13*ORÇAMENTO!$AF$11))),IF($A137=0,0,ROUND(SomaAgrupBM,15-13*ORÇAMENTO!$AF$11)))</f>
        <v>0</v>
      </c>
    </row>
    <row r="138" spans="1:41" s="696" customFormat="1" ht="25.5" x14ac:dyDescent="0.2">
      <c r="A138" s="696" t="str">
        <f ca="1">ORÇAMENTO!C138</f>
        <v>S</v>
      </c>
      <c r="B138" s="696">
        <f ca="1">ORÇAMENTO!D138</f>
        <v>0</v>
      </c>
      <c r="C138" s="114" t="str">
        <f t="shared" ca="1" si="15"/>
        <v>F</v>
      </c>
      <c r="D138" s="117" t="str">
        <f ca="1">ORÇAMENTO!O138</f>
        <v>1.24.1.</v>
      </c>
      <c r="E138" s="163" t="str">
        <f t="shared" ca="1" si="16"/>
        <v>LUMINÁRIA TIPO PLAFON CIRCULAR, DE SOBREPOR, COM LED DE 12/13 W - FORNECIMENTO E INSTALAÇÃO. AF_09/2024</v>
      </c>
      <c r="F138" s="164" t="str">
        <f t="array" aca="1" ref="F138" ca="1">IF(RegimeExecucao="Global","",ORÇAMENTO.Unidade)</f>
        <v>UN</v>
      </c>
      <c r="G138" s="122">
        <f t="array" aca="1" ref="G138" ca="1">IF(RegimeExecucao="Global","",ORÇAMENTO!T138)</f>
        <v>140</v>
      </c>
      <c r="H138" s="122">
        <f t="array" aca="1" ref="H138" ca="1">IF(RegimeExecucao="Global","",ORÇAMENTO!W138)</f>
        <v>34.61</v>
      </c>
      <c r="I138" s="125">
        <f ca="1">ORÇAMENTO!X138</f>
        <v>4845.3999999999996</v>
      </c>
      <c r="J138" s="333">
        <f t="array" aca="1" ref="J138" ca="1">IF($A138="S",IF(CAIXA.Modo,BM.AFAnterior,BM.MEDAnterior),IF(AND(RegimeExecucao="Global",$I138&gt;0,COUNTIF($AB$13:$AM$13,BM.medicao-1)&gt;0),M138/$I138*100,0))</f>
        <v>0</v>
      </c>
      <c r="K138" s="122">
        <f t="shared" ca="1" si="17"/>
        <v>0</v>
      </c>
      <c r="L138" s="334">
        <f t="array" aca="1" ref="L138" ca="1">IF($A138="S",IF(CAIXA.Modo,BM.AFAcumulado,BM.MEDAcumulado),IF(AND(RegimeExecucao="Global",$I138&gt;0,COUNTIF($AB$13:$AM$13,BM.medicao)&gt;0),O138/$I138*100,0))</f>
        <v>0</v>
      </c>
      <c r="M138" s="335">
        <f t="array" aca="1" ref="M138" ca="1">IF($A138="S",VTOTALBM,IF($A138=0,0,ROUND(SomaAgrupBM,15-13*ORÇAMENTO!$AF$11)))</f>
        <v>0</v>
      </c>
      <c r="N138" s="336">
        <f t="shared" ca="1" si="18"/>
        <v>0</v>
      </c>
      <c r="O138" s="125">
        <f t="array" aca="1" ref="O138" ca="1">IF($A138="S",VTOTALBM,IF($A138=0,0,ROUND(SomaAgrupBM,15-13*ORÇAMENTO!$AF$11)))</f>
        <v>0</v>
      </c>
      <c r="Q138" s="337"/>
      <c r="R138" s="338"/>
      <c r="T138" s="117" t="str">
        <f t="shared" ca="1" si="19"/>
        <v/>
      </c>
      <c r="U138" s="163" t="str">
        <f t="shared" ca="1" si="20"/>
        <v/>
      </c>
      <c r="V138" s="164" t="str">
        <f t="array" aca="1" ref="V138" ca="1">IF(AND($W138&gt;0,RegimeExecucao="Unitário"),$F138,"")</f>
        <v/>
      </c>
      <c r="W138" s="453">
        <f t="array" aca="1" ref="W138" ca="1">IF($Y138&gt;0,CHOOSE(MATCH(RegimeExecucao,{"Unitário","Global"},0),IF($A138="S",$Y138/$X138,""),($Y138/$X138)*100),0)</f>
        <v>0</v>
      </c>
      <c r="X138" s="339" t="str">
        <f t="array" aca="1" ref="X138" ca="1">IF($Y138&gt;0,CHOOSE(MATCH(RegimeExecucao,{"Unitário","Global"},0),IF($A138="S",ROUND($H138,ORÇAMENTO!$AF$10),""),ROUND($I138,ORÇAMENTO!$AF$11)),"")</f>
        <v/>
      </c>
      <c r="Y138" s="339">
        <f t="shared" ca="1" si="21"/>
        <v>0</v>
      </c>
      <c r="Z138" s="472"/>
      <c r="AB138" s="337"/>
      <c r="AC138" s="437"/>
      <c r="AD138" s="437"/>
      <c r="AE138" s="437"/>
      <c r="AF138" s="437"/>
      <c r="AG138" s="437"/>
      <c r="AH138" s="437"/>
      <c r="AI138" s="437"/>
      <c r="AJ138" s="437"/>
      <c r="AK138" s="437"/>
      <c r="AL138" s="437"/>
      <c r="AM138" s="338"/>
      <c r="AO138" s="696">
        <f t="array" aca="1" ref="AO138" ca="1">IF($A138="S",IF(BM!$I138=0,0,CHOOSE(MATCH(RegimeExecucao,{"Global","Unitário"},0),ROUND(ROUND(BM.MEDAcumulado,15-13*BM!$A$9)/100*BM!$I138,15-13*ORÇAMENTO!$AF$11),ROUND(ROUND(BM.MEDAcumulado,15-13*BM!$A$9)*ROUND(BM!$H138,15-13*ORÇAMENTO!$AF$10),15-13*ORÇAMENTO!$AF$11))),IF($A138=0,0,ROUND(SomaAgrupBM,15-13*ORÇAMENTO!$AF$11)))</f>
        <v>0</v>
      </c>
    </row>
    <row r="139" spans="1:41" s="696" customFormat="1" ht="25.5" x14ac:dyDescent="0.2">
      <c r="A139" s="696" t="str">
        <f ca="1">ORÇAMENTO!C139</f>
        <v>S</v>
      </c>
      <c r="B139" s="696">
        <f ca="1">ORÇAMENTO!D139</f>
        <v>0</v>
      </c>
      <c r="C139" s="114" t="str">
        <f t="shared" ca="1" si="15"/>
        <v>F</v>
      </c>
      <c r="D139" s="117" t="str">
        <f ca="1">ORÇAMENTO!O139</f>
        <v>1.24.2.</v>
      </c>
      <c r="E139" s="163" t="str">
        <f t="shared" ca="1" si="16"/>
        <v>LÂMPADA COMPACTA DE LED 10 W, BASE E27 - FORNECIMENTO E INSTALAÇÃO. AF_09/2024</v>
      </c>
      <c r="F139" s="164" t="str">
        <f t="array" aca="1" ref="F139" ca="1">IF(RegimeExecucao="Global","",ORÇAMENTO.Unidade)</f>
        <v>UN</v>
      </c>
      <c r="G139" s="122">
        <f t="array" aca="1" ref="G139" ca="1">IF(RegimeExecucao="Global","",ORÇAMENTO!T139)</f>
        <v>140</v>
      </c>
      <c r="H139" s="122">
        <f t="array" aca="1" ref="H139" ca="1">IF(RegimeExecucao="Global","",ORÇAMENTO!W139)</f>
        <v>16.23</v>
      </c>
      <c r="I139" s="125">
        <f ca="1">ORÇAMENTO!X139</f>
        <v>2272.1999999999998</v>
      </c>
      <c r="J139" s="333">
        <f t="array" aca="1" ref="J139" ca="1">IF($A139="S",IF(CAIXA.Modo,BM.AFAnterior,BM.MEDAnterior),IF(AND(RegimeExecucao="Global",$I139&gt;0,COUNTIF($AB$13:$AM$13,BM.medicao-1)&gt;0),M139/$I139*100,0))</f>
        <v>0</v>
      </c>
      <c r="K139" s="122">
        <f t="shared" ca="1" si="17"/>
        <v>0</v>
      </c>
      <c r="L139" s="334">
        <f t="array" aca="1" ref="L139" ca="1">IF($A139="S",IF(CAIXA.Modo,BM.AFAcumulado,BM.MEDAcumulado),IF(AND(RegimeExecucao="Global",$I139&gt;0,COUNTIF($AB$13:$AM$13,BM.medicao)&gt;0),O139/$I139*100,0))</f>
        <v>0</v>
      </c>
      <c r="M139" s="335">
        <f t="array" aca="1" ref="M139" ca="1">IF($A139="S",VTOTALBM,IF($A139=0,0,ROUND(SomaAgrupBM,15-13*ORÇAMENTO!$AF$11)))</f>
        <v>0</v>
      </c>
      <c r="N139" s="336">
        <f t="shared" ca="1" si="18"/>
        <v>0</v>
      </c>
      <c r="O139" s="125">
        <f t="array" aca="1" ref="O139" ca="1">IF($A139="S",VTOTALBM,IF($A139=0,0,ROUND(SomaAgrupBM,15-13*ORÇAMENTO!$AF$11)))</f>
        <v>0</v>
      </c>
      <c r="Q139" s="337"/>
      <c r="R139" s="338"/>
      <c r="T139" s="117" t="str">
        <f t="shared" ca="1" si="19"/>
        <v/>
      </c>
      <c r="U139" s="163" t="str">
        <f t="shared" ca="1" si="20"/>
        <v/>
      </c>
      <c r="V139" s="164" t="str">
        <f t="array" aca="1" ref="V139" ca="1">IF(AND($W139&gt;0,RegimeExecucao="Unitário"),$F139,"")</f>
        <v/>
      </c>
      <c r="W139" s="453">
        <f t="array" aca="1" ref="W139" ca="1">IF($Y139&gt;0,CHOOSE(MATCH(RegimeExecucao,{"Unitário","Global"},0),IF($A139="S",$Y139/$X139,""),($Y139/$X139)*100),0)</f>
        <v>0</v>
      </c>
      <c r="X139" s="339" t="str">
        <f t="array" aca="1" ref="X139" ca="1">IF($Y139&gt;0,CHOOSE(MATCH(RegimeExecucao,{"Unitário","Global"},0),IF($A139="S",ROUND($H139,ORÇAMENTO!$AF$10),""),ROUND($I139,ORÇAMENTO!$AF$11)),"")</f>
        <v/>
      </c>
      <c r="Y139" s="339">
        <f t="shared" ca="1" si="21"/>
        <v>0</v>
      </c>
      <c r="Z139" s="472"/>
      <c r="AB139" s="337"/>
      <c r="AC139" s="437"/>
      <c r="AD139" s="437"/>
      <c r="AE139" s="437"/>
      <c r="AF139" s="437"/>
      <c r="AG139" s="437"/>
      <c r="AH139" s="437"/>
      <c r="AI139" s="437"/>
      <c r="AJ139" s="437"/>
      <c r="AK139" s="437"/>
      <c r="AL139" s="437"/>
      <c r="AM139" s="338"/>
      <c r="AO139" s="696">
        <f t="array" aca="1" ref="AO139" ca="1">IF($A139="S",IF(BM!$I139=0,0,CHOOSE(MATCH(RegimeExecucao,{"Global","Unitário"},0),ROUND(ROUND(BM.MEDAcumulado,15-13*BM!$A$9)/100*BM!$I139,15-13*ORÇAMENTO!$AF$11),ROUND(ROUND(BM.MEDAcumulado,15-13*BM!$A$9)*ROUND(BM!$H139,15-13*ORÇAMENTO!$AF$10),15-13*ORÇAMENTO!$AF$11))),IF($A139=0,0,ROUND(SomaAgrupBM,15-13*ORÇAMENTO!$AF$11)))</f>
        <v>0</v>
      </c>
    </row>
    <row r="140" spans="1:41" s="696" customFormat="1" ht="25.5" x14ac:dyDescent="0.2">
      <c r="A140" s="696" t="str">
        <f ca="1">ORÇAMENTO!C140</f>
        <v>S</v>
      </c>
      <c r="B140" s="696">
        <f ca="1">ORÇAMENTO!D140</f>
        <v>0</v>
      </c>
      <c r="C140" s="114" t="str">
        <f t="shared" ca="1" si="15"/>
        <v>F</v>
      </c>
      <c r="D140" s="117" t="str">
        <f ca="1">ORÇAMENTO!O140</f>
        <v>1.24.3.</v>
      </c>
      <c r="E140" s="163" t="str">
        <f t="shared" ca="1" si="16"/>
        <v>INTERRUPTOR SIMPLES (1 MÓDULO), 10A/250V, INCLUINDO SUPORTE E PLACA - FORNECIMENTO E INSTALAÇÃO. AF_03/2023</v>
      </c>
      <c r="F140" s="164" t="str">
        <f t="array" aca="1" ref="F140" ca="1">IF(RegimeExecucao="Global","",ORÇAMENTO.Unidade)</f>
        <v>UN</v>
      </c>
      <c r="G140" s="122">
        <f t="array" aca="1" ref="G140" ca="1">IF(RegimeExecucao="Global","",ORÇAMENTO!T140)</f>
        <v>100</v>
      </c>
      <c r="H140" s="122">
        <f t="array" aca="1" ref="H140" ca="1">IF(RegimeExecucao="Global","",ORÇAMENTO!W140)</f>
        <v>35.06</v>
      </c>
      <c r="I140" s="125">
        <f ca="1">ORÇAMENTO!X140</f>
        <v>3506</v>
      </c>
      <c r="J140" s="333">
        <f t="array" aca="1" ref="J140" ca="1">IF($A140="S",IF(CAIXA.Modo,BM.AFAnterior,BM.MEDAnterior),IF(AND(RegimeExecucao="Global",$I140&gt;0,COUNTIF($AB$13:$AM$13,BM.medicao-1)&gt;0),M140/$I140*100,0))</f>
        <v>0</v>
      </c>
      <c r="K140" s="122">
        <f t="shared" ca="1" si="17"/>
        <v>0</v>
      </c>
      <c r="L140" s="334">
        <f t="array" aca="1" ref="L140" ca="1">IF($A140="S",IF(CAIXA.Modo,BM.AFAcumulado,BM.MEDAcumulado),IF(AND(RegimeExecucao="Global",$I140&gt;0,COUNTIF($AB$13:$AM$13,BM.medicao)&gt;0),O140/$I140*100,0))</f>
        <v>0</v>
      </c>
      <c r="M140" s="335">
        <f t="array" aca="1" ref="M140" ca="1">IF($A140="S",VTOTALBM,IF($A140=0,0,ROUND(SomaAgrupBM,15-13*ORÇAMENTO!$AF$11)))</f>
        <v>0</v>
      </c>
      <c r="N140" s="336">
        <f t="shared" ca="1" si="18"/>
        <v>0</v>
      </c>
      <c r="O140" s="125">
        <f t="array" aca="1" ref="O140" ca="1">IF($A140="S",VTOTALBM,IF($A140=0,0,ROUND(SomaAgrupBM,15-13*ORÇAMENTO!$AF$11)))</f>
        <v>0</v>
      </c>
      <c r="Q140" s="337"/>
      <c r="R140" s="338"/>
      <c r="T140" s="117" t="str">
        <f t="shared" ca="1" si="19"/>
        <v/>
      </c>
      <c r="U140" s="163" t="str">
        <f t="shared" ca="1" si="20"/>
        <v/>
      </c>
      <c r="V140" s="164" t="str">
        <f t="array" aca="1" ref="V140" ca="1">IF(AND($W140&gt;0,RegimeExecucao="Unitário"),$F140,"")</f>
        <v/>
      </c>
      <c r="W140" s="453">
        <f t="array" aca="1" ref="W140" ca="1">IF($Y140&gt;0,CHOOSE(MATCH(RegimeExecucao,{"Unitário","Global"},0),IF($A140="S",$Y140/$X140,""),($Y140/$X140)*100),0)</f>
        <v>0</v>
      </c>
      <c r="X140" s="339" t="str">
        <f t="array" aca="1" ref="X140" ca="1">IF($Y140&gt;0,CHOOSE(MATCH(RegimeExecucao,{"Unitário","Global"},0),IF($A140="S",ROUND($H140,ORÇAMENTO!$AF$10),""),ROUND($I140,ORÇAMENTO!$AF$11)),"")</f>
        <v/>
      </c>
      <c r="Y140" s="339">
        <f t="shared" ca="1" si="21"/>
        <v>0</v>
      </c>
      <c r="Z140" s="472"/>
      <c r="AB140" s="337"/>
      <c r="AC140" s="437"/>
      <c r="AD140" s="437"/>
      <c r="AE140" s="437"/>
      <c r="AF140" s="437"/>
      <c r="AG140" s="437"/>
      <c r="AH140" s="437"/>
      <c r="AI140" s="437"/>
      <c r="AJ140" s="437"/>
      <c r="AK140" s="437"/>
      <c r="AL140" s="437"/>
      <c r="AM140" s="338"/>
      <c r="AO140" s="696">
        <f t="array" aca="1" ref="AO140" ca="1">IF($A140="S",IF(BM!$I140=0,0,CHOOSE(MATCH(RegimeExecucao,{"Global","Unitário"},0),ROUND(ROUND(BM.MEDAcumulado,15-13*BM!$A$9)/100*BM!$I140,15-13*ORÇAMENTO!$AF$11),ROUND(ROUND(BM.MEDAcumulado,15-13*BM!$A$9)*ROUND(BM!$H140,15-13*ORÇAMENTO!$AF$10),15-13*ORÇAMENTO!$AF$11))),IF($A140=0,0,ROUND(SomaAgrupBM,15-13*ORÇAMENTO!$AF$11)))</f>
        <v>0</v>
      </c>
    </row>
    <row r="141" spans="1:41" s="696" customFormat="1" ht="25.5" x14ac:dyDescent="0.2">
      <c r="A141" s="696" t="str">
        <f ca="1">ORÇAMENTO!C141</f>
        <v>S</v>
      </c>
      <c r="B141" s="696">
        <f ca="1">ORÇAMENTO!D141</f>
        <v>0</v>
      </c>
      <c r="C141" s="114" t="str">
        <f t="shared" ca="1" si="15"/>
        <v>F</v>
      </c>
      <c r="D141" s="117" t="str">
        <f ca="1">ORÇAMENTO!O141</f>
        <v>1.24.4.</v>
      </c>
      <c r="E141" s="163" t="str">
        <f t="shared" ca="1" si="16"/>
        <v>INTERRUPTOR SIMPLES (2 MÓDULOS), 10A/250V, INCLUINDO SUPORTE E PLACA - FORNECIMENTO E INSTALAÇÃO. AF_03/2023</v>
      </c>
      <c r="F141" s="164" t="str">
        <f t="array" aca="1" ref="F141" ca="1">IF(RegimeExecucao="Global","",ORÇAMENTO.Unidade)</f>
        <v>UN</v>
      </c>
      <c r="G141" s="122">
        <f t="array" aca="1" ref="G141" ca="1">IF(RegimeExecucao="Global","",ORÇAMENTO!T141)</f>
        <v>20</v>
      </c>
      <c r="H141" s="122">
        <f t="array" aca="1" ref="H141" ca="1">IF(RegimeExecucao="Global","",ORÇAMENTO!W141)</f>
        <v>53.23</v>
      </c>
      <c r="I141" s="125">
        <f ca="1">ORÇAMENTO!X141</f>
        <v>1064.5999999999999</v>
      </c>
      <c r="J141" s="333">
        <f t="array" aca="1" ref="J141" ca="1">IF($A141="S",IF(CAIXA.Modo,BM.AFAnterior,BM.MEDAnterior),IF(AND(RegimeExecucao="Global",$I141&gt;0,COUNTIF($AB$13:$AM$13,BM.medicao-1)&gt;0),M141/$I141*100,0))</f>
        <v>0</v>
      </c>
      <c r="K141" s="122">
        <f t="shared" ca="1" si="17"/>
        <v>0</v>
      </c>
      <c r="L141" s="334">
        <f t="array" aca="1" ref="L141" ca="1">IF($A141="S",IF(CAIXA.Modo,BM.AFAcumulado,BM.MEDAcumulado),IF(AND(RegimeExecucao="Global",$I141&gt;0,COUNTIF($AB$13:$AM$13,BM.medicao)&gt;0),O141/$I141*100,0))</f>
        <v>0</v>
      </c>
      <c r="M141" s="335">
        <f t="array" aca="1" ref="M141" ca="1">IF($A141="S",VTOTALBM,IF($A141=0,0,ROUND(SomaAgrupBM,15-13*ORÇAMENTO!$AF$11)))</f>
        <v>0</v>
      </c>
      <c r="N141" s="336">
        <f t="shared" ca="1" si="18"/>
        <v>0</v>
      </c>
      <c r="O141" s="125">
        <f t="array" aca="1" ref="O141" ca="1">IF($A141="S",VTOTALBM,IF($A141=0,0,ROUND(SomaAgrupBM,15-13*ORÇAMENTO!$AF$11)))</f>
        <v>0</v>
      </c>
      <c r="Q141" s="337"/>
      <c r="R141" s="338"/>
      <c r="T141" s="117" t="str">
        <f t="shared" ca="1" si="19"/>
        <v/>
      </c>
      <c r="U141" s="163" t="str">
        <f t="shared" ca="1" si="20"/>
        <v/>
      </c>
      <c r="V141" s="164" t="str">
        <f t="array" aca="1" ref="V141" ca="1">IF(AND($W141&gt;0,RegimeExecucao="Unitário"),$F141,"")</f>
        <v/>
      </c>
      <c r="W141" s="453">
        <f t="array" aca="1" ref="W141" ca="1">IF($Y141&gt;0,CHOOSE(MATCH(RegimeExecucao,{"Unitário","Global"},0),IF($A141="S",$Y141/$X141,""),($Y141/$X141)*100),0)</f>
        <v>0</v>
      </c>
      <c r="X141" s="339" t="str">
        <f t="array" aca="1" ref="X141" ca="1">IF($Y141&gt;0,CHOOSE(MATCH(RegimeExecucao,{"Unitário","Global"},0),IF($A141="S",ROUND($H141,ORÇAMENTO!$AF$10),""),ROUND($I141,ORÇAMENTO!$AF$11)),"")</f>
        <v/>
      </c>
      <c r="Y141" s="339">
        <f t="shared" ca="1" si="21"/>
        <v>0</v>
      </c>
      <c r="Z141" s="472"/>
      <c r="AB141" s="337"/>
      <c r="AC141" s="437"/>
      <c r="AD141" s="437"/>
      <c r="AE141" s="437"/>
      <c r="AF141" s="437"/>
      <c r="AG141" s="437"/>
      <c r="AH141" s="437"/>
      <c r="AI141" s="437"/>
      <c r="AJ141" s="437"/>
      <c r="AK141" s="437"/>
      <c r="AL141" s="437"/>
      <c r="AM141" s="338"/>
      <c r="AO141" s="696">
        <f t="array" aca="1" ref="AO141" ca="1">IF($A141="S",IF(BM!$I141=0,0,CHOOSE(MATCH(RegimeExecucao,{"Global","Unitário"},0),ROUND(ROUND(BM.MEDAcumulado,15-13*BM!$A$9)/100*BM!$I141,15-13*ORÇAMENTO!$AF$11),ROUND(ROUND(BM.MEDAcumulado,15-13*BM!$A$9)*ROUND(BM!$H141,15-13*ORÇAMENTO!$AF$10),15-13*ORÇAMENTO!$AF$11))),IF($A141=0,0,ROUND(SomaAgrupBM,15-13*ORÇAMENTO!$AF$11)))</f>
        <v>0</v>
      </c>
    </row>
    <row r="142" spans="1:41" s="696" customFormat="1" ht="25.5" x14ac:dyDescent="0.2">
      <c r="A142" s="696" t="str">
        <f ca="1">ORÇAMENTO!C142</f>
        <v>S</v>
      </c>
      <c r="B142" s="696">
        <f ca="1">ORÇAMENTO!D142</f>
        <v>0</v>
      </c>
      <c r="C142" s="114" t="str">
        <f t="shared" ca="1" si="15"/>
        <v>F</v>
      </c>
      <c r="D142" s="117" t="str">
        <f ca="1">ORÇAMENTO!O142</f>
        <v>1.24.5.</v>
      </c>
      <c r="E142" s="163" t="str">
        <f t="shared" ca="1" si="16"/>
        <v>TOMADA BAIXA DE EMBUTIR (1 MÓDULO), 2P+T 10 A, INCLUINDO SUPORTE E PLACA - FORNECIMENTO E INSTALAÇÃO. AF_03/2023</v>
      </c>
      <c r="F142" s="164" t="str">
        <f t="array" aca="1" ref="F142" ca="1">IF(RegimeExecucao="Global","",ORÇAMENTO.Unidade)</f>
        <v>UN</v>
      </c>
      <c r="G142" s="122">
        <f t="array" aca="1" ref="G142" ca="1">IF(RegimeExecucao="Global","",ORÇAMENTO!T142)</f>
        <v>200</v>
      </c>
      <c r="H142" s="122">
        <f t="array" aca="1" ref="H142" ca="1">IF(RegimeExecucao="Global","",ORÇAMENTO!W142)</f>
        <v>36.69</v>
      </c>
      <c r="I142" s="125">
        <f ca="1">ORÇAMENTO!X142</f>
        <v>7338</v>
      </c>
      <c r="J142" s="333">
        <f t="array" aca="1" ref="J142" ca="1">IF($A142="S",IF(CAIXA.Modo,BM.AFAnterior,BM.MEDAnterior),IF(AND(RegimeExecucao="Global",$I142&gt;0,COUNTIF($AB$13:$AM$13,BM.medicao-1)&gt;0),M142/$I142*100,0))</f>
        <v>0</v>
      </c>
      <c r="K142" s="122">
        <f t="shared" ca="1" si="17"/>
        <v>0</v>
      </c>
      <c r="L142" s="334">
        <f t="array" aca="1" ref="L142" ca="1">IF($A142="S",IF(CAIXA.Modo,BM.AFAcumulado,BM.MEDAcumulado),IF(AND(RegimeExecucao="Global",$I142&gt;0,COUNTIF($AB$13:$AM$13,BM.medicao)&gt;0),O142/$I142*100,0))</f>
        <v>0</v>
      </c>
      <c r="M142" s="335">
        <f t="array" aca="1" ref="M142" ca="1">IF($A142="S",VTOTALBM,IF($A142=0,0,ROUND(SomaAgrupBM,15-13*ORÇAMENTO!$AF$11)))</f>
        <v>0</v>
      </c>
      <c r="N142" s="336">
        <f t="shared" ca="1" si="18"/>
        <v>0</v>
      </c>
      <c r="O142" s="125">
        <f t="array" aca="1" ref="O142" ca="1">IF($A142="S",VTOTALBM,IF($A142=0,0,ROUND(SomaAgrupBM,15-13*ORÇAMENTO!$AF$11)))</f>
        <v>0</v>
      </c>
      <c r="Q142" s="337"/>
      <c r="R142" s="338"/>
      <c r="T142" s="117" t="str">
        <f t="shared" ca="1" si="19"/>
        <v/>
      </c>
      <c r="U142" s="163" t="str">
        <f t="shared" ca="1" si="20"/>
        <v/>
      </c>
      <c r="V142" s="164" t="str">
        <f t="array" aca="1" ref="V142" ca="1">IF(AND($W142&gt;0,RegimeExecucao="Unitário"),$F142,"")</f>
        <v/>
      </c>
      <c r="W142" s="453">
        <f t="array" aca="1" ref="W142" ca="1">IF($Y142&gt;0,CHOOSE(MATCH(RegimeExecucao,{"Unitário","Global"},0),IF($A142="S",$Y142/$X142,""),($Y142/$X142)*100),0)</f>
        <v>0</v>
      </c>
      <c r="X142" s="339" t="str">
        <f t="array" aca="1" ref="X142" ca="1">IF($Y142&gt;0,CHOOSE(MATCH(RegimeExecucao,{"Unitário","Global"},0),IF($A142="S",ROUND($H142,ORÇAMENTO!$AF$10),""),ROUND($I142,ORÇAMENTO!$AF$11)),"")</f>
        <v/>
      </c>
      <c r="Y142" s="339">
        <f t="shared" ca="1" si="21"/>
        <v>0</v>
      </c>
      <c r="Z142" s="472"/>
      <c r="AB142" s="337"/>
      <c r="AC142" s="437"/>
      <c r="AD142" s="437"/>
      <c r="AE142" s="437"/>
      <c r="AF142" s="437"/>
      <c r="AG142" s="437"/>
      <c r="AH142" s="437"/>
      <c r="AI142" s="437"/>
      <c r="AJ142" s="437"/>
      <c r="AK142" s="437"/>
      <c r="AL142" s="437"/>
      <c r="AM142" s="338"/>
      <c r="AO142" s="696">
        <f t="array" aca="1" ref="AO142" ca="1">IF($A142="S",IF(BM!$I142=0,0,CHOOSE(MATCH(RegimeExecucao,{"Global","Unitário"},0),ROUND(ROUND(BM.MEDAcumulado,15-13*BM!$A$9)/100*BM!$I142,15-13*ORÇAMENTO!$AF$11),ROUND(ROUND(BM.MEDAcumulado,15-13*BM!$A$9)*ROUND(BM!$H142,15-13*ORÇAMENTO!$AF$10),15-13*ORÇAMENTO!$AF$11))),IF($A142=0,0,ROUND(SomaAgrupBM,15-13*ORÇAMENTO!$AF$11)))</f>
        <v>0</v>
      </c>
    </row>
    <row r="143" spans="1:41" s="696" customFormat="1" ht="25.5" x14ac:dyDescent="0.2">
      <c r="A143" s="696" t="str">
        <f ca="1">ORÇAMENTO!C143</f>
        <v>S</v>
      </c>
      <c r="B143" s="696">
        <f ca="1">ORÇAMENTO!D143</f>
        <v>0</v>
      </c>
      <c r="C143" s="114" t="str">
        <f t="shared" ca="1" si="15"/>
        <v>F</v>
      </c>
      <c r="D143" s="117" t="str">
        <f ca="1">ORÇAMENTO!O143</f>
        <v>1.24.6.</v>
      </c>
      <c r="E143" s="163" t="str">
        <f t="shared" ca="1" si="16"/>
        <v>TOMADA MÉDIA DE EMBUTIR (1 MÓDULO), 2P+T 10 A, INCLUINDO SUPORTE E PLACA - FORNECIMENTO E INSTALAÇÃO. AF_03/2023</v>
      </c>
      <c r="F143" s="164" t="str">
        <f t="array" aca="1" ref="F143" ca="1">IF(RegimeExecucao="Global","",ORÇAMENTO.Unidade)</f>
        <v>UN</v>
      </c>
      <c r="G143" s="122">
        <f t="array" aca="1" ref="G143" ca="1">IF(RegimeExecucao="Global","",ORÇAMENTO!T143)</f>
        <v>120</v>
      </c>
      <c r="H143" s="122">
        <f t="array" aca="1" ref="H143" ca="1">IF(RegimeExecucao="Global","",ORÇAMENTO!W143)</f>
        <v>41.54</v>
      </c>
      <c r="I143" s="125">
        <f ca="1">ORÇAMENTO!X143</f>
        <v>4984.8</v>
      </c>
      <c r="J143" s="333">
        <f t="array" aca="1" ref="J143" ca="1">IF($A143="S",IF(CAIXA.Modo,BM.AFAnterior,BM.MEDAnterior),IF(AND(RegimeExecucao="Global",$I143&gt;0,COUNTIF($AB$13:$AM$13,BM.medicao-1)&gt;0),M143/$I143*100,0))</f>
        <v>0</v>
      </c>
      <c r="K143" s="122">
        <f t="shared" ca="1" si="17"/>
        <v>0</v>
      </c>
      <c r="L143" s="334">
        <f t="array" aca="1" ref="L143" ca="1">IF($A143="S",IF(CAIXA.Modo,BM.AFAcumulado,BM.MEDAcumulado),IF(AND(RegimeExecucao="Global",$I143&gt;0,COUNTIF($AB$13:$AM$13,BM.medicao)&gt;0),O143/$I143*100,0))</f>
        <v>0</v>
      </c>
      <c r="M143" s="335">
        <f t="array" aca="1" ref="M143" ca="1">IF($A143="S",VTOTALBM,IF($A143=0,0,ROUND(SomaAgrupBM,15-13*ORÇAMENTO!$AF$11)))</f>
        <v>0</v>
      </c>
      <c r="N143" s="336">
        <f t="shared" ca="1" si="18"/>
        <v>0</v>
      </c>
      <c r="O143" s="125">
        <f t="array" aca="1" ref="O143" ca="1">IF($A143="S",VTOTALBM,IF($A143=0,0,ROUND(SomaAgrupBM,15-13*ORÇAMENTO!$AF$11)))</f>
        <v>0</v>
      </c>
      <c r="Q143" s="337"/>
      <c r="R143" s="338"/>
      <c r="T143" s="117" t="str">
        <f t="shared" ca="1" si="19"/>
        <v/>
      </c>
      <c r="U143" s="163" t="str">
        <f t="shared" ca="1" si="20"/>
        <v/>
      </c>
      <c r="V143" s="164" t="str">
        <f t="array" aca="1" ref="V143" ca="1">IF(AND($W143&gt;0,RegimeExecucao="Unitário"),$F143,"")</f>
        <v/>
      </c>
      <c r="W143" s="453">
        <f t="array" aca="1" ref="W143" ca="1">IF($Y143&gt;0,CHOOSE(MATCH(RegimeExecucao,{"Unitário","Global"},0),IF($A143="S",$Y143/$X143,""),($Y143/$X143)*100),0)</f>
        <v>0</v>
      </c>
      <c r="X143" s="339" t="str">
        <f t="array" aca="1" ref="X143" ca="1">IF($Y143&gt;0,CHOOSE(MATCH(RegimeExecucao,{"Unitário","Global"},0),IF($A143="S",ROUND($H143,ORÇAMENTO!$AF$10),""),ROUND($I143,ORÇAMENTO!$AF$11)),"")</f>
        <v/>
      </c>
      <c r="Y143" s="339">
        <f t="shared" ca="1" si="21"/>
        <v>0</v>
      </c>
      <c r="Z143" s="472"/>
      <c r="AB143" s="337"/>
      <c r="AC143" s="437"/>
      <c r="AD143" s="437"/>
      <c r="AE143" s="437"/>
      <c r="AF143" s="437"/>
      <c r="AG143" s="437"/>
      <c r="AH143" s="437"/>
      <c r="AI143" s="437"/>
      <c r="AJ143" s="437"/>
      <c r="AK143" s="437"/>
      <c r="AL143" s="437"/>
      <c r="AM143" s="338"/>
      <c r="AO143" s="696">
        <f t="array" aca="1" ref="AO143" ca="1">IF($A143="S",IF(BM!$I143=0,0,CHOOSE(MATCH(RegimeExecucao,{"Global","Unitário"},0),ROUND(ROUND(BM.MEDAcumulado,15-13*BM!$A$9)/100*BM!$I143,15-13*ORÇAMENTO!$AF$11),ROUND(ROUND(BM.MEDAcumulado,15-13*BM!$A$9)*ROUND(BM!$H143,15-13*ORÇAMENTO!$AF$10),15-13*ORÇAMENTO!$AF$11))),IF($A143=0,0,ROUND(SomaAgrupBM,15-13*ORÇAMENTO!$AF$11)))</f>
        <v>0</v>
      </c>
    </row>
    <row r="144" spans="1:41" s="696" customFormat="1" ht="25.5" x14ac:dyDescent="0.2">
      <c r="A144" s="696" t="str">
        <f ca="1">ORÇAMENTO!C144</f>
        <v>S</v>
      </c>
      <c r="B144" s="696">
        <f ca="1">ORÇAMENTO!D144</f>
        <v>0</v>
      </c>
      <c r="C144" s="114" t="str">
        <f t="shared" ca="1" si="15"/>
        <v>F</v>
      </c>
      <c r="D144" s="117" t="str">
        <f ca="1">ORÇAMENTO!O144</f>
        <v>1.24.7.</v>
      </c>
      <c r="E144" s="163" t="str">
        <f t="shared" ca="1" si="16"/>
        <v>TOMADA ALTA DE EMBUTIR (1 MÓDULO), 2P+T 20 A, INCLUINDO SUPORTE E PLACA - FORNECIMENTO E INSTALAÇÃO. AF_03/2023</v>
      </c>
      <c r="F144" s="164" t="str">
        <f t="array" aca="1" ref="F144" ca="1">IF(RegimeExecucao="Global","",ORÇAMENTO.Unidade)</f>
        <v>UN</v>
      </c>
      <c r="G144" s="122">
        <f t="array" aca="1" ref="G144" ca="1">IF(RegimeExecucao="Global","",ORÇAMENTO!T144)</f>
        <v>20</v>
      </c>
      <c r="H144" s="122">
        <f t="array" aca="1" ref="H144" ca="1">IF(RegimeExecucao="Global","",ORÇAMENTO!W144)</f>
        <v>56.38</v>
      </c>
      <c r="I144" s="125">
        <f ca="1">ORÇAMENTO!X144</f>
        <v>1127.5999999999999</v>
      </c>
      <c r="J144" s="333">
        <f t="array" aca="1" ref="J144" ca="1">IF($A144="S",IF(CAIXA.Modo,BM.AFAnterior,BM.MEDAnterior),IF(AND(RegimeExecucao="Global",$I144&gt;0,COUNTIF($AB$13:$AM$13,BM.medicao-1)&gt;0),M144/$I144*100,0))</f>
        <v>0</v>
      </c>
      <c r="K144" s="122">
        <f t="shared" ca="1" si="17"/>
        <v>0</v>
      </c>
      <c r="L144" s="334">
        <f t="array" aca="1" ref="L144" ca="1">IF($A144="S",IF(CAIXA.Modo,BM.AFAcumulado,BM.MEDAcumulado),IF(AND(RegimeExecucao="Global",$I144&gt;0,COUNTIF($AB$13:$AM$13,BM.medicao)&gt;0),O144/$I144*100,0))</f>
        <v>0</v>
      </c>
      <c r="M144" s="335">
        <f t="array" aca="1" ref="M144" ca="1">IF($A144="S",VTOTALBM,IF($A144=0,0,ROUND(SomaAgrupBM,15-13*ORÇAMENTO!$AF$11)))</f>
        <v>0</v>
      </c>
      <c r="N144" s="336">
        <f t="shared" ca="1" si="18"/>
        <v>0</v>
      </c>
      <c r="O144" s="125">
        <f t="array" aca="1" ref="O144" ca="1">IF($A144="S",VTOTALBM,IF($A144=0,0,ROUND(SomaAgrupBM,15-13*ORÇAMENTO!$AF$11)))</f>
        <v>0</v>
      </c>
      <c r="Q144" s="337"/>
      <c r="R144" s="338"/>
      <c r="T144" s="117" t="str">
        <f t="shared" ca="1" si="19"/>
        <v/>
      </c>
      <c r="U144" s="163" t="str">
        <f t="shared" ca="1" si="20"/>
        <v/>
      </c>
      <c r="V144" s="164" t="str">
        <f t="array" aca="1" ref="V144" ca="1">IF(AND($W144&gt;0,RegimeExecucao="Unitário"),$F144,"")</f>
        <v/>
      </c>
      <c r="W144" s="453">
        <f t="array" aca="1" ref="W144" ca="1">IF($Y144&gt;0,CHOOSE(MATCH(RegimeExecucao,{"Unitário","Global"},0),IF($A144="S",$Y144/$X144,""),($Y144/$X144)*100),0)</f>
        <v>0</v>
      </c>
      <c r="X144" s="339" t="str">
        <f t="array" aca="1" ref="X144" ca="1">IF($Y144&gt;0,CHOOSE(MATCH(RegimeExecucao,{"Unitário","Global"},0),IF($A144="S",ROUND($H144,ORÇAMENTO!$AF$10),""),ROUND($I144,ORÇAMENTO!$AF$11)),"")</f>
        <v/>
      </c>
      <c r="Y144" s="339">
        <f t="shared" ca="1" si="21"/>
        <v>0</v>
      </c>
      <c r="Z144" s="472"/>
      <c r="AB144" s="337"/>
      <c r="AC144" s="437"/>
      <c r="AD144" s="437"/>
      <c r="AE144" s="437"/>
      <c r="AF144" s="437"/>
      <c r="AG144" s="437"/>
      <c r="AH144" s="437"/>
      <c r="AI144" s="437"/>
      <c r="AJ144" s="437"/>
      <c r="AK144" s="437"/>
      <c r="AL144" s="437"/>
      <c r="AM144" s="338"/>
      <c r="AO144" s="696">
        <f t="array" aca="1" ref="AO144" ca="1">IF($A144="S",IF(BM!$I144=0,0,CHOOSE(MATCH(RegimeExecucao,{"Global","Unitário"},0),ROUND(ROUND(BM.MEDAcumulado,15-13*BM!$A$9)/100*BM!$I144,15-13*ORÇAMENTO!$AF$11),ROUND(ROUND(BM.MEDAcumulado,15-13*BM!$A$9)*ROUND(BM!$H144,15-13*ORÇAMENTO!$AF$10),15-13*ORÇAMENTO!$AF$11))),IF($A144=0,0,ROUND(SomaAgrupBM,15-13*ORÇAMENTO!$AF$11)))</f>
        <v>0</v>
      </c>
    </row>
    <row r="145" spans="1:41" s="696" customFormat="1" ht="38.25" x14ac:dyDescent="0.2">
      <c r="A145" s="696" t="str">
        <f ca="1">ORÇAMENTO!C145</f>
        <v>S</v>
      </c>
      <c r="B145" s="696">
        <f ca="1">ORÇAMENTO!D145</f>
        <v>0</v>
      </c>
      <c r="C145" s="114" t="str">
        <f t="shared" ca="1" si="15"/>
        <v>F</v>
      </c>
      <c r="D145" s="117" t="str">
        <f ca="1">ORÇAMENTO!O145</f>
        <v>1.24.8.</v>
      </c>
      <c r="E145" s="163" t="str">
        <f t="shared" ca="1" si="16"/>
        <v>INTERRUPTOR PULSADOR CAMPAINHA (1 MÓDULO), 10A/250V, INCLUINDO SUPORTE E PLACA - FORNECIMENTO E INSTALAÇÃO. AF_03/2023</v>
      </c>
      <c r="F145" s="164" t="str">
        <f t="array" aca="1" ref="F145" ca="1">IF(RegimeExecucao="Global","",ORÇAMENTO.Unidade)</f>
        <v>UN</v>
      </c>
      <c r="G145" s="122">
        <f t="array" aca="1" ref="G145" ca="1">IF(RegimeExecucao="Global","",ORÇAMENTO!T145)</f>
        <v>20</v>
      </c>
      <c r="H145" s="122">
        <f t="array" aca="1" ref="H145" ca="1">IF(RegimeExecucao="Global","",ORÇAMENTO!W145)</f>
        <v>33.89</v>
      </c>
      <c r="I145" s="125">
        <f ca="1">ORÇAMENTO!X145</f>
        <v>677.8</v>
      </c>
      <c r="J145" s="333">
        <f t="array" aca="1" ref="J145" ca="1">IF($A145="S",IF(CAIXA.Modo,BM.AFAnterior,BM.MEDAnterior),IF(AND(RegimeExecucao="Global",$I145&gt;0,COUNTIF($AB$13:$AM$13,BM.medicao-1)&gt;0),M145/$I145*100,0))</f>
        <v>0</v>
      </c>
      <c r="K145" s="122">
        <f t="shared" ca="1" si="17"/>
        <v>0</v>
      </c>
      <c r="L145" s="334">
        <f t="array" aca="1" ref="L145" ca="1">IF($A145="S",IF(CAIXA.Modo,BM.AFAcumulado,BM.MEDAcumulado),IF(AND(RegimeExecucao="Global",$I145&gt;0,COUNTIF($AB$13:$AM$13,BM.medicao)&gt;0),O145/$I145*100,0))</f>
        <v>0</v>
      </c>
      <c r="M145" s="335">
        <f t="array" aca="1" ref="M145" ca="1">IF($A145="S",VTOTALBM,IF($A145=0,0,ROUND(SomaAgrupBM,15-13*ORÇAMENTO!$AF$11)))</f>
        <v>0</v>
      </c>
      <c r="N145" s="336">
        <f t="shared" ca="1" si="18"/>
        <v>0</v>
      </c>
      <c r="O145" s="125">
        <f t="array" aca="1" ref="O145" ca="1">IF($A145="S",VTOTALBM,IF($A145=0,0,ROUND(SomaAgrupBM,15-13*ORÇAMENTO!$AF$11)))</f>
        <v>0</v>
      </c>
      <c r="Q145" s="337"/>
      <c r="R145" s="338"/>
      <c r="T145" s="117" t="str">
        <f t="shared" ca="1" si="19"/>
        <v/>
      </c>
      <c r="U145" s="163" t="str">
        <f t="shared" ca="1" si="20"/>
        <v/>
      </c>
      <c r="V145" s="164" t="str">
        <f t="array" aca="1" ref="V145" ca="1">IF(AND($W145&gt;0,RegimeExecucao="Unitário"),$F145,"")</f>
        <v/>
      </c>
      <c r="W145" s="453">
        <f t="array" aca="1" ref="W145" ca="1">IF($Y145&gt;0,CHOOSE(MATCH(RegimeExecucao,{"Unitário","Global"},0),IF($A145="S",$Y145/$X145,""),($Y145/$X145)*100),0)</f>
        <v>0</v>
      </c>
      <c r="X145" s="339" t="str">
        <f t="array" aca="1" ref="X145" ca="1">IF($Y145&gt;0,CHOOSE(MATCH(RegimeExecucao,{"Unitário","Global"},0),IF($A145="S",ROUND($H145,ORÇAMENTO!$AF$10),""),ROUND($I145,ORÇAMENTO!$AF$11)),"")</f>
        <v/>
      </c>
      <c r="Y145" s="339">
        <f t="shared" ca="1" si="21"/>
        <v>0</v>
      </c>
      <c r="Z145" s="472"/>
      <c r="AB145" s="337"/>
      <c r="AC145" s="437"/>
      <c r="AD145" s="437"/>
      <c r="AE145" s="437"/>
      <c r="AF145" s="437"/>
      <c r="AG145" s="437"/>
      <c r="AH145" s="437"/>
      <c r="AI145" s="437"/>
      <c r="AJ145" s="437"/>
      <c r="AK145" s="437"/>
      <c r="AL145" s="437"/>
      <c r="AM145" s="338"/>
      <c r="AO145" s="696">
        <f t="array" aca="1" ref="AO145" ca="1">IF($A145="S",IF(BM!$I145=0,0,CHOOSE(MATCH(RegimeExecucao,{"Global","Unitário"},0),ROUND(ROUND(BM.MEDAcumulado,15-13*BM!$A$9)/100*BM!$I145,15-13*ORÇAMENTO!$AF$11),ROUND(ROUND(BM.MEDAcumulado,15-13*BM!$A$9)*ROUND(BM!$H145,15-13*ORÇAMENTO!$AF$10),15-13*ORÇAMENTO!$AF$11))),IF($A145=0,0,ROUND(SomaAgrupBM,15-13*ORÇAMENTO!$AF$11)))</f>
        <v>0</v>
      </c>
    </row>
    <row r="146" spans="1:41" s="696" customFormat="1" ht="25.5" x14ac:dyDescent="0.2">
      <c r="A146" s="696" t="str">
        <f ca="1">ORÇAMENTO!C146</f>
        <v>S</v>
      </c>
      <c r="B146" s="696">
        <f ca="1">ORÇAMENTO!D146</f>
        <v>0</v>
      </c>
      <c r="C146" s="114" t="str">
        <f t="shared" ca="1" si="15"/>
        <v>F</v>
      </c>
      <c r="D146" s="117" t="str">
        <f ca="1">ORÇAMENTO!O146</f>
        <v>1.24.9.</v>
      </c>
      <c r="E146" s="163" t="str">
        <f t="shared" ca="1" si="16"/>
        <v>CAMPAINHA CIGARRA (1 MÓDULO), 10A/250V, INCLUINDO SUPORTE E PLACA - FORNECIMENTO E INSTALAÇÃO. AF_03/2023</v>
      </c>
      <c r="F146" s="164" t="str">
        <f t="array" aca="1" ref="F146" ca="1">IF(RegimeExecucao="Global","",ORÇAMENTO.Unidade)</f>
        <v>UN</v>
      </c>
      <c r="G146" s="122">
        <f t="array" aca="1" ref="G146" ca="1">IF(RegimeExecucao="Global","",ORÇAMENTO!T146)</f>
        <v>20</v>
      </c>
      <c r="H146" s="122">
        <f t="array" aca="1" ref="H146" ca="1">IF(RegimeExecucao="Global","",ORÇAMENTO!W146)</f>
        <v>55.48</v>
      </c>
      <c r="I146" s="125">
        <f ca="1">ORÇAMENTO!X146</f>
        <v>1109.5999999999999</v>
      </c>
      <c r="J146" s="333">
        <f t="array" aca="1" ref="J146" ca="1">IF($A146="S",IF(CAIXA.Modo,BM.AFAnterior,BM.MEDAnterior),IF(AND(RegimeExecucao="Global",$I146&gt;0,COUNTIF($AB$13:$AM$13,BM.medicao-1)&gt;0),M146/$I146*100,0))</f>
        <v>0</v>
      </c>
      <c r="K146" s="122">
        <f t="shared" ca="1" si="17"/>
        <v>0</v>
      </c>
      <c r="L146" s="334">
        <f t="array" aca="1" ref="L146" ca="1">IF($A146="S",IF(CAIXA.Modo,BM.AFAcumulado,BM.MEDAcumulado),IF(AND(RegimeExecucao="Global",$I146&gt;0,COUNTIF($AB$13:$AM$13,BM.medicao)&gt;0),O146/$I146*100,0))</f>
        <v>0</v>
      </c>
      <c r="M146" s="335">
        <f t="array" aca="1" ref="M146" ca="1">IF($A146="S",VTOTALBM,IF($A146=0,0,ROUND(SomaAgrupBM,15-13*ORÇAMENTO!$AF$11)))</f>
        <v>0</v>
      </c>
      <c r="N146" s="336">
        <f t="shared" ca="1" si="18"/>
        <v>0</v>
      </c>
      <c r="O146" s="125">
        <f t="array" aca="1" ref="O146" ca="1">IF($A146="S",VTOTALBM,IF($A146=0,0,ROUND(SomaAgrupBM,15-13*ORÇAMENTO!$AF$11)))</f>
        <v>0</v>
      </c>
      <c r="Q146" s="337"/>
      <c r="R146" s="338"/>
      <c r="T146" s="117" t="str">
        <f t="shared" ca="1" si="19"/>
        <v/>
      </c>
      <c r="U146" s="163" t="str">
        <f t="shared" ca="1" si="20"/>
        <v/>
      </c>
      <c r="V146" s="164" t="str">
        <f t="array" aca="1" ref="V146" ca="1">IF(AND($W146&gt;0,RegimeExecucao="Unitário"),$F146,"")</f>
        <v/>
      </c>
      <c r="W146" s="453">
        <f t="array" aca="1" ref="W146" ca="1">IF($Y146&gt;0,CHOOSE(MATCH(RegimeExecucao,{"Unitário","Global"},0),IF($A146="S",$Y146/$X146,""),($Y146/$X146)*100),0)</f>
        <v>0</v>
      </c>
      <c r="X146" s="339" t="str">
        <f t="array" aca="1" ref="X146" ca="1">IF($Y146&gt;0,CHOOSE(MATCH(RegimeExecucao,{"Unitário","Global"},0),IF($A146="S",ROUND($H146,ORÇAMENTO!$AF$10),""),ROUND($I146,ORÇAMENTO!$AF$11)),"")</f>
        <v/>
      </c>
      <c r="Y146" s="339">
        <f t="shared" ca="1" si="21"/>
        <v>0</v>
      </c>
      <c r="Z146" s="472"/>
      <c r="AB146" s="337"/>
      <c r="AC146" s="437"/>
      <c r="AD146" s="437"/>
      <c r="AE146" s="437"/>
      <c r="AF146" s="437"/>
      <c r="AG146" s="437"/>
      <c r="AH146" s="437"/>
      <c r="AI146" s="437"/>
      <c r="AJ146" s="437"/>
      <c r="AK146" s="437"/>
      <c r="AL146" s="437"/>
      <c r="AM146" s="338"/>
      <c r="AO146" s="696">
        <f t="array" aca="1" ref="AO146" ca="1">IF($A146="S",IF(BM!$I146=0,0,CHOOSE(MATCH(RegimeExecucao,{"Global","Unitário"},0),ROUND(ROUND(BM.MEDAcumulado,15-13*BM!$A$9)/100*BM!$I146,15-13*ORÇAMENTO!$AF$11),ROUND(ROUND(BM.MEDAcumulado,15-13*BM!$A$9)*ROUND(BM!$H146,15-13*ORÇAMENTO!$AF$10),15-13*ORÇAMENTO!$AF$11))),IF($A146=0,0,ROUND(SomaAgrupBM,15-13*ORÇAMENTO!$AF$11)))</f>
        <v>0</v>
      </c>
    </row>
    <row r="147" spans="1:41" s="696" customFormat="1" ht="25.5" x14ac:dyDescent="0.2">
      <c r="A147" s="696" t="str">
        <f ca="1">ORÇAMENTO!C147</f>
        <v>S</v>
      </c>
      <c r="B147" s="696">
        <f ca="1">ORÇAMENTO!D147</f>
        <v>0</v>
      </c>
      <c r="C147" s="114" t="str">
        <f t="shared" ca="1" si="15"/>
        <v>F</v>
      </c>
      <c r="D147" s="117" t="str">
        <f ca="1">ORÇAMENTO!O147</f>
        <v>1.24.10.</v>
      </c>
      <c r="E147" s="163" t="str">
        <f t="shared" ca="1" si="16"/>
        <v>PLACA 4"X2" CEGA, INCLUSIVE FORNECIMENTO E INSTALAÇÃO, EXCLUSIVE SUPORTE</v>
      </c>
      <c r="F147" s="164" t="str">
        <f t="array" aca="1" ref="F147" ca="1">IF(RegimeExecucao="Global","",ORÇAMENTO.Unidade)</f>
        <v>un</v>
      </c>
      <c r="G147" s="122">
        <f t="array" aca="1" ref="G147" ca="1">IF(RegimeExecucao="Global","",ORÇAMENTO!T147)</f>
        <v>40</v>
      </c>
      <c r="H147" s="122">
        <f t="array" aca="1" ref="H147" ca="1">IF(RegimeExecucao="Global","",ORÇAMENTO!W147)</f>
        <v>6.1</v>
      </c>
      <c r="I147" s="125">
        <f ca="1">ORÇAMENTO!X147</f>
        <v>244</v>
      </c>
      <c r="J147" s="333">
        <f t="array" aca="1" ref="J147" ca="1">IF($A147="S",IF(CAIXA.Modo,BM.AFAnterior,BM.MEDAnterior),IF(AND(RegimeExecucao="Global",$I147&gt;0,COUNTIF($AB$13:$AM$13,BM.medicao-1)&gt;0),M147/$I147*100,0))</f>
        <v>0</v>
      </c>
      <c r="K147" s="122">
        <f t="shared" ca="1" si="17"/>
        <v>0</v>
      </c>
      <c r="L147" s="334">
        <f t="array" aca="1" ref="L147" ca="1">IF($A147="S",IF(CAIXA.Modo,BM.AFAcumulado,BM.MEDAcumulado),IF(AND(RegimeExecucao="Global",$I147&gt;0,COUNTIF($AB$13:$AM$13,BM.medicao)&gt;0),O147/$I147*100,0))</f>
        <v>0</v>
      </c>
      <c r="M147" s="335">
        <f t="array" aca="1" ref="M147" ca="1">IF($A147="S",VTOTALBM,IF($A147=0,0,ROUND(SomaAgrupBM,15-13*ORÇAMENTO!$AF$11)))</f>
        <v>0</v>
      </c>
      <c r="N147" s="336">
        <f t="shared" ca="1" si="18"/>
        <v>0</v>
      </c>
      <c r="O147" s="125">
        <f t="array" aca="1" ref="O147" ca="1">IF($A147="S",VTOTALBM,IF($A147=0,0,ROUND(SomaAgrupBM,15-13*ORÇAMENTO!$AF$11)))</f>
        <v>0</v>
      </c>
      <c r="Q147" s="337"/>
      <c r="R147" s="338"/>
      <c r="T147" s="117" t="str">
        <f t="shared" ca="1" si="19"/>
        <v/>
      </c>
      <c r="U147" s="163" t="str">
        <f t="shared" ca="1" si="20"/>
        <v/>
      </c>
      <c r="V147" s="164" t="str">
        <f t="array" aca="1" ref="V147" ca="1">IF(AND($W147&gt;0,RegimeExecucao="Unitário"),$F147,"")</f>
        <v/>
      </c>
      <c r="W147" s="453">
        <f t="array" aca="1" ref="W147" ca="1">IF($Y147&gt;0,CHOOSE(MATCH(RegimeExecucao,{"Unitário","Global"},0),IF($A147="S",$Y147/$X147,""),($Y147/$X147)*100),0)</f>
        <v>0</v>
      </c>
      <c r="X147" s="339" t="str">
        <f t="array" aca="1" ref="X147" ca="1">IF($Y147&gt;0,CHOOSE(MATCH(RegimeExecucao,{"Unitário","Global"},0),IF($A147="S",ROUND($H147,ORÇAMENTO!$AF$10),""),ROUND($I147,ORÇAMENTO!$AF$11)),"")</f>
        <v/>
      </c>
      <c r="Y147" s="339">
        <f t="shared" ca="1" si="21"/>
        <v>0</v>
      </c>
      <c r="Z147" s="472"/>
      <c r="AB147" s="337"/>
      <c r="AC147" s="437"/>
      <c r="AD147" s="437"/>
      <c r="AE147" s="437"/>
      <c r="AF147" s="437"/>
      <c r="AG147" s="437"/>
      <c r="AH147" s="437"/>
      <c r="AI147" s="437"/>
      <c r="AJ147" s="437"/>
      <c r="AK147" s="437"/>
      <c r="AL147" s="437"/>
      <c r="AM147" s="338"/>
      <c r="AO147" s="696">
        <f t="array" aca="1" ref="AO147" ca="1">IF($A147="S",IF(BM!$I147=0,0,CHOOSE(MATCH(RegimeExecucao,{"Global","Unitário"},0),ROUND(ROUND(BM.MEDAcumulado,15-13*BM!$A$9)/100*BM!$I147,15-13*ORÇAMENTO!$AF$11),ROUND(ROUND(BM.MEDAcumulado,15-13*BM!$A$9)*ROUND(BM!$H147,15-13*ORÇAMENTO!$AF$10),15-13*ORÇAMENTO!$AF$11))),IF($A147=0,0,ROUND(SomaAgrupBM,15-13*ORÇAMENTO!$AF$11)))</f>
        <v>0</v>
      </c>
    </row>
    <row r="148" spans="1:41" s="696" customFormat="1" ht="38.25" x14ac:dyDescent="0.2">
      <c r="A148" s="696" t="str">
        <f ca="1">ORÇAMENTO!C148</f>
        <v>S</v>
      </c>
      <c r="B148" s="696">
        <f ca="1">ORÇAMENTO!D148</f>
        <v>0</v>
      </c>
      <c r="C148" s="114" t="str">
        <f t="shared" ca="1" si="15"/>
        <v>F</v>
      </c>
      <c r="D148" s="117" t="str">
        <f ca="1">ORÇAMENTO!O148</f>
        <v>1.24.11.</v>
      </c>
      <c r="E148" s="163" t="str">
        <f t="shared" ca="1" si="16"/>
        <v>CAIXA RETANGULAR 4" X 2" BAIXA (0,30 M DO PISO), PVC, INSTALADA EM PAREDE - FORNECIMENTO E INSTALAÇÃO. AF_03/2023</v>
      </c>
      <c r="F148" s="164" t="str">
        <f t="array" aca="1" ref="F148" ca="1">IF(RegimeExecucao="Global","",ORÇAMENTO.Unidade)</f>
        <v>UN</v>
      </c>
      <c r="G148" s="122">
        <f t="array" aca="1" ref="G148" ca="1">IF(RegimeExecucao="Global","",ORÇAMENTO!T148)</f>
        <v>240</v>
      </c>
      <c r="H148" s="122">
        <f t="array" aca="1" ref="H148" ca="1">IF(RegimeExecucao="Global","",ORÇAMENTO!W148)</f>
        <v>14.61</v>
      </c>
      <c r="I148" s="125">
        <f ca="1">ORÇAMENTO!X148</f>
        <v>3506.4</v>
      </c>
      <c r="J148" s="333">
        <f t="array" aca="1" ref="J148" ca="1">IF($A148="S",IF(CAIXA.Modo,BM.AFAnterior,BM.MEDAnterior),IF(AND(RegimeExecucao="Global",$I148&gt;0,COUNTIF($AB$13:$AM$13,BM.medicao-1)&gt;0),M148/$I148*100,0))</f>
        <v>0</v>
      </c>
      <c r="K148" s="122">
        <f t="shared" ca="1" si="17"/>
        <v>0</v>
      </c>
      <c r="L148" s="334">
        <f t="array" aca="1" ref="L148" ca="1">IF($A148="S",IF(CAIXA.Modo,BM.AFAcumulado,BM.MEDAcumulado),IF(AND(RegimeExecucao="Global",$I148&gt;0,COUNTIF($AB$13:$AM$13,BM.medicao)&gt;0),O148/$I148*100,0))</f>
        <v>0</v>
      </c>
      <c r="M148" s="335">
        <f t="array" aca="1" ref="M148" ca="1">IF($A148="S",VTOTALBM,IF($A148=0,0,ROUND(SomaAgrupBM,15-13*ORÇAMENTO!$AF$11)))</f>
        <v>0</v>
      </c>
      <c r="N148" s="336">
        <f t="shared" ca="1" si="18"/>
        <v>0</v>
      </c>
      <c r="O148" s="125">
        <f t="array" aca="1" ref="O148" ca="1">IF($A148="S",VTOTALBM,IF($A148=0,0,ROUND(SomaAgrupBM,15-13*ORÇAMENTO!$AF$11)))</f>
        <v>0</v>
      </c>
      <c r="Q148" s="337"/>
      <c r="R148" s="338"/>
      <c r="T148" s="117" t="str">
        <f t="shared" ca="1" si="19"/>
        <v/>
      </c>
      <c r="U148" s="163" t="str">
        <f t="shared" ca="1" si="20"/>
        <v/>
      </c>
      <c r="V148" s="164" t="str">
        <f t="array" aca="1" ref="V148" ca="1">IF(AND($W148&gt;0,RegimeExecucao="Unitário"),$F148,"")</f>
        <v/>
      </c>
      <c r="W148" s="453">
        <f t="array" aca="1" ref="W148" ca="1">IF($Y148&gt;0,CHOOSE(MATCH(RegimeExecucao,{"Unitário","Global"},0),IF($A148="S",$Y148/$X148,""),($Y148/$X148)*100),0)</f>
        <v>0</v>
      </c>
      <c r="X148" s="339" t="str">
        <f t="array" aca="1" ref="X148" ca="1">IF($Y148&gt;0,CHOOSE(MATCH(RegimeExecucao,{"Unitário","Global"},0),IF($A148="S",ROUND($H148,ORÇAMENTO!$AF$10),""),ROUND($I148,ORÇAMENTO!$AF$11)),"")</f>
        <v/>
      </c>
      <c r="Y148" s="339">
        <f t="shared" ca="1" si="21"/>
        <v>0</v>
      </c>
      <c r="Z148" s="472"/>
      <c r="AB148" s="337"/>
      <c r="AC148" s="437"/>
      <c r="AD148" s="437"/>
      <c r="AE148" s="437"/>
      <c r="AF148" s="437"/>
      <c r="AG148" s="437"/>
      <c r="AH148" s="437"/>
      <c r="AI148" s="437"/>
      <c r="AJ148" s="437"/>
      <c r="AK148" s="437"/>
      <c r="AL148" s="437"/>
      <c r="AM148" s="338"/>
      <c r="AO148" s="696">
        <f t="array" aca="1" ref="AO148" ca="1">IF($A148="S",IF(BM!$I148=0,0,CHOOSE(MATCH(RegimeExecucao,{"Global","Unitário"},0),ROUND(ROUND(BM.MEDAcumulado,15-13*BM!$A$9)/100*BM!$I148,15-13*ORÇAMENTO!$AF$11),ROUND(ROUND(BM.MEDAcumulado,15-13*BM!$A$9)*ROUND(BM!$H148,15-13*ORÇAMENTO!$AF$10),15-13*ORÇAMENTO!$AF$11))),IF($A148=0,0,ROUND(SomaAgrupBM,15-13*ORÇAMENTO!$AF$11)))</f>
        <v>0</v>
      </c>
    </row>
    <row r="149" spans="1:41" s="696" customFormat="1" ht="38.25" x14ac:dyDescent="0.2">
      <c r="A149" s="696" t="str">
        <f ca="1">ORÇAMENTO!C149</f>
        <v>S</v>
      </c>
      <c r="B149" s="696">
        <f ca="1">ORÇAMENTO!D149</f>
        <v>0</v>
      </c>
      <c r="C149" s="114" t="str">
        <f t="shared" ca="1" si="15"/>
        <v>F</v>
      </c>
      <c r="D149" s="117" t="str">
        <f ca="1">ORÇAMENTO!O149</f>
        <v>1.24.12.</v>
      </c>
      <c r="E149" s="163" t="str">
        <f t="shared" ca="1" si="16"/>
        <v>CAIXA RETANGULAR 4" X 2" MÉDIA (1,30 M DO PISO), PVC, INSTALADA EM PAREDE - FORNECIMENTO E INSTALAÇÃO. AF_03/2023</v>
      </c>
      <c r="F149" s="164" t="str">
        <f t="array" aca="1" ref="F149" ca="1">IF(RegimeExecucao="Global","",ORÇAMENTO.Unidade)</f>
        <v>UN</v>
      </c>
      <c r="G149" s="122">
        <f t="array" aca="1" ref="G149" ca="1">IF(RegimeExecucao="Global","",ORÇAMENTO!T149)</f>
        <v>260</v>
      </c>
      <c r="H149" s="122">
        <f t="array" aca="1" ref="H149" ca="1">IF(RegimeExecucao="Global","",ORÇAMENTO!W149)</f>
        <v>22.82</v>
      </c>
      <c r="I149" s="125">
        <f ca="1">ORÇAMENTO!X149</f>
        <v>5933.2</v>
      </c>
      <c r="J149" s="333">
        <f t="array" aca="1" ref="J149" ca="1">IF($A149="S",IF(CAIXA.Modo,BM.AFAnterior,BM.MEDAnterior),IF(AND(RegimeExecucao="Global",$I149&gt;0,COUNTIF($AB$13:$AM$13,BM.medicao-1)&gt;0),M149/$I149*100,0))</f>
        <v>0</v>
      </c>
      <c r="K149" s="122">
        <f t="shared" ca="1" si="17"/>
        <v>0</v>
      </c>
      <c r="L149" s="334">
        <f t="array" aca="1" ref="L149" ca="1">IF($A149="S",IF(CAIXA.Modo,BM.AFAcumulado,BM.MEDAcumulado),IF(AND(RegimeExecucao="Global",$I149&gt;0,COUNTIF($AB$13:$AM$13,BM.medicao)&gt;0),O149/$I149*100,0))</f>
        <v>0</v>
      </c>
      <c r="M149" s="335">
        <f t="array" aca="1" ref="M149" ca="1">IF($A149="S",VTOTALBM,IF($A149=0,0,ROUND(SomaAgrupBM,15-13*ORÇAMENTO!$AF$11)))</f>
        <v>0</v>
      </c>
      <c r="N149" s="336">
        <f t="shared" ca="1" si="18"/>
        <v>0</v>
      </c>
      <c r="O149" s="125">
        <f t="array" aca="1" ref="O149" ca="1">IF($A149="S",VTOTALBM,IF($A149=0,0,ROUND(SomaAgrupBM,15-13*ORÇAMENTO!$AF$11)))</f>
        <v>0</v>
      </c>
      <c r="Q149" s="337"/>
      <c r="R149" s="338"/>
      <c r="T149" s="117" t="str">
        <f t="shared" ca="1" si="19"/>
        <v/>
      </c>
      <c r="U149" s="163" t="str">
        <f t="shared" ca="1" si="20"/>
        <v/>
      </c>
      <c r="V149" s="164" t="str">
        <f t="array" aca="1" ref="V149" ca="1">IF(AND($W149&gt;0,RegimeExecucao="Unitário"),$F149,"")</f>
        <v/>
      </c>
      <c r="W149" s="453">
        <f t="array" aca="1" ref="W149" ca="1">IF($Y149&gt;0,CHOOSE(MATCH(RegimeExecucao,{"Unitário","Global"},0),IF($A149="S",$Y149/$X149,""),($Y149/$X149)*100),0)</f>
        <v>0</v>
      </c>
      <c r="X149" s="339" t="str">
        <f t="array" aca="1" ref="X149" ca="1">IF($Y149&gt;0,CHOOSE(MATCH(RegimeExecucao,{"Unitário","Global"},0),IF($A149="S",ROUND($H149,ORÇAMENTO!$AF$10),""),ROUND($I149,ORÇAMENTO!$AF$11)),"")</f>
        <v/>
      </c>
      <c r="Y149" s="339">
        <f t="shared" ca="1" si="21"/>
        <v>0</v>
      </c>
      <c r="Z149" s="472"/>
      <c r="AB149" s="337"/>
      <c r="AC149" s="437"/>
      <c r="AD149" s="437"/>
      <c r="AE149" s="437"/>
      <c r="AF149" s="437"/>
      <c r="AG149" s="437"/>
      <c r="AH149" s="437"/>
      <c r="AI149" s="437"/>
      <c r="AJ149" s="437"/>
      <c r="AK149" s="437"/>
      <c r="AL149" s="437"/>
      <c r="AM149" s="338"/>
      <c r="AO149" s="696">
        <f t="array" aca="1" ref="AO149" ca="1">IF($A149="S",IF(BM!$I149=0,0,CHOOSE(MATCH(RegimeExecucao,{"Global","Unitário"},0),ROUND(ROUND(BM.MEDAcumulado,15-13*BM!$A$9)/100*BM!$I149,15-13*ORÇAMENTO!$AF$11),ROUND(ROUND(BM.MEDAcumulado,15-13*BM!$A$9)*ROUND(BM!$H149,15-13*ORÇAMENTO!$AF$10),15-13*ORÇAMENTO!$AF$11))),IF($A149=0,0,ROUND(SomaAgrupBM,15-13*ORÇAMENTO!$AF$11)))</f>
        <v>0</v>
      </c>
    </row>
    <row r="150" spans="1:41" s="696" customFormat="1" ht="38.25" x14ac:dyDescent="0.2">
      <c r="A150" s="696" t="str">
        <f ca="1">ORÇAMENTO!C150</f>
        <v>S</v>
      </c>
      <c r="B150" s="696">
        <f ca="1">ORÇAMENTO!D150</f>
        <v>0</v>
      </c>
      <c r="C150" s="114" t="str">
        <f t="shared" ca="1" si="15"/>
        <v>F</v>
      </c>
      <c r="D150" s="117" t="str">
        <f ca="1">ORÇAMENTO!O150</f>
        <v>1.24.13.</v>
      </c>
      <c r="E150" s="163" t="str">
        <f t="shared" ca="1" si="16"/>
        <v>CAIXA RETANGULAR 4" X 2" ALTA (2,00 M DO PISO), PVC, INSTALADA EM PAREDE - FORNECIMENTO E INSTALAÇÃO. AF_03/2023</v>
      </c>
      <c r="F150" s="164" t="str">
        <f t="array" aca="1" ref="F150" ca="1">IF(RegimeExecucao="Global","",ORÇAMENTO.Unidade)</f>
        <v>UN</v>
      </c>
      <c r="G150" s="122">
        <f t="array" aca="1" ref="G150" ca="1">IF(RegimeExecucao="Global","",ORÇAMENTO!T150)</f>
        <v>40</v>
      </c>
      <c r="H150" s="122">
        <f t="array" aca="1" ref="H150" ca="1">IF(RegimeExecucao="Global","",ORÇAMENTO!W150)</f>
        <v>39.56</v>
      </c>
      <c r="I150" s="125">
        <f ca="1">ORÇAMENTO!X150</f>
        <v>1582.4</v>
      </c>
      <c r="J150" s="333">
        <f t="array" aca="1" ref="J150" ca="1">IF($A150="S",IF(CAIXA.Modo,BM.AFAnterior,BM.MEDAnterior),IF(AND(RegimeExecucao="Global",$I150&gt;0,COUNTIF($AB$13:$AM$13,BM.medicao-1)&gt;0),M150/$I150*100,0))</f>
        <v>0</v>
      </c>
      <c r="K150" s="122">
        <f t="shared" ca="1" si="17"/>
        <v>0</v>
      </c>
      <c r="L150" s="334">
        <f t="array" aca="1" ref="L150" ca="1">IF($A150="S",IF(CAIXA.Modo,BM.AFAcumulado,BM.MEDAcumulado),IF(AND(RegimeExecucao="Global",$I150&gt;0,COUNTIF($AB$13:$AM$13,BM.medicao)&gt;0),O150/$I150*100,0))</f>
        <v>0</v>
      </c>
      <c r="M150" s="335">
        <f t="array" aca="1" ref="M150" ca="1">IF($A150="S",VTOTALBM,IF($A150=0,0,ROUND(SomaAgrupBM,15-13*ORÇAMENTO!$AF$11)))</f>
        <v>0</v>
      </c>
      <c r="N150" s="336">
        <f t="shared" ca="1" si="18"/>
        <v>0</v>
      </c>
      <c r="O150" s="125">
        <f t="array" aca="1" ref="O150" ca="1">IF($A150="S",VTOTALBM,IF($A150=0,0,ROUND(SomaAgrupBM,15-13*ORÇAMENTO!$AF$11)))</f>
        <v>0</v>
      </c>
      <c r="Q150" s="337"/>
      <c r="R150" s="338"/>
      <c r="T150" s="117" t="str">
        <f t="shared" ca="1" si="19"/>
        <v/>
      </c>
      <c r="U150" s="163" t="str">
        <f t="shared" ca="1" si="20"/>
        <v/>
      </c>
      <c r="V150" s="164" t="str">
        <f t="array" aca="1" ref="V150" ca="1">IF(AND($W150&gt;0,RegimeExecucao="Unitário"),$F150,"")</f>
        <v/>
      </c>
      <c r="W150" s="453">
        <f t="array" aca="1" ref="W150" ca="1">IF($Y150&gt;0,CHOOSE(MATCH(RegimeExecucao,{"Unitário","Global"},0),IF($A150="S",$Y150/$X150,""),($Y150/$X150)*100),0)</f>
        <v>0</v>
      </c>
      <c r="X150" s="339" t="str">
        <f t="array" aca="1" ref="X150" ca="1">IF($Y150&gt;0,CHOOSE(MATCH(RegimeExecucao,{"Unitário","Global"},0),IF($A150="S",ROUND($H150,ORÇAMENTO!$AF$10),""),ROUND($I150,ORÇAMENTO!$AF$11)),"")</f>
        <v/>
      </c>
      <c r="Y150" s="339">
        <f t="shared" ca="1" si="21"/>
        <v>0</v>
      </c>
      <c r="Z150" s="472"/>
      <c r="AB150" s="337"/>
      <c r="AC150" s="437"/>
      <c r="AD150" s="437"/>
      <c r="AE150" s="437"/>
      <c r="AF150" s="437"/>
      <c r="AG150" s="437"/>
      <c r="AH150" s="437"/>
      <c r="AI150" s="437"/>
      <c r="AJ150" s="437"/>
      <c r="AK150" s="437"/>
      <c r="AL150" s="437"/>
      <c r="AM150" s="338"/>
      <c r="AO150" s="696">
        <f t="array" aca="1" ref="AO150" ca="1">IF($A150="S",IF(BM!$I150=0,0,CHOOSE(MATCH(RegimeExecucao,{"Global","Unitário"},0),ROUND(ROUND(BM.MEDAcumulado,15-13*BM!$A$9)/100*BM!$I150,15-13*ORÇAMENTO!$AF$11),ROUND(ROUND(BM.MEDAcumulado,15-13*BM!$A$9)*ROUND(BM!$H150,15-13*ORÇAMENTO!$AF$10),15-13*ORÇAMENTO!$AF$11))),IF($A150=0,0,ROUND(SomaAgrupBM,15-13*ORÇAMENTO!$AF$11)))</f>
        <v>0</v>
      </c>
    </row>
    <row r="151" spans="1:41" s="696" customFormat="1" ht="25.5" x14ac:dyDescent="0.2">
      <c r="A151" s="696" t="str">
        <f ca="1">ORÇAMENTO!C151</f>
        <v>S</v>
      </c>
      <c r="B151" s="696">
        <f ca="1">ORÇAMENTO!D151</f>
        <v>0</v>
      </c>
      <c r="C151" s="114" t="str">
        <f t="shared" ca="1" si="15"/>
        <v>F</v>
      </c>
      <c r="D151" s="117" t="str">
        <f ca="1">ORÇAMENTO!O151</f>
        <v>1.24.14.</v>
      </c>
      <c r="E151" s="163" t="str">
        <f t="shared" ca="1" si="16"/>
        <v>CAIXA OCTOGONAL 3" X 3", PVC, INSTALADA EM LAJE - FORNECIMENTO E INSTALAÇÃO. AF_03/2023</v>
      </c>
      <c r="F151" s="164" t="str">
        <f t="array" aca="1" ref="F151" ca="1">IF(RegimeExecucao="Global","",ORÇAMENTO.Unidade)</f>
        <v>UN</v>
      </c>
      <c r="G151" s="122">
        <f t="array" aca="1" ref="G151" ca="1">IF(RegimeExecucao="Global","",ORÇAMENTO!T151)</f>
        <v>140</v>
      </c>
      <c r="H151" s="122">
        <f t="array" aca="1" ref="H151" ca="1">IF(RegimeExecucao="Global","",ORÇAMENTO!W151)</f>
        <v>20.21</v>
      </c>
      <c r="I151" s="125">
        <f ca="1">ORÇAMENTO!X151</f>
        <v>2829.4</v>
      </c>
      <c r="J151" s="333">
        <f t="array" aca="1" ref="J151" ca="1">IF($A151="S",IF(CAIXA.Modo,BM.AFAnterior,BM.MEDAnterior),IF(AND(RegimeExecucao="Global",$I151&gt;0,COUNTIF($AB$13:$AM$13,BM.medicao-1)&gt;0),M151/$I151*100,0))</f>
        <v>0</v>
      </c>
      <c r="K151" s="122">
        <f t="shared" ca="1" si="17"/>
        <v>0</v>
      </c>
      <c r="L151" s="334">
        <f t="array" aca="1" ref="L151" ca="1">IF($A151="S",IF(CAIXA.Modo,BM.AFAcumulado,BM.MEDAcumulado),IF(AND(RegimeExecucao="Global",$I151&gt;0,COUNTIF($AB$13:$AM$13,BM.medicao)&gt;0),O151/$I151*100,0))</f>
        <v>0</v>
      </c>
      <c r="M151" s="335">
        <f t="array" aca="1" ref="M151" ca="1">IF($A151="S",VTOTALBM,IF($A151=0,0,ROUND(SomaAgrupBM,15-13*ORÇAMENTO!$AF$11)))</f>
        <v>0</v>
      </c>
      <c r="N151" s="336">
        <f t="shared" ca="1" si="18"/>
        <v>0</v>
      </c>
      <c r="O151" s="125">
        <f t="array" aca="1" ref="O151" ca="1">IF($A151="S",VTOTALBM,IF($A151=0,0,ROUND(SomaAgrupBM,15-13*ORÇAMENTO!$AF$11)))</f>
        <v>0</v>
      </c>
      <c r="Q151" s="337"/>
      <c r="R151" s="338"/>
      <c r="T151" s="117" t="str">
        <f t="shared" ca="1" si="19"/>
        <v/>
      </c>
      <c r="U151" s="163" t="str">
        <f t="shared" ca="1" si="20"/>
        <v/>
      </c>
      <c r="V151" s="164" t="str">
        <f t="array" aca="1" ref="V151" ca="1">IF(AND($W151&gt;0,RegimeExecucao="Unitário"),$F151,"")</f>
        <v/>
      </c>
      <c r="W151" s="453">
        <f t="array" aca="1" ref="W151" ca="1">IF($Y151&gt;0,CHOOSE(MATCH(RegimeExecucao,{"Unitário","Global"},0),IF($A151="S",$Y151/$X151,""),($Y151/$X151)*100),0)</f>
        <v>0</v>
      </c>
      <c r="X151" s="339" t="str">
        <f t="array" aca="1" ref="X151" ca="1">IF($Y151&gt;0,CHOOSE(MATCH(RegimeExecucao,{"Unitário","Global"},0),IF($A151="S",ROUND($H151,ORÇAMENTO!$AF$10),""),ROUND($I151,ORÇAMENTO!$AF$11)),"")</f>
        <v/>
      </c>
      <c r="Y151" s="339">
        <f t="shared" ca="1" si="21"/>
        <v>0</v>
      </c>
      <c r="Z151" s="472"/>
      <c r="AB151" s="337"/>
      <c r="AC151" s="437"/>
      <c r="AD151" s="437"/>
      <c r="AE151" s="437"/>
      <c r="AF151" s="437"/>
      <c r="AG151" s="437"/>
      <c r="AH151" s="437"/>
      <c r="AI151" s="437"/>
      <c r="AJ151" s="437"/>
      <c r="AK151" s="437"/>
      <c r="AL151" s="437"/>
      <c r="AM151" s="338"/>
      <c r="AO151" s="696">
        <f t="array" aca="1" ref="AO151" ca="1">IF($A151="S",IF(BM!$I151=0,0,CHOOSE(MATCH(RegimeExecucao,{"Global","Unitário"},0),ROUND(ROUND(BM.MEDAcumulado,15-13*BM!$A$9)/100*BM!$I151,15-13*ORÇAMENTO!$AF$11),ROUND(ROUND(BM.MEDAcumulado,15-13*BM!$A$9)*ROUND(BM!$H151,15-13*ORÇAMENTO!$AF$10),15-13*ORÇAMENTO!$AF$11))),IF($A151=0,0,ROUND(SomaAgrupBM,15-13*ORÇAMENTO!$AF$11)))</f>
        <v>0</v>
      </c>
    </row>
    <row r="152" spans="1:41" s="696" customFormat="1" x14ac:dyDescent="0.2">
      <c r="A152" s="696">
        <f ca="1">ORÇAMENTO!C152</f>
        <v>2</v>
      </c>
      <c r="B152" s="696">
        <f ca="1">ORÇAMENTO!D152</f>
        <v>10</v>
      </c>
      <c r="C152" s="114" t="str">
        <f t="shared" ca="1" si="15"/>
        <v>F</v>
      </c>
      <c r="D152" s="117" t="str">
        <f ca="1">ORÇAMENTO!O152</f>
        <v>1.25.</v>
      </c>
      <c r="E152" s="163" t="str">
        <f t="shared" si="16"/>
        <v>FIOS E CABOS</v>
      </c>
      <c r="F152" s="164" t="str">
        <f t="array" aca="1" ref="F152" ca="1">IF(RegimeExecucao="Global","",ORÇAMENTO.Unidade)</f>
        <v>-</v>
      </c>
      <c r="G152" s="122">
        <f t="array" aca="1" ref="G152" ca="1">IF(RegimeExecucao="Global","",ORÇAMENTO!T152)</f>
        <v>0</v>
      </c>
      <c r="H152" s="122">
        <f t="array" aca="1" ref="H152" ca="1">IF(RegimeExecucao="Global","",ORÇAMENTO!W152)</f>
        <v>0</v>
      </c>
      <c r="I152" s="125">
        <f ca="1">ORÇAMENTO!X152</f>
        <v>96143.56</v>
      </c>
      <c r="J152" s="333">
        <f t="array" aca="1" ref="J152" ca="1">IF($A152="S",IF(CAIXA.Modo,BM.AFAnterior,BM.MEDAnterior),IF(AND(RegimeExecucao="Global",$I152&gt;0,COUNTIF($AB$13:$AM$13,BM.medicao-1)&gt;0),M152/$I152*100,0))</f>
        <v>0</v>
      </c>
      <c r="K152" s="122">
        <f t="shared" ca="1" si="17"/>
        <v>0</v>
      </c>
      <c r="L152" s="334">
        <f t="array" aca="1" ref="L152" ca="1">IF($A152="S",IF(CAIXA.Modo,BM.AFAcumulado,BM.MEDAcumulado),IF(AND(RegimeExecucao="Global",$I152&gt;0,COUNTIF($AB$13:$AM$13,BM.medicao)&gt;0),O152/$I152*100,0))</f>
        <v>0</v>
      </c>
      <c r="M152" s="335">
        <f t="array" aca="1" ref="M152" ca="1">IF($A152="S",VTOTALBM,IF($A152=0,0,ROUND(SomaAgrupBM,15-13*ORÇAMENTO!$AF$11)))</f>
        <v>0</v>
      </c>
      <c r="N152" s="336">
        <f t="shared" ca="1" si="18"/>
        <v>0</v>
      </c>
      <c r="O152" s="125">
        <f t="array" aca="1" ref="O152" ca="1">IF($A152="S",VTOTALBM,IF($A152=0,0,ROUND(SomaAgrupBM,15-13*ORÇAMENTO!$AF$11)))</f>
        <v>0</v>
      </c>
      <c r="Q152" s="337"/>
      <c r="R152" s="338"/>
      <c r="T152" s="117" t="str">
        <f t="shared" ca="1" si="19"/>
        <v/>
      </c>
      <c r="U152" s="163" t="str">
        <f t="shared" ca="1" si="20"/>
        <v/>
      </c>
      <c r="V152" s="164" t="str">
        <f t="array" aca="1" ref="V152" ca="1">IF(AND($W152&gt;0,RegimeExecucao="Unitário"),$F152,"")</f>
        <v/>
      </c>
      <c r="W152" s="453">
        <f t="array" aca="1" ref="W152" ca="1">IF($Y152&gt;0,CHOOSE(MATCH(RegimeExecucao,{"Unitário","Global"},0),IF($A152="S",$Y152/$X152,""),($Y152/$X152)*100),0)</f>
        <v>0</v>
      </c>
      <c r="X152" s="339" t="str">
        <f t="array" aca="1" ref="X152" ca="1">IF($Y152&gt;0,CHOOSE(MATCH(RegimeExecucao,{"Unitário","Global"},0),IF($A152="S",ROUND($H152,ORÇAMENTO!$AF$10),""),ROUND($I152,ORÇAMENTO!$AF$11)),"")</f>
        <v/>
      </c>
      <c r="Y152" s="339">
        <f t="shared" ca="1" si="21"/>
        <v>0</v>
      </c>
      <c r="Z152" s="472"/>
      <c r="AB152" s="337"/>
      <c r="AC152" s="437"/>
      <c r="AD152" s="437"/>
      <c r="AE152" s="437"/>
      <c r="AF152" s="437"/>
      <c r="AG152" s="437"/>
      <c r="AH152" s="437"/>
      <c r="AI152" s="437"/>
      <c r="AJ152" s="437"/>
      <c r="AK152" s="437"/>
      <c r="AL152" s="437"/>
      <c r="AM152" s="338"/>
      <c r="AO152" s="696">
        <f t="array" aca="1" ref="AO152" ca="1">IF($A152="S",IF(BM!$I152=0,0,CHOOSE(MATCH(RegimeExecucao,{"Global","Unitário"},0),ROUND(ROUND(BM.MEDAcumulado,15-13*BM!$A$9)/100*BM!$I152,15-13*ORÇAMENTO!$AF$11),ROUND(ROUND(BM.MEDAcumulado,15-13*BM!$A$9)*ROUND(BM!$H152,15-13*ORÇAMENTO!$AF$10),15-13*ORÇAMENTO!$AF$11))),IF($A152=0,0,ROUND(SomaAgrupBM,15-13*ORÇAMENTO!$AF$11)))</f>
        <v>0</v>
      </c>
    </row>
    <row r="153" spans="1:41" s="696" customFormat="1" ht="38.25" x14ac:dyDescent="0.2">
      <c r="A153" s="696" t="str">
        <f ca="1">ORÇAMENTO!C153</f>
        <v>S</v>
      </c>
      <c r="B153" s="696">
        <f ca="1">ORÇAMENTO!D153</f>
        <v>0</v>
      </c>
      <c r="C153" s="114" t="str">
        <f t="shared" ca="1" si="15"/>
        <v>F</v>
      </c>
      <c r="D153" s="117" t="str">
        <f ca="1">ORÇAMENTO!O153</f>
        <v>1.25.1.</v>
      </c>
      <c r="E153" s="163" t="str">
        <f t="shared" ca="1" si="16"/>
        <v>CABO DE COBRE FLEXÍVEL ISOLADO, 1,5 MM², ANTI-CHAMA 450/750 V, PARA CIRCUITOS TERMINAIS - FORNECIMENTO E INSTALAÇÃO. AF_03/2023</v>
      </c>
      <c r="F153" s="164" t="str">
        <f t="array" aca="1" ref="F153" ca="1">IF(RegimeExecucao="Global","",ORÇAMENTO.Unidade)</f>
        <v>M</v>
      </c>
      <c r="G153" s="122">
        <f t="array" aca="1" ref="G153" ca="1">IF(RegimeExecucao="Global","",ORÇAMENTO!T153)</f>
        <v>1944</v>
      </c>
      <c r="H153" s="122">
        <f t="array" aca="1" ref="H153" ca="1">IF(RegimeExecucao="Global","",ORÇAMENTO!W153)</f>
        <v>3.62</v>
      </c>
      <c r="I153" s="125">
        <f ca="1">ORÇAMENTO!X153</f>
        <v>7037.28</v>
      </c>
      <c r="J153" s="333">
        <f t="array" aca="1" ref="J153" ca="1">IF($A153="S",IF(CAIXA.Modo,BM.AFAnterior,BM.MEDAnterior),IF(AND(RegimeExecucao="Global",$I153&gt;0,COUNTIF($AB$13:$AM$13,BM.medicao-1)&gt;0),M153/$I153*100,0))</f>
        <v>0</v>
      </c>
      <c r="K153" s="122">
        <f t="shared" ca="1" si="17"/>
        <v>0</v>
      </c>
      <c r="L153" s="334">
        <f t="array" aca="1" ref="L153" ca="1">IF($A153="S",IF(CAIXA.Modo,BM.AFAcumulado,BM.MEDAcumulado),IF(AND(RegimeExecucao="Global",$I153&gt;0,COUNTIF($AB$13:$AM$13,BM.medicao)&gt;0),O153/$I153*100,0))</f>
        <v>0</v>
      </c>
      <c r="M153" s="335">
        <f t="array" aca="1" ref="M153" ca="1">IF($A153="S",VTOTALBM,IF($A153=0,0,ROUND(SomaAgrupBM,15-13*ORÇAMENTO!$AF$11)))</f>
        <v>0</v>
      </c>
      <c r="N153" s="336">
        <f t="shared" ca="1" si="18"/>
        <v>0</v>
      </c>
      <c r="O153" s="125">
        <f t="array" aca="1" ref="O153" ca="1">IF($A153="S",VTOTALBM,IF($A153=0,0,ROUND(SomaAgrupBM,15-13*ORÇAMENTO!$AF$11)))</f>
        <v>0</v>
      </c>
      <c r="Q153" s="337"/>
      <c r="R153" s="338"/>
      <c r="T153" s="117" t="str">
        <f t="shared" ca="1" si="19"/>
        <v/>
      </c>
      <c r="U153" s="163" t="str">
        <f t="shared" ca="1" si="20"/>
        <v/>
      </c>
      <c r="V153" s="164" t="str">
        <f t="array" aca="1" ref="V153" ca="1">IF(AND($W153&gt;0,RegimeExecucao="Unitário"),$F153,"")</f>
        <v/>
      </c>
      <c r="W153" s="453">
        <f t="array" aca="1" ref="W153" ca="1">IF($Y153&gt;0,CHOOSE(MATCH(RegimeExecucao,{"Unitário","Global"},0),IF($A153="S",$Y153/$X153,""),($Y153/$X153)*100),0)</f>
        <v>0</v>
      </c>
      <c r="X153" s="339" t="str">
        <f t="array" aca="1" ref="X153" ca="1">IF($Y153&gt;0,CHOOSE(MATCH(RegimeExecucao,{"Unitário","Global"},0),IF($A153="S",ROUND($H153,ORÇAMENTO!$AF$10),""),ROUND($I153,ORÇAMENTO!$AF$11)),"")</f>
        <v/>
      </c>
      <c r="Y153" s="339">
        <f t="shared" ca="1" si="21"/>
        <v>0</v>
      </c>
      <c r="Z153" s="472"/>
      <c r="AB153" s="337"/>
      <c r="AC153" s="437"/>
      <c r="AD153" s="437"/>
      <c r="AE153" s="437"/>
      <c r="AF153" s="437"/>
      <c r="AG153" s="437"/>
      <c r="AH153" s="437"/>
      <c r="AI153" s="437"/>
      <c r="AJ153" s="437"/>
      <c r="AK153" s="437"/>
      <c r="AL153" s="437"/>
      <c r="AM153" s="338"/>
      <c r="AO153" s="696">
        <f t="array" aca="1" ref="AO153" ca="1">IF($A153="S",IF(BM!$I153=0,0,CHOOSE(MATCH(RegimeExecucao,{"Global","Unitário"},0),ROUND(ROUND(BM.MEDAcumulado,15-13*BM!$A$9)/100*BM!$I153,15-13*ORÇAMENTO!$AF$11),ROUND(ROUND(BM.MEDAcumulado,15-13*BM!$A$9)*ROUND(BM!$H153,15-13*ORÇAMENTO!$AF$10),15-13*ORÇAMENTO!$AF$11))),IF($A153=0,0,ROUND(SomaAgrupBM,15-13*ORÇAMENTO!$AF$11)))</f>
        <v>0</v>
      </c>
    </row>
    <row r="154" spans="1:41" s="696" customFormat="1" ht="38.25" x14ac:dyDescent="0.2">
      <c r="A154" s="696" t="str">
        <f ca="1">ORÇAMENTO!C154</f>
        <v>S</v>
      </c>
      <c r="B154" s="696">
        <f ca="1">ORÇAMENTO!D154</f>
        <v>0</v>
      </c>
      <c r="C154" s="114" t="str">
        <f t="shared" ca="1" si="15"/>
        <v>F</v>
      </c>
      <c r="D154" s="117" t="str">
        <f ca="1">ORÇAMENTO!O154</f>
        <v>1.25.2.</v>
      </c>
      <c r="E154" s="163" t="str">
        <f t="shared" ca="1" si="16"/>
        <v>CABO DE COBRE FLEXÍVEL ISOLADO, 2,5 MM², ANTI-CHAMA 450/750 V, PARA CIRCUITOS TERMINAIS - FORNECIMENTO E INSTALAÇÃO. AF_03/2023</v>
      </c>
      <c r="F154" s="164" t="str">
        <f t="array" aca="1" ref="F154" ca="1">IF(RegimeExecucao="Global","",ORÇAMENTO.Unidade)</f>
        <v>M</v>
      </c>
      <c r="G154" s="122">
        <f t="array" aca="1" ref="G154" ca="1">IF(RegimeExecucao="Global","",ORÇAMENTO!T154)</f>
        <v>5176</v>
      </c>
      <c r="H154" s="122">
        <f t="array" aca="1" ref="H154" ca="1">IF(RegimeExecucao="Global","",ORÇAMENTO!W154)</f>
        <v>5.26</v>
      </c>
      <c r="I154" s="125">
        <f ca="1">ORÇAMENTO!X154</f>
        <v>27225.759999999998</v>
      </c>
      <c r="J154" s="333">
        <f t="array" aca="1" ref="J154" ca="1">IF($A154="S",IF(CAIXA.Modo,BM.AFAnterior,BM.MEDAnterior),IF(AND(RegimeExecucao="Global",$I154&gt;0,COUNTIF($AB$13:$AM$13,BM.medicao-1)&gt;0),M154/$I154*100,0))</f>
        <v>0</v>
      </c>
      <c r="K154" s="122">
        <f t="shared" ca="1" si="17"/>
        <v>0</v>
      </c>
      <c r="L154" s="334">
        <f t="array" aca="1" ref="L154" ca="1">IF($A154="S",IF(CAIXA.Modo,BM.AFAcumulado,BM.MEDAcumulado),IF(AND(RegimeExecucao="Global",$I154&gt;0,COUNTIF($AB$13:$AM$13,BM.medicao)&gt;0),O154/$I154*100,0))</f>
        <v>0</v>
      </c>
      <c r="M154" s="335">
        <f t="array" aca="1" ref="M154" ca="1">IF($A154="S",VTOTALBM,IF($A154=0,0,ROUND(SomaAgrupBM,15-13*ORÇAMENTO!$AF$11)))</f>
        <v>0</v>
      </c>
      <c r="N154" s="336">
        <f t="shared" ca="1" si="18"/>
        <v>0</v>
      </c>
      <c r="O154" s="125">
        <f t="array" aca="1" ref="O154" ca="1">IF($A154="S",VTOTALBM,IF($A154=0,0,ROUND(SomaAgrupBM,15-13*ORÇAMENTO!$AF$11)))</f>
        <v>0</v>
      </c>
      <c r="Q154" s="337"/>
      <c r="R154" s="338"/>
      <c r="T154" s="117" t="str">
        <f t="shared" ca="1" si="19"/>
        <v/>
      </c>
      <c r="U154" s="163" t="str">
        <f t="shared" ca="1" si="20"/>
        <v/>
      </c>
      <c r="V154" s="164" t="str">
        <f t="array" aca="1" ref="V154" ca="1">IF(AND($W154&gt;0,RegimeExecucao="Unitário"),$F154,"")</f>
        <v/>
      </c>
      <c r="W154" s="453">
        <f t="array" aca="1" ref="W154" ca="1">IF($Y154&gt;0,CHOOSE(MATCH(RegimeExecucao,{"Unitário","Global"},0),IF($A154="S",$Y154/$X154,""),($Y154/$X154)*100),0)</f>
        <v>0</v>
      </c>
      <c r="X154" s="339" t="str">
        <f t="array" aca="1" ref="X154" ca="1">IF($Y154&gt;0,CHOOSE(MATCH(RegimeExecucao,{"Unitário","Global"},0),IF($A154="S",ROUND($H154,ORÇAMENTO!$AF$10),""),ROUND($I154,ORÇAMENTO!$AF$11)),"")</f>
        <v/>
      </c>
      <c r="Y154" s="339">
        <f t="shared" ca="1" si="21"/>
        <v>0</v>
      </c>
      <c r="Z154" s="472"/>
      <c r="AB154" s="337"/>
      <c r="AC154" s="437"/>
      <c r="AD154" s="437"/>
      <c r="AE154" s="437"/>
      <c r="AF154" s="437"/>
      <c r="AG154" s="437"/>
      <c r="AH154" s="437"/>
      <c r="AI154" s="437"/>
      <c r="AJ154" s="437"/>
      <c r="AK154" s="437"/>
      <c r="AL154" s="437"/>
      <c r="AM154" s="338"/>
      <c r="AO154" s="696">
        <f t="array" aca="1" ref="AO154" ca="1">IF($A154="S",IF(BM!$I154=0,0,CHOOSE(MATCH(RegimeExecucao,{"Global","Unitário"},0),ROUND(ROUND(BM.MEDAcumulado,15-13*BM!$A$9)/100*BM!$I154,15-13*ORÇAMENTO!$AF$11),ROUND(ROUND(BM.MEDAcumulado,15-13*BM!$A$9)*ROUND(BM!$H154,15-13*ORÇAMENTO!$AF$10),15-13*ORÇAMENTO!$AF$11))),IF($A154=0,0,ROUND(SomaAgrupBM,15-13*ORÇAMENTO!$AF$11)))</f>
        <v>0</v>
      </c>
    </row>
    <row r="155" spans="1:41" s="696" customFormat="1" ht="38.25" x14ac:dyDescent="0.2">
      <c r="A155" s="696" t="str">
        <f ca="1">ORÇAMENTO!C155</f>
        <v>S</v>
      </c>
      <c r="B155" s="696">
        <f ca="1">ORÇAMENTO!D155</f>
        <v>0</v>
      </c>
      <c r="C155" s="114" t="str">
        <f t="shared" ca="1" si="15"/>
        <v>F</v>
      </c>
      <c r="D155" s="117" t="str">
        <f ca="1">ORÇAMENTO!O155</f>
        <v>1.25.3.</v>
      </c>
      <c r="E155" s="163" t="str">
        <f t="shared" ca="1" si="16"/>
        <v>CABO DE COBRE FLEXÍVEL ISOLADO, 4 MM², ANTI-CHAMA 450/750 V, PARA CIRCUITOS TERMINAIS - FORNECIMENTO E INSTALAÇÃO. AF_03/2023</v>
      </c>
      <c r="F155" s="164" t="str">
        <f t="array" aca="1" ref="F155" ca="1">IF(RegimeExecucao="Global","",ORÇAMENTO.Unidade)</f>
        <v>M</v>
      </c>
      <c r="G155" s="122">
        <f t="array" aca="1" ref="G155" ca="1">IF(RegimeExecucao="Global","",ORÇAMENTO!T155)</f>
        <v>496</v>
      </c>
      <c r="H155" s="122">
        <f t="array" aca="1" ref="H155" ca="1">IF(RegimeExecucao="Global","",ORÇAMENTO!W155)</f>
        <v>8.11</v>
      </c>
      <c r="I155" s="125">
        <f ca="1">ORÇAMENTO!X155</f>
        <v>4022.56</v>
      </c>
      <c r="J155" s="333">
        <f t="array" aca="1" ref="J155" ca="1">IF($A155="S",IF(CAIXA.Modo,BM.AFAnterior,BM.MEDAnterior),IF(AND(RegimeExecucao="Global",$I155&gt;0,COUNTIF($AB$13:$AM$13,BM.medicao-1)&gt;0),M155/$I155*100,0))</f>
        <v>0</v>
      </c>
      <c r="K155" s="122">
        <f t="shared" ca="1" si="17"/>
        <v>0</v>
      </c>
      <c r="L155" s="334">
        <f t="array" aca="1" ref="L155" ca="1">IF($A155="S",IF(CAIXA.Modo,BM.AFAcumulado,BM.MEDAcumulado),IF(AND(RegimeExecucao="Global",$I155&gt;0,COUNTIF($AB$13:$AM$13,BM.medicao)&gt;0),O155/$I155*100,0))</f>
        <v>0</v>
      </c>
      <c r="M155" s="335">
        <f t="array" aca="1" ref="M155" ca="1">IF($A155="S",VTOTALBM,IF($A155=0,0,ROUND(SomaAgrupBM,15-13*ORÇAMENTO!$AF$11)))</f>
        <v>0</v>
      </c>
      <c r="N155" s="336">
        <f t="shared" ca="1" si="18"/>
        <v>0</v>
      </c>
      <c r="O155" s="125">
        <f t="array" aca="1" ref="O155" ca="1">IF($A155="S",VTOTALBM,IF($A155=0,0,ROUND(SomaAgrupBM,15-13*ORÇAMENTO!$AF$11)))</f>
        <v>0</v>
      </c>
      <c r="Q155" s="337"/>
      <c r="R155" s="338"/>
      <c r="T155" s="117" t="str">
        <f t="shared" ca="1" si="19"/>
        <v/>
      </c>
      <c r="U155" s="163" t="str">
        <f t="shared" ca="1" si="20"/>
        <v/>
      </c>
      <c r="V155" s="164" t="str">
        <f t="array" aca="1" ref="V155" ca="1">IF(AND($W155&gt;0,RegimeExecucao="Unitário"),$F155,"")</f>
        <v/>
      </c>
      <c r="W155" s="453">
        <f t="array" aca="1" ref="W155" ca="1">IF($Y155&gt;0,CHOOSE(MATCH(RegimeExecucao,{"Unitário","Global"},0),IF($A155="S",$Y155/$X155,""),($Y155/$X155)*100),0)</f>
        <v>0</v>
      </c>
      <c r="X155" s="339" t="str">
        <f t="array" aca="1" ref="X155" ca="1">IF($Y155&gt;0,CHOOSE(MATCH(RegimeExecucao,{"Unitário","Global"},0),IF($A155="S",ROUND($H155,ORÇAMENTO!$AF$10),""),ROUND($I155,ORÇAMENTO!$AF$11)),"")</f>
        <v/>
      </c>
      <c r="Y155" s="339">
        <f t="shared" ca="1" si="21"/>
        <v>0</v>
      </c>
      <c r="Z155" s="472"/>
      <c r="AB155" s="337"/>
      <c r="AC155" s="437"/>
      <c r="AD155" s="437"/>
      <c r="AE155" s="437"/>
      <c r="AF155" s="437"/>
      <c r="AG155" s="437"/>
      <c r="AH155" s="437"/>
      <c r="AI155" s="437"/>
      <c r="AJ155" s="437"/>
      <c r="AK155" s="437"/>
      <c r="AL155" s="437"/>
      <c r="AM155" s="338"/>
      <c r="AO155" s="696">
        <f t="array" aca="1" ref="AO155" ca="1">IF($A155="S",IF(BM!$I155=0,0,CHOOSE(MATCH(RegimeExecucao,{"Global","Unitário"},0),ROUND(ROUND(BM.MEDAcumulado,15-13*BM!$A$9)/100*BM!$I155,15-13*ORÇAMENTO!$AF$11),ROUND(ROUND(BM.MEDAcumulado,15-13*BM!$A$9)*ROUND(BM!$H155,15-13*ORÇAMENTO!$AF$10),15-13*ORÇAMENTO!$AF$11))),IF($A155=0,0,ROUND(SomaAgrupBM,15-13*ORÇAMENTO!$AF$11)))</f>
        <v>0</v>
      </c>
    </row>
    <row r="156" spans="1:41" s="696" customFormat="1" ht="38.25" x14ac:dyDescent="0.2">
      <c r="A156" s="696" t="str">
        <f ca="1">ORÇAMENTO!C156</f>
        <v>S</v>
      </c>
      <c r="B156" s="696">
        <f ca="1">ORÇAMENTO!D156</f>
        <v>0</v>
      </c>
      <c r="C156" s="114" t="str">
        <f t="shared" ca="1" si="15"/>
        <v>F</v>
      </c>
      <c r="D156" s="117" t="str">
        <f ca="1">ORÇAMENTO!O156</f>
        <v>1.25.4.</v>
      </c>
      <c r="E156" s="163" t="str">
        <f t="shared" ca="1" si="16"/>
        <v>CABO DE COBRE ISOLADO, 10 MM², ANTI-CHAMA 450/750 V, INSTALADO EM ELETROCALHA OU PERFILADO - FORNECIMENTO E INSTALAÇÃO. AF_07/2025</v>
      </c>
      <c r="F156" s="164" t="str">
        <f t="array" aca="1" ref="F156" ca="1">IF(RegimeExecucao="Global","",ORÇAMENTO.Unidade)</f>
        <v>M</v>
      </c>
      <c r="G156" s="122">
        <f t="array" aca="1" ref="G156" ca="1">IF(RegimeExecucao="Global","",ORÇAMENTO!T156)</f>
        <v>518</v>
      </c>
      <c r="H156" s="122">
        <f t="array" aca="1" ref="H156" ca="1">IF(RegimeExecucao="Global","",ORÇAMENTO!W156)</f>
        <v>12.6</v>
      </c>
      <c r="I156" s="125">
        <f ca="1">ORÇAMENTO!X156</f>
        <v>6526.8</v>
      </c>
      <c r="J156" s="333">
        <f t="array" aca="1" ref="J156" ca="1">IF($A156="S",IF(CAIXA.Modo,BM.AFAnterior,BM.MEDAnterior),IF(AND(RegimeExecucao="Global",$I156&gt;0,COUNTIF($AB$13:$AM$13,BM.medicao-1)&gt;0),M156/$I156*100,0))</f>
        <v>0</v>
      </c>
      <c r="K156" s="122">
        <f t="shared" ca="1" si="17"/>
        <v>0</v>
      </c>
      <c r="L156" s="334">
        <f t="array" aca="1" ref="L156" ca="1">IF($A156="S",IF(CAIXA.Modo,BM.AFAcumulado,BM.MEDAcumulado),IF(AND(RegimeExecucao="Global",$I156&gt;0,COUNTIF($AB$13:$AM$13,BM.medicao)&gt;0),O156/$I156*100,0))</f>
        <v>0</v>
      </c>
      <c r="M156" s="335">
        <f t="array" aca="1" ref="M156" ca="1">IF($A156="S",VTOTALBM,IF($A156=0,0,ROUND(SomaAgrupBM,15-13*ORÇAMENTO!$AF$11)))</f>
        <v>0</v>
      </c>
      <c r="N156" s="336">
        <f t="shared" ca="1" si="18"/>
        <v>0</v>
      </c>
      <c r="O156" s="125">
        <f t="array" aca="1" ref="O156" ca="1">IF($A156="S",VTOTALBM,IF($A156=0,0,ROUND(SomaAgrupBM,15-13*ORÇAMENTO!$AF$11)))</f>
        <v>0</v>
      </c>
      <c r="Q156" s="337"/>
      <c r="R156" s="338"/>
      <c r="T156" s="117" t="str">
        <f t="shared" ca="1" si="19"/>
        <v/>
      </c>
      <c r="U156" s="163" t="str">
        <f t="shared" ca="1" si="20"/>
        <v/>
      </c>
      <c r="V156" s="164" t="str">
        <f t="array" aca="1" ref="V156" ca="1">IF(AND($W156&gt;0,RegimeExecucao="Unitário"),$F156,"")</f>
        <v/>
      </c>
      <c r="W156" s="453">
        <f t="array" aca="1" ref="W156" ca="1">IF($Y156&gt;0,CHOOSE(MATCH(RegimeExecucao,{"Unitário","Global"},0),IF($A156="S",$Y156/$X156,""),($Y156/$X156)*100),0)</f>
        <v>0</v>
      </c>
      <c r="X156" s="339" t="str">
        <f t="array" aca="1" ref="X156" ca="1">IF($Y156&gt;0,CHOOSE(MATCH(RegimeExecucao,{"Unitário","Global"},0),IF($A156="S",ROUND($H156,ORÇAMENTO!$AF$10),""),ROUND($I156,ORÇAMENTO!$AF$11)),"")</f>
        <v/>
      </c>
      <c r="Y156" s="339">
        <f t="shared" ca="1" si="21"/>
        <v>0</v>
      </c>
      <c r="Z156" s="472"/>
      <c r="AB156" s="337"/>
      <c r="AC156" s="437"/>
      <c r="AD156" s="437"/>
      <c r="AE156" s="437"/>
      <c r="AF156" s="437"/>
      <c r="AG156" s="437"/>
      <c r="AH156" s="437"/>
      <c r="AI156" s="437"/>
      <c r="AJ156" s="437"/>
      <c r="AK156" s="437"/>
      <c r="AL156" s="437"/>
      <c r="AM156" s="338"/>
      <c r="AO156" s="696">
        <f t="array" aca="1" ref="AO156" ca="1">IF($A156="S",IF(BM!$I156=0,0,CHOOSE(MATCH(RegimeExecucao,{"Global","Unitário"},0),ROUND(ROUND(BM.MEDAcumulado,15-13*BM!$A$9)/100*BM!$I156,15-13*ORÇAMENTO!$AF$11),ROUND(ROUND(BM.MEDAcumulado,15-13*BM!$A$9)*ROUND(BM!$H156,15-13*ORÇAMENTO!$AF$10),15-13*ORÇAMENTO!$AF$11))),IF($A156=0,0,ROUND(SomaAgrupBM,15-13*ORÇAMENTO!$AF$11)))</f>
        <v>0</v>
      </c>
    </row>
    <row r="157" spans="1:41" s="702" customFormat="1" ht="38.25" x14ac:dyDescent="0.2">
      <c r="A157" s="702" t="str">
        <f ca="1">ORÇAMENTO!C157</f>
        <v>S</v>
      </c>
      <c r="B157" s="702">
        <f ca="1">ORÇAMENTO!D157</f>
        <v>0</v>
      </c>
      <c r="C157" s="114" t="str">
        <f ca="1">IF(OR($I157&gt;0,$A157=1,$A157=2,$A157=3,$A157=4),"F","")</f>
        <v>F</v>
      </c>
      <c r="D157" s="117" t="str">
        <f ca="1">ORÇAMENTO!O157</f>
        <v>1.25.5.</v>
      </c>
      <c r="E157" s="163" t="str">
        <f ca="1">ORÇAMENTO.Descricao</f>
        <v>CABO DE COBRE FLEXÍVEL ISOLADO, 10 MM², 0,6/1,0 KV, PARA REDE AÉREA DE DISTRIBUIÇÃO DE ENERGIA ELÉTRICA DE BAIXA TENSÃO - FORNECIMENTO E INSTALAÇÃO. AF_07/2020</v>
      </c>
      <c r="F157" s="164" t="str">
        <f t="array" aca="1" ref="F157" ca="1">IF(RegimeExecucao="Global","",ORÇAMENTO.Unidade)</f>
        <v>M</v>
      </c>
      <c r="G157" s="122">
        <f t="array" aca="1" ref="G157" ca="1">IF(RegimeExecucao="Global","",ORÇAMENTO!T157)</f>
        <v>166</v>
      </c>
      <c r="H157" s="122">
        <f t="array" aca="1" ref="H157" ca="1">IF(RegimeExecucao="Global","",ORÇAMENTO!W157)</f>
        <v>12.29</v>
      </c>
      <c r="I157" s="125">
        <f ca="1">ORÇAMENTO!X157</f>
        <v>2040.16</v>
      </c>
      <c r="J157" s="333">
        <f t="array" aca="1" ref="J157" ca="1">IF($A157="S",IF(CAIXA.Modo,BM.AFAnterior,BM.MEDAnterior),IF(AND(RegimeExecucao="Global",$I157&gt;0,COUNTIF($AB$13:$AM$13,BM.medicao-1)&gt;0),M157/$I157*100,0))</f>
        <v>0</v>
      </c>
      <c r="K157" s="122">
        <f ca="1">L157-J157</f>
        <v>0</v>
      </c>
      <c r="L157" s="334">
        <f t="array" aca="1" ref="L157" ca="1">IF($A157="S",IF(CAIXA.Modo,BM.AFAcumulado,BM.MEDAcumulado),IF(AND(RegimeExecucao="Global",$I157&gt;0,COUNTIF($AB$13:$AM$13,BM.medicao)&gt;0),O157/$I157*100,0))</f>
        <v>0</v>
      </c>
      <c r="M157" s="335">
        <f t="array" aca="1" ref="M157" ca="1">IF($A157="S",VTOTALBM,IF($A157=0,0,ROUND(SomaAgrupBM,15-13*ORÇAMENTO!$AF$11)))</f>
        <v>0</v>
      </c>
      <c r="N157" s="336">
        <f ca="1">O157-M157</f>
        <v>0</v>
      </c>
      <c r="O157" s="125">
        <f t="array" aca="1" ref="O157" ca="1">IF($A157="S",VTOTALBM,IF($A157=0,0,ROUND(SomaAgrupBM,15-13*ORÇAMENTO!$AF$11)))</f>
        <v>0</v>
      </c>
      <c r="Q157" s="337"/>
      <c r="R157" s="338"/>
      <c r="T157" s="117" t="str">
        <f ca="1">IF($W157&gt;0,$D157,"")</f>
        <v/>
      </c>
      <c r="U157" s="163" t="str">
        <f ca="1">IF($W157&gt;0,$E157,"")</f>
        <v/>
      </c>
      <c r="V157" s="164" t="str">
        <f t="array" aca="1" ref="V157" ca="1">IF(AND($W157&gt;0,RegimeExecucao="Unitário"),$F157,"")</f>
        <v/>
      </c>
      <c r="W157" s="453">
        <f t="array" aca="1" ref="W157" ca="1">IF($Y157&gt;0,CHOOSE(MATCH(RegimeExecucao,{"Unitário","Global"},0),IF($A157="S",$Y157/$X157,""),($Y157/$X157)*100),0)</f>
        <v>0</v>
      </c>
      <c r="X157" s="339" t="str">
        <f t="array" aca="1" ref="X157" ca="1">IF($Y157&gt;0,CHOOSE(MATCH(RegimeExecucao,{"Unitário","Global"},0),IF($A157="S",ROUND($H157,ORÇAMENTO!$AF$10),""),ROUND($I157,ORÇAMENTO!$AF$11)),"")</f>
        <v/>
      </c>
      <c r="Y157" s="339">
        <f ca="1">AO157-O157</f>
        <v>0</v>
      </c>
      <c r="Z157" s="472"/>
      <c r="AB157" s="337"/>
      <c r="AC157" s="437"/>
      <c r="AD157" s="437"/>
      <c r="AE157" s="437"/>
      <c r="AF157" s="437"/>
      <c r="AG157" s="437"/>
      <c r="AH157" s="437"/>
      <c r="AI157" s="437"/>
      <c r="AJ157" s="437"/>
      <c r="AK157" s="437"/>
      <c r="AL157" s="437"/>
      <c r="AM157" s="338"/>
      <c r="AO157" s="702">
        <f t="array" aca="1" ref="AO157" ca="1">IF($A157="S",IF(BM!$I157=0,0,CHOOSE(MATCH(RegimeExecucao,{"Global","Unitário"},0),ROUND(ROUND(BM.MEDAcumulado,15-13*BM!$A$9)/100*BM!$I157,15-13*ORÇAMENTO!$AF$11),ROUND(ROUND(BM.MEDAcumulado,15-13*BM!$A$9)*ROUND(BM!$H157,15-13*ORÇAMENTO!$AF$10),15-13*ORÇAMENTO!$AF$11))),IF($A157=0,0,ROUND(SomaAgrupBM,15-13*ORÇAMENTO!$AF$11)))</f>
        <v>0</v>
      </c>
    </row>
    <row r="158" spans="1:41" s="696" customFormat="1" ht="38.25" x14ac:dyDescent="0.2">
      <c r="A158" s="696" t="str">
        <f ca="1">ORÇAMENTO!C158</f>
        <v>S</v>
      </c>
      <c r="B158" s="696">
        <f ca="1">ORÇAMENTO!D158</f>
        <v>0</v>
      </c>
      <c r="C158" s="114" t="str">
        <f t="shared" ca="1" si="15"/>
        <v>F</v>
      </c>
      <c r="D158" s="117" t="str">
        <f ca="1">ORÇAMENTO!O158</f>
        <v>1.25.6.</v>
      </c>
      <c r="E158" s="163" t="str">
        <f t="shared" ca="1" si="16"/>
        <v>ELETRODUTO FLEXÍVEL CORRUGADO, PVC, DN 25 MM (3/4"), PARA CIRCUITOS TERMINAIS, INSTALADO EM FORRO - FORNECIMENTO E INSTALAÇÃO. AF_03/2023</v>
      </c>
      <c r="F158" s="164" t="str">
        <f t="array" aca="1" ref="F158" ca="1">IF(RegimeExecucao="Global","",ORÇAMENTO.Unidade)</f>
        <v>M</v>
      </c>
      <c r="G158" s="122">
        <f t="array" aca="1" ref="G158" ca="1">IF(RegimeExecucao="Global","",ORÇAMENTO!T158)</f>
        <v>894</v>
      </c>
      <c r="H158" s="122">
        <f t="array" aca="1" ref="H158" ca="1">IF(RegimeExecucao="Global","",ORÇAMENTO!W158)</f>
        <v>21.2</v>
      </c>
      <c r="I158" s="125">
        <f ca="1">ORÇAMENTO!X158</f>
        <v>18952.8</v>
      </c>
      <c r="J158" s="333">
        <f t="array" aca="1" ref="J158" ca="1">IF($A158="S",IF(CAIXA.Modo,BM.AFAnterior,BM.MEDAnterior),IF(AND(RegimeExecucao="Global",$I158&gt;0,COUNTIF($AB$13:$AM$13,BM.medicao-1)&gt;0),M158/$I158*100,0))</f>
        <v>0</v>
      </c>
      <c r="K158" s="122">
        <f t="shared" ca="1" si="17"/>
        <v>0</v>
      </c>
      <c r="L158" s="334">
        <f t="array" aca="1" ref="L158" ca="1">IF($A158="S",IF(CAIXA.Modo,BM.AFAcumulado,BM.MEDAcumulado),IF(AND(RegimeExecucao="Global",$I158&gt;0,COUNTIF($AB$13:$AM$13,BM.medicao)&gt;0),O158/$I158*100,0))</f>
        <v>0</v>
      </c>
      <c r="M158" s="335">
        <f t="array" aca="1" ref="M158" ca="1">IF($A158="S",VTOTALBM,IF($A158=0,0,ROUND(SomaAgrupBM,15-13*ORÇAMENTO!$AF$11)))</f>
        <v>0</v>
      </c>
      <c r="N158" s="336">
        <f t="shared" ca="1" si="18"/>
        <v>0</v>
      </c>
      <c r="O158" s="125">
        <f t="array" aca="1" ref="O158" ca="1">IF($A158="S",VTOTALBM,IF($A158=0,0,ROUND(SomaAgrupBM,15-13*ORÇAMENTO!$AF$11)))</f>
        <v>0</v>
      </c>
      <c r="Q158" s="337"/>
      <c r="R158" s="338"/>
      <c r="T158" s="117" t="str">
        <f t="shared" ca="1" si="19"/>
        <v/>
      </c>
      <c r="U158" s="163" t="str">
        <f t="shared" ca="1" si="20"/>
        <v/>
      </c>
      <c r="V158" s="164" t="str">
        <f t="array" aca="1" ref="V158" ca="1">IF(AND($W158&gt;0,RegimeExecucao="Unitário"),$F158,"")</f>
        <v/>
      </c>
      <c r="W158" s="453">
        <f t="array" aca="1" ref="W158" ca="1">IF($Y158&gt;0,CHOOSE(MATCH(RegimeExecucao,{"Unitário","Global"},0),IF($A158="S",$Y158/$X158,""),($Y158/$X158)*100),0)</f>
        <v>0</v>
      </c>
      <c r="X158" s="339" t="str">
        <f t="array" aca="1" ref="X158" ca="1">IF($Y158&gt;0,CHOOSE(MATCH(RegimeExecucao,{"Unitário","Global"},0),IF($A158="S",ROUND($H158,ORÇAMENTO!$AF$10),""),ROUND($I158,ORÇAMENTO!$AF$11)),"")</f>
        <v/>
      </c>
      <c r="Y158" s="339">
        <f t="shared" ca="1" si="21"/>
        <v>0</v>
      </c>
      <c r="Z158" s="472"/>
      <c r="AB158" s="337"/>
      <c r="AC158" s="437"/>
      <c r="AD158" s="437"/>
      <c r="AE158" s="437"/>
      <c r="AF158" s="437"/>
      <c r="AG158" s="437"/>
      <c r="AH158" s="437"/>
      <c r="AI158" s="437"/>
      <c r="AJ158" s="437"/>
      <c r="AK158" s="437"/>
      <c r="AL158" s="437"/>
      <c r="AM158" s="338"/>
      <c r="AO158" s="696">
        <f t="array" aca="1" ref="AO158" ca="1">IF($A158="S",IF(BM!$I158=0,0,CHOOSE(MATCH(RegimeExecucao,{"Global","Unitário"},0),ROUND(ROUND(BM.MEDAcumulado,15-13*BM!$A$9)/100*BM!$I158,15-13*ORÇAMENTO!$AF$11),ROUND(ROUND(BM.MEDAcumulado,15-13*BM!$A$9)*ROUND(BM!$H158,15-13*ORÇAMENTO!$AF$10),15-13*ORÇAMENTO!$AF$11))),IF($A158=0,0,ROUND(SomaAgrupBM,15-13*ORÇAMENTO!$AF$11)))</f>
        <v>0</v>
      </c>
    </row>
    <row r="159" spans="1:41" s="696" customFormat="1" ht="38.25" x14ac:dyDescent="0.2">
      <c r="A159" s="696" t="str">
        <f ca="1">ORÇAMENTO!C159</f>
        <v>S</v>
      </c>
      <c r="B159" s="696">
        <f ca="1">ORÇAMENTO!D159</f>
        <v>0</v>
      </c>
      <c r="C159" s="114" t="str">
        <f t="shared" ca="1" si="15"/>
        <v>F</v>
      </c>
      <c r="D159" s="117" t="str">
        <f ca="1">ORÇAMENTO!O159</f>
        <v>1.25.7.</v>
      </c>
      <c r="E159" s="163" t="str">
        <f t="shared" ca="1" si="16"/>
        <v>ELETRODUTO FLEXÍVEL CORRUGADO, PVC, DN 25 MM (3/4"), PARA CIRCUITOS TERMINAIS, INSTALADO EM PAREDE - FORNECIMENTO E INSTALAÇÃO. AF_03/2023</v>
      </c>
      <c r="F159" s="164" t="str">
        <f t="array" aca="1" ref="F159" ca="1">IF(RegimeExecucao="Global","",ORÇAMENTO.Unidade)</f>
        <v>M</v>
      </c>
      <c r="G159" s="122">
        <f t="array" aca="1" ref="G159" ca="1">IF(RegimeExecucao="Global","",ORÇAMENTO!T159)</f>
        <v>1166</v>
      </c>
      <c r="H159" s="122">
        <f t="array" aca="1" ref="H159" ca="1">IF(RegimeExecucao="Global","",ORÇAMENTO!W159)</f>
        <v>11.93</v>
      </c>
      <c r="I159" s="125">
        <f ca="1">ORÇAMENTO!X159</f>
        <v>13910.4</v>
      </c>
      <c r="J159" s="333">
        <f t="array" aca="1" ref="J159" ca="1">IF($A159="S",IF(CAIXA.Modo,BM.AFAnterior,BM.MEDAnterior),IF(AND(RegimeExecucao="Global",$I159&gt;0,COUNTIF($AB$13:$AM$13,BM.medicao-1)&gt;0),M159/$I159*100,0))</f>
        <v>0</v>
      </c>
      <c r="K159" s="122">
        <f t="shared" ca="1" si="17"/>
        <v>0</v>
      </c>
      <c r="L159" s="334">
        <f t="array" aca="1" ref="L159" ca="1">IF($A159="S",IF(CAIXA.Modo,BM.AFAcumulado,BM.MEDAcumulado),IF(AND(RegimeExecucao="Global",$I159&gt;0,COUNTIF($AB$13:$AM$13,BM.medicao)&gt;0),O159/$I159*100,0))</f>
        <v>0</v>
      </c>
      <c r="M159" s="335">
        <f t="array" aca="1" ref="M159" ca="1">IF($A159="S",VTOTALBM,IF($A159=0,0,ROUND(SomaAgrupBM,15-13*ORÇAMENTO!$AF$11)))</f>
        <v>0</v>
      </c>
      <c r="N159" s="336">
        <f t="shared" ca="1" si="18"/>
        <v>0</v>
      </c>
      <c r="O159" s="125">
        <f t="array" aca="1" ref="O159" ca="1">IF($A159="S",VTOTALBM,IF($A159=0,0,ROUND(SomaAgrupBM,15-13*ORÇAMENTO!$AF$11)))</f>
        <v>0</v>
      </c>
      <c r="Q159" s="337"/>
      <c r="R159" s="338"/>
      <c r="T159" s="117" t="str">
        <f t="shared" ca="1" si="19"/>
        <v/>
      </c>
      <c r="U159" s="163" t="str">
        <f t="shared" ca="1" si="20"/>
        <v/>
      </c>
      <c r="V159" s="164" t="str">
        <f t="array" aca="1" ref="V159" ca="1">IF(AND($W159&gt;0,RegimeExecucao="Unitário"),$F159,"")</f>
        <v/>
      </c>
      <c r="W159" s="453">
        <f t="array" aca="1" ref="W159" ca="1">IF($Y159&gt;0,CHOOSE(MATCH(RegimeExecucao,{"Unitário","Global"},0),IF($A159="S",$Y159/$X159,""),($Y159/$X159)*100),0)</f>
        <v>0</v>
      </c>
      <c r="X159" s="339" t="str">
        <f t="array" aca="1" ref="X159" ca="1">IF($Y159&gt;0,CHOOSE(MATCH(RegimeExecucao,{"Unitário","Global"},0),IF($A159="S",ROUND($H159,ORÇAMENTO!$AF$10),""),ROUND($I159,ORÇAMENTO!$AF$11)),"")</f>
        <v/>
      </c>
      <c r="Y159" s="339">
        <f t="shared" ca="1" si="21"/>
        <v>0</v>
      </c>
      <c r="Z159" s="472"/>
      <c r="AB159" s="337"/>
      <c r="AC159" s="437"/>
      <c r="AD159" s="437"/>
      <c r="AE159" s="437"/>
      <c r="AF159" s="437"/>
      <c r="AG159" s="437"/>
      <c r="AH159" s="437"/>
      <c r="AI159" s="437"/>
      <c r="AJ159" s="437"/>
      <c r="AK159" s="437"/>
      <c r="AL159" s="437"/>
      <c r="AM159" s="338"/>
      <c r="AO159" s="696">
        <f t="array" aca="1" ref="AO159" ca="1">IF($A159="S",IF(BM!$I159=0,0,CHOOSE(MATCH(RegimeExecucao,{"Global","Unitário"},0),ROUND(ROUND(BM.MEDAcumulado,15-13*BM!$A$9)/100*BM!$I159,15-13*ORÇAMENTO!$AF$11),ROUND(ROUND(BM.MEDAcumulado,15-13*BM!$A$9)*ROUND(BM!$H159,15-13*ORÇAMENTO!$AF$10),15-13*ORÇAMENTO!$AF$11))),IF($A159=0,0,ROUND(SomaAgrupBM,15-13*ORÇAMENTO!$AF$11)))</f>
        <v>0</v>
      </c>
    </row>
    <row r="160" spans="1:41" s="696" customFormat="1" ht="38.25" x14ac:dyDescent="0.2">
      <c r="A160" s="696" t="str">
        <f ca="1">ORÇAMENTO!C160</f>
        <v>S</v>
      </c>
      <c r="B160" s="696">
        <f ca="1">ORÇAMENTO!D160</f>
        <v>0</v>
      </c>
      <c r="C160" s="114" t="str">
        <f t="shared" ca="1" si="15"/>
        <v>F</v>
      </c>
      <c r="D160" s="117" t="str">
        <f ca="1">ORÇAMENTO!O160</f>
        <v>1.25.8.</v>
      </c>
      <c r="E160" s="163" t="str">
        <f t="shared" ca="1" si="16"/>
        <v>ELETRODUTO FLEXÍVEL CORRUGADO REFORÇADO, PVC, DN 25 MM (3/4"), PARA CIRCUITOS TERMINAIS, INSTALADO EM LAJE - FORNECIMENTO E INSTALAÇÃO. AF_03/2023</v>
      </c>
      <c r="F160" s="164" t="str">
        <f t="array" aca="1" ref="F160" ca="1">IF(RegimeExecucao="Global","",ORÇAMENTO.Unidade)</f>
        <v>M</v>
      </c>
      <c r="G160" s="122">
        <f t="array" aca="1" ref="G160" ca="1">IF(RegimeExecucao="Global","",ORÇAMENTO!T160)</f>
        <v>441.2</v>
      </c>
      <c r="H160" s="122">
        <f t="array" aca="1" ref="H160" ca="1">IF(RegimeExecucao="Global","",ORÇAMENTO!W160)</f>
        <v>10.039999999999999</v>
      </c>
      <c r="I160" s="125">
        <f ca="1">ORÇAMENTO!X160</f>
        <v>4429.6400000000003</v>
      </c>
      <c r="J160" s="333">
        <f t="array" aca="1" ref="J160" ca="1">IF($A160="S",IF(CAIXA.Modo,BM.AFAnterior,BM.MEDAnterior),IF(AND(RegimeExecucao="Global",$I160&gt;0,COUNTIF($AB$13:$AM$13,BM.medicao-1)&gt;0),M160/$I160*100,0))</f>
        <v>0</v>
      </c>
      <c r="K160" s="122">
        <f t="shared" ca="1" si="17"/>
        <v>0</v>
      </c>
      <c r="L160" s="334">
        <f t="array" aca="1" ref="L160" ca="1">IF($A160="S",IF(CAIXA.Modo,BM.AFAcumulado,BM.MEDAcumulado),IF(AND(RegimeExecucao="Global",$I160&gt;0,COUNTIF($AB$13:$AM$13,BM.medicao)&gt;0),O160/$I160*100,0))</f>
        <v>0</v>
      </c>
      <c r="M160" s="335">
        <f t="array" aca="1" ref="M160" ca="1">IF($A160="S",VTOTALBM,IF($A160=0,0,ROUND(SomaAgrupBM,15-13*ORÇAMENTO!$AF$11)))</f>
        <v>0</v>
      </c>
      <c r="N160" s="336">
        <f t="shared" ca="1" si="18"/>
        <v>0</v>
      </c>
      <c r="O160" s="125">
        <f t="array" aca="1" ref="O160" ca="1">IF($A160="S",VTOTALBM,IF($A160=0,0,ROUND(SomaAgrupBM,15-13*ORÇAMENTO!$AF$11)))</f>
        <v>0</v>
      </c>
      <c r="Q160" s="337"/>
      <c r="R160" s="338"/>
      <c r="T160" s="117" t="str">
        <f t="shared" ca="1" si="19"/>
        <v/>
      </c>
      <c r="U160" s="163" t="str">
        <f t="shared" ca="1" si="20"/>
        <v/>
      </c>
      <c r="V160" s="164" t="str">
        <f t="array" aca="1" ref="V160" ca="1">IF(AND($W160&gt;0,RegimeExecucao="Unitário"),$F160,"")</f>
        <v/>
      </c>
      <c r="W160" s="453">
        <f t="array" aca="1" ref="W160" ca="1">IF($Y160&gt;0,CHOOSE(MATCH(RegimeExecucao,{"Unitário","Global"},0),IF($A160="S",$Y160/$X160,""),($Y160/$X160)*100),0)</f>
        <v>0</v>
      </c>
      <c r="X160" s="339" t="str">
        <f t="array" aca="1" ref="X160" ca="1">IF($Y160&gt;0,CHOOSE(MATCH(RegimeExecucao,{"Unitário","Global"},0),IF($A160="S",ROUND($H160,ORÇAMENTO!$AF$10),""),ROUND($I160,ORÇAMENTO!$AF$11)),"")</f>
        <v/>
      </c>
      <c r="Y160" s="339">
        <f t="shared" ca="1" si="21"/>
        <v>0</v>
      </c>
      <c r="Z160" s="472"/>
      <c r="AB160" s="337"/>
      <c r="AC160" s="437"/>
      <c r="AD160" s="437"/>
      <c r="AE160" s="437"/>
      <c r="AF160" s="437"/>
      <c r="AG160" s="437"/>
      <c r="AH160" s="437"/>
      <c r="AI160" s="437"/>
      <c r="AJ160" s="437"/>
      <c r="AK160" s="437"/>
      <c r="AL160" s="437"/>
      <c r="AM160" s="338"/>
      <c r="AO160" s="696">
        <f t="array" aca="1" ref="AO160" ca="1">IF($A160="S",IF(BM!$I160=0,0,CHOOSE(MATCH(RegimeExecucao,{"Global","Unitário"},0),ROUND(ROUND(BM.MEDAcumulado,15-13*BM!$A$9)/100*BM!$I160,15-13*ORÇAMENTO!$AF$11),ROUND(ROUND(BM.MEDAcumulado,15-13*BM!$A$9)*ROUND(BM!$H160,15-13*ORÇAMENTO!$AF$10),15-13*ORÇAMENTO!$AF$11))),IF($A160=0,0,ROUND(SomaAgrupBM,15-13*ORÇAMENTO!$AF$11)))</f>
        <v>0</v>
      </c>
    </row>
    <row r="161" spans="1:41" s="696" customFormat="1" ht="25.5" x14ac:dyDescent="0.2">
      <c r="A161" s="696" t="str">
        <f ca="1">ORÇAMENTO!C161</f>
        <v>S</v>
      </c>
      <c r="B161" s="696">
        <f ca="1">ORÇAMENTO!D161</f>
        <v>0</v>
      </c>
      <c r="C161" s="114" t="str">
        <f t="shared" ca="1" si="15"/>
        <v>F</v>
      </c>
      <c r="D161" s="117" t="str">
        <f ca="1">ORÇAMENTO!O161</f>
        <v>1.25.9.</v>
      </c>
      <c r="E161" s="163" t="str">
        <f t="shared" ca="1" si="16"/>
        <v>RASGO LINEAR MANUAL EM ALVENARIA, PARA ELETRODUTOS, DIÂMETROS MENORES OU IGUAIS A 40 MM. AF_09/2023</v>
      </c>
      <c r="F161" s="164" t="str">
        <f t="array" aca="1" ref="F161" ca="1">IF(RegimeExecucao="Global","",ORÇAMENTO.Unidade)</f>
        <v>M</v>
      </c>
      <c r="G161" s="122">
        <f t="array" aca="1" ref="G161" ca="1">IF(RegimeExecucao="Global","",ORÇAMENTO!T161)</f>
        <v>1166</v>
      </c>
      <c r="H161" s="122">
        <f t="array" aca="1" ref="H161" ca="1">IF(RegimeExecucao="Global","",ORÇAMENTO!W161)</f>
        <v>10.29</v>
      </c>
      <c r="I161" s="125">
        <f ca="1">ORÇAMENTO!X161</f>
        <v>11998.16</v>
      </c>
      <c r="J161" s="333">
        <f t="array" aca="1" ref="J161" ca="1">IF($A161="S",IF(CAIXA.Modo,BM.AFAnterior,BM.MEDAnterior),IF(AND(RegimeExecucao="Global",$I161&gt;0,COUNTIF($AB$13:$AM$13,BM.medicao-1)&gt;0),M161/$I161*100,0))</f>
        <v>0</v>
      </c>
      <c r="K161" s="122">
        <f t="shared" ca="1" si="17"/>
        <v>0</v>
      </c>
      <c r="L161" s="334">
        <f t="array" aca="1" ref="L161" ca="1">IF($A161="S",IF(CAIXA.Modo,BM.AFAcumulado,BM.MEDAcumulado),IF(AND(RegimeExecucao="Global",$I161&gt;0,COUNTIF($AB$13:$AM$13,BM.medicao)&gt;0),O161/$I161*100,0))</f>
        <v>0</v>
      </c>
      <c r="M161" s="335">
        <f t="array" aca="1" ref="M161" ca="1">IF($A161="S",VTOTALBM,IF($A161=0,0,ROUND(SomaAgrupBM,15-13*ORÇAMENTO!$AF$11)))</f>
        <v>0</v>
      </c>
      <c r="N161" s="336">
        <f t="shared" ca="1" si="18"/>
        <v>0</v>
      </c>
      <c r="O161" s="125">
        <f t="array" aca="1" ref="O161" ca="1">IF($A161="S",VTOTALBM,IF($A161=0,0,ROUND(SomaAgrupBM,15-13*ORÇAMENTO!$AF$11)))</f>
        <v>0</v>
      </c>
      <c r="Q161" s="337"/>
      <c r="R161" s="338"/>
      <c r="T161" s="117" t="str">
        <f t="shared" ca="1" si="19"/>
        <v/>
      </c>
      <c r="U161" s="163" t="str">
        <f t="shared" ca="1" si="20"/>
        <v/>
      </c>
      <c r="V161" s="164" t="str">
        <f t="array" aca="1" ref="V161" ca="1">IF(AND($W161&gt;0,RegimeExecucao="Unitário"),$F161,"")</f>
        <v/>
      </c>
      <c r="W161" s="453">
        <f t="array" aca="1" ref="W161" ca="1">IF($Y161&gt;0,CHOOSE(MATCH(RegimeExecucao,{"Unitário","Global"},0),IF($A161="S",$Y161/$X161,""),($Y161/$X161)*100),0)</f>
        <v>0</v>
      </c>
      <c r="X161" s="339" t="str">
        <f t="array" aca="1" ref="X161" ca="1">IF($Y161&gt;0,CHOOSE(MATCH(RegimeExecucao,{"Unitário","Global"},0),IF($A161="S",ROUND($H161,ORÇAMENTO!$AF$10),""),ROUND($I161,ORÇAMENTO!$AF$11)),"")</f>
        <v/>
      </c>
      <c r="Y161" s="339">
        <f t="shared" ca="1" si="21"/>
        <v>0</v>
      </c>
      <c r="Z161" s="472"/>
      <c r="AB161" s="337"/>
      <c r="AC161" s="437"/>
      <c r="AD161" s="437"/>
      <c r="AE161" s="437"/>
      <c r="AF161" s="437"/>
      <c r="AG161" s="437"/>
      <c r="AH161" s="437"/>
      <c r="AI161" s="437"/>
      <c r="AJ161" s="437"/>
      <c r="AK161" s="437"/>
      <c r="AL161" s="437"/>
      <c r="AM161" s="338"/>
      <c r="AO161" s="696">
        <f t="array" aca="1" ref="AO161" ca="1">IF($A161="S",IF(BM!$I161=0,0,CHOOSE(MATCH(RegimeExecucao,{"Global","Unitário"},0),ROUND(ROUND(BM.MEDAcumulado,15-13*BM!$A$9)/100*BM!$I161,15-13*ORÇAMENTO!$AF$11),ROUND(ROUND(BM.MEDAcumulado,15-13*BM!$A$9)*ROUND(BM!$H161,15-13*ORÇAMENTO!$AF$10),15-13*ORÇAMENTO!$AF$11))),IF($A161=0,0,ROUND(SomaAgrupBM,15-13*ORÇAMENTO!$AF$11)))</f>
        <v>0</v>
      </c>
    </row>
    <row r="162" spans="1:41" s="696" customFormat="1" x14ac:dyDescent="0.2">
      <c r="A162" s="696">
        <f ca="1">ORÇAMENTO!C162</f>
        <v>2</v>
      </c>
      <c r="B162" s="696">
        <f ca="1">ORÇAMENTO!D162</f>
        <v>7</v>
      </c>
      <c r="C162" s="114" t="str">
        <f t="shared" ca="1" si="15"/>
        <v>F</v>
      </c>
      <c r="D162" s="117" t="str">
        <f ca="1">ORÇAMENTO!O162</f>
        <v>1.26.</v>
      </c>
      <c r="E162" s="163" t="str">
        <f t="shared" si="16"/>
        <v>HIDRÁULICAS, GÁS E INCÊNDIO</v>
      </c>
      <c r="F162" s="164" t="str">
        <f t="array" aca="1" ref="F162" ca="1">IF(RegimeExecucao="Global","",ORÇAMENTO.Unidade)</f>
        <v>-</v>
      </c>
      <c r="G162" s="122">
        <f t="array" aca="1" ref="G162" ca="1">IF(RegimeExecucao="Global","",ORÇAMENTO!T162)</f>
        <v>0</v>
      </c>
      <c r="H162" s="122">
        <f t="array" aca="1" ref="H162" ca="1">IF(RegimeExecucao="Global","",ORÇAMENTO!W162)</f>
        <v>0</v>
      </c>
      <c r="I162" s="125">
        <f ca="1">ORÇAMENTO!X162</f>
        <v>13216.68</v>
      </c>
      <c r="J162" s="333">
        <f t="array" aca="1" ref="J162" ca="1">IF($A162="S",IF(CAIXA.Modo,BM.AFAnterior,BM.MEDAnterior),IF(AND(RegimeExecucao="Global",$I162&gt;0,COUNTIF($AB$13:$AM$13,BM.medicao-1)&gt;0),M162/$I162*100,0))</f>
        <v>0</v>
      </c>
      <c r="K162" s="122">
        <f t="shared" ca="1" si="17"/>
        <v>0</v>
      </c>
      <c r="L162" s="334">
        <f t="array" aca="1" ref="L162" ca="1">IF($A162="S",IF(CAIXA.Modo,BM.AFAcumulado,BM.MEDAcumulado),IF(AND(RegimeExecucao="Global",$I162&gt;0,COUNTIF($AB$13:$AM$13,BM.medicao)&gt;0),O162/$I162*100,0))</f>
        <v>0</v>
      </c>
      <c r="M162" s="335">
        <f t="array" aca="1" ref="M162" ca="1">IF($A162="S",VTOTALBM,IF($A162=0,0,ROUND(SomaAgrupBM,15-13*ORÇAMENTO!$AF$11)))</f>
        <v>0</v>
      </c>
      <c r="N162" s="336">
        <f t="shared" ca="1" si="18"/>
        <v>0</v>
      </c>
      <c r="O162" s="125">
        <f t="array" aca="1" ref="O162" ca="1">IF($A162="S",VTOTALBM,IF($A162=0,0,ROUND(SomaAgrupBM,15-13*ORÇAMENTO!$AF$11)))</f>
        <v>0</v>
      </c>
      <c r="Q162" s="337"/>
      <c r="R162" s="338"/>
      <c r="T162" s="117" t="str">
        <f t="shared" ca="1" si="19"/>
        <v/>
      </c>
      <c r="U162" s="163" t="str">
        <f t="shared" ca="1" si="20"/>
        <v/>
      </c>
      <c r="V162" s="164" t="str">
        <f t="array" aca="1" ref="V162" ca="1">IF(AND($W162&gt;0,RegimeExecucao="Unitário"),$F162,"")</f>
        <v/>
      </c>
      <c r="W162" s="453">
        <f t="array" aca="1" ref="W162" ca="1">IF($Y162&gt;0,CHOOSE(MATCH(RegimeExecucao,{"Unitário","Global"},0),IF($A162="S",$Y162/$X162,""),($Y162/$X162)*100),0)</f>
        <v>0</v>
      </c>
      <c r="X162" s="339" t="str">
        <f t="array" aca="1" ref="X162" ca="1">IF($Y162&gt;0,CHOOSE(MATCH(RegimeExecucao,{"Unitário","Global"},0),IF($A162="S",ROUND($H162,ORÇAMENTO!$AF$10),""),ROUND($I162,ORÇAMENTO!$AF$11)),"")</f>
        <v/>
      </c>
      <c r="Y162" s="339">
        <f t="shared" ca="1" si="21"/>
        <v>0</v>
      </c>
      <c r="Z162" s="472"/>
      <c r="AB162" s="337"/>
      <c r="AC162" s="437"/>
      <c r="AD162" s="437"/>
      <c r="AE162" s="437"/>
      <c r="AF162" s="437"/>
      <c r="AG162" s="437"/>
      <c r="AH162" s="437"/>
      <c r="AI162" s="437"/>
      <c r="AJ162" s="437"/>
      <c r="AK162" s="437"/>
      <c r="AL162" s="437"/>
      <c r="AM162" s="338"/>
      <c r="AO162" s="696">
        <f t="array" aca="1" ref="AO162" ca="1">IF($A162="S",IF(BM!$I162=0,0,CHOOSE(MATCH(RegimeExecucao,{"Global","Unitário"},0),ROUND(ROUND(BM.MEDAcumulado,15-13*BM!$A$9)/100*BM!$I162,15-13*ORÇAMENTO!$AF$11),ROUND(ROUND(BM.MEDAcumulado,15-13*BM!$A$9)*ROUND(BM!$H162,15-13*ORÇAMENTO!$AF$10),15-13*ORÇAMENTO!$AF$11))),IF($A162=0,0,ROUND(SomaAgrupBM,15-13*ORÇAMENTO!$AF$11)))</f>
        <v>0</v>
      </c>
    </row>
    <row r="163" spans="1:41" s="696" customFormat="1" ht="38.25" x14ac:dyDescent="0.2">
      <c r="A163" s="696" t="str">
        <f ca="1">ORÇAMENTO!C163</f>
        <v>S</v>
      </c>
      <c r="B163" s="696">
        <f ca="1">ORÇAMENTO!D163</f>
        <v>0</v>
      </c>
      <c r="C163" s="114" t="str">
        <f t="shared" ca="1" si="15"/>
        <v>F</v>
      </c>
      <c r="D163" s="117" t="str">
        <f ca="1">ORÇAMENTO!O163</f>
        <v>1.26.1.</v>
      </c>
      <c r="E163" s="163" t="str">
        <f t="shared" ca="1" si="16"/>
        <v>JOELHO 90 GRAUS COM BUCHA DE LATÃO, PVC, SOLDÁVEL, DN 25MM, X 1/2 INSTALADO EM RAMAL OU SUB-RAMAL DE ÁGUA - FORNECIMENTO E INSTALAÇÃO. AF_06/2022</v>
      </c>
      <c r="F163" s="164" t="str">
        <f t="array" aca="1" ref="F163" ca="1">IF(RegimeExecucao="Global","",ORÇAMENTO.Unidade)</f>
        <v>UN</v>
      </c>
      <c r="G163" s="122">
        <f t="array" aca="1" ref="G163" ca="1">IF(RegimeExecucao="Global","",ORÇAMENTO!T163)</f>
        <v>140</v>
      </c>
      <c r="H163" s="122">
        <f t="array" aca="1" ref="H163" ca="1">IF(RegimeExecucao="Global","",ORÇAMENTO!W163)</f>
        <v>15.57</v>
      </c>
      <c r="I163" s="125">
        <f ca="1">ORÇAMENTO!X163</f>
        <v>2179.8000000000002</v>
      </c>
      <c r="J163" s="333">
        <f t="array" aca="1" ref="J163" ca="1">IF($A163="S",IF(CAIXA.Modo,BM.AFAnterior,BM.MEDAnterior),IF(AND(RegimeExecucao="Global",$I163&gt;0,COUNTIF($AB$13:$AM$13,BM.medicao-1)&gt;0),M163/$I163*100,0))</f>
        <v>0</v>
      </c>
      <c r="K163" s="122">
        <f t="shared" ca="1" si="17"/>
        <v>0</v>
      </c>
      <c r="L163" s="334">
        <f t="array" aca="1" ref="L163" ca="1">IF($A163="S",IF(CAIXA.Modo,BM.AFAcumulado,BM.MEDAcumulado),IF(AND(RegimeExecucao="Global",$I163&gt;0,COUNTIF($AB$13:$AM$13,BM.medicao)&gt;0),O163/$I163*100,0))</f>
        <v>0</v>
      </c>
      <c r="M163" s="335">
        <f t="array" aca="1" ref="M163" ca="1">IF($A163="S",VTOTALBM,IF($A163=0,0,ROUND(SomaAgrupBM,15-13*ORÇAMENTO!$AF$11)))</f>
        <v>0</v>
      </c>
      <c r="N163" s="336">
        <f t="shared" ca="1" si="18"/>
        <v>0</v>
      </c>
      <c r="O163" s="125">
        <f t="array" aca="1" ref="O163" ca="1">IF($A163="S",VTOTALBM,IF($A163=0,0,ROUND(SomaAgrupBM,15-13*ORÇAMENTO!$AF$11)))</f>
        <v>0</v>
      </c>
      <c r="Q163" s="337"/>
      <c r="R163" s="338"/>
      <c r="T163" s="117" t="str">
        <f t="shared" ca="1" si="19"/>
        <v/>
      </c>
      <c r="U163" s="163" t="str">
        <f t="shared" ca="1" si="20"/>
        <v/>
      </c>
      <c r="V163" s="164" t="str">
        <f t="array" aca="1" ref="V163" ca="1">IF(AND($W163&gt;0,RegimeExecucao="Unitário"),$F163,"")</f>
        <v/>
      </c>
      <c r="W163" s="453">
        <f t="array" aca="1" ref="W163" ca="1">IF($Y163&gt;0,CHOOSE(MATCH(RegimeExecucao,{"Unitário","Global"},0),IF($A163="S",$Y163/$X163,""),($Y163/$X163)*100),0)</f>
        <v>0</v>
      </c>
      <c r="X163" s="339" t="str">
        <f t="array" aca="1" ref="X163" ca="1">IF($Y163&gt;0,CHOOSE(MATCH(RegimeExecucao,{"Unitário","Global"},0),IF($A163="S",ROUND($H163,ORÇAMENTO!$AF$10),""),ROUND($I163,ORÇAMENTO!$AF$11)),"")</f>
        <v/>
      </c>
      <c r="Y163" s="339">
        <f t="shared" ca="1" si="21"/>
        <v>0</v>
      </c>
      <c r="Z163" s="472"/>
      <c r="AB163" s="337"/>
      <c r="AC163" s="437"/>
      <c r="AD163" s="437"/>
      <c r="AE163" s="437"/>
      <c r="AF163" s="437"/>
      <c r="AG163" s="437"/>
      <c r="AH163" s="437"/>
      <c r="AI163" s="437"/>
      <c r="AJ163" s="437"/>
      <c r="AK163" s="437"/>
      <c r="AL163" s="437"/>
      <c r="AM163" s="338"/>
      <c r="AO163" s="696">
        <f t="array" aca="1" ref="AO163" ca="1">IF($A163="S",IF(BM!$I163=0,0,CHOOSE(MATCH(RegimeExecucao,{"Global","Unitário"},0),ROUND(ROUND(BM.MEDAcumulado,15-13*BM!$A$9)/100*BM!$I163,15-13*ORÇAMENTO!$AF$11),ROUND(ROUND(BM.MEDAcumulado,15-13*BM!$A$9)*ROUND(BM!$H163,15-13*ORÇAMENTO!$AF$10),15-13*ORÇAMENTO!$AF$11))),IF($A163=0,0,ROUND(SomaAgrupBM,15-13*ORÇAMENTO!$AF$11)))</f>
        <v>0</v>
      </c>
    </row>
    <row r="164" spans="1:41" s="696" customFormat="1" ht="38.25" x14ac:dyDescent="0.2">
      <c r="A164" s="696" t="str">
        <f ca="1">ORÇAMENTO!C164</f>
        <v>S</v>
      </c>
      <c r="B164" s="696">
        <f ca="1">ORÇAMENTO!D164</f>
        <v>0</v>
      </c>
      <c r="C164" s="114" t="str">
        <f t="shared" ca="1" si="15"/>
        <v>F</v>
      </c>
      <c r="D164" s="117" t="str">
        <f ca="1">ORÇAMENTO!O164</f>
        <v>1.26.2.</v>
      </c>
      <c r="E164" s="163" t="str">
        <f t="shared" ca="1" si="16"/>
        <v>JOELHO 90 GRAUS, PVC, SOLDÁVEL, DN 25MM, INSTALADO EM RAMAL DE DISTRIBUIÇÃO DE ÁGUA - FORNECIMENTO E INSTALAÇÃO. AF_06/2022</v>
      </c>
      <c r="F164" s="164" t="str">
        <f t="array" aca="1" ref="F164" ca="1">IF(RegimeExecucao="Global","",ORÇAMENTO.Unidade)</f>
        <v>UN</v>
      </c>
      <c r="G164" s="122">
        <f t="array" aca="1" ref="G164" ca="1">IF(RegimeExecucao="Global","",ORÇAMENTO!T164)</f>
        <v>260</v>
      </c>
      <c r="H164" s="122">
        <f t="array" aca="1" ref="H164" ca="1">IF(RegimeExecucao="Global","",ORÇAMENTO!W164)</f>
        <v>10.69</v>
      </c>
      <c r="I164" s="125">
        <f ca="1">ORÇAMENTO!X164</f>
        <v>2779.4</v>
      </c>
      <c r="J164" s="333">
        <f t="array" aca="1" ref="J164" ca="1">IF($A164="S",IF(CAIXA.Modo,BM.AFAnterior,BM.MEDAnterior),IF(AND(RegimeExecucao="Global",$I164&gt;0,COUNTIF($AB$13:$AM$13,BM.medicao-1)&gt;0),M164/$I164*100,0))</f>
        <v>0</v>
      </c>
      <c r="K164" s="122">
        <f t="shared" ca="1" si="17"/>
        <v>0</v>
      </c>
      <c r="L164" s="334">
        <f t="array" aca="1" ref="L164" ca="1">IF($A164="S",IF(CAIXA.Modo,BM.AFAcumulado,BM.MEDAcumulado),IF(AND(RegimeExecucao="Global",$I164&gt;0,COUNTIF($AB$13:$AM$13,BM.medicao)&gt;0),O164/$I164*100,0))</f>
        <v>0</v>
      </c>
      <c r="M164" s="335">
        <f t="array" aca="1" ref="M164" ca="1">IF($A164="S",VTOTALBM,IF($A164=0,0,ROUND(SomaAgrupBM,15-13*ORÇAMENTO!$AF$11)))</f>
        <v>0</v>
      </c>
      <c r="N164" s="336">
        <f t="shared" ca="1" si="18"/>
        <v>0</v>
      </c>
      <c r="O164" s="125">
        <f t="array" aca="1" ref="O164" ca="1">IF($A164="S",VTOTALBM,IF($A164=0,0,ROUND(SomaAgrupBM,15-13*ORÇAMENTO!$AF$11)))</f>
        <v>0</v>
      </c>
      <c r="Q164" s="337"/>
      <c r="R164" s="338"/>
      <c r="T164" s="117" t="str">
        <f t="shared" ca="1" si="19"/>
        <v/>
      </c>
      <c r="U164" s="163" t="str">
        <f t="shared" ca="1" si="20"/>
        <v/>
      </c>
      <c r="V164" s="164" t="str">
        <f t="array" aca="1" ref="V164" ca="1">IF(AND($W164&gt;0,RegimeExecucao="Unitário"),$F164,"")</f>
        <v/>
      </c>
      <c r="W164" s="453">
        <f t="array" aca="1" ref="W164" ca="1">IF($Y164&gt;0,CHOOSE(MATCH(RegimeExecucao,{"Unitário","Global"},0),IF($A164="S",$Y164/$X164,""),($Y164/$X164)*100),0)</f>
        <v>0</v>
      </c>
      <c r="X164" s="339" t="str">
        <f t="array" aca="1" ref="X164" ca="1">IF($Y164&gt;0,CHOOSE(MATCH(RegimeExecucao,{"Unitário","Global"},0),IF($A164="S",ROUND($H164,ORÇAMENTO!$AF$10),""),ROUND($I164,ORÇAMENTO!$AF$11)),"")</f>
        <v/>
      </c>
      <c r="Y164" s="339">
        <f t="shared" ca="1" si="21"/>
        <v>0</v>
      </c>
      <c r="Z164" s="472"/>
      <c r="AB164" s="337"/>
      <c r="AC164" s="437"/>
      <c r="AD164" s="437"/>
      <c r="AE164" s="437"/>
      <c r="AF164" s="437"/>
      <c r="AG164" s="437"/>
      <c r="AH164" s="437"/>
      <c r="AI164" s="437"/>
      <c r="AJ164" s="437"/>
      <c r="AK164" s="437"/>
      <c r="AL164" s="437"/>
      <c r="AM164" s="338"/>
      <c r="AO164" s="696">
        <f t="array" aca="1" ref="AO164" ca="1">IF($A164="S",IF(BM!$I164=0,0,CHOOSE(MATCH(RegimeExecucao,{"Global","Unitário"},0),ROUND(ROUND(BM.MEDAcumulado,15-13*BM!$A$9)/100*BM!$I164,15-13*ORÇAMENTO!$AF$11),ROUND(ROUND(BM.MEDAcumulado,15-13*BM!$A$9)*ROUND(BM!$H164,15-13*ORÇAMENTO!$AF$10),15-13*ORÇAMENTO!$AF$11))),IF($A164=0,0,ROUND(SomaAgrupBM,15-13*ORÇAMENTO!$AF$11)))</f>
        <v>0</v>
      </c>
    </row>
    <row r="165" spans="1:41" s="696" customFormat="1" ht="25.5" x14ac:dyDescent="0.2">
      <c r="A165" s="696" t="str">
        <f ca="1">ORÇAMENTO!C165</f>
        <v>S</v>
      </c>
      <c r="B165" s="696">
        <f ca="1">ORÇAMENTO!D165</f>
        <v>0</v>
      </c>
      <c r="C165" s="114" t="str">
        <f t="shared" ca="1" si="15"/>
        <v>F</v>
      </c>
      <c r="D165" s="117" t="str">
        <f ca="1">ORÇAMENTO!O165</f>
        <v>1.26.3.</v>
      </c>
      <c r="E165" s="163" t="str">
        <f t="shared" ca="1" si="16"/>
        <v>TE, PVC, SOLDÁVEL, DN 25MM, INSTALADO EM RAMAL OU SUB-RAMAL DE ÁGUA - FORNECIMENTO E INSTALAÇÃO. AF_06/2022</v>
      </c>
      <c r="F165" s="164" t="str">
        <f t="array" aca="1" ref="F165" ca="1">IF(RegimeExecucao="Global","",ORÇAMENTO.Unidade)</f>
        <v>UN</v>
      </c>
      <c r="G165" s="122">
        <f t="array" aca="1" ref="G165" ca="1">IF(RegimeExecucao="Global","",ORÇAMENTO!T165)</f>
        <v>80</v>
      </c>
      <c r="H165" s="122">
        <f t="array" aca="1" ref="H165" ca="1">IF(RegimeExecucao="Global","",ORÇAMENTO!W165)</f>
        <v>16.13</v>
      </c>
      <c r="I165" s="125">
        <f ca="1">ORÇAMENTO!X165</f>
        <v>1290.4000000000001</v>
      </c>
      <c r="J165" s="333">
        <f t="array" aca="1" ref="J165" ca="1">IF($A165="S",IF(CAIXA.Modo,BM.AFAnterior,BM.MEDAnterior),IF(AND(RegimeExecucao="Global",$I165&gt;0,COUNTIF($AB$13:$AM$13,BM.medicao-1)&gt;0),M165/$I165*100,0))</f>
        <v>0</v>
      </c>
      <c r="K165" s="122">
        <f t="shared" ca="1" si="17"/>
        <v>0</v>
      </c>
      <c r="L165" s="334">
        <f t="array" aca="1" ref="L165" ca="1">IF($A165="S",IF(CAIXA.Modo,BM.AFAcumulado,BM.MEDAcumulado),IF(AND(RegimeExecucao="Global",$I165&gt;0,COUNTIF($AB$13:$AM$13,BM.medicao)&gt;0),O165/$I165*100,0))</f>
        <v>0</v>
      </c>
      <c r="M165" s="335">
        <f t="array" aca="1" ref="M165" ca="1">IF($A165="S",VTOTALBM,IF($A165=0,0,ROUND(SomaAgrupBM,15-13*ORÇAMENTO!$AF$11)))</f>
        <v>0</v>
      </c>
      <c r="N165" s="336">
        <f t="shared" ca="1" si="18"/>
        <v>0</v>
      </c>
      <c r="O165" s="125">
        <f t="array" aca="1" ref="O165" ca="1">IF($A165="S",VTOTALBM,IF($A165=0,0,ROUND(SomaAgrupBM,15-13*ORÇAMENTO!$AF$11)))</f>
        <v>0</v>
      </c>
      <c r="Q165" s="337"/>
      <c r="R165" s="338"/>
      <c r="T165" s="117" t="str">
        <f t="shared" ca="1" si="19"/>
        <v/>
      </c>
      <c r="U165" s="163" t="str">
        <f t="shared" ca="1" si="20"/>
        <v/>
      </c>
      <c r="V165" s="164" t="str">
        <f t="array" aca="1" ref="V165" ca="1">IF(AND($W165&gt;0,RegimeExecucao="Unitário"),$F165,"")</f>
        <v/>
      </c>
      <c r="W165" s="453">
        <f t="array" aca="1" ref="W165" ca="1">IF($Y165&gt;0,CHOOSE(MATCH(RegimeExecucao,{"Unitário","Global"},0),IF($A165="S",$Y165/$X165,""),($Y165/$X165)*100),0)</f>
        <v>0</v>
      </c>
      <c r="X165" s="339" t="str">
        <f t="array" aca="1" ref="X165" ca="1">IF($Y165&gt;0,CHOOSE(MATCH(RegimeExecucao,{"Unitário","Global"},0),IF($A165="S",ROUND($H165,ORÇAMENTO!$AF$10),""),ROUND($I165,ORÇAMENTO!$AF$11)),"")</f>
        <v/>
      </c>
      <c r="Y165" s="339">
        <f t="shared" ca="1" si="21"/>
        <v>0</v>
      </c>
      <c r="Z165" s="472"/>
      <c r="AB165" s="337"/>
      <c r="AC165" s="437"/>
      <c r="AD165" s="437"/>
      <c r="AE165" s="437"/>
      <c r="AF165" s="437"/>
      <c r="AG165" s="437"/>
      <c r="AH165" s="437"/>
      <c r="AI165" s="437"/>
      <c r="AJ165" s="437"/>
      <c r="AK165" s="437"/>
      <c r="AL165" s="437"/>
      <c r="AM165" s="338"/>
      <c r="AO165" s="696">
        <f t="array" aca="1" ref="AO165" ca="1">IF($A165="S",IF(BM!$I165=0,0,CHOOSE(MATCH(RegimeExecucao,{"Global","Unitário"},0),ROUND(ROUND(BM.MEDAcumulado,15-13*BM!$A$9)/100*BM!$I165,15-13*ORÇAMENTO!$AF$11),ROUND(ROUND(BM.MEDAcumulado,15-13*BM!$A$9)*ROUND(BM!$H165,15-13*ORÇAMENTO!$AF$10),15-13*ORÇAMENTO!$AF$11))),IF($A165=0,0,ROUND(SomaAgrupBM,15-13*ORÇAMENTO!$AF$11)))</f>
        <v>0</v>
      </c>
    </row>
    <row r="166" spans="1:41" s="696" customFormat="1" ht="38.25" x14ac:dyDescent="0.2">
      <c r="A166" s="696" t="str">
        <f ca="1">ORÇAMENTO!C166</f>
        <v>S</v>
      </c>
      <c r="B166" s="696">
        <f ca="1">ORÇAMENTO!D166</f>
        <v>0</v>
      </c>
      <c r="C166" s="114" t="str">
        <f t="shared" ca="1" si="15"/>
        <v>F</v>
      </c>
      <c r="D166" s="117" t="str">
        <f ca="1">ORÇAMENTO!O166</f>
        <v>1.26.4.</v>
      </c>
      <c r="E166" s="163" t="str">
        <f t="shared" ca="1" si="16"/>
        <v>ADAPTADOR CURTO COM BOLSA E ROSCA PARA REGISTRO, PVC, SOLDÁVEL, DN 25MM X 3/4, INSTALADO EM RAMAL OU SUB-RAMAL DE ÁGUA - FORNECIMENTO E INSTALAÇÃO. AF_06/2022</v>
      </c>
      <c r="F166" s="164" t="str">
        <f t="array" aca="1" ref="F166" ca="1">IF(RegimeExecucao="Global","",ORÇAMENTO.Unidade)</f>
        <v>UN</v>
      </c>
      <c r="G166" s="122">
        <f t="array" aca="1" ref="G166" ca="1">IF(RegimeExecucao="Global","",ORÇAMENTO!T166)</f>
        <v>160</v>
      </c>
      <c r="H166" s="122">
        <f t="array" aca="1" ref="H166" ca="1">IF(RegimeExecucao="Global","",ORÇAMENTO!W166)</f>
        <v>8.1199999999999992</v>
      </c>
      <c r="I166" s="125">
        <f ca="1">ORÇAMENTO!X166</f>
        <v>1299.2</v>
      </c>
      <c r="J166" s="333">
        <f t="array" aca="1" ref="J166" ca="1">IF($A166="S",IF(CAIXA.Modo,BM.AFAnterior,BM.MEDAnterior),IF(AND(RegimeExecucao="Global",$I166&gt;0,COUNTIF($AB$13:$AM$13,BM.medicao-1)&gt;0),M166/$I166*100,0))</f>
        <v>0</v>
      </c>
      <c r="K166" s="122">
        <f t="shared" ca="1" si="17"/>
        <v>0</v>
      </c>
      <c r="L166" s="334">
        <f t="array" aca="1" ref="L166" ca="1">IF($A166="S",IF(CAIXA.Modo,BM.AFAcumulado,BM.MEDAcumulado),IF(AND(RegimeExecucao="Global",$I166&gt;0,COUNTIF($AB$13:$AM$13,BM.medicao)&gt;0),O166/$I166*100,0))</f>
        <v>0</v>
      </c>
      <c r="M166" s="335">
        <f t="array" aca="1" ref="M166" ca="1">IF($A166="S",VTOTALBM,IF($A166=0,0,ROUND(SomaAgrupBM,15-13*ORÇAMENTO!$AF$11)))</f>
        <v>0</v>
      </c>
      <c r="N166" s="336">
        <f t="shared" ca="1" si="18"/>
        <v>0</v>
      </c>
      <c r="O166" s="125">
        <f t="array" aca="1" ref="O166" ca="1">IF($A166="S",VTOTALBM,IF($A166=0,0,ROUND(SomaAgrupBM,15-13*ORÇAMENTO!$AF$11)))</f>
        <v>0</v>
      </c>
      <c r="Q166" s="337"/>
      <c r="R166" s="338"/>
      <c r="T166" s="117" t="str">
        <f t="shared" ca="1" si="19"/>
        <v/>
      </c>
      <c r="U166" s="163" t="str">
        <f t="shared" ca="1" si="20"/>
        <v/>
      </c>
      <c r="V166" s="164" t="str">
        <f t="array" aca="1" ref="V166" ca="1">IF(AND($W166&gt;0,RegimeExecucao="Unitário"),$F166,"")</f>
        <v/>
      </c>
      <c r="W166" s="453">
        <f t="array" aca="1" ref="W166" ca="1">IF($Y166&gt;0,CHOOSE(MATCH(RegimeExecucao,{"Unitário","Global"},0),IF($A166="S",$Y166/$X166,""),($Y166/$X166)*100),0)</f>
        <v>0</v>
      </c>
      <c r="X166" s="339" t="str">
        <f t="array" aca="1" ref="X166" ca="1">IF($Y166&gt;0,CHOOSE(MATCH(RegimeExecucao,{"Unitário","Global"},0),IF($A166="S",ROUND($H166,ORÇAMENTO!$AF$10),""),ROUND($I166,ORÇAMENTO!$AF$11)),"")</f>
        <v/>
      </c>
      <c r="Y166" s="339">
        <f t="shared" ca="1" si="21"/>
        <v>0</v>
      </c>
      <c r="Z166" s="472"/>
      <c r="AB166" s="337"/>
      <c r="AC166" s="437"/>
      <c r="AD166" s="437"/>
      <c r="AE166" s="437"/>
      <c r="AF166" s="437"/>
      <c r="AG166" s="437"/>
      <c r="AH166" s="437"/>
      <c r="AI166" s="437"/>
      <c r="AJ166" s="437"/>
      <c r="AK166" s="437"/>
      <c r="AL166" s="437"/>
      <c r="AM166" s="338"/>
      <c r="AO166" s="696">
        <f t="array" aca="1" ref="AO166" ca="1">IF($A166="S",IF(BM!$I166=0,0,CHOOSE(MATCH(RegimeExecucao,{"Global","Unitário"},0),ROUND(ROUND(BM.MEDAcumulado,15-13*BM!$A$9)/100*BM!$I166,15-13*ORÇAMENTO!$AF$11),ROUND(ROUND(BM.MEDAcumulado,15-13*BM!$A$9)*ROUND(BM!$H166,15-13*ORÇAMENTO!$AF$10),15-13*ORÇAMENTO!$AF$11))),IF($A166=0,0,ROUND(SomaAgrupBM,15-13*ORÇAMENTO!$AF$11)))</f>
        <v>0</v>
      </c>
    </row>
    <row r="167" spans="1:41" s="696" customFormat="1" ht="25.5" x14ac:dyDescent="0.2">
      <c r="A167" s="696" t="str">
        <f ca="1">ORÇAMENTO!C167</f>
        <v>S</v>
      </c>
      <c r="B167" s="696">
        <f ca="1">ORÇAMENTO!D167</f>
        <v>0</v>
      </c>
      <c r="C167" s="114" t="str">
        <f t="shared" ca="1" si="15"/>
        <v>F</v>
      </c>
      <c r="D167" s="117" t="str">
        <f ca="1">ORÇAMENTO!O167</f>
        <v>1.26.5.</v>
      </c>
      <c r="E167" s="163" t="str">
        <f t="shared" ca="1" si="16"/>
        <v>TUBO, PVC, SOLDÁVEL, DE 25MM, INSTALADO EM PRUMADA DE ÁGUA - FORNECIMENTO E INSTALAÇÃO. AF_06/2022</v>
      </c>
      <c r="F167" s="164" t="str">
        <f t="array" aca="1" ref="F167" ca="1">IF(RegimeExecucao="Global","",ORÇAMENTO.Unidade)</f>
        <v>M</v>
      </c>
      <c r="G167" s="122">
        <f t="array" aca="1" ref="G167" ca="1">IF(RegimeExecucao="Global","",ORÇAMENTO!T167)</f>
        <v>102</v>
      </c>
      <c r="H167" s="122">
        <f t="array" aca="1" ref="H167" ca="1">IF(RegimeExecucao="Global","",ORÇAMENTO!W167)</f>
        <v>6.25</v>
      </c>
      <c r="I167" s="125">
        <f ca="1">ORÇAMENTO!X167</f>
        <v>637.52</v>
      </c>
      <c r="J167" s="333">
        <f t="array" aca="1" ref="J167" ca="1">IF($A167="S",IF(CAIXA.Modo,BM.AFAnterior,BM.MEDAnterior),IF(AND(RegimeExecucao="Global",$I167&gt;0,COUNTIF($AB$13:$AM$13,BM.medicao-1)&gt;0),M167/$I167*100,0))</f>
        <v>0</v>
      </c>
      <c r="K167" s="122">
        <f t="shared" ca="1" si="17"/>
        <v>0</v>
      </c>
      <c r="L167" s="334">
        <f t="array" aca="1" ref="L167" ca="1">IF($A167="S",IF(CAIXA.Modo,BM.AFAcumulado,BM.MEDAcumulado),IF(AND(RegimeExecucao="Global",$I167&gt;0,COUNTIF($AB$13:$AM$13,BM.medicao)&gt;0),O167/$I167*100,0))</f>
        <v>0</v>
      </c>
      <c r="M167" s="335">
        <f t="array" aca="1" ref="M167" ca="1">IF($A167="S",VTOTALBM,IF($A167=0,0,ROUND(SomaAgrupBM,15-13*ORÇAMENTO!$AF$11)))</f>
        <v>0</v>
      </c>
      <c r="N167" s="336">
        <f t="shared" ca="1" si="18"/>
        <v>0</v>
      </c>
      <c r="O167" s="125">
        <f t="array" aca="1" ref="O167" ca="1">IF($A167="S",VTOTALBM,IF($A167=0,0,ROUND(SomaAgrupBM,15-13*ORÇAMENTO!$AF$11)))</f>
        <v>0</v>
      </c>
      <c r="Q167" s="337"/>
      <c r="R167" s="338"/>
      <c r="T167" s="117" t="str">
        <f t="shared" ca="1" si="19"/>
        <v/>
      </c>
      <c r="U167" s="163" t="str">
        <f t="shared" ca="1" si="20"/>
        <v/>
      </c>
      <c r="V167" s="164" t="str">
        <f t="array" aca="1" ref="V167" ca="1">IF(AND($W167&gt;0,RegimeExecucao="Unitário"),$F167,"")</f>
        <v/>
      </c>
      <c r="W167" s="453">
        <f t="array" aca="1" ref="W167" ca="1">IF($Y167&gt;0,CHOOSE(MATCH(RegimeExecucao,{"Unitário","Global"},0),IF($A167="S",$Y167/$X167,""),($Y167/$X167)*100),0)</f>
        <v>0</v>
      </c>
      <c r="X167" s="339" t="str">
        <f t="array" aca="1" ref="X167" ca="1">IF($Y167&gt;0,CHOOSE(MATCH(RegimeExecucao,{"Unitário","Global"},0),IF($A167="S",ROUND($H167,ORÇAMENTO!$AF$10),""),ROUND($I167,ORÇAMENTO!$AF$11)),"")</f>
        <v/>
      </c>
      <c r="Y167" s="339">
        <f t="shared" ca="1" si="21"/>
        <v>0</v>
      </c>
      <c r="Z167" s="472"/>
      <c r="AB167" s="337"/>
      <c r="AC167" s="437"/>
      <c r="AD167" s="437"/>
      <c r="AE167" s="437"/>
      <c r="AF167" s="437"/>
      <c r="AG167" s="437"/>
      <c r="AH167" s="437"/>
      <c r="AI167" s="437"/>
      <c r="AJ167" s="437"/>
      <c r="AK167" s="437"/>
      <c r="AL167" s="437"/>
      <c r="AM167" s="338"/>
      <c r="AO167" s="696">
        <f t="array" aca="1" ref="AO167" ca="1">IF($A167="S",IF(BM!$I167=0,0,CHOOSE(MATCH(RegimeExecucao,{"Global","Unitário"},0),ROUND(ROUND(BM.MEDAcumulado,15-13*BM!$A$9)/100*BM!$I167,15-13*ORÇAMENTO!$AF$11),ROUND(ROUND(BM.MEDAcumulado,15-13*BM!$A$9)*ROUND(BM!$H167,15-13*ORÇAMENTO!$AF$10),15-13*ORÇAMENTO!$AF$11))),IF($A167=0,0,ROUND(SomaAgrupBM,15-13*ORÇAMENTO!$AF$11)))</f>
        <v>0</v>
      </c>
    </row>
    <row r="168" spans="1:41" s="696" customFormat="1" ht="25.5" x14ac:dyDescent="0.2">
      <c r="A168" s="696" t="str">
        <f ca="1">ORÇAMENTO!C168</f>
        <v>S</v>
      </c>
      <c r="B168" s="696">
        <f ca="1">ORÇAMENTO!D168</f>
        <v>0</v>
      </c>
      <c r="C168" s="114" t="str">
        <f t="shared" ca="1" si="15"/>
        <v>F</v>
      </c>
      <c r="D168" s="117" t="str">
        <f ca="1">ORÇAMENTO!O168</f>
        <v>1.26.6.</v>
      </c>
      <c r="E168" s="163" t="str">
        <f t="shared" ca="1" si="16"/>
        <v>TUBO, PVC, SOLDÁVEL, DE 25MM, INSTALADO EM RAMAL OU SUB-RAMAL DE ÁGUA - FORNECIMENTO E INSTALAÇÃO. AF_06/2022</v>
      </c>
      <c r="F168" s="164" t="str">
        <f t="array" aca="1" ref="F168" ca="1">IF(RegimeExecucao="Global","",ORÇAMENTO.Unidade)</f>
        <v>M</v>
      </c>
      <c r="G168" s="122">
        <f t="array" aca="1" ref="G168" ca="1">IF(RegimeExecucao="Global","",ORÇAMENTO!T168)</f>
        <v>174</v>
      </c>
      <c r="H168" s="122">
        <f t="array" aca="1" ref="H168" ca="1">IF(RegimeExecucao="Global","",ORÇAMENTO!W168)</f>
        <v>28.91</v>
      </c>
      <c r="I168" s="125">
        <f ca="1">ORÇAMENTO!X168</f>
        <v>5030.3599999999997</v>
      </c>
      <c r="J168" s="333">
        <f t="array" aca="1" ref="J168" ca="1">IF($A168="S",IF(CAIXA.Modo,BM.AFAnterior,BM.MEDAnterior),IF(AND(RegimeExecucao="Global",$I168&gt;0,COUNTIF($AB$13:$AM$13,BM.medicao-1)&gt;0),M168/$I168*100,0))</f>
        <v>0</v>
      </c>
      <c r="K168" s="122">
        <f t="shared" ca="1" si="17"/>
        <v>0</v>
      </c>
      <c r="L168" s="334">
        <f t="array" aca="1" ref="L168" ca="1">IF($A168="S",IF(CAIXA.Modo,BM.AFAcumulado,BM.MEDAcumulado),IF(AND(RegimeExecucao="Global",$I168&gt;0,COUNTIF($AB$13:$AM$13,BM.medicao)&gt;0),O168/$I168*100,0))</f>
        <v>0</v>
      </c>
      <c r="M168" s="335">
        <f t="array" aca="1" ref="M168" ca="1">IF($A168="S",VTOTALBM,IF($A168=0,0,ROUND(SomaAgrupBM,15-13*ORÇAMENTO!$AF$11)))</f>
        <v>0</v>
      </c>
      <c r="N168" s="336">
        <f t="shared" ca="1" si="18"/>
        <v>0</v>
      </c>
      <c r="O168" s="125">
        <f t="array" aca="1" ref="O168" ca="1">IF($A168="S",VTOTALBM,IF($A168=0,0,ROUND(SomaAgrupBM,15-13*ORÇAMENTO!$AF$11)))</f>
        <v>0</v>
      </c>
      <c r="Q168" s="337"/>
      <c r="R168" s="338"/>
      <c r="T168" s="117" t="str">
        <f t="shared" ca="1" si="19"/>
        <v/>
      </c>
      <c r="U168" s="163" t="str">
        <f t="shared" ca="1" si="20"/>
        <v/>
      </c>
      <c r="V168" s="164" t="str">
        <f t="array" aca="1" ref="V168" ca="1">IF(AND($W168&gt;0,RegimeExecucao="Unitário"),$F168,"")</f>
        <v/>
      </c>
      <c r="W168" s="453">
        <f t="array" aca="1" ref="W168" ca="1">IF($Y168&gt;0,CHOOSE(MATCH(RegimeExecucao,{"Unitário","Global"},0),IF($A168="S",$Y168/$X168,""),($Y168/$X168)*100),0)</f>
        <v>0</v>
      </c>
      <c r="X168" s="339" t="str">
        <f t="array" aca="1" ref="X168" ca="1">IF($Y168&gt;0,CHOOSE(MATCH(RegimeExecucao,{"Unitário","Global"},0),IF($A168="S",ROUND($H168,ORÇAMENTO!$AF$10),""),ROUND($I168,ORÇAMENTO!$AF$11)),"")</f>
        <v/>
      </c>
      <c r="Y168" s="339">
        <f t="shared" ca="1" si="21"/>
        <v>0</v>
      </c>
      <c r="Z168" s="472"/>
      <c r="AB168" s="337"/>
      <c r="AC168" s="437"/>
      <c r="AD168" s="437"/>
      <c r="AE168" s="437"/>
      <c r="AF168" s="437"/>
      <c r="AG168" s="437"/>
      <c r="AH168" s="437"/>
      <c r="AI168" s="437"/>
      <c r="AJ168" s="437"/>
      <c r="AK168" s="437"/>
      <c r="AL168" s="437"/>
      <c r="AM168" s="338"/>
      <c r="AO168" s="696">
        <f t="array" aca="1" ref="AO168" ca="1">IF($A168="S",IF(BM!$I168=0,0,CHOOSE(MATCH(RegimeExecucao,{"Global","Unitário"},0),ROUND(ROUND(BM.MEDAcumulado,15-13*BM!$A$9)/100*BM!$I168,15-13*ORÇAMENTO!$AF$11),ROUND(ROUND(BM.MEDAcumulado,15-13*BM!$A$9)*ROUND(BM!$H168,15-13*ORÇAMENTO!$AF$10),15-13*ORÇAMENTO!$AF$11))),IF($A168=0,0,ROUND(SomaAgrupBM,15-13*ORÇAMENTO!$AF$11)))</f>
        <v>0</v>
      </c>
    </row>
    <row r="169" spans="1:41" s="696" customFormat="1" x14ac:dyDescent="0.2">
      <c r="A169" s="696">
        <f ca="1">ORÇAMENTO!C169</f>
        <v>2</v>
      </c>
      <c r="B169" s="696">
        <f ca="1">ORÇAMENTO!D169</f>
        <v>5</v>
      </c>
      <c r="C169" s="114" t="str">
        <f t="shared" ca="1" si="15"/>
        <v>F</v>
      </c>
      <c r="D169" s="117" t="str">
        <f ca="1">ORÇAMENTO!O169</f>
        <v>1.27.</v>
      </c>
      <c r="E169" s="163" t="str">
        <f t="shared" si="16"/>
        <v>REGISTROS</v>
      </c>
      <c r="F169" s="164" t="str">
        <f t="array" aca="1" ref="F169" ca="1">IF(RegimeExecucao="Global","",ORÇAMENTO.Unidade)</f>
        <v>-</v>
      </c>
      <c r="G169" s="122">
        <f t="array" aca="1" ref="G169" ca="1">IF(RegimeExecucao="Global","",ORÇAMENTO!T169)</f>
        <v>0</v>
      </c>
      <c r="H169" s="122">
        <f t="array" aca="1" ref="H169" ca="1">IF(RegimeExecucao="Global","",ORÇAMENTO!W169)</f>
        <v>0</v>
      </c>
      <c r="I169" s="125">
        <f ca="1">ORÇAMENTO!X169</f>
        <v>16039.8</v>
      </c>
      <c r="J169" s="333">
        <f t="array" aca="1" ref="J169" ca="1">IF($A169="S",IF(CAIXA.Modo,BM.AFAnterior,BM.MEDAnterior),IF(AND(RegimeExecucao="Global",$I169&gt;0,COUNTIF($AB$13:$AM$13,BM.medicao-1)&gt;0),M169/$I169*100,0))</f>
        <v>0</v>
      </c>
      <c r="K169" s="122">
        <f t="shared" ca="1" si="17"/>
        <v>0</v>
      </c>
      <c r="L169" s="334">
        <f t="array" aca="1" ref="L169" ca="1">IF($A169="S",IF(CAIXA.Modo,BM.AFAcumulado,BM.MEDAcumulado),IF(AND(RegimeExecucao="Global",$I169&gt;0,COUNTIF($AB$13:$AM$13,BM.medicao)&gt;0),O169/$I169*100,0))</f>
        <v>0</v>
      </c>
      <c r="M169" s="335">
        <f t="array" aca="1" ref="M169" ca="1">IF($A169="S",VTOTALBM,IF($A169=0,0,ROUND(SomaAgrupBM,15-13*ORÇAMENTO!$AF$11)))</f>
        <v>0</v>
      </c>
      <c r="N169" s="336">
        <f t="shared" ca="1" si="18"/>
        <v>0</v>
      </c>
      <c r="O169" s="125">
        <f t="array" aca="1" ref="O169" ca="1">IF($A169="S",VTOTALBM,IF($A169=0,0,ROUND(SomaAgrupBM,15-13*ORÇAMENTO!$AF$11)))</f>
        <v>0</v>
      </c>
      <c r="Q169" s="337"/>
      <c r="R169" s="338"/>
      <c r="T169" s="117" t="str">
        <f t="shared" ca="1" si="19"/>
        <v/>
      </c>
      <c r="U169" s="163" t="str">
        <f t="shared" ca="1" si="20"/>
        <v/>
      </c>
      <c r="V169" s="164" t="str">
        <f t="array" aca="1" ref="V169" ca="1">IF(AND($W169&gt;0,RegimeExecucao="Unitário"),$F169,"")</f>
        <v/>
      </c>
      <c r="W169" s="453">
        <f t="array" aca="1" ref="W169" ca="1">IF($Y169&gt;0,CHOOSE(MATCH(RegimeExecucao,{"Unitário","Global"},0),IF($A169="S",$Y169/$X169,""),($Y169/$X169)*100),0)</f>
        <v>0</v>
      </c>
      <c r="X169" s="339" t="str">
        <f t="array" aca="1" ref="X169" ca="1">IF($Y169&gt;0,CHOOSE(MATCH(RegimeExecucao,{"Unitário","Global"},0),IF($A169="S",ROUND($H169,ORÇAMENTO!$AF$10),""),ROUND($I169,ORÇAMENTO!$AF$11)),"")</f>
        <v/>
      </c>
      <c r="Y169" s="339">
        <f t="shared" ca="1" si="21"/>
        <v>0</v>
      </c>
      <c r="Z169" s="472"/>
      <c r="AB169" s="337"/>
      <c r="AC169" s="437"/>
      <c r="AD169" s="437"/>
      <c r="AE169" s="437"/>
      <c r="AF169" s="437"/>
      <c r="AG169" s="437"/>
      <c r="AH169" s="437"/>
      <c r="AI169" s="437"/>
      <c r="AJ169" s="437"/>
      <c r="AK169" s="437"/>
      <c r="AL169" s="437"/>
      <c r="AM169" s="338"/>
      <c r="AO169" s="696">
        <f t="array" aca="1" ref="AO169" ca="1">IF($A169="S",IF(BM!$I169=0,0,CHOOSE(MATCH(RegimeExecucao,{"Global","Unitário"},0),ROUND(ROUND(BM.MEDAcumulado,15-13*BM!$A$9)/100*BM!$I169,15-13*ORÇAMENTO!$AF$11),ROUND(ROUND(BM.MEDAcumulado,15-13*BM!$A$9)*ROUND(BM!$H169,15-13*ORÇAMENTO!$AF$10),15-13*ORÇAMENTO!$AF$11))),IF($A169=0,0,ROUND(SomaAgrupBM,15-13*ORÇAMENTO!$AF$11)))</f>
        <v>0</v>
      </c>
    </row>
    <row r="170" spans="1:41" s="696" customFormat="1" ht="38.25" x14ac:dyDescent="0.2">
      <c r="A170" s="696" t="str">
        <f ca="1">ORÇAMENTO!C170</f>
        <v>S</v>
      </c>
      <c r="B170" s="696">
        <f ca="1">ORÇAMENTO!D170</f>
        <v>0</v>
      </c>
      <c r="C170" s="114" t="str">
        <f t="shared" ca="1" si="15"/>
        <v>F</v>
      </c>
      <c r="D170" s="117" t="str">
        <f ca="1">ORÇAMENTO!O170</f>
        <v>1.27.1.</v>
      </c>
      <c r="E170" s="163" t="str">
        <f t="shared" ca="1" si="16"/>
        <v>REGISTRO DE PRESSÃO BRUTO, LATÃO, ROSCÁVEL, 3/4", COM ACABAMENTO E CANOPLA CROMADOS - FORNECIMENTO E INSTALAÇÃO. AF_08/2021</v>
      </c>
      <c r="F170" s="164" t="str">
        <f t="array" aca="1" ref="F170" ca="1">IF(RegimeExecucao="Global","",ORÇAMENTO.Unidade)</f>
        <v>UN</v>
      </c>
      <c r="G170" s="122">
        <f t="array" aca="1" ref="G170" ca="1">IF(RegimeExecucao="Global","",ORÇAMENTO!T170)</f>
        <v>20</v>
      </c>
      <c r="H170" s="122">
        <f t="array" aca="1" ref="H170" ca="1">IF(RegimeExecucao="Global","",ORÇAMENTO!W170)</f>
        <v>160.62</v>
      </c>
      <c r="I170" s="125">
        <f ca="1">ORÇAMENTO!X170</f>
        <v>3212.4</v>
      </c>
      <c r="J170" s="333">
        <f t="array" aca="1" ref="J170" ca="1">IF($A170="S",IF(CAIXA.Modo,BM.AFAnterior,BM.MEDAnterior),IF(AND(RegimeExecucao="Global",$I170&gt;0,COUNTIF($AB$13:$AM$13,BM.medicao-1)&gt;0),M170/$I170*100,0))</f>
        <v>0</v>
      </c>
      <c r="K170" s="122">
        <f t="shared" ca="1" si="17"/>
        <v>0</v>
      </c>
      <c r="L170" s="334">
        <f t="array" aca="1" ref="L170" ca="1">IF($A170="S",IF(CAIXA.Modo,BM.AFAcumulado,BM.MEDAcumulado),IF(AND(RegimeExecucao="Global",$I170&gt;0,COUNTIF($AB$13:$AM$13,BM.medicao)&gt;0),O170/$I170*100,0))</f>
        <v>0</v>
      </c>
      <c r="M170" s="335">
        <f t="array" aca="1" ref="M170" ca="1">IF($A170="S",VTOTALBM,IF($A170=0,0,ROUND(SomaAgrupBM,15-13*ORÇAMENTO!$AF$11)))</f>
        <v>0</v>
      </c>
      <c r="N170" s="336">
        <f t="shared" ca="1" si="18"/>
        <v>0</v>
      </c>
      <c r="O170" s="125">
        <f t="array" aca="1" ref="O170" ca="1">IF($A170="S",VTOTALBM,IF($A170=0,0,ROUND(SomaAgrupBM,15-13*ORÇAMENTO!$AF$11)))</f>
        <v>0</v>
      </c>
      <c r="Q170" s="337"/>
      <c r="R170" s="338"/>
      <c r="T170" s="117" t="str">
        <f t="shared" ca="1" si="19"/>
        <v/>
      </c>
      <c r="U170" s="163" t="str">
        <f t="shared" ca="1" si="20"/>
        <v/>
      </c>
      <c r="V170" s="164" t="str">
        <f t="array" aca="1" ref="V170" ca="1">IF(AND($W170&gt;0,RegimeExecucao="Unitário"),$F170,"")</f>
        <v/>
      </c>
      <c r="W170" s="453">
        <f t="array" aca="1" ref="W170" ca="1">IF($Y170&gt;0,CHOOSE(MATCH(RegimeExecucao,{"Unitário","Global"},0),IF($A170="S",$Y170/$X170,""),($Y170/$X170)*100),0)</f>
        <v>0</v>
      </c>
      <c r="X170" s="339" t="str">
        <f t="array" aca="1" ref="X170" ca="1">IF($Y170&gt;0,CHOOSE(MATCH(RegimeExecucao,{"Unitário","Global"},0),IF($A170="S",ROUND($H170,ORÇAMENTO!$AF$10),""),ROUND($I170,ORÇAMENTO!$AF$11)),"")</f>
        <v/>
      </c>
      <c r="Y170" s="339">
        <f t="shared" ca="1" si="21"/>
        <v>0</v>
      </c>
      <c r="Z170" s="472"/>
      <c r="AB170" s="337"/>
      <c r="AC170" s="437"/>
      <c r="AD170" s="437"/>
      <c r="AE170" s="437"/>
      <c r="AF170" s="437"/>
      <c r="AG170" s="437"/>
      <c r="AH170" s="437"/>
      <c r="AI170" s="437"/>
      <c r="AJ170" s="437"/>
      <c r="AK170" s="437"/>
      <c r="AL170" s="437"/>
      <c r="AM170" s="338"/>
      <c r="AO170" s="696">
        <f t="array" aca="1" ref="AO170" ca="1">IF($A170="S",IF(BM!$I170=0,0,CHOOSE(MATCH(RegimeExecucao,{"Global","Unitário"},0),ROUND(ROUND(BM.MEDAcumulado,15-13*BM!$A$9)/100*BM!$I170,15-13*ORÇAMENTO!$AF$11),ROUND(ROUND(BM.MEDAcumulado,15-13*BM!$A$9)*ROUND(BM!$H170,15-13*ORÇAMENTO!$AF$10),15-13*ORÇAMENTO!$AF$11))),IF($A170=0,0,ROUND(SomaAgrupBM,15-13*ORÇAMENTO!$AF$11)))</f>
        <v>0</v>
      </c>
    </row>
    <row r="171" spans="1:41" s="696" customFormat="1" ht="38.25" x14ac:dyDescent="0.2">
      <c r="A171" s="696" t="str">
        <f ca="1">ORÇAMENTO!C171</f>
        <v>S</v>
      </c>
      <c r="B171" s="696">
        <f ca="1">ORÇAMENTO!D171</f>
        <v>0</v>
      </c>
      <c r="C171" s="114" t="str">
        <f t="shared" ca="1" si="15"/>
        <v>F</v>
      </c>
      <c r="D171" s="117" t="str">
        <f ca="1">ORÇAMENTO!O171</f>
        <v>1.27.2.</v>
      </c>
      <c r="E171" s="163" t="str">
        <f t="shared" ca="1" si="16"/>
        <v>REGISTRO DE GAVETA BRUTO, LATÃO, ROSCÁVEL, 3/4", COM ACABAMENTO E CANOPLA CROMADOS - FORNECIMENTO E INSTALAÇÃO. AF_08/2021</v>
      </c>
      <c r="F171" s="164" t="str">
        <f t="array" aca="1" ref="F171" ca="1">IF(RegimeExecucao="Global","",ORÇAMENTO.Unidade)</f>
        <v>UN</v>
      </c>
      <c r="G171" s="122">
        <f t="array" aca="1" ref="G171" ca="1">IF(RegimeExecucao="Global","",ORÇAMENTO!T171)</f>
        <v>60</v>
      </c>
      <c r="H171" s="122">
        <f t="array" aca="1" ref="H171" ca="1">IF(RegimeExecucao="Global","",ORÇAMENTO!W171)</f>
        <v>169.45</v>
      </c>
      <c r="I171" s="125">
        <f ca="1">ORÇAMENTO!X171</f>
        <v>10167</v>
      </c>
      <c r="J171" s="333">
        <f t="array" aca="1" ref="J171" ca="1">IF($A171="S",IF(CAIXA.Modo,BM.AFAnterior,BM.MEDAnterior),IF(AND(RegimeExecucao="Global",$I171&gt;0,COUNTIF($AB$13:$AM$13,BM.medicao-1)&gt;0),M171/$I171*100,0))</f>
        <v>0</v>
      </c>
      <c r="K171" s="122">
        <f t="shared" ca="1" si="17"/>
        <v>0</v>
      </c>
      <c r="L171" s="334">
        <f t="array" aca="1" ref="L171" ca="1">IF($A171="S",IF(CAIXA.Modo,BM.AFAcumulado,BM.MEDAcumulado),IF(AND(RegimeExecucao="Global",$I171&gt;0,COUNTIF($AB$13:$AM$13,BM.medicao)&gt;0),O171/$I171*100,0))</f>
        <v>0</v>
      </c>
      <c r="M171" s="335">
        <f t="array" aca="1" ref="M171" ca="1">IF($A171="S",VTOTALBM,IF($A171=0,0,ROUND(SomaAgrupBM,15-13*ORÇAMENTO!$AF$11)))</f>
        <v>0</v>
      </c>
      <c r="N171" s="336">
        <f t="shared" ca="1" si="18"/>
        <v>0</v>
      </c>
      <c r="O171" s="125">
        <f t="array" aca="1" ref="O171" ca="1">IF($A171="S",VTOTALBM,IF($A171=0,0,ROUND(SomaAgrupBM,15-13*ORÇAMENTO!$AF$11)))</f>
        <v>0</v>
      </c>
      <c r="Q171" s="337"/>
      <c r="R171" s="338"/>
      <c r="T171" s="117" t="str">
        <f t="shared" ca="1" si="19"/>
        <v/>
      </c>
      <c r="U171" s="163" t="str">
        <f t="shared" ca="1" si="20"/>
        <v/>
      </c>
      <c r="V171" s="164" t="str">
        <f t="array" aca="1" ref="V171" ca="1">IF(AND($W171&gt;0,RegimeExecucao="Unitário"),$F171,"")</f>
        <v/>
      </c>
      <c r="W171" s="453">
        <f t="array" aca="1" ref="W171" ca="1">IF($Y171&gt;0,CHOOSE(MATCH(RegimeExecucao,{"Unitário","Global"},0),IF($A171="S",$Y171/$X171,""),($Y171/$X171)*100),0)</f>
        <v>0</v>
      </c>
      <c r="X171" s="339" t="str">
        <f t="array" aca="1" ref="X171" ca="1">IF($Y171&gt;0,CHOOSE(MATCH(RegimeExecucao,{"Unitário","Global"},0),IF($A171="S",ROUND($H171,ORÇAMENTO!$AF$10),""),ROUND($I171,ORÇAMENTO!$AF$11)),"")</f>
        <v/>
      </c>
      <c r="Y171" s="339">
        <f t="shared" ca="1" si="21"/>
        <v>0</v>
      </c>
      <c r="Z171" s="472"/>
      <c r="AB171" s="337"/>
      <c r="AC171" s="437"/>
      <c r="AD171" s="437"/>
      <c r="AE171" s="437"/>
      <c r="AF171" s="437"/>
      <c r="AG171" s="437"/>
      <c r="AH171" s="437"/>
      <c r="AI171" s="437"/>
      <c r="AJ171" s="437"/>
      <c r="AK171" s="437"/>
      <c r="AL171" s="437"/>
      <c r="AM171" s="338"/>
      <c r="AO171" s="696">
        <f t="array" aca="1" ref="AO171" ca="1">IF($A171="S",IF(BM!$I171=0,0,CHOOSE(MATCH(RegimeExecucao,{"Global","Unitário"},0),ROUND(ROUND(BM.MEDAcumulado,15-13*BM!$A$9)/100*BM!$I171,15-13*ORÇAMENTO!$AF$11),ROUND(ROUND(BM.MEDAcumulado,15-13*BM!$A$9)*ROUND(BM!$H171,15-13*ORÇAMENTO!$AF$10),15-13*ORÇAMENTO!$AF$11))),IF($A171=0,0,ROUND(SomaAgrupBM,15-13*ORÇAMENTO!$AF$11)))</f>
        <v>0</v>
      </c>
    </row>
    <row r="172" spans="1:41" s="696" customFormat="1" ht="25.5" x14ac:dyDescent="0.2">
      <c r="A172" s="696" t="str">
        <f ca="1">ORÇAMENTO!C172</f>
        <v>S</v>
      </c>
      <c r="B172" s="696">
        <f ca="1">ORÇAMENTO!D172</f>
        <v>0</v>
      </c>
      <c r="C172" s="114" t="str">
        <f t="shared" ca="1" si="15"/>
        <v>F</v>
      </c>
      <c r="D172" s="117" t="str">
        <f ca="1">ORÇAMENTO!O172</f>
        <v>1.27.3.</v>
      </c>
      <c r="E172" s="163" t="str">
        <f t="shared" ca="1" si="16"/>
        <v>REGISTRO DE ESFERA, PVC, SOLDÁVEL, COM VOLANTE, DN 32 MM - FORNECIMENTO E INSTALAÇÃO. AF_08/2021</v>
      </c>
      <c r="F172" s="164" t="str">
        <f t="array" aca="1" ref="F172" ca="1">IF(RegimeExecucao="Global","",ORÇAMENTO.Unidade)</f>
        <v>UN</v>
      </c>
      <c r="G172" s="122">
        <f t="array" aca="1" ref="G172" ca="1">IF(RegimeExecucao="Global","",ORÇAMENTO!T172)</f>
        <v>40</v>
      </c>
      <c r="H172" s="122">
        <f t="array" aca="1" ref="H172" ca="1">IF(RegimeExecucao="Global","",ORÇAMENTO!W172)</f>
        <v>35.770000000000003</v>
      </c>
      <c r="I172" s="125">
        <f ca="1">ORÇAMENTO!X172</f>
        <v>1430.8</v>
      </c>
      <c r="J172" s="333">
        <f t="array" aca="1" ref="J172" ca="1">IF($A172="S",IF(CAIXA.Modo,BM.AFAnterior,BM.MEDAnterior),IF(AND(RegimeExecucao="Global",$I172&gt;0,COUNTIF($AB$13:$AM$13,BM.medicao-1)&gt;0),M172/$I172*100,0))</f>
        <v>0</v>
      </c>
      <c r="K172" s="122">
        <f t="shared" ca="1" si="17"/>
        <v>0</v>
      </c>
      <c r="L172" s="334">
        <f t="array" aca="1" ref="L172" ca="1">IF($A172="S",IF(CAIXA.Modo,BM.AFAcumulado,BM.MEDAcumulado),IF(AND(RegimeExecucao="Global",$I172&gt;0,COUNTIF($AB$13:$AM$13,BM.medicao)&gt;0),O172/$I172*100,0))</f>
        <v>0</v>
      </c>
      <c r="M172" s="335">
        <f t="array" aca="1" ref="M172" ca="1">IF($A172="S",VTOTALBM,IF($A172=0,0,ROUND(SomaAgrupBM,15-13*ORÇAMENTO!$AF$11)))</f>
        <v>0</v>
      </c>
      <c r="N172" s="336">
        <f t="shared" ca="1" si="18"/>
        <v>0</v>
      </c>
      <c r="O172" s="125">
        <f t="array" aca="1" ref="O172" ca="1">IF($A172="S",VTOTALBM,IF($A172=0,0,ROUND(SomaAgrupBM,15-13*ORÇAMENTO!$AF$11)))</f>
        <v>0</v>
      </c>
      <c r="Q172" s="337"/>
      <c r="R172" s="338"/>
      <c r="T172" s="117" t="str">
        <f t="shared" ca="1" si="19"/>
        <v/>
      </c>
      <c r="U172" s="163" t="str">
        <f t="shared" ca="1" si="20"/>
        <v/>
      </c>
      <c r="V172" s="164" t="str">
        <f t="array" aca="1" ref="V172" ca="1">IF(AND($W172&gt;0,RegimeExecucao="Unitário"),$F172,"")</f>
        <v/>
      </c>
      <c r="W172" s="453">
        <f t="array" aca="1" ref="W172" ca="1">IF($Y172&gt;0,CHOOSE(MATCH(RegimeExecucao,{"Unitário","Global"},0),IF($A172="S",$Y172/$X172,""),($Y172/$X172)*100),0)</f>
        <v>0</v>
      </c>
      <c r="X172" s="339" t="str">
        <f t="array" aca="1" ref="X172" ca="1">IF($Y172&gt;0,CHOOSE(MATCH(RegimeExecucao,{"Unitário","Global"},0),IF($A172="S",ROUND($H172,ORÇAMENTO!$AF$10),""),ROUND($I172,ORÇAMENTO!$AF$11)),"")</f>
        <v/>
      </c>
      <c r="Y172" s="339">
        <f t="shared" ca="1" si="21"/>
        <v>0</v>
      </c>
      <c r="Z172" s="472"/>
      <c r="AB172" s="337"/>
      <c r="AC172" s="437"/>
      <c r="AD172" s="437"/>
      <c r="AE172" s="437"/>
      <c r="AF172" s="437"/>
      <c r="AG172" s="437"/>
      <c r="AH172" s="437"/>
      <c r="AI172" s="437"/>
      <c r="AJ172" s="437"/>
      <c r="AK172" s="437"/>
      <c r="AL172" s="437"/>
      <c r="AM172" s="338"/>
      <c r="AO172" s="696">
        <f t="array" aca="1" ref="AO172" ca="1">IF($A172="S",IF(BM!$I172=0,0,CHOOSE(MATCH(RegimeExecucao,{"Global","Unitário"},0),ROUND(ROUND(BM.MEDAcumulado,15-13*BM!$A$9)/100*BM!$I172,15-13*ORÇAMENTO!$AF$11),ROUND(ROUND(BM.MEDAcumulado,15-13*BM!$A$9)*ROUND(BM!$H172,15-13*ORÇAMENTO!$AF$10),15-13*ORÇAMENTO!$AF$11))),IF($A172=0,0,ROUND(SomaAgrupBM,15-13*ORÇAMENTO!$AF$11)))</f>
        <v>0</v>
      </c>
    </row>
    <row r="173" spans="1:41" s="696" customFormat="1" ht="25.5" x14ac:dyDescent="0.2">
      <c r="A173" s="696" t="str">
        <f ca="1">ORÇAMENTO!C173</f>
        <v>S</v>
      </c>
      <c r="B173" s="696">
        <f ca="1">ORÇAMENTO!D173</f>
        <v>0</v>
      </c>
      <c r="C173" s="114" t="str">
        <f t="shared" ca="1" si="15"/>
        <v>F</v>
      </c>
      <c r="D173" s="117" t="str">
        <f ca="1">ORÇAMENTO!O173</f>
        <v>1.27.4.</v>
      </c>
      <c r="E173" s="163" t="str">
        <f t="shared" ca="1" si="16"/>
        <v>ENGATE FLEXÍVEL EM PLÁSTICO BRANCO, 1/2" X 40CM - FORNECIMENTO E INSTALAÇÃO. AF_01/2020</v>
      </c>
      <c r="F173" s="164" t="str">
        <f t="array" aca="1" ref="F173" ca="1">IF(RegimeExecucao="Global","",ORÇAMENTO.Unidade)</f>
        <v>UN</v>
      </c>
      <c r="G173" s="122">
        <f t="array" aca="1" ref="G173" ca="1">IF(RegimeExecucao="Global","",ORÇAMENTO!T173)</f>
        <v>80</v>
      </c>
      <c r="H173" s="122">
        <f t="array" aca="1" ref="H173" ca="1">IF(RegimeExecucao="Global","",ORÇAMENTO!W173)</f>
        <v>15.37</v>
      </c>
      <c r="I173" s="125">
        <f ca="1">ORÇAMENTO!X173</f>
        <v>1229.5999999999999</v>
      </c>
      <c r="J173" s="333">
        <f t="array" aca="1" ref="J173" ca="1">IF($A173="S",IF(CAIXA.Modo,BM.AFAnterior,BM.MEDAnterior),IF(AND(RegimeExecucao="Global",$I173&gt;0,COUNTIF($AB$13:$AM$13,BM.medicao-1)&gt;0),M173/$I173*100,0))</f>
        <v>0</v>
      </c>
      <c r="K173" s="122">
        <f t="shared" ca="1" si="17"/>
        <v>0</v>
      </c>
      <c r="L173" s="334">
        <f t="array" aca="1" ref="L173" ca="1">IF($A173="S",IF(CAIXA.Modo,BM.AFAcumulado,BM.MEDAcumulado),IF(AND(RegimeExecucao="Global",$I173&gt;0,COUNTIF($AB$13:$AM$13,BM.medicao)&gt;0),O173/$I173*100,0))</f>
        <v>0</v>
      </c>
      <c r="M173" s="335">
        <f t="array" aca="1" ref="M173" ca="1">IF($A173="S",VTOTALBM,IF($A173=0,0,ROUND(SomaAgrupBM,15-13*ORÇAMENTO!$AF$11)))</f>
        <v>0</v>
      </c>
      <c r="N173" s="336">
        <f t="shared" ca="1" si="18"/>
        <v>0</v>
      </c>
      <c r="O173" s="125">
        <f t="array" aca="1" ref="O173" ca="1">IF($A173="S",VTOTALBM,IF($A173=0,0,ROUND(SomaAgrupBM,15-13*ORÇAMENTO!$AF$11)))</f>
        <v>0</v>
      </c>
      <c r="Q173" s="337"/>
      <c r="R173" s="338"/>
      <c r="T173" s="117" t="str">
        <f t="shared" ca="1" si="19"/>
        <v/>
      </c>
      <c r="U173" s="163" t="str">
        <f t="shared" ca="1" si="20"/>
        <v/>
      </c>
      <c r="V173" s="164" t="str">
        <f t="array" aca="1" ref="V173" ca="1">IF(AND($W173&gt;0,RegimeExecucao="Unitário"),$F173,"")</f>
        <v/>
      </c>
      <c r="W173" s="453">
        <f t="array" aca="1" ref="W173" ca="1">IF($Y173&gt;0,CHOOSE(MATCH(RegimeExecucao,{"Unitário","Global"},0),IF($A173="S",$Y173/$X173,""),($Y173/$X173)*100),0)</f>
        <v>0</v>
      </c>
      <c r="X173" s="339" t="str">
        <f t="array" aca="1" ref="X173" ca="1">IF($Y173&gt;0,CHOOSE(MATCH(RegimeExecucao,{"Unitário","Global"},0),IF($A173="S",ROUND($H173,ORÇAMENTO!$AF$10),""),ROUND($I173,ORÇAMENTO!$AF$11)),"")</f>
        <v/>
      </c>
      <c r="Y173" s="339">
        <f t="shared" ca="1" si="21"/>
        <v>0</v>
      </c>
      <c r="Z173" s="472"/>
      <c r="AB173" s="337"/>
      <c r="AC173" s="437"/>
      <c r="AD173" s="437"/>
      <c r="AE173" s="437"/>
      <c r="AF173" s="437"/>
      <c r="AG173" s="437"/>
      <c r="AH173" s="437"/>
      <c r="AI173" s="437"/>
      <c r="AJ173" s="437"/>
      <c r="AK173" s="437"/>
      <c r="AL173" s="437"/>
      <c r="AM173" s="338"/>
      <c r="AO173" s="696">
        <f t="array" aca="1" ref="AO173" ca="1">IF($A173="S",IF(BM!$I173=0,0,CHOOSE(MATCH(RegimeExecucao,{"Global","Unitário"},0),ROUND(ROUND(BM.MEDAcumulado,15-13*BM!$A$9)/100*BM!$I173,15-13*ORÇAMENTO!$AF$11),ROUND(ROUND(BM.MEDAcumulado,15-13*BM!$A$9)*ROUND(BM!$H173,15-13*ORÇAMENTO!$AF$10),15-13*ORÇAMENTO!$AF$11))),IF($A173=0,0,ROUND(SomaAgrupBM,15-13*ORÇAMENTO!$AF$11)))</f>
        <v>0</v>
      </c>
    </row>
    <row r="174" spans="1:41" s="696" customFormat="1" x14ac:dyDescent="0.2">
      <c r="A174" s="696">
        <f ca="1">ORÇAMENTO!C174</f>
        <v>2</v>
      </c>
      <c r="B174" s="696">
        <f ca="1">ORÇAMENTO!D174</f>
        <v>7</v>
      </c>
      <c r="C174" s="114" t="str">
        <f t="shared" ca="1" si="15"/>
        <v>F</v>
      </c>
      <c r="D174" s="117" t="str">
        <f ca="1">ORÇAMENTO!O174</f>
        <v>1.28.</v>
      </c>
      <c r="E174" s="163" t="str">
        <f t="shared" si="16"/>
        <v>ENTRADA E ALIMENTAÇÃO</v>
      </c>
      <c r="F174" s="164" t="str">
        <f t="array" aca="1" ref="F174" ca="1">IF(RegimeExecucao="Global","",ORÇAMENTO.Unidade)</f>
        <v>-</v>
      </c>
      <c r="G174" s="122">
        <f t="array" aca="1" ref="G174" ca="1">IF(RegimeExecucao="Global","",ORÇAMENTO!T174)</f>
        <v>0</v>
      </c>
      <c r="H174" s="122">
        <f t="array" aca="1" ref="H174" ca="1">IF(RegimeExecucao="Global","",ORÇAMENTO!W174)</f>
        <v>0</v>
      </c>
      <c r="I174" s="125">
        <f ca="1">ORÇAMENTO!X174</f>
        <v>8390.36</v>
      </c>
      <c r="J174" s="333">
        <f t="array" aca="1" ref="J174" ca="1">IF($A174="S",IF(CAIXA.Modo,BM.AFAnterior,BM.MEDAnterior),IF(AND(RegimeExecucao="Global",$I174&gt;0,COUNTIF($AB$13:$AM$13,BM.medicao-1)&gt;0),M174/$I174*100,0))</f>
        <v>0</v>
      </c>
      <c r="K174" s="122">
        <f t="shared" ca="1" si="17"/>
        <v>0</v>
      </c>
      <c r="L174" s="334">
        <f t="array" aca="1" ref="L174" ca="1">IF($A174="S",IF(CAIXA.Modo,BM.AFAcumulado,BM.MEDAcumulado),IF(AND(RegimeExecucao="Global",$I174&gt;0,COUNTIF($AB$13:$AM$13,BM.medicao)&gt;0),O174/$I174*100,0))</f>
        <v>0</v>
      </c>
      <c r="M174" s="335">
        <f t="array" aca="1" ref="M174" ca="1">IF($A174="S",VTOTALBM,IF($A174=0,0,ROUND(SomaAgrupBM,15-13*ORÇAMENTO!$AF$11)))</f>
        <v>0</v>
      </c>
      <c r="N174" s="336">
        <f t="shared" ca="1" si="18"/>
        <v>0</v>
      </c>
      <c r="O174" s="125">
        <f t="array" aca="1" ref="O174" ca="1">IF($A174="S",VTOTALBM,IF($A174=0,0,ROUND(SomaAgrupBM,15-13*ORÇAMENTO!$AF$11)))</f>
        <v>0</v>
      </c>
      <c r="Q174" s="337"/>
      <c r="R174" s="338"/>
      <c r="T174" s="117" t="str">
        <f t="shared" ca="1" si="19"/>
        <v/>
      </c>
      <c r="U174" s="163" t="str">
        <f t="shared" ca="1" si="20"/>
        <v/>
      </c>
      <c r="V174" s="164" t="str">
        <f t="array" aca="1" ref="V174" ca="1">IF(AND($W174&gt;0,RegimeExecucao="Unitário"),$F174,"")</f>
        <v/>
      </c>
      <c r="W174" s="453">
        <f t="array" aca="1" ref="W174" ca="1">IF($Y174&gt;0,CHOOSE(MATCH(RegimeExecucao,{"Unitário","Global"},0),IF($A174="S",$Y174/$X174,""),($Y174/$X174)*100),0)</f>
        <v>0</v>
      </c>
      <c r="X174" s="339" t="str">
        <f t="array" aca="1" ref="X174" ca="1">IF($Y174&gt;0,CHOOSE(MATCH(RegimeExecucao,{"Unitário","Global"},0),IF($A174="S",ROUND($H174,ORÇAMENTO!$AF$10),""),ROUND($I174,ORÇAMENTO!$AF$11)),"")</f>
        <v/>
      </c>
      <c r="Y174" s="339">
        <f t="shared" ca="1" si="21"/>
        <v>0</v>
      </c>
      <c r="Z174" s="472"/>
      <c r="AB174" s="337"/>
      <c r="AC174" s="437"/>
      <c r="AD174" s="437"/>
      <c r="AE174" s="437"/>
      <c r="AF174" s="437"/>
      <c r="AG174" s="437"/>
      <c r="AH174" s="437"/>
      <c r="AI174" s="437"/>
      <c r="AJ174" s="437"/>
      <c r="AK174" s="437"/>
      <c r="AL174" s="437"/>
      <c r="AM174" s="338"/>
      <c r="AO174" s="696">
        <f t="array" aca="1" ref="AO174" ca="1">IF($A174="S",IF(BM!$I174=0,0,CHOOSE(MATCH(RegimeExecucao,{"Global","Unitário"},0),ROUND(ROUND(BM.MEDAcumulado,15-13*BM!$A$9)/100*BM!$I174,15-13*ORÇAMENTO!$AF$11),ROUND(ROUND(BM.MEDAcumulado,15-13*BM!$A$9)*ROUND(BM!$H174,15-13*ORÇAMENTO!$AF$10),15-13*ORÇAMENTO!$AF$11))),IF($A174=0,0,ROUND(SomaAgrupBM,15-13*ORÇAMENTO!$AF$11)))</f>
        <v>0</v>
      </c>
    </row>
    <row r="175" spans="1:41" s="696" customFormat="1" ht="51" x14ac:dyDescent="0.2">
      <c r="A175" s="696" t="str">
        <f ca="1">ORÇAMENTO!C175</f>
        <v>S</v>
      </c>
      <c r="B175" s="696">
        <f ca="1">ORÇAMENTO!D175</f>
        <v>0</v>
      </c>
      <c r="C175" s="114" t="str">
        <f t="shared" ca="1" si="15"/>
        <v>F</v>
      </c>
      <c r="D175" s="117" t="str">
        <f ca="1">ORÇAMENTO!O175</f>
        <v>1.28.1.</v>
      </c>
      <c r="E175" s="163" t="str">
        <f t="shared" ca="1" si="16"/>
        <v>KIT CAVALETE PARA MEDIÇÃO DE ÁGUA - ENTRADA INDIVIDUALIZADA, EM PVC 25 MM (3/4"), PARA 1 MEDIDOR - FORNECIMENTO E INSTALAÇÃO (EXCLUSIVE HIDRÔMETRO). AF_03/2024</v>
      </c>
      <c r="F175" s="164" t="str">
        <f t="array" aca="1" ref="F175" ca="1">IF(RegimeExecucao="Global","",ORÇAMENTO.Unidade)</f>
        <v>UN</v>
      </c>
      <c r="G175" s="122">
        <f t="array" aca="1" ref="G175" ca="1">IF(RegimeExecucao="Global","",ORÇAMENTO!T175)</f>
        <v>20</v>
      </c>
      <c r="H175" s="122">
        <f t="array" aca="1" ref="H175" ca="1">IF(RegimeExecucao="Global","",ORÇAMENTO!W175)</f>
        <v>225.43</v>
      </c>
      <c r="I175" s="125">
        <f ca="1">ORÇAMENTO!X175</f>
        <v>4508.6000000000004</v>
      </c>
      <c r="J175" s="333">
        <f t="array" aca="1" ref="J175" ca="1">IF($A175="S",IF(CAIXA.Modo,BM.AFAnterior,BM.MEDAnterior),IF(AND(RegimeExecucao="Global",$I175&gt;0,COUNTIF($AB$13:$AM$13,BM.medicao-1)&gt;0),M175/$I175*100,0))</f>
        <v>0</v>
      </c>
      <c r="K175" s="122">
        <f t="shared" ca="1" si="17"/>
        <v>0</v>
      </c>
      <c r="L175" s="334">
        <f t="array" aca="1" ref="L175" ca="1">IF($A175="S",IF(CAIXA.Modo,BM.AFAcumulado,BM.MEDAcumulado),IF(AND(RegimeExecucao="Global",$I175&gt;0,COUNTIF($AB$13:$AM$13,BM.medicao)&gt;0),O175/$I175*100,0))</f>
        <v>0</v>
      </c>
      <c r="M175" s="335">
        <f t="array" aca="1" ref="M175" ca="1">IF($A175="S",VTOTALBM,IF($A175=0,0,ROUND(SomaAgrupBM,15-13*ORÇAMENTO!$AF$11)))</f>
        <v>0</v>
      </c>
      <c r="N175" s="336">
        <f t="shared" ca="1" si="18"/>
        <v>0</v>
      </c>
      <c r="O175" s="125">
        <f t="array" aca="1" ref="O175" ca="1">IF($A175="S",VTOTALBM,IF($A175=0,0,ROUND(SomaAgrupBM,15-13*ORÇAMENTO!$AF$11)))</f>
        <v>0</v>
      </c>
      <c r="Q175" s="337"/>
      <c r="R175" s="338"/>
      <c r="T175" s="117" t="str">
        <f t="shared" ca="1" si="19"/>
        <v/>
      </c>
      <c r="U175" s="163" t="str">
        <f t="shared" ca="1" si="20"/>
        <v/>
      </c>
      <c r="V175" s="164" t="str">
        <f t="array" aca="1" ref="V175" ca="1">IF(AND($W175&gt;0,RegimeExecucao="Unitário"),$F175,"")</f>
        <v/>
      </c>
      <c r="W175" s="453">
        <f t="array" aca="1" ref="W175" ca="1">IF($Y175&gt;0,CHOOSE(MATCH(RegimeExecucao,{"Unitário","Global"},0),IF($A175="S",$Y175/$X175,""),($Y175/$X175)*100),0)</f>
        <v>0</v>
      </c>
      <c r="X175" s="339" t="str">
        <f t="array" aca="1" ref="X175" ca="1">IF($Y175&gt;0,CHOOSE(MATCH(RegimeExecucao,{"Unitário","Global"},0),IF($A175="S",ROUND($H175,ORÇAMENTO!$AF$10),""),ROUND($I175,ORÇAMENTO!$AF$11)),"")</f>
        <v/>
      </c>
      <c r="Y175" s="339">
        <f t="shared" ca="1" si="21"/>
        <v>0</v>
      </c>
      <c r="Z175" s="472"/>
      <c r="AB175" s="337"/>
      <c r="AC175" s="437"/>
      <c r="AD175" s="437"/>
      <c r="AE175" s="437"/>
      <c r="AF175" s="437"/>
      <c r="AG175" s="437"/>
      <c r="AH175" s="437"/>
      <c r="AI175" s="437"/>
      <c r="AJ175" s="437"/>
      <c r="AK175" s="437"/>
      <c r="AL175" s="437"/>
      <c r="AM175" s="338"/>
      <c r="AO175" s="696">
        <f t="array" aca="1" ref="AO175" ca="1">IF($A175="S",IF(BM!$I175=0,0,CHOOSE(MATCH(RegimeExecucao,{"Global","Unitário"},0),ROUND(ROUND(BM.MEDAcumulado,15-13*BM!$A$9)/100*BM!$I175,15-13*ORÇAMENTO!$AF$11),ROUND(ROUND(BM.MEDAcumulado,15-13*BM!$A$9)*ROUND(BM!$H175,15-13*ORÇAMENTO!$AF$10),15-13*ORÇAMENTO!$AF$11))),IF($A175=0,0,ROUND(SomaAgrupBM,15-13*ORÇAMENTO!$AF$11)))</f>
        <v>0</v>
      </c>
    </row>
    <row r="176" spans="1:41" s="696" customFormat="1" ht="25.5" x14ac:dyDescent="0.2">
      <c r="A176" s="696" t="str">
        <f ca="1">ORÇAMENTO!C176</f>
        <v>S</v>
      </c>
      <c r="B176" s="696">
        <f ca="1">ORÇAMENTO!D176</f>
        <v>0</v>
      </c>
      <c r="C176" s="114" t="str">
        <f t="shared" ca="1" si="15"/>
        <v>F</v>
      </c>
      <c r="D176" s="117" t="str">
        <f ca="1">ORÇAMENTO!O176</f>
        <v>1.28.2.</v>
      </c>
      <c r="E176" s="163" t="str">
        <f t="shared" ca="1" si="16"/>
        <v>REGISTRO DE GAVETA BRUTO, LATÃO, ROSCÁVEL, 3/4" - FORNECIMENTO E INSTALAÇÃO. AF_08/2021</v>
      </c>
      <c r="F176" s="164" t="str">
        <f t="array" aca="1" ref="F176" ca="1">IF(RegimeExecucao="Global","",ORÇAMENTO.Unidade)</f>
        <v>UN</v>
      </c>
      <c r="G176" s="122">
        <f t="array" aca="1" ref="G176" ca="1">IF(RegimeExecucao="Global","",ORÇAMENTO!T176)</f>
        <v>20</v>
      </c>
      <c r="H176" s="122">
        <f t="array" aca="1" ref="H176" ca="1">IF(RegimeExecucao="Global","",ORÇAMENTO!W176)</f>
        <v>70.760000000000005</v>
      </c>
      <c r="I176" s="125">
        <f ca="1">ORÇAMENTO!X176</f>
        <v>1415.2</v>
      </c>
      <c r="J176" s="333">
        <f t="array" aca="1" ref="J176" ca="1">IF($A176="S",IF(CAIXA.Modo,BM.AFAnterior,BM.MEDAnterior),IF(AND(RegimeExecucao="Global",$I176&gt;0,COUNTIF($AB$13:$AM$13,BM.medicao-1)&gt;0),M176/$I176*100,0))</f>
        <v>0</v>
      </c>
      <c r="K176" s="122">
        <f t="shared" ca="1" si="17"/>
        <v>0</v>
      </c>
      <c r="L176" s="334">
        <f t="array" aca="1" ref="L176" ca="1">IF($A176="S",IF(CAIXA.Modo,BM.AFAcumulado,BM.MEDAcumulado),IF(AND(RegimeExecucao="Global",$I176&gt;0,COUNTIF($AB$13:$AM$13,BM.medicao)&gt;0),O176/$I176*100,0))</f>
        <v>0</v>
      </c>
      <c r="M176" s="335">
        <f t="array" aca="1" ref="M176" ca="1">IF($A176="S",VTOTALBM,IF($A176=0,0,ROUND(SomaAgrupBM,15-13*ORÇAMENTO!$AF$11)))</f>
        <v>0</v>
      </c>
      <c r="N176" s="336">
        <f t="shared" ca="1" si="18"/>
        <v>0</v>
      </c>
      <c r="O176" s="125">
        <f t="array" aca="1" ref="O176" ca="1">IF($A176="S",VTOTALBM,IF($A176=0,0,ROUND(SomaAgrupBM,15-13*ORÇAMENTO!$AF$11)))</f>
        <v>0</v>
      </c>
      <c r="Q176" s="337"/>
      <c r="R176" s="338"/>
      <c r="T176" s="117" t="str">
        <f t="shared" ca="1" si="19"/>
        <v/>
      </c>
      <c r="U176" s="163" t="str">
        <f t="shared" ca="1" si="20"/>
        <v/>
      </c>
      <c r="V176" s="164" t="str">
        <f t="array" aca="1" ref="V176" ca="1">IF(AND($W176&gt;0,RegimeExecucao="Unitário"),$F176,"")</f>
        <v/>
      </c>
      <c r="W176" s="453">
        <f t="array" aca="1" ref="W176" ca="1">IF($Y176&gt;0,CHOOSE(MATCH(RegimeExecucao,{"Unitário","Global"},0),IF($A176="S",$Y176/$X176,""),($Y176/$X176)*100),0)</f>
        <v>0</v>
      </c>
      <c r="X176" s="339" t="str">
        <f t="array" aca="1" ref="X176" ca="1">IF($Y176&gt;0,CHOOSE(MATCH(RegimeExecucao,{"Unitário","Global"},0),IF($A176="S",ROUND($H176,ORÇAMENTO!$AF$10),""),ROUND($I176,ORÇAMENTO!$AF$11)),"")</f>
        <v/>
      </c>
      <c r="Y176" s="339">
        <f t="shared" ca="1" si="21"/>
        <v>0</v>
      </c>
      <c r="Z176" s="472"/>
      <c r="AB176" s="337"/>
      <c r="AC176" s="437"/>
      <c r="AD176" s="437"/>
      <c r="AE176" s="437"/>
      <c r="AF176" s="437"/>
      <c r="AG176" s="437"/>
      <c r="AH176" s="437"/>
      <c r="AI176" s="437"/>
      <c r="AJ176" s="437"/>
      <c r="AK176" s="437"/>
      <c r="AL176" s="437"/>
      <c r="AM176" s="338"/>
      <c r="AO176" s="696">
        <f t="array" aca="1" ref="AO176" ca="1">IF($A176="S",IF(BM!$I176=0,0,CHOOSE(MATCH(RegimeExecucao,{"Global","Unitário"},0),ROUND(ROUND(BM.MEDAcumulado,15-13*BM!$A$9)/100*BM!$I176,15-13*ORÇAMENTO!$AF$11),ROUND(ROUND(BM.MEDAcumulado,15-13*BM!$A$9)*ROUND(BM!$H176,15-13*ORÇAMENTO!$AF$10),15-13*ORÇAMENTO!$AF$11))),IF($A176=0,0,ROUND(SomaAgrupBM,15-13*ORÇAMENTO!$AF$11)))</f>
        <v>0</v>
      </c>
    </row>
    <row r="177" spans="1:41" s="696" customFormat="1" ht="25.5" x14ac:dyDescent="0.2">
      <c r="A177" s="696" t="str">
        <f ca="1">ORÇAMENTO!C177</f>
        <v>S</v>
      </c>
      <c r="B177" s="696">
        <f ca="1">ORÇAMENTO!D177</f>
        <v>0</v>
      </c>
      <c r="C177" s="114" t="str">
        <f t="shared" ca="1" si="15"/>
        <v>F</v>
      </c>
      <c r="D177" s="117" t="str">
        <f ca="1">ORÇAMENTO!O177</f>
        <v>1.28.3.</v>
      </c>
      <c r="E177" s="163" t="str">
        <f t="shared" ca="1" si="16"/>
        <v>TUBO, PVC, SOLDÁVEL, DE 25MM, INSTALADO EM PRUMADA DE ÁGUA - FORNECIMENTO E INSTALAÇÃO. AF_06/2022</v>
      </c>
      <c r="F177" s="164" t="str">
        <f t="array" aca="1" ref="F177" ca="1">IF(RegimeExecucao="Global","",ORÇAMENTO.Unidade)</f>
        <v>M</v>
      </c>
      <c r="G177" s="122">
        <f t="array" aca="1" ref="G177" ca="1">IF(RegimeExecucao="Global","",ORÇAMENTO!T177)</f>
        <v>135</v>
      </c>
      <c r="H177" s="122">
        <f t="array" aca="1" ref="H177" ca="1">IF(RegimeExecucao="Global","",ORÇAMENTO!W177)</f>
        <v>6.25</v>
      </c>
      <c r="I177" s="125">
        <f ca="1">ORÇAMENTO!X177</f>
        <v>843.76</v>
      </c>
      <c r="J177" s="333">
        <f t="array" aca="1" ref="J177" ca="1">IF($A177="S",IF(CAIXA.Modo,BM.AFAnterior,BM.MEDAnterior),IF(AND(RegimeExecucao="Global",$I177&gt;0,COUNTIF($AB$13:$AM$13,BM.medicao-1)&gt;0),M177/$I177*100,0))</f>
        <v>0</v>
      </c>
      <c r="K177" s="122">
        <f t="shared" ca="1" si="17"/>
        <v>0</v>
      </c>
      <c r="L177" s="334">
        <f t="array" aca="1" ref="L177" ca="1">IF($A177="S",IF(CAIXA.Modo,BM.AFAcumulado,BM.MEDAcumulado),IF(AND(RegimeExecucao="Global",$I177&gt;0,COUNTIF($AB$13:$AM$13,BM.medicao)&gt;0),O177/$I177*100,0))</f>
        <v>0</v>
      </c>
      <c r="M177" s="335">
        <f t="array" aca="1" ref="M177" ca="1">IF($A177="S",VTOTALBM,IF($A177=0,0,ROUND(SomaAgrupBM,15-13*ORÇAMENTO!$AF$11)))</f>
        <v>0</v>
      </c>
      <c r="N177" s="336">
        <f t="shared" ca="1" si="18"/>
        <v>0</v>
      </c>
      <c r="O177" s="125">
        <f t="array" aca="1" ref="O177" ca="1">IF($A177="S",VTOTALBM,IF($A177=0,0,ROUND(SomaAgrupBM,15-13*ORÇAMENTO!$AF$11)))</f>
        <v>0</v>
      </c>
      <c r="Q177" s="337"/>
      <c r="R177" s="338"/>
      <c r="T177" s="117" t="str">
        <f t="shared" ca="1" si="19"/>
        <v/>
      </c>
      <c r="U177" s="163" t="str">
        <f t="shared" ca="1" si="20"/>
        <v/>
      </c>
      <c r="V177" s="164" t="str">
        <f t="array" aca="1" ref="V177" ca="1">IF(AND($W177&gt;0,RegimeExecucao="Unitário"),$F177,"")</f>
        <v/>
      </c>
      <c r="W177" s="453">
        <f t="array" aca="1" ref="W177" ca="1">IF($Y177&gt;0,CHOOSE(MATCH(RegimeExecucao,{"Unitário","Global"},0),IF($A177="S",$Y177/$X177,""),($Y177/$X177)*100),0)</f>
        <v>0</v>
      </c>
      <c r="X177" s="339" t="str">
        <f t="array" aca="1" ref="X177" ca="1">IF($Y177&gt;0,CHOOSE(MATCH(RegimeExecucao,{"Unitário","Global"},0),IF($A177="S",ROUND($H177,ORÇAMENTO!$AF$10),""),ROUND($I177,ORÇAMENTO!$AF$11)),"")</f>
        <v/>
      </c>
      <c r="Y177" s="339">
        <f t="shared" ca="1" si="21"/>
        <v>0</v>
      </c>
      <c r="Z177" s="472"/>
      <c r="AB177" s="337"/>
      <c r="AC177" s="437"/>
      <c r="AD177" s="437"/>
      <c r="AE177" s="437"/>
      <c r="AF177" s="437"/>
      <c r="AG177" s="437"/>
      <c r="AH177" s="437"/>
      <c r="AI177" s="437"/>
      <c r="AJ177" s="437"/>
      <c r="AK177" s="437"/>
      <c r="AL177" s="437"/>
      <c r="AM177" s="338"/>
      <c r="AO177" s="696">
        <f t="array" aca="1" ref="AO177" ca="1">IF($A177="S",IF(BM!$I177=0,0,CHOOSE(MATCH(RegimeExecucao,{"Global","Unitário"},0),ROUND(ROUND(BM.MEDAcumulado,15-13*BM!$A$9)/100*BM!$I177,15-13*ORÇAMENTO!$AF$11),ROUND(ROUND(BM.MEDAcumulado,15-13*BM!$A$9)*ROUND(BM!$H177,15-13*ORÇAMENTO!$AF$10),15-13*ORÇAMENTO!$AF$11))),IF($A177=0,0,ROUND(SomaAgrupBM,15-13*ORÇAMENTO!$AF$11)))</f>
        <v>0</v>
      </c>
    </row>
    <row r="178" spans="1:41" s="696" customFormat="1" ht="38.25" x14ac:dyDescent="0.2">
      <c r="A178" s="696" t="str">
        <f ca="1">ORÇAMENTO!C178</f>
        <v>S</v>
      </c>
      <c r="B178" s="696">
        <f ca="1">ORÇAMENTO!D178</f>
        <v>0</v>
      </c>
      <c r="C178" s="114" t="str">
        <f t="shared" ca="1" si="15"/>
        <v>F</v>
      </c>
      <c r="D178" s="117" t="str">
        <f ca="1">ORÇAMENTO!O178</f>
        <v>1.28.4.</v>
      </c>
      <c r="E178" s="163" t="str">
        <f t="shared" ca="1" si="16"/>
        <v>TUBO, PVC, SOLDÁVEL, DE 25MM, INSTALADO EM RAMAL DE DISTRIBUIÇÃO DE ÁGUA - FORNECIMENTO E INSTALAÇÃO. AF_06/2022</v>
      </c>
      <c r="F178" s="164" t="str">
        <f t="array" aca="1" ref="F178" ca="1">IF(RegimeExecucao="Global","",ORÇAMENTO.Unidade)</f>
        <v>M</v>
      </c>
      <c r="G178" s="122">
        <f t="array" aca="1" ref="G178" ca="1">IF(RegimeExecucao="Global","",ORÇAMENTO!T178)</f>
        <v>60</v>
      </c>
      <c r="H178" s="122">
        <f t="array" aca="1" ref="H178" ca="1">IF(RegimeExecucao="Global","",ORÇAMENTO!W178)</f>
        <v>14.99</v>
      </c>
      <c r="I178" s="125">
        <f ca="1">ORÇAMENTO!X178</f>
        <v>899.4</v>
      </c>
      <c r="J178" s="333">
        <f t="array" aca="1" ref="J178" ca="1">IF($A178="S",IF(CAIXA.Modo,BM.AFAnterior,BM.MEDAnterior),IF(AND(RegimeExecucao="Global",$I178&gt;0,COUNTIF($AB$13:$AM$13,BM.medicao-1)&gt;0),M178/$I178*100,0))</f>
        <v>0</v>
      </c>
      <c r="K178" s="122">
        <f t="shared" ca="1" si="17"/>
        <v>0</v>
      </c>
      <c r="L178" s="334">
        <f t="array" aca="1" ref="L178" ca="1">IF($A178="S",IF(CAIXA.Modo,BM.AFAcumulado,BM.MEDAcumulado),IF(AND(RegimeExecucao="Global",$I178&gt;0,COUNTIF($AB$13:$AM$13,BM.medicao)&gt;0),O178/$I178*100,0))</f>
        <v>0</v>
      </c>
      <c r="M178" s="335">
        <f t="array" aca="1" ref="M178" ca="1">IF($A178="S",VTOTALBM,IF($A178=0,0,ROUND(SomaAgrupBM,15-13*ORÇAMENTO!$AF$11)))</f>
        <v>0</v>
      </c>
      <c r="N178" s="336">
        <f t="shared" ca="1" si="18"/>
        <v>0</v>
      </c>
      <c r="O178" s="125">
        <f t="array" aca="1" ref="O178" ca="1">IF($A178="S",VTOTALBM,IF($A178=0,0,ROUND(SomaAgrupBM,15-13*ORÇAMENTO!$AF$11)))</f>
        <v>0</v>
      </c>
      <c r="Q178" s="337"/>
      <c r="R178" s="338"/>
      <c r="T178" s="117" t="str">
        <f t="shared" ca="1" si="19"/>
        <v/>
      </c>
      <c r="U178" s="163" t="str">
        <f t="shared" ca="1" si="20"/>
        <v/>
      </c>
      <c r="V178" s="164" t="str">
        <f t="array" aca="1" ref="V178" ca="1">IF(AND($W178&gt;0,RegimeExecucao="Unitário"),$F178,"")</f>
        <v/>
      </c>
      <c r="W178" s="453">
        <f t="array" aca="1" ref="W178" ca="1">IF($Y178&gt;0,CHOOSE(MATCH(RegimeExecucao,{"Unitário","Global"},0),IF($A178="S",$Y178/$X178,""),($Y178/$X178)*100),0)</f>
        <v>0</v>
      </c>
      <c r="X178" s="339" t="str">
        <f t="array" aca="1" ref="X178" ca="1">IF($Y178&gt;0,CHOOSE(MATCH(RegimeExecucao,{"Unitário","Global"},0),IF($A178="S",ROUND($H178,ORÇAMENTO!$AF$10),""),ROUND($I178,ORÇAMENTO!$AF$11)),"")</f>
        <v/>
      </c>
      <c r="Y178" s="339">
        <f t="shared" ca="1" si="21"/>
        <v>0</v>
      </c>
      <c r="Z178" s="472"/>
      <c r="AB178" s="337"/>
      <c r="AC178" s="437"/>
      <c r="AD178" s="437"/>
      <c r="AE178" s="437"/>
      <c r="AF178" s="437"/>
      <c r="AG178" s="437"/>
      <c r="AH178" s="437"/>
      <c r="AI178" s="437"/>
      <c r="AJ178" s="437"/>
      <c r="AK178" s="437"/>
      <c r="AL178" s="437"/>
      <c r="AM178" s="338"/>
      <c r="AO178" s="696">
        <f t="array" aca="1" ref="AO178" ca="1">IF($A178="S",IF(BM!$I178=0,0,CHOOSE(MATCH(RegimeExecucao,{"Global","Unitário"},0),ROUND(ROUND(BM.MEDAcumulado,15-13*BM!$A$9)/100*BM!$I178,15-13*ORÇAMENTO!$AF$11),ROUND(ROUND(BM.MEDAcumulado,15-13*BM!$A$9)*ROUND(BM!$H178,15-13*ORÇAMENTO!$AF$10),15-13*ORÇAMENTO!$AF$11))),IF($A178=0,0,ROUND(SomaAgrupBM,15-13*ORÇAMENTO!$AF$11)))</f>
        <v>0</v>
      </c>
    </row>
    <row r="179" spans="1:41" s="696" customFormat="1" ht="38.25" x14ac:dyDescent="0.2">
      <c r="A179" s="696" t="str">
        <f ca="1">ORÇAMENTO!C179</f>
        <v>S</v>
      </c>
      <c r="B179" s="696">
        <f ca="1">ORÇAMENTO!D179</f>
        <v>0</v>
      </c>
      <c r="C179" s="114" t="str">
        <f t="shared" ca="1" si="15"/>
        <v>F</v>
      </c>
      <c r="D179" s="117" t="str">
        <f ca="1">ORÇAMENTO!O179</f>
        <v>1.28.5.</v>
      </c>
      <c r="E179" s="163" t="str">
        <f t="shared" ca="1" si="16"/>
        <v>JOELHO 90 GRAUS, PVC, SOLDÁVEL, DN 25MM, INSTALADO EM RAMAL DE DISTRIBUIÇÃO DE ÁGUA - FORNECIMENTO E INSTALAÇÃO. AF_06/2022</v>
      </c>
      <c r="F179" s="164" t="str">
        <f t="array" aca="1" ref="F179" ca="1">IF(RegimeExecucao="Global","",ORÇAMENTO.Unidade)</f>
        <v>UN</v>
      </c>
      <c r="G179" s="122">
        <f t="array" aca="1" ref="G179" ca="1">IF(RegimeExecucao="Global","",ORÇAMENTO!T179)</f>
        <v>40</v>
      </c>
      <c r="H179" s="122">
        <f t="array" aca="1" ref="H179" ca="1">IF(RegimeExecucao="Global","",ORÇAMENTO!W179)</f>
        <v>10.69</v>
      </c>
      <c r="I179" s="125">
        <f ca="1">ORÇAMENTO!X179</f>
        <v>427.6</v>
      </c>
      <c r="J179" s="333">
        <f t="array" aca="1" ref="J179" ca="1">IF($A179="S",IF(CAIXA.Modo,BM.AFAnterior,BM.MEDAnterior),IF(AND(RegimeExecucao="Global",$I179&gt;0,COUNTIF($AB$13:$AM$13,BM.medicao-1)&gt;0),M179/$I179*100,0))</f>
        <v>0</v>
      </c>
      <c r="K179" s="122">
        <f t="shared" ca="1" si="17"/>
        <v>0</v>
      </c>
      <c r="L179" s="334">
        <f t="array" aca="1" ref="L179" ca="1">IF($A179="S",IF(CAIXA.Modo,BM.AFAcumulado,BM.MEDAcumulado),IF(AND(RegimeExecucao="Global",$I179&gt;0,COUNTIF($AB$13:$AM$13,BM.medicao)&gt;0),O179/$I179*100,0))</f>
        <v>0</v>
      </c>
      <c r="M179" s="335">
        <f t="array" aca="1" ref="M179" ca="1">IF($A179="S",VTOTALBM,IF($A179=0,0,ROUND(SomaAgrupBM,15-13*ORÇAMENTO!$AF$11)))</f>
        <v>0</v>
      </c>
      <c r="N179" s="336">
        <f t="shared" ca="1" si="18"/>
        <v>0</v>
      </c>
      <c r="O179" s="125">
        <f t="array" aca="1" ref="O179" ca="1">IF($A179="S",VTOTALBM,IF($A179=0,0,ROUND(SomaAgrupBM,15-13*ORÇAMENTO!$AF$11)))</f>
        <v>0</v>
      </c>
      <c r="Q179" s="337"/>
      <c r="R179" s="338"/>
      <c r="T179" s="117" t="str">
        <f t="shared" ca="1" si="19"/>
        <v/>
      </c>
      <c r="U179" s="163" t="str">
        <f t="shared" ca="1" si="20"/>
        <v/>
      </c>
      <c r="V179" s="164" t="str">
        <f t="array" aca="1" ref="V179" ca="1">IF(AND($W179&gt;0,RegimeExecucao="Unitário"),$F179,"")</f>
        <v/>
      </c>
      <c r="W179" s="453">
        <f t="array" aca="1" ref="W179" ca="1">IF($Y179&gt;0,CHOOSE(MATCH(RegimeExecucao,{"Unitário","Global"},0),IF($A179="S",$Y179/$X179,""),($Y179/$X179)*100),0)</f>
        <v>0</v>
      </c>
      <c r="X179" s="339" t="str">
        <f t="array" aca="1" ref="X179" ca="1">IF($Y179&gt;0,CHOOSE(MATCH(RegimeExecucao,{"Unitário","Global"},0),IF($A179="S",ROUND($H179,ORÇAMENTO!$AF$10),""),ROUND($I179,ORÇAMENTO!$AF$11)),"")</f>
        <v/>
      </c>
      <c r="Y179" s="339">
        <f t="shared" ca="1" si="21"/>
        <v>0</v>
      </c>
      <c r="Z179" s="472"/>
      <c r="AB179" s="337"/>
      <c r="AC179" s="437"/>
      <c r="AD179" s="437"/>
      <c r="AE179" s="437"/>
      <c r="AF179" s="437"/>
      <c r="AG179" s="437"/>
      <c r="AH179" s="437"/>
      <c r="AI179" s="437"/>
      <c r="AJ179" s="437"/>
      <c r="AK179" s="437"/>
      <c r="AL179" s="437"/>
      <c r="AM179" s="338"/>
      <c r="AO179" s="696">
        <f t="array" aca="1" ref="AO179" ca="1">IF($A179="S",IF(BM!$I179=0,0,CHOOSE(MATCH(RegimeExecucao,{"Global","Unitário"},0),ROUND(ROUND(BM.MEDAcumulado,15-13*BM!$A$9)/100*BM!$I179,15-13*ORÇAMENTO!$AF$11),ROUND(ROUND(BM.MEDAcumulado,15-13*BM!$A$9)*ROUND(BM!$H179,15-13*ORÇAMENTO!$AF$10),15-13*ORÇAMENTO!$AF$11))),IF($A179=0,0,ROUND(SomaAgrupBM,15-13*ORÇAMENTO!$AF$11)))</f>
        <v>0</v>
      </c>
    </row>
    <row r="180" spans="1:41" s="696" customFormat="1" ht="38.25" x14ac:dyDescent="0.2">
      <c r="A180" s="696" t="str">
        <f ca="1">ORÇAMENTO!C180</f>
        <v>S</v>
      </c>
      <c r="B180" s="696">
        <f ca="1">ORÇAMENTO!D180</f>
        <v>0</v>
      </c>
      <c r="C180" s="114" t="str">
        <f t="shared" ca="1" si="15"/>
        <v>F</v>
      </c>
      <c r="D180" s="117" t="str">
        <f ca="1">ORÇAMENTO!O180</f>
        <v>1.28.6.</v>
      </c>
      <c r="E180" s="163" t="str">
        <f t="shared" ca="1" si="16"/>
        <v>TE, PVC, SOLDÁVEL, DN 25MM, INSTALADO EM RAMAL DE DISTRIBUIÇÃO DE ÁGUA - FORNECIMENTO E INSTALAÇÃO. AF_06/2022</v>
      </c>
      <c r="F180" s="164" t="str">
        <f t="array" aca="1" ref="F180" ca="1">IF(RegimeExecucao="Global","",ORÇAMENTO.Unidade)</f>
        <v>UN</v>
      </c>
      <c r="G180" s="122">
        <f t="array" aca="1" ref="G180" ca="1">IF(RegimeExecucao="Global","",ORÇAMENTO!T180)</f>
        <v>20</v>
      </c>
      <c r="H180" s="122">
        <f t="array" aca="1" ref="H180" ca="1">IF(RegimeExecucao="Global","",ORÇAMENTO!W180)</f>
        <v>14.79</v>
      </c>
      <c r="I180" s="125">
        <f ca="1">ORÇAMENTO!X180</f>
        <v>295.8</v>
      </c>
      <c r="J180" s="333">
        <f t="array" aca="1" ref="J180" ca="1">IF($A180="S",IF(CAIXA.Modo,BM.AFAnterior,BM.MEDAnterior),IF(AND(RegimeExecucao="Global",$I180&gt;0,COUNTIF($AB$13:$AM$13,BM.medicao-1)&gt;0),M180/$I180*100,0))</f>
        <v>0</v>
      </c>
      <c r="K180" s="122">
        <f t="shared" ca="1" si="17"/>
        <v>0</v>
      </c>
      <c r="L180" s="334">
        <f t="array" aca="1" ref="L180" ca="1">IF($A180="S",IF(CAIXA.Modo,BM.AFAcumulado,BM.MEDAcumulado),IF(AND(RegimeExecucao="Global",$I180&gt;0,COUNTIF($AB$13:$AM$13,BM.medicao)&gt;0),O180/$I180*100,0))</f>
        <v>0</v>
      </c>
      <c r="M180" s="335">
        <f t="array" aca="1" ref="M180" ca="1">IF($A180="S",VTOTALBM,IF($A180=0,0,ROUND(SomaAgrupBM,15-13*ORÇAMENTO!$AF$11)))</f>
        <v>0</v>
      </c>
      <c r="N180" s="336">
        <f t="shared" ca="1" si="18"/>
        <v>0</v>
      </c>
      <c r="O180" s="125">
        <f t="array" aca="1" ref="O180" ca="1">IF($A180="S",VTOTALBM,IF($A180=0,0,ROUND(SomaAgrupBM,15-13*ORÇAMENTO!$AF$11)))</f>
        <v>0</v>
      </c>
      <c r="Q180" s="337"/>
      <c r="R180" s="338"/>
      <c r="T180" s="117" t="str">
        <f t="shared" ca="1" si="19"/>
        <v/>
      </c>
      <c r="U180" s="163" t="str">
        <f t="shared" ca="1" si="20"/>
        <v/>
      </c>
      <c r="V180" s="164" t="str">
        <f t="array" aca="1" ref="V180" ca="1">IF(AND($W180&gt;0,RegimeExecucao="Unitário"),$F180,"")</f>
        <v/>
      </c>
      <c r="W180" s="453">
        <f t="array" aca="1" ref="W180" ca="1">IF($Y180&gt;0,CHOOSE(MATCH(RegimeExecucao,{"Unitário","Global"},0),IF($A180="S",$Y180/$X180,""),($Y180/$X180)*100),0)</f>
        <v>0</v>
      </c>
      <c r="X180" s="339" t="str">
        <f t="array" aca="1" ref="X180" ca="1">IF($Y180&gt;0,CHOOSE(MATCH(RegimeExecucao,{"Unitário","Global"},0),IF($A180="S",ROUND($H180,ORÇAMENTO!$AF$10),""),ROUND($I180,ORÇAMENTO!$AF$11)),"")</f>
        <v/>
      </c>
      <c r="Y180" s="339">
        <f t="shared" ca="1" si="21"/>
        <v>0</v>
      </c>
      <c r="Z180" s="472"/>
      <c r="AB180" s="337"/>
      <c r="AC180" s="437"/>
      <c r="AD180" s="437"/>
      <c r="AE180" s="437"/>
      <c r="AF180" s="437"/>
      <c r="AG180" s="437"/>
      <c r="AH180" s="437"/>
      <c r="AI180" s="437"/>
      <c r="AJ180" s="437"/>
      <c r="AK180" s="437"/>
      <c r="AL180" s="437"/>
      <c r="AM180" s="338"/>
      <c r="AO180" s="696">
        <f t="array" aca="1" ref="AO180" ca="1">IF($A180="S",IF(BM!$I180=0,0,CHOOSE(MATCH(RegimeExecucao,{"Global","Unitário"},0),ROUND(ROUND(BM.MEDAcumulado,15-13*BM!$A$9)/100*BM!$I180,15-13*ORÇAMENTO!$AF$11),ROUND(ROUND(BM.MEDAcumulado,15-13*BM!$A$9)*ROUND(BM!$H180,15-13*ORÇAMENTO!$AF$10),15-13*ORÇAMENTO!$AF$11))),IF($A180=0,0,ROUND(SomaAgrupBM,15-13*ORÇAMENTO!$AF$11)))</f>
        <v>0</v>
      </c>
    </row>
    <row r="181" spans="1:41" s="696" customFormat="1" x14ac:dyDescent="0.2">
      <c r="A181" s="696">
        <f ca="1">ORÇAMENTO!C181</f>
        <v>2</v>
      </c>
      <c r="B181" s="696">
        <f ca="1">ORÇAMENTO!D181</f>
        <v>15</v>
      </c>
      <c r="C181" s="114" t="str">
        <f t="shared" ca="1" si="15"/>
        <v>F</v>
      </c>
      <c r="D181" s="117" t="str">
        <f ca="1">ORÇAMENTO!O181</f>
        <v>1.29.</v>
      </c>
      <c r="E181" s="163" t="str">
        <f t="shared" si="16"/>
        <v>CAIXA D'ÁGUA E BARRILETE</v>
      </c>
      <c r="F181" s="164" t="str">
        <f t="array" aca="1" ref="F181" ca="1">IF(RegimeExecucao="Global","",ORÇAMENTO.Unidade)</f>
        <v>-</v>
      </c>
      <c r="G181" s="122">
        <f t="array" aca="1" ref="G181" ca="1">IF(RegimeExecucao="Global","",ORÇAMENTO!T181)</f>
        <v>0</v>
      </c>
      <c r="H181" s="122">
        <f t="array" aca="1" ref="H181" ca="1">IF(RegimeExecucao="Global","",ORÇAMENTO!W181)</f>
        <v>0</v>
      </c>
      <c r="I181" s="125">
        <f ca="1">ORÇAMENTO!X181</f>
        <v>20932.48</v>
      </c>
      <c r="J181" s="333">
        <f t="array" aca="1" ref="J181" ca="1">IF($A181="S",IF(CAIXA.Modo,BM.AFAnterior,BM.MEDAnterior),IF(AND(RegimeExecucao="Global",$I181&gt;0,COUNTIF($AB$13:$AM$13,BM.medicao-1)&gt;0),M181/$I181*100,0))</f>
        <v>0</v>
      </c>
      <c r="K181" s="122">
        <f t="shared" ca="1" si="17"/>
        <v>0</v>
      </c>
      <c r="L181" s="334">
        <f t="array" aca="1" ref="L181" ca="1">IF($A181="S",IF(CAIXA.Modo,BM.AFAcumulado,BM.MEDAcumulado),IF(AND(RegimeExecucao="Global",$I181&gt;0,COUNTIF($AB$13:$AM$13,BM.medicao)&gt;0),O181/$I181*100,0))</f>
        <v>0</v>
      </c>
      <c r="M181" s="335">
        <f t="array" aca="1" ref="M181" ca="1">IF($A181="S",VTOTALBM,IF($A181=0,0,ROUND(SomaAgrupBM,15-13*ORÇAMENTO!$AF$11)))</f>
        <v>0</v>
      </c>
      <c r="N181" s="336">
        <f t="shared" ca="1" si="18"/>
        <v>0</v>
      </c>
      <c r="O181" s="125">
        <f t="array" aca="1" ref="O181" ca="1">IF($A181="S",VTOTALBM,IF($A181=0,0,ROUND(SomaAgrupBM,15-13*ORÇAMENTO!$AF$11)))</f>
        <v>0</v>
      </c>
      <c r="Q181" s="337"/>
      <c r="R181" s="338"/>
      <c r="T181" s="117" t="str">
        <f t="shared" ca="1" si="19"/>
        <v/>
      </c>
      <c r="U181" s="163" t="str">
        <f t="shared" ca="1" si="20"/>
        <v/>
      </c>
      <c r="V181" s="164" t="str">
        <f t="array" aca="1" ref="V181" ca="1">IF(AND($W181&gt;0,RegimeExecucao="Unitário"),$F181,"")</f>
        <v/>
      </c>
      <c r="W181" s="453">
        <f t="array" aca="1" ref="W181" ca="1">IF($Y181&gt;0,CHOOSE(MATCH(RegimeExecucao,{"Unitário","Global"},0),IF($A181="S",$Y181/$X181,""),($Y181/$X181)*100),0)</f>
        <v>0</v>
      </c>
      <c r="X181" s="339" t="str">
        <f t="array" aca="1" ref="X181" ca="1">IF($Y181&gt;0,CHOOSE(MATCH(RegimeExecucao,{"Unitário","Global"},0),IF($A181="S",ROUND($H181,ORÇAMENTO!$AF$10),""),ROUND($I181,ORÇAMENTO!$AF$11)),"")</f>
        <v/>
      </c>
      <c r="Y181" s="339">
        <f t="shared" ca="1" si="21"/>
        <v>0</v>
      </c>
      <c r="Z181" s="472"/>
      <c r="AB181" s="337"/>
      <c r="AC181" s="437"/>
      <c r="AD181" s="437"/>
      <c r="AE181" s="437"/>
      <c r="AF181" s="437"/>
      <c r="AG181" s="437"/>
      <c r="AH181" s="437"/>
      <c r="AI181" s="437"/>
      <c r="AJ181" s="437"/>
      <c r="AK181" s="437"/>
      <c r="AL181" s="437"/>
      <c r="AM181" s="338"/>
      <c r="AO181" s="696">
        <f t="array" aca="1" ref="AO181" ca="1">IF($A181="S",IF(BM!$I181=0,0,CHOOSE(MATCH(RegimeExecucao,{"Global","Unitário"},0),ROUND(ROUND(BM.MEDAcumulado,15-13*BM!$A$9)/100*BM!$I181,15-13*ORÇAMENTO!$AF$11),ROUND(ROUND(BM.MEDAcumulado,15-13*BM!$A$9)*ROUND(BM!$H181,15-13*ORÇAMENTO!$AF$10),15-13*ORÇAMENTO!$AF$11))),IF($A181=0,0,ROUND(SomaAgrupBM,15-13*ORÇAMENTO!$AF$11)))</f>
        <v>0</v>
      </c>
    </row>
    <row r="182" spans="1:41" s="696" customFormat="1" ht="25.5" x14ac:dyDescent="0.2">
      <c r="A182" s="696" t="str">
        <f ca="1">ORÇAMENTO!C182</f>
        <v>S</v>
      </c>
      <c r="B182" s="696">
        <f ca="1">ORÇAMENTO!D182</f>
        <v>0</v>
      </c>
      <c r="C182" s="114" t="str">
        <f t="shared" ca="1" si="15"/>
        <v>F</v>
      </c>
      <c r="D182" s="117" t="str">
        <f ca="1">ORÇAMENTO!O182</f>
        <v>1.29.1.</v>
      </c>
      <c r="E182" s="163" t="str">
        <f t="shared" ca="1" si="16"/>
        <v>CAIXA D´ÁGUA EM POLIETILENO, 500 LITROS - FORNECIMENTO E INSTALAÇÃO. AF_06/2021</v>
      </c>
      <c r="F182" s="164" t="str">
        <f t="array" aca="1" ref="F182" ca="1">IF(RegimeExecucao="Global","",ORÇAMENTO.Unidade)</f>
        <v>UN</v>
      </c>
      <c r="G182" s="122">
        <f t="array" aca="1" ref="G182" ca="1">IF(RegimeExecucao="Global","",ORÇAMENTO!T182)</f>
        <v>20</v>
      </c>
      <c r="H182" s="122">
        <f t="array" aca="1" ref="H182" ca="1">IF(RegimeExecucao="Global","",ORÇAMENTO!W182)</f>
        <v>342.42</v>
      </c>
      <c r="I182" s="125">
        <f ca="1">ORÇAMENTO!X182</f>
        <v>6848.4</v>
      </c>
      <c r="J182" s="333">
        <f t="array" aca="1" ref="J182" ca="1">IF($A182="S",IF(CAIXA.Modo,BM.AFAnterior,BM.MEDAnterior),IF(AND(RegimeExecucao="Global",$I182&gt;0,COUNTIF($AB$13:$AM$13,BM.medicao-1)&gt;0),M182/$I182*100,0))</f>
        <v>0</v>
      </c>
      <c r="K182" s="122">
        <f t="shared" ca="1" si="17"/>
        <v>0</v>
      </c>
      <c r="L182" s="334">
        <f t="array" aca="1" ref="L182" ca="1">IF($A182="S",IF(CAIXA.Modo,BM.AFAcumulado,BM.MEDAcumulado),IF(AND(RegimeExecucao="Global",$I182&gt;0,COUNTIF($AB$13:$AM$13,BM.medicao)&gt;0),O182/$I182*100,0))</f>
        <v>0</v>
      </c>
      <c r="M182" s="335">
        <f t="array" aca="1" ref="M182" ca="1">IF($A182="S",VTOTALBM,IF($A182=0,0,ROUND(SomaAgrupBM,15-13*ORÇAMENTO!$AF$11)))</f>
        <v>0</v>
      </c>
      <c r="N182" s="336">
        <f t="shared" ca="1" si="18"/>
        <v>0</v>
      </c>
      <c r="O182" s="125">
        <f t="array" aca="1" ref="O182" ca="1">IF($A182="S",VTOTALBM,IF($A182=0,0,ROUND(SomaAgrupBM,15-13*ORÇAMENTO!$AF$11)))</f>
        <v>0</v>
      </c>
      <c r="Q182" s="337"/>
      <c r="R182" s="338"/>
      <c r="T182" s="117" t="str">
        <f t="shared" ca="1" si="19"/>
        <v/>
      </c>
      <c r="U182" s="163" t="str">
        <f t="shared" ca="1" si="20"/>
        <v/>
      </c>
      <c r="V182" s="164" t="str">
        <f t="array" aca="1" ref="V182" ca="1">IF(AND($W182&gt;0,RegimeExecucao="Unitário"),$F182,"")</f>
        <v/>
      </c>
      <c r="W182" s="453">
        <f t="array" aca="1" ref="W182" ca="1">IF($Y182&gt;0,CHOOSE(MATCH(RegimeExecucao,{"Unitário","Global"},0),IF($A182="S",$Y182/$X182,""),($Y182/$X182)*100),0)</f>
        <v>0</v>
      </c>
      <c r="X182" s="339" t="str">
        <f t="array" aca="1" ref="X182" ca="1">IF($Y182&gt;0,CHOOSE(MATCH(RegimeExecucao,{"Unitário","Global"},0),IF($A182="S",ROUND($H182,ORÇAMENTO!$AF$10),""),ROUND($I182,ORÇAMENTO!$AF$11)),"")</f>
        <v/>
      </c>
      <c r="Y182" s="339">
        <f t="shared" ca="1" si="21"/>
        <v>0</v>
      </c>
      <c r="Z182" s="472"/>
      <c r="AB182" s="337"/>
      <c r="AC182" s="437"/>
      <c r="AD182" s="437"/>
      <c r="AE182" s="437"/>
      <c r="AF182" s="437"/>
      <c r="AG182" s="437"/>
      <c r="AH182" s="437"/>
      <c r="AI182" s="437"/>
      <c r="AJ182" s="437"/>
      <c r="AK182" s="437"/>
      <c r="AL182" s="437"/>
      <c r="AM182" s="338"/>
      <c r="AO182" s="696">
        <f t="array" aca="1" ref="AO182" ca="1">IF($A182="S",IF(BM!$I182=0,0,CHOOSE(MATCH(RegimeExecucao,{"Global","Unitário"},0),ROUND(ROUND(BM.MEDAcumulado,15-13*BM!$A$9)/100*BM!$I182,15-13*ORÇAMENTO!$AF$11),ROUND(ROUND(BM.MEDAcumulado,15-13*BM!$A$9)*ROUND(BM!$H182,15-13*ORÇAMENTO!$AF$10),15-13*ORÇAMENTO!$AF$11))),IF($A182=0,0,ROUND(SomaAgrupBM,15-13*ORÇAMENTO!$AF$11)))</f>
        <v>0</v>
      </c>
    </row>
    <row r="183" spans="1:41" s="696" customFormat="1" ht="25.5" x14ac:dyDescent="0.2">
      <c r="A183" s="696" t="str">
        <f ca="1">ORÇAMENTO!C183</f>
        <v>S</v>
      </c>
      <c r="B183" s="696">
        <f ca="1">ORÇAMENTO!D183</f>
        <v>0</v>
      </c>
      <c r="C183" s="114" t="str">
        <f t="shared" ca="1" si="15"/>
        <v>F</v>
      </c>
      <c r="D183" s="117" t="str">
        <f ca="1">ORÇAMENTO!O183</f>
        <v>1.29.2.</v>
      </c>
      <c r="E183" s="163" t="str">
        <f t="shared" ca="1" si="16"/>
        <v>FURO EM CAIXA D'ÁGUA COM ESPESSURA DE 2 ATÉ 5 MM E DIÂMETRO DE 25 MM. AF_06/2021</v>
      </c>
      <c r="F183" s="164" t="str">
        <f t="array" aca="1" ref="F183" ca="1">IF(RegimeExecucao="Global","",ORÇAMENTO.Unidade)</f>
        <v>UN</v>
      </c>
      <c r="G183" s="122">
        <f t="array" aca="1" ref="G183" ca="1">IF(RegimeExecucao="Global","",ORÇAMENTO!T183)</f>
        <v>20</v>
      </c>
      <c r="H183" s="122">
        <f t="array" aca="1" ref="H183" ca="1">IF(RegimeExecucao="Global","",ORÇAMENTO!W183)</f>
        <v>5.32</v>
      </c>
      <c r="I183" s="125">
        <f ca="1">ORÇAMENTO!X183</f>
        <v>106.4</v>
      </c>
      <c r="J183" s="333">
        <f t="array" aca="1" ref="J183" ca="1">IF($A183="S",IF(CAIXA.Modo,BM.AFAnterior,BM.MEDAnterior),IF(AND(RegimeExecucao="Global",$I183&gt;0,COUNTIF($AB$13:$AM$13,BM.medicao-1)&gt;0),M183/$I183*100,0))</f>
        <v>0</v>
      </c>
      <c r="K183" s="122">
        <f t="shared" ca="1" si="17"/>
        <v>0</v>
      </c>
      <c r="L183" s="334">
        <f t="array" aca="1" ref="L183" ca="1">IF($A183="S",IF(CAIXA.Modo,BM.AFAcumulado,BM.MEDAcumulado),IF(AND(RegimeExecucao="Global",$I183&gt;0,COUNTIF($AB$13:$AM$13,BM.medicao)&gt;0),O183/$I183*100,0))</f>
        <v>0</v>
      </c>
      <c r="M183" s="335">
        <f t="array" aca="1" ref="M183" ca="1">IF($A183="S",VTOTALBM,IF($A183=0,0,ROUND(SomaAgrupBM,15-13*ORÇAMENTO!$AF$11)))</f>
        <v>0</v>
      </c>
      <c r="N183" s="336">
        <f t="shared" ca="1" si="18"/>
        <v>0</v>
      </c>
      <c r="O183" s="125">
        <f t="array" aca="1" ref="O183" ca="1">IF($A183="S",VTOTALBM,IF($A183=0,0,ROUND(SomaAgrupBM,15-13*ORÇAMENTO!$AF$11)))</f>
        <v>0</v>
      </c>
      <c r="Q183" s="337"/>
      <c r="R183" s="338"/>
      <c r="T183" s="117" t="str">
        <f t="shared" ca="1" si="19"/>
        <v/>
      </c>
      <c r="U183" s="163" t="str">
        <f t="shared" ca="1" si="20"/>
        <v/>
      </c>
      <c r="V183" s="164" t="str">
        <f t="array" aca="1" ref="V183" ca="1">IF(AND($W183&gt;0,RegimeExecucao="Unitário"),$F183,"")</f>
        <v/>
      </c>
      <c r="W183" s="453">
        <f t="array" aca="1" ref="W183" ca="1">IF($Y183&gt;0,CHOOSE(MATCH(RegimeExecucao,{"Unitário","Global"},0),IF($A183="S",$Y183/$X183,""),($Y183/$X183)*100),0)</f>
        <v>0</v>
      </c>
      <c r="X183" s="339" t="str">
        <f t="array" aca="1" ref="X183" ca="1">IF($Y183&gt;0,CHOOSE(MATCH(RegimeExecucao,{"Unitário","Global"},0),IF($A183="S",ROUND($H183,ORÇAMENTO!$AF$10),""),ROUND($I183,ORÇAMENTO!$AF$11)),"")</f>
        <v/>
      </c>
      <c r="Y183" s="339">
        <f t="shared" ca="1" si="21"/>
        <v>0</v>
      </c>
      <c r="Z183" s="472"/>
      <c r="AB183" s="337"/>
      <c r="AC183" s="437"/>
      <c r="AD183" s="437"/>
      <c r="AE183" s="437"/>
      <c r="AF183" s="437"/>
      <c r="AG183" s="437"/>
      <c r="AH183" s="437"/>
      <c r="AI183" s="437"/>
      <c r="AJ183" s="437"/>
      <c r="AK183" s="437"/>
      <c r="AL183" s="437"/>
      <c r="AM183" s="338"/>
      <c r="AO183" s="696">
        <f t="array" aca="1" ref="AO183" ca="1">IF($A183="S",IF(BM!$I183=0,0,CHOOSE(MATCH(RegimeExecucao,{"Global","Unitário"},0),ROUND(ROUND(BM.MEDAcumulado,15-13*BM!$A$9)/100*BM!$I183,15-13*ORÇAMENTO!$AF$11),ROUND(ROUND(BM.MEDAcumulado,15-13*BM!$A$9)*ROUND(BM!$H183,15-13*ORÇAMENTO!$AF$10),15-13*ORÇAMENTO!$AF$11))),IF($A183=0,0,ROUND(SomaAgrupBM,15-13*ORÇAMENTO!$AF$11)))</f>
        <v>0</v>
      </c>
    </row>
    <row r="184" spans="1:41" s="696" customFormat="1" ht="25.5" x14ac:dyDescent="0.2">
      <c r="A184" s="696" t="str">
        <f ca="1">ORÇAMENTO!C184</f>
        <v>S</v>
      </c>
      <c r="B184" s="696">
        <f ca="1">ORÇAMENTO!D184</f>
        <v>0</v>
      </c>
      <c r="C184" s="114" t="str">
        <f t="shared" ca="1" si="15"/>
        <v>F</v>
      </c>
      <c r="D184" s="117" t="str">
        <f ca="1">ORÇAMENTO!O184</f>
        <v>1.29.3.</v>
      </c>
      <c r="E184" s="163" t="str">
        <f t="shared" ca="1" si="16"/>
        <v>FURO EM CAIXA D'ÁGUA COM ESPESSURA DE 2 ATÉ 5 MM E DIÂMETRO DE 32 MM. AF_06/2021</v>
      </c>
      <c r="F184" s="164" t="str">
        <f t="array" aca="1" ref="F184" ca="1">IF(RegimeExecucao="Global","",ORÇAMENTO.Unidade)</f>
        <v>UN</v>
      </c>
      <c r="G184" s="122">
        <f t="array" aca="1" ref="G184" ca="1">IF(RegimeExecucao="Global","",ORÇAMENTO!T184)</f>
        <v>40</v>
      </c>
      <c r="H184" s="122">
        <f t="array" aca="1" ref="H184" ca="1">IF(RegimeExecucao="Global","",ORÇAMENTO!W184)</f>
        <v>5.99</v>
      </c>
      <c r="I184" s="125">
        <f ca="1">ORÇAMENTO!X184</f>
        <v>239.6</v>
      </c>
      <c r="J184" s="333">
        <f t="array" aca="1" ref="J184" ca="1">IF($A184="S",IF(CAIXA.Modo,BM.AFAnterior,BM.MEDAnterior),IF(AND(RegimeExecucao="Global",$I184&gt;0,COUNTIF($AB$13:$AM$13,BM.medicao-1)&gt;0),M184/$I184*100,0))</f>
        <v>0</v>
      </c>
      <c r="K184" s="122">
        <f t="shared" ca="1" si="17"/>
        <v>0</v>
      </c>
      <c r="L184" s="334">
        <f t="array" aca="1" ref="L184" ca="1">IF($A184="S",IF(CAIXA.Modo,BM.AFAcumulado,BM.MEDAcumulado),IF(AND(RegimeExecucao="Global",$I184&gt;0,COUNTIF($AB$13:$AM$13,BM.medicao)&gt;0),O184/$I184*100,0))</f>
        <v>0</v>
      </c>
      <c r="M184" s="335">
        <f t="array" aca="1" ref="M184" ca="1">IF($A184="S",VTOTALBM,IF($A184=0,0,ROUND(SomaAgrupBM,15-13*ORÇAMENTO!$AF$11)))</f>
        <v>0</v>
      </c>
      <c r="N184" s="336">
        <f t="shared" ca="1" si="18"/>
        <v>0</v>
      </c>
      <c r="O184" s="125">
        <f t="array" aca="1" ref="O184" ca="1">IF($A184="S",VTOTALBM,IF($A184=0,0,ROUND(SomaAgrupBM,15-13*ORÇAMENTO!$AF$11)))</f>
        <v>0</v>
      </c>
      <c r="Q184" s="337"/>
      <c r="R184" s="338"/>
      <c r="T184" s="117" t="str">
        <f t="shared" ca="1" si="19"/>
        <v/>
      </c>
      <c r="U184" s="163" t="str">
        <f t="shared" ca="1" si="20"/>
        <v/>
      </c>
      <c r="V184" s="164" t="str">
        <f t="array" aca="1" ref="V184" ca="1">IF(AND($W184&gt;0,RegimeExecucao="Unitário"),$F184,"")</f>
        <v/>
      </c>
      <c r="W184" s="453">
        <f t="array" aca="1" ref="W184" ca="1">IF($Y184&gt;0,CHOOSE(MATCH(RegimeExecucao,{"Unitário","Global"},0),IF($A184="S",$Y184/$X184,""),($Y184/$X184)*100),0)</f>
        <v>0</v>
      </c>
      <c r="X184" s="339" t="str">
        <f t="array" aca="1" ref="X184" ca="1">IF($Y184&gt;0,CHOOSE(MATCH(RegimeExecucao,{"Unitário","Global"},0),IF($A184="S",ROUND($H184,ORÇAMENTO!$AF$10),""),ROUND($I184,ORÇAMENTO!$AF$11)),"")</f>
        <v/>
      </c>
      <c r="Y184" s="339">
        <f t="shared" ca="1" si="21"/>
        <v>0</v>
      </c>
      <c r="Z184" s="472"/>
      <c r="AB184" s="337"/>
      <c r="AC184" s="437"/>
      <c r="AD184" s="437"/>
      <c r="AE184" s="437"/>
      <c r="AF184" s="437"/>
      <c r="AG184" s="437"/>
      <c r="AH184" s="437"/>
      <c r="AI184" s="437"/>
      <c r="AJ184" s="437"/>
      <c r="AK184" s="437"/>
      <c r="AL184" s="437"/>
      <c r="AM184" s="338"/>
      <c r="AO184" s="696">
        <f t="array" aca="1" ref="AO184" ca="1">IF($A184="S",IF(BM!$I184=0,0,CHOOSE(MATCH(RegimeExecucao,{"Global","Unitário"},0),ROUND(ROUND(BM.MEDAcumulado,15-13*BM!$A$9)/100*BM!$I184,15-13*ORÇAMENTO!$AF$11),ROUND(ROUND(BM.MEDAcumulado,15-13*BM!$A$9)*ROUND(BM!$H184,15-13*ORÇAMENTO!$AF$10),15-13*ORÇAMENTO!$AF$11))),IF($A184=0,0,ROUND(SomaAgrupBM,15-13*ORÇAMENTO!$AF$11)))</f>
        <v>0</v>
      </c>
    </row>
    <row r="185" spans="1:41" s="696" customFormat="1" ht="38.25" x14ac:dyDescent="0.2">
      <c r="A185" s="696" t="str">
        <f ca="1">ORÇAMENTO!C185</f>
        <v>S</v>
      </c>
      <c r="B185" s="696">
        <f ca="1">ORÇAMENTO!D185</f>
        <v>0</v>
      </c>
      <c r="C185" s="114" t="str">
        <f t="shared" ca="1" si="15"/>
        <v>F</v>
      </c>
      <c r="D185" s="117" t="str">
        <f ca="1">ORÇAMENTO!O185</f>
        <v>1.29.4.</v>
      </c>
      <c r="E185" s="163" t="str">
        <f t="shared" ca="1" si="16"/>
        <v>ADAPTADOR COM FLANGE E ANEL DE VEDAÇÃO, PVC, SOLDÁVEL, DN 25 MM X 3/4", INSTALADO EM RESERVAÇÃO PREDIAL DE ÁGUA - FORNECIMENTO E INSTALAÇÃO. AF_04/2024</v>
      </c>
      <c r="F185" s="164" t="str">
        <f t="array" aca="1" ref="F185" ca="1">IF(RegimeExecucao="Global","",ORÇAMENTO.Unidade)</f>
        <v>UN</v>
      </c>
      <c r="G185" s="122">
        <f t="array" aca="1" ref="G185" ca="1">IF(RegimeExecucao="Global","",ORÇAMENTO!T185)</f>
        <v>20</v>
      </c>
      <c r="H185" s="122">
        <f t="array" aca="1" ref="H185" ca="1">IF(RegimeExecucao="Global","",ORÇAMENTO!W185)</f>
        <v>23.23</v>
      </c>
      <c r="I185" s="125">
        <f ca="1">ORÇAMENTO!X185</f>
        <v>464.6</v>
      </c>
      <c r="J185" s="333">
        <f t="array" aca="1" ref="J185" ca="1">IF($A185="S",IF(CAIXA.Modo,BM.AFAnterior,BM.MEDAnterior),IF(AND(RegimeExecucao="Global",$I185&gt;0,COUNTIF($AB$13:$AM$13,BM.medicao-1)&gt;0),M185/$I185*100,0))</f>
        <v>0</v>
      </c>
      <c r="K185" s="122">
        <f t="shared" ca="1" si="17"/>
        <v>0</v>
      </c>
      <c r="L185" s="334">
        <f t="array" aca="1" ref="L185" ca="1">IF($A185="S",IF(CAIXA.Modo,BM.AFAcumulado,BM.MEDAcumulado),IF(AND(RegimeExecucao="Global",$I185&gt;0,COUNTIF($AB$13:$AM$13,BM.medicao)&gt;0),O185/$I185*100,0))</f>
        <v>0</v>
      </c>
      <c r="M185" s="335">
        <f t="array" aca="1" ref="M185" ca="1">IF($A185="S",VTOTALBM,IF($A185=0,0,ROUND(SomaAgrupBM,15-13*ORÇAMENTO!$AF$11)))</f>
        <v>0</v>
      </c>
      <c r="N185" s="336">
        <f t="shared" ca="1" si="18"/>
        <v>0</v>
      </c>
      <c r="O185" s="125">
        <f t="array" aca="1" ref="O185" ca="1">IF($A185="S",VTOTALBM,IF($A185=0,0,ROUND(SomaAgrupBM,15-13*ORÇAMENTO!$AF$11)))</f>
        <v>0</v>
      </c>
      <c r="Q185" s="337"/>
      <c r="R185" s="338"/>
      <c r="T185" s="117" t="str">
        <f t="shared" ca="1" si="19"/>
        <v/>
      </c>
      <c r="U185" s="163" t="str">
        <f t="shared" ca="1" si="20"/>
        <v/>
      </c>
      <c r="V185" s="164" t="str">
        <f t="array" aca="1" ref="V185" ca="1">IF(AND($W185&gt;0,RegimeExecucao="Unitário"),$F185,"")</f>
        <v/>
      </c>
      <c r="W185" s="453">
        <f t="array" aca="1" ref="W185" ca="1">IF($Y185&gt;0,CHOOSE(MATCH(RegimeExecucao,{"Unitário","Global"},0),IF($A185="S",$Y185/$X185,""),($Y185/$X185)*100),0)</f>
        <v>0</v>
      </c>
      <c r="X185" s="339" t="str">
        <f t="array" aca="1" ref="X185" ca="1">IF($Y185&gt;0,CHOOSE(MATCH(RegimeExecucao,{"Unitário","Global"},0),IF($A185="S",ROUND($H185,ORÇAMENTO!$AF$10),""),ROUND($I185,ORÇAMENTO!$AF$11)),"")</f>
        <v/>
      </c>
      <c r="Y185" s="339">
        <f t="shared" ca="1" si="21"/>
        <v>0</v>
      </c>
      <c r="Z185" s="472"/>
      <c r="AB185" s="337"/>
      <c r="AC185" s="437"/>
      <c r="AD185" s="437"/>
      <c r="AE185" s="437"/>
      <c r="AF185" s="437"/>
      <c r="AG185" s="437"/>
      <c r="AH185" s="437"/>
      <c r="AI185" s="437"/>
      <c r="AJ185" s="437"/>
      <c r="AK185" s="437"/>
      <c r="AL185" s="437"/>
      <c r="AM185" s="338"/>
      <c r="AO185" s="696">
        <f t="array" aca="1" ref="AO185" ca="1">IF($A185="S",IF(BM!$I185=0,0,CHOOSE(MATCH(RegimeExecucao,{"Global","Unitário"},0),ROUND(ROUND(BM.MEDAcumulado,15-13*BM!$A$9)/100*BM!$I185,15-13*ORÇAMENTO!$AF$11),ROUND(ROUND(BM.MEDAcumulado,15-13*BM!$A$9)*ROUND(BM!$H185,15-13*ORÇAMENTO!$AF$10),15-13*ORÇAMENTO!$AF$11))),IF($A185=0,0,ROUND(SomaAgrupBM,15-13*ORÇAMENTO!$AF$11)))</f>
        <v>0</v>
      </c>
    </row>
    <row r="186" spans="1:41" s="696" customFormat="1" ht="38.25" x14ac:dyDescent="0.2">
      <c r="A186" s="696" t="str">
        <f ca="1">ORÇAMENTO!C186</f>
        <v>S</v>
      </c>
      <c r="B186" s="696">
        <f ca="1">ORÇAMENTO!D186</f>
        <v>0</v>
      </c>
      <c r="C186" s="114" t="str">
        <f t="shared" ca="1" si="15"/>
        <v>F</v>
      </c>
      <c r="D186" s="117" t="str">
        <f ca="1">ORÇAMENTO!O186</f>
        <v>1.29.5.</v>
      </c>
      <c r="E186" s="163" t="str">
        <f t="shared" ca="1" si="16"/>
        <v>ADAPTADOR COM FLANGE E ANEL DE VEDAÇÃO, PVC, SOLDÁVEL, DN 32 MM X 1", INSTALADO EM RESERVAÇÃO PREDIAL DE ÁGUA - FORNECIMENTO E INSTALAÇÃO. AF_04/2024</v>
      </c>
      <c r="F186" s="164" t="str">
        <f t="array" aca="1" ref="F186" ca="1">IF(RegimeExecucao="Global","",ORÇAMENTO.Unidade)</f>
        <v>UN</v>
      </c>
      <c r="G186" s="122">
        <f t="array" aca="1" ref="G186" ca="1">IF(RegimeExecucao="Global","",ORÇAMENTO!T186)</f>
        <v>40</v>
      </c>
      <c r="H186" s="122">
        <f t="array" aca="1" ref="H186" ca="1">IF(RegimeExecucao="Global","",ORÇAMENTO!W186)</f>
        <v>30.89</v>
      </c>
      <c r="I186" s="125">
        <f ca="1">ORÇAMENTO!X186</f>
        <v>1235.5999999999999</v>
      </c>
      <c r="J186" s="333">
        <f t="array" aca="1" ref="J186" ca="1">IF($A186="S",IF(CAIXA.Modo,BM.AFAnterior,BM.MEDAnterior),IF(AND(RegimeExecucao="Global",$I186&gt;0,COUNTIF($AB$13:$AM$13,BM.medicao-1)&gt;0),M186/$I186*100,0))</f>
        <v>0</v>
      </c>
      <c r="K186" s="122">
        <f t="shared" ca="1" si="17"/>
        <v>0</v>
      </c>
      <c r="L186" s="334">
        <f t="array" aca="1" ref="L186" ca="1">IF($A186="S",IF(CAIXA.Modo,BM.AFAcumulado,BM.MEDAcumulado),IF(AND(RegimeExecucao="Global",$I186&gt;0,COUNTIF($AB$13:$AM$13,BM.medicao)&gt;0),O186/$I186*100,0))</f>
        <v>0</v>
      </c>
      <c r="M186" s="335">
        <f t="array" aca="1" ref="M186" ca="1">IF($A186="S",VTOTALBM,IF($A186=0,0,ROUND(SomaAgrupBM,15-13*ORÇAMENTO!$AF$11)))</f>
        <v>0</v>
      </c>
      <c r="N186" s="336">
        <f t="shared" ca="1" si="18"/>
        <v>0</v>
      </c>
      <c r="O186" s="125">
        <f t="array" aca="1" ref="O186" ca="1">IF($A186="S",VTOTALBM,IF($A186=0,0,ROUND(SomaAgrupBM,15-13*ORÇAMENTO!$AF$11)))</f>
        <v>0</v>
      </c>
      <c r="Q186" s="337"/>
      <c r="R186" s="338"/>
      <c r="T186" s="117" t="str">
        <f t="shared" ca="1" si="19"/>
        <v/>
      </c>
      <c r="U186" s="163" t="str">
        <f t="shared" ca="1" si="20"/>
        <v/>
      </c>
      <c r="V186" s="164" t="str">
        <f t="array" aca="1" ref="V186" ca="1">IF(AND($W186&gt;0,RegimeExecucao="Unitário"),$F186,"")</f>
        <v/>
      </c>
      <c r="W186" s="453">
        <f t="array" aca="1" ref="W186" ca="1">IF($Y186&gt;0,CHOOSE(MATCH(RegimeExecucao,{"Unitário","Global"},0),IF($A186="S",$Y186/$X186,""),($Y186/$X186)*100),0)</f>
        <v>0</v>
      </c>
      <c r="X186" s="339" t="str">
        <f t="array" aca="1" ref="X186" ca="1">IF($Y186&gt;0,CHOOSE(MATCH(RegimeExecucao,{"Unitário","Global"},0),IF($A186="S",ROUND($H186,ORÇAMENTO!$AF$10),""),ROUND($I186,ORÇAMENTO!$AF$11)),"")</f>
        <v/>
      </c>
      <c r="Y186" s="339">
        <f t="shared" ca="1" si="21"/>
        <v>0</v>
      </c>
      <c r="Z186" s="472"/>
      <c r="AB186" s="337"/>
      <c r="AC186" s="437"/>
      <c r="AD186" s="437"/>
      <c r="AE186" s="437"/>
      <c r="AF186" s="437"/>
      <c r="AG186" s="437"/>
      <c r="AH186" s="437"/>
      <c r="AI186" s="437"/>
      <c r="AJ186" s="437"/>
      <c r="AK186" s="437"/>
      <c r="AL186" s="437"/>
      <c r="AM186" s="338"/>
      <c r="AO186" s="696">
        <f t="array" aca="1" ref="AO186" ca="1">IF($A186="S",IF(BM!$I186=0,0,CHOOSE(MATCH(RegimeExecucao,{"Global","Unitário"},0),ROUND(ROUND(BM.MEDAcumulado,15-13*BM!$A$9)/100*BM!$I186,15-13*ORÇAMENTO!$AF$11),ROUND(ROUND(BM.MEDAcumulado,15-13*BM!$A$9)*ROUND(BM!$H186,15-13*ORÇAMENTO!$AF$10),15-13*ORÇAMENTO!$AF$11))),IF($A186=0,0,ROUND(SomaAgrupBM,15-13*ORÇAMENTO!$AF$11)))</f>
        <v>0</v>
      </c>
    </row>
    <row r="187" spans="1:41" s="696" customFormat="1" ht="25.5" x14ac:dyDescent="0.2">
      <c r="A187" s="696" t="str">
        <f ca="1">ORÇAMENTO!C187</f>
        <v>S</v>
      </c>
      <c r="B187" s="696">
        <f ca="1">ORÇAMENTO!D187</f>
        <v>0</v>
      </c>
      <c r="C187" s="114" t="str">
        <f t="shared" ca="1" si="15"/>
        <v>F</v>
      </c>
      <c r="D187" s="117" t="str">
        <f ca="1">ORÇAMENTO!O187</f>
        <v>1.29.6.</v>
      </c>
      <c r="E187" s="163" t="str">
        <f t="shared" ca="1" si="16"/>
        <v>TORNEIRA DE BOIA PARA CAIXA D'ÁGUA, ROSCÁVEL, 3/4" - FORNECIMENTO E INSTALAÇÃO. AF_08/2021</v>
      </c>
      <c r="F187" s="164" t="str">
        <f t="array" aca="1" ref="F187" ca="1">IF(RegimeExecucao="Global","",ORÇAMENTO.Unidade)</f>
        <v>UN</v>
      </c>
      <c r="G187" s="122">
        <f t="array" aca="1" ref="G187" ca="1">IF(RegimeExecucao="Global","",ORÇAMENTO!T187)</f>
        <v>20</v>
      </c>
      <c r="H187" s="122">
        <f t="array" aca="1" ref="H187" ca="1">IF(RegimeExecucao="Global","",ORÇAMENTO!W187)</f>
        <v>42.13</v>
      </c>
      <c r="I187" s="125">
        <f ca="1">ORÇAMENTO!X187</f>
        <v>842.6</v>
      </c>
      <c r="J187" s="333">
        <f t="array" aca="1" ref="J187" ca="1">IF($A187="S",IF(CAIXA.Modo,BM.AFAnterior,BM.MEDAnterior),IF(AND(RegimeExecucao="Global",$I187&gt;0,COUNTIF($AB$13:$AM$13,BM.medicao-1)&gt;0),M187/$I187*100,0))</f>
        <v>0</v>
      </c>
      <c r="K187" s="122">
        <f t="shared" ca="1" si="17"/>
        <v>0</v>
      </c>
      <c r="L187" s="334">
        <f t="array" aca="1" ref="L187" ca="1">IF($A187="S",IF(CAIXA.Modo,BM.AFAcumulado,BM.MEDAcumulado),IF(AND(RegimeExecucao="Global",$I187&gt;0,COUNTIF($AB$13:$AM$13,BM.medicao)&gt;0),O187/$I187*100,0))</f>
        <v>0</v>
      </c>
      <c r="M187" s="335">
        <f t="array" aca="1" ref="M187" ca="1">IF($A187="S",VTOTALBM,IF($A187=0,0,ROUND(SomaAgrupBM,15-13*ORÇAMENTO!$AF$11)))</f>
        <v>0</v>
      </c>
      <c r="N187" s="336">
        <f t="shared" ca="1" si="18"/>
        <v>0</v>
      </c>
      <c r="O187" s="125">
        <f t="array" aca="1" ref="O187" ca="1">IF($A187="S",VTOTALBM,IF($A187=0,0,ROUND(SomaAgrupBM,15-13*ORÇAMENTO!$AF$11)))</f>
        <v>0</v>
      </c>
      <c r="Q187" s="337"/>
      <c r="R187" s="338"/>
      <c r="T187" s="117" t="str">
        <f t="shared" ca="1" si="19"/>
        <v/>
      </c>
      <c r="U187" s="163" t="str">
        <f t="shared" ca="1" si="20"/>
        <v/>
      </c>
      <c r="V187" s="164" t="str">
        <f t="array" aca="1" ref="V187" ca="1">IF(AND($W187&gt;0,RegimeExecucao="Unitário"),$F187,"")</f>
        <v/>
      </c>
      <c r="W187" s="453">
        <f t="array" aca="1" ref="W187" ca="1">IF($Y187&gt;0,CHOOSE(MATCH(RegimeExecucao,{"Unitário","Global"},0),IF($A187="S",$Y187/$X187,""),($Y187/$X187)*100),0)</f>
        <v>0</v>
      </c>
      <c r="X187" s="339" t="str">
        <f t="array" aca="1" ref="X187" ca="1">IF($Y187&gt;0,CHOOSE(MATCH(RegimeExecucao,{"Unitário","Global"},0),IF($A187="S",ROUND($H187,ORÇAMENTO!$AF$10),""),ROUND($I187,ORÇAMENTO!$AF$11)),"")</f>
        <v/>
      </c>
      <c r="Y187" s="339">
        <f t="shared" ca="1" si="21"/>
        <v>0</v>
      </c>
      <c r="Z187" s="472"/>
      <c r="AB187" s="337"/>
      <c r="AC187" s="437"/>
      <c r="AD187" s="437"/>
      <c r="AE187" s="437"/>
      <c r="AF187" s="437"/>
      <c r="AG187" s="437"/>
      <c r="AH187" s="437"/>
      <c r="AI187" s="437"/>
      <c r="AJ187" s="437"/>
      <c r="AK187" s="437"/>
      <c r="AL187" s="437"/>
      <c r="AM187" s="338"/>
      <c r="AO187" s="696">
        <f t="array" aca="1" ref="AO187" ca="1">IF($A187="S",IF(BM!$I187=0,0,CHOOSE(MATCH(RegimeExecucao,{"Global","Unitário"},0),ROUND(ROUND(BM.MEDAcumulado,15-13*BM!$A$9)/100*BM!$I187,15-13*ORÇAMENTO!$AF$11),ROUND(ROUND(BM.MEDAcumulado,15-13*BM!$A$9)*ROUND(BM!$H187,15-13*ORÇAMENTO!$AF$10),15-13*ORÇAMENTO!$AF$11))),IF($A187=0,0,ROUND(SomaAgrupBM,15-13*ORÇAMENTO!$AF$11)))</f>
        <v>0</v>
      </c>
    </row>
    <row r="188" spans="1:41" s="696" customFormat="1" ht="38.25" x14ac:dyDescent="0.2">
      <c r="A188" s="696" t="str">
        <f ca="1">ORÇAMENTO!C188</f>
        <v>S</v>
      </c>
      <c r="B188" s="696">
        <f ca="1">ORÇAMENTO!D188</f>
        <v>0</v>
      </c>
      <c r="C188" s="114" t="str">
        <f t="shared" ca="1" si="15"/>
        <v>F</v>
      </c>
      <c r="D188" s="117" t="str">
        <f ca="1">ORÇAMENTO!O188</f>
        <v>1.29.7.</v>
      </c>
      <c r="E188" s="163" t="str">
        <f t="shared" ca="1" si="16"/>
        <v>JOELHO 90 GRAUS, PVC, SOLDÁVEL, DN 25MM, INSTALADO EM RAMAL DE DISTRIBUIÇÃO DE ÁGUA - FORNECIMENTO E INSTALAÇÃO. AF_06/2022</v>
      </c>
      <c r="F188" s="164" t="str">
        <f t="array" aca="1" ref="F188" ca="1">IF(RegimeExecucao="Global","",ORÇAMENTO.Unidade)</f>
        <v>UN</v>
      </c>
      <c r="G188" s="122">
        <f t="array" aca="1" ref="G188" ca="1">IF(RegimeExecucao="Global","",ORÇAMENTO!T188)</f>
        <v>160</v>
      </c>
      <c r="H188" s="122">
        <f t="array" aca="1" ref="H188" ca="1">IF(RegimeExecucao="Global","",ORÇAMENTO!W188)</f>
        <v>10.69</v>
      </c>
      <c r="I188" s="125">
        <f ca="1">ORÇAMENTO!X188</f>
        <v>1710.4</v>
      </c>
      <c r="J188" s="333">
        <f t="array" aca="1" ref="J188" ca="1">IF($A188="S",IF(CAIXA.Modo,BM.AFAnterior,BM.MEDAnterior),IF(AND(RegimeExecucao="Global",$I188&gt;0,COUNTIF($AB$13:$AM$13,BM.medicao-1)&gt;0),M188/$I188*100,0))</f>
        <v>0</v>
      </c>
      <c r="K188" s="122">
        <f t="shared" ca="1" si="17"/>
        <v>0</v>
      </c>
      <c r="L188" s="334">
        <f t="array" aca="1" ref="L188" ca="1">IF($A188="S",IF(CAIXA.Modo,BM.AFAcumulado,BM.MEDAcumulado),IF(AND(RegimeExecucao="Global",$I188&gt;0,COUNTIF($AB$13:$AM$13,BM.medicao)&gt;0),O188/$I188*100,0))</f>
        <v>0</v>
      </c>
      <c r="M188" s="335">
        <f t="array" aca="1" ref="M188" ca="1">IF($A188="S",VTOTALBM,IF($A188=0,0,ROUND(SomaAgrupBM,15-13*ORÇAMENTO!$AF$11)))</f>
        <v>0</v>
      </c>
      <c r="N188" s="336">
        <f t="shared" ca="1" si="18"/>
        <v>0</v>
      </c>
      <c r="O188" s="125">
        <f t="array" aca="1" ref="O188" ca="1">IF($A188="S",VTOTALBM,IF($A188=0,0,ROUND(SomaAgrupBM,15-13*ORÇAMENTO!$AF$11)))</f>
        <v>0</v>
      </c>
      <c r="Q188" s="337"/>
      <c r="R188" s="338"/>
      <c r="T188" s="117" t="str">
        <f t="shared" ca="1" si="19"/>
        <v/>
      </c>
      <c r="U188" s="163" t="str">
        <f t="shared" ca="1" si="20"/>
        <v/>
      </c>
      <c r="V188" s="164" t="str">
        <f t="array" aca="1" ref="V188" ca="1">IF(AND($W188&gt;0,RegimeExecucao="Unitário"),$F188,"")</f>
        <v/>
      </c>
      <c r="W188" s="453">
        <f t="array" aca="1" ref="W188" ca="1">IF($Y188&gt;0,CHOOSE(MATCH(RegimeExecucao,{"Unitário","Global"},0),IF($A188="S",$Y188/$X188,""),($Y188/$X188)*100),0)</f>
        <v>0</v>
      </c>
      <c r="X188" s="339" t="str">
        <f t="array" aca="1" ref="X188" ca="1">IF($Y188&gt;0,CHOOSE(MATCH(RegimeExecucao,{"Unitário","Global"},0),IF($A188="S",ROUND($H188,ORÇAMENTO!$AF$10),""),ROUND($I188,ORÇAMENTO!$AF$11)),"")</f>
        <v/>
      </c>
      <c r="Y188" s="339">
        <f t="shared" ca="1" si="21"/>
        <v>0</v>
      </c>
      <c r="Z188" s="472"/>
      <c r="AB188" s="337"/>
      <c r="AC188" s="437"/>
      <c r="AD188" s="437"/>
      <c r="AE188" s="437"/>
      <c r="AF188" s="437"/>
      <c r="AG188" s="437"/>
      <c r="AH188" s="437"/>
      <c r="AI188" s="437"/>
      <c r="AJ188" s="437"/>
      <c r="AK188" s="437"/>
      <c r="AL188" s="437"/>
      <c r="AM188" s="338"/>
      <c r="AO188" s="696">
        <f t="array" aca="1" ref="AO188" ca="1">IF($A188="S",IF(BM!$I188=0,0,CHOOSE(MATCH(RegimeExecucao,{"Global","Unitário"},0),ROUND(ROUND(BM.MEDAcumulado,15-13*BM!$A$9)/100*BM!$I188,15-13*ORÇAMENTO!$AF$11),ROUND(ROUND(BM.MEDAcumulado,15-13*BM!$A$9)*ROUND(BM!$H188,15-13*ORÇAMENTO!$AF$10),15-13*ORÇAMENTO!$AF$11))),IF($A188=0,0,ROUND(SomaAgrupBM,15-13*ORÇAMENTO!$AF$11)))</f>
        <v>0</v>
      </c>
    </row>
    <row r="189" spans="1:41" s="696" customFormat="1" ht="38.25" x14ac:dyDescent="0.2">
      <c r="A189" s="696" t="str">
        <f ca="1">ORÇAMENTO!C189</f>
        <v>S</v>
      </c>
      <c r="B189" s="696">
        <f ca="1">ORÇAMENTO!D189</f>
        <v>0</v>
      </c>
      <c r="C189" s="114" t="str">
        <f t="shared" ca="1" si="15"/>
        <v>F</v>
      </c>
      <c r="D189" s="117" t="str">
        <f ca="1">ORÇAMENTO!O189</f>
        <v>1.29.8.</v>
      </c>
      <c r="E189" s="163" t="str">
        <f t="shared" ca="1" si="16"/>
        <v>JOELHO 90 GRAUS, PVC, SOLDÁVEL, DN 32MM, INSTALADO EM RAMAL DE DISTRIBUIÇÃO DE ÁGUA - FORNECIMENTO E INSTALAÇÃO. AF_06/2022</v>
      </c>
      <c r="F189" s="164" t="str">
        <f t="array" aca="1" ref="F189" ca="1">IF(RegimeExecucao="Global","",ORÇAMENTO.Unidade)</f>
        <v>UN</v>
      </c>
      <c r="G189" s="122">
        <f t="array" aca="1" ref="G189" ca="1">IF(RegimeExecucao="Global","",ORÇAMENTO!T189)</f>
        <v>80</v>
      </c>
      <c r="H189" s="122">
        <f t="array" aca="1" ref="H189" ca="1">IF(RegimeExecucao="Global","",ORÇAMENTO!W189)</f>
        <v>14.79</v>
      </c>
      <c r="I189" s="125">
        <f ca="1">ORÇAMENTO!X189</f>
        <v>1183.2</v>
      </c>
      <c r="J189" s="333">
        <f t="array" aca="1" ref="J189" ca="1">IF($A189="S",IF(CAIXA.Modo,BM.AFAnterior,BM.MEDAnterior),IF(AND(RegimeExecucao="Global",$I189&gt;0,COUNTIF($AB$13:$AM$13,BM.medicao-1)&gt;0),M189/$I189*100,0))</f>
        <v>0</v>
      </c>
      <c r="K189" s="122">
        <f t="shared" ca="1" si="17"/>
        <v>0</v>
      </c>
      <c r="L189" s="334">
        <f t="array" aca="1" ref="L189" ca="1">IF($A189="S",IF(CAIXA.Modo,BM.AFAcumulado,BM.MEDAcumulado),IF(AND(RegimeExecucao="Global",$I189&gt;0,COUNTIF($AB$13:$AM$13,BM.medicao)&gt;0),O189/$I189*100,0))</f>
        <v>0</v>
      </c>
      <c r="M189" s="335">
        <f t="array" aca="1" ref="M189" ca="1">IF($A189="S",VTOTALBM,IF($A189=0,0,ROUND(SomaAgrupBM,15-13*ORÇAMENTO!$AF$11)))</f>
        <v>0</v>
      </c>
      <c r="N189" s="336">
        <f t="shared" ca="1" si="18"/>
        <v>0</v>
      </c>
      <c r="O189" s="125">
        <f t="array" aca="1" ref="O189" ca="1">IF($A189="S",VTOTALBM,IF($A189=0,0,ROUND(SomaAgrupBM,15-13*ORÇAMENTO!$AF$11)))</f>
        <v>0</v>
      </c>
      <c r="Q189" s="337"/>
      <c r="R189" s="338"/>
      <c r="T189" s="117" t="str">
        <f t="shared" ca="1" si="19"/>
        <v/>
      </c>
      <c r="U189" s="163" t="str">
        <f t="shared" ca="1" si="20"/>
        <v/>
      </c>
      <c r="V189" s="164" t="str">
        <f t="array" aca="1" ref="V189" ca="1">IF(AND($W189&gt;0,RegimeExecucao="Unitário"),$F189,"")</f>
        <v/>
      </c>
      <c r="W189" s="453">
        <f t="array" aca="1" ref="W189" ca="1">IF($Y189&gt;0,CHOOSE(MATCH(RegimeExecucao,{"Unitário","Global"},0),IF($A189="S",$Y189/$X189,""),($Y189/$X189)*100),0)</f>
        <v>0</v>
      </c>
      <c r="X189" s="339" t="str">
        <f t="array" aca="1" ref="X189" ca="1">IF($Y189&gt;0,CHOOSE(MATCH(RegimeExecucao,{"Unitário","Global"},0),IF($A189="S",ROUND($H189,ORÇAMENTO!$AF$10),""),ROUND($I189,ORÇAMENTO!$AF$11)),"")</f>
        <v/>
      </c>
      <c r="Y189" s="339">
        <f t="shared" ca="1" si="21"/>
        <v>0</v>
      </c>
      <c r="Z189" s="472"/>
      <c r="AB189" s="337"/>
      <c r="AC189" s="437"/>
      <c r="AD189" s="437"/>
      <c r="AE189" s="437"/>
      <c r="AF189" s="437"/>
      <c r="AG189" s="437"/>
      <c r="AH189" s="437"/>
      <c r="AI189" s="437"/>
      <c r="AJ189" s="437"/>
      <c r="AK189" s="437"/>
      <c r="AL189" s="437"/>
      <c r="AM189" s="338"/>
      <c r="AO189" s="696">
        <f t="array" aca="1" ref="AO189" ca="1">IF($A189="S",IF(BM!$I189=0,0,CHOOSE(MATCH(RegimeExecucao,{"Global","Unitário"},0),ROUND(ROUND(BM.MEDAcumulado,15-13*BM!$A$9)/100*BM!$I189,15-13*ORÇAMENTO!$AF$11),ROUND(ROUND(BM.MEDAcumulado,15-13*BM!$A$9)*ROUND(BM!$H189,15-13*ORÇAMENTO!$AF$10),15-13*ORÇAMENTO!$AF$11))),IF($A189=0,0,ROUND(SomaAgrupBM,15-13*ORÇAMENTO!$AF$11)))</f>
        <v>0</v>
      </c>
    </row>
    <row r="190" spans="1:41" s="696" customFormat="1" ht="38.25" x14ac:dyDescent="0.2">
      <c r="A190" s="696" t="str">
        <f ca="1">ORÇAMENTO!C190</f>
        <v>S</v>
      </c>
      <c r="B190" s="696">
        <f ca="1">ORÇAMENTO!D190</f>
        <v>0</v>
      </c>
      <c r="C190" s="114" t="str">
        <f t="shared" ca="1" si="15"/>
        <v>F</v>
      </c>
      <c r="D190" s="117" t="str">
        <f ca="1">ORÇAMENTO!O190</f>
        <v>1.29.9.</v>
      </c>
      <c r="E190" s="163" t="str">
        <f t="shared" ca="1" si="16"/>
        <v>JOELHO 45 GRAUS, PVC, SOLDÁVEL, DN 32MM, INSTALADO EM RAMAL DE DISTRIBUIÇÃO DE ÁGUA - FORNECIMENTO E INSTALAÇÃO. AF_06/2022</v>
      </c>
      <c r="F190" s="164" t="str">
        <f t="array" aca="1" ref="F190" ca="1">IF(RegimeExecucao="Global","",ORÇAMENTO.Unidade)</f>
        <v>UN</v>
      </c>
      <c r="G190" s="122">
        <f t="array" aca="1" ref="G190" ca="1">IF(RegimeExecucao="Global","",ORÇAMENTO!T190)</f>
        <v>20</v>
      </c>
      <c r="H190" s="122">
        <f t="array" aca="1" ref="H190" ca="1">IF(RegimeExecucao="Global","",ORÇAMENTO!W190)</f>
        <v>6.79</v>
      </c>
      <c r="I190" s="125">
        <f ca="1">ORÇAMENTO!X190</f>
        <v>135.80000000000001</v>
      </c>
      <c r="J190" s="333">
        <f t="array" aca="1" ref="J190" ca="1">IF($A190="S",IF(CAIXA.Modo,BM.AFAnterior,BM.MEDAnterior),IF(AND(RegimeExecucao="Global",$I190&gt;0,COUNTIF($AB$13:$AM$13,BM.medicao-1)&gt;0),M190/$I190*100,0))</f>
        <v>0</v>
      </c>
      <c r="K190" s="122">
        <f t="shared" ca="1" si="17"/>
        <v>0</v>
      </c>
      <c r="L190" s="334">
        <f t="array" aca="1" ref="L190" ca="1">IF($A190="S",IF(CAIXA.Modo,BM.AFAcumulado,BM.MEDAcumulado),IF(AND(RegimeExecucao="Global",$I190&gt;0,COUNTIF($AB$13:$AM$13,BM.medicao)&gt;0),O190/$I190*100,0))</f>
        <v>0</v>
      </c>
      <c r="M190" s="335">
        <f t="array" aca="1" ref="M190" ca="1">IF($A190="S",VTOTALBM,IF($A190=0,0,ROUND(SomaAgrupBM,15-13*ORÇAMENTO!$AF$11)))</f>
        <v>0</v>
      </c>
      <c r="N190" s="336">
        <f t="shared" ca="1" si="18"/>
        <v>0</v>
      </c>
      <c r="O190" s="125">
        <f t="array" aca="1" ref="O190" ca="1">IF($A190="S",VTOTALBM,IF($A190=0,0,ROUND(SomaAgrupBM,15-13*ORÇAMENTO!$AF$11)))</f>
        <v>0</v>
      </c>
      <c r="Q190" s="337"/>
      <c r="R190" s="338"/>
      <c r="T190" s="117" t="str">
        <f t="shared" ca="1" si="19"/>
        <v/>
      </c>
      <c r="U190" s="163" t="str">
        <f t="shared" ca="1" si="20"/>
        <v/>
      </c>
      <c r="V190" s="164" t="str">
        <f t="array" aca="1" ref="V190" ca="1">IF(AND($W190&gt;0,RegimeExecucao="Unitário"),$F190,"")</f>
        <v/>
      </c>
      <c r="W190" s="453">
        <f t="array" aca="1" ref="W190" ca="1">IF($Y190&gt;0,CHOOSE(MATCH(RegimeExecucao,{"Unitário","Global"},0),IF($A190="S",$Y190/$X190,""),($Y190/$X190)*100),0)</f>
        <v>0</v>
      </c>
      <c r="X190" s="339" t="str">
        <f t="array" aca="1" ref="X190" ca="1">IF($Y190&gt;0,CHOOSE(MATCH(RegimeExecucao,{"Unitário","Global"},0),IF($A190="S",ROUND($H190,ORÇAMENTO!$AF$10),""),ROUND($I190,ORÇAMENTO!$AF$11)),"")</f>
        <v/>
      </c>
      <c r="Y190" s="339">
        <f t="shared" ca="1" si="21"/>
        <v>0</v>
      </c>
      <c r="Z190" s="472"/>
      <c r="AB190" s="337"/>
      <c r="AC190" s="437"/>
      <c r="AD190" s="437"/>
      <c r="AE190" s="437"/>
      <c r="AF190" s="437"/>
      <c r="AG190" s="437"/>
      <c r="AH190" s="437"/>
      <c r="AI190" s="437"/>
      <c r="AJ190" s="437"/>
      <c r="AK190" s="437"/>
      <c r="AL190" s="437"/>
      <c r="AM190" s="338"/>
      <c r="AO190" s="696">
        <f t="array" aca="1" ref="AO190" ca="1">IF($A190="S",IF(BM!$I190=0,0,CHOOSE(MATCH(RegimeExecucao,{"Global","Unitário"},0),ROUND(ROUND(BM.MEDAcumulado,15-13*BM!$A$9)/100*BM!$I190,15-13*ORÇAMENTO!$AF$11),ROUND(ROUND(BM.MEDAcumulado,15-13*BM!$A$9)*ROUND(BM!$H190,15-13*ORÇAMENTO!$AF$10),15-13*ORÇAMENTO!$AF$11))),IF($A190=0,0,ROUND(SomaAgrupBM,15-13*ORÇAMENTO!$AF$11)))</f>
        <v>0</v>
      </c>
    </row>
    <row r="191" spans="1:41" s="696" customFormat="1" ht="38.25" x14ac:dyDescent="0.2">
      <c r="A191" s="696" t="str">
        <f ca="1">ORÇAMENTO!C191</f>
        <v>S</v>
      </c>
      <c r="B191" s="696">
        <f ca="1">ORÇAMENTO!D191</f>
        <v>0</v>
      </c>
      <c r="C191" s="114" t="str">
        <f t="shared" ca="1" si="15"/>
        <v>F</v>
      </c>
      <c r="D191" s="117" t="str">
        <f ca="1">ORÇAMENTO!O191</f>
        <v>1.29.10.</v>
      </c>
      <c r="E191" s="163" t="str">
        <f t="shared" ca="1" si="16"/>
        <v>BUCHA DE REDUÇÃO, CURTA, PVC, SOLDÁVEL, DN 32 X 25 MM, INSTALADO EM RAMAL DE DISTRIBUIÇÃO DE ÁGUA - FORNECIMENTO E INSTALAÇÃO. AF_06/2022</v>
      </c>
      <c r="F191" s="164" t="str">
        <f t="array" aca="1" ref="F191" ca="1">IF(RegimeExecucao="Global","",ORÇAMENTO.Unidade)</f>
        <v>UN</v>
      </c>
      <c r="G191" s="122">
        <f t="array" aca="1" ref="G191" ca="1">IF(RegimeExecucao="Global","",ORÇAMENTO!T191)</f>
        <v>40</v>
      </c>
      <c r="H191" s="122">
        <f t="array" aca="1" ref="H191" ca="1">IF(RegimeExecucao="Global","",ORÇAMENTO!W191)</f>
        <v>8.94</v>
      </c>
      <c r="I191" s="125">
        <f ca="1">ORÇAMENTO!X191</f>
        <v>357.6</v>
      </c>
      <c r="J191" s="333">
        <f t="array" aca="1" ref="J191" ca="1">IF($A191="S",IF(CAIXA.Modo,BM.AFAnterior,BM.MEDAnterior),IF(AND(RegimeExecucao="Global",$I191&gt;0,COUNTIF($AB$13:$AM$13,BM.medicao-1)&gt;0),M191/$I191*100,0))</f>
        <v>0</v>
      </c>
      <c r="K191" s="122">
        <f t="shared" ca="1" si="17"/>
        <v>0</v>
      </c>
      <c r="L191" s="334">
        <f t="array" aca="1" ref="L191" ca="1">IF($A191="S",IF(CAIXA.Modo,BM.AFAcumulado,BM.MEDAcumulado),IF(AND(RegimeExecucao="Global",$I191&gt;0,COUNTIF($AB$13:$AM$13,BM.medicao)&gt;0),O191/$I191*100,0))</f>
        <v>0</v>
      </c>
      <c r="M191" s="335">
        <f t="array" aca="1" ref="M191" ca="1">IF($A191="S",VTOTALBM,IF($A191=0,0,ROUND(SomaAgrupBM,15-13*ORÇAMENTO!$AF$11)))</f>
        <v>0</v>
      </c>
      <c r="N191" s="336">
        <f t="shared" ca="1" si="18"/>
        <v>0</v>
      </c>
      <c r="O191" s="125">
        <f t="array" aca="1" ref="O191" ca="1">IF($A191="S",VTOTALBM,IF($A191=0,0,ROUND(SomaAgrupBM,15-13*ORÇAMENTO!$AF$11)))</f>
        <v>0</v>
      </c>
      <c r="Q191" s="337"/>
      <c r="R191" s="338"/>
      <c r="T191" s="117" t="str">
        <f t="shared" ca="1" si="19"/>
        <v/>
      </c>
      <c r="U191" s="163" t="str">
        <f t="shared" ca="1" si="20"/>
        <v/>
      </c>
      <c r="V191" s="164" t="str">
        <f t="array" aca="1" ref="V191" ca="1">IF(AND($W191&gt;0,RegimeExecucao="Unitário"),$F191,"")</f>
        <v/>
      </c>
      <c r="W191" s="453">
        <f t="array" aca="1" ref="W191" ca="1">IF($Y191&gt;0,CHOOSE(MATCH(RegimeExecucao,{"Unitário","Global"},0),IF($A191="S",$Y191/$X191,""),($Y191/$X191)*100),0)</f>
        <v>0</v>
      </c>
      <c r="X191" s="339" t="str">
        <f t="array" aca="1" ref="X191" ca="1">IF($Y191&gt;0,CHOOSE(MATCH(RegimeExecucao,{"Unitário","Global"},0),IF($A191="S",ROUND($H191,ORÇAMENTO!$AF$10),""),ROUND($I191,ORÇAMENTO!$AF$11)),"")</f>
        <v/>
      </c>
      <c r="Y191" s="339">
        <f t="shared" ca="1" si="21"/>
        <v>0</v>
      </c>
      <c r="Z191" s="472"/>
      <c r="AB191" s="337"/>
      <c r="AC191" s="437"/>
      <c r="AD191" s="437"/>
      <c r="AE191" s="437"/>
      <c r="AF191" s="437"/>
      <c r="AG191" s="437"/>
      <c r="AH191" s="437"/>
      <c r="AI191" s="437"/>
      <c r="AJ191" s="437"/>
      <c r="AK191" s="437"/>
      <c r="AL191" s="437"/>
      <c r="AM191" s="338"/>
      <c r="AO191" s="696">
        <f t="array" aca="1" ref="AO191" ca="1">IF($A191="S",IF(BM!$I191=0,0,CHOOSE(MATCH(RegimeExecucao,{"Global","Unitário"},0),ROUND(ROUND(BM.MEDAcumulado,15-13*BM!$A$9)/100*BM!$I191,15-13*ORÇAMENTO!$AF$11),ROUND(ROUND(BM.MEDAcumulado,15-13*BM!$A$9)*ROUND(BM!$H191,15-13*ORÇAMENTO!$AF$10),15-13*ORÇAMENTO!$AF$11))),IF($A191=0,0,ROUND(SomaAgrupBM,15-13*ORÇAMENTO!$AF$11)))</f>
        <v>0</v>
      </c>
    </row>
    <row r="192" spans="1:41" s="696" customFormat="1" ht="38.25" x14ac:dyDescent="0.2">
      <c r="A192" s="696" t="str">
        <f ca="1">ORÇAMENTO!C192</f>
        <v>S</v>
      </c>
      <c r="B192" s="696">
        <f ca="1">ORÇAMENTO!D192</f>
        <v>0</v>
      </c>
      <c r="C192" s="114" t="str">
        <f t="shared" ca="1" si="15"/>
        <v>F</v>
      </c>
      <c r="D192" s="117" t="str">
        <f ca="1">ORÇAMENTO!O192</f>
        <v>1.29.11.</v>
      </c>
      <c r="E192" s="163" t="str">
        <f t="shared" ca="1" si="16"/>
        <v>TE, PVC, SOLDÁVEL, DN 32MM, INSTALADO EM RAMAL DE DISTRIBUIÇÃO DE ÁGUA - FORNECIMENTO E INSTALAÇÃO. AF_06/2022</v>
      </c>
      <c r="F192" s="164" t="str">
        <f t="array" aca="1" ref="F192" ca="1">IF(RegimeExecucao="Global","",ORÇAMENTO.Unidade)</f>
        <v>UN</v>
      </c>
      <c r="G192" s="122">
        <f t="array" aca="1" ref="G192" ca="1">IF(RegimeExecucao="Global","",ORÇAMENTO!T192)</f>
        <v>60</v>
      </c>
      <c r="H192" s="122">
        <f t="array" aca="1" ref="H192" ca="1">IF(RegimeExecucao="Global","",ORÇAMENTO!W192)</f>
        <v>20.65</v>
      </c>
      <c r="I192" s="125">
        <f ca="1">ORÇAMENTO!X192</f>
        <v>1239</v>
      </c>
      <c r="J192" s="333">
        <f t="array" aca="1" ref="J192" ca="1">IF($A192="S",IF(CAIXA.Modo,BM.AFAnterior,BM.MEDAnterior),IF(AND(RegimeExecucao="Global",$I192&gt;0,COUNTIF($AB$13:$AM$13,BM.medicao-1)&gt;0),M192/$I192*100,0))</f>
        <v>0</v>
      </c>
      <c r="K192" s="122">
        <f t="shared" ca="1" si="17"/>
        <v>0</v>
      </c>
      <c r="L192" s="334">
        <f t="array" aca="1" ref="L192" ca="1">IF($A192="S",IF(CAIXA.Modo,BM.AFAcumulado,BM.MEDAcumulado),IF(AND(RegimeExecucao="Global",$I192&gt;0,COUNTIF($AB$13:$AM$13,BM.medicao)&gt;0),O192/$I192*100,0))</f>
        <v>0</v>
      </c>
      <c r="M192" s="335">
        <f t="array" aca="1" ref="M192" ca="1">IF($A192="S",VTOTALBM,IF($A192=0,0,ROUND(SomaAgrupBM,15-13*ORÇAMENTO!$AF$11)))</f>
        <v>0</v>
      </c>
      <c r="N192" s="336">
        <f t="shared" ca="1" si="18"/>
        <v>0</v>
      </c>
      <c r="O192" s="125">
        <f t="array" aca="1" ref="O192" ca="1">IF($A192="S",VTOTALBM,IF($A192=0,0,ROUND(SomaAgrupBM,15-13*ORÇAMENTO!$AF$11)))</f>
        <v>0</v>
      </c>
      <c r="Q192" s="337"/>
      <c r="R192" s="338"/>
      <c r="T192" s="117" t="str">
        <f t="shared" ca="1" si="19"/>
        <v/>
      </c>
      <c r="U192" s="163" t="str">
        <f t="shared" ca="1" si="20"/>
        <v/>
      </c>
      <c r="V192" s="164" t="str">
        <f t="array" aca="1" ref="V192" ca="1">IF(AND($W192&gt;0,RegimeExecucao="Unitário"),$F192,"")</f>
        <v/>
      </c>
      <c r="W192" s="453">
        <f t="array" aca="1" ref="W192" ca="1">IF($Y192&gt;0,CHOOSE(MATCH(RegimeExecucao,{"Unitário","Global"},0),IF($A192="S",$Y192/$X192,""),($Y192/$X192)*100),0)</f>
        <v>0</v>
      </c>
      <c r="X192" s="339" t="str">
        <f t="array" aca="1" ref="X192" ca="1">IF($Y192&gt;0,CHOOSE(MATCH(RegimeExecucao,{"Unitário","Global"},0),IF($A192="S",ROUND($H192,ORÇAMENTO!$AF$10),""),ROUND($I192,ORÇAMENTO!$AF$11)),"")</f>
        <v/>
      </c>
      <c r="Y192" s="339">
        <f t="shared" ca="1" si="21"/>
        <v>0</v>
      </c>
      <c r="Z192" s="472"/>
      <c r="AB192" s="337"/>
      <c r="AC192" s="437"/>
      <c r="AD192" s="437"/>
      <c r="AE192" s="437"/>
      <c r="AF192" s="437"/>
      <c r="AG192" s="437"/>
      <c r="AH192" s="437"/>
      <c r="AI192" s="437"/>
      <c r="AJ192" s="437"/>
      <c r="AK192" s="437"/>
      <c r="AL192" s="437"/>
      <c r="AM192" s="338"/>
      <c r="AO192" s="696">
        <f t="array" aca="1" ref="AO192" ca="1">IF($A192="S",IF(BM!$I192=0,0,CHOOSE(MATCH(RegimeExecucao,{"Global","Unitário"},0),ROUND(ROUND(BM.MEDAcumulado,15-13*BM!$A$9)/100*BM!$I192,15-13*ORÇAMENTO!$AF$11),ROUND(ROUND(BM.MEDAcumulado,15-13*BM!$A$9)*ROUND(BM!$H192,15-13*ORÇAMENTO!$AF$10),15-13*ORÇAMENTO!$AF$11))),IF($A192=0,0,ROUND(SomaAgrupBM,15-13*ORÇAMENTO!$AF$11)))</f>
        <v>0</v>
      </c>
    </row>
    <row r="193" spans="1:41" s="696" customFormat="1" ht="38.25" x14ac:dyDescent="0.2">
      <c r="A193" s="696" t="str">
        <f ca="1">ORÇAMENTO!C193</f>
        <v>S</v>
      </c>
      <c r="B193" s="696">
        <f ca="1">ORÇAMENTO!D193</f>
        <v>0</v>
      </c>
      <c r="C193" s="114" t="str">
        <f t="shared" ca="1" si="15"/>
        <v>F</v>
      </c>
      <c r="D193" s="117" t="str">
        <f ca="1">ORÇAMENTO!O193</f>
        <v>1.29.12.</v>
      </c>
      <c r="E193" s="163" t="str">
        <f t="shared" ca="1" si="16"/>
        <v>TÊ DE REDUÇÃO, PVC, SOLDÁVEL, DN 32MM X 25MM, INSTALADO EM RAMAL DE DISTRIBUIÇÃO DE ÁGUA - FORNECIMENTO E INSTALAÇÃO. AF_06/2022</v>
      </c>
      <c r="F193" s="164" t="str">
        <f t="array" aca="1" ref="F193" ca="1">IF(RegimeExecucao="Global","",ORÇAMENTO.Unidade)</f>
        <v>UN</v>
      </c>
      <c r="G193" s="122">
        <f t="array" aca="1" ref="G193" ca="1">IF(RegimeExecucao="Global","",ORÇAMENTO!T193)</f>
        <v>20</v>
      </c>
      <c r="H193" s="122">
        <f t="array" aca="1" ref="H193" ca="1">IF(RegimeExecucao="Global","",ORÇAMENTO!W193)</f>
        <v>22.6</v>
      </c>
      <c r="I193" s="125">
        <f ca="1">ORÇAMENTO!X193</f>
        <v>452</v>
      </c>
      <c r="J193" s="333">
        <f t="array" aca="1" ref="J193" ca="1">IF($A193="S",IF(CAIXA.Modo,BM.AFAnterior,BM.MEDAnterior),IF(AND(RegimeExecucao="Global",$I193&gt;0,COUNTIF($AB$13:$AM$13,BM.medicao-1)&gt;0),M193/$I193*100,0))</f>
        <v>0</v>
      </c>
      <c r="K193" s="122">
        <f t="shared" ca="1" si="17"/>
        <v>0</v>
      </c>
      <c r="L193" s="334">
        <f t="array" aca="1" ref="L193" ca="1">IF($A193="S",IF(CAIXA.Modo,BM.AFAcumulado,BM.MEDAcumulado),IF(AND(RegimeExecucao="Global",$I193&gt;0,COUNTIF($AB$13:$AM$13,BM.medicao)&gt;0),O193/$I193*100,0))</f>
        <v>0</v>
      </c>
      <c r="M193" s="335">
        <f t="array" aca="1" ref="M193" ca="1">IF($A193="S",VTOTALBM,IF($A193=0,0,ROUND(SomaAgrupBM,15-13*ORÇAMENTO!$AF$11)))</f>
        <v>0</v>
      </c>
      <c r="N193" s="336">
        <f t="shared" ca="1" si="18"/>
        <v>0</v>
      </c>
      <c r="O193" s="125">
        <f t="array" aca="1" ref="O193" ca="1">IF($A193="S",VTOTALBM,IF($A193=0,0,ROUND(SomaAgrupBM,15-13*ORÇAMENTO!$AF$11)))</f>
        <v>0</v>
      </c>
      <c r="Q193" s="337"/>
      <c r="R193" s="338"/>
      <c r="T193" s="117" t="str">
        <f t="shared" ca="1" si="19"/>
        <v/>
      </c>
      <c r="U193" s="163" t="str">
        <f t="shared" ca="1" si="20"/>
        <v/>
      </c>
      <c r="V193" s="164" t="str">
        <f t="array" aca="1" ref="V193" ca="1">IF(AND($W193&gt;0,RegimeExecucao="Unitário"),$F193,"")</f>
        <v/>
      </c>
      <c r="W193" s="453">
        <f t="array" aca="1" ref="W193" ca="1">IF($Y193&gt;0,CHOOSE(MATCH(RegimeExecucao,{"Unitário","Global"},0),IF($A193="S",$Y193/$X193,""),($Y193/$X193)*100),0)</f>
        <v>0</v>
      </c>
      <c r="X193" s="339" t="str">
        <f t="array" aca="1" ref="X193" ca="1">IF($Y193&gt;0,CHOOSE(MATCH(RegimeExecucao,{"Unitário","Global"},0),IF($A193="S",ROUND($H193,ORÇAMENTO!$AF$10),""),ROUND($I193,ORÇAMENTO!$AF$11)),"")</f>
        <v/>
      </c>
      <c r="Y193" s="339">
        <f t="shared" ca="1" si="21"/>
        <v>0</v>
      </c>
      <c r="Z193" s="472"/>
      <c r="AB193" s="337"/>
      <c r="AC193" s="437"/>
      <c r="AD193" s="437"/>
      <c r="AE193" s="437"/>
      <c r="AF193" s="437"/>
      <c r="AG193" s="437"/>
      <c r="AH193" s="437"/>
      <c r="AI193" s="437"/>
      <c r="AJ193" s="437"/>
      <c r="AK193" s="437"/>
      <c r="AL193" s="437"/>
      <c r="AM193" s="338"/>
      <c r="AO193" s="696">
        <f t="array" aca="1" ref="AO193" ca="1">IF($A193="S",IF(BM!$I193=0,0,CHOOSE(MATCH(RegimeExecucao,{"Global","Unitário"},0),ROUND(ROUND(BM.MEDAcumulado,15-13*BM!$A$9)/100*BM!$I193,15-13*ORÇAMENTO!$AF$11),ROUND(ROUND(BM.MEDAcumulado,15-13*BM!$A$9)*ROUND(BM!$H193,15-13*ORÇAMENTO!$AF$10),15-13*ORÇAMENTO!$AF$11))),IF($A193=0,0,ROUND(SomaAgrupBM,15-13*ORÇAMENTO!$AF$11)))</f>
        <v>0</v>
      </c>
    </row>
    <row r="194" spans="1:41" s="696" customFormat="1" ht="38.25" x14ac:dyDescent="0.2">
      <c r="A194" s="696" t="str">
        <f ca="1">ORÇAMENTO!C194</f>
        <v>S</v>
      </c>
      <c r="B194" s="696">
        <f ca="1">ORÇAMENTO!D194</f>
        <v>0</v>
      </c>
      <c r="C194" s="114" t="str">
        <f t="shared" ca="1" si="15"/>
        <v>F</v>
      </c>
      <c r="D194" s="117" t="str">
        <f ca="1">ORÇAMENTO!O194</f>
        <v>1.29.13.</v>
      </c>
      <c r="E194" s="163" t="str">
        <f t="shared" ca="1" si="16"/>
        <v>TUBO, PVC, SOLDÁVEL, DE 25MM, INSTALADO EM RAMAL DE DISTRIBUIÇÃO DE ÁGUA - FORNECIMENTO E INSTALAÇÃO. AF_06/2022</v>
      </c>
      <c r="F194" s="164" t="str">
        <f t="array" aca="1" ref="F194" ca="1">IF(RegimeExecucao="Global","",ORÇAMENTO.Unidade)</f>
        <v>M</v>
      </c>
      <c r="G194" s="122">
        <f t="array" aca="1" ref="G194" ca="1">IF(RegimeExecucao="Global","",ORÇAMENTO!T194)</f>
        <v>88</v>
      </c>
      <c r="H194" s="122">
        <f t="array" aca="1" ref="H194" ca="1">IF(RegimeExecucao="Global","",ORÇAMENTO!W194)</f>
        <v>14.99</v>
      </c>
      <c r="I194" s="125">
        <f ca="1">ORÇAMENTO!X194</f>
        <v>1319.12</v>
      </c>
      <c r="J194" s="333">
        <f t="array" aca="1" ref="J194" ca="1">IF($A194="S",IF(CAIXA.Modo,BM.AFAnterior,BM.MEDAnterior),IF(AND(RegimeExecucao="Global",$I194&gt;0,COUNTIF($AB$13:$AM$13,BM.medicao-1)&gt;0),M194/$I194*100,0))</f>
        <v>0</v>
      </c>
      <c r="K194" s="122">
        <f t="shared" ca="1" si="17"/>
        <v>0</v>
      </c>
      <c r="L194" s="334">
        <f t="array" aca="1" ref="L194" ca="1">IF($A194="S",IF(CAIXA.Modo,BM.AFAcumulado,BM.MEDAcumulado),IF(AND(RegimeExecucao="Global",$I194&gt;0,COUNTIF($AB$13:$AM$13,BM.medicao)&gt;0),O194/$I194*100,0))</f>
        <v>0</v>
      </c>
      <c r="M194" s="335">
        <f t="array" aca="1" ref="M194" ca="1">IF($A194="S",VTOTALBM,IF($A194=0,0,ROUND(SomaAgrupBM,15-13*ORÇAMENTO!$AF$11)))</f>
        <v>0</v>
      </c>
      <c r="N194" s="336">
        <f t="shared" ca="1" si="18"/>
        <v>0</v>
      </c>
      <c r="O194" s="125">
        <f t="array" aca="1" ref="O194" ca="1">IF($A194="S",VTOTALBM,IF($A194=0,0,ROUND(SomaAgrupBM,15-13*ORÇAMENTO!$AF$11)))</f>
        <v>0</v>
      </c>
      <c r="Q194" s="337"/>
      <c r="R194" s="338"/>
      <c r="T194" s="117" t="str">
        <f t="shared" ca="1" si="19"/>
        <v/>
      </c>
      <c r="U194" s="163" t="str">
        <f t="shared" ca="1" si="20"/>
        <v/>
      </c>
      <c r="V194" s="164" t="str">
        <f t="array" aca="1" ref="V194" ca="1">IF(AND($W194&gt;0,RegimeExecucao="Unitário"),$F194,"")</f>
        <v/>
      </c>
      <c r="W194" s="453">
        <f t="array" aca="1" ref="W194" ca="1">IF($Y194&gt;0,CHOOSE(MATCH(RegimeExecucao,{"Unitário","Global"},0),IF($A194="S",$Y194/$X194,""),($Y194/$X194)*100),0)</f>
        <v>0</v>
      </c>
      <c r="X194" s="339" t="str">
        <f t="array" aca="1" ref="X194" ca="1">IF($Y194&gt;0,CHOOSE(MATCH(RegimeExecucao,{"Unitário","Global"},0),IF($A194="S",ROUND($H194,ORÇAMENTO!$AF$10),""),ROUND($I194,ORÇAMENTO!$AF$11)),"")</f>
        <v/>
      </c>
      <c r="Y194" s="339">
        <f t="shared" ca="1" si="21"/>
        <v>0</v>
      </c>
      <c r="Z194" s="472"/>
      <c r="AB194" s="337"/>
      <c r="AC194" s="437"/>
      <c r="AD194" s="437"/>
      <c r="AE194" s="437"/>
      <c r="AF194" s="437"/>
      <c r="AG194" s="437"/>
      <c r="AH194" s="437"/>
      <c r="AI194" s="437"/>
      <c r="AJ194" s="437"/>
      <c r="AK194" s="437"/>
      <c r="AL194" s="437"/>
      <c r="AM194" s="338"/>
      <c r="AO194" s="696">
        <f t="array" aca="1" ref="AO194" ca="1">IF($A194="S",IF(BM!$I194=0,0,CHOOSE(MATCH(RegimeExecucao,{"Global","Unitário"},0),ROUND(ROUND(BM.MEDAcumulado,15-13*BM!$A$9)/100*BM!$I194,15-13*ORÇAMENTO!$AF$11),ROUND(ROUND(BM.MEDAcumulado,15-13*BM!$A$9)*ROUND(BM!$H194,15-13*ORÇAMENTO!$AF$10),15-13*ORÇAMENTO!$AF$11))),IF($A194=0,0,ROUND(SomaAgrupBM,15-13*ORÇAMENTO!$AF$11)))</f>
        <v>0</v>
      </c>
    </row>
    <row r="195" spans="1:41" s="696" customFormat="1" ht="38.25" x14ac:dyDescent="0.2">
      <c r="A195" s="696" t="str">
        <f ca="1">ORÇAMENTO!C195</f>
        <v>S</v>
      </c>
      <c r="B195" s="696">
        <f ca="1">ORÇAMENTO!D195</f>
        <v>0</v>
      </c>
      <c r="C195" s="114" t="str">
        <f t="shared" ca="1" si="15"/>
        <v>F</v>
      </c>
      <c r="D195" s="117" t="str">
        <f ca="1">ORÇAMENTO!O195</f>
        <v>1.29.14.</v>
      </c>
      <c r="E195" s="163" t="str">
        <f t="shared" ca="1" si="16"/>
        <v>TUBO, PVC, SOLDÁVEL, DE 32MM, INSTALADO EM RAMAL DE DISTRIBUIÇÃO DE ÁGUA - FORNECIMENTO E INSTALAÇÃO. AF_06/2022</v>
      </c>
      <c r="F195" s="164" t="str">
        <f t="array" aca="1" ref="F195" ca="1">IF(RegimeExecucao="Global","",ORÇAMENTO.Unidade)</f>
        <v>M</v>
      </c>
      <c r="G195" s="122">
        <f t="array" aca="1" ref="G195" ca="1">IF(RegimeExecucao="Global","",ORÇAMENTO!T195)</f>
        <v>211</v>
      </c>
      <c r="H195" s="122">
        <f t="array" aca="1" ref="H195" ca="1">IF(RegimeExecucao="Global","",ORÇAMENTO!W195)</f>
        <v>22.74</v>
      </c>
      <c r="I195" s="125">
        <f ca="1">ORÇAMENTO!X195</f>
        <v>4798.16</v>
      </c>
      <c r="J195" s="333">
        <f t="array" aca="1" ref="J195" ca="1">IF($A195="S",IF(CAIXA.Modo,BM.AFAnterior,BM.MEDAnterior),IF(AND(RegimeExecucao="Global",$I195&gt;0,COUNTIF($AB$13:$AM$13,BM.medicao-1)&gt;0),M195/$I195*100,0))</f>
        <v>0</v>
      </c>
      <c r="K195" s="122">
        <f t="shared" ca="1" si="17"/>
        <v>0</v>
      </c>
      <c r="L195" s="334">
        <f t="array" aca="1" ref="L195" ca="1">IF($A195="S",IF(CAIXA.Modo,BM.AFAcumulado,BM.MEDAcumulado),IF(AND(RegimeExecucao="Global",$I195&gt;0,COUNTIF($AB$13:$AM$13,BM.medicao)&gt;0),O195/$I195*100,0))</f>
        <v>0</v>
      </c>
      <c r="M195" s="335">
        <f t="array" aca="1" ref="M195" ca="1">IF($A195="S",VTOTALBM,IF($A195=0,0,ROUND(SomaAgrupBM,15-13*ORÇAMENTO!$AF$11)))</f>
        <v>0</v>
      </c>
      <c r="N195" s="336">
        <f t="shared" ca="1" si="18"/>
        <v>0</v>
      </c>
      <c r="O195" s="125">
        <f t="array" aca="1" ref="O195" ca="1">IF($A195="S",VTOTALBM,IF($A195=0,0,ROUND(SomaAgrupBM,15-13*ORÇAMENTO!$AF$11)))</f>
        <v>0</v>
      </c>
      <c r="Q195" s="337"/>
      <c r="R195" s="338"/>
      <c r="T195" s="117" t="str">
        <f t="shared" ca="1" si="19"/>
        <v/>
      </c>
      <c r="U195" s="163" t="str">
        <f t="shared" ca="1" si="20"/>
        <v/>
      </c>
      <c r="V195" s="164" t="str">
        <f t="array" aca="1" ref="V195" ca="1">IF(AND($W195&gt;0,RegimeExecucao="Unitário"),$F195,"")</f>
        <v/>
      </c>
      <c r="W195" s="453">
        <f t="array" aca="1" ref="W195" ca="1">IF($Y195&gt;0,CHOOSE(MATCH(RegimeExecucao,{"Unitário","Global"},0),IF($A195="S",$Y195/$X195,""),($Y195/$X195)*100),0)</f>
        <v>0</v>
      </c>
      <c r="X195" s="339" t="str">
        <f t="array" aca="1" ref="X195" ca="1">IF($Y195&gt;0,CHOOSE(MATCH(RegimeExecucao,{"Unitário","Global"},0),IF($A195="S",ROUND($H195,ORÇAMENTO!$AF$10),""),ROUND($I195,ORÇAMENTO!$AF$11)),"")</f>
        <v/>
      </c>
      <c r="Y195" s="339">
        <f t="shared" ca="1" si="21"/>
        <v>0</v>
      </c>
      <c r="Z195" s="472"/>
      <c r="AB195" s="337"/>
      <c r="AC195" s="437"/>
      <c r="AD195" s="437"/>
      <c r="AE195" s="437"/>
      <c r="AF195" s="437"/>
      <c r="AG195" s="437"/>
      <c r="AH195" s="437"/>
      <c r="AI195" s="437"/>
      <c r="AJ195" s="437"/>
      <c r="AK195" s="437"/>
      <c r="AL195" s="437"/>
      <c r="AM195" s="338"/>
      <c r="AO195" s="696">
        <f t="array" aca="1" ref="AO195" ca="1">IF($A195="S",IF(BM!$I195=0,0,CHOOSE(MATCH(RegimeExecucao,{"Global","Unitário"},0),ROUND(ROUND(BM.MEDAcumulado,15-13*BM!$A$9)/100*BM!$I195,15-13*ORÇAMENTO!$AF$11),ROUND(ROUND(BM.MEDAcumulado,15-13*BM!$A$9)*ROUND(BM!$H195,15-13*ORÇAMENTO!$AF$10),15-13*ORÇAMENTO!$AF$11))),IF($A195=0,0,ROUND(SomaAgrupBM,15-13*ORÇAMENTO!$AF$11)))</f>
        <v>0</v>
      </c>
    </row>
    <row r="196" spans="1:41" s="696" customFormat="1" x14ac:dyDescent="0.2">
      <c r="A196" s="696">
        <f ca="1">ORÇAMENTO!C196</f>
        <v>2</v>
      </c>
      <c r="B196" s="696">
        <f ca="1">ORÇAMENTO!D196</f>
        <v>13</v>
      </c>
      <c r="C196" s="114" t="str">
        <f t="shared" ref="C196:C234" ca="1" si="22">IF(OR($I196&gt;0,$A196=1,$A196=2,$A196=3,$A196=4),"F","")</f>
        <v>F</v>
      </c>
      <c r="D196" s="117" t="str">
        <f ca="1">ORÇAMENTO!O196</f>
        <v>1.30.</v>
      </c>
      <c r="E196" s="163" t="str">
        <f t="shared" ref="E196:E234" si="23">ORÇAMENTO.Descricao</f>
        <v>SANITÁRIAS E PLUVIAIS</v>
      </c>
      <c r="F196" s="164" t="str">
        <f t="array" aca="1" ref="F196" ca="1">IF(RegimeExecucao="Global","",ORÇAMENTO.Unidade)</f>
        <v>-</v>
      </c>
      <c r="G196" s="122">
        <f t="array" aca="1" ref="G196" ca="1">IF(RegimeExecucao="Global","",ORÇAMENTO!T196)</f>
        <v>0</v>
      </c>
      <c r="H196" s="122">
        <f t="array" aca="1" ref="H196" ca="1">IF(RegimeExecucao="Global","",ORÇAMENTO!W196)</f>
        <v>0</v>
      </c>
      <c r="I196" s="125">
        <f ca="1">ORÇAMENTO!X196</f>
        <v>50181.24</v>
      </c>
      <c r="J196" s="333">
        <f t="array" aca="1" ref="J196" ca="1">IF($A196="S",IF(CAIXA.Modo,BM.AFAnterior,BM.MEDAnterior),IF(AND(RegimeExecucao="Global",$I196&gt;0,COUNTIF($AB$13:$AM$13,BM.medicao-1)&gt;0),M196/$I196*100,0))</f>
        <v>0</v>
      </c>
      <c r="K196" s="122">
        <f t="shared" ref="K196:K234" ca="1" si="24">L196-J196</f>
        <v>0</v>
      </c>
      <c r="L196" s="334">
        <f t="array" aca="1" ref="L196" ca="1">IF($A196="S",IF(CAIXA.Modo,BM.AFAcumulado,BM.MEDAcumulado),IF(AND(RegimeExecucao="Global",$I196&gt;0,COUNTIF($AB$13:$AM$13,BM.medicao)&gt;0),O196/$I196*100,0))</f>
        <v>0</v>
      </c>
      <c r="M196" s="335">
        <f t="array" aca="1" ref="M196" ca="1">IF($A196="S",VTOTALBM,IF($A196=0,0,ROUND(SomaAgrupBM,15-13*ORÇAMENTO!$AF$11)))</f>
        <v>0</v>
      </c>
      <c r="N196" s="336">
        <f t="shared" ref="N196:N234" ca="1" si="25">O196-M196</f>
        <v>0</v>
      </c>
      <c r="O196" s="125">
        <f t="array" aca="1" ref="O196" ca="1">IF($A196="S",VTOTALBM,IF($A196=0,0,ROUND(SomaAgrupBM,15-13*ORÇAMENTO!$AF$11)))</f>
        <v>0</v>
      </c>
      <c r="Q196" s="337"/>
      <c r="R196" s="338"/>
      <c r="T196" s="117" t="str">
        <f t="shared" ref="T196:T234" ca="1" si="26">IF($W196&gt;0,$D196,"")</f>
        <v/>
      </c>
      <c r="U196" s="163" t="str">
        <f t="shared" ref="U196:U234" ca="1" si="27">IF($W196&gt;0,$E196,"")</f>
        <v/>
      </c>
      <c r="V196" s="164" t="str">
        <f t="array" aca="1" ref="V196" ca="1">IF(AND($W196&gt;0,RegimeExecucao="Unitário"),$F196,"")</f>
        <v/>
      </c>
      <c r="W196" s="453">
        <f t="array" aca="1" ref="W196" ca="1">IF($Y196&gt;0,CHOOSE(MATCH(RegimeExecucao,{"Unitário","Global"},0),IF($A196="S",$Y196/$X196,""),($Y196/$X196)*100),0)</f>
        <v>0</v>
      </c>
      <c r="X196" s="339" t="str">
        <f t="array" aca="1" ref="X196" ca="1">IF($Y196&gt;0,CHOOSE(MATCH(RegimeExecucao,{"Unitário","Global"},0),IF($A196="S",ROUND($H196,ORÇAMENTO!$AF$10),""),ROUND($I196,ORÇAMENTO!$AF$11)),"")</f>
        <v/>
      </c>
      <c r="Y196" s="339">
        <f t="shared" ref="Y196:Y234" ca="1" si="28">AO196-O196</f>
        <v>0</v>
      </c>
      <c r="Z196" s="472"/>
      <c r="AB196" s="337"/>
      <c r="AC196" s="437"/>
      <c r="AD196" s="437"/>
      <c r="AE196" s="437"/>
      <c r="AF196" s="437"/>
      <c r="AG196" s="437"/>
      <c r="AH196" s="437"/>
      <c r="AI196" s="437"/>
      <c r="AJ196" s="437"/>
      <c r="AK196" s="437"/>
      <c r="AL196" s="437"/>
      <c r="AM196" s="338"/>
      <c r="AO196" s="696">
        <f t="array" aca="1" ref="AO196" ca="1">IF($A196="S",IF(BM!$I196=0,0,CHOOSE(MATCH(RegimeExecucao,{"Global","Unitário"},0),ROUND(ROUND(BM.MEDAcumulado,15-13*BM!$A$9)/100*BM!$I196,15-13*ORÇAMENTO!$AF$11),ROUND(ROUND(BM.MEDAcumulado,15-13*BM!$A$9)*ROUND(BM!$H196,15-13*ORÇAMENTO!$AF$10),15-13*ORÇAMENTO!$AF$11))),IF($A196=0,0,ROUND(SomaAgrupBM,15-13*ORÇAMENTO!$AF$11)))</f>
        <v>0</v>
      </c>
    </row>
    <row r="197" spans="1:41" s="696" customFormat="1" ht="38.25" x14ac:dyDescent="0.2">
      <c r="A197" s="696" t="str">
        <f ca="1">ORÇAMENTO!C197</f>
        <v>S</v>
      </c>
      <c r="B197" s="696">
        <f ca="1">ORÇAMENTO!D197</f>
        <v>0</v>
      </c>
      <c r="C197" s="114" t="str">
        <f t="shared" ca="1" si="22"/>
        <v>F</v>
      </c>
      <c r="D197" s="117" t="str">
        <f ca="1">ORÇAMENTO!O197</f>
        <v>1.30.1.</v>
      </c>
      <c r="E197" s="163" t="str">
        <f t="shared" ca="1" si="23"/>
        <v>JOELHO 45 GRAUS, PVC, SERIE NORMAL, ESGOTO PREDIAL, DN 40 MM, JUNTA SOLDÁVEL, FORNECIDO E INSTALADO EM RAMAL DE DESCARGA OU RAMAL DE ESGOTO SANITÁRIO. AF_08/2022</v>
      </c>
      <c r="F197" s="164" t="str">
        <f t="array" aca="1" ref="F197" ca="1">IF(RegimeExecucao="Global","",ORÇAMENTO.Unidade)</f>
        <v>UN</v>
      </c>
      <c r="G197" s="122">
        <f t="array" aca="1" ref="G197" ca="1">IF(RegimeExecucao="Global","",ORÇAMENTO!T197)</f>
        <v>60</v>
      </c>
      <c r="H197" s="122">
        <f t="array" aca="1" ref="H197" ca="1">IF(RegimeExecucao="Global","",ORÇAMENTO!W197)</f>
        <v>12.91</v>
      </c>
      <c r="I197" s="125">
        <f ca="1">ORÇAMENTO!X197</f>
        <v>774.6</v>
      </c>
      <c r="J197" s="333">
        <f t="array" aca="1" ref="J197" ca="1">IF($A197="S",IF(CAIXA.Modo,BM.AFAnterior,BM.MEDAnterior),IF(AND(RegimeExecucao="Global",$I197&gt;0,COUNTIF($AB$13:$AM$13,BM.medicao-1)&gt;0),M197/$I197*100,0))</f>
        <v>0</v>
      </c>
      <c r="K197" s="122">
        <f t="shared" ca="1" si="24"/>
        <v>0</v>
      </c>
      <c r="L197" s="334">
        <f t="array" aca="1" ref="L197" ca="1">IF($A197="S",IF(CAIXA.Modo,BM.AFAcumulado,BM.MEDAcumulado),IF(AND(RegimeExecucao="Global",$I197&gt;0,COUNTIF($AB$13:$AM$13,BM.medicao)&gt;0),O197/$I197*100,0))</f>
        <v>0</v>
      </c>
      <c r="M197" s="335">
        <f t="array" aca="1" ref="M197" ca="1">IF($A197="S",VTOTALBM,IF($A197=0,0,ROUND(SomaAgrupBM,15-13*ORÇAMENTO!$AF$11)))</f>
        <v>0</v>
      </c>
      <c r="N197" s="336">
        <f t="shared" ca="1" si="25"/>
        <v>0</v>
      </c>
      <c r="O197" s="125">
        <f t="array" aca="1" ref="O197" ca="1">IF($A197="S",VTOTALBM,IF($A197=0,0,ROUND(SomaAgrupBM,15-13*ORÇAMENTO!$AF$11)))</f>
        <v>0</v>
      </c>
      <c r="Q197" s="337"/>
      <c r="R197" s="338"/>
      <c r="T197" s="117" t="str">
        <f t="shared" ca="1" si="26"/>
        <v/>
      </c>
      <c r="U197" s="163" t="str">
        <f t="shared" ca="1" si="27"/>
        <v/>
      </c>
      <c r="V197" s="164" t="str">
        <f t="array" aca="1" ref="V197" ca="1">IF(AND($W197&gt;0,RegimeExecucao="Unitário"),$F197,"")</f>
        <v/>
      </c>
      <c r="W197" s="453">
        <f t="array" aca="1" ref="W197" ca="1">IF($Y197&gt;0,CHOOSE(MATCH(RegimeExecucao,{"Unitário","Global"},0),IF($A197="S",$Y197/$X197,""),($Y197/$X197)*100),0)</f>
        <v>0</v>
      </c>
      <c r="X197" s="339" t="str">
        <f t="array" aca="1" ref="X197" ca="1">IF($Y197&gt;0,CHOOSE(MATCH(RegimeExecucao,{"Unitário","Global"},0),IF($A197="S",ROUND($H197,ORÇAMENTO!$AF$10),""),ROUND($I197,ORÇAMENTO!$AF$11)),"")</f>
        <v/>
      </c>
      <c r="Y197" s="339">
        <f t="shared" ca="1" si="28"/>
        <v>0</v>
      </c>
      <c r="Z197" s="472"/>
      <c r="AB197" s="337"/>
      <c r="AC197" s="437"/>
      <c r="AD197" s="437"/>
      <c r="AE197" s="437"/>
      <c r="AF197" s="437"/>
      <c r="AG197" s="437"/>
      <c r="AH197" s="437"/>
      <c r="AI197" s="437"/>
      <c r="AJ197" s="437"/>
      <c r="AK197" s="437"/>
      <c r="AL197" s="437"/>
      <c r="AM197" s="338"/>
      <c r="AO197" s="696">
        <f t="array" aca="1" ref="AO197" ca="1">IF($A197="S",IF(BM!$I197=0,0,CHOOSE(MATCH(RegimeExecucao,{"Global","Unitário"},0),ROUND(ROUND(BM.MEDAcumulado,15-13*BM!$A$9)/100*BM!$I197,15-13*ORÇAMENTO!$AF$11),ROUND(ROUND(BM.MEDAcumulado,15-13*BM!$A$9)*ROUND(BM!$H197,15-13*ORÇAMENTO!$AF$10),15-13*ORÇAMENTO!$AF$11))),IF($A197=0,0,ROUND(SomaAgrupBM,15-13*ORÇAMENTO!$AF$11)))</f>
        <v>0</v>
      </c>
    </row>
    <row r="198" spans="1:41" s="696" customFormat="1" ht="38.25" x14ac:dyDescent="0.2">
      <c r="A198" s="696" t="str">
        <f ca="1">ORÇAMENTO!C198</f>
        <v>S</v>
      </c>
      <c r="B198" s="696">
        <f ca="1">ORÇAMENTO!D198</f>
        <v>0</v>
      </c>
      <c r="C198" s="114" t="str">
        <f t="shared" ca="1" si="22"/>
        <v>F</v>
      </c>
      <c r="D198" s="117" t="str">
        <f ca="1">ORÇAMENTO!O198</f>
        <v>1.30.2.</v>
      </c>
      <c r="E198" s="163" t="str">
        <f t="shared" ca="1" si="23"/>
        <v>JOELHO 45 GRAUS, PVC, SERIE NORMAL, ESGOTO PREDIAL, DN 50 MM, JUNTA ELÁSTICA, FORNECIDO E INSTALADO EM RAMAL DE DESCARGA OU RAMAL DE ESGOTO SANITÁRIO. AF_08/2022</v>
      </c>
      <c r="F198" s="164" t="str">
        <f t="array" aca="1" ref="F198" ca="1">IF(RegimeExecucao="Global","",ORÇAMENTO.Unidade)</f>
        <v>UN</v>
      </c>
      <c r="G198" s="122">
        <f t="array" aca="1" ref="G198" ca="1">IF(RegimeExecucao="Global","",ORÇAMENTO!T198)</f>
        <v>40</v>
      </c>
      <c r="H198" s="122">
        <f t="array" aca="1" ref="H198" ca="1">IF(RegimeExecucao="Global","",ORÇAMENTO!W198)</f>
        <v>18.600000000000001</v>
      </c>
      <c r="I198" s="125">
        <f ca="1">ORÇAMENTO!X198</f>
        <v>744</v>
      </c>
      <c r="J198" s="333">
        <f t="array" aca="1" ref="J198" ca="1">IF($A198="S",IF(CAIXA.Modo,BM.AFAnterior,BM.MEDAnterior),IF(AND(RegimeExecucao="Global",$I198&gt;0,COUNTIF($AB$13:$AM$13,BM.medicao-1)&gt;0),M198/$I198*100,0))</f>
        <v>0</v>
      </c>
      <c r="K198" s="122">
        <f t="shared" ca="1" si="24"/>
        <v>0</v>
      </c>
      <c r="L198" s="334">
        <f t="array" aca="1" ref="L198" ca="1">IF($A198="S",IF(CAIXA.Modo,BM.AFAcumulado,BM.MEDAcumulado),IF(AND(RegimeExecucao="Global",$I198&gt;0,COUNTIF($AB$13:$AM$13,BM.medicao)&gt;0),O198/$I198*100,0))</f>
        <v>0</v>
      </c>
      <c r="M198" s="335">
        <f t="array" aca="1" ref="M198" ca="1">IF($A198="S",VTOTALBM,IF($A198=0,0,ROUND(SomaAgrupBM,15-13*ORÇAMENTO!$AF$11)))</f>
        <v>0</v>
      </c>
      <c r="N198" s="336">
        <f t="shared" ca="1" si="25"/>
        <v>0</v>
      </c>
      <c r="O198" s="125">
        <f t="array" aca="1" ref="O198" ca="1">IF($A198="S",VTOTALBM,IF($A198=0,0,ROUND(SomaAgrupBM,15-13*ORÇAMENTO!$AF$11)))</f>
        <v>0</v>
      </c>
      <c r="Q198" s="337"/>
      <c r="R198" s="338"/>
      <c r="T198" s="117" t="str">
        <f t="shared" ca="1" si="26"/>
        <v/>
      </c>
      <c r="U198" s="163" t="str">
        <f t="shared" ca="1" si="27"/>
        <v/>
      </c>
      <c r="V198" s="164" t="str">
        <f t="array" aca="1" ref="V198" ca="1">IF(AND($W198&gt;0,RegimeExecucao="Unitário"),$F198,"")</f>
        <v/>
      </c>
      <c r="W198" s="453">
        <f t="array" aca="1" ref="W198" ca="1">IF($Y198&gt;0,CHOOSE(MATCH(RegimeExecucao,{"Unitário","Global"},0),IF($A198="S",$Y198/$X198,""),($Y198/$X198)*100),0)</f>
        <v>0</v>
      </c>
      <c r="X198" s="339" t="str">
        <f t="array" aca="1" ref="X198" ca="1">IF($Y198&gt;0,CHOOSE(MATCH(RegimeExecucao,{"Unitário","Global"},0),IF($A198="S",ROUND($H198,ORÇAMENTO!$AF$10),""),ROUND($I198,ORÇAMENTO!$AF$11)),"")</f>
        <v/>
      </c>
      <c r="Y198" s="339">
        <f t="shared" ca="1" si="28"/>
        <v>0</v>
      </c>
      <c r="Z198" s="472"/>
      <c r="AB198" s="337"/>
      <c r="AC198" s="437"/>
      <c r="AD198" s="437"/>
      <c r="AE198" s="437"/>
      <c r="AF198" s="437"/>
      <c r="AG198" s="437"/>
      <c r="AH198" s="437"/>
      <c r="AI198" s="437"/>
      <c r="AJ198" s="437"/>
      <c r="AK198" s="437"/>
      <c r="AL198" s="437"/>
      <c r="AM198" s="338"/>
      <c r="AO198" s="696">
        <f t="array" aca="1" ref="AO198" ca="1">IF($A198="S",IF(BM!$I198=0,0,CHOOSE(MATCH(RegimeExecucao,{"Global","Unitário"},0),ROUND(ROUND(BM.MEDAcumulado,15-13*BM!$A$9)/100*BM!$I198,15-13*ORÇAMENTO!$AF$11),ROUND(ROUND(BM.MEDAcumulado,15-13*BM!$A$9)*ROUND(BM!$H198,15-13*ORÇAMENTO!$AF$10),15-13*ORÇAMENTO!$AF$11))),IF($A198=0,0,ROUND(SomaAgrupBM,15-13*ORÇAMENTO!$AF$11)))</f>
        <v>0</v>
      </c>
    </row>
    <row r="199" spans="1:41" s="696" customFormat="1" ht="38.25" x14ac:dyDescent="0.2">
      <c r="A199" s="696" t="str">
        <f ca="1">ORÇAMENTO!C199</f>
        <v>S</v>
      </c>
      <c r="B199" s="696">
        <f ca="1">ORÇAMENTO!D199</f>
        <v>0</v>
      </c>
      <c r="C199" s="114" t="str">
        <f t="shared" ca="1" si="22"/>
        <v>F</v>
      </c>
      <c r="D199" s="117" t="str">
        <f ca="1">ORÇAMENTO!O199</f>
        <v>1.30.3.</v>
      </c>
      <c r="E199" s="163" t="str">
        <f t="shared" ca="1" si="23"/>
        <v>JOELHO 90 GRAUS, PVC, SERIE NORMAL, ESGOTO PREDIAL, DN 40 MM, JUNTA SOLDÁVEL, FORNECIDO E INSTALADO EM RAMAL DE DESCARGA OU RAMAL DE ESGOTO SANITÁRIO. AF_08/2022</v>
      </c>
      <c r="F199" s="164" t="str">
        <f t="array" aca="1" ref="F199" ca="1">IF(RegimeExecucao="Global","",ORÇAMENTO.Unidade)</f>
        <v>UN</v>
      </c>
      <c r="G199" s="122">
        <f t="array" aca="1" ref="G199" ca="1">IF(RegimeExecucao="Global","",ORÇAMENTO!T199)</f>
        <v>40</v>
      </c>
      <c r="H199" s="122">
        <f t="array" aca="1" ref="H199" ca="1">IF(RegimeExecucao="Global","",ORÇAMENTO!W199)</f>
        <v>12.64</v>
      </c>
      <c r="I199" s="125">
        <f ca="1">ORÇAMENTO!X199</f>
        <v>505.6</v>
      </c>
      <c r="J199" s="333">
        <f t="array" aca="1" ref="J199" ca="1">IF($A199="S",IF(CAIXA.Modo,BM.AFAnterior,BM.MEDAnterior),IF(AND(RegimeExecucao="Global",$I199&gt;0,COUNTIF($AB$13:$AM$13,BM.medicao-1)&gt;0),M199/$I199*100,0))</f>
        <v>0</v>
      </c>
      <c r="K199" s="122">
        <f t="shared" ca="1" si="24"/>
        <v>0</v>
      </c>
      <c r="L199" s="334">
        <f t="array" aca="1" ref="L199" ca="1">IF($A199="S",IF(CAIXA.Modo,BM.AFAcumulado,BM.MEDAcumulado),IF(AND(RegimeExecucao="Global",$I199&gt;0,COUNTIF($AB$13:$AM$13,BM.medicao)&gt;0),O199/$I199*100,0))</f>
        <v>0</v>
      </c>
      <c r="M199" s="335">
        <f t="array" aca="1" ref="M199" ca="1">IF($A199="S",VTOTALBM,IF($A199=0,0,ROUND(SomaAgrupBM,15-13*ORÇAMENTO!$AF$11)))</f>
        <v>0</v>
      </c>
      <c r="N199" s="336">
        <f t="shared" ca="1" si="25"/>
        <v>0</v>
      </c>
      <c r="O199" s="125">
        <f t="array" aca="1" ref="O199" ca="1">IF($A199="S",VTOTALBM,IF($A199=0,0,ROUND(SomaAgrupBM,15-13*ORÇAMENTO!$AF$11)))</f>
        <v>0</v>
      </c>
      <c r="Q199" s="337"/>
      <c r="R199" s="338"/>
      <c r="T199" s="117" t="str">
        <f t="shared" ca="1" si="26"/>
        <v/>
      </c>
      <c r="U199" s="163" t="str">
        <f t="shared" ca="1" si="27"/>
        <v/>
      </c>
      <c r="V199" s="164" t="str">
        <f t="array" aca="1" ref="V199" ca="1">IF(AND($W199&gt;0,RegimeExecucao="Unitário"),$F199,"")</f>
        <v/>
      </c>
      <c r="W199" s="453">
        <f t="array" aca="1" ref="W199" ca="1">IF($Y199&gt;0,CHOOSE(MATCH(RegimeExecucao,{"Unitário","Global"},0),IF($A199="S",$Y199/$X199,""),($Y199/$X199)*100),0)</f>
        <v>0</v>
      </c>
      <c r="X199" s="339" t="str">
        <f t="array" aca="1" ref="X199" ca="1">IF($Y199&gt;0,CHOOSE(MATCH(RegimeExecucao,{"Unitário","Global"},0),IF($A199="S",ROUND($H199,ORÇAMENTO!$AF$10),""),ROUND($I199,ORÇAMENTO!$AF$11)),"")</f>
        <v/>
      </c>
      <c r="Y199" s="339">
        <f t="shared" ca="1" si="28"/>
        <v>0</v>
      </c>
      <c r="Z199" s="472"/>
      <c r="AB199" s="337"/>
      <c r="AC199" s="437"/>
      <c r="AD199" s="437"/>
      <c r="AE199" s="437"/>
      <c r="AF199" s="437"/>
      <c r="AG199" s="437"/>
      <c r="AH199" s="437"/>
      <c r="AI199" s="437"/>
      <c r="AJ199" s="437"/>
      <c r="AK199" s="437"/>
      <c r="AL199" s="437"/>
      <c r="AM199" s="338"/>
      <c r="AO199" s="696">
        <f t="array" aca="1" ref="AO199" ca="1">IF($A199="S",IF(BM!$I199=0,0,CHOOSE(MATCH(RegimeExecucao,{"Global","Unitário"},0),ROUND(ROUND(BM.MEDAcumulado,15-13*BM!$A$9)/100*BM!$I199,15-13*ORÇAMENTO!$AF$11),ROUND(ROUND(BM.MEDAcumulado,15-13*BM!$A$9)*ROUND(BM!$H199,15-13*ORÇAMENTO!$AF$10),15-13*ORÇAMENTO!$AF$11))),IF($A199=0,0,ROUND(SomaAgrupBM,15-13*ORÇAMENTO!$AF$11)))</f>
        <v>0</v>
      </c>
    </row>
    <row r="200" spans="1:41" s="696" customFormat="1" ht="38.25" x14ac:dyDescent="0.2">
      <c r="A200" s="696" t="str">
        <f ca="1">ORÇAMENTO!C200</f>
        <v>S</v>
      </c>
      <c r="B200" s="696">
        <f ca="1">ORÇAMENTO!D200</f>
        <v>0</v>
      </c>
      <c r="C200" s="114" t="str">
        <f t="shared" ca="1" si="22"/>
        <v>F</v>
      </c>
      <c r="D200" s="117" t="str">
        <f ca="1">ORÇAMENTO!O200</f>
        <v>1.30.4.</v>
      </c>
      <c r="E200" s="163" t="str">
        <f t="shared" ca="1" si="23"/>
        <v>JOELHO 90 GRAUS, PVC, SERIE NORMAL, ESGOTO PREDIAL, DN 50 MM, JUNTA ELÁSTICA, FORNECIDO E INSTALADO EM RAMAL DE DESCARGA OU RAMAL DE ESGOTO SANITÁRIO. AF_08/2022</v>
      </c>
      <c r="F200" s="164" t="str">
        <f t="array" aca="1" ref="F200" ca="1">IF(RegimeExecucao="Global","",ORÇAMENTO.Unidade)</f>
        <v>UN</v>
      </c>
      <c r="G200" s="122">
        <f t="array" aca="1" ref="G200" ca="1">IF(RegimeExecucao="Global","",ORÇAMENTO!T200)</f>
        <v>180</v>
      </c>
      <c r="H200" s="122">
        <f t="array" aca="1" ref="H200" ca="1">IF(RegimeExecucao="Global","",ORÇAMENTO!W200)</f>
        <v>17.739999999999998</v>
      </c>
      <c r="I200" s="125">
        <f ca="1">ORÇAMENTO!X200</f>
        <v>3193.2</v>
      </c>
      <c r="J200" s="333">
        <f t="array" aca="1" ref="J200" ca="1">IF($A200="S",IF(CAIXA.Modo,BM.AFAnterior,BM.MEDAnterior),IF(AND(RegimeExecucao="Global",$I200&gt;0,COUNTIF($AB$13:$AM$13,BM.medicao-1)&gt;0),M200/$I200*100,0))</f>
        <v>0</v>
      </c>
      <c r="K200" s="122">
        <f t="shared" ca="1" si="24"/>
        <v>0</v>
      </c>
      <c r="L200" s="334">
        <f t="array" aca="1" ref="L200" ca="1">IF($A200="S",IF(CAIXA.Modo,BM.AFAcumulado,BM.MEDAcumulado),IF(AND(RegimeExecucao="Global",$I200&gt;0,COUNTIF($AB$13:$AM$13,BM.medicao)&gt;0),O200/$I200*100,0))</f>
        <v>0</v>
      </c>
      <c r="M200" s="335">
        <f t="array" aca="1" ref="M200" ca="1">IF($A200="S",VTOTALBM,IF($A200=0,0,ROUND(SomaAgrupBM,15-13*ORÇAMENTO!$AF$11)))</f>
        <v>0</v>
      </c>
      <c r="N200" s="336">
        <f t="shared" ca="1" si="25"/>
        <v>0</v>
      </c>
      <c r="O200" s="125">
        <f t="array" aca="1" ref="O200" ca="1">IF($A200="S",VTOTALBM,IF($A200=0,0,ROUND(SomaAgrupBM,15-13*ORÇAMENTO!$AF$11)))</f>
        <v>0</v>
      </c>
      <c r="Q200" s="337"/>
      <c r="R200" s="338"/>
      <c r="T200" s="117" t="str">
        <f t="shared" ca="1" si="26"/>
        <v/>
      </c>
      <c r="U200" s="163" t="str">
        <f t="shared" ca="1" si="27"/>
        <v/>
      </c>
      <c r="V200" s="164" t="str">
        <f t="array" aca="1" ref="V200" ca="1">IF(AND($W200&gt;0,RegimeExecucao="Unitário"),$F200,"")</f>
        <v/>
      </c>
      <c r="W200" s="453">
        <f t="array" aca="1" ref="W200" ca="1">IF($Y200&gt;0,CHOOSE(MATCH(RegimeExecucao,{"Unitário","Global"},0),IF($A200="S",$Y200/$X200,""),($Y200/$X200)*100),0)</f>
        <v>0</v>
      </c>
      <c r="X200" s="339" t="str">
        <f t="array" aca="1" ref="X200" ca="1">IF($Y200&gt;0,CHOOSE(MATCH(RegimeExecucao,{"Unitário","Global"},0),IF($A200="S",ROUND($H200,ORÇAMENTO!$AF$10),""),ROUND($I200,ORÇAMENTO!$AF$11)),"")</f>
        <v/>
      </c>
      <c r="Y200" s="339">
        <f t="shared" ca="1" si="28"/>
        <v>0</v>
      </c>
      <c r="Z200" s="472"/>
      <c r="AB200" s="337"/>
      <c r="AC200" s="437"/>
      <c r="AD200" s="437"/>
      <c r="AE200" s="437"/>
      <c r="AF200" s="437"/>
      <c r="AG200" s="437"/>
      <c r="AH200" s="437"/>
      <c r="AI200" s="437"/>
      <c r="AJ200" s="437"/>
      <c r="AK200" s="437"/>
      <c r="AL200" s="437"/>
      <c r="AM200" s="338"/>
      <c r="AO200" s="696">
        <f t="array" aca="1" ref="AO200" ca="1">IF($A200="S",IF(BM!$I200=0,0,CHOOSE(MATCH(RegimeExecucao,{"Global","Unitário"},0),ROUND(ROUND(BM.MEDAcumulado,15-13*BM!$A$9)/100*BM!$I200,15-13*ORÇAMENTO!$AF$11),ROUND(ROUND(BM.MEDAcumulado,15-13*BM!$A$9)*ROUND(BM!$H200,15-13*ORÇAMENTO!$AF$10),15-13*ORÇAMENTO!$AF$11))),IF($A200=0,0,ROUND(SomaAgrupBM,15-13*ORÇAMENTO!$AF$11)))</f>
        <v>0</v>
      </c>
    </row>
    <row r="201" spans="1:41" s="696" customFormat="1" ht="38.25" x14ac:dyDescent="0.2">
      <c r="A201" s="696" t="str">
        <f ca="1">ORÇAMENTO!C201</f>
        <v>S</v>
      </c>
      <c r="B201" s="696">
        <f ca="1">ORÇAMENTO!D201</f>
        <v>0</v>
      </c>
      <c r="C201" s="114" t="str">
        <f t="shared" ca="1" si="22"/>
        <v>F</v>
      </c>
      <c r="D201" s="117" t="str">
        <f ca="1">ORÇAMENTO!O201</f>
        <v>1.30.5.</v>
      </c>
      <c r="E201" s="163" t="str">
        <f t="shared" ca="1" si="23"/>
        <v>JOELHO 90 GRAUS, PVC, SERIE NORMAL, ESGOTO PREDIAL, DN 100 MM, JUNTA ELÁSTICA, FORNECIDO E INSTALADO EM RAMAL DE DESCARGA OU RAMAL DE ESGOTO SANITÁRIO. AF_08/2022</v>
      </c>
      <c r="F201" s="164" t="str">
        <f t="array" aca="1" ref="F201" ca="1">IF(RegimeExecucao="Global","",ORÇAMENTO.Unidade)</f>
        <v>UN</v>
      </c>
      <c r="G201" s="122">
        <f t="array" aca="1" ref="G201" ca="1">IF(RegimeExecucao="Global","",ORÇAMENTO!T201)</f>
        <v>20</v>
      </c>
      <c r="H201" s="122">
        <f t="array" aca="1" ref="H201" ca="1">IF(RegimeExecucao="Global","",ORÇAMENTO!W201)</f>
        <v>32.56</v>
      </c>
      <c r="I201" s="125">
        <f ca="1">ORÇAMENTO!X201</f>
        <v>651.20000000000005</v>
      </c>
      <c r="J201" s="333">
        <f t="array" aca="1" ref="J201" ca="1">IF($A201="S",IF(CAIXA.Modo,BM.AFAnterior,BM.MEDAnterior),IF(AND(RegimeExecucao="Global",$I201&gt;0,COUNTIF($AB$13:$AM$13,BM.medicao-1)&gt;0),M201/$I201*100,0))</f>
        <v>0</v>
      </c>
      <c r="K201" s="122">
        <f t="shared" ca="1" si="24"/>
        <v>0</v>
      </c>
      <c r="L201" s="334">
        <f t="array" aca="1" ref="L201" ca="1">IF($A201="S",IF(CAIXA.Modo,BM.AFAcumulado,BM.MEDAcumulado),IF(AND(RegimeExecucao="Global",$I201&gt;0,COUNTIF($AB$13:$AM$13,BM.medicao)&gt;0),O201/$I201*100,0))</f>
        <v>0</v>
      </c>
      <c r="M201" s="335">
        <f t="array" aca="1" ref="M201" ca="1">IF($A201="S",VTOTALBM,IF($A201=0,0,ROUND(SomaAgrupBM,15-13*ORÇAMENTO!$AF$11)))</f>
        <v>0</v>
      </c>
      <c r="N201" s="336">
        <f t="shared" ca="1" si="25"/>
        <v>0</v>
      </c>
      <c r="O201" s="125">
        <f t="array" aca="1" ref="O201" ca="1">IF($A201="S",VTOTALBM,IF($A201=0,0,ROUND(SomaAgrupBM,15-13*ORÇAMENTO!$AF$11)))</f>
        <v>0</v>
      </c>
      <c r="Q201" s="337"/>
      <c r="R201" s="338"/>
      <c r="T201" s="117" t="str">
        <f t="shared" ca="1" si="26"/>
        <v/>
      </c>
      <c r="U201" s="163" t="str">
        <f t="shared" ca="1" si="27"/>
        <v/>
      </c>
      <c r="V201" s="164" t="str">
        <f t="array" aca="1" ref="V201" ca="1">IF(AND($W201&gt;0,RegimeExecucao="Unitário"),$F201,"")</f>
        <v/>
      </c>
      <c r="W201" s="453">
        <f t="array" aca="1" ref="W201" ca="1">IF($Y201&gt;0,CHOOSE(MATCH(RegimeExecucao,{"Unitário","Global"},0),IF($A201="S",$Y201/$X201,""),($Y201/$X201)*100),0)</f>
        <v>0</v>
      </c>
      <c r="X201" s="339" t="str">
        <f t="array" aca="1" ref="X201" ca="1">IF($Y201&gt;0,CHOOSE(MATCH(RegimeExecucao,{"Unitário","Global"},0),IF($A201="S",ROUND($H201,ORÇAMENTO!$AF$10),""),ROUND($I201,ORÇAMENTO!$AF$11)),"")</f>
        <v/>
      </c>
      <c r="Y201" s="339">
        <f t="shared" ca="1" si="28"/>
        <v>0</v>
      </c>
      <c r="Z201" s="472"/>
      <c r="AB201" s="337"/>
      <c r="AC201" s="437"/>
      <c r="AD201" s="437"/>
      <c r="AE201" s="437"/>
      <c r="AF201" s="437"/>
      <c r="AG201" s="437"/>
      <c r="AH201" s="437"/>
      <c r="AI201" s="437"/>
      <c r="AJ201" s="437"/>
      <c r="AK201" s="437"/>
      <c r="AL201" s="437"/>
      <c r="AM201" s="338"/>
      <c r="AO201" s="696">
        <f t="array" aca="1" ref="AO201" ca="1">IF($A201="S",IF(BM!$I201=0,0,CHOOSE(MATCH(RegimeExecucao,{"Global","Unitário"},0),ROUND(ROUND(BM.MEDAcumulado,15-13*BM!$A$9)/100*BM!$I201,15-13*ORÇAMENTO!$AF$11),ROUND(ROUND(BM.MEDAcumulado,15-13*BM!$A$9)*ROUND(BM!$H201,15-13*ORÇAMENTO!$AF$10),15-13*ORÇAMENTO!$AF$11))),IF($A201=0,0,ROUND(SomaAgrupBM,15-13*ORÇAMENTO!$AF$11)))</f>
        <v>0</v>
      </c>
    </row>
    <row r="202" spans="1:41" s="696" customFormat="1" ht="38.25" x14ac:dyDescent="0.2">
      <c r="A202" s="696" t="str">
        <f ca="1">ORÇAMENTO!C202</f>
        <v>S</v>
      </c>
      <c r="B202" s="696">
        <f ca="1">ORÇAMENTO!D202</f>
        <v>0</v>
      </c>
      <c r="C202" s="114" t="str">
        <f t="shared" ca="1" si="22"/>
        <v>F</v>
      </c>
      <c r="D202" s="117" t="str">
        <f ca="1">ORÇAMENTO!O202</f>
        <v>1.30.6.</v>
      </c>
      <c r="E202" s="163" t="str">
        <f t="shared" ca="1" si="23"/>
        <v>TE, PVC, SERIE NORMAL, ESGOTO PREDIAL, DN 50 X 50 MM, JUNTA ELÁSTICA, FORNECIDO E INSTALADO EM RAMAL DE DESCARGA OU RAMAL DE ESGOTO SANITÁRIO. AF_08/2022</v>
      </c>
      <c r="F202" s="164" t="str">
        <f t="array" aca="1" ref="F202" ca="1">IF(RegimeExecucao="Global","",ORÇAMENTO.Unidade)</f>
        <v>UN</v>
      </c>
      <c r="G202" s="122">
        <f t="array" aca="1" ref="G202" ca="1">IF(RegimeExecucao="Global","",ORÇAMENTO!T202)</f>
        <v>20</v>
      </c>
      <c r="H202" s="122">
        <f t="array" aca="1" ref="H202" ca="1">IF(RegimeExecucao="Global","",ORÇAMENTO!W202)</f>
        <v>28.66</v>
      </c>
      <c r="I202" s="125">
        <f ca="1">ORÇAMENTO!X202</f>
        <v>573.20000000000005</v>
      </c>
      <c r="J202" s="333">
        <f t="array" aca="1" ref="J202" ca="1">IF($A202="S",IF(CAIXA.Modo,BM.AFAnterior,BM.MEDAnterior),IF(AND(RegimeExecucao="Global",$I202&gt;0,COUNTIF($AB$13:$AM$13,BM.medicao-1)&gt;0),M202/$I202*100,0))</f>
        <v>0</v>
      </c>
      <c r="K202" s="122">
        <f t="shared" ca="1" si="24"/>
        <v>0</v>
      </c>
      <c r="L202" s="334">
        <f t="array" aca="1" ref="L202" ca="1">IF($A202="S",IF(CAIXA.Modo,BM.AFAcumulado,BM.MEDAcumulado),IF(AND(RegimeExecucao="Global",$I202&gt;0,COUNTIF($AB$13:$AM$13,BM.medicao)&gt;0),O202/$I202*100,0))</f>
        <v>0</v>
      </c>
      <c r="M202" s="335">
        <f t="array" aca="1" ref="M202" ca="1">IF($A202="S",VTOTALBM,IF($A202=0,0,ROUND(SomaAgrupBM,15-13*ORÇAMENTO!$AF$11)))</f>
        <v>0</v>
      </c>
      <c r="N202" s="336">
        <f t="shared" ca="1" si="25"/>
        <v>0</v>
      </c>
      <c r="O202" s="125">
        <f t="array" aca="1" ref="O202" ca="1">IF($A202="S",VTOTALBM,IF($A202=0,0,ROUND(SomaAgrupBM,15-13*ORÇAMENTO!$AF$11)))</f>
        <v>0</v>
      </c>
      <c r="Q202" s="337"/>
      <c r="R202" s="338"/>
      <c r="T202" s="117" t="str">
        <f t="shared" ca="1" si="26"/>
        <v/>
      </c>
      <c r="U202" s="163" t="str">
        <f t="shared" ca="1" si="27"/>
        <v/>
      </c>
      <c r="V202" s="164" t="str">
        <f t="array" aca="1" ref="V202" ca="1">IF(AND($W202&gt;0,RegimeExecucao="Unitário"),$F202,"")</f>
        <v/>
      </c>
      <c r="W202" s="453">
        <f t="array" aca="1" ref="W202" ca="1">IF($Y202&gt;0,CHOOSE(MATCH(RegimeExecucao,{"Unitário","Global"},0),IF($A202="S",$Y202/$X202,""),($Y202/$X202)*100),0)</f>
        <v>0</v>
      </c>
      <c r="X202" s="339" t="str">
        <f t="array" aca="1" ref="X202" ca="1">IF($Y202&gt;0,CHOOSE(MATCH(RegimeExecucao,{"Unitário","Global"},0),IF($A202="S",ROUND($H202,ORÇAMENTO!$AF$10),""),ROUND($I202,ORÇAMENTO!$AF$11)),"")</f>
        <v/>
      </c>
      <c r="Y202" s="339">
        <f t="shared" ca="1" si="28"/>
        <v>0</v>
      </c>
      <c r="Z202" s="472"/>
      <c r="AB202" s="337"/>
      <c r="AC202" s="437"/>
      <c r="AD202" s="437"/>
      <c r="AE202" s="437"/>
      <c r="AF202" s="437"/>
      <c r="AG202" s="437"/>
      <c r="AH202" s="437"/>
      <c r="AI202" s="437"/>
      <c r="AJ202" s="437"/>
      <c r="AK202" s="437"/>
      <c r="AL202" s="437"/>
      <c r="AM202" s="338"/>
      <c r="AO202" s="696">
        <f t="array" aca="1" ref="AO202" ca="1">IF($A202="S",IF(BM!$I202=0,0,CHOOSE(MATCH(RegimeExecucao,{"Global","Unitário"},0),ROUND(ROUND(BM.MEDAcumulado,15-13*BM!$A$9)/100*BM!$I202,15-13*ORÇAMENTO!$AF$11),ROUND(ROUND(BM.MEDAcumulado,15-13*BM!$A$9)*ROUND(BM!$H202,15-13*ORÇAMENTO!$AF$10),15-13*ORÇAMENTO!$AF$11))),IF($A202=0,0,ROUND(SomaAgrupBM,15-13*ORÇAMENTO!$AF$11)))</f>
        <v>0</v>
      </c>
    </row>
    <row r="203" spans="1:41" s="696" customFormat="1" ht="51" x14ac:dyDescent="0.2">
      <c r="A203" s="696" t="str">
        <f ca="1">ORÇAMENTO!C203</f>
        <v>S</v>
      </c>
      <c r="B203" s="696">
        <f ca="1">ORÇAMENTO!D203</f>
        <v>0</v>
      </c>
      <c r="C203" s="114" t="str">
        <f t="shared" ca="1" si="22"/>
        <v>F</v>
      </c>
      <c r="D203" s="117" t="str">
        <f ca="1">ORÇAMENTO!O203</f>
        <v>1.30.7.</v>
      </c>
      <c r="E203" s="163" t="str">
        <f t="shared" ca="1" si="23"/>
        <v>JUNÇÃO DE REDUÇÃO INVERTIDA, PVC, SÉRIE NORMAL, ESGOTO PREDIAL, DN 100 X 50 MM, JUNTA ELÁSTICA, FORNECIDO E INSTALADO EM RAMAL DE DESCARGA OU RAMAL DE ESGOTO SANITÁRIO. AF_08/2022</v>
      </c>
      <c r="F203" s="164" t="str">
        <f t="array" aca="1" ref="F203" ca="1">IF(RegimeExecucao="Global","",ORÇAMENTO.Unidade)</f>
        <v>UN</v>
      </c>
      <c r="G203" s="122">
        <f t="array" aca="1" ref="G203" ca="1">IF(RegimeExecucao="Global","",ORÇAMENTO!T203)</f>
        <v>20</v>
      </c>
      <c r="H203" s="122">
        <f t="array" aca="1" ref="H203" ca="1">IF(RegimeExecucao="Global","",ORÇAMENTO!W203)</f>
        <v>50.62</v>
      </c>
      <c r="I203" s="125">
        <f ca="1">ORÇAMENTO!X203</f>
        <v>1012.4</v>
      </c>
      <c r="J203" s="333">
        <f t="array" aca="1" ref="J203" ca="1">IF($A203="S",IF(CAIXA.Modo,BM.AFAnterior,BM.MEDAnterior),IF(AND(RegimeExecucao="Global",$I203&gt;0,COUNTIF($AB$13:$AM$13,BM.medicao-1)&gt;0),M203/$I203*100,0))</f>
        <v>0</v>
      </c>
      <c r="K203" s="122">
        <f t="shared" ca="1" si="24"/>
        <v>0</v>
      </c>
      <c r="L203" s="334">
        <f t="array" aca="1" ref="L203" ca="1">IF($A203="S",IF(CAIXA.Modo,BM.AFAcumulado,BM.MEDAcumulado),IF(AND(RegimeExecucao="Global",$I203&gt;0,COUNTIF($AB$13:$AM$13,BM.medicao)&gt;0),O203/$I203*100,0))</f>
        <v>0</v>
      </c>
      <c r="M203" s="335">
        <f t="array" aca="1" ref="M203" ca="1">IF($A203="S",VTOTALBM,IF($A203=0,0,ROUND(SomaAgrupBM,15-13*ORÇAMENTO!$AF$11)))</f>
        <v>0</v>
      </c>
      <c r="N203" s="336">
        <f t="shared" ca="1" si="25"/>
        <v>0</v>
      </c>
      <c r="O203" s="125">
        <f t="array" aca="1" ref="O203" ca="1">IF($A203="S",VTOTALBM,IF($A203=0,0,ROUND(SomaAgrupBM,15-13*ORÇAMENTO!$AF$11)))</f>
        <v>0</v>
      </c>
      <c r="Q203" s="337"/>
      <c r="R203" s="338"/>
      <c r="T203" s="117" t="str">
        <f t="shared" ca="1" si="26"/>
        <v/>
      </c>
      <c r="U203" s="163" t="str">
        <f t="shared" ca="1" si="27"/>
        <v/>
      </c>
      <c r="V203" s="164" t="str">
        <f t="array" aca="1" ref="V203" ca="1">IF(AND($W203&gt;0,RegimeExecucao="Unitário"),$F203,"")</f>
        <v/>
      </c>
      <c r="W203" s="453">
        <f t="array" aca="1" ref="W203" ca="1">IF($Y203&gt;0,CHOOSE(MATCH(RegimeExecucao,{"Unitário","Global"},0),IF($A203="S",$Y203/$X203,""),($Y203/$X203)*100),0)</f>
        <v>0</v>
      </c>
      <c r="X203" s="339" t="str">
        <f t="array" aca="1" ref="X203" ca="1">IF($Y203&gt;0,CHOOSE(MATCH(RegimeExecucao,{"Unitário","Global"},0),IF($A203="S",ROUND($H203,ORÇAMENTO!$AF$10),""),ROUND($I203,ORÇAMENTO!$AF$11)),"")</f>
        <v/>
      </c>
      <c r="Y203" s="339">
        <f t="shared" ca="1" si="28"/>
        <v>0</v>
      </c>
      <c r="Z203" s="472"/>
      <c r="AB203" s="337"/>
      <c r="AC203" s="437"/>
      <c r="AD203" s="437"/>
      <c r="AE203" s="437"/>
      <c r="AF203" s="437"/>
      <c r="AG203" s="437"/>
      <c r="AH203" s="437"/>
      <c r="AI203" s="437"/>
      <c r="AJ203" s="437"/>
      <c r="AK203" s="437"/>
      <c r="AL203" s="437"/>
      <c r="AM203" s="338"/>
      <c r="AO203" s="696">
        <f t="array" aca="1" ref="AO203" ca="1">IF($A203="S",IF(BM!$I203=0,0,CHOOSE(MATCH(RegimeExecucao,{"Global","Unitário"},0),ROUND(ROUND(BM.MEDAcumulado,15-13*BM!$A$9)/100*BM!$I203,15-13*ORÇAMENTO!$AF$11),ROUND(ROUND(BM.MEDAcumulado,15-13*BM!$A$9)*ROUND(BM!$H203,15-13*ORÇAMENTO!$AF$10),15-13*ORÇAMENTO!$AF$11))),IF($A203=0,0,ROUND(SomaAgrupBM,15-13*ORÇAMENTO!$AF$11)))</f>
        <v>0</v>
      </c>
    </row>
    <row r="204" spans="1:41" s="696" customFormat="1" ht="38.25" x14ac:dyDescent="0.2">
      <c r="A204" s="696" t="str">
        <f ca="1">ORÇAMENTO!C204</f>
        <v>S</v>
      </c>
      <c r="B204" s="696">
        <f ca="1">ORÇAMENTO!D204</f>
        <v>0</v>
      </c>
      <c r="C204" s="114" t="str">
        <f t="shared" ca="1" si="22"/>
        <v>F</v>
      </c>
      <c r="D204" s="117" t="str">
        <f ca="1">ORÇAMENTO!O204</f>
        <v>1.30.8.</v>
      </c>
      <c r="E204" s="163" t="str">
        <f t="shared" ca="1" si="23"/>
        <v>TERMINAL DE VENTILAÇÃO, PVC, SÉRIE NORMAL, ESGOTO PREDIAL, DN 50 MM, JUNTA SOLDÁVEL, FORNECIDO E INSTALADO EM PRUMADA DE ESGOTO SANITÁRIO OU VENTILAÇÃO. AF_08/2022</v>
      </c>
      <c r="F204" s="164" t="str">
        <f t="array" aca="1" ref="F204" ca="1">IF(RegimeExecucao="Global","",ORÇAMENTO.Unidade)</f>
        <v>UN</v>
      </c>
      <c r="G204" s="122">
        <f t="array" aca="1" ref="G204" ca="1">IF(RegimeExecucao="Global","",ORÇAMENTO!T204)</f>
        <v>20</v>
      </c>
      <c r="H204" s="122">
        <f t="array" aca="1" ref="H204" ca="1">IF(RegimeExecucao="Global","",ORÇAMENTO!W204)</f>
        <v>13.18</v>
      </c>
      <c r="I204" s="125">
        <f ca="1">ORÇAMENTO!X204</f>
        <v>263.60000000000002</v>
      </c>
      <c r="J204" s="333">
        <f t="array" aca="1" ref="J204" ca="1">IF($A204="S",IF(CAIXA.Modo,BM.AFAnterior,BM.MEDAnterior),IF(AND(RegimeExecucao="Global",$I204&gt;0,COUNTIF($AB$13:$AM$13,BM.medicao-1)&gt;0),M204/$I204*100,0))</f>
        <v>0</v>
      </c>
      <c r="K204" s="122">
        <f t="shared" ca="1" si="24"/>
        <v>0</v>
      </c>
      <c r="L204" s="334">
        <f t="array" aca="1" ref="L204" ca="1">IF($A204="S",IF(CAIXA.Modo,BM.AFAcumulado,BM.MEDAcumulado),IF(AND(RegimeExecucao="Global",$I204&gt;0,COUNTIF($AB$13:$AM$13,BM.medicao)&gt;0),O204/$I204*100,0))</f>
        <v>0</v>
      </c>
      <c r="M204" s="335">
        <f t="array" aca="1" ref="M204" ca="1">IF($A204="S",VTOTALBM,IF($A204=0,0,ROUND(SomaAgrupBM,15-13*ORÇAMENTO!$AF$11)))</f>
        <v>0</v>
      </c>
      <c r="N204" s="336">
        <f t="shared" ca="1" si="25"/>
        <v>0</v>
      </c>
      <c r="O204" s="125">
        <f t="array" aca="1" ref="O204" ca="1">IF($A204="S",VTOTALBM,IF($A204=0,0,ROUND(SomaAgrupBM,15-13*ORÇAMENTO!$AF$11)))</f>
        <v>0</v>
      </c>
      <c r="Q204" s="337"/>
      <c r="R204" s="338"/>
      <c r="T204" s="117" t="str">
        <f t="shared" ca="1" si="26"/>
        <v/>
      </c>
      <c r="U204" s="163" t="str">
        <f t="shared" ca="1" si="27"/>
        <v/>
      </c>
      <c r="V204" s="164" t="str">
        <f t="array" aca="1" ref="V204" ca="1">IF(AND($W204&gt;0,RegimeExecucao="Unitário"),$F204,"")</f>
        <v/>
      </c>
      <c r="W204" s="453">
        <f t="array" aca="1" ref="W204" ca="1">IF($Y204&gt;0,CHOOSE(MATCH(RegimeExecucao,{"Unitário","Global"},0),IF($A204="S",$Y204/$X204,""),($Y204/$X204)*100),0)</f>
        <v>0</v>
      </c>
      <c r="X204" s="339" t="str">
        <f t="array" aca="1" ref="X204" ca="1">IF($Y204&gt;0,CHOOSE(MATCH(RegimeExecucao,{"Unitário","Global"},0),IF($A204="S",ROUND($H204,ORÇAMENTO!$AF$10),""),ROUND($I204,ORÇAMENTO!$AF$11)),"")</f>
        <v/>
      </c>
      <c r="Y204" s="339">
        <f t="shared" ca="1" si="28"/>
        <v>0</v>
      </c>
      <c r="Z204" s="472"/>
      <c r="AB204" s="337"/>
      <c r="AC204" s="437"/>
      <c r="AD204" s="437"/>
      <c r="AE204" s="437"/>
      <c r="AF204" s="437"/>
      <c r="AG204" s="437"/>
      <c r="AH204" s="437"/>
      <c r="AI204" s="437"/>
      <c r="AJ204" s="437"/>
      <c r="AK204" s="437"/>
      <c r="AL204" s="437"/>
      <c r="AM204" s="338"/>
      <c r="AO204" s="696">
        <f t="array" aca="1" ref="AO204" ca="1">IF($A204="S",IF(BM!$I204=0,0,CHOOSE(MATCH(RegimeExecucao,{"Global","Unitário"},0),ROUND(ROUND(BM.MEDAcumulado,15-13*BM!$A$9)/100*BM!$I204,15-13*ORÇAMENTO!$AF$11),ROUND(ROUND(BM.MEDAcumulado,15-13*BM!$A$9)*ROUND(BM!$H204,15-13*ORÇAMENTO!$AF$10),15-13*ORÇAMENTO!$AF$11))),IF($A204=0,0,ROUND(SomaAgrupBM,15-13*ORÇAMENTO!$AF$11)))</f>
        <v>0</v>
      </c>
    </row>
    <row r="205" spans="1:41" s="696" customFormat="1" ht="38.25" x14ac:dyDescent="0.2">
      <c r="A205" s="696" t="str">
        <f ca="1">ORÇAMENTO!C205</f>
        <v>S</v>
      </c>
      <c r="B205" s="696">
        <f ca="1">ORÇAMENTO!D205</f>
        <v>0</v>
      </c>
      <c r="C205" s="114" t="str">
        <f t="shared" ca="1" si="22"/>
        <v>F</v>
      </c>
      <c r="D205" s="117" t="str">
        <f ca="1">ORÇAMENTO!O205</f>
        <v>1.30.9.</v>
      </c>
      <c r="E205" s="163" t="str">
        <f t="shared" ca="1" si="23"/>
        <v>TUBO PVC, SERIE NORMAL, ESGOTO PREDIAL, DN 40 MM, FORNECIDO E INSTALADO EM RAMAL DE DESCARGA OU RAMAL DE ESGOTO SANITÁRIO. AF_08/2022</v>
      </c>
      <c r="F205" s="164" t="str">
        <f t="array" aca="1" ref="F205" ca="1">IF(RegimeExecucao="Global","",ORÇAMENTO.Unidade)</f>
        <v>M</v>
      </c>
      <c r="G205" s="122">
        <f t="array" aca="1" ref="G205" ca="1">IF(RegimeExecucao="Global","",ORÇAMENTO!T205)</f>
        <v>67</v>
      </c>
      <c r="H205" s="122">
        <f t="array" aca="1" ref="H205" ca="1">IF(RegimeExecucao="Global","",ORÇAMENTO!W205)</f>
        <v>26.41</v>
      </c>
      <c r="I205" s="125">
        <f ca="1">ORÇAMENTO!X205</f>
        <v>1769.48</v>
      </c>
      <c r="J205" s="333">
        <f t="array" aca="1" ref="J205" ca="1">IF($A205="S",IF(CAIXA.Modo,BM.AFAnterior,BM.MEDAnterior),IF(AND(RegimeExecucao="Global",$I205&gt;0,COUNTIF($AB$13:$AM$13,BM.medicao-1)&gt;0),M205/$I205*100,0))</f>
        <v>0</v>
      </c>
      <c r="K205" s="122">
        <f t="shared" ca="1" si="24"/>
        <v>0</v>
      </c>
      <c r="L205" s="334">
        <f t="array" aca="1" ref="L205" ca="1">IF($A205="S",IF(CAIXA.Modo,BM.AFAcumulado,BM.MEDAcumulado),IF(AND(RegimeExecucao="Global",$I205&gt;0,COUNTIF($AB$13:$AM$13,BM.medicao)&gt;0),O205/$I205*100,0))</f>
        <v>0</v>
      </c>
      <c r="M205" s="335">
        <f t="array" aca="1" ref="M205" ca="1">IF($A205="S",VTOTALBM,IF($A205=0,0,ROUND(SomaAgrupBM,15-13*ORÇAMENTO!$AF$11)))</f>
        <v>0</v>
      </c>
      <c r="N205" s="336">
        <f t="shared" ca="1" si="25"/>
        <v>0</v>
      </c>
      <c r="O205" s="125">
        <f t="array" aca="1" ref="O205" ca="1">IF($A205="S",VTOTALBM,IF($A205=0,0,ROUND(SomaAgrupBM,15-13*ORÇAMENTO!$AF$11)))</f>
        <v>0</v>
      </c>
      <c r="Q205" s="337"/>
      <c r="R205" s="338"/>
      <c r="T205" s="117" t="str">
        <f t="shared" ca="1" si="26"/>
        <v/>
      </c>
      <c r="U205" s="163" t="str">
        <f t="shared" ca="1" si="27"/>
        <v/>
      </c>
      <c r="V205" s="164" t="str">
        <f t="array" aca="1" ref="V205" ca="1">IF(AND($W205&gt;0,RegimeExecucao="Unitário"),$F205,"")</f>
        <v/>
      </c>
      <c r="W205" s="453">
        <f t="array" aca="1" ref="W205" ca="1">IF($Y205&gt;0,CHOOSE(MATCH(RegimeExecucao,{"Unitário","Global"},0),IF($A205="S",$Y205/$X205,""),($Y205/$X205)*100),0)</f>
        <v>0</v>
      </c>
      <c r="X205" s="339" t="str">
        <f t="array" aca="1" ref="X205" ca="1">IF($Y205&gt;0,CHOOSE(MATCH(RegimeExecucao,{"Unitário","Global"},0),IF($A205="S",ROUND($H205,ORÇAMENTO!$AF$10),""),ROUND($I205,ORÇAMENTO!$AF$11)),"")</f>
        <v/>
      </c>
      <c r="Y205" s="339">
        <f t="shared" ca="1" si="28"/>
        <v>0</v>
      </c>
      <c r="Z205" s="472"/>
      <c r="AB205" s="337"/>
      <c r="AC205" s="437"/>
      <c r="AD205" s="437"/>
      <c r="AE205" s="437"/>
      <c r="AF205" s="437"/>
      <c r="AG205" s="437"/>
      <c r="AH205" s="437"/>
      <c r="AI205" s="437"/>
      <c r="AJ205" s="437"/>
      <c r="AK205" s="437"/>
      <c r="AL205" s="437"/>
      <c r="AM205" s="338"/>
      <c r="AO205" s="696">
        <f t="array" aca="1" ref="AO205" ca="1">IF($A205="S",IF(BM!$I205=0,0,CHOOSE(MATCH(RegimeExecucao,{"Global","Unitário"},0),ROUND(ROUND(BM.MEDAcumulado,15-13*BM!$A$9)/100*BM!$I205,15-13*ORÇAMENTO!$AF$11),ROUND(ROUND(BM.MEDAcumulado,15-13*BM!$A$9)*ROUND(BM!$H205,15-13*ORÇAMENTO!$AF$10),15-13*ORÇAMENTO!$AF$11))),IF($A205=0,0,ROUND(SomaAgrupBM,15-13*ORÇAMENTO!$AF$11)))</f>
        <v>0</v>
      </c>
    </row>
    <row r="206" spans="1:41" s="696" customFormat="1" ht="38.25" x14ac:dyDescent="0.2">
      <c r="A206" s="696" t="str">
        <f ca="1">ORÇAMENTO!C206</f>
        <v>S</v>
      </c>
      <c r="B206" s="696">
        <f ca="1">ORÇAMENTO!D206</f>
        <v>0</v>
      </c>
      <c r="C206" s="114" t="str">
        <f t="shared" ca="1" si="22"/>
        <v>F</v>
      </c>
      <c r="D206" s="117" t="str">
        <f ca="1">ORÇAMENTO!O206</f>
        <v>1.30.10.</v>
      </c>
      <c r="E206" s="163" t="str">
        <f t="shared" ca="1" si="23"/>
        <v>TUBO PVC, SERIE NORMAL, ESGOTO PREDIAL, DN 50 MM, FORNECIDO E INSTALADO EM RAMAL DE DESCARGA OU RAMAL DE ESGOTO SANITÁRIO. AF_08/2022</v>
      </c>
      <c r="F206" s="164" t="str">
        <f t="array" aca="1" ref="F206" ca="1">IF(RegimeExecucao="Global","",ORÇAMENTO.Unidade)</f>
        <v>M</v>
      </c>
      <c r="G206" s="122">
        <f t="array" aca="1" ref="G206" ca="1">IF(RegimeExecucao="Global","",ORÇAMENTO!T206)</f>
        <v>204.2</v>
      </c>
      <c r="H206" s="122">
        <f t="array" aca="1" ref="H206" ca="1">IF(RegimeExecucao="Global","",ORÇAMENTO!W206)</f>
        <v>33.270000000000003</v>
      </c>
      <c r="I206" s="125">
        <f ca="1">ORÇAMENTO!X206</f>
        <v>6793.72</v>
      </c>
      <c r="J206" s="333">
        <f t="array" aca="1" ref="J206" ca="1">IF($A206="S",IF(CAIXA.Modo,BM.AFAnterior,BM.MEDAnterior),IF(AND(RegimeExecucao="Global",$I206&gt;0,COUNTIF($AB$13:$AM$13,BM.medicao-1)&gt;0),M206/$I206*100,0))</f>
        <v>0</v>
      </c>
      <c r="K206" s="122">
        <f t="shared" ca="1" si="24"/>
        <v>0</v>
      </c>
      <c r="L206" s="334">
        <f t="array" aca="1" ref="L206" ca="1">IF($A206="S",IF(CAIXA.Modo,BM.AFAcumulado,BM.MEDAcumulado),IF(AND(RegimeExecucao="Global",$I206&gt;0,COUNTIF($AB$13:$AM$13,BM.medicao)&gt;0),O206/$I206*100,0))</f>
        <v>0</v>
      </c>
      <c r="M206" s="335">
        <f t="array" aca="1" ref="M206" ca="1">IF($A206="S",VTOTALBM,IF($A206=0,0,ROUND(SomaAgrupBM,15-13*ORÇAMENTO!$AF$11)))</f>
        <v>0</v>
      </c>
      <c r="N206" s="336">
        <f t="shared" ca="1" si="25"/>
        <v>0</v>
      </c>
      <c r="O206" s="125">
        <f t="array" aca="1" ref="O206" ca="1">IF($A206="S",VTOTALBM,IF($A206=0,0,ROUND(SomaAgrupBM,15-13*ORÇAMENTO!$AF$11)))</f>
        <v>0</v>
      </c>
      <c r="Q206" s="337"/>
      <c r="R206" s="338"/>
      <c r="T206" s="117" t="str">
        <f t="shared" ca="1" si="26"/>
        <v/>
      </c>
      <c r="U206" s="163" t="str">
        <f t="shared" ca="1" si="27"/>
        <v/>
      </c>
      <c r="V206" s="164" t="str">
        <f t="array" aca="1" ref="V206" ca="1">IF(AND($W206&gt;0,RegimeExecucao="Unitário"),$F206,"")</f>
        <v/>
      </c>
      <c r="W206" s="453">
        <f t="array" aca="1" ref="W206" ca="1">IF($Y206&gt;0,CHOOSE(MATCH(RegimeExecucao,{"Unitário","Global"},0),IF($A206="S",$Y206/$X206,""),($Y206/$X206)*100),0)</f>
        <v>0</v>
      </c>
      <c r="X206" s="339" t="str">
        <f t="array" aca="1" ref="X206" ca="1">IF($Y206&gt;0,CHOOSE(MATCH(RegimeExecucao,{"Unitário","Global"},0),IF($A206="S",ROUND($H206,ORÇAMENTO!$AF$10),""),ROUND($I206,ORÇAMENTO!$AF$11)),"")</f>
        <v/>
      </c>
      <c r="Y206" s="339">
        <f t="shared" ca="1" si="28"/>
        <v>0</v>
      </c>
      <c r="Z206" s="472"/>
      <c r="AB206" s="337"/>
      <c r="AC206" s="437"/>
      <c r="AD206" s="437"/>
      <c r="AE206" s="437"/>
      <c r="AF206" s="437"/>
      <c r="AG206" s="437"/>
      <c r="AH206" s="437"/>
      <c r="AI206" s="437"/>
      <c r="AJ206" s="437"/>
      <c r="AK206" s="437"/>
      <c r="AL206" s="437"/>
      <c r="AM206" s="338"/>
      <c r="AO206" s="696">
        <f t="array" aca="1" ref="AO206" ca="1">IF($A206="S",IF(BM!$I206=0,0,CHOOSE(MATCH(RegimeExecucao,{"Global","Unitário"},0),ROUND(ROUND(BM.MEDAcumulado,15-13*BM!$A$9)/100*BM!$I206,15-13*ORÇAMENTO!$AF$11),ROUND(ROUND(BM.MEDAcumulado,15-13*BM!$A$9)*ROUND(BM!$H206,15-13*ORÇAMENTO!$AF$10),15-13*ORÇAMENTO!$AF$11))),IF($A206=0,0,ROUND(SomaAgrupBM,15-13*ORÇAMENTO!$AF$11)))</f>
        <v>0</v>
      </c>
    </row>
    <row r="207" spans="1:41" s="696" customFormat="1" ht="38.25" x14ac:dyDescent="0.2">
      <c r="A207" s="696" t="str">
        <f ca="1">ORÇAMENTO!C207</f>
        <v>S</v>
      </c>
      <c r="B207" s="696">
        <f ca="1">ORÇAMENTO!D207</f>
        <v>0</v>
      </c>
      <c r="C207" s="114" t="str">
        <f t="shared" ca="1" si="22"/>
        <v>F</v>
      </c>
      <c r="D207" s="117" t="str">
        <f ca="1">ORÇAMENTO!O207</f>
        <v>1.30.11.</v>
      </c>
      <c r="E207" s="163" t="str">
        <f t="shared" ca="1" si="23"/>
        <v>TUBO PVC, SERIE NORMAL, ESGOTO PREDIAL, DN 50 MM, FORNECIDO E INSTALADO EM PRUMADA DE ESGOTO SANITÁRIO OU VENTILAÇÃO. AF_08/2022</v>
      </c>
      <c r="F207" s="164" t="str">
        <f t="array" aca="1" ref="F207" ca="1">IF(RegimeExecucao="Global","",ORÇAMENTO.Unidade)</f>
        <v>M</v>
      </c>
      <c r="G207" s="122">
        <f t="array" aca="1" ref="G207" ca="1">IF(RegimeExecucao="Global","",ORÇAMENTO!T207)</f>
        <v>160</v>
      </c>
      <c r="H207" s="122">
        <f t="array" aca="1" ref="H207" ca="1">IF(RegimeExecucao="Global","",ORÇAMENTO!W207)</f>
        <v>16.09</v>
      </c>
      <c r="I207" s="125">
        <f ca="1">ORÇAMENTO!X207</f>
        <v>2574.4</v>
      </c>
      <c r="J207" s="333">
        <f t="array" aca="1" ref="J207" ca="1">IF($A207="S",IF(CAIXA.Modo,BM.AFAnterior,BM.MEDAnterior),IF(AND(RegimeExecucao="Global",$I207&gt;0,COUNTIF($AB$13:$AM$13,BM.medicao-1)&gt;0),M207/$I207*100,0))</f>
        <v>0</v>
      </c>
      <c r="K207" s="122">
        <f t="shared" ca="1" si="24"/>
        <v>0</v>
      </c>
      <c r="L207" s="334">
        <f t="array" aca="1" ref="L207" ca="1">IF($A207="S",IF(CAIXA.Modo,BM.AFAcumulado,BM.MEDAcumulado),IF(AND(RegimeExecucao="Global",$I207&gt;0,COUNTIF($AB$13:$AM$13,BM.medicao)&gt;0),O207/$I207*100,0))</f>
        <v>0</v>
      </c>
      <c r="M207" s="335">
        <f t="array" aca="1" ref="M207" ca="1">IF($A207="S",VTOTALBM,IF($A207=0,0,ROUND(SomaAgrupBM,15-13*ORÇAMENTO!$AF$11)))</f>
        <v>0</v>
      </c>
      <c r="N207" s="336">
        <f t="shared" ca="1" si="25"/>
        <v>0</v>
      </c>
      <c r="O207" s="125">
        <f t="array" aca="1" ref="O207" ca="1">IF($A207="S",VTOTALBM,IF($A207=0,0,ROUND(SomaAgrupBM,15-13*ORÇAMENTO!$AF$11)))</f>
        <v>0</v>
      </c>
      <c r="Q207" s="337"/>
      <c r="R207" s="338"/>
      <c r="T207" s="117" t="str">
        <f t="shared" ca="1" si="26"/>
        <v/>
      </c>
      <c r="U207" s="163" t="str">
        <f t="shared" ca="1" si="27"/>
        <v/>
      </c>
      <c r="V207" s="164" t="str">
        <f t="array" aca="1" ref="V207" ca="1">IF(AND($W207&gt;0,RegimeExecucao="Unitário"),$F207,"")</f>
        <v/>
      </c>
      <c r="W207" s="453">
        <f t="array" aca="1" ref="W207" ca="1">IF($Y207&gt;0,CHOOSE(MATCH(RegimeExecucao,{"Unitário","Global"},0),IF($A207="S",$Y207/$X207,""),($Y207/$X207)*100),0)</f>
        <v>0</v>
      </c>
      <c r="X207" s="339" t="str">
        <f t="array" aca="1" ref="X207" ca="1">IF($Y207&gt;0,CHOOSE(MATCH(RegimeExecucao,{"Unitário","Global"},0),IF($A207="S",ROUND($H207,ORÇAMENTO!$AF$10),""),ROUND($I207,ORÇAMENTO!$AF$11)),"")</f>
        <v/>
      </c>
      <c r="Y207" s="339">
        <f t="shared" ca="1" si="28"/>
        <v>0</v>
      </c>
      <c r="Z207" s="472"/>
      <c r="AB207" s="337"/>
      <c r="AC207" s="437"/>
      <c r="AD207" s="437"/>
      <c r="AE207" s="437"/>
      <c r="AF207" s="437"/>
      <c r="AG207" s="437"/>
      <c r="AH207" s="437"/>
      <c r="AI207" s="437"/>
      <c r="AJ207" s="437"/>
      <c r="AK207" s="437"/>
      <c r="AL207" s="437"/>
      <c r="AM207" s="338"/>
      <c r="AO207" s="696">
        <f t="array" aca="1" ref="AO207" ca="1">IF($A207="S",IF(BM!$I207=0,0,CHOOSE(MATCH(RegimeExecucao,{"Global","Unitário"},0),ROUND(ROUND(BM.MEDAcumulado,15-13*BM!$A$9)/100*BM!$I207,15-13*ORÇAMENTO!$AF$11),ROUND(ROUND(BM.MEDAcumulado,15-13*BM!$A$9)*ROUND(BM!$H207,15-13*ORÇAMENTO!$AF$10),15-13*ORÇAMENTO!$AF$11))),IF($A207=0,0,ROUND(SomaAgrupBM,15-13*ORÇAMENTO!$AF$11)))</f>
        <v>0</v>
      </c>
    </row>
    <row r="208" spans="1:41" s="696" customFormat="1" ht="38.25" x14ac:dyDescent="0.2">
      <c r="A208" s="696" t="str">
        <f ca="1">ORÇAMENTO!C208</f>
        <v>S</v>
      </c>
      <c r="B208" s="696">
        <f ca="1">ORÇAMENTO!D208</f>
        <v>0</v>
      </c>
      <c r="C208" s="114" t="str">
        <f t="shared" ca="1" si="22"/>
        <v>F</v>
      </c>
      <c r="D208" s="117" t="str">
        <f ca="1">ORÇAMENTO!O208</f>
        <v>1.30.12.</v>
      </c>
      <c r="E208" s="163" t="str">
        <f t="shared" ca="1" si="23"/>
        <v>TUBO PVC, SERIE NORMAL, ESGOTO PREDIAL, DN 100 MM, FORNECIDO E INSTALADO EM RAMAL DE DESCARGA OU RAMAL DE ESGOTO SANITÁRIO. AF_08/2022</v>
      </c>
      <c r="F208" s="164" t="str">
        <f t="array" aca="1" ref="F208" ca="1">IF(RegimeExecucao="Global","",ORÇAMENTO.Unidade)</f>
        <v>M</v>
      </c>
      <c r="G208" s="122">
        <f t="array" aca="1" ref="G208" ca="1">IF(RegimeExecucao="Global","",ORÇAMENTO!T208)</f>
        <v>676</v>
      </c>
      <c r="H208" s="122">
        <f t="array" aca="1" ref="H208" ca="1">IF(RegimeExecucao="Global","",ORÇAMENTO!W208)</f>
        <v>46.34</v>
      </c>
      <c r="I208" s="125">
        <f ca="1">ORÇAMENTO!X208</f>
        <v>31325.84</v>
      </c>
      <c r="J208" s="333">
        <f t="array" aca="1" ref="J208" ca="1">IF($A208="S",IF(CAIXA.Modo,BM.AFAnterior,BM.MEDAnterior),IF(AND(RegimeExecucao="Global",$I208&gt;0,COUNTIF($AB$13:$AM$13,BM.medicao-1)&gt;0),M208/$I208*100,0))</f>
        <v>0</v>
      </c>
      <c r="K208" s="122">
        <f t="shared" ca="1" si="24"/>
        <v>0</v>
      </c>
      <c r="L208" s="334">
        <f t="array" aca="1" ref="L208" ca="1">IF($A208="S",IF(CAIXA.Modo,BM.AFAcumulado,BM.MEDAcumulado),IF(AND(RegimeExecucao="Global",$I208&gt;0,COUNTIF($AB$13:$AM$13,BM.medicao)&gt;0),O208/$I208*100,0))</f>
        <v>0</v>
      </c>
      <c r="M208" s="335">
        <f t="array" aca="1" ref="M208" ca="1">IF($A208="S",VTOTALBM,IF($A208=0,0,ROUND(SomaAgrupBM,15-13*ORÇAMENTO!$AF$11)))</f>
        <v>0</v>
      </c>
      <c r="N208" s="336">
        <f t="shared" ca="1" si="25"/>
        <v>0</v>
      </c>
      <c r="O208" s="125">
        <f t="array" aca="1" ref="O208" ca="1">IF($A208="S",VTOTALBM,IF($A208=0,0,ROUND(SomaAgrupBM,15-13*ORÇAMENTO!$AF$11)))</f>
        <v>0</v>
      </c>
      <c r="Q208" s="337"/>
      <c r="R208" s="338"/>
      <c r="T208" s="117" t="str">
        <f t="shared" ca="1" si="26"/>
        <v/>
      </c>
      <c r="U208" s="163" t="str">
        <f t="shared" ca="1" si="27"/>
        <v/>
      </c>
      <c r="V208" s="164" t="str">
        <f t="array" aca="1" ref="V208" ca="1">IF(AND($W208&gt;0,RegimeExecucao="Unitário"),$F208,"")</f>
        <v/>
      </c>
      <c r="W208" s="453">
        <f t="array" aca="1" ref="W208" ca="1">IF($Y208&gt;0,CHOOSE(MATCH(RegimeExecucao,{"Unitário","Global"},0),IF($A208="S",$Y208/$X208,""),($Y208/$X208)*100),0)</f>
        <v>0</v>
      </c>
      <c r="X208" s="339" t="str">
        <f t="array" aca="1" ref="X208" ca="1">IF($Y208&gt;0,CHOOSE(MATCH(RegimeExecucao,{"Unitário","Global"},0),IF($A208="S",ROUND($H208,ORÇAMENTO!$AF$10),""),ROUND($I208,ORÇAMENTO!$AF$11)),"")</f>
        <v/>
      </c>
      <c r="Y208" s="339">
        <f t="shared" ca="1" si="28"/>
        <v>0</v>
      </c>
      <c r="Z208" s="472"/>
      <c r="AB208" s="337"/>
      <c r="AC208" s="437"/>
      <c r="AD208" s="437"/>
      <c r="AE208" s="437"/>
      <c r="AF208" s="437"/>
      <c r="AG208" s="437"/>
      <c r="AH208" s="437"/>
      <c r="AI208" s="437"/>
      <c r="AJ208" s="437"/>
      <c r="AK208" s="437"/>
      <c r="AL208" s="437"/>
      <c r="AM208" s="338"/>
      <c r="AO208" s="696">
        <f t="array" aca="1" ref="AO208" ca="1">IF($A208="S",IF(BM!$I208=0,0,CHOOSE(MATCH(RegimeExecucao,{"Global","Unitário"},0),ROUND(ROUND(BM.MEDAcumulado,15-13*BM!$A$9)/100*BM!$I208,15-13*ORÇAMENTO!$AF$11),ROUND(ROUND(BM.MEDAcumulado,15-13*BM!$A$9)*ROUND(BM!$H208,15-13*ORÇAMENTO!$AF$10),15-13*ORÇAMENTO!$AF$11))),IF($A208=0,0,ROUND(SomaAgrupBM,15-13*ORÇAMENTO!$AF$11)))</f>
        <v>0</v>
      </c>
    </row>
    <row r="209" spans="1:41" s="696" customFormat="1" x14ac:dyDescent="0.2">
      <c r="A209" s="696">
        <f ca="1">ORÇAMENTO!C209</f>
        <v>2</v>
      </c>
      <c r="B209" s="696">
        <f ca="1">ORÇAMENTO!D209</f>
        <v>6</v>
      </c>
      <c r="C209" s="114" t="str">
        <f t="shared" ca="1" si="22"/>
        <v>F</v>
      </c>
      <c r="D209" s="117" t="str">
        <f ca="1">ORÇAMENTO!O209</f>
        <v>1.31.</v>
      </c>
      <c r="E209" s="163" t="str">
        <f t="shared" si="23"/>
        <v>ACESSÓRIOS/CAIXAS</v>
      </c>
      <c r="F209" s="164" t="str">
        <f t="array" aca="1" ref="F209" ca="1">IF(RegimeExecucao="Global","",ORÇAMENTO.Unidade)</f>
        <v>-</v>
      </c>
      <c r="G209" s="122">
        <f t="array" aca="1" ref="G209" ca="1">IF(RegimeExecucao="Global","",ORÇAMENTO!T209)</f>
        <v>0</v>
      </c>
      <c r="H209" s="122">
        <f t="array" aca="1" ref="H209" ca="1">IF(RegimeExecucao="Global","",ORÇAMENTO!W209)</f>
        <v>0</v>
      </c>
      <c r="I209" s="125">
        <f ca="1">ORÇAMENTO!X209</f>
        <v>77113.399999999994</v>
      </c>
      <c r="J209" s="333">
        <f t="array" aca="1" ref="J209" ca="1">IF($A209="S",IF(CAIXA.Modo,BM.AFAnterior,BM.MEDAnterior),IF(AND(RegimeExecucao="Global",$I209&gt;0,COUNTIF($AB$13:$AM$13,BM.medicao-1)&gt;0),M209/$I209*100,0))</f>
        <v>0</v>
      </c>
      <c r="K209" s="122">
        <f t="shared" ca="1" si="24"/>
        <v>0</v>
      </c>
      <c r="L209" s="334">
        <f t="array" aca="1" ref="L209" ca="1">IF($A209="S",IF(CAIXA.Modo,BM.AFAcumulado,BM.MEDAcumulado),IF(AND(RegimeExecucao="Global",$I209&gt;0,COUNTIF($AB$13:$AM$13,BM.medicao)&gt;0),O209/$I209*100,0))</f>
        <v>0</v>
      </c>
      <c r="M209" s="335">
        <f t="array" aca="1" ref="M209" ca="1">IF($A209="S",VTOTALBM,IF($A209=0,0,ROUND(SomaAgrupBM,15-13*ORÇAMENTO!$AF$11)))</f>
        <v>0</v>
      </c>
      <c r="N209" s="336">
        <f t="shared" ca="1" si="25"/>
        <v>0</v>
      </c>
      <c r="O209" s="125">
        <f t="array" aca="1" ref="O209" ca="1">IF($A209="S",VTOTALBM,IF($A209=0,0,ROUND(SomaAgrupBM,15-13*ORÇAMENTO!$AF$11)))</f>
        <v>0</v>
      </c>
      <c r="Q209" s="337"/>
      <c r="R209" s="338"/>
      <c r="T209" s="117" t="str">
        <f t="shared" ca="1" si="26"/>
        <v/>
      </c>
      <c r="U209" s="163" t="str">
        <f t="shared" ca="1" si="27"/>
        <v/>
      </c>
      <c r="V209" s="164" t="str">
        <f t="array" aca="1" ref="V209" ca="1">IF(AND($W209&gt;0,RegimeExecucao="Unitário"),$F209,"")</f>
        <v/>
      </c>
      <c r="W209" s="453">
        <f t="array" aca="1" ref="W209" ca="1">IF($Y209&gt;0,CHOOSE(MATCH(RegimeExecucao,{"Unitário","Global"},0),IF($A209="S",$Y209/$X209,""),($Y209/$X209)*100),0)</f>
        <v>0</v>
      </c>
      <c r="X209" s="339" t="str">
        <f t="array" aca="1" ref="X209" ca="1">IF($Y209&gt;0,CHOOSE(MATCH(RegimeExecucao,{"Unitário","Global"},0),IF($A209="S",ROUND($H209,ORÇAMENTO!$AF$10),""),ROUND($I209,ORÇAMENTO!$AF$11)),"")</f>
        <v/>
      </c>
      <c r="Y209" s="339">
        <f t="shared" ca="1" si="28"/>
        <v>0</v>
      </c>
      <c r="Z209" s="472"/>
      <c r="AB209" s="337"/>
      <c r="AC209" s="437"/>
      <c r="AD209" s="437"/>
      <c r="AE209" s="437"/>
      <c r="AF209" s="437"/>
      <c r="AG209" s="437"/>
      <c r="AH209" s="437"/>
      <c r="AI209" s="437"/>
      <c r="AJ209" s="437"/>
      <c r="AK209" s="437"/>
      <c r="AL209" s="437"/>
      <c r="AM209" s="338"/>
      <c r="AO209" s="696">
        <f t="array" aca="1" ref="AO209" ca="1">IF($A209="S",IF(BM!$I209=0,0,CHOOSE(MATCH(RegimeExecucao,{"Global","Unitário"},0),ROUND(ROUND(BM.MEDAcumulado,15-13*BM!$A$9)/100*BM!$I209,15-13*ORÇAMENTO!$AF$11),ROUND(ROUND(BM.MEDAcumulado,15-13*BM!$A$9)*ROUND(BM!$H209,15-13*ORÇAMENTO!$AF$10),15-13*ORÇAMENTO!$AF$11))),IF($A209=0,0,ROUND(SomaAgrupBM,15-13*ORÇAMENTO!$AF$11)))</f>
        <v>0</v>
      </c>
    </row>
    <row r="210" spans="1:41" s="696" customFormat="1" ht="38.25" x14ac:dyDescent="0.2">
      <c r="A210" s="696" t="str">
        <f ca="1">ORÇAMENTO!C210</f>
        <v>S</v>
      </c>
      <c r="B210" s="696">
        <f ca="1">ORÇAMENTO!D210</f>
        <v>0</v>
      </c>
      <c r="C210" s="114" t="str">
        <f t="shared" ca="1" si="22"/>
        <v>F</v>
      </c>
      <c r="D210" s="117" t="str">
        <f ca="1">ORÇAMENTO!O210</f>
        <v>1.31.1.</v>
      </c>
      <c r="E210" s="163" t="str">
        <f t="shared" ca="1" si="23"/>
        <v>CAIXA ENTERRADA HIDRÁULICA RETANGULAR EM ALVENARIA COM TIJOLOS CERÂMICOS MACIÇOS, DIMENSÕES INTERNAS: 0,6X0,6X0,6 M PARA REDE DE ESGOTO. AF_12/2020</v>
      </c>
      <c r="F210" s="164" t="str">
        <f t="array" aca="1" ref="F210" ca="1">IF(RegimeExecucao="Global","",ORÇAMENTO.Unidade)</f>
        <v>UN</v>
      </c>
      <c r="G210" s="122">
        <f t="array" aca="1" ref="G210" ca="1">IF(RegimeExecucao="Global","",ORÇAMENTO!T210)</f>
        <v>100</v>
      </c>
      <c r="H210" s="122">
        <f t="array" aca="1" ref="H210" ca="1">IF(RegimeExecucao="Global","",ORÇAMENTO!W210)</f>
        <v>682.63</v>
      </c>
      <c r="I210" s="125">
        <f ca="1">ORÇAMENTO!X210</f>
        <v>68263</v>
      </c>
      <c r="J210" s="333">
        <f t="array" aca="1" ref="J210" ca="1">IF($A210="S",IF(CAIXA.Modo,BM.AFAnterior,BM.MEDAnterior),IF(AND(RegimeExecucao="Global",$I210&gt;0,COUNTIF($AB$13:$AM$13,BM.medicao-1)&gt;0),M210/$I210*100,0))</f>
        <v>0</v>
      </c>
      <c r="K210" s="122">
        <f t="shared" ca="1" si="24"/>
        <v>0</v>
      </c>
      <c r="L210" s="334">
        <f t="array" aca="1" ref="L210" ca="1">IF($A210="S",IF(CAIXA.Modo,BM.AFAcumulado,BM.MEDAcumulado),IF(AND(RegimeExecucao="Global",$I210&gt;0,COUNTIF($AB$13:$AM$13,BM.medicao)&gt;0),O210/$I210*100,0))</f>
        <v>0</v>
      </c>
      <c r="M210" s="335">
        <f t="array" aca="1" ref="M210" ca="1">IF($A210="S",VTOTALBM,IF($A210=0,0,ROUND(SomaAgrupBM,15-13*ORÇAMENTO!$AF$11)))</f>
        <v>0</v>
      </c>
      <c r="N210" s="336">
        <f t="shared" ca="1" si="25"/>
        <v>0</v>
      </c>
      <c r="O210" s="125">
        <f t="array" aca="1" ref="O210" ca="1">IF($A210="S",VTOTALBM,IF($A210=0,0,ROUND(SomaAgrupBM,15-13*ORÇAMENTO!$AF$11)))</f>
        <v>0</v>
      </c>
      <c r="Q210" s="337"/>
      <c r="R210" s="338"/>
      <c r="T210" s="117" t="str">
        <f t="shared" ca="1" si="26"/>
        <v/>
      </c>
      <c r="U210" s="163" t="str">
        <f t="shared" ca="1" si="27"/>
        <v/>
      </c>
      <c r="V210" s="164" t="str">
        <f t="array" aca="1" ref="V210" ca="1">IF(AND($W210&gt;0,RegimeExecucao="Unitário"),$F210,"")</f>
        <v/>
      </c>
      <c r="W210" s="453">
        <f t="array" aca="1" ref="W210" ca="1">IF($Y210&gt;0,CHOOSE(MATCH(RegimeExecucao,{"Unitário","Global"},0),IF($A210="S",$Y210/$X210,""),($Y210/$X210)*100),0)</f>
        <v>0</v>
      </c>
      <c r="X210" s="339" t="str">
        <f t="array" aca="1" ref="X210" ca="1">IF($Y210&gt;0,CHOOSE(MATCH(RegimeExecucao,{"Unitário","Global"},0),IF($A210="S",ROUND($H210,ORÇAMENTO!$AF$10),""),ROUND($I210,ORÇAMENTO!$AF$11)),"")</f>
        <v/>
      </c>
      <c r="Y210" s="339">
        <f t="shared" ca="1" si="28"/>
        <v>0</v>
      </c>
      <c r="Z210" s="472"/>
      <c r="AB210" s="337"/>
      <c r="AC210" s="437"/>
      <c r="AD210" s="437"/>
      <c r="AE210" s="437"/>
      <c r="AF210" s="437"/>
      <c r="AG210" s="437"/>
      <c r="AH210" s="437"/>
      <c r="AI210" s="437"/>
      <c r="AJ210" s="437"/>
      <c r="AK210" s="437"/>
      <c r="AL210" s="437"/>
      <c r="AM210" s="338"/>
      <c r="AO210" s="696">
        <f t="array" aca="1" ref="AO210" ca="1">IF($A210="S",IF(BM!$I210=0,0,CHOOSE(MATCH(RegimeExecucao,{"Global","Unitário"},0),ROUND(ROUND(BM.MEDAcumulado,15-13*BM!$A$9)/100*BM!$I210,15-13*ORÇAMENTO!$AF$11),ROUND(ROUND(BM.MEDAcumulado,15-13*BM!$A$9)*ROUND(BM!$H210,15-13*ORÇAMENTO!$AF$10),15-13*ORÇAMENTO!$AF$11))),IF($A210=0,0,ROUND(SomaAgrupBM,15-13*ORÇAMENTO!$AF$11)))</f>
        <v>0</v>
      </c>
    </row>
    <row r="211" spans="1:41" s="696" customFormat="1" ht="38.25" x14ac:dyDescent="0.2">
      <c r="A211" s="696" t="str">
        <f ca="1">ORÇAMENTO!C211</f>
        <v>S</v>
      </c>
      <c r="B211" s="696">
        <f ca="1">ORÇAMENTO!D211</f>
        <v>0</v>
      </c>
      <c r="C211" s="114" t="str">
        <f t="shared" ca="1" si="22"/>
        <v>F</v>
      </c>
      <c r="D211" s="117" t="str">
        <f ca="1">ORÇAMENTO!O211</f>
        <v>1.31.2.</v>
      </c>
      <c r="E211" s="163" t="str">
        <f t="shared" ca="1" si="23"/>
        <v>CAIXA SIFONADA, PVC, DN 100 X 100 X 50 MM, JUNTA ELÁSTICA, FORNECIDA E INSTALADA EM RAMAL DE DESCARGA OU EM RAMAL DE ESGOTO SANITÁRIO. AF_08/2022</v>
      </c>
      <c r="F211" s="164" t="str">
        <f t="array" aca="1" ref="F211" ca="1">IF(RegimeExecucao="Global","",ORÇAMENTO.Unidade)</f>
        <v>UN</v>
      </c>
      <c r="G211" s="122">
        <f t="array" aca="1" ref="G211" ca="1">IF(RegimeExecucao="Global","",ORÇAMENTO!T211)</f>
        <v>20</v>
      </c>
      <c r="H211" s="122">
        <f t="array" aca="1" ref="H211" ca="1">IF(RegimeExecucao="Global","",ORÇAMENTO!W211)</f>
        <v>57.4</v>
      </c>
      <c r="I211" s="125">
        <f ca="1">ORÇAMENTO!X211</f>
        <v>1148</v>
      </c>
      <c r="J211" s="333">
        <f t="array" aca="1" ref="J211" ca="1">IF($A211="S",IF(CAIXA.Modo,BM.AFAnterior,BM.MEDAnterior),IF(AND(RegimeExecucao="Global",$I211&gt;0,COUNTIF($AB$13:$AM$13,BM.medicao-1)&gt;0),M211/$I211*100,0))</f>
        <v>0</v>
      </c>
      <c r="K211" s="122">
        <f t="shared" ca="1" si="24"/>
        <v>0</v>
      </c>
      <c r="L211" s="334">
        <f t="array" aca="1" ref="L211" ca="1">IF($A211="S",IF(CAIXA.Modo,BM.AFAcumulado,BM.MEDAcumulado),IF(AND(RegimeExecucao="Global",$I211&gt;0,COUNTIF($AB$13:$AM$13,BM.medicao)&gt;0),O211/$I211*100,0))</f>
        <v>0</v>
      </c>
      <c r="M211" s="335">
        <f t="array" aca="1" ref="M211" ca="1">IF($A211="S",VTOTALBM,IF($A211=0,0,ROUND(SomaAgrupBM,15-13*ORÇAMENTO!$AF$11)))</f>
        <v>0</v>
      </c>
      <c r="N211" s="336">
        <f t="shared" ca="1" si="25"/>
        <v>0</v>
      </c>
      <c r="O211" s="125">
        <f t="array" aca="1" ref="O211" ca="1">IF($A211="S",VTOTALBM,IF($A211=0,0,ROUND(SomaAgrupBM,15-13*ORÇAMENTO!$AF$11)))</f>
        <v>0</v>
      </c>
      <c r="Q211" s="337"/>
      <c r="R211" s="338"/>
      <c r="T211" s="117" t="str">
        <f t="shared" ca="1" si="26"/>
        <v/>
      </c>
      <c r="U211" s="163" t="str">
        <f t="shared" ca="1" si="27"/>
        <v/>
      </c>
      <c r="V211" s="164" t="str">
        <f t="array" aca="1" ref="V211" ca="1">IF(AND($W211&gt;0,RegimeExecucao="Unitário"),$F211,"")</f>
        <v/>
      </c>
      <c r="W211" s="453">
        <f t="array" aca="1" ref="W211" ca="1">IF($Y211&gt;0,CHOOSE(MATCH(RegimeExecucao,{"Unitário","Global"},0),IF($A211="S",$Y211/$X211,""),($Y211/$X211)*100),0)</f>
        <v>0</v>
      </c>
      <c r="X211" s="339" t="str">
        <f t="array" aca="1" ref="X211" ca="1">IF($Y211&gt;0,CHOOSE(MATCH(RegimeExecucao,{"Unitário","Global"},0),IF($A211="S",ROUND($H211,ORÇAMENTO!$AF$10),""),ROUND($I211,ORÇAMENTO!$AF$11)),"")</f>
        <v/>
      </c>
      <c r="Y211" s="339">
        <f t="shared" ca="1" si="28"/>
        <v>0</v>
      </c>
      <c r="Z211" s="472"/>
      <c r="AB211" s="337"/>
      <c r="AC211" s="437"/>
      <c r="AD211" s="437"/>
      <c r="AE211" s="437"/>
      <c r="AF211" s="437"/>
      <c r="AG211" s="437"/>
      <c r="AH211" s="437"/>
      <c r="AI211" s="437"/>
      <c r="AJ211" s="437"/>
      <c r="AK211" s="437"/>
      <c r="AL211" s="437"/>
      <c r="AM211" s="338"/>
      <c r="AO211" s="696">
        <f t="array" aca="1" ref="AO211" ca="1">IF($A211="S",IF(BM!$I211=0,0,CHOOSE(MATCH(RegimeExecucao,{"Global","Unitário"},0),ROUND(ROUND(BM.MEDAcumulado,15-13*BM!$A$9)/100*BM!$I211,15-13*ORÇAMENTO!$AF$11),ROUND(ROUND(BM.MEDAcumulado,15-13*BM!$A$9)*ROUND(BM!$H211,15-13*ORÇAMENTO!$AF$10),15-13*ORÇAMENTO!$AF$11))),IF($A211=0,0,ROUND(SomaAgrupBM,15-13*ORÇAMENTO!$AF$11)))</f>
        <v>0</v>
      </c>
    </row>
    <row r="212" spans="1:41" s="696" customFormat="1" ht="38.25" x14ac:dyDescent="0.2">
      <c r="A212" s="696" t="str">
        <f ca="1">ORÇAMENTO!C212</f>
        <v>S</v>
      </c>
      <c r="B212" s="696">
        <f ca="1">ORÇAMENTO!D212</f>
        <v>0</v>
      </c>
      <c r="C212" s="114" t="str">
        <f t="shared" ca="1" si="22"/>
        <v>F</v>
      </c>
      <c r="D212" s="117" t="str">
        <f ca="1">ORÇAMENTO!O212</f>
        <v>1.31.3.</v>
      </c>
      <c r="E212" s="163" t="str">
        <f t="shared" ca="1" si="23"/>
        <v>RALO SIFONADO REDONDO, PVC, DN 100 X 40 MM, JUNTA SOLDÁVEL, FORNECIDO E INSTALADO EM RAMAL DE DESCARGA OU EM RAMAL DE ESGOTO SANITÁRIO. AF_08/2022</v>
      </c>
      <c r="F212" s="164" t="str">
        <f t="array" aca="1" ref="F212" ca="1">IF(RegimeExecucao="Global","",ORÇAMENTO.Unidade)</f>
        <v>UN</v>
      </c>
      <c r="G212" s="122">
        <f t="array" aca="1" ref="G212" ca="1">IF(RegimeExecucao="Global","",ORÇAMENTO!T212)</f>
        <v>20</v>
      </c>
      <c r="H212" s="122">
        <f t="array" aca="1" ref="H212" ca="1">IF(RegimeExecucao="Global","",ORÇAMENTO!W212)</f>
        <v>22.42</v>
      </c>
      <c r="I212" s="125">
        <f ca="1">ORÇAMENTO!X212</f>
        <v>448.4</v>
      </c>
      <c r="J212" s="333">
        <f t="array" aca="1" ref="J212" ca="1">IF($A212="S",IF(CAIXA.Modo,BM.AFAnterior,BM.MEDAnterior),IF(AND(RegimeExecucao="Global",$I212&gt;0,COUNTIF($AB$13:$AM$13,BM.medicao-1)&gt;0),M212/$I212*100,0))</f>
        <v>0</v>
      </c>
      <c r="K212" s="122">
        <f t="shared" ca="1" si="24"/>
        <v>0</v>
      </c>
      <c r="L212" s="334">
        <f t="array" aca="1" ref="L212" ca="1">IF($A212="S",IF(CAIXA.Modo,BM.AFAcumulado,BM.MEDAcumulado),IF(AND(RegimeExecucao="Global",$I212&gt;0,COUNTIF($AB$13:$AM$13,BM.medicao)&gt;0),O212/$I212*100,0))</f>
        <v>0</v>
      </c>
      <c r="M212" s="335">
        <f t="array" aca="1" ref="M212" ca="1">IF($A212="S",VTOTALBM,IF($A212=0,0,ROUND(SomaAgrupBM,15-13*ORÇAMENTO!$AF$11)))</f>
        <v>0</v>
      </c>
      <c r="N212" s="336">
        <f t="shared" ca="1" si="25"/>
        <v>0</v>
      </c>
      <c r="O212" s="125">
        <f t="array" aca="1" ref="O212" ca="1">IF($A212="S",VTOTALBM,IF($A212=0,0,ROUND(SomaAgrupBM,15-13*ORÇAMENTO!$AF$11)))</f>
        <v>0</v>
      </c>
      <c r="Q212" s="337"/>
      <c r="R212" s="338"/>
      <c r="T212" s="117" t="str">
        <f t="shared" ca="1" si="26"/>
        <v/>
      </c>
      <c r="U212" s="163" t="str">
        <f t="shared" ca="1" si="27"/>
        <v/>
      </c>
      <c r="V212" s="164" t="str">
        <f t="array" aca="1" ref="V212" ca="1">IF(AND($W212&gt;0,RegimeExecucao="Unitário"),$F212,"")</f>
        <v/>
      </c>
      <c r="W212" s="453">
        <f t="array" aca="1" ref="W212" ca="1">IF($Y212&gt;0,CHOOSE(MATCH(RegimeExecucao,{"Unitário","Global"},0),IF($A212="S",$Y212/$X212,""),($Y212/$X212)*100),0)</f>
        <v>0</v>
      </c>
      <c r="X212" s="339" t="str">
        <f t="array" aca="1" ref="X212" ca="1">IF($Y212&gt;0,CHOOSE(MATCH(RegimeExecucao,{"Unitário","Global"},0),IF($A212="S",ROUND($H212,ORÇAMENTO!$AF$10),""),ROUND($I212,ORÇAMENTO!$AF$11)),"")</f>
        <v/>
      </c>
      <c r="Y212" s="339">
        <f t="shared" ca="1" si="28"/>
        <v>0</v>
      </c>
      <c r="Z212" s="472"/>
      <c r="AB212" s="337"/>
      <c r="AC212" s="437"/>
      <c r="AD212" s="437"/>
      <c r="AE212" s="437"/>
      <c r="AF212" s="437"/>
      <c r="AG212" s="437"/>
      <c r="AH212" s="437"/>
      <c r="AI212" s="437"/>
      <c r="AJ212" s="437"/>
      <c r="AK212" s="437"/>
      <c r="AL212" s="437"/>
      <c r="AM212" s="338"/>
      <c r="AO212" s="696">
        <f t="array" aca="1" ref="AO212" ca="1">IF($A212="S",IF(BM!$I212=0,0,CHOOSE(MATCH(RegimeExecucao,{"Global","Unitário"},0),ROUND(ROUND(BM.MEDAcumulado,15-13*BM!$A$9)/100*BM!$I212,15-13*ORÇAMENTO!$AF$11),ROUND(ROUND(BM.MEDAcumulado,15-13*BM!$A$9)*ROUND(BM!$H212,15-13*ORÇAMENTO!$AF$10),15-13*ORÇAMENTO!$AF$11))),IF($A212=0,0,ROUND(SomaAgrupBM,15-13*ORÇAMENTO!$AF$11)))</f>
        <v>0</v>
      </c>
    </row>
    <row r="213" spans="1:41" s="696" customFormat="1" ht="38.25" x14ac:dyDescent="0.2">
      <c r="A213" s="696" t="str">
        <f ca="1">ORÇAMENTO!C213</f>
        <v>S</v>
      </c>
      <c r="B213" s="696">
        <f ca="1">ORÇAMENTO!D213</f>
        <v>0</v>
      </c>
      <c r="C213" s="114" t="str">
        <f t="shared" ca="1" si="22"/>
        <v>F</v>
      </c>
      <c r="D213" s="117" t="str">
        <f ca="1">ORÇAMENTO!O213</f>
        <v>1.31.4.</v>
      </c>
      <c r="E213" s="163" t="str">
        <f t="shared" ca="1" si="23"/>
        <v>RALO SECO CÔNICO, PVC, DN 100 X 40 MM, JUNTA SOLDÁVEL, FORNECIDO E INSTALADO EM RAMAL DE DESCARGA OU EM RAMAL DE ESGOTO SANITÁRIO. AF_08/2022</v>
      </c>
      <c r="F213" s="164" t="str">
        <f t="array" aca="1" ref="F213" ca="1">IF(RegimeExecucao="Global","",ORÇAMENTO.Unidade)</f>
        <v>UN</v>
      </c>
      <c r="G213" s="122">
        <f t="array" aca="1" ref="G213" ca="1">IF(RegimeExecucao="Global","",ORÇAMENTO!T213)</f>
        <v>20</v>
      </c>
      <c r="H213" s="122">
        <f t="array" aca="1" ref="H213" ca="1">IF(RegimeExecucao="Global","",ORÇAMENTO!W213)</f>
        <v>23.44</v>
      </c>
      <c r="I213" s="125">
        <f ca="1">ORÇAMENTO!X213</f>
        <v>468.8</v>
      </c>
      <c r="J213" s="333">
        <f t="array" aca="1" ref="J213" ca="1">IF($A213="S",IF(CAIXA.Modo,BM.AFAnterior,BM.MEDAnterior),IF(AND(RegimeExecucao="Global",$I213&gt;0,COUNTIF($AB$13:$AM$13,BM.medicao-1)&gt;0),M213/$I213*100,0))</f>
        <v>0</v>
      </c>
      <c r="K213" s="122">
        <f t="shared" ca="1" si="24"/>
        <v>0</v>
      </c>
      <c r="L213" s="334">
        <f t="array" aca="1" ref="L213" ca="1">IF($A213="S",IF(CAIXA.Modo,BM.AFAcumulado,BM.MEDAcumulado),IF(AND(RegimeExecucao="Global",$I213&gt;0,COUNTIF($AB$13:$AM$13,BM.medicao)&gt;0),O213/$I213*100,0))</f>
        <v>0</v>
      </c>
      <c r="M213" s="335">
        <f t="array" aca="1" ref="M213" ca="1">IF($A213="S",VTOTALBM,IF($A213=0,0,ROUND(SomaAgrupBM,15-13*ORÇAMENTO!$AF$11)))</f>
        <v>0</v>
      </c>
      <c r="N213" s="336">
        <f t="shared" ca="1" si="25"/>
        <v>0</v>
      </c>
      <c r="O213" s="125">
        <f t="array" aca="1" ref="O213" ca="1">IF($A213="S",VTOTALBM,IF($A213=0,0,ROUND(SomaAgrupBM,15-13*ORÇAMENTO!$AF$11)))</f>
        <v>0</v>
      </c>
      <c r="Q213" s="337"/>
      <c r="R213" s="338"/>
      <c r="T213" s="117" t="str">
        <f t="shared" ca="1" si="26"/>
        <v/>
      </c>
      <c r="U213" s="163" t="str">
        <f t="shared" ca="1" si="27"/>
        <v/>
      </c>
      <c r="V213" s="164" t="str">
        <f t="array" aca="1" ref="V213" ca="1">IF(AND($W213&gt;0,RegimeExecucao="Unitário"),$F213,"")</f>
        <v/>
      </c>
      <c r="W213" s="453">
        <f t="array" aca="1" ref="W213" ca="1">IF($Y213&gt;0,CHOOSE(MATCH(RegimeExecucao,{"Unitário","Global"},0),IF($A213="S",$Y213/$X213,""),($Y213/$X213)*100),0)</f>
        <v>0</v>
      </c>
      <c r="X213" s="339" t="str">
        <f t="array" aca="1" ref="X213" ca="1">IF($Y213&gt;0,CHOOSE(MATCH(RegimeExecucao,{"Unitário","Global"},0),IF($A213="S",ROUND($H213,ORÇAMENTO!$AF$10),""),ROUND($I213,ORÇAMENTO!$AF$11)),"")</f>
        <v/>
      </c>
      <c r="Y213" s="339">
        <f t="shared" ca="1" si="28"/>
        <v>0</v>
      </c>
      <c r="Z213" s="472"/>
      <c r="AB213" s="337"/>
      <c r="AC213" s="437"/>
      <c r="AD213" s="437"/>
      <c r="AE213" s="437"/>
      <c r="AF213" s="437"/>
      <c r="AG213" s="437"/>
      <c r="AH213" s="437"/>
      <c r="AI213" s="437"/>
      <c r="AJ213" s="437"/>
      <c r="AK213" s="437"/>
      <c r="AL213" s="437"/>
      <c r="AM213" s="338"/>
      <c r="AO213" s="696">
        <f t="array" aca="1" ref="AO213" ca="1">IF($A213="S",IF(BM!$I213=0,0,CHOOSE(MATCH(RegimeExecucao,{"Global","Unitário"},0),ROUND(ROUND(BM.MEDAcumulado,15-13*BM!$A$9)/100*BM!$I213,15-13*ORÇAMENTO!$AF$11),ROUND(ROUND(BM.MEDAcumulado,15-13*BM!$A$9)*ROUND(BM!$H213,15-13*ORÇAMENTO!$AF$10),15-13*ORÇAMENTO!$AF$11))),IF($A213=0,0,ROUND(SomaAgrupBM,15-13*ORÇAMENTO!$AF$11)))</f>
        <v>0</v>
      </c>
    </row>
    <row r="214" spans="1:41" s="696" customFormat="1" ht="38.25" x14ac:dyDescent="0.2">
      <c r="A214" s="696" t="str">
        <f ca="1">ORÇAMENTO!C214</f>
        <v>S</v>
      </c>
      <c r="B214" s="696">
        <f ca="1">ORÇAMENTO!D214</f>
        <v>0</v>
      </c>
      <c r="C214" s="114" t="str">
        <f t="shared" ca="1" si="22"/>
        <v>F</v>
      </c>
      <c r="D214" s="117" t="str">
        <f ca="1">ORÇAMENTO!O214</f>
        <v>1.31.5.</v>
      </c>
      <c r="E214" s="163" t="str">
        <f t="shared" ca="1" si="23"/>
        <v>CAIXA DE GORDURA SIMPLES (CAPACIDADE: 36 L), RETANGULAR, EM ALVENARIA COM BLOCOS DE CONCRETO, DIMENSÕES INTERNAS = 0,2X0,4 M, ALTURA INTERNA = 0,8 M. AF_12/2020</v>
      </c>
      <c r="F214" s="164" t="str">
        <f t="array" aca="1" ref="F214" ca="1">IF(RegimeExecucao="Global","",ORÇAMENTO.Unidade)</f>
        <v>UN</v>
      </c>
      <c r="G214" s="122">
        <f t="array" aca="1" ref="G214" ca="1">IF(RegimeExecucao="Global","",ORÇAMENTO!T214)</f>
        <v>20</v>
      </c>
      <c r="H214" s="122">
        <f t="array" aca="1" ref="H214" ca="1">IF(RegimeExecucao="Global","",ORÇAMENTO!W214)</f>
        <v>339.26</v>
      </c>
      <c r="I214" s="125">
        <f ca="1">ORÇAMENTO!X214</f>
        <v>6785.2</v>
      </c>
      <c r="J214" s="333">
        <f t="array" aca="1" ref="J214" ca="1">IF($A214="S",IF(CAIXA.Modo,BM.AFAnterior,BM.MEDAnterior),IF(AND(RegimeExecucao="Global",$I214&gt;0,COUNTIF($AB$13:$AM$13,BM.medicao-1)&gt;0),M214/$I214*100,0))</f>
        <v>0</v>
      </c>
      <c r="K214" s="122">
        <f t="shared" ca="1" si="24"/>
        <v>0</v>
      </c>
      <c r="L214" s="334">
        <f t="array" aca="1" ref="L214" ca="1">IF($A214="S",IF(CAIXA.Modo,BM.AFAcumulado,BM.MEDAcumulado),IF(AND(RegimeExecucao="Global",$I214&gt;0,COUNTIF($AB$13:$AM$13,BM.medicao)&gt;0),O214/$I214*100,0))</f>
        <v>0</v>
      </c>
      <c r="M214" s="335">
        <f t="array" aca="1" ref="M214" ca="1">IF($A214="S",VTOTALBM,IF($A214=0,0,ROUND(SomaAgrupBM,15-13*ORÇAMENTO!$AF$11)))</f>
        <v>0</v>
      </c>
      <c r="N214" s="336">
        <f t="shared" ca="1" si="25"/>
        <v>0</v>
      </c>
      <c r="O214" s="125">
        <f t="array" aca="1" ref="O214" ca="1">IF($A214="S",VTOTALBM,IF($A214=0,0,ROUND(SomaAgrupBM,15-13*ORÇAMENTO!$AF$11)))</f>
        <v>0</v>
      </c>
      <c r="Q214" s="337"/>
      <c r="R214" s="338"/>
      <c r="T214" s="117" t="str">
        <f t="shared" ca="1" si="26"/>
        <v/>
      </c>
      <c r="U214" s="163" t="str">
        <f t="shared" ca="1" si="27"/>
        <v/>
      </c>
      <c r="V214" s="164" t="str">
        <f t="array" aca="1" ref="V214" ca="1">IF(AND($W214&gt;0,RegimeExecucao="Unitário"),$F214,"")</f>
        <v/>
      </c>
      <c r="W214" s="453">
        <f t="array" aca="1" ref="W214" ca="1">IF($Y214&gt;0,CHOOSE(MATCH(RegimeExecucao,{"Unitário","Global"},0),IF($A214="S",$Y214/$X214,""),($Y214/$X214)*100),0)</f>
        <v>0</v>
      </c>
      <c r="X214" s="339" t="str">
        <f t="array" aca="1" ref="X214" ca="1">IF($Y214&gt;0,CHOOSE(MATCH(RegimeExecucao,{"Unitário","Global"},0),IF($A214="S",ROUND($H214,ORÇAMENTO!$AF$10),""),ROUND($I214,ORÇAMENTO!$AF$11)),"")</f>
        <v/>
      </c>
      <c r="Y214" s="339">
        <f t="shared" ca="1" si="28"/>
        <v>0</v>
      </c>
      <c r="Z214" s="472"/>
      <c r="AB214" s="337"/>
      <c r="AC214" s="437"/>
      <c r="AD214" s="437"/>
      <c r="AE214" s="437"/>
      <c r="AF214" s="437"/>
      <c r="AG214" s="437"/>
      <c r="AH214" s="437"/>
      <c r="AI214" s="437"/>
      <c r="AJ214" s="437"/>
      <c r="AK214" s="437"/>
      <c r="AL214" s="437"/>
      <c r="AM214" s="338"/>
      <c r="AO214" s="696">
        <f t="array" aca="1" ref="AO214" ca="1">IF($A214="S",IF(BM!$I214=0,0,CHOOSE(MATCH(RegimeExecucao,{"Global","Unitário"},0),ROUND(ROUND(BM.MEDAcumulado,15-13*BM!$A$9)/100*BM!$I214,15-13*ORÇAMENTO!$AF$11),ROUND(ROUND(BM.MEDAcumulado,15-13*BM!$A$9)*ROUND(BM!$H214,15-13*ORÇAMENTO!$AF$10),15-13*ORÇAMENTO!$AF$11))),IF($A214=0,0,ROUND(SomaAgrupBM,15-13*ORÇAMENTO!$AF$11)))</f>
        <v>0</v>
      </c>
    </row>
    <row r="215" spans="1:41" s="696" customFormat="1" x14ac:dyDescent="0.2">
      <c r="A215" s="696">
        <f ca="1">ORÇAMENTO!C215</f>
        <v>2</v>
      </c>
      <c r="B215" s="696">
        <f ca="1">ORÇAMENTO!D215</f>
        <v>3</v>
      </c>
      <c r="C215" s="114" t="str">
        <f t="shared" ca="1" si="22"/>
        <v>F</v>
      </c>
      <c r="D215" s="117" t="str">
        <f ca="1">ORÇAMENTO!O215</f>
        <v>1.32.</v>
      </c>
      <c r="E215" s="163" t="str">
        <f t="shared" si="23"/>
        <v>LOUÇAS</v>
      </c>
      <c r="F215" s="164" t="str">
        <f t="array" aca="1" ref="F215" ca="1">IF(RegimeExecucao="Global","",ORÇAMENTO.Unidade)</f>
        <v>-</v>
      </c>
      <c r="G215" s="122">
        <f t="array" aca="1" ref="G215" ca="1">IF(RegimeExecucao="Global","",ORÇAMENTO!T215)</f>
        <v>0</v>
      </c>
      <c r="H215" s="122">
        <f t="array" aca="1" ref="H215" ca="1">IF(RegimeExecucao="Global","",ORÇAMENTO!W215)</f>
        <v>0</v>
      </c>
      <c r="I215" s="125">
        <f ca="1">ORÇAMENTO!X215</f>
        <v>19107</v>
      </c>
      <c r="J215" s="333">
        <f t="array" aca="1" ref="J215" ca="1">IF($A215="S",IF(CAIXA.Modo,BM.AFAnterior,BM.MEDAnterior),IF(AND(RegimeExecucao="Global",$I215&gt;0,COUNTIF($AB$13:$AM$13,BM.medicao-1)&gt;0),M215/$I215*100,0))</f>
        <v>0</v>
      </c>
      <c r="K215" s="122">
        <f t="shared" ca="1" si="24"/>
        <v>0</v>
      </c>
      <c r="L215" s="334">
        <f t="array" aca="1" ref="L215" ca="1">IF($A215="S",IF(CAIXA.Modo,BM.AFAcumulado,BM.MEDAcumulado),IF(AND(RegimeExecucao="Global",$I215&gt;0,COUNTIF($AB$13:$AM$13,BM.medicao)&gt;0),O215/$I215*100,0))</f>
        <v>0</v>
      </c>
      <c r="M215" s="335">
        <f t="array" aca="1" ref="M215" ca="1">IF($A215="S",VTOTALBM,IF($A215=0,0,ROUND(SomaAgrupBM,15-13*ORÇAMENTO!$AF$11)))</f>
        <v>0</v>
      </c>
      <c r="N215" s="336">
        <f t="shared" ca="1" si="25"/>
        <v>0</v>
      </c>
      <c r="O215" s="125">
        <f t="array" aca="1" ref="O215" ca="1">IF($A215="S",VTOTALBM,IF($A215=0,0,ROUND(SomaAgrupBM,15-13*ORÇAMENTO!$AF$11)))</f>
        <v>0</v>
      </c>
      <c r="Q215" s="337"/>
      <c r="R215" s="338"/>
      <c r="T215" s="117" t="str">
        <f t="shared" ca="1" si="26"/>
        <v/>
      </c>
      <c r="U215" s="163" t="str">
        <f t="shared" ca="1" si="27"/>
        <v/>
      </c>
      <c r="V215" s="164" t="str">
        <f t="array" aca="1" ref="V215" ca="1">IF(AND($W215&gt;0,RegimeExecucao="Unitário"),$F215,"")</f>
        <v/>
      </c>
      <c r="W215" s="453">
        <f t="array" aca="1" ref="W215" ca="1">IF($Y215&gt;0,CHOOSE(MATCH(RegimeExecucao,{"Unitário","Global"},0),IF($A215="S",$Y215/$X215,""),($Y215/$X215)*100),0)</f>
        <v>0</v>
      </c>
      <c r="X215" s="339" t="str">
        <f t="array" aca="1" ref="X215" ca="1">IF($Y215&gt;0,CHOOSE(MATCH(RegimeExecucao,{"Unitário","Global"},0),IF($A215="S",ROUND($H215,ORÇAMENTO!$AF$10),""),ROUND($I215,ORÇAMENTO!$AF$11)),"")</f>
        <v/>
      </c>
      <c r="Y215" s="339">
        <f t="shared" ca="1" si="28"/>
        <v>0</v>
      </c>
      <c r="Z215" s="472"/>
      <c r="AB215" s="337"/>
      <c r="AC215" s="437"/>
      <c r="AD215" s="437"/>
      <c r="AE215" s="437"/>
      <c r="AF215" s="437"/>
      <c r="AG215" s="437"/>
      <c r="AH215" s="437"/>
      <c r="AI215" s="437"/>
      <c r="AJ215" s="437"/>
      <c r="AK215" s="437"/>
      <c r="AL215" s="437"/>
      <c r="AM215" s="338"/>
      <c r="AO215" s="696">
        <f t="array" aca="1" ref="AO215" ca="1">IF($A215="S",IF(BM!$I215=0,0,CHOOSE(MATCH(RegimeExecucao,{"Global","Unitário"},0),ROUND(ROUND(BM.MEDAcumulado,15-13*BM!$A$9)/100*BM!$I215,15-13*ORÇAMENTO!$AF$11),ROUND(ROUND(BM.MEDAcumulado,15-13*BM!$A$9)*ROUND(BM!$H215,15-13*ORÇAMENTO!$AF$10),15-13*ORÇAMENTO!$AF$11))),IF($A215=0,0,ROUND(SomaAgrupBM,15-13*ORÇAMENTO!$AF$11)))</f>
        <v>0</v>
      </c>
    </row>
    <row r="216" spans="1:41" s="696" customFormat="1" ht="38.25" x14ac:dyDescent="0.2">
      <c r="A216" s="696" t="str">
        <f ca="1">ORÇAMENTO!C216</f>
        <v>S</v>
      </c>
      <c r="B216" s="696">
        <f ca="1">ORÇAMENTO!D216</f>
        <v>0</v>
      </c>
      <c r="C216" s="114" t="str">
        <f t="shared" ca="1" si="22"/>
        <v>F</v>
      </c>
      <c r="D216" s="117" t="str">
        <f ca="1">ORÇAMENTO!O216</f>
        <v>1.32.1.</v>
      </c>
      <c r="E216" s="163" t="str">
        <f t="shared" ca="1" si="23"/>
        <v>VASO SANITÁRIO SIFONADO COM CAIXA ACOPLADA LOUÇA BRANCA, INCLUSO ENGATE FLEXÍVEL EM PLÁSTICO BRANCO, 1/2 X 40CM - FORNECIMENTO E INSTALAÇÃO. AF_01/2020</v>
      </c>
      <c r="F216" s="164" t="str">
        <f t="array" aca="1" ref="F216" ca="1">IF(RegimeExecucao="Global","",ORÇAMENTO.Unidade)</f>
        <v>UN</v>
      </c>
      <c r="G216" s="122">
        <f t="array" aca="1" ref="G216" ca="1">IF(RegimeExecucao="Global","",ORÇAMENTO!T216)</f>
        <v>20</v>
      </c>
      <c r="H216" s="122">
        <f t="array" aca="1" ref="H216" ca="1">IF(RegimeExecucao="Global","",ORÇAMENTO!W216)</f>
        <v>640.77</v>
      </c>
      <c r="I216" s="125">
        <f ca="1">ORÇAMENTO!X216</f>
        <v>12815.4</v>
      </c>
      <c r="J216" s="333">
        <f t="array" aca="1" ref="J216" ca="1">IF($A216="S",IF(CAIXA.Modo,BM.AFAnterior,BM.MEDAnterior),IF(AND(RegimeExecucao="Global",$I216&gt;0,COUNTIF($AB$13:$AM$13,BM.medicao-1)&gt;0),M216/$I216*100,0))</f>
        <v>0</v>
      </c>
      <c r="K216" s="122">
        <f t="shared" ca="1" si="24"/>
        <v>0</v>
      </c>
      <c r="L216" s="334">
        <f t="array" aca="1" ref="L216" ca="1">IF($A216="S",IF(CAIXA.Modo,BM.AFAcumulado,BM.MEDAcumulado),IF(AND(RegimeExecucao="Global",$I216&gt;0,COUNTIF($AB$13:$AM$13,BM.medicao)&gt;0),O216/$I216*100,0))</f>
        <v>0</v>
      </c>
      <c r="M216" s="335">
        <f t="array" aca="1" ref="M216" ca="1">IF($A216="S",VTOTALBM,IF($A216=0,0,ROUND(SomaAgrupBM,15-13*ORÇAMENTO!$AF$11)))</f>
        <v>0</v>
      </c>
      <c r="N216" s="336">
        <f t="shared" ca="1" si="25"/>
        <v>0</v>
      </c>
      <c r="O216" s="125">
        <f t="array" aca="1" ref="O216" ca="1">IF($A216="S",VTOTALBM,IF($A216=0,0,ROUND(SomaAgrupBM,15-13*ORÇAMENTO!$AF$11)))</f>
        <v>0</v>
      </c>
      <c r="Q216" s="337"/>
      <c r="R216" s="338"/>
      <c r="T216" s="117" t="str">
        <f t="shared" ca="1" si="26"/>
        <v/>
      </c>
      <c r="U216" s="163" t="str">
        <f t="shared" ca="1" si="27"/>
        <v/>
      </c>
      <c r="V216" s="164" t="str">
        <f t="array" aca="1" ref="V216" ca="1">IF(AND($W216&gt;0,RegimeExecucao="Unitário"),$F216,"")</f>
        <v/>
      </c>
      <c r="W216" s="453">
        <f t="array" aca="1" ref="W216" ca="1">IF($Y216&gt;0,CHOOSE(MATCH(RegimeExecucao,{"Unitário","Global"},0),IF($A216="S",$Y216/$X216,""),($Y216/$X216)*100),0)</f>
        <v>0</v>
      </c>
      <c r="X216" s="339" t="str">
        <f t="array" aca="1" ref="X216" ca="1">IF($Y216&gt;0,CHOOSE(MATCH(RegimeExecucao,{"Unitário","Global"},0),IF($A216="S",ROUND($H216,ORÇAMENTO!$AF$10),""),ROUND($I216,ORÇAMENTO!$AF$11)),"")</f>
        <v/>
      </c>
      <c r="Y216" s="339">
        <f t="shared" ca="1" si="28"/>
        <v>0</v>
      </c>
      <c r="Z216" s="472"/>
      <c r="AB216" s="337"/>
      <c r="AC216" s="437"/>
      <c r="AD216" s="437"/>
      <c r="AE216" s="437"/>
      <c r="AF216" s="437"/>
      <c r="AG216" s="437"/>
      <c r="AH216" s="437"/>
      <c r="AI216" s="437"/>
      <c r="AJ216" s="437"/>
      <c r="AK216" s="437"/>
      <c r="AL216" s="437"/>
      <c r="AM216" s="338"/>
      <c r="AO216" s="696">
        <f t="array" aca="1" ref="AO216" ca="1">IF($A216="S",IF(BM!$I216=0,0,CHOOSE(MATCH(RegimeExecucao,{"Global","Unitário"},0),ROUND(ROUND(BM.MEDAcumulado,15-13*BM!$A$9)/100*BM!$I216,15-13*ORÇAMENTO!$AF$11),ROUND(ROUND(BM.MEDAcumulado,15-13*BM!$A$9)*ROUND(BM!$H216,15-13*ORÇAMENTO!$AF$10),15-13*ORÇAMENTO!$AF$11))),IF($A216=0,0,ROUND(SomaAgrupBM,15-13*ORÇAMENTO!$AF$11)))</f>
        <v>0</v>
      </c>
    </row>
    <row r="217" spans="1:41" s="696" customFormat="1" ht="63.75" x14ac:dyDescent="0.2">
      <c r="A217" s="696" t="str">
        <f ca="1">ORÇAMENTO!C217</f>
        <v>S</v>
      </c>
      <c r="B217" s="696">
        <f ca="1">ORÇAMENTO!D217</f>
        <v>0</v>
      </c>
      <c r="C217" s="114" t="str">
        <f t="shared" ca="1" si="22"/>
        <v>F</v>
      </c>
      <c r="D217" s="117" t="str">
        <f ca="1">ORÇAMENTO!O217</f>
        <v>1.32.2.</v>
      </c>
      <c r="E217" s="163" t="str">
        <f t="shared" ca="1" si="23"/>
        <v>LAVATÓRIO LOUÇA BRANCA SUSPENSO, 29,5 X 39CM OU EQUIVALENTE, PADRÃO POPULAR, INCLUSO SIFÃO FLEXÍVEL EM PVC, VÁLVULA E ENGATE FLEXÍVEL 30CM EM PLÁSTICO E TORNEIRA CROMADA DE MESA, PADRÃO POPULAR - FORNECIMENTO E INSTALAÇÃO. AF_01/2020</v>
      </c>
      <c r="F217" s="164" t="str">
        <f t="array" aca="1" ref="F217" ca="1">IF(RegimeExecucao="Global","",ORÇAMENTO.Unidade)</f>
        <v>UN</v>
      </c>
      <c r="G217" s="122">
        <f t="array" aca="1" ref="G217" ca="1">IF(RegimeExecucao="Global","",ORÇAMENTO!T217)</f>
        <v>20</v>
      </c>
      <c r="H217" s="122">
        <f t="array" aca="1" ref="H217" ca="1">IF(RegimeExecucao="Global","",ORÇAMENTO!W217)</f>
        <v>314.58</v>
      </c>
      <c r="I217" s="125">
        <f ca="1">ORÇAMENTO!X217</f>
        <v>6291.6</v>
      </c>
      <c r="J217" s="333">
        <f t="array" aca="1" ref="J217" ca="1">IF($A217="S",IF(CAIXA.Modo,BM.AFAnterior,BM.MEDAnterior),IF(AND(RegimeExecucao="Global",$I217&gt;0,COUNTIF($AB$13:$AM$13,BM.medicao-1)&gt;0),M217/$I217*100,0))</f>
        <v>0</v>
      </c>
      <c r="K217" s="122">
        <f t="shared" ca="1" si="24"/>
        <v>0</v>
      </c>
      <c r="L217" s="334">
        <f t="array" aca="1" ref="L217" ca="1">IF($A217="S",IF(CAIXA.Modo,BM.AFAcumulado,BM.MEDAcumulado),IF(AND(RegimeExecucao="Global",$I217&gt;0,COUNTIF($AB$13:$AM$13,BM.medicao)&gt;0),O217/$I217*100,0))</f>
        <v>0</v>
      </c>
      <c r="M217" s="335">
        <f t="array" aca="1" ref="M217" ca="1">IF($A217="S",VTOTALBM,IF($A217=0,0,ROUND(SomaAgrupBM,15-13*ORÇAMENTO!$AF$11)))</f>
        <v>0</v>
      </c>
      <c r="N217" s="336">
        <f t="shared" ca="1" si="25"/>
        <v>0</v>
      </c>
      <c r="O217" s="125">
        <f t="array" aca="1" ref="O217" ca="1">IF($A217="S",VTOTALBM,IF($A217=0,0,ROUND(SomaAgrupBM,15-13*ORÇAMENTO!$AF$11)))</f>
        <v>0</v>
      </c>
      <c r="Q217" s="337"/>
      <c r="R217" s="338"/>
      <c r="T217" s="117" t="str">
        <f t="shared" ca="1" si="26"/>
        <v/>
      </c>
      <c r="U217" s="163" t="str">
        <f t="shared" ca="1" si="27"/>
        <v/>
      </c>
      <c r="V217" s="164" t="str">
        <f t="array" aca="1" ref="V217" ca="1">IF(AND($W217&gt;0,RegimeExecucao="Unitário"),$F217,"")</f>
        <v/>
      </c>
      <c r="W217" s="453">
        <f t="array" aca="1" ref="W217" ca="1">IF($Y217&gt;0,CHOOSE(MATCH(RegimeExecucao,{"Unitário","Global"},0),IF($A217="S",$Y217/$X217,""),($Y217/$X217)*100),0)</f>
        <v>0</v>
      </c>
      <c r="X217" s="339" t="str">
        <f t="array" aca="1" ref="X217" ca="1">IF($Y217&gt;0,CHOOSE(MATCH(RegimeExecucao,{"Unitário","Global"},0),IF($A217="S",ROUND($H217,ORÇAMENTO!$AF$10),""),ROUND($I217,ORÇAMENTO!$AF$11)),"")</f>
        <v/>
      </c>
      <c r="Y217" s="339">
        <f t="shared" ca="1" si="28"/>
        <v>0</v>
      </c>
      <c r="Z217" s="472"/>
      <c r="AB217" s="337"/>
      <c r="AC217" s="437"/>
      <c r="AD217" s="437"/>
      <c r="AE217" s="437"/>
      <c r="AF217" s="437"/>
      <c r="AG217" s="437"/>
      <c r="AH217" s="437"/>
      <c r="AI217" s="437"/>
      <c r="AJ217" s="437"/>
      <c r="AK217" s="437"/>
      <c r="AL217" s="437"/>
      <c r="AM217" s="338"/>
      <c r="AO217" s="696">
        <f t="array" aca="1" ref="AO217" ca="1">IF($A217="S",IF(BM!$I217=0,0,CHOOSE(MATCH(RegimeExecucao,{"Global","Unitário"},0),ROUND(ROUND(BM.MEDAcumulado,15-13*BM!$A$9)/100*BM!$I217,15-13*ORÇAMENTO!$AF$11),ROUND(ROUND(BM.MEDAcumulado,15-13*BM!$A$9)*ROUND(BM!$H217,15-13*ORÇAMENTO!$AF$10),15-13*ORÇAMENTO!$AF$11))),IF($A217=0,0,ROUND(SomaAgrupBM,15-13*ORÇAMENTO!$AF$11)))</f>
        <v>0</v>
      </c>
    </row>
    <row r="218" spans="1:41" s="696" customFormat="1" x14ac:dyDescent="0.2">
      <c r="A218" s="696">
        <f ca="1">ORÇAMENTO!C218</f>
        <v>2</v>
      </c>
      <c r="B218" s="696">
        <f ca="1">ORÇAMENTO!D218</f>
        <v>7</v>
      </c>
      <c r="C218" s="114" t="str">
        <f t="shared" ca="1" si="22"/>
        <v>F</v>
      </c>
      <c r="D218" s="117" t="str">
        <f ca="1">ORÇAMENTO!O218</f>
        <v>1.33.</v>
      </c>
      <c r="E218" s="163" t="str">
        <f t="shared" si="23"/>
        <v>BANCADAS E METAIS</v>
      </c>
      <c r="F218" s="164" t="str">
        <f t="array" aca="1" ref="F218" ca="1">IF(RegimeExecucao="Global","",ORÇAMENTO.Unidade)</f>
        <v>-</v>
      </c>
      <c r="G218" s="122">
        <f t="array" aca="1" ref="G218" ca="1">IF(RegimeExecucao="Global","",ORÇAMENTO!T218)</f>
        <v>0</v>
      </c>
      <c r="H218" s="122">
        <f t="array" aca="1" ref="H218" ca="1">IF(RegimeExecucao="Global","",ORÇAMENTO!W218)</f>
        <v>0</v>
      </c>
      <c r="I218" s="125">
        <f ca="1">ORÇAMENTO!X218</f>
        <v>38236.300000000003</v>
      </c>
      <c r="J218" s="333">
        <f t="array" aca="1" ref="J218" ca="1">IF($A218="S",IF(CAIXA.Modo,BM.AFAnterior,BM.MEDAnterior),IF(AND(RegimeExecucao="Global",$I218&gt;0,COUNTIF($AB$13:$AM$13,BM.medicao-1)&gt;0),M218/$I218*100,0))</f>
        <v>0</v>
      </c>
      <c r="K218" s="122">
        <f t="shared" ca="1" si="24"/>
        <v>0</v>
      </c>
      <c r="L218" s="334">
        <f t="array" aca="1" ref="L218" ca="1">IF($A218="S",IF(CAIXA.Modo,BM.AFAcumulado,BM.MEDAcumulado),IF(AND(RegimeExecucao="Global",$I218&gt;0,COUNTIF($AB$13:$AM$13,BM.medicao)&gt;0),O218/$I218*100,0))</f>
        <v>0</v>
      </c>
      <c r="M218" s="335">
        <f t="array" aca="1" ref="M218" ca="1">IF($A218="S",VTOTALBM,IF($A218=0,0,ROUND(SomaAgrupBM,15-13*ORÇAMENTO!$AF$11)))</f>
        <v>0</v>
      </c>
      <c r="N218" s="336">
        <f t="shared" ca="1" si="25"/>
        <v>0</v>
      </c>
      <c r="O218" s="125">
        <f t="array" aca="1" ref="O218" ca="1">IF($A218="S",VTOTALBM,IF($A218=0,0,ROUND(SomaAgrupBM,15-13*ORÇAMENTO!$AF$11)))</f>
        <v>0</v>
      </c>
      <c r="Q218" s="337"/>
      <c r="R218" s="338"/>
      <c r="T218" s="117" t="str">
        <f t="shared" ca="1" si="26"/>
        <v/>
      </c>
      <c r="U218" s="163" t="str">
        <f t="shared" ca="1" si="27"/>
        <v/>
      </c>
      <c r="V218" s="164" t="str">
        <f t="array" aca="1" ref="V218" ca="1">IF(AND($W218&gt;0,RegimeExecucao="Unitário"),$F218,"")</f>
        <v/>
      </c>
      <c r="W218" s="453">
        <f t="array" aca="1" ref="W218" ca="1">IF($Y218&gt;0,CHOOSE(MATCH(RegimeExecucao,{"Unitário","Global"},0),IF($A218="S",$Y218/$X218,""),($Y218/$X218)*100),0)</f>
        <v>0</v>
      </c>
      <c r="X218" s="339" t="str">
        <f t="array" aca="1" ref="X218" ca="1">IF($Y218&gt;0,CHOOSE(MATCH(RegimeExecucao,{"Unitário","Global"},0),IF($A218="S",ROUND($H218,ORÇAMENTO!$AF$10),""),ROUND($I218,ORÇAMENTO!$AF$11)),"")</f>
        <v/>
      </c>
      <c r="Y218" s="339">
        <f t="shared" ca="1" si="28"/>
        <v>0</v>
      </c>
      <c r="Z218" s="472"/>
      <c r="AB218" s="337"/>
      <c r="AC218" s="437"/>
      <c r="AD218" s="437"/>
      <c r="AE218" s="437"/>
      <c r="AF218" s="437"/>
      <c r="AG218" s="437"/>
      <c r="AH218" s="437"/>
      <c r="AI218" s="437"/>
      <c r="AJ218" s="437"/>
      <c r="AK218" s="437"/>
      <c r="AL218" s="437"/>
      <c r="AM218" s="338"/>
      <c r="AO218" s="696">
        <f t="array" aca="1" ref="AO218" ca="1">IF($A218="S",IF(BM!$I218=0,0,CHOOSE(MATCH(RegimeExecucao,{"Global","Unitário"},0),ROUND(ROUND(BM.MEDAcumulado,15-13*BM!$A$9)/100*BM!$I218,15-13*ORÇAMENTO!$AF$11),ROUND(ROUND(BM.MEDAcumulado,15-13*BM!$A$9)*ROUND(BM!$H218,15-13*ORÇAMENTO!$AF$10),15-13*ORÇAMENTO!$AF$11))),IF($A218=0,0,ROUND(SomaAgrupBM,15-13*ORÇAMENTO!$AF$11)))</f>
        <v>0</v>
      </c>
    </row>
    <row r="219" spans="1:41" s="696" customFormat="1" ht="63.75" x14ac:dyDescent="0.2">
      <c r="A219" s="696" t="str">
        <f ca="1">ORÇAMENTO!C219</f>
        <v>S</v>
      </c>
      <c r="B219" s="696">
        <f ca="1">ORÇAMENTO!D219</f>
        <v>0</v>
      </c>
      <c r="C219" s="114" t="str">
        <f t="shared" ca="1" si="22"/>
        <v>F</v>
      </c>
      <c r="D219" s="117" t="str">
        <f ca="1">ORÇAMENTO!O219</f>
        <v>1.33.1.</v>
      </c>
      <c r="E219" s="163" t="str">
        <f t="shared" ca="1" si="23"/>
        <v>BANCADA DE MÁRMORE SINTÉTICO 120 X 60CM, COM CUBA INTEGRADA, INCLUSO SIFÃO TIPO FLEXÍVEL EM PVC, VÁLVULA EM PLÁSTICO CROMADO TIPO AMERICANA E TORNEIRA CROMADA LONGA, DE PAREDE, PADRÃO POPULAR - FORNECIMENTO E INSTALAÇÃO. AF_01/2020</v>
      </c>
      <c r="F219" s="164" t="str">
        <f t="array" aca="1" ref="F219" ca="1">IF(RegimeExecucao="Global","",ORÇAMENTO.Unidade)</f>
        <v>UN</v>
      </c>
      <c r="G219" s="122">
        <f t="array" aca="1" ref="G219" ca="1">IF(RegimeExecucao="Global","",ORÇAMENTO!T219)</f>
        <v>20</v>
      </c>
      <c r="H219" s="122">
        <f t="array" aca="1" ref="H219" ca="1">IF(RegimeExecucao="Global","",ORÇAMENTO!W219)</f>
        <v>506.11</v>
      </c>
      <c r="I219" s="125">
        <f ca="1">ORÇAMENTO!X219</f>
        <v>10122.200000000001</v>
      </c>
      <c r="J219" s="333">
        <f t="array" aca="1" ref="J219" ca="1">IF($A219="S",IF(CAIXA.Modo,BM.AFAnterior,BM.MEDAnterior),IF(AND(RegimeExecucao="Global",$I219&gt;0,COUNTIF($AB$13:$AM$13,BM.medicao-1)&gt;0),M219/$I219*100,0))</f>
        <v>0</v>
      </c>
      <c r="K219" s="122">
        <f t="shared" ca="1" si="24"/>
        <v>0</v>
      </c>
      <c r="L219" s="334">
        <f t="array" aca="1" ref="L219" ca="1">IF($A219="S",IF(CAIXA.Modo,BM.AFAcumulado,BM.MEDAcumulado),IF(AND(RegimeExecucao="Global",$I219&gt;0,COUNTIF($AB$13:$AM$13,BM.medicao)&gt;0),O219/$I219*100,0))</f>
        <v>0</v>
      </c>
      <c r="M219" s="335">
        <f t="array" aca="1" ref="M219" ca="1">IF($A219="S",VTOTALBM,IF($A219=0,0,ROUND(SomaAgrupBM,15-13*ORÇAMENTO!$AF$11)))</f>
        <v>0</v>
      </c>
      <c r="N219" s="336">
        <f t="shared" ca="1" si="25"/>
        <v>0</v>
      </c>
      <c r="O219" s="125">
        <f t="array" aca="1" ref="O219" ca="1">IF($A219="S",VTOTALBM,IF($A219=0,0,ROUND(SomaAgrupBM,15-13*ORÇAMENTO!$AF$11)))</f>
        <v>0</v>
      </c>
      <c r="Q219" s="337"/>
      <c r="R219" s="338"/>
      <c r="T219" s="117" t="str">
        <f t="shared" ca="1" si="26"/>
        <v/>
      </c>
      <c r="U219" s="163" t="str">
        <f t="shared" ca="1" si="27"/>
        <v/>
      </c>
      <c r="V219" s="164" t="str">
        <f t="array" aca="1" ref="V219" ca="1">IF(AND($W219&gt;0,RegimeExecucao="Unitário"),$F219,"")</f>
        <v/>
      </c>
      <c r="W219" s="453">
        <f t="array" aca="1" ref="W219" ca="1">IF($Y219&gt;0,CHOOSE(MATCH(RegimeExecucao,{"Unitário","Global"},0),IF($A219="S",$Y219/$X219,""),($Y219/$X219)*100),0)</f>
        <v>0</v>
      </c>
      <c r="X219" s="339" t="str">
        <f t="array" aca="1" ref="X219" ca="1">IF($Y219&gt;0,CHOOSE(MATCH(RegimeExecucao,{"Unitário","Global"},0),IF($A219="S",ROUND($H219,ORÇAMENTO!$AF$10),""),ROUND($I219,ORÇAMENTO!$AF$11)),"")</f>
        <v/>
      </c>
      <c r="Y219" s="339">
        <f t="shared" ca="1" si="28"/>
        <v>0</v>
      </c>
      <c r="Z219" s="472"/>
      <c r="AB219" s="337"/>
      <c r="AC219" s="437"/>
      <c r="AD219" s="437"/>
      <c r="AE219" s="437"/>
      <c r="AF219" s="437"/>
      <c r="AG219" s="437"/>
      <c r="AH219" s="437"/>
      <c r="AI219" s="437"/>
      <c r="AJ219" s="437"/>
      <c r="AK219" s="437"/>
      <c r="AL219" s="437"/>
      <c r="AM219" s="338"/>
      <c r="AO219" s="696">
        <f t="array" aca="1" ref="AO219" ca="1">IF($A219="S",IF(BM!$I219=0,0,CHOOSE(MATCH(RegimeExecucao,{"Global","Unitário"},0),ROUND(ROUND(BM.MEDAcumulado,15-13*BM!$A$9)/100*BM!$I219,15-13*ORÇAMENTO!$AF$11),ROUND(ROUND(BM.MEDAcumulado,15-13*BM!$A$9)*ROUND(BM!$H219,15-13*ORÇAMENTO!$AF$10),15-13*ORÇAMENTO!$AF$11))),IF($A219=0,0,ROUND(SomaAgrupBM,15-13*ORÇAMENTO!$AF$11)))</f>
        <v>0</v>
      </c>
    </row>
    <row r="220" spans="1:41" s="696" customFormat="1" ht="51" x14ac:dyDescent="0.2">
      <c r="A220" s="696" t="str">
        <f ca="1">ORÇAMENTO!C220</f>
        <v>S</v>
      </c>
      <c r="B220" s="696">
        <f ca="1">ORÇAMENTO!D220</f>
        <v>0</v>
      </c>
      <c r="C220" s="114" t="str">
        <f t="shared" ca="1" si="22"/>
        <v>F</v>
      </c>
      <c r="D220" s="117" t="str">
        <f ca="1">ORÇAMENTO!O220</f>
        <v>1.33.2.</v>
      </c>
      <c r="E220" s="163" t="str">
        <f t="shared" ca="1" si="23"/>
        <v>TANQUE DE MÁRMORE SINTÉTICO COM COLUNA, 22L OU EQUIVALENTE, INCLUSO SIFÃO FLEXÍVEL EM PVC, VÁLVULA PLÁSTICA E TORNEIRA DE METAL CROMADO PADRÃO POPULAR - FORNECIMENTO E INSTALAÇÃO. AF_01/2020</v>
      </c>
      <c r="F220" s="164" t="str">
        <f t="array" aca="1" ref="F220" ca="1">IF(RegimeExecucao="Global","",ORÇAMENTO.Unidade)</f>
        <v>UN</v>
      </c>
      <c r="G220" s="122">
        <f t="array" aca="1" ref="G220" ca="1">IF(RegimeExecucao="Global","",ORÇAMENTO!T220)</f>
        <v>20</v>
      </c>
      <c r="H220" s="122">
        <f t="array" aca="1" ref="H220" ca="1">IF(RegimeExecucao="Global","",ORÇAMENTO!W220)</f>
        <v>755.64</v>
      </c>
      <c r="I220" s="125">
        <f ca="1">ORÇAMENTO!X220</f>
        <v>15112.8</v>
      </c>
      <c r="J220" s="333">
        <f t="array" aca="1" ref="J220" ca="1">IF($A220="S",IF(CAIXA.Modo,BM.AFAnterior,BM.MEDAnterior),IF(AND(RegimeExecucao="Global",$I220&gt;0,COUNTIF($AB$13:$AM$13,BM.medicao-1)&gt;0),M220/$I220*100,0))</f>
        <v>0</v>
      </c>
      <c r="K220" s="122">
        <f t="shared" ca="1" si="24"/>
        <v>0</v>
      </c>
      <c r="L220" s="334">
        <f t="array" aca="1" ref="L220" ca="1">IF($A220="S",IF(CAIXA.Modo,BM.AFAcumulado,BM.MEDAcumulado),IF(AND(RegimeExecucao="Global",$I220&gt;0,COUNTIF($AB$13:$AM$13,BM.medicao)&gt;0),O220/$I220*100,0))</f>
        <v>0</v>
      </c>
      <c r="M220" s="335">
        <f t="array" aca="1" ref="M220" ca="1">IF($A220="S",VTOTALBM,IF($A220=0,0,ROUND(SomaAgrupBM,15-13*ORÇAMENTO!$AF$11)))</f>
        <v>0</v>
      </c>
      <c r="N220" s="336">
        <f t="shared" ca="1" si="25"/>
        <v>0</v>
      </c>
      <c r="O220" s="125">
        <f t="array" aca="1" ref="O220" ca="1">IF($A220="S",VTOTALBM,IF($A220=0,0,ROUND(SomaAgrupBM,15-13*ORÇAMENTO!$AF$11)))</f>
        <v>0</v>
      </c>
      <c r="Q220" s="337"/>
      <c r="R220" s="338"/>
      <c r="T220" s="117" t="str">
        <f t="shared" ca="1" si="26"/>
        <v/>
      </c>
      <c r="U220" s="163" t="str">
        <f t="shared" ca="1" si="27"/>
        <v/>
      </c>
      <c r="V220" s="164" t="str">
        <f t="array" aca="1" ref="V220" ca="1">IF(AND($W220&gt;0,RegimeExecucao="Unitário"),$F220,"")</f>
        <v/>
      </c>
      <c r="W220" s="453">
        <f t="array" aca="1" ref="W220" ca="1">IF($Y220&gt;0,CHOOSE(MATCH(RegimeExecucao,{"Unitário","Global"},0),IF($A220="S",$Y220/$X220,""),($Y220/$X220)*100),0)</f>
        <v>0</v>
      </c>
      <c r="X220" s="339" t="str">
        <f t="array" aca="1" ref="X220" ca="1">IF($Y220&gt;0,CHOOSE(MATCH(RegimeExecucao,{"Unitário","Global"},0),IF($A220="S",ROUND($H220,ORÇAMENTO!$AF$10),""),ROUND($I220,ORÇAMENTO!$AF$11)),"")</f>
        <v/>
      </c>
      <c r="Y220" s="339">
        <f t="shared" ca="1" si="28"/>
        <v>0</v>
      </c>
      <c r="Z220" s="472"/>
      <c r="AB220" s="337"/>
      <c r="AC220" s="437"/>
      <c r="AD220" s="437"/>
      <c r="AE220" s="437"/>
      <c r="AF220" s="437"/>
      <c r="AG220" s="437"/>
      <c r="AH220" s="437"/>
      <c r="AI220" s="437"/>
      <c r="AJ220" s="437"/>
      <c r="AK220" s="437"/>
      <c r="AL220" s="437"/>
      <c r="AM220" s="338"/>
      <c r="AO220" s="696">
        <f t="array" aca="1" ref="AO220" ca="1">IF($A220="S",IF(BM!$I220=0,0,CHOOSE(MATCH(RegimeExecucao,{"Global","Unitário"},0),ROUND(ROUND(BM.MEDAcumulado,15-13*BM!$A$9)/100*BM!$I220,15-13*ORÇAMENTO!$AF$11),ROUND(ROUND(BM.MEDAcumulado,15-13*BM!$A$9)*ROUND(BM!$H220,15-13*ORÇAMENTO!$AF$10),15-13*ORÇAMENTO!$AF$11))),IF($A220=0,0,ROUND(SomaAgrupBM,15-13*ORÇAMENTO!$AF$11)))</f>
        <v>0</v>
      </c>
    </row>
    <row r="221" spans="1:41" s="696" customFormat="1" ht="25.5" x14ac:dyDescent="0.2">
      <c r="A221" s="696" t="str">
        <f ca="1">ORÇAMENTO!C221</f>
        <v>S</v>
      </c>
      <c r="B221" s="696">
        <f ca="1">ORÇAMENTO!D221</f>
        <v>0</v>
      </c>
      <c r="C221" s="114" t="str">
        <f t="shared" ca="1" si="22"/>
        <v>F</v>
      </c>
      <c r="D221" s="117" t="str">
        <f ca="1">ORÇAMENTO!O221</f>
        <v>1.33.3.</v>
      </c>
      <c r="E221" s="163" t="str">
        <f t="shared" ca="1" si="23"/>
        <v>KIT DE ACESSORIOS PARA BANHEIRO EM METAL CROMADO, 5 PECAS, INCLUSO FIXAÇÃO. AF_01/2020</v>
      </c>
      <c r="F221" s="164" t="str">
        <f t="array" aca="1" ref="F221" ca="1">IF(RegimeExecucao="Global","",ORÇAMENTO.Unidade)</f>
        <v>UN</v>
      </c>
      <c r="G221" s="122">
        <f t="array" aca="1" ref="G221" ca="1">IF(RegimeExecucao="Global","",ORÇAMENTO!T221)</f>
        <v>20</v>
      </c>
      <c r="H221" s="122">
        <f t="array" aca="1" ref="H221" ca="1">IF(RegimeExecucao="Global","",ORÇAMENTO!W221)</f>
        <v>170.17</v>
      </c>
      <c r="I221" s="125">
        <f ca="1">ORÇAMENTO!X221</f>
        <v>3403.4</v>
      </c>
      <c r="J221" s="333">
        <f t="array" aca="1" ref="J221" ca="1">IF($A221="S",IF(CAIXA.Modo,BM.AFAnterior,BM.MEDAnterior),IF(AND(RegimeExecucao="Global",$I221&gt;0,COUNTIF($AB$13:$AM$13,BM.medicao-1)&gt;0),M221/$I221*100,0))</f>
        <v>0</v>
      </c>
      <c r="K221" s="122">
        <f t="shared" ca="1" si="24"/>
        <v>0</v>
      </c>
      <c r="L221" s="334">
        <f t="array" aca="1" ref="L221" ca="1">IF($A221="S",IF(CAIXA.Modo,BM.AFAcumulado,BM.MEDAcumulado),IF(AND(RegimeExecucao="Global",$I221&gt;0,COUNTIF($AB$13:$AM$13,BM.medicao)&gt;0),O221/$I221*100,0))</f>
        <v>0</v>
      </c>
      <c r="M221" s="335">
        <f t="array" aca="1" ref="M221" ca="1">IF($A221="S",VTOTALBM,IF($A221=0,0,ROUND(SomaAgrupBM,15-13*ORÇAMENTO!$AF$11)))</f>
        <v>0</v>
      </c>
      <c r="N221" s="336">
        <f t="shared" ca="1" si="25"/>
        <v>0</v>
      </c>
      <c r="O221" s="125">
        <f t="array" aca="1" ref="O221" ca="1">IF($A221="S",VTOTALBM,IF($A221=0,0,ROUND(SomaAgrupBM,15-13*ORÇAMENTO!$AF$11)))</f>
        <v>0</v>
      </c>
      <c r="Q221" s="337"/>
      <c r="R221" s="338"/>
      <c r="T221" s="117" t="str">
        <f t="shared" ca="1" si="26"/>
        <v/>
      </c>
      <c r="U221" s="163" t="str">
        <f t="shared" ca="1" si="27"/>
        <v/>
      </c>
      <c r="V221" s="164" t="str">
        <f t="array" aca="1" ref="V221" ca="1">IF(AND($W221&gt;0,RegimeExecucao="Unitário"),$F221,"")</f>
        <v/>
      </c>
      <c r="W221" s="453">
        <f t="array" aca="1" ref="W221" ca="1">IF($Y221&gt;0,CHOOSE(MATCH(RegimeExecucao,{"Unitário","Global"},0),IF($A221="S",$Y221/$X221,""),($Y221/$X221)*100),0)</f>
        <v>0</v>
      </c>
      <c r="X221" s="339" t="str">
        <f t="array" aca="1" ref="X221" ca="1">IF($Y221&gt;0,CHOOSE(MATCH(RegimeExecucao,{"Unitário","Global"},0),IF($A221="S",ROUND($H221,ORÇAMENTO!$AF$10),""),ROUND($I221,ORÇAMENTO!$AF$11)),"")</f>
        <v/>
      </c>
      <c r="Y221" s="339">
        <f t="shared" ca="1" si="28"/>
        <v>0</v>
      </c>
      <c r="Z221" s="472"/>
      <c r="AB221" s="337"/>
      <c r="AC221" s="437"/>
      <c r="AD221" s="437"/>
      <c r="AE221" s="437"/>
      <c r="AF221" s="437"/>
      <c r="AG221" s="437"/>
      <c r="AH221" s="437"/>
      <c r="AI221" s="437"/>
      <c r="AJ221" s="437"/>
      <c r="AK221" s="437"/>
      <c r="AL221" s="437"/>
      <c r="AM221" s="338"/>
      <c r="AO221" s="696">
        <f t="array" aca="1" ref="AO221" ca="1">IF($A221="S",IF(BM!$I221=0,0,CHOOSE(MATCH(RegimeExecucao,{"Global","Unitário"},0),ROUND(ROUND(BM.MEDAcumulado,15-13*BM!$A$9)/100*BM!$I221,15-13*ORÇAMENTO!$AF$11),ROUND(ROUND(BM.MEDAcumulado,15-13*BM!$A$9)*ROUND(BM!$H221,15-13*ORÇAMENTO!$AF$10),15-13*ORÇAMENTO!$AF$11))),IF($A221=0,0,ROUND(SomaAgrupBM,15-13*ORÇAMENTO!$AF$11)))</f>
        <v>0</v>
      </c>
    </row>
    <row r="222" spans="1:41" s="717" customFormat="1" ht="25.5" x14ac:dyDescent="0.2">
      <c r="A222" s="717" t="str">
        <f ca="1">ORÇAMENTO!C222</f>
        <v>S</v>
      </c>
      <c r="B222" s="717">
        <f ca="1">ORÇAMENTO!D222</f>
        <v>0</v>
      </c>
      <c r="C222" s="114" t="str">
        <f t="shared" ca="1" si="22"/>
        <v>F</v>
      </c>
      <c r="D222" s="117" t="str">
        <f ca="1">ORÇAMENTO!O222</f>
        <v>1.33.4.</v>
      </c>
      <c r="E222" s="163" t="str">
        <f t="shared" ca="1" si="23"/>
        <v>BARRA DE APOIO EM "L", EM ACO INOX POLIDO 70 X 70 CM, FIXADA NA PAREDE - FORNECIMENTO E INSTALACAO. AF_01/2020</v>
      </c>
      <c r="F222" s="164" t="str">
        <f t="array" aca="1" ref="F222" ca="1">IF(RegimeExecucao="Global","",ORÇAMENTO.Unidade)</f>
        <v>UN</v>
      </c>
      <c r="G222" s="122">
        <f t="array" aca="1" ref="G222" ca="1">IF(RegimeExecucao="Global","",ORÇAMENTO!T222)</f>
        <v>6</v>
      </c>
      <c r="H222" s="122">
        <f t="array" aca="1" ref="H222" ca="1">IF(RegimeExecucao="Global","",ORÇAMENTO!W222)</f>
        <v>823.46</v>
      </c>
      <c r="I222" s="125">
        <f ca="1">ORÇAMENTO!X222</f>
        <v>4940.76</v>
      </c>
      <c r="J222" s="333">
        <f t="array" aca="1" ref="J222" ca="1">IF($A222="S",IF(CAIXA.Modo,BM.AFAnterior,BM.MEDAnterior),IF(AND(RegimeExecucao="Global",$I222&gt;0,COUNTIF($AB$13:$AM$13,BM.medicao-1)&gt;0),M222/$I222*100,0))</f>
        <v>0</v>
      </c>
      <c r="K222" s="122">
        <f t="shared" ca="1" si="24"/>
        <v>0</v>
      </c>
      <c r="L222" s="334">
        <f t="array" aca="1" ref="L222" ca="1">IF($A222="S",IF(CAIXA.Modo,BM.AFAcumulado,BM.MEDAcumulado),IF(AND(RegimeExecucao="Global",$I222&gt;0,COUNTIF($AB$13:$AM$13,BM.medicao)&gt;0),O222/$I222*100,0))</f>
        <v>0</v>
      </c>
      <c r="M222" s="335">
        <f t="array" aca="1" ref="M222" ca="1">IF($A222="S",VTOTALBM,IF($A222=0,0,ROUND(SomaAgrupBM,15-13*ORÇAMENTO!$AF$11)))</f>
        <v>0</v>
      </c>
      <c r="N222" s="336">
        <f t="shared" ca="1" si="25"/>
        <v>0</v>
      </c>
      <c r="O222" s="125">
        <f t="array" aca="1" ref="O222" ca="1">IF($A222="S",VTOTALBM,IF($A222=0,0,ROUND(SomaAgrupBM,15-13*ORÇAMENTO!$AF$11)))</f>
        <v>0</v>
      </c>
      <c r="Q222" s="337"/>
      <c r="R222" s="338"/>
      <c r="T222" s="117" t="str">
        <f t="shared" ca="1" si="26"/>
        <v/>
      </c>
      <c r="U222" s="163" t="str">
        <f t="shared" ca="1" si="27"/>
        <v/>
      </c>
      <c r="V222" s="164" t="str">
        <f t="array" aca="1" ref="V222" ca="1">IF(AND($W222&gt;0,RegimeExecucao="Unitário"),$F222,"")</f>
        <v/>
      </c>
      <c r="W222" s="453">
        <f t="array" aca="1" ref="W222" ca="1">IF($Y222&gt;0,CHOOSE(MATCH(RegimeExecucao,{"Unitário","Global"},0),IF($A222="S",$Y222/$X222,""),($Y222/$X222)*100),0)</f>
        <v>0</v>
      </c>
      <c r="X222" s="339" t="str">
        <f t="array" aca="1" ref="X222" ca="1">IF($Y222&gt;0,CHOOSE(MATCH(RegimeExecucao,{"Unitário","Global"},0),IF($A222="S",ROUND($H222,ORÇAMENTO!$AF$10),""),ROUND($I222,ORÇAMENTO!$AF$11)),"")</f>
        <v/>
      </c>
      <c r="Y222" s="339">
        <f t="shared" ca="1" si="28"/>
        <v>0</v>
      </c>
      <c r="Z222" s="472"/>
      <c r="AB222" s="337"/>
      <c r="AC222" s="437"/>
      <c r="AD222" s="437"/>
      <c r="AE222" s="437"/>
      <c r="AF222" s="437"/>
      <c r="AG222" s="437"/>
      <c r="AH222" s="437"/>
      <c r="AI222" s="437"/>
      <c r="AJ222" s="437"/>
      <c r="AK222" s="437"/>
      <c r="AL222" s="437"/>
      <c r="AM222" s="338"/>
      <c r="AO222" s="717">
        <f t="array" aca="1" ref="AO222" ca="1">IF($A222="S",IF(BM!$I222=0,0,CHOOSE(MATCH(RegimeExecucao,{"Global","Unitário"},0),ROUND(ROUND(BM.MEDAcumulado,15-13*BM!$A$9)/100*BM!$I222,15-13*ORÇAMENTO!$AF$11),ROUND(ROUND(BM.MEDAcumulado,15-13*BM!$A$9)*ROUND(BM!$H222,15-13*ORÇAMENTO!$AF$10),15-13*ORÇAMENTO!$AF$11))),IF($A222=0,0,ROUND(SomaAgrupBM,15-13*ORÇAMENTO!$AF$11)))</f>
        <v>0</v>
      </c>
    </row>
    <row r="223" spans="1:41" s="717" customFormat="1" ht="38.25" x14ac:dyDescent="0.2">
      <c r="A223" s="717" t="str">
        <f ca="1">ORÇAMENTO!C223</f>
        <v>S</v>
      </c>
      <c r="B223" s="717">
        <f ca="1">ORÇAMENTO!D223</f>
        <v>0</v>
      </c>
      <c r="C223" s="114" t="str">
        <f t="shared" ca="1" si="22"/>
        <v>F</v>
      </c>
      <c r="D223" s="117" t="str">
        <f ca="1">ORÇAMENTO!O223</f>
        <v>1.33.5.</v>
      </c>
      <c r="E223" s="163" t="str">
        <f t="shared" ca="1" si="23"/>
        <v>BARRA DE APOIO RETA, EM ACO INOX POLIDO, COMPRIMENTO 70 CM, FIXADA NA PAREDE - FORNECIMENTO E INSTALAÇÃO. AF_01/2020</v>
      </c>
      <c r="F223" s="164" t="str">
        <f t="array" aca="1" ref="F223" ca="1">IF(RegimeExecucao="Global","",ORÇAMENTO.Unidade)</f>
        <v>UN</v>
      </c>
      <c r="G223" s="122">
        <f t="array" aca="1" ref="G223" ca="1">IF(RegimeExecucao="Global","",ORÇAMENTO!T223)</f>
        <v>4</v>
      </c>
      <c r="H223" s="122">
        <f t="array" aca="1" ref="H223" ca="1">IF(RegimeExecucao="Global","",ORÇAMENTO!W223)</f>
        <v>459.26</v>
      </c>
      <c r="I223" s="125">
        <f ca="1">ORÇAMENTO!X223</f>
        <v>1837.04</v>
      </c>
      <c r="J223" s="333">
        <f t="array" aca="1" ref="J223" ca="1">IF($A223="S",IF(CAIXA.Modo,BM.AFAnterior,BM.MEDAnterior),IF(AND(RegimeExecucao="Global",$I223&gt;0,COUNTIF($AB$13:$AM$13,BM.medicao-1)&gt;0),M223/$I223*100,0))</f>
        <v>0</v>
      </c>
      <c r="K223" s="122">
        <f t="shared" ca="1" si="24"/>
        <v>0</v>
      </c>
      <c r="L223" s="334">
        <f t="array" aca="1" ref="L223" ca="1">IF($A223="S",IF(CAIXA.Modo,BM.AFAcumulado,BM.MEDAcumulado),IF(AND(RegimeExecucao="Global",$I223&gt;0,COUNTIF($AB$13:$AM$13,BM.medicao)&gt;0),O223/$I223*100,0))</f>
        <v>0</v>
      </c>
      <c r="M223" s="335">
        <f t="array" aca="1" ref="M223" ca="1">IF($A223="S",VTOTALBM,IF($A223=0,0,ROUND(SomaAgrupBM,15-13*ORÇAMENTO!$AF$11)))</f>
        <v>0</v>
      </c>
      <c r="N223" s="336">
        <f t="shared" ca="1" si="25"/>
        <v>0</v>
      </c>
      <c r="O223" s="125">
        <f t="array" aca="1" ref="O223" ca="1">IF($A223="S",VTOTALBM,IF($A223=0,0,ROUND(SomaAgrupBM,15-13*ORÇAMENTO!$AF$11)))</f>
        <v>0</v>
      </c>
      <c r="Q223" s="337"/>
      <c r="R223" s="338"/>
      <c r="T223" s="117" t="str">
        <f t="shared" ca="1" si="26"/>
        <v/>
      </c>
      <c r="U223" s="163" t="str">
        <f t="shared" ca="1" si="27"/>
        <v/>
      </c>
      <c r="V223" s="164" t="str">
        <f t="array" aca="1" ref="V223" ca="1">IF(AND($W223&gt;0,RegimeExecucao="Unitário"),$F223,"")</f>
        <v/>
      </c>
      <c r="W223" s="453">
        <f t="array" aca="1" ref="W223" ca="1">IF($Y223&gt;0,CHOOSE(MATCH(RegimeExecucao,{"Unitário","Global"},0),IF($A223="S",$Y223/$X223,""),($Y223/$X223)*100),0)</f>
        <v>0</v>
      </c>
      <c r="X223" s="339" t="str">
        <f t="array" aca="1" ref="X223" ca="1">IF($Y223&gt;0,CHOOSE(MATCH(RegimeExecucao,{"Unitário","Global"},0),IF($A223="S",ROUND($H223,ORÇAMENTO!$AF$10),""),ROUND($I223,ORÇAMENTO!$AF$11)),"")</f>
        <v/>
      </c>
      <c r="Y223" s="339">
        <f t="shared" ca="1" si="28"/>
        <v>0</v>
      </c>
      <c r="Z223" s="472"/>
      <c r="AB223" s="337"/>
      <c r="AC223" s="437"/>
      <c r="AD223" s="437"/>
      <c r="AE223" s="437"/>
      <c r="AF223" s="437"/>
      <c r="AG223" s="437"/>
      <c r="AH223" s="437"/>
      <c r="AI223" s="437"/>
      <c r="AJ223" s="437"/>
      <c r="AK223" s="437"/>
      <c r="AL223" s="437"/>
      <c r="AM223" s="338"/>
      <c r="AO223" s="717">
        <f t="array" aca="1" ref="AO223" ca="1">IF($A223="S",IF(BM!$I223=0,0,CHOOSE(MATCH(RegimeExecucao,{"Global","Unitário"},0),ROUND(ROUND(BM.MEDAcumulado,15-13*BM!$A$9)/100*BM!$I223,15-13*ORÇAMENTO!$AF$11),ROUND(ROUND(BM.MEDAcumulado,15-13*BM!$A$9)*ROUND(BM!$H223,15-13*ORÇAMENTO!$AF$10),15-13*ORÇAMENTO!$AF$11))),IF($A223=0,0,ROUND(SomaAgrupBM,15-13*ORÇAMENTO!$AF$11)))</f>
        <v>0</v>
      </c>
    </row>
    <row r="224" spans="1:41" s="717" customFormat="1" ht="25.5" x14ac:dyDescent="0.2">
      <c r="A224" s="717" t="str">
        <f ca="1">ORÇAMENTO!C224</f>
        <v>S</v>
      </c>
      <c r="B224" s="717">
        <f ca="1">ORÇAMENTO!D224</f>
        <v>0</v>
      </c>
      <c r="C224" s="114" t="str">
        <f t="shared" ca="1" si="22"/>
        <v>F</v>
      </c>
      <c r="D224" s="117" t="str">
        <f ca="1">ORÇAMENTO!O224</f>
        <v>1.33.6.</v>
      </c>
      <c r="E224" s="163" t="str">
        <f t="shared" ca="1" si="23"/>
        <v>BANCO ARTICULADO, EM ACO INOX, PARA PCD, FIXADO NA PAREDE - FORNECIMENTO E INSTALAÇÃO. AF_01/2020</v>
      </c>
      <c r="F224" s="164" t="str">
        <f t="array" aca="1" ref="F224" ca="1">IF(RegimeExecucao="Global","",ORÇAMENTO.Unidade)</f>
        <v>UN</v>
      </c>
      <c r="G224" s="122">
        <f t="array" aca="1" ref="G224" ca="1">IF(RegimeExecucao="Global","",ORÇAMENTO!T224)</f>
        <v>2</v>
      </c>
      <c r="H224" s="122">
        <f t="array" aca="1" ref="H224" ca="1">IF(RegimeExecucao="Global","",ORÇAMENTO!W224)</f>
        <v>1410.05</v>
      </c>
      <c r="I224" s="125">
        <f ca="1">ORÇAMENTO!X224</f>
        <v>2820.1</v>
      </c>
      <c r="J224" s="333">
        <f t="array" aca="1" ref="J224" ca="1">IF($A224="S",IF(CAIXA.Modo,BM.AFAnterior,BM.MEDAnterior),IF(AND(RegimeExecucao="Global",$I224&gt;0,COUNTIF($AB$13:$AM$13,BM.medicao-1)&gt;0),M224/$I224*100,0))</f>
        <v>0</v>
      </c>
      <c r="K224" s="122">
        <f t="shared" ca="1" si="24"/>
        <v>0</v>
      </c>
      <c r="L224" s="334">
        <f t="array" aca="1" ref="L224" ca="1">IF($A224="S",IF(CAIXA.Modo,BM.AFAcumulado,BM.MEDAcumulado),IF(AND(RegimeExecucao="Global",$I224&gt;0,COUNTIF($AB$13:$AM$13,BM.medicao)&gt;0),O224/$I224*100,0))</f>
        <v>0</v>
      </c>
      <c r="M224" s="335">
        <f t="array" aca="1" ref="M224" ca="1">IF($A224="S",VTOTALBM,IF($A224=0,0,ROUND(SomaAgrupBM,15-13*ORÇAMENTO!$AF$11)))</f>
        <v>0</v>
      </c>
      <c r="N224" s="336">
        <f t="shared" ca="1" si="25"/>
        <v>0</v>
      </c>
      <c r="O224" s="125">
        <f t="array" aca="1" ref="O224" ca="1">IF($A224="S",VTOTALBM,IF($A224=0,0,ROUND(SomaAgrupBM,15-13*ORÇAMENTO!$AF$11)))</f>
        <v>0</v>
      </c>
      <c r="Q224" s="337"/>
      <c r="R224" s="338"/>
      <c r="T224" s="117" t="str">
        <f t="shared" ca="1" si="26"/>
        <v/>
      </c>
      <c r="U224" s="163" t="str">
        <f t="shared" ca="1" si="27"/>
        <v/>
      </c>
      <c r="V224" s="164" t="str">
        <f t="array" aca="1" ref="V224" ca="1">IF(AND($W224&gt;0,RegimeExecucao="Unitário"),$F224,"")</f>
        <v/>
      </c>
      <c r="W224" s="453">
        <f t="array" aca="1" ref="W224" ca="1">IF($Y224&gt;0,CHOOSE(MATCH(RegimeExecucao,{"Unitário","Global"},0),IF($A224="S",$Y224/$X224,""),($Y224/$X224)*100),0)</f>
        <v>0</v>
      </c>
      <c r="X224" s="339" t="str">
        <f t="array" aca="1" ref="X224" ca="1">IF($Y224&gt;0,CHOOSE(MATCH(RegimeExecucao,{"Unitário","Global"},0),IF($A224="S",ROUND($H224,ORÇAMENTO!$AF$10),""),ROUND($I224,ORÇAMENTO!$AF$11)),"")</f>
        <v/>
      </c>
      <c r="Y224" s="339">
        <f t="shared" ca="1" si="28"/>
        <v>0</v>
      </c>
      <c r="Z224" s="472"/>
      <c r="AB224" s="337"/>
      <c r="AC224" s="437"/>
      <c r="AD224" s="437"/>
      <c r="AE224" s="437"/>
      <c r="AF224" s="437"/>
      <c r="AG224" s="437"/>
      <c r="AH224" s="437"/>
      <c r="AI224" s="437"/>
      <c r="AJ224" s="437"/>
      <c r="AK224" s="437"/>
      <c r="AL224" s="437"/>
      <c r="AM224" s="338"/>
      <c r="AO224" s="717">
        <f t="array" aca="1" ref="AO224" ca="1">IF($A224="S",IF(BM!$I224=0,0,CHOOSE(MATCH(RegimeExecucao,{"Global","Unitário"},0),ROUND(ROUND(BM.MEDAcumulado,15-13*BM!$A$9)/100*BM!$I224,15-13*ORÇAMENTO!$AF$11),ROUND(ROUND(BM.MEDAcumulado,15-13*BM!$A$9)*ROUND(BM!$H224,15-13*ORÇAMENTO!$AF$10),15-13*ORÇAMENTO!$AF$11))),IF($A224=0,0,ROUND(SomaAgrupBM,15-13*ORÇAMENTO!$AF$11)))</f>
        <v>0</v>
      </c>
    </row>
    <row r="225" spans="1:41" s="696" customFormat="1" x14ac:dyDescent="0.2">
      <c r="A225" s="696">
        <f ca="1">ORÇAMENTO!C225</f>
        <v>2</v>
      </c>
      <c r="B225" s="696">
        <f ca="1">ORÇAMENTO!D225</f>
        <v>10</v>
      </c>
      <c r="C225" s="114" t="str">
        <f t="shared" ca="1" si="22"/>
        <v>F</v>
      </c>
      <c r="D225" s="117" t="str">
        <f ca="1">ORÇAMENTO!O225</f>
        <v>1.34.</v>
      </c>
      <c r="E225" s="163" t="str">
        <f t="shared" si="23"/>
        <v>CALAFETE / LIMPEZA</v>
      </c>
      <c r="F225" s="164" t="str">
        <f t="array" aca="1" ref="F225" ca="1">IF(RegimeExecucao="Global","",ORÇAMENTO.Unidade)</f>
        <v>-</v>
      </c>
      <c r="G225" s="122">
        <f t="array" aca="1" ref="G225" ca="1">IF(RegimeExecucao="Global","",ORÇAMENTO!T225)</f>
        <v>0</v>
      </c>
      <c r="H225" s="122">
        <f t="array" aca="1" ref="H225" ca="1">IF(RegimeExecucao="Global","",ORÇAMENTO!W225)</f>
        <v>0</v>
      </c>
      <c r="I225" s="125">
        <f ca="1">ORÇAMENTO!X225</f>
        <v>10724.2</v>
      </c>
      <c r="J225" s="333">
        <f t="array" aca="1" ref="J225" ca="1">IF($A225="S",IF(CAIXA.Modo,BM.AFAnterior,BM.MEDAnterior),IF(AND(RegimeExecucao="Global",$I225&gt;0,COUNTIF($AB$13:$AM$13,BM.medicao-1)&gt;0),M225/$I225*100,0))</f>
        <v>0</v>
      </c>
      <c r="K225" s="122">
        <f t="shared" ca="1" si="24"/>
        <v>0</v>
      </c>
      <c r="L225" s="334">
        <f t="array" aca="1" ref="L225" ca="1">IF($A225="S",IF(CAIXA.Modo,BM.AFAcumulado,BM.MEDAcumulado),IF(AND(RegimeExecucao="Global",$I225&gt;0,COUNTIF($AB$13:$AM$13,BM.medicao)&gt;0),O225/$I225*100,0))</f>
        <v>0</v>
      </c>
      <c r="M225" s="335">
        <f t="array" aca="1" ref="M225" ca="1">IF($A225="S",VTOTALBM,IF($A225=0,0,ROUND(SomaAgrupBM,15-13*ORÇAMENTO!$AF$11)))</f>
        <v>0</v>
      </c>
      <c r="N225" s="336">
        <f t="shared" ca="1" si="25"/>
        <v>0</v>
      </c>
      <c r="O225" s="125">
        <f t="array" aca="1" ref="O225" ca="1">IF($A225="S",VTOTALBM,IF($A225=0,0,ROUND(SomaAgrupBM,15-13*ORÇAMENTO!$AF$11)))</f>
        <v>0</v>
      </c>
      <c r="Q225" s="337"/>
      <c r="R225" s="338"/>
      <c r="T225" s="117" t="str">
        <f t="shared" ca="1" si="26"/>
        <v/>
      </c>
      <c r="U225" s="163" t="str">
        <f t="shared" ca="1" si="27"/>
        <v/>
      </c>
      <c r="V225" s="164" t="str">
        <f t="array" aca="1" ref="V225" ca="1">IF(AND($W225&gt;0,RegimeExecucao="Unitário"),$F225,"")</f>
        <v/>
      </c>
      <c r="W225" s="453">
        <f t="array" aca="1" ref="W225" ca="1">IF($Y225&gt;0,CHOOSE(MATCH(RegimeExecucao,{"Unitário","Global"},0),IF($A225="S",$Y225/$X225,""),($Y225/$X225)*100),0)</f>
        <v>0</v>
      </c>
      <c r="X225" s="339" t="str">
        <f t="array" aca="1" ref="X225" ca="1">IF($Y225&gt;0,CHOOSE(MATCH(RegimeExecucao,{"Unitário","Global"},0),IF($A225="S",ROUND($H225,ORÇAMENTO!$AF$10),""),ROUND($I225,ORÇAMENTO!$AF$11)),"")</f>
        <v/>
      </c>
      <c r="Y225" s="339">
        <f t="shared" ca="1" si="28"/>
        <v>0</v>
      </c>
      <c r="Z225" s="472"/>
      <c r="AB225" s="337"/>
      <c r="AC225" s="437"/>
      <c r="AD225" s="437"/>
      <c r="AE225" s="437"/>
      <c r="AF225" s="437"/>
      <c r="AG225" s="437"/>
      <c r="AH225" s="437"/>
      <c r="AI225" s="437"/>
      <c r="AJ225" s="437"/>
      <c r="AK225" s="437"/>
      <c r="AL225" s="437"/>
      <c r="AM225" s="338"/>
      <c r="AO225" s="696">
        <f t="array" aca="1" ref="AO225" ca="1">IF($A225="S",IF(BM!$I225=0,0,CHOOSE(MATCH(RegimeExecucao,{"Global","Unitário"},0),ROUND(ROUND(BM.MEDAcumulado,15-13*BM!$A$9)/100*BM!$I225,15-13*ORÇAMENTO!$AF$11),ROUND(ROUND(BM.MEDAcumulado,15-13*BM!$A$9)*ROUND(BM!$H225,15-13*ORÇAMENTO!$AF$10),15-13*ORÇAMENTO!$AF$11))),IF($A225=0,0,ROUND(SomaAgrupBM,15-13*ORÇAMENTO!$AF$11)))</f>
        <v>0</v>
      </c>
    </row>
    <row r="226" spans="1:41" s="696" customFormat="1" ht="25.5" x14ac:dyDescent="0.2">
      <c r="A226" s="696" t="str">
        <f ca="1">ORÇAMENTO!C226</f>
        <v>S</v>
      </c>
      <c r="B226" s="696">
        <f ca="1">ORÇAMENTO!D226</f>
        <v>0</v>
      </c>
      <c r="C226" s="114" t="str">
        <f t="shared" ca="1" si="22"/>
        <v>F</v>
      </c>
      <c r="D226" s="117" t="str">
        <f ca="1">ORÇAMENTO!O226</f>
        <v>1.34.1.</v>
      </c>
      <c r="E226" s="163" t="str">
        <f t="shared" ca="1" si="23"/>
        <v>LIMPEZA DE BACIA SANITÁRIA, BIDÊ OU MICTÓRIO EM LOUÇA, INCLUSIVE METAIS CORRESPONDENTES. AF_04/2019</v>
      </c>
      <c r="F226" s="164" t="str">
        <f t="array" aca="1" ref="F226" ca="1">IF(RegimeExecucao="Global","",ORÇAMENTO.Unidade)</f>
        <v>UN</v>
      </c>
      <c r="G226" s="122">
        <f t="array" aca="1" ref="G226" ca="1">IF(RegimeExecucao="Global","",ORÇAMENTO!T226)</f>
        <v>20</v>
      </c>
      <c r="H226" s="122">
        <f t="array" aca="1" ref="H226" ca="1">IF(RegimeExecucao="Global","",ORÇAMENTO!W226)</f>
        <v>7.55</v>
      </c>
      <c r="I226" s="125">
        <f ca="1">ORÇAMENTO!X226</f>
        <v>151</v>
      </c>
      <c r="J226" s="333">
        <f t="array" aca="1" ref="J226" ca="1">IF($A226="S",IF(CAIXA.Modo,BM.AFAnterior,BM.MEDAnterior),IF(AND(RegimeExecucao="Global",$I226&gt;0,COUNTIF($AB$13:$AM$13,BM.medicao-1)&gt;0),M226/$I226*100,0))</f>
        <v>0</v>
      </c>
      <c r="K226" s="122">
        <f t="shared" ca="1" si="24"/>
        <v>0</v>
      </c>
      <c r="L226" s="334">
        <f t="array" aca="1" ref="L226" ca="1">IF($A226="S",IF(CAIXA.Modo,BM.AFAcumulado,BM.MEDAcumulado),IF(AND(RegimeExecucao="Global",$I226&gt;0,COUNTIF($AB$13:$AM$13,BM.medicao)&gt;0),O226/$I226*100,0))</f>
        <v>0</v>
      </c>
      <c r="M226" s="335">
        <f t="array" aca="1" ref="M226" ca="1">IF($A226="S",VTOTALBM,IF($A226=0,0,ROUND(SomaAgrupBM,15-13*ORÇAMENTO!$AF$11)))</f>
        <v>0</v>
      </c>
      <c r="N226" s="336">
        <f t="shared" ca="1" si="25"/>
        <v>0</v>
      </c>
      <c r="O226" s="125">
        <f t="array" aca="1" ref="O226" ca="1">IF($A226="S",VTOTALBM,IF($A226=0,0,ROUND(SomaAgrupBM,15-13*ORÇAMENTO!$AF$11)))</f>
        <v>0</v>
      </c>
      <c r="Q226" s="337"/>
      <c r="R226" s="338"/>
      <c r="T226" s="117" t="str">
        <f t="shared" ca="1" si="26"/>
        <v/>
      </c>
      <c r="U226" s="163" t="str">
        <f t="shared" ca="1" si="27"/>
        <v/>
      </c>
      <c r="V226" s="164" t="str">
        <f t="array" aca="1" ref="V226" ca="1">IF(AND($W226&gt;0,RegimeExecucao="Unitário"),$F226,"")</f>
        <v/>
      </c>
      <c r="W226" s="453">
        <f t="array" aca="1" ref="W226" ca="1">IF($Y226&gt;0,CHOOSE(MATCH(RegimeExecucao,{"Unitário","Global"},0),IF($A226="S",$Y226/$X226,""),($Y226/$X226)*100),0)</f>
        <v>0</v>
      </c>
      <c r="X226" s="339" t="str">
        <f t="array" aca="1" ref="X226" ca="1">IF($Y226&gt;0,CHOOSE(MATCH(RegimeExecucao,{"Unitário","Global"},0),IF($A226="S",ROUND($H226,ORÇAMENTO!$AF$10),""),ROUND($I226,ORÇAMENTO!$AF$11)),"")</f>
        <v/>
      </c>
      <c r="Y226" s="339">
        <f t="shared" ca="1" si="28"/>
        <v>0</v>
      </c>
      <c r="Z226" s="472"/>
      <c r="AB226" s="337"/>
      <c r="AC226" s="437"/>
      <c r="AD226" s="437"/>
      <c r="AE226" s="437"/>
      <c r="AF226" s="437"/>
      <c r="AG226" s="437"/>
      <c r="AH226" s="437"/>
      <c r="AI226" s="437"/>
      <c r="AJ226" s="437"/>
      <c r="AK226" s="437"/>
      <c r="AL226" s="437"/>
      <c r="AM226" s="338"/>
      <c r="AO226" s="696">
        <f t="array" aca="1" ref="AO226" ca="1">IF($A226="S",IF(BM!$I226=0,0,CHOOSE(MATCH(RegimeExecucao,{"Global","Unitário"},0),ROUND(ROUND(BM.MEDAcumulado,15-13*BM!$A$9)/100*BM!$I226,15-13*ORÇAMENTO!$AF$11),ROUND(ROUND(BM.MEDAcumulado,15-13*BM!$A$9)*ROUND(BM!$H226,15-13*ORÇAMENTO!$AF$10),15-13*ORÇAMENTO!$AF$11))),IF($A226=0,0,ROUND(SomaAgrupBM,15-13*ORÇAMENTO!$AF$11)))</f>
        <v>0</v>
      </c>
    </row>
    <row r="227" spans="1:41" s="696" customFormat="1" ht="25.5" x14ac:dyDescent="0.2">
      <c r="A227" s="696" t="str">
        <f ca="1">ORÇAMENTO!C227</f>
        <v>S</v>
      </c>
      <c r="B227" s="696">
        <f ca="1">ORÇAMENTO!D227</f>
        <v>0</v>
      </c>
      <c r="C227" s="114" t="str">
        <f t="shared" ca="1" si="22"/>
        <v>F</v>
      </c>
      <c r="D227" s="117" t="str">
        <f ca="1">ORÇAMENTO!O227</f>
        <v>1.34.2.</v>
      </c>
      <c r="E227" s="163" t="str">
        <f t="shared" ca="1" si="23"/>
        <v>LIMPEZA DE BANCADA DE PEDRA (MÁRMORE OU GRANITO). AF_04/2019</v>
      </c>
      <c r="F227" s="164" t="str">
        <f t="array" aca="1" ref="F227" ca="1">IF(RegimeExecucao="Global","",ORÇAMENTO.Unidade)</f>
        <v>M2</v>
      </c>
      <c r="G227" s="122">
        <f t="array" aca="1" ref="G227" ca="1">IF(RegimeExecucao="Global","",ORÇAMENTO!T227)</f>
        <v>14.4</v>
      </c>
      <c r="H227" s="122">
        <f t="array" aca="1" ref="H227" ca="1">IF(RegimeExecucao="Global","",ORÇAMENTO!W227)</f>
        <v>20.190000000000001</v>
      </c>
      <c r="I227" s="125">
        <f ca="1">ORÇAMENTO!X227</f>
        <v>290.72000000000003</v>
      </c>
      <c r="J227" s="333">
        <f t="array" aca="1" ref="J227" ca="1">IF($A227="S",IF(CAIXA.Modo,BM.AFAnterior,BM.MEDAnterior),IF(AND(RegimeExecucao="Global",$I227&gt;0,COUNTIF($AB$13:$AM$13,BM.medicao-1)&gt;0),M227/$I227*100,0))</f>
        <v>0</v>
      </c>
      <c r="K227" s="122">
        <f t="shared" ca="1" si="24"/>
        <v>0</v>
      </c>
      <c r="L227" s="334">
        <f t="array" aca="1" ref="L227" ca="1">IF($A227="S",IF(CAIXA.Modo,BM.AFAcumulado,BM.MEDAcumulado),IF(AND(RegimeExecucao="Global",$I227&gt;0,COUNTIF($AB$13:$AM$13,BM.medicao)&gt;0),O227/$I227*100,0))</f>
        <v>0</v>
      </c>
      <c r="M227" s="335">
        <f t="array" aca="1" ref="M227" ca="1">IF($A227="S",VTOTALBM,IF($A227=0,0,ROUND(SomaAgrupBM,15-13*ORÇAMENTO!$AF$11)))</f>
        <v>0</v>
      </c>
      <c r="N227" s="336">
        <f t="shared" ca="1" si="25"/>
        <v>0</v>
      </c>
      <c r="O227" s="125">
        <f t="array" aca="1" ref="O227" ca="1">IF($A227="S",VTOTALBM,IF($A227=0,0,ROUND(SomaAgrupBM,15-13*ORÇAMENTO!$AF$11)))</f>
        <v>0</v>
      </c>
      <c r="Q227" s="337"/>
      <c r="R227" s="338"/>
      <c r="T227" s="117" t="str">
        <f t="shared" ca="1" si="26"/>
        <v/>
      </c>
      <c r="U227" s="163" t="str">
        <f t="shared" ca="1" si="27"/>
        <v/>
      </c>
      <c r="V227" s="164" t="str">
        <f t="array" aca="1" ref="V227" ca="1">IF(AND($W227&gt;0,RegimeExecucao="Unitário"),$F227,"")</f>
        <v/>
      </c>
      <c r="W227" s="453">
        <f t="array" aca="1" ref="W227" ca="1">IF($Y227&gt;0,CHOOSE(MATCH(RegimeExecucao,{"Unitário","Global"},0),IF($A227="S",$Y227/$X227,""),($Y227/$X227)*100),0)</f>
        <v>0</v>
      </c>
      <c r="X227" s="339" t="str">
        <f t="array" aca="1" ref="X227" ca="1">IF($Y227&gt;0,CHOOSE(MATCH(RegimeExecucao,{"Unitário","Global"},0),IF($A227="S",ROUND($H227,ORÇAMENTO!$AF$10),""),ROUND($I227,ORÇAMENTO!$AF$11)),"")</f>
        <v/>
      </c>
      <c r="Y227" s="339">
        <f t="shared" ca="1" si="28"/>
        <v>0</v>
      </c>
      <c r="Z227" s="472"/>
      <c r="AB227" s="337"/>
      <c r="AC227" s="437"/>
      <c r="AD227" s="437"/>
      <c r="AE227" s="437"/>
      <c r="AF227" s="437"/>
      <c r="AG227" s="437"/>
      <c r="AH227" s="437"/>
      <c r="AI227" s="437"/>
      <c r="AJ227" s="437"/>
      <c r="AK227" s="437"/>
      <c r="AL227" s="437"/>
      <c r="AM227" s="338"/>
      <c r="AO227" s="696">
        <f t="array" aca="1" ref="AO227" ca="1">IF($A227="S",IF(BM!$I227=0,0,CHOOSE(MATCH(RegimeExecucao,{"Global","Unitário"},0),ROUND(ROUND(BM.MEDAcumulado,15-13*BM!$A$9)/100*BM!$I227,15-13*ORÇAMENTO!$AF$11),ROUND(ROUND(BM.MEDAcumulado,15-13*BM!$A$9)*ROUND(BM!$H227,15-13*ORÇAMENTO!$AF$10),15-13*ORÇAMENTO!$AF$11))),IF($A227=0,0,ROUND(SomaAgrupBM,15-13*ORÇAMENTO!$AF$11)))</f>
        <v>0</v>
      </c>
    </row>
    <row r="228" spans="1:41" s="696" customFormat="1" x14ac:dyDescent="0.2">
      <c r="A228" s="696" t="str">
        <f ca="1">ORÇAMENTO!C228</f>
        <v>S</v>
      </c>
      <c r="B228" s="696">
        <f ca="1">ORÇAMENTO!D228</f>
        <v>0</v>
      </c>
      <c r="C228" s="114" t="str">
        <f t="shared" ca="1" si="22"/>
        <v>F</v>
      </c>
      <c r="D228" s="117" t="str">
        <f ca="1">ORÇAMENTO!O228</f>
        <v>1.34.3.</v>
      </c>
      <c r="E228" s="163" t="str">
        <f t="shared" ca="1" si="23"/>
        <v>LIMPEZA DE CONTRAPISO COM VASSOURA A SECO. AF_04/2019</v>
      </c>
      <c r="F228" s="164" t="str">
        <f t="array" aca="1" ref="F228" ca="1">IF(RegimeExecucao="Global","",ORÇAMENTO.Unidade)</f>
        <v>M2</v>
      </c>
      <c r="G228" s="122">
        <f t="array" aca="1" ref="G228" ca="1">IF(RegimeExecucao="Global","",ORÇAMENTO!T228)</f>
        <v>323</v>
      </c>
      <c r="H228" s="122">
        <f t="array" aca="1" ref="H228" ca="1">IF(RegimeExecucao="Global","",ORÇAMENTO!W228)</f>
        <v>4.22</v>
      </c>
      <c r="I228" s="125">
        <f ca="1">ORÇAMENTO!X228</f>
        <v>1363.08</v>
      </c>
      <c r="J228" s="333">
        <f t="array" aca="1" ref="J228" ca="1">IF($A228="S",IF(CAIXA.Modo,BM.AFAnterior,BM.MEDAnterior),IF(AND(RegimeExecucao="Global",$I228&gt;0,COUNTIF($AB$13:$AM$13,BM.medicao-1)&gt;0),M228/$I228*100,0))</f>
        <v>0</v>
      </c>
      <c r="K228" s="122">
        <f t="shared" ca="1" si="24"/>
        <v>0</v>
      </c>
      <c r="L228" s="334">
        <f t="array" aca="1" ref="L228" ca="1">IF($A228="S",IF(CAIXA.Modo,BM.AFAcumulado,BM.MEDAcumulado),IF(AND(RegimeExecucao="Global",$I228&gt;0,COUNTIF($AB$13:$AM$13,BM.medicao)&gt;0),O228/$I228*100,0))</f>
        <v>0</v>
      </c>
      <c r="M228" s="335">
        <f t="array" aca="1" ref="M228" ca="1">IF($A228="S",VTOTALBM,IF($A228=0,0,ROUND(SomaAgrupBM,15-13*ORÇAMENTO!$AF$11)))</f>
        <v>0</v>
      </c>
      <c r="N228" s="336">
        <f t="shared" ca="1" si="25"/>
        <v>0</v>
      </c>
      <c r="O228" s="125">
        <f t="array" aca="1" ref="O228" ca="1">IF($A228="S",VTOTALBM,IF($A228=0,0,ROUND(SomaAgrupBM,15-13*ORÇAMENTO!$AF$11)))</f>
        <v>0</v>
      </c>
      <c r="Q228" s="337"/>
      <c r="R228" s="338"/>
      <c r="T228" s="117" t="str">
        <f t="shared" ca="1" si="26"/>
        <v/>
      </c>
      <c r="U228" s="163" t="str">
        <f t="shared" ca="1" si="27"/>
        <v/>
      </c>
      <c r="V228" s="164" t="str">
        <f t="array" aca="1" ref="V228" ca="1">IF(AND($W228&gt;0,RegimeExecucao="Unitário"),$F228,"")</f>
        <v/>
      </c>
      <c r="W228" s="453">
        <f t="array" aca="1" ref="W228" ca="1">IF($Y228&gt;0,CHOOSE(MATCH(RegimeExecucao,{"Unitário","Global"},0),IF($A228="S",$Y228/$X228,""),($Y228/$X228)*100),0)</f>
        <v>0</v>
      </c>
      <c r="X228" s="339" t="str">
        <f t="array" aca="1" ref="X228" ca="1">IF($Y228&gt;0,CHOOSE(MATCH(RegimeExecucao,{"Unitário","Global"},0),IF($A228="S",ROUND($H228,ORÇAMENTO!$AF$10),""),ROUND($I228,ORÇAMENTO!$AF$11)),"")</f>
        <v/>
      </c>
      <c r="Y228" s="339">
        <f t="shared" ca="1" si="28"/>
        <v>0</v>
      </c>
      <c r="Z228" s="472"/>
      <c r="AB228" s="337"/>
      <c r="AC228" s="437"/>
      <c r="AD228" s="437"/>
      <c r="AE228" s="437"/>
      <c r="AF228" s="437"/>
      <c r="AG228" s="437"/>
      <c r="AH228" s="437"/>
      <c r="AI228" s="437"/>
      <c r="AJ228" s="437"/>
      <c r="AK228" s="437"/>
      <c r="AL228" s="437"/>
      <c r="AM228" s="338"/>
      <c r="AO228" s="696">
        <f t="array" aca="1" ref="AO228" ca="1">IF($A228="S",IF(BM!$I228=0,0,CHOOSE(MATCH(RegimeExecucao,{"Global","Unitário"},0),ROUND(ROUND(BM.MEDAcumulado,15-13*BM!$A$9)/100*BM!$I228,15-13*ORÇAMENTO!$AF$11),ROUND(ROUND(BM.MEDAcumulado,15-13*BM!$A$9)*ROUND(BM!$H228,15-13*ORÇAMENTO!$AF$10),15-13*ORÇAMENTO!$AF$11))),IF($A228=0,0,ROUND(SomaAgrupBM,15-13*ORÇAMENTO!$AF$11)))</f>
        <v>0</v>
      </c>
    </row>
    <row r="229" spans="1:41" s="696" customFormat="1" x14ac:dyDescent="0.2">
      <c r="A229" s="696" t="str">
        <f ca="1">ORÇAMENTO!C229</f>
        <v>S</v>
      </c>
      <c r="B229" s="696">
        <f ca="1">ORÇAMENTO!D229</f>
        <v>0</v>
      </c>
      <c r="C229" s="114" t="str">
        <f t="shared" ca="1" si="22"/>
        <v>F</v>
      </c>
      <c r="D229" s="117" t="str">
        <f ca="1">ORÇAMENTO!O229</f>
        <v>1.34.4.</v>
      </c>
      <c r="E229" s="163" t="str">
        <f t="shared" ca="1" si="23"/>
        <v>LIMPEZA DE FORRO REMOVÍVEL COM PANO ÚMIDO. AF_04/2019</v>
      </c>
      <c r="F229" s="164" t="str">
        <f t="array" aca="1" ref="F229" ca="1">IF(RegimeExecucao="Global","",ORÇAMENTO.Unidade)</f>
        <v>M2</v>
      </c>
      <c r="G229" s="122">
        <f t="array" aca="1" ref="G229" ca="1">IF(RegimeExecucao="Global","",ORÇAMENTO!T229)</f>
        <v>518</v>
      </c>
      <c r="H229" s="122">
        <f t="array" aca="1" ref="H229" ca="1">IF(RegimeExecucao="Global","",ORÇAMENTO!W229)</f>
        <v>1.84</v>
      </c>
      <c r="I229" s="125">
        <f ca="1">ORÇAMENTO!X229</f>
        <v>953.12</v>
      </c>
      <c r="J229" s="333">
        <f t="array" aca="1" ref="J229" ca="1">IF($A229="S",IF(CAIXA.Modo,BM.AFAnterior,BM.MEDAnterior),IF(AND(RegimeExecucao="Global",$I229&gt;0,COUNTIF($AB$13:$AM$13,BM.medicao-1)&gt;0),M229/$I229*100,0))</f>
        <v>0</v>
      </c>
      <c r="K229" s="122">
        <f t="shared" ca="1" si="24"/>
        <v>0</v>
      </c>
      <c r="L229" s="334">
        <f t="array" aca="1" ref="L229" ca="1">IF($A229="S",IF(CAIXA.Modo,BM.AFAcumulado,BM.MEDAcumulado),IF(AND(RegimeExecucao="Global",$I229&gt;0,COUNTIF($AB$13:$AM$13,BM.medicao)&gt;0),O229/$I229*100,0))</f>
        <v>0</v>
      </c>
      <c r="M229" s="335">
        <f t="array" aca="1" ref="M229" ca="1">IF($A229="S",VTOTALBM,IF($A229=0,0,ROUND(SomaAgrupBM,15-13*ORÇAMENTO!$AF$11)))</f>
        <v>0</v>
      </c>
      <c r="N229" s="336">
        <f t="shared" ca="1" si="25"/>
        <v>0</v>
      </c>
      <c r="O229" s="125">
        <f t="array" aca="1" ref="O229" ca="1">IF($A229="S",VTOTALBM,IF($A229=0,0,ROUND(SomaAgrupBM,15-13*ORÇAMENTO!$AF$11)))</f>
        <v>0</v>
      </c>
      <c r="Q229" s="337"/>
      <c r="R229" s="338"/>
      <c r="T229" s="117" t="str">
        <f t="shared" ca="1" si="26"/>
        <v/>
      </c>
      <c r="U229" s="163" t="str">
        <f t="shared" ca="1" si="27"/>
        <v/>
      </c>
      <c r="V229" s="164" t="str">
        <f t="array" aca="1" ref="V229" ca="1">IF(AND($W229&gt;0,RegimeExecucao="Unitário"),$F229,"")</f>
        <v/>
      </c>
      <c r="W229" s="453">
        <f t="array" aca="1" ref="W229" ca="1">IF($Y229&gt;0,CHOOSE(MATCH(RegimeExecucao,{"Unitário","Global"},0),IF($A229="S",$Y229/$X229,""),($Y229/$X229)*100),0)</f>
        <v>0</v>
      </c>
      <c r="X229" s="339" t="str">
        <f t="array" aca="1" ref="X229" ca="1">IF($Y229&gt;0,CHOOSE(MATCH(RegimeExecucao,{"Unitário","Global"},0),IF($A229="S",ROUND($H229,ORÇAMENTO!$AF$10),""),ROUND($I229,ORÇAMENTO!$AF$11)),"")</f>
        <v/>
      </c>
      <c r="Y229" s="339">
        <f t="shared" ca="1" si="28"/>
        <v>0</v>
      </c>
      <c r="Z229" s="472"/>
      <c r="AB229" s="337"/>
      <c r="AC229" s="437"/>
      <c r="AD229" s="437"/>
      <c r="AE229" s="437"/>
      <c r="AF229" s="437"/>
      <c r="AG229" s="437"/>
      <c r="AH229" s="437"/>
      <c r="AI229" s="437"/>
      <c r="AJ229" s="437"/>
      <c r="AK229" s="437"/>
      <c r="AL229" s="437"/>
      <c r="AM229" s="338"/>
      <c r="AO229" s="696">
        <f t="array" aca="1" ref="AO229" ca="1">IF($A229="S",IF(BM!$I229=0,0,CHOOSE(MATCH(RegimeExecucao,{"Global","Unitário"},0),ROUND(ROUND(BM.MEDAcumulado,15-13*BM!$A$9)/100*BM!$I229,15-13*ORÇAMENTO!$AF$11),ROUND(ROUND(BM.MEDAcumulado,15-13*BM!$A$9)*ROUND(BM!$H229,15-13*ORÇAMENTO!$AF$10),15-13*ORÇAMENTO!$AF$11))),IF($A229=0,0,ROUND(SomaAgrupBM,15-13*ORÇAMENTO!$AF$11)))</f>
        <v>0</v>
      </c>
    </row>
    <row r="230" spans="1:41" s="696" customFormat="1" ht="25.5" x14ac:dyDescent="0.2">
      <c r="A230" s="696" t="str">
        <f ca="1">ORÇAMENTO!C230</f>
        <v>S</v>
      </c>
      <c r="B230" s="696">
        <f ca="1">ORÇAMENTO!D230</f>
        <v>0</v>
      </c>
      <c r="C230" s="114" t="str">
        <f t="shared" ca="1" si="22"/>
        <v>F</v>
      </c>
      <c r="D230" s="117" t="str">
        <f ca="1">ORÇAMENTO!O230</f>
        <v>1.34.5.</v>
      </c>
      <c r="E230" s="163" t="str">
        <f t="shared" ca="1" si="23"/>
        <v>LIMPEZA DE JANELA DE VIDRO COM CAIXILHO EM AÇO/ALUMÍNIO/PVC. AF_04/2019</v>
      </c>
      <c r="F230" s="164" t="str">
        <f t="array" aca="1" ref="F230" ca="1">IF(RegimeExecucao="Global","",ORÇAMENTO.Unidade)</f>
        <v>M2</v>
      </c>
      <c r="G230" s="122">
        <f t="array" aca="1" ref="G230" ca="1">IF(RegimeExecucao="Global","",ORÇAMENTO!T230)</f>
        <v>80</v>
      </c>
      <c r="H230" s="122">
        <f t="array" aca="1" ref="H230" ca="1">IF(RegimeExecucao="Global","",ORÇAMENTO!W230)</f>
        <v>4.0199999999999996</v>
      </c>
      <c r="I230" s="125">
        <f ca="1">ORÇAMENTO!X230</f>
        <v>321.60000000000002</v>
      </c>
      <c r="J230" s="333">
        <f t="array" aca="1" ref="J230" ca="1">IF($A230="S",IF(CAIXA.Modo,BM.AFAnterior,BM.MEDAnterior),IF(AND(RegimeExecucao="Global",$I230&gt;0,COUNTIF($AB$13:$AM$13,BM.medicao-1)&gt;0),M230/$I230*100,0))</f>
        <v>0</v>
      </c>
      <c r="K230" s="122">
        <f t="shared" ca="1" si="24"/>
        <v>0</v>
      </c>
      <c r="L230" s="334">
        <f t="array" aca="1" ref="L230" ca="1">IF($A230="S",IF(CAIXA.Modo,BM.AFAcumulado,BM.MEDAcumulado),IF(AND(RegimeExecucao="Global",$I230&gt;0,COUNTIF($AB$13:$AM$13,BM.medicao)&gt;0),O230/$I230*100,0))</f>
        <v>0</v>
      </c>
      <c r="M230" s="335">
        <f t="array" aca="1" ref="M230" ca="1">IF($A230="S",VTOTALBM,IF($A230=0,0,ROUND(SomaAgrupBM,15-13*ORÇAMENTO!$AF$11)))</f>
        <v>0</v>
      </c>
      <c r="N230" s="336">
        <f t="shared" ca="1" si="25"/>
        <v>0</v>
      </c>
      <c r="O230" s="125">
        <f t="array" aca="1" ref="O230" ca="1">IF($A230="S",VTOTALBM,IF($A230=0,0,ROUND(SomaAgrupBM,15-13*ORÇAMENTO!$AF$11)))</f>
        <v>0</v>
      </c>
      <c r="Q230" s="337"/>
      <c r="R230" s="338"/>
      <c r="T230" s="117" t="str">
        <f t="shared" ca="1" si="26"/>
        <v/>
      </c>
      <c r="U230" s="163" t="str">
        <f t="shared" ca="1" si="27"/>
        <v/>
      </c>
      <c r="V230" s="164" t="str">
        <f t="array" aca="1" ref="V230" ca="1">IF(AND($W230&gt;0,RegimeExecucao="Unitário"),$F230,"")</f>
        <v/>
      </c>
      <c r="W230" s="453">
        <f t="array" aca="1" ref="W230" ca="1">IF($Y230&gt;0,CHOOSE(MATCH(RegimeExecucao,{"Unitário","Global"},0),IF($A230="S",$Y230/$X230,""),($Y230/$X230)*100),0)</f>
        <v>0</v>
      </c>
      <c r="X230" s="339" t="str">
        <f t="array" aca="1" ref="X230" ca="1">IF($Y230&gt;0,CHOOSE(MATCH(RegimeExecucao,{"Unitário","Global"},0),IF($A230="S",ROUND($H230,ORÇAMENTO!$AF$10),""),ROUND($I230,ORÇAMENTO!$AF$11)),"")</f>
        <v/>
      </c>
      <c r="Y230" s="339">
        <f t="shared" ca="1" si="28"/>
        <v>0</v>
      </c>
      <c r="Z230" s="472"/>
      <c r="AB230" s="337"/>
      <c r="AC230" s="437"/>
      <c r="AD230" s="437"/>
      <c r="AE230" s="437"/>
      <c r="AF230" s="437"/>
      <c r="AG230" s="437"/>
      <c r="AH230" s="437"/>
      <c r="AI230" s="437"/>
      <c r="AJ230" s="437"/>
      <c r="AK230" s="437"/>
      <c r="AL230" s="437"/>
      <c r="AM230" s="338"/>
      <c r="AO230" s="696">
        <f t="array" aca="1" ref="AO230" ca="1">IF($A230="S",IF(BM!$I230=0,0,CHOOSE(MATCH(RegimeExecucao,{"Global","Unitário"},0),ROUND(ROUND(BM.MEDAcumulado,15-13*BM!$A$9)/100*BM!$I230,15-13*ORÇAMENTO!$AF$11),ROUND(ROUND(BM.MEDAcumulado,15-13*BM!$A$9)*ROUND(BM!$H230,15-13*ORÇAMENTO!$AF$10),15-13*ORÇAMENTO!$AF$11))),IF($A230=0,0,ROUND(SomaAgrupBM,15-13*ORÇAMENTO!$AF$11)))</f>
        <v>0</v>
      </c>
    </row>
    <row r="231" spans="1:41" s="696" customFormat="1" ht="25.5" x14ac:dyDescent="0.2">
      <c r="A231" s="696" t="str">
        <f ca="1">ORÇAMENTO!C231</f>
        <v>S</v>
      </c>
      <c r="B231" s="696">
        <f ca="1">ORÇAMENTO!D231</f>
        <v>0</v>
      </c>
      <c r="C231" s="114" t="str">
        <f t="shared" ca="1" si="22"/>
        <v>F</v>
      </c>
      <c r="D231" s="117" t="str">
        <f ca="1">ORÇAMENTO!O231</f>
        <v>1.34.6.</v>
      </c>
      <c r="E231" s="163" t="str">
        <f t="shared" ca="1" si="23"/>
        <v>LIMPEZA DE PISO CERÂMICO OU PORCELANATO UTILIZANDO DETERGENTE NEUTRO E ESCOVAÇÃO MANUAL. AF_04/2019</v>
      </c>
      <c r="F231" s="164" t="str">
        <f t="array" aca="1" ref="F231" ca="1">IF(RegimeExecucao="Global","",ORÇAMENTO.Unidade)</f>
        <v>M2</v>
      </c>
      <c r="G231" s="122">
        <f t="array" aca="1" ref="G231" ca="1">IF(RegimeExecucao="Global","",ORÇAMENTO!T231)</f>
        <v>949.2</v>
      </c>
      <c r="H231" s="122">
        <f t="array" aca="1" ref="H231" ca="1">IF(RegimeExecucao="Global","",ORÇAMENTO!W231)</f>
        <v>6.46</v>
      </c>
      <c r="I231" s="125">
        <f ca="1">ORÇAMENTO!X231</f>
        <v>6131.84</v>
      </c>
      <c r="J231" s="333">
        <f t="array" aca="1" ref="J231" ca="1">IF($A231="S",IF(CAIXA.Modo,BM.AFAnterior,BM.MEDAnterior),IF(AND(RegimeExecucao="Global",$I231&gt;0,COUNTIF($AB$13:$AM$13,BM.medicao-1)&gt;0),M231/$I231*100,0))</f>
        <v>0</v>
      </c>
      <c r="K231" s="122">
        <f t="shared" ca="1" si="24"/>
        <v>0</v>
      </c>
      <c r="L231" s="334">
        <f t="array" aca="1" ref="L231" ca="1">IF($A231="S",IF(CAIXA.Modo,BM.AFAcumulado,BM.MEDAcumulado),IF(AND(RegimeExecucao="Global",$I231&gt;0,COUNTIF($AB$13:$AM$13,BM.medicao)&gt;0),O231/$I231*100,0))</f>
        <v>0</v>
      </c>
      <c r="M231" s="335">
        <f t="array" aca="1" ref="M231" ca="1">IF($A231="S",VTOTALBM,IF($A231=0,0,ROUND(SomaAgrupBM,15-13*ORÇAMENTO!$AF$11)))</f>
        <v>0</v>
      </c>
      <c r="N231" s="336">
        <f t="shared" ca="1" si="25"/>
        <v>0</v>
      </c>
      <c r="O231" s="125">
        <f t="array" aca="1" ref="O231" ca="1">IF($A231="S",VTOTALBM,IF($A231=0,0,ROUND(SomaAgrupBM,15-13*ORÇAMENTO!$AF$11)))</f>
        <v>0</v>
      </c>
      <c r="Q231" s="337"/>
      <c r="R231" s="338"/>
      <c r="T231" s="117" t="str">
        <f t="shared" ca="1" si="26"/>
        <v/>
      </c>
      <c r="U231" s="163" t="str">
        <f t="shared" ca="1" si="27"/>
        <v/>
      </c>
      <c r="V231" s="164" t="str">
        <f t="array" aca="1" ref="V231" ca="1">IF(AND($W231&gt;0,RegimeExecucao="Unitário"),$F231,"")</f>
        <v/>
      </c>
      <c r="W231" s="453">
        <f t="array" aca="1" ref="W231" ca="1">IF($Y231&gt;0,CHOOSE(MATCH(RegimeExecucao,{"Unitário","Global"},0),IF($A231="S",$Y231/$X231,""),($Y231/$X231)*100),0)</f>
        <v>0</v>
      </c>
      <c r="X231" s="339" t="str">
        <f t="array" aca="1" ref="X231" ca="1">IF($Y231&gt;0,CHOOSE(MATCH(RegimeExecucao,{"Unitário","Global"},0),IF($A231="S",ROUND($H231,ORÇAMENTO!$AF$10),""),ROUND($I231,ORÇAMENTO!$AF$11)),"")</f>
        <v/>
      </c>
      <c r="Y231" s="339">
        <f t="shared" ca="1" si="28"/>
        <v>0</v>
      </c>
      <c r="Z231" s="472"/>
      <c r="AB231" s="337"/>
      <c r="AC231" s="437"/>
      <c r="AD231" s="437"/>
      <c r="AE231" s="437"/>
      <c r="AF231" s="437"/>
      <c r="AG231" s="437"/>
      <c r="AH231" s="437"/>
      <c r="AI231" s="437"/>
      <c r="AJ231" s="437"/>
      <c r="AK231" s="437"/>
      <c r="AL231" s="437"/>
      <c r="AM231" s="338"/>
      <c r="AO231" s="696">
        <f t="array" aca="1" ref="AO231" ca="1">IF($A231="S",IF(BM!$I231=0,0,CHOOSE(MATCH(RegimeExecucao,{"Global","Unitário"},0),ROUND(ROUND(BM.MEDAcumulado,15-13*BM!$A$9)/100*BM!$I231,15-13*ORÇAMENTO!$AF$11),ROUND(ROUND(BM.MEDAcumulado,15-13*BM!$A$9)*ROUND(BM!$H231,15-13*ORÇAMENTO!$AF$10),15-13*ORÇAMENTO!$AF$11))),IF($A231=0,0,ROUND(SomaAgrupBM,15-13*ORÇAMENTO!$AF$11)))</f>
        <v>0</v>
      </c>
    </row>
    <row r="232" spans="1:41" s="696" customFormat="1" x14ac:dyDescent="0.2">
      <c r="A232" s="696" t="str">
        <f ca="1">ORÇAMENTO!C232</f>
        <v>S</v>
      </c>
      <c r="B232" s="696">
        <f ca="1">ORÇAMENTO!D232</f>
        <v>0</v>
      </c>
      <c r="C232" s="114" t="str">
        <f t="shared" ca="1" si="22"/>
        <v>F</v>
      </c>
      <c r="D232" s="117" t="str">
        <f ca="1">ORÇAMENTO!O232</f>
        <v>1.34.7.</v>
      </c>
      <c r="E232" s="163" t="str">
        <f t="shared" ca="1" si="23"/>
        <v>LIMPEZA DE PORTA DE MADEIRA. AF_04/2019</v>
      </c>
      <c r="F232" s="164" t="str">
        <f t="array" aca="1" ref="F232" ca="1">IF(RegimeExecucao="Global","",ORÇAMENTO.Unidade)</f>
        <v>M2</v>
      </c>
      <c r="G232" s="122">
        <f t="array" aca="1" ref="G232" ca="1">IF(RegimeExecucao="Global","",ORÇAMENTO!T232)</f>
        <v>336</v>
      </c>
      <c r="H232" s="122">
        <f t="array" aca="1" ref="H232" ca="1">IF(RegimeExecucao="Global","",ORÇAMENTO!W232)</f>
        <v>1.2</v>
      </c>
      <c r="I232" s="125">
        <f ca="1">ORÇAMENTO!X232</f>
        <v>403.2</v>
      </c>
      <c r="J232" s="333">
        <f t="array" aca="1" ref="J232" ca="1">IF($A232="S",IF(CAIXA.Modo,BM.AFAnterior,BM.MEDAnterior),IF(AND(RegimeExecucao="Global",$I232&gt;0,COUNTIF($AB$13:$AM$13,BM.medicao-1)&gt;0),M232/$I232*100,0))</f>
        <v>0</v>
      </c>
      <c r="K232" s="122">
        <f t="shared" ca="1" si="24"/>
        <v>0</v>
      </c>
      <c r="L232" s="334">
        <f t="array" aca="1" ref="L232" ca="1">IF($A232="S",IF(CAIXA.Modo,BM.AFAcumulado,BM.MEDAcumulado),IF(AND(RegimeExecucao="Global",$I232&gt;0,COUNTIF($AB$13:$AM$13,BM.medicao)&gt;0),O232/$I232*100,0))</f>
        <v>0</v>
      </c>
      <c r="M232" s="335">
        <f t="array" aca="1" ref="M232" ca="1">IF($A232="S",VTOTALBM,IF($A232=0,0,ROUND(SomaAgrupBM,15-13*ORÇAMENTO!$AF$11)))</f>
        <v>0</v>
      </c>
      <c r="N232" s="336">
        <f t="shared" ca="1" si="25"/>
        <v>0</v>
      </c>
      <c r="O232" s="125">
        <f t="array" aca="1" ref="O232" ca="1">IF($A232="S",VTOTALBM,IF($A232=0,0,ROUND(SomaAgrupBM,15-13*ORÇAMENTO!$AF$11)))</f>
        <v>0</v>
      </c>
      <c r="Q232" s="337"/>
      <c r="R232" s="338"/>
      <c r="T232" s="117" t="str">
        <f t="shared" ca="1" si="26"/>
        <v/>
      </c>
      <c r="U232" s="163" t="str">
        <f t="shared" ca="1" si="27"/>
        <v/>
      </c>
      <c r="V232" s="164" t="str">
        <f t="array" aca="1" ref="V232" ca="1">IF(AND($W232&gt;0,RegimeExecucao="Unitário"),$F232,"")</f>
        <v/>
      </c>
      <c r="W232" s="453">
        <f t="array" aca="1" ref="W232" ca="1">IF($Y232&gt;0,CHOOSE(MATCH(RegimeExecucao,{"Unitário","Global"},0),IF($A232="S",$Y232/$X232,""),($Y232/$X232)*100),0)</f>
        <v>0</v>
      </c>
      <c r="X232" s="339" t="str">
        <f t="array" aca="1" ref="X232" ca="1">IF($Y232&gt;0,CHOOSE(MATCH(RegimeExecucao,{"Unitário","Global"},0),IF($A232="S",ROUND($H232,ORÇAMENTO!$AF$10),""),ROUND($I232,ORÇAMENTO!$AF$11)),"")</f>
        <v/>
      </c>
      <c r="Y232" s="339">
        <f t="shared" ca="1" si="28"/>
        <v>0</v>
      </c>
      <c r="Z232" s="472"/>
      <c r="AB232" s="337"/>
      <c r="AC232" s="437"/>
      <c r="AD232" s="437"/>
      <c r="AE232" s="437"/>
      <c r="AF232" s="437"/>
      <c r="AG232" s="437"/>
      <c r="AH232" s="437"/>
      <c r="AI232" s="437"/>
      <c r="AJ232" s="437"/>
      <c r="AK232" s="437"/>
      <c r="AL232" s="437"/>
      <c r="AM232" s="338"/>
      <c r="AO232" s="696">
        <f t="array" aca="1" ref="AO232" ca="1">IF($A232="S",IF(BM!$I232=0,0,CHOOSE(MATCH(RegimeExecucao,{"Global","Unitário"},0),ROUND(ROUND(BM.MEDAcumulado,15-13*BM!$A$9)/100*BM!$I232,15-13*ORÇAMENTO!$AF$11),ROUND(ROUND(BM.MEDAcumulado,15-13*BM!$A$9)*ROUND(BM!$H232,15-13*ORÇAMENTO!$AF$10),15-13*ORÇAMENTO!$AF$11))),IF($A232=0,0,ROUND(SomaAgrupBM,15-13*ORÇAMENTO!$AF$11)))</f>
        <v>0</v>
      </c>
    </row>
    <row r="233" spans="1:41" s="696" customFormat="1" ht="25.5" x14ac:dyDescent="0.2">
      <c r="A233" s="696" t="str">
        <f ca="1">ORÇAMENTO!C233</f>
        <v>S</v>
      </c>
      <c r="B233" s="696">
        <f ca="1">ORÇAMENTO!D233</f>
        <v>0</v>
      </c>
      <c r="C233" s="114" t="str">
        <f t="shared" ca="1" si="22"/>
        <v>F</v>
      </c>
      <c r="D233" s="117" t="str">
        <f ca="1">ORÇAMENTO!O233</f>
        <v>1.34.8.</v>
      </c>
      <c r="E233" s="163" t="str">
        <f t="shared" ca="1" si="23"/>
        <v>LIMPEZA DE REVESTIMENTO CERÂMICO EM PAREDE UTILIZANDO DETERGENTE NEUTRO E ESCOVAÇÃO MANUAL. AF_04/2019</v>
      </c>
      <c r="F233" s="164" t="str">
        <f t="array" aca="1" ref="F233" ca="1">IF(RegimeExecucao="Global","",ORÇAMENTO.Unidade)</f>
        <v>M2</v>
      </c>
      <c r="G233" s="122">
        <f t="array" aca="1" ref="G233" ca="1">IF(RegimeExecucao="Global","",ORÇAMENTO!T233)</f>
        <v>316.39999999999998</v>
      </c>
      <c r="H233" s="122">
        <f t="array" aca="1" ref="H233" ca="1">IF(RegimeExecucao="Global","",ORÇAMENTO!W233)</f>
        <v>1.99</v>
      </c>
      <c r="I233" s="125">
        <f ca="1">ORÇAMENTO!X233</f>
        <v>629.64</v>
      </c>
      <c r="J233" s="333">
        <f t="array" aca="1" ref="J233" ca="1">IF($A233="S",IF(CAIXA.Modo,BM.AFAnterior,BM.MEDAnterior),IF(AND(RegimeExecucao="Global",$I233&gt;0,COUNTIF($AB$13:$AM$13,BM.medicao-1)&gt;0),M233/$I233*100,0))</f>
        <v>0</v>
      </c>
      <c r="K233" s="122">
        <f t="shared" ca="1" si="24"/>
        <v>0</v>
      </c>
      <c r="L233" s="334">
        <f t="array" aca="1" ref="L233" ca="1">IF($A233="S",IF(CAIXA.Modo,BM.AFAcumulado,BM.MEDAcumulado),IF(AND(RegimeExecucao="Global",$I233&gt;0,COUNTIF($AB$13:$AM$13,BM.medicao)&gt;0),O233/$I233*100,0))</f>
        <v>0</v>
      </c>
      <c r="M233" s="335">
        <f t="array" aca="1" ref="M233" ca="1">IF($A233="S",VTOTALBM,IF($A233=0,0,ROUND(SomaAgrupBM,15-13*ORÇAMENTO!$AF$11)))</f>
        <v>0</v>
      </c>
      <c r="N233" s="336">
        <f t="shared" ca="1" si="25"/>
        <v>0</v>
      </c>
      <c r="O233" s="125">
        <f t="array" aca="1" ref="O233" ca="1">IF($A233="S",VTOTALBM,IF($A233=0,0,ROUND(SomaAgrupBM,15-13*ORÇAMENTO!$AF$11)))</f>
        <v>0</v>
      </c>
      <c r="Q233" s="337"/>
      <c r="R233" s="338"/>
      <c r="T233" s="117" t="str">
        <f t="shared" ca="1" si="26"/>
        <v/>
      </c>
      <c r="U233" s="163" t="str">
        <f t="shared" ca="1" si="27"/>
        <v/>
      </c>
      <c r="V233" s="164" t="str">
        <f t="array" aca="1" ref="V233" ca="1">IF(AND($W233&gt;0,RegimeExecucao="Unitário"),$F233,"")</f>
        <v/>
      </c>
      <c r="W233" s="453">
        <f t="array" aca="1" ref="W233" ca="1">IF($Y233&gt;0,CHOOSE(MATCH(RegimeExecucao,{"Unitário","Global"},0),IF($A233="S",$Y233/$X233,""),($Y233/$X233)*100),0)</f>
        <v>0</v>
      </c>
      <c r="X233" s="339" t="str">
        <f t="array" aca="1" ref="X233" ca="1">IF($Y233&gt;0,CHOOSE(MATCH(RegimeExecucao,{"Unitário","Global"},0),IF($A233="S",ROUND($H233,ORÇAMENTO!$AF$10),""),ROUND($I233,ORÇAMENTO!$AF$11)),"")</f>
        <v/>
      </c>
      <c r="Y233" s="339">
        <f t="shared" ca="1" si="28"/>
        <v>0</v>
      </c>
      <c r="Z233" s="472"/>
      <c r="AB233" s="337"/>
      <c r="AC233" s="437"/>
      <c r="AD233" s="437"/>
      <c r="AE233" s="437"/>
      <c r="AF233" s="437"/>
      <c r="AG233" s="437"/>
      <c r="AH233" s="437"/>
      <c r="AI233" s="437"/>
      <c r="AJ233" s="437"/>
      <c r="AK233" s="437"/>
      <c r="AL233" s="437"/>
      <c r="AM233" s="338"/>
      <c r="AO233" s="696">
        <f t="array" aca="1" ref="AO233" ca="1">IF($A233="S",IF(BM!$I233=0,0,CHOOSE(MATCH(RegimeExecucao,{"Global","Unitário"},0),ROUND(ROUND(BM.MEDAcumulado,15-13*BM!$A$9)/100*BM!$I233,15-13*ORÇAMENTO!$AF$11),ROUND(ROUND(BM.MEDAcumulado,15-13*BM!$A$9)*ROUND(BM!$H233,15-13*ORÇAMENTO!$AF$10),15-13*ORÇAMENTO!$AF$11))),IF($A233=0,0,ROUND(SomaAgrupBM,15-13*ORÇAMENTO!$AF$11)))</f>
        <v>0</v>
      </c>
    </row>
    <row r="234" spans="1:41" s="696" customFormat="1" ht="25.5" x14ac:dyDescent="0.2">
      <c r="A234" s="696" t="str">
        <f ca="1">ORÇAMENTO!C234</f>
        <v>S</v>
      </c>
      <c r="B234" s="696">
        <f ca="1">ORÇAMENTO!D234</f>
        <v>0</v>
      </c>
      <c r="C234" s="114" t="str">
        <f t="shared" ca="1" si="22"/>
        <v>F</v>
      </c>
      <c r="D234" s="117" t="str">
        <f ca="1">ORÇAMENTO!O234</f>
        <v>1.34.9.</v>
      </c>
      <c r="E234" s="163" t="str">
        <f t="shared" ca="1" si="23"/>
        <v>LIMPEZA DE TANQUE OU LAVATÓRIO DE LOUÇA ISOLADO, INCLUSIVE METAIS CORRESPONDENTES. AF_04/2019</v>
      </c>
      <c r="F234" s="164" t="str">
        <f t="array" aca="1" ref="F234" ca="1">IF(RegimeExecucao="Global","",ORÇAMENTO.Unidade)</f>
        <v>UN</v>
      </c>
      <c r="G234" s="122">
        <f t="array" aca="1" ref="G234" ca="1">IF(RegimeExecucao="Global","",ORÇAMENTO!T234)</f>
        <v>40</v>
      </c>
      <c r="H234" s="122">
        <f t="array" aca="1" ref="H234" ca="1">IF(RegimeExecucao="Global","",ORÇAMENTO!W234)</f>
        <v>12</v>
      </c>
      <c r="I234" s="125">
        <f ca="1">ORÇAMENTO!X234</f>
        <v>480</v>
      </c>
      <c r="J234" s="333">
        <f t="array" aca="1" ref="J234" ca="1">IF($A234="S",IF(CAIXA.Modo,BM.AFAnterior,BM.MEDAnterior),IF(AND(RegimeExecucao="Global",$I234&gt;0,COUNTIF($AB$13:$AM$13,BM.medicao-1)&gt;0),M234/$I234*100,0))</f>
        <v>0</v>
      </c>
      <c r="K234" s="122">
        <f t="shared" ca="1" si="24"/>
        <v>0</v>
      </c>
      <c r="L234" s="334">
        <f t="array" aca="1" ref="L234" ca="1">IF($A234="S",IF(CAIXA.Modo,BM.AFAcumulado,BM.MEDAcumulado),IF(AND(RegimeExecucao="Global",$I234&gt;0,COUNTIF($AB$13:$AM$13,BM.medicao)&gt;0),O234/$I234*100,0))</f>
        <v>0</v>
      </c>
      <c r="M234" s="335">
        <f t="array" aca="1" ref="M234" ca="1">IF($A234="S",VTOTALBM,IF($A234=0,0,ROUND(SomaAgrupBM,15-13*ORÇAMENTO!$AF$11)))</f>
        <v>0</v>
      </c>
      <c r="N234" s="336">
        <f t="shared" ca="1" si="25"/>
        <v>0</v>
      </c>
      <c r="O234" s="125">
        <f t="array" aca="1" ref="O234" ca="1">IF($A234="S",VTOTALBM,IF($A234=0,0,ROUND(SomaAgrupBM,15-13*ORÇAMENTO!$AF$11)))</f>
        <v>0</v>
      </c>
      <c r="Q234" s="337"/>
      <c r="R234" s="338"/>
      <c r="T234" s="117" t="str">
        <f t="shared" ca="1" si="26"/>
        <v/>
      </c>
      <c r="U234" s="163" t="str">
        <f t="shared" ca="1" si="27"/>
        <v/>
      </c>
      <c r="V234" s="164" t="str">
        <f t="array" aca="1" ref="V234" ca="1">IF(AND($W234&gt;0,RegimeExecucao="Unitário"),$F234,"")</f>
        <v/>
      </c>
      <c r="W234" s="453">
        <f t="array" aca="1" ref="W234" ca="1">IF($Y234&gt;0,CHOOSE(MATCH(RegimeExecucao,{"Unitário","Global"},0),IF($A234="S",$Y234/$X234,""),($Y234/$X234)*100),0)</f>
        <v>0</v>
      </c>
      <c r="X234" s="339" t="str">
        <f t="array" aca="1" ref="X234" ca="1">IF($Y234&gt;0,CHOOSE(MATCH(RegimeExecucao,{"Unitário","Global"},0),IF($A234="S",ROUND($H234,ORÇAMENTO!$AF$10),""),ROUND($I234,ORÇAMENTO!$AF$11)),"")</f>
        <v/>
      </c>
      <c r="Y234" s="339">
        <f t="shared" ca="1" si="28"/>
        <v>0</v>
      </c>
      <c r="Z234" s="472"/>
      <c r="AB234" s="337"/>
      <c r="AC234" s="437"/>
      <c r="AD234" s="437"/>
      <c r="AE234" s="437"/>
      <c r="AF234" s="437"/>
      <c r="AG234" s="437"/>
      <c r="AH234" s="437"/>
      <c r="AI234" s="437"/>
      <c r="AJ234" s="437"/>
      <c r="AK234" s="437"/>
      <c r="AL234" s="437"/>
      <c r="AM234" s="338"/>
      <c r="AO234" s="696">
        <f t="array" aca="1" ref="AO234" ca="1">IF($A234="S",IF(BM!$I234=0,0,CHOOSE(MATCH(RegimeExecucao,{"Global","Unitário"},0),ROUND(ROUND(BM.MEDAcumulado,15-13*BM!$A$9)/100*BM!$I234,15-13*ORÇAMENTO!$AF$11),ROUND(ROUND(BM.MEDAcumulado,15-13*BM!$A$9)*ROUND(BM!$H234,15-13*ORÇAMENTO!$AF$10),15-13*ORÇAMENTO!$AF$11))),IF($A234=0,0,ROUND(SomaAgrupBM,15-13*ORÇAMENTO!$AF$11)))</f>
        <v>0</v>
      </c>
    </row>
    <row r="235" spans="1:41" ht="5.0999999999999996" customHeight="1" x14ac:dyDescent="0.2">
      <c r="C235" s="114" t="s">
        <v>536</v>
      </c>
      <c r="D235" s="616"/>
      <c r="E235" s="617"/>
      <c r="F235" s="617"/>
      <c r="G235" s="617"/>
      <c r="H235" s="617"/>
      <c r="I235" s="419"/>
      <c r="J235" s="616"/>
      <c r="K235" s="617"/>
      <c r="L235" s="419"/>
      <c r="M235" s="434"/>
      <c r="N235" s="435"/>
      <c r="O235" s="436"/>
      <c r="Q235" s="616"/>
      <c r="R235" s="419"/>
      <c r="T235" s="616"/>
      <c r="U235" s="617"/>
      <c r="V235" s="617"/>
      <c r="W235" s="617"/>
      <c r="X235" s="617"/>
      <c r="Y235" s="617"/>
      <c r="Z235" s="419"/>
      <c r="AB235" s="616"/>
      <c r="AC235" s="617"/>
      <c r="AD235" s="617"/>
      <c r="AE235" s="617"/>
      <c r="AF235" s="617"/>
      <c r="AG235" s="617"/>
      <c r="AH235" s="617"/>
      <c r="AI235" s="617"/>
      <c r="AJ235" s="617"/>
      <c r="AK235" s="617"/>
      <c r="AL235" s="617"/>
      <c r="AM235" s="419"/>
    </row>
    <row r="237" spans="1:41" ht="14.25" x14ac:dyDescent="0.2">
      <c r="D237" s="852" t="s">
        <v>689</v>
      </c>
      <c r="E237" s="852"/>
      <c r="F237" s="852"/>
      <c r="G237" s="852"/>
      <c r="H237" s="852"/>
      <c r="I237" s="852"/>
      <c r="J237" s="852"/>
      <c r="K237" s="852"/>
      <c r="L237" s="852"/>
      <c r="M237" s="852"/>
      <c r="N237" s="852"/>
      <c r="O237" s="852"/>
      <c r="T237" s="853" t="s">
        <v>865</v>
      </c>
      <c r="U237" s="853"/>
      <c r="V237" s="853"/>
      <c r="W237" s="853"/>
      <c r="X237" s="853"/>
      <c r="Y237" s="853"/>
      <c r="Z237" s="853"/>
    </row>
    <row r="238" spans="1:41" ht="12.75" customHeight="1" x14ac:dyDescent="0.2">
      <c r="D238" s="756"/>
      <c r="E238" s="756"/>
      <c r="F238" s="756"/>
      <c r="G238" s="756"/>
      <c r="H238" s="756"/>
      <c r="I238" s="756"/>
      <c r="J238" s="756"/>
      <c r="K238" s="756"/>
      <c r="L238" s="756"/>
      <c r="M238" s="756"/>
      <c r="N238" s="756"/>
      <c r="O238" s="756"/>
      <c r="T238" s="854"/>
      <c r="U238" s="854"/>
      <c r="V238" s="854"/>
      <c r="W238" s="854"/>
      <c r="X238" s="854"/>
      <c r="Y238" s="854"/>
      <c r="Z238" s="854"/>
    </row>
    <row r="239" spans="1:41" ht="12.75" customHeight="1" x14ac:dyDescent="0.2">
      <c r="D239" s="756"/>
      <c r="E239" s="756"/>
      <c r="F239" s="756"/>
      <c r="G239" s="756"/>
      <c r="H239" s="756"/>
      <c r="I239" s="756"/>
      <c r="J239" s="756"/>
      <c r="K239" s="756"/>
      <c r="L239" s="756"/>
      <c r="M239" s="756"/>
      <c r="N239" s="756"/>
      <c r="O239" s="756"/>
      <c r="T239" s="854"/>
      <c r="U239" s="854"/>
      <c r="V239" s="854"/>
      <c r="W239" s="854"/>
      <c r="X239" s="854"/>
      <c r="Y239" s="854"/>
      <c r="Z239" s="854"/>
    </row>
    <row r="240" spans="1:41" ht="12.75" customHeight="1" x14ac:dyDescent="0.2">
      <c r="D240" s="756"/>
      <c r="E240" s="756"/>
      <c r="F240" s="756"/>
      <c r="G240" s="756"/>
      <c r="H240" s="756"/>
      <c r="I240" s="756"/>
      <c r="J240" s="756"/>
      <c r="K240" s="756"/>
      <c r="L240" s="756"/>
      <c r="M240" s="756"/>
      <c r="N240" s="756"/>
      <c r="O240" s="756"/>
      <c r="T240" s="854"/>
      <c r="U240" s="854"/>
      <c r="V240" s="854"/>
      <c r="W240" s="854"/>
      <c r="X240" s="854"/>
      <c r="Y240" s="854"/>
      <c r="Z240" s="854"/>
    </row>
    <row r="241" spans="4:26" ht="14.25" x14ac:dyDescent="0.2">
      <c r="D241" s="443"/>
      <c r="E241" s="443"/>
      <c r="F241" s="443"/>
      <c r="G241" s="443"/>
      <c r="H241" s="443"/>
      <c r="I241" s="443"/>
      <c r="J241" s="443"/>
      <c r="K241" s="443"/>
      <c r="L241" s="443"/>
      <c r="M241" s="443"/>
      <c r="N241" s="443"/>
      <c r="O241" s="443"/>
    </row>
    <row r="242" spans="4:26" ht="15" customHeight="1" x14ac:dyDescent="0.25">
      <c r="D242" s="757" t="str">
        <f t="array" aca="1" ref="D242"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242" s="757"/>
      <c r="F242" s="757"/>
      <c r="G242" s="757"/>
      <c r="H242" s="757"/>
      <c r="I242" s="757"/>
      <c r="J242" s="757"/>
      <c r="K242" s="757"/>
      <c r="L242" s="757"/>
    </row>
    <row r="243" spans="4:26" x14ac:dyDescent="0.2">
      <c r="D243" s="850"/>
      <c r="E243" s="850"/>
      <c r="F243" s="850"/>
      <c r="G243" s="850"/>
      <c r="H243" s="850"/>
      <c r="I243" s="850"/>
    </row>
    <row r="244" spans="4:26" x14ac:dyDescent="0.2">
      <c r="D244" s="857"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244" s="857"/>
      <c r="F244" s="857"/>
      <c r="G244" s="857"/>
      <c r="H244" s="857"/>
      <c r="I244" s="857"/>
      <c r="J244" s="857"/>
      <c r="K244" s="857"/>
      <c r="L244" s="857"/>
      <c r="M244" s="857"/>
      <c r="N244" s="857"/>
      <c r="O244" s="857"/>
    </row>
    <row r="245" spans="4:26" ht="39.950000000000003" customHeight="1" x14ac:dyDescent="0.25">
      <c r="E245" s="138" t="str">
        <f>Import.Município</f>
        <v>PIRANGUÇU-MG</v>
      </c>
      <c r="J245" s="583" t="str">
        <f ca="1">IF(DADOS!$D$50&lt;&gt;"","Preencher os Dados do Responsável pela Fiscalização, na aba DADOS.","")</f>
        <v/>
      </c>
      <c r="K245" s="583"/>
      <c r="L245" s="583"/>
      <c r="M245" s="583"/>
      <c r="W245" s="858"/>
      <c r="X245" s="858"/>
      <c r="Y245" s="858"/>
      <c r="Z245" s="858"/>
    </row>
    <row r="246" spans="4:26" x14ac:dyDescent="0.2">
      <c r="E246" s="9" t="s">
        <v>693</v>
      </c>
      <c r="J246" s="181" t="s">
        <v>841</v>
      </c>
      <c r="W246" s="181" t="s">
        <v>866</v>
      </c>
    </row>
    <row r="247" spans="4:26" x14ac:dyDescent="0.2">
      <c r="J247" s="77" t="s">
        <v>240</v>
      </c>
      <c r="K247" s="271">
        <f t="array" ref="K247:K250">Import.RespFiscalização</f>
        <v>0</v>
      </c>
      <c r="L247" s="78"/>
      <c r="W247" s="77" t="s">
        <v>240</v>
      </c>
      <c r="X247" s="856"/>
      <c r="Y247" s="856"/>
      <c r="Z247" s="856"/>
    </row>
    <row r="248" spans="4:26" x14ac:dyDescent="0.2">
      <c r="E248" s="458">
        <f>DADOS!$C$48</f>
        <v>0</v>
      </c>
      <c r="J248" s="77" t="s">
        <v>319</v>
      </c>
      <c r="K248" s="271">
        <v>0</v>
      </c>
      <c r="L248" s="78"/>
      <c r="W248" s="77" t="s">
        <v>867</v>
      </c>
      <c r="X248" s="856"/>
      <c r="Y248" s="856"/>
      <c r="Z248" s="856"/>
    </row>
    <row r="249" spans="4:26" x14ac:dyDescent="0.2">
      <c r="E249" s="140" t="s">
        <v>694</v>
      </c>
      <c r="J249" s="77" t="s">
        <v>243</v>
      </c>
      <c r="K249" s="271">
        <v>0</v>
      </c>
      <c r="L249" s="78"/>
      <c r="W249" s="77" t="s">
        <v>243</v>
      </c>
      <c r="X249" s="856"/>
      <c r="Y249" s="856"/>
      <c r="Z249" s="856"/>
    </row>
    <row r="250" spans="4:26" x14ac:dyDescent="0.2">
      <c r="J250" s="77" t="s">
        <v>246</v>
      </c>
      <c r="K250" s="12">
        <v>0</v>
      </c>
      <c r="W250" s="77"/>
      <c r="X250" s="12"/>
    </row>
  </sheetData>
  <sheetProtection algorithmName="SHA-512" hashValue="nf6bYvv4pNpPd2ia3qrSYd+IdWJJRlet31UmEft0A/x0At4AOO1OAhTFqLksG6Eezlac70YcjvoLqr+3gAOV2g==" saltValue="qdYxiozgCHbCT7IROQEw+A==" spinCount="100000" sheet="1" objects="1" scenarios="1" autoFilter="0"/>
  <autoFilter ref="C15:C235" xr:uid="{00000000-0009-0000-0000-00000B000000}"/>
  <mergeCells count="33">
    <mergeCell ref="X249:Z249"/>
    <mergeCell ref="D244:O244"/>
    <mergeCell ref="W245:Z245"/>
    <mergeCell ref="X247:Z247"/>
    <mergeCell ref="X248:Z248"/>
    <mergeCell ref="D242:L242"/>
    <mergeCell ref="D243:I243"/>
    <mergeCell ref="AB15:AM15"/>
    <mergeCell ref="D237:O237"/>
    <mergeCell ref="T237:Z237"/>
    <mergeCell ref="D238:O240"/>
    <mergeCell ref="T238:Z240"/>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21 T16:Z21 D98:O113 T98:Z113 D210:O221 T210:Z221 D123:O129 T123:Z129 D193:O200 T193:Z200 D158:O165 T158:Z165 T23:Z27 D23:O27 T51:Z88 D51:O88 T42:Z44 D42:O44 T37:Z40 D37:O40 D46:O49 T46:Z49 T29:Z35 D29:O35 D225:O234 T225:Z234">
    <cfRule type="expression" dxfId="141" priority="18627" stopIfTrue="1">
      <formula>OR(ACOMPANHAMENTO="PLE",TIPOORCAMENTO="Proposto",$L14&lt;0,AND($L14&gt;100,RegimeExecucao="Global"),$O14&gt;$I14,$O14&lt;0)</formula>
    </cfRule>
    <cfRule type="expression" dxfId="140" priority="18628" stopIfTrue="1">
      <formula>$A14=1</formula>
    </cfRule>
    <cfRule type="expression" dxfId="139" priority="18629" stopIfTrue="1">
      <formula>$A14&lt;&gt;"S"</formula>
    </cfRule>
  </conditionalFormatting>
  <conditionalFormatting sqref="Q14:R14 AB14:AM14 Q16:R21 AB16:AM21 Q98:R113 AB98:AM113 Q210:R221 AB210:AM221 Q123:R129 AB123:AM129 Q193:R200 AB193:AM200 Q158:R165 AB158:AM165 AB23:AM27 Q23:R27 AB51:AM88 Q51:R88 AB42:AM44 Q42:R44 AB37:AM40 Q37:R40 Q46:R49 AB46:AM49 AB29:AM35 Q29:R35 Q225:R234 AB225:AM234">
    <cfRule type="expression" dxfId="138" priority="18630" stopIfTrue="1">
      <formula>$A14=1</formula>
    </cfRule>
    <cfRule type="expression" dxfId="137" priority="18631" stopIfTrue="1">
      <formula>$A14&lt;&gt;"S"</formula>
    </cfRule>
  </conditionalFormatting>
  <conditionalFormatting sqref="E2">
    <cfRule type="expression" dxfId="136" priority="18632" stopIfTrue="1">
      <formula>Import.RegimeExecução="(SELECIONAR)"</formula>
    </cfRule>
  </conditionalFormatting>
  <conditionalFormatting sqref="F13:H13">
    <cfRule type="expression" dxfId="135" priority="18633" stopIfTrue="1">
      <formula>RegimeExecucao="Global"</formula>
    </cfRule>
  </conditionalFormatting>
  <conditionalFormatting sqref="D15:O15">
    <cfRule type="expression" dxfId="134" priority="18634" stopIfTrue="1">
      <formula>OR(ACOMPANHAMENTO="PLE",TIPOORCAMENTO="Proposto")</formula>
    </cfRule>
  </conditionalFormatting>
  <conditionalFormatting sqref="AB13">
    <cfRule type="cellIs" dxfId="133" priority="18635" stopIfTrue="1" operator="notEqual">
      <formula>1</formula>
    </cfRule>
  </conditionalFormatting>
  <conditionalFormatting sqref="O11">
    <cfRule type="expression" dxfId="132" priority="13494">
      <formula>ROUND($P$11,4)&gt;ROUND($P$10,4)</formula>
    </cfRule>
  </conditionalFormatting>
  <conditionalFormatting sqref="D89:O97 T89:Z97">
    <cfRule type="expression" dxfId="131" priority="136" stopIfTrue="1">
      <formula>OR(ACOMPANHAMENTO="PLE",TIPOORCAMENTO="Proposto",$L89&lt;0,AND($L89&gt;100,RegimeExecucao="Global"),$O89&gt;$I89,$O89&lt;0)</formula>
    </cfRule>
    <cfRule type="expression" dxfId="130" priority="137" stopIfTrue="1">
      <formula>$A89=1</formula>
    </cfRule>
    <cfRule type="expression" dxfId="129" priority="138" stopIfTrue="1">
      <formula>$A89&lt;&gt;"S"</formula>
    </cfRule>
  </conditionalFormatting>
  <conditionalFormatting sqref="Q89:R97 AB89:AM97">
    <cfRule type="expression" dxfId="128" priority="139" stopIfTrue="1">
      <formula>$A89=1</formula>
    </cfRule>
    <cfRule type="expression" dxfId="127" priority="140" stopIfTrue="1">
      <formula>$A89&lt;&gt;"S"</formula>
    </cfRule>
  </conditionalFormatting>
  <conditionalFormatting sqref="D114:O122 T114:Z122">
    <cfRule type="expression" dxfId="126" priority="121" stopIfTrue="1">
      <formula>OR(ACOMPANHAMENTO="PLE",TIPOORCAMENTO="Proposto",$L114&lt;0,AND($L114&gt;100,RegimeExecucao="Global"),$O114&gt;$I114,$O114&lt;0)</formula>
    </cfRule>
    <cfRule type="expression" dxfId="125" priority="122" stopIfTrue="1">
      <formula>$A114=1</formula>
    </cfRule>
    <cfRule type="expression" dxfId="124" priority="123" stopIfTrue="1">
      <formula>$A114&lt;&gt;"S"</formula>
    </cfRule>
  </conditionalFormatting>
  <conditionalFormatting sqref="Q114:R122 AB114:AM122">
    <cfRule type="expression" dxfId="123" priority="124" stopIfTrue="1">
      <formula>$A114=1</formula>
    </cfRule>
    <cfRule type="expression" dxfId="122" priority="125" stopIfTrue="1">
      <formula>$A114&lt;&gt;"S"</formula>
    </cfRule>
  </conditionalFormatting>
  <conditionalFormatting sqref="D130:O138 T130:Z138">
    <cfRule type="expression" dxfId="121" priority="111" stopIfTrue="1">
      <formula>OR(ACOMPANHAMENTO="PLE",TIPOORCAMENTO="Proposto",$L130&lt;0,AND($L130&gt;100,RegimeExecucao="Global"),$O130&gt;$I130,$O130&lt;0)</formula>
    </cfRule>
    <cfRule type="expression" dxfId="120" priority="112" stopIfTrue="1">
      <formula>$A130=1</formula>
    </cfRule>
    <cfRule type="expression" dxfId="119" priority="113" stopIfTrue="1">
      <formula>$A130&lt;&gt;"S"</formula>
    </cfRule>
  </conditionalFormatting>
  <conditionalFormatting sqref="Q130:R138 AB130:AM138">
    <cfRule type="expression" dxfId="118" priority="114" stopIfTrue="1">
      <formula>$A130=1</formula>
    </cfRule>
    <cfRule type="expression" dxfId="117" priority="115" stopIfTrue="1">
      <formula>$A130&lt;&gt;"S"</formula>
    </cfRule>
  </conditionalFormatting>
  <conditionalFormatting sqref="D139:O147 T139:Z147">
    <cfRule type="expression" dxfId="116" priority="106" stopIfTrue="1">
      <formula>OR(ACOMPANHAMENTO="PLE",TIPOORCAMENTO="Proposto",$L139&lt;0,AND($L139&gt;100,RegimeExecucao="Global"),$O139&gt;$I139,$O139&lt;0)</formula>
    </cfRule>
    <cfRule type="expression" dxfId="115" priority="107" stopIfTrue="1">
      <formula>$A139=1</formula>
    </cfRule>
    <cfRule type="expression" dxfId="114" priority="108" stopIfTrue="1">
      <formula>$A139&lt;&gt;"S"</formula>
    </cfRule>
  </conditionalFormatting>
  <conditionalFormatting sqref="Q139:R147 AB139:AM147">
    <cfRule type="expression" dxfId="113" priority="109" stopIfTrue="1">
      <formula>$A139=1</formula>
    </cfRule>
    <cfRule type="expression" dxfId="112" priority="110" stopIfTrue="1">
      <formula>$A139&lt;&gt;"S"</formula>
    </cfRule>
  </conditionalFormatting>
  <conditionalFormatting sqref="D148:O156 T148:Z156">
    <cfRule type="expression" dxfId="111" priority="101" stopIfTrue="1">
      <formula>OR(ACOMPANHAMENTO="PLE",TIPOORCAMENTO="Proposto",$L148&lt;0,AND($L148&gt;100,RegimeExecucao="Global"),$O148&gt;$I148,$O148&lt;0)</formula>
    </cfRule>
    <cfRule type="expression" dxfId="110" priority="102" stopIfTrue="1">
      <formula>$A148=1</formula>
    </cfRule>
    <cfRule type="expression" dxfId="109" priority="103" stopIfTrue="1">
      <formula>$A148&lt;&gt;"S"</formula>
    </cfRule>
  </conditionalFormatting>
  <conditionalFormatting sqref="Q148:R156 AB148:AM156">
    <cfRule type="expression" dxfId="108" priority="104" stopIfTrue="1">
      <formula>$A148=1</formula>
    </cfRule>
    <cfRule type="expression" dxfId="107" priority="105" stopIfTrue="1">
      <formula>$A148&lt;&gt;"S"</formula>
    </cfRule>
  </conditionalFormatting>
  <conditionalFormatting sqref="D166:O174 T166:Z174">
    <cfRule type="expression" dxfId="106" priority="91" stopIfTrue="1">
      <formula>OR(ACOMPANHAMENTO="PLE",TIPOORCAMENTO="Proposto",$L166&lt;0,AND($L166&gt;100,RegimeExecucao="Global"),$O166&gt;$I166,$O166&lt;0)</formula>
    </cfRule>
    <cfRule type="expression" dxfId="105" priority="92" stopIfTrue="1">
      <formula>$A166=1</formula>
    </cfRule>
    <cfRule type="expression" dxfId="104" priority="93" stopIfTrue="1">
      <formula>$A166&lt;&gt;"S"</formula>
    </cfRule>
  </conditionalFormatting>
  <conditionalFormatting sqref="Q166:R174 AB166:AM174">
    <cfRule type="expression" dxfId="103" priority="94" stopIfTrue="1">
      <formula>$A166=1</formula>
    </cfRule>
    <cfRule type="expression" dxfId="102" priority="95" stopIfTrue="1">
      <formula>$A166&lt;&gt;"S"</formula>
    </cfRule>
  </conditionalFormatting>
  <conditionalFormatting sqref="D175:O183 T175:Z183">
    <cfRule type="expression" dxfId="101" priority="86" stopIfTrue="1">
      <formula>OR(ACOMPANHAMENTO="PLE",TIPOORCAMENTO="Proposto",$L175&lt;0,AND($L175&gt;100,RegimeExecucao="Global"),$O175&gt;$I175,$O175&lt;0)</formula>
    </cfRule>
    <cfRule type="expression" dxfId="100" priority="87" stopIfTrue="1">
      <formula>$A175=1</formula>
    </cfRule>
    <cfRule type="expression" dxfId="99" priority="88" stopIfTrue="1">
      <formula>$A175&lt;&gt;"S"</formula>
    </cfRule>
  </conditionalFormatting>
  <conditionalFormatting sqref="Q175:R183 AB175:AM183">
    <cfRule type="expression" dxfId="98" priority="89" stopIfTrue="1">
      <formula>$A175=1</formula>
    </cfRule>
    <cfRule type="expression" dxfId="97" priority="90" stopIfTrue="1">
      <formula>$A175&lt;&gt;"S"</formula>
    </cfRule>
  </conditionalFormatting>
  <conditionalFormatting sqref="D184:O192 T184:Z192">
    <cfRule type="expression" dxfId="96" priority="81" stopIfTrue="1">
      <formula>OR(ACOMPANHAMENTO="PLE",TIPOORCAMENTO="Proposto",$L184&lt;0,AND($L184&gt;100,RegimeExecucao="Global"),$O184&gt;$I184,$O184&lt;0)</formula>
    </cfRule>
    <cfRule type="expression" dxfId="95" priority="82" stopIfTrue="1">
      <formula>$A184=1</formula>
    </cfRule>
    <cfRule type="expression" dxfId="94" priority="83" stopIfTrue="1">
      <formula>$A184&lt;&gt;"S"</formula>
    </cfRule>
  </conditionalFormatting>
  <conditionalFormatting sqref="Q184:R192 AB184:AM192">
    <cfRule type="expression" dxfId="93" priority="84" stopIfTrue="1">
      <formula>$A184=1</formula>
    </cfRule>
    <cfRule type="expression" dxfId="92" priority="85" stopIfTrue="1">
      <formula>$A184&lt;&gt;"S"</formula>
    </cfRule>
  </conditionalFormatting>
  <conditionalFormatting sqref="D201:O209 T201:Z209">
    <cfRule type="expression" dxfId="91" priority="71" stopIfTrue="1">
      <formula>OR(ACOMPANHAMENTO="PLE",TIPOORCAMENTO="Proposto",$L201&lt;0,AND($L201&gt;100,RegimeExecucao="Global"),$O201&gt;$I201,$O201&lt;0)</formula>
    </cfRule>
    <cfRule type="expression" dxfId="90" priority="72" stopIfTrue="1">
      <formula>$A201=1</formula>
    </cfRule>
    <cfRule type="expression" dxfId="89" priority="73" stopIfTrue="1">
      <formula>$A201&lt;&gt;"S"</formula>
    </cfRule>
  </conditionalFormatting>
  <conditionalFormatting sqref="Q201:R209 AB201:AM209">
    <cfRule type="expression" dxfId="88" priority="74" stopIfTrue="1">
      <formula>$A201=1</formula>
    </cfRule>
    <cfRule type="expression" dxfId="87" priority="75" stopIfTrue="1">
      <formula>$A201&lt;&gt;"S"</formula>
    </cfRule>
  </conditionalFormatting>
  <conditionalFormatting sqref="D28:O28 T28:Z28">
    <cfRule type="expression" dxfId="86" priority="41" stopIfTrue="1">
      <formula>OR(ACOMPANHAMENTO="PLE",TIPOORCAMENTO="Proposto",$L28&lt;0,AND($L28&gt;100,RegimeExecucao="Global"),$O28&gt;$I28,$O28&lt;0)</formula>
    </cfRule>
    <cfRule type="expression" dxfId="85" priority="42" stopIfTrue="1">
      <formula>$A28=1</formula>
    </cfRule>
    <cfRule type="expression" dxfId="84" priority="43" stopIfTrue="1">
      <formula>$A28&lt;&gt;"S"</formula>
    </cfRule>
  </conditionalFormatting>
  <conditionalFormatting sqref="Q28:R28 AB28:AM28">
    <cfRule type="expression" dxfId="83" priority="44" stopIfTrue="1">
      <formula>$A28=1</formula>
    </cfRule>
    <cfRule type="expression" dxfId="82" priority="45" stopIfTrue="1">
      <formula>$A28&lt;&gt;"S"</formula>
    </cfRule>
  </conditionalFormatting>
  <conditionalFormatting sqref="D157:O157 T157:Z157">
    <cfRule type="expression" dxfId="81" priority="36" stopIfTrue="1">
      <formula>OR(ACOMPANHAMENTO="PLE",TIPOORCAMENTO="Proposto",$L157&lt;0,AND($L157&gt;100,RegimeExecucao="Global"),$O157&gt;$I157,$O157&lt;0)</formula>
    </cfRule>
    <cfRule type="expression" dxfId="80" priority="37" stopIfTrue="1">
      <formula>$A157=1</formula>
    </cfRule>
    <cfRule type="expression" dxfId="79" priority="38" stopIfTrue="1">
      <formula>$A157&lt;&gt;"S"</formula>
    </cfRule>
  </conditionalFormatting>
  <conditionalFormatting sqref="Q157:R157 AB157:AM157">
    <cfRule type="expression" dxfId="78" priority="39" stopIfTrue="1">
      <formula>$A157=1</formula>
    </cfRule>
    <cfRule type="expression" dxfId="77" priority="40" stopIfTrue="1">
      <formula>$A157&lt;&gt;"S"</formula>
    </cfRule>
  </conditionalFormatting>
  <conditionalFormatting sqref="D22:O22 T22:Z22">
    <cfRule type="expression" dxfId="76" priority="31" stopIfTrue="1">
      <formula>OR(ACOMPANHAMENTO="PLE",TIPOORCAMENTO="Proposto",$L22&lt;0,AND($L22&gt;100,RegimeExecucao="Global"),$O22&gt;$I22,$O22&lt;0)</formula>
    </cfRule>
    <cfRule type="expression" dxfId="75" priority="32" stopIfTrue="1">
      <formula>$A22=1</formula>
    </cfRule>
    <cfRule type="expression" dxfId="74" priority="33" stopIfTrue="1">
      <formula>$A22&lt;&gt;"S"</formula>
    </cfRule>
  </conditionalFormatting>
  <conditionalFormatting sqref="Q22:R22 AB22:AM22">
    <cfRule type="expression" dxfId="73" priority="34" stopIfTrue="1">
      <formula>$A22=1</formula>
    </cfRule>
    <cfRule type="expression" dxfId="72" priority="35" stopIfTrue="1">
      <formula>$A22&lt;&gt;"S"</formula>
    </cfRule>
  </conditionalFormatting>
  <conditionalFormatting sqref="D50:O50 T50:Z50">
    <cfRule type="expression" dxfId="71" priority="26" stopIfTrue="1">
      <formula>OR(ACOMPANHAMENTO="PLE",TIPOORCAMENTO="Proposto",$L50&lt;0,AND($L50&gt;100,RegimeExecucao="Global"),$O50&gt;$I50,$O50&lt;0)</formula>
    </cfRule>
    <cfRule type="expression" dxfId="70" priority="27" stopIfTrue="1">
      <formula>$A50=1</formula>
    </cfRule>
    <cfRule type="expression" dxfId="69" priority="28" stopIfTrue="1">
      <formula>$A50&lt;&gt;"S"</formula>
    </cfRule>
  </conditionalFormatting>
  <conditionalFormatting sqref="Q50:R50 AB50:AM50">
    <cfRule type="expression" dxfId="68" priority="29" stopIfTrue="1">
      <formula>$A50=1</formula>
    </cfRule>
    <cfRule type="expression" dxfId="67" priority="30" stopIfTrue="1">
      <formula>$A50&lt;&gt;"S"</formula>
    </cfRule>
  </conditionalFormatting>
  <conditionalFormatting sqref="D41:O41 T41:Z41">
    <cfRule type="expression" dxfId="66" priority="21" stopIfTrue="1">
      <formula>OR(ACOMPANHAMENTO="PLE",TIPOORCAMENTO="Proposto",$L41&lt;0,AND($L41&gt;100,RegimeExecucao="Global"),$O41&gt;$I41,$O41&lt;0)</formula>
    </cfRule>
    <cfRule type="expression" dxfId="65" priority="22" stopIfTrue="1">
      <formula>$A41=1</formula>
    </cfRule>
    <cfRule type="expression" dxfId="64" priority="23" stopIfTrue="1">
      <formula>$A41&lt;&gt;"S"</formula>
    </cfRule>
  </conditionalFormatting>
  <conditionalFormatting sqref="Q41:R41 AB41:AM41">
    <cfRule type="expression" dxfId="63" priority="24" stopIfTrue="1">
      <formula>$A41=1</formula>
    </cfRule>
    <cfRule type="expression" dxfId="62" priority="25" stopIfTrue="1">
      <formula>$A41&lt;&gt;"S"</formula>
    </cfRule>
  </conditionalFormatting>
  <conditionalFormatting sqref="D36:O36 T36:Z36">
    <cfRule type="expression" dxfId="61" priority="16" stopIfTrue="1">
      <formula>OR(ACOMPANHAMENTO="PLE",TIPOORCAMENTO="Proposto",$L36&lt;0,AND($L36&gt;100,RegimeExecucao="Global"),$O36&gt;$I36,$O36&lt;0)</formula>
    </cfRule>
    <cfRule type="expression" dxfId="60" priority="17" stopIfTrue="1">
      <formula>$A36=1</formula>
    </cfRule>
    <cfRule type="expression" dxfId="59" priority="18" stopIfTrue="1">
      <formula>$A36&lt;&gt;"S"</formula>
    </cfRule>
  </conditionalFormatting>
  <conditionalFormatting sqref="Q36:R36 AB36:AM36">
    <cfRule type="expression" dxfId="58" priority="19" stopIfTrue="1">
      <formula>$A36=1</formula>
    </cfRule>
    <cfRule type="expression" dxfId="57" priority="20" stopIfTrue="1">
      <formula>$A36&lt;&gt;"S"</formula>
    </cfRule>
  </conditionalFormatting>
  <conditionalFormatting sqref="D45:O45 T45:Z45">
    <cfRule type="expression" dxfId="56" priority="11" stopIfTrue="1">
      <formula>OR(ACOMPANHAMENTO="PLE",TIPOORCAMENTO="Proposto",$L45&lt;0,AND($L45&gt;100,RegimeExecucao="Global"),$O45&gt;$I45,$O45&lt;0)</formula>
    </cfRule>
    <cfRule type="expression" dxfId="55" priority="12" stopIfTrue="1">
      <formula>$A45=1</formula>
    </cfRule>
    <cfRule type="expression" dxfId="54" priority="13" stopIfTrue="1">
      <formula>$A45&lt;&gt;"S"</formula>
    </cfRule>
  </conditionalFormatting>
  <conditionalFormatting sqref="Q45:R45 AB45:AM45">
    <cfRule type="expression" dxfId="53" priority="14" stopIfTrue="1">
      <formula>$A45=1</formula>
    </cfRule>
    <cfRule type="expression" dxfId="52" priority="15" stopIfTrue="1">
      <formula>$A45&lt;&gt;"S"</formula>
    </cfRule>
  </conditionalFormatting>
  <conditionalFormatting sqref="D222:O224 T222:Z224">
    <cfRule type="expression" dxfId="51" priority="1" stopIfTrue="1">
      <formula>OR(ACOMPANHAMENTO="PLE",TIPOORCAMENTO="Proposto",$L222&lt;0,AND($L222&gt;100,RegimeExecucao="Global"),$O222&gt;$I222,$O222&lt;0)</formula>
    </cfRule>
    <cfRule type="expression" dxfId="50" priority="2" stopIfTrue="1">
      <formula>$A222=1</formula>
    </cfRule>
    <cfRule type="expression" dxfId="49" priority="3" stopIfTrue="1">
      <formula>$A222&lt;&gt;"S"</formula>
    </cfRule>
  </conditionalFormatting>
  <conditionalFormatting sqref="Q222:R224 AB222:AM224">
    <cfRule type="expression" dxfId="48" priority="4" stopIfTrue="1">
      <formula>$A222=1</formula>
    </cfRule>
    <cfRule type="expression" dxfId="47" priority="5" stopIfTrue="1">
      <formula>$A222&lt;&gt;"S"</formula>
    </cfRule>
  </conditionalFormatting>
  <dataValidations count="4">
    <dataValidation type="list" allowBlank="1" showErrorMessage="1" sqref="Z14 Z16:Z234"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234"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234"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&amp;LPMv3.16&amp;R&amp;P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1" t="s">
        <v>868</v>
      </c>
      <c r="AD1" s="645" t="s">
        <v>869</v>
      </c>
      <c r="AE1" s="347" t="s">
        <v>870</v>
      </c>
    </row>
    <row r="2" spans="1:41" x14ac:dyDescent="0.2">
      <c r="AC2" s="348" t="str">
        <f>J25</f>
        <v>Repasse</v>
      </c>
      <c r="AD2" s="349">
        <f ca="1">AD6-AD4-AD3</f>
        <v>0</v>
      </c>
      <c r="AE2" s="349">
        <f ca="1">AE6-AE4-AE3</f>
        <v>0</v>
      </c>
    </row>
    <row r="3" spans="1:41" x14ac:dyDescent="0.2">
      <c r="E3" s="763" t="s">
        <v>652</v>
      </c>
      <c r="F3" s="763"/>
      <c r="G3" s="763"/>
      <c r="H3" s="763"/>
      <c r="I3" s="725" t="s">
        <v>650</v>
      </c>
      <c r="J3" s="725"/>
      <c r="K3" s="725"/>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61" t="str">
        <f>Import.Proponente</f>
        <v>PREFEITURA MUNICIPAL DE PIRANGUÇU-MG</v>
      </c>
      <c r="F4" s="761"/>
      <c r="G4" s="761"/>
      <c r="H4" s="761"/>
      <c r="I4" s="722" t="str">
        <f>Import.CR</f>
        <v>1103833-63</v>
      </c>
      <c r="J4" s="722"/>
      <c r="K4" s="722"/>
      <c r="L4" s="56" t="str">
        <f>Import.TransfereGOV</f>
        <v>39994/2025</v>
      </c>
      <c r="M4" s="871" t="s">
        <v>809</v>
      </c>
      <c r="N4" s="872"/>
      <c r="O4" s="873"/>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725" t="s">
        <v>708</v>
      </c>
      <c r="F6" s="725"/>
      <c r="G6" s="725"/>
      <c r="H6" s="725"/>
      <c r="I6" s="859" t="s">
        <v>808</v>
      </c>
      <c r="J6" s="859"/>
      <c r="K6" s="859"/>
      <c r="L6" s="859"/>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51" t="s">
        <v>655</v>
      </c>
      <c r="E7" s="722" t="str">
        <f>Import.Apelido</f>
        <v>CONSTRUÇÃO DE VINTE UNIDADES HABITACIONAIS</v>
      </c>
      <c r="F7" s="722"/>
      <c r="G7" s="722"/>
      <c r="H7" s="722"/>
      <c r="I7" s="860" t="str">
        <f>Import.Município</f>
        <v>PIRANGUÇU-MG</v>
      </c>
      <c r="J7" s="860"/>
      <c r="K7" s="860"/>
      <c r="L7" s="860"/>
      <c r="M7" s="353">
        <f>Import.Repasse</f>
        <v>2730000</v>
      </c>
      <c r="N7" s="354">
        <f>Import.Contrapartida</f>
        <v>0</v>
      </c>
      <c r="O7" s="353">
        <f>M7+N7</f>
        <v>2730000</v>
      </c>
      <c r="P7" s="423">
        <f>IF(ACOMPANHAMENTO="PLE",PLE.Medicao,BM.medicao)</f>
        <v>1</v>
      </c>
      <c r="R7" s="146"/>
      <c r="S7" s="146"/>
      <c r="T7" s="146"/>
      <c r="U7" s="146"/>
    </row>
    <row r="8" spans="1:41" x14ac:dyDescent="0.2">
      <c r="D8" s="751"/>
      <c r="E8" s="92"/>
      <c r="F8" s="92"/>
      <c r="G8" s="92"/>
      <c r="H8" s="92"/>
      <c r="I8" s="92"/>
      <c r="J8" s="92"/>
      <c r="K8" s="92"/>
      <c r="L8" s="92"/>
      <c r="M8" s="92"/>
      <c r="N8" s="92"/>
      <c r="O8" s="92"/>
      <c r="P8" s="92"/>
      <c r="R8" s="146"/>
      <c r="S8" s="146"/>
      <c r="T8" s="146"/>
      <c r="U8" s="146"/>
    </row>
    <row r="9" spans="1:41" ht="12.75" customHeight="1" x14ac:dyDescent="0.2">
      <c r="D9" s="751"/>
      <c r="G9" s="861" t="s">
        <v>874</v>
      </c>
      <c r="H9" s="861"/>
      <c r="I9" s="861" t="s">
        <v>875</v>
      </c>
      <c r="J9" s="861"/>
      <c r="K9" s="355"/>
      <c r="L9" s="862" t="s">
        <v>815</v>
      </c>
      <c r="M9" s="356" t="s">
        <v>818</v>
      </c>
      <c r="N9" s="278" t="s">
        <v>741</v>
      </c>
      <c r="P9" s="357"/>
      <c r="R9" s="146"/>
      <c r="S9" s="146"/>
      <c r="T9" s="146"/>
      <c r="U9" s="146"/>
      <c r="V9" s="7" t="s">
        <v>876</v>
      </c>
    </row>
    <row r="10" spans="1:41" ht="12.75" customHeight="1" x14ac:dyDescent="0.2">
      <c r="D10" s="751"/>
      <c r="G10" s="724" t="str">
        <f ca="1">IF(J10="-","-",IF($P$24&lt;J10,"Atrasada",IF($P$24&gt;J10,"Adiantada","Normal")))</f>
        <v>Normal</v>
      </c>
      <c r="H10" s="724"/>
      <c r="I10" s="358">
        <f>DATE(YEAR($L$35),MONTH($L$35),1)</f>
        <v>1</v>
      </c>
      <c r="J10" s="359">
        <f ca="1">IF($I$10&lt;DATE(YEAR(CRONO!$U$13),MONTH(CRONO!$U$13),1),0,IF($I$10&gt;OFFSET(CRONO!$AG$13,0,-1),1,INDEX(CRONO!$T$125:$AH$125,MATCH(RRE!$I$10,CRONO!$T$13:$AG$13,0))))</f>
        <v>0</v>
      </c>
      <c r="K10" s="355"/>
      <c r="L10" s="862"/>
      <c r="M10" s="360">
        <f ca="1">QCI!L10</f>
        <v>54387.580000000075</v>
      </c>
      <c r="N10" s="280">
        <f ca="1">QCI!M10</f>
        <v>0</v>
      </c>
      <c r="P10" s="357"/>
      <c r="R10" s="146"/>
      <c r="S10" s="146"/>
      <c r="T10" s="146"/>
      <c r="U10" s="146"/>
      <c r="AC10" s="863" t="s">
        <v>76</v>
      </c>
      <c r="AD10" s="863"/>
      <c r="AE10" s="863"/>
      <c r="AF10" s="863"/>
      <c r="AG10" s="863"/>
      <c r="AH10" s="863"/>
      <c r="AJ10" s="863" t="s">
        <v>78</v>
      </c>
      <c r="AK10" s="863"/>
      <c r="AL10" s="863"/>
      <c r="AM10" s="863"/>
      <c r="AN10" s="863"/>
      <c r="AO10" s="863"/>
    </row>
    <row r="11" spans="1:41" ht="20.100000000000001" customHeight="1" x14ac:dyDescent="0.2">
      <c r="D11" s="751"/>
      <c r="M11" s="451" t="str">
        <f>IF(CAIXA.Modo,"Valores Aferidos (R$)","Valores Medidos (R$)")</f>
        <v>Valores Medidos (R$)</v>
      </c>
      <c r="N11" s="451"/>
      <c r="O11" s="451"/>
      <c r="R11" s="361"/>
      <c r="S11" s="361"/>
      <c r="T11" s="451"/>
      <c r="U11" s="451"/>
      <c r="V11" s="448" t="s">
        <v>877</v>
      </c>
      <c r="Y11" s="864" t="str">
        <f>IF(CAIXA.Modo,"Valores Aferidos (R$)","Valores Medidos (R$)")</f>
        <v>Valores Medidos (R$)</v>
      </c>
      <c r="Z11" s="864"/>
      <c r="AC11" s="865" t="s">
        <v>878</v>
      </c>
      <c r="AD11" s="865"/>
      <c r="AE11" s="865"/>
      <c r="AF11" s="865" t="s">
        <v>879</v>
      </c>
      <c r="AG11" s="865"/>
      <c r="AH11" s="865"/>
      <c r="AJ11" s="865" t="s">
        <v>878</v>
      </c>
      <c r="AK11" s="865"/>
      <c r="AL11" s="865"/>
      <c r="AM11" s="865" t="s">
        <v>879</v>
      </c>
      <c r="AN11" s="865"/>
      <c r="AO11" s="865"/>
    </row>
    <row r="12" spans="1:41" ht="30" hidden="1" customHeight="1" x14ac:dyDescent="0.2">
      <c r="A12" t="e">
        <f ca="1">MATCH(E12,ORÇAMENTO!$E$15:$E$235,0)-1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f t="array" aca="1" ref="K12" ca="1">IF($C12="Automático",IF(ACOMPANHAMENTO="BM",BM.medicao,PLE.Medicao),IF(ISBLANK($X12),"",$X12))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2"/>
      <c r="Y12" s="287"/>
      <c r="Z12" s="288"/>
      <c r="AC12" s="183" t="e">
        <f t="array" aca="1" ref="AC12" ca="1">IF(ACOMPANHAMENTO&lt;&gt;"PLE",0,SUMPRODUCT((OFFSET(CÁLCULO!$BV$15:$CN$15,$A12,0,$B12)&lt;=(PLE.Medicao-1))*OFFSET(CÁLCULO!$AJ$15:$BB$15,$A12,0,$B12)*OFFSET(ORÇAMENTO!$AA$15,$A12,0,$B12)/(OFFSET(ORÇAMENTO!$X$15,$A12,0,$B12)+10^-12))+IF(AUTOEVENTO="Manual",SUMPRODUCT((OFFSET(CÁLCULO!$M$15,$A12,0,$B12)=1)*OFFSET(ORÇAMENTO!$AA$15,$A12,0,$B12)*(PLE!$AE$9-PLE!$Y$9)),0))</f>
        <v>#N/A</v>
      </c>
      <c r="AD12" s="183" t="e">
        <f t="array" aca="1" ref="AD12" ca="1">IF(ACOMPANHAMENTO&lt;&gt;"PLE",0,SUMPRODUCT((OFFSET(CÁLCULO!$BV$15:$CN$15,$A12,0,$B12)&lt;=(PLE.Medicao-1))*OFFSET(CÁLCULO!$AJ$15:$BB$15,$A12,0,$B12)*OFFSET(ORÇAMENTO!$AB$15,$A12,0,$B12)/(OFFSET(ORÇAMENTO!$X$15,$A12,0,$B12)+10^-12))+IF(AUTOEVENTO="Manual",SUMPRODUCT((OFFSET(CÁLCULO!$M$15,$A12,0,$B12)=1)*OFFSET(ORÇAMENTO!$AB$15,$A12,0,$B12)*(PLE!$AE$9-PLE!$Y$9)),0))</f>
        <v>#N/A</v>
      </c>
      <c r="AE12" s="183" t="e">
        <f ca="1">ROUND(
            IF(ACOMPANHAMENTO&lt;&gt;"PLE",0,
                      SUMIF(OFFSET(CÁLCULO!$BV$15:$CN$15,$A12,0,$B12),"&lt;="&amp;(PLE.Medicao-1),OFFSET(CÁLCULO!$AJ$15:$BB$15,$A12,0,$B12))
                      +IF(AdmLocal="Automática",
                              SUMIF(OFFSET(CÁLCULO!$M$15,$A12,0,$B12),1,OFFSET(ORÇAMENTO!$X$15,$A12,0,$B12))*(PLE!$AE$9-PLE!$Y$9),
                              0)),
            2)</f>
        <v>#N/A</v>
      </c>
      <c r="AF12" s="183" t="e">
        <f t="array" aca="1" ref="AF12" ca="1">IF(ACOMPANHAMENTO&lt;&gt;"PLE",0,SUMPRODUCT((OFFSET(CÁLCULO!$BV$15:$CN$15,$A12,0,$B12)&lt;=PLE.Medicao)*OFFSET(CÁLCULO!$AJ$15:$BB$15,$A12,0,$B12)*OFFSET(ORÇAMENTO!$AA$15,$A12,0,$B12)/(OFFSET(ORÇAMENTO!$X$15,$A12,0,$B12)+10^-12))+IF(AUTOEVENTO="Manual",SUMPRODUCT((OFFSET(CÁLCULO!$M$15,$A12,0,$B12)=1)*OFFSET(ORÇAMENTO!$AA$15,$A12,0,$B12)*PLE!$AE$9),0))</f>
        <v>#N/A</v>
      </c>
      <c r="AG12" s="183" t="e">
        <f t="array" aca="1" ref="AG12" ca="1">IF(ACOMPANHAMENTO&lt;&gt;"PLE",0,SUMPRODUCT((OFFSET(CÁLCULO!$BV$15:$CN$15,$A12,0,$B12)&lt;=PLE.Medicao)*OFFSET(CÁLCULO!$AJ$15:$BB$15,$A12,0,$B12)*OFFSET(ORÇAMENTO!$AB$15,$A12,0,$B12)/(OFFSET(ORÇAMENTO!$X$15,$A12,0,$B12)+10^-12))+IF(AUTOEVENTO="Manual",SUMPRODUCT((OFFSET(CÁLCULO!$M$15,$A12,0,$B12)=1)*OFFSET(ORÇAMENTO!$AB$15,$A12,0,$B12)*PLE!$AE$9),0))</f>
        <v>#N/A</v>
      </c>
      <c r="AH12" s="183" t="e">
        <f ca="1">ROUND(IF(ACOMPANHAMENTO&lt;&gt;"PLE",0,SUMIF(OFFSET(CÁLCULO!$BV$15:$CN$15,$A12,0,$B12),"&lt;="&amp;PLE.Medicao,OFFSET(CÁLCULO!$AJ$15:$BB$15,$A12,0,$B12))+IF(AdmLocal="Automática",SUMIF(OFFSET(CÁLCULO!$M$15,$A12,0,$B12),1,OFFSET(ORÇAMENTO!$X$15,$A12,0,$B12))*PLE!$AE$9,0)),2)</f>
        <v>#N/A</v>
      </c>
      <c r="AJ12" s="183">
        <f t="array" aca="1" ref="AJ12" ca="1">IF(ACOMPANHAMENTO&lt;&gt;"BM",0,SUMPRODUCT(OFFSET(BM!$M$15,$A12,0,$B12)*(OFFSET(BM!$A$15,$A12,0,$B12)="S")*OFFSET(ORÇAMENTO!AA$15,$A12,0,$B12)/(OFFSET(ORÇAMENTO!$X$15,$A12,0,$B12)+10^-12)))</f>
        <v>0</v>
      </c>
      <c r="AK12" s="183">
        <f t="array" aca="1" ref="AK12" ca="1">IF(ACOMPANHAMENTO&lt;&gt;"BM",0,SUMPRODUCT(OFFSET(BM!$M$15,$A12,0,$B12)*(OFFSET(BM!$A$15,$A12,0,$B12)="S")*OFFSET(ORÇAMENTO!AB$15,$A12,0,$B12)/(OFFSET(ORÇAMENTO!$X$15,$A12,0,$B12)+10^-12)))</f>
        <v>0</v>
      </c>
      <c r="AL12" s="183">
        <f ca="1">IF(ACOMPANHAMENTO&lt;&gt;"BM",0,OFFSET(BM!$M$15,$A12,0))</f>
        <v>0</v>
      </c>
      <c r="AM12" s="183">
        <f t="array" aca="1" ref="AM12" ca="1">IF(ACOMPANHAMENTO&lt;&gt;"BM",0,SUMPRODUCT(OFFSET(BM!$O$15,$A12,0,$B12)*(OFFSET(BM!$A$15,$A12,0,$B12)="S")*OFFSET(ORÇAMENTO!AA$15,$A12,0,$B12)/(OFFSET(ORÇAMENTO!$X$15,$A12,0,$B12)+10^-12)))</f>
        <v>0</v>
      </c>
      <c r="AN12" s="183">
        <f t="array" aca="1" ref="AN12" ca="1">IF(ACOMPANHAMENTO&lt;&gt;"BM",0,SUMPRODUCT(OFFSET(BM!$O$15,$A12,0,$B12)*(OFFSET(BM!$A$15,$A12,0,$B12)="S")*OFFSET(ORÇAMENTO!AB$15,$A12,0,$B12)/(OFFSET(ORÇAMENTO!$X$15,$A12,0,$B12)+10^-12)))</f>
        <v>0</v>
      </c>
      <c r="AO12" s="183">
        <f ca="1">IF(ACOMPANHAMENTO&lt;&gt;"BM",0,OFFSET(BM!$O$15,$A12,0))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3" t="s">
        <v>881</v>
      </c>
      <c r="L13" s="107" t="s">
        <v>882</v>
      </c>
      <c r="M13" s="643" t="s">
        <v>878</v>
      </c>
      <c r="N13" s="644" t="s">
        <v>883</v>
      </c>
      <c r="O13" s="291" t="s">
        <v>879</v>
      </c>
      <c r="P13" s="107" t="s">
        <v>884</v>
      </c>
      <c r="R13" s="368" t="s">
        <v>885</v>
      </c>
      <c r="S13" s="368" t="s">
        <v>886</v>
      </c>
      <c r="T13" s="368" t="s">
        <v>887</v>
      </c>
      <c r="U13" s="368" t="s">
        <v>888</v>
      </c>
      <c r="V13" s="450"/>
      <c r="X13" s="643"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s="696" customFormat="1" ht="30" customHeight="1" x14ac:dyDescent="0.2">
      <c r="A14" s="696">
        <f ca="1">MATCH(E14,ORÇAMENTO!$E$15:$E$235,0)-1</f>
        <v>1</v>
      </c>
      <c r="B14" s="696">
        <f ca="1">IF(ISERROR($A14),NA(),OFFSET(ORÇAMENTO!$D$15,$A14,0))</f>
        <v>219</v>
      </c>
      <c r="C14" s="696" t="str">
        <f ca="1">QCI!B14</f>
        <v>Automático</v>
      </c>
      <c r="D14" s="696" t="str">
        <f t="shared" ref="D14:D22" ca="1" si="0">IF(L14&gt;0,"F","")</f>
        <v>F</v>
      </c>
      <c r="E14" s="281">
        <f>QCI!D14</f>
        <v>1</v>
      </c>
      <c r="F14" s="362" t="str">
        <f ca="1">QCI!G14</f>
        <v>CONTRUÇÃO DE VINTE UNIDADES HABITACIONAIS</v>
      </c>
      <c r="G14" s="363" t="str">
        <f>QCI!H14</f>
        <v>Em Análise</v>
      </c>
      <c r="H14" s="282">
        <f>QCI!I14</f>
        <v>1</v>
      </c>
      <c r="I14" s="282" t="str">
        <f ca="1">QCI!J14</f>
        <v>un</v>
      </c>
      <c r="J14" s="364" t="str">
        <f ca="1">QCI!K14</f>
        <v>LOTE 1</v>
      </c>
      <c r="K14" s="365">
        <f t="array" aca="1" ref="K14" ca="1">IF($C14="Automático",IF(ACOMPANHAMENTO="BM",BM.medicao,PLE.Medicao),IF(ISBLANK($X14),"",$X14))</f>
        <v>1</v>
      </c>
      <c r="L14" s="286">
        <f ca="1">QCI!$O14</f>
        <v>2675612.42</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2"/>
      <c r="Y14" s="287"/>
      <c r="Z14" s="288"/>
      <c r="AC14" s="183">
        <f t="array" aca="1" ref="AC14" ca="1">IF(ACOMPANHAMENTO&lt;&gt;"PLE",0,SUMPRODUCT((OFFSET(CÁLCULO!$BV$15:$CN$15,$A14,0,$B14)&lt;=(PLE.Medicao-1))*OFFSET(CÁLCULO!$AJ$15:$BB$15,$A14,0,$B14)*OFFSET(ORÇAMENTO!$AA$15,$A14,0,$B14)/(OFFSET(ORÇAMENTO!$X$15,$A14,0,$B14)+10^-12))+IF(AUTOEVENTO="Manual",SUMPRODUCT((OFFSET(CÁLCULO!$M$15,$A14,0,$B14)=1)*OFFSET(ORÇAMENTO!$AA$15,$A14,0,$B14)*(PLE!$AE$9-PLE!$Y$9)),0))</f>
        <v>0</v>
      </c>
      <c r="AD14" s="183">
        <f t="array" aca="1" ref="AD14" ca="1">IF(ACOMPANHAMENTO&lt;&gt;"PLE",0,SUMPRODUCT((OFFSET(CÁLCULO!$BV$15:$CN$15,$A14,0,$B14)&lt;=(PLE.Medicao-1))*OFFSET(CÁLCULO!$AJ$15:$BB$15,$A14,0,$B14)*OFFSET(ORÇAMENTO!$AB$15,$A14,0,$B14)/(OFFSET(ORÇAMENTO!$X$15,$A14,0,$B14)+10^-12))+IF(AUTOEVENTO="Manual",SUMPRODUCT((OFFSET(CÁLCULO!$M$15,$A14,0,$B14)=1)*OFFSET(ORÇAMENTO!$AB$15,$A14,0,$B14)*(PLE!$AE$9-PLE!$Y$9)),0))</f>
        <v>0</v>
      </c>
      <c r="AE14" s="183">
        <f ca="1">ROUND(
            IF(ACOMPANHAMENTO&lt;&gt;"PLE",0,
                      SUMIF(OFFSET(CÁLCULO!$BV$15:$CN$15,$A14,0,$B14),"&lt;="&amp;(PLE.Medicao-1),OFFSET(CÁLCULO!$AJ$15:$BB$15,$A14,0,$B14))
                      +IF(AdmLocal="Automática",
                              SUMIF(OFFSET(CÁLCULO!$M$15,$A14,0,$B14),1,OFFSET(ORÇAMENTO!$X$15,$A14,0,$B14))*(PLE!$AE$9-PLE!$Y$9),
                              0)),
            2)</f>
        <v>0</v>
      </c>
      <c r="AF14" s="183">
        <f t="array" aca="1" ref="AF14" ca="1">IF(ACOMPANHAMENTO&lt;&gt;"PLE",0,SUMPRODUCT((OFFSET(CÁLCULO!$BV$15:$CN$15,$A14,0,$B14)&lt;=PLE.Medicao)*OFFSET(CÁLCULO!$AJ$15:$BB$15,$A14,0,$B14)*OFFSET(ORÇAMENTO!$AA$15,$A14,0,$B14)/(OFFSET(ORÇAMENTO!$X$15,$A14,0,$B14)+10^-12))+IF(AUTOEVENTO="Manual",SUMPRODUCT((OFFSET(CÁLCULO!$M$15,$A14,0,$B14)=1)*OFFSET(ORÇAMENTO!$AA$15,$A14,0,$B14)*PLE!$AE$9),0))</f>
        <v>0</v>
      </c>
      <c r="AG14" s="183">
        <f t="array" aca="1" ref="AG14" ca="1">IF(ACOMPANHAMENTO&lt;&gt;"PLE",0,SUMPRODUCT((OFFSET(CÁLCULO!$BV$15:$CN$15,$A14,0,$B14)&lt;=PLE.Medicao)*OFFSET(CÁLCULO!$AJ$15:$BB$15,$A14,0,$B14)*OFFSET(ORÇAMENTO!$AB$15,$A14,0,$B14)/(OFFSET(ORÇAMENTO!$X$15,$A14,0,$B14)+10^-12))+IF(AUTOEVENTO="Manual",SUMPRODUCT((OFFSET(CÁLCULO!$M$15,$A14,0,$B14)=1)*OFFSET(ORÇAMENTO!$AB$15,$A14,0,$B14)*PLE!$AE$9),0))</f>
        <v>0</v>
      </c>
      <c r="AH14" s="183">
        <f ca="1">ROUND(IF(ACOMPANHAMENTO&lt;&gt;"PLE",0,SUMIF(OFFSET(CÁLCULO!$BV$15:$CN$15,$A14,0,$B14),"&lt;="&amp;PLE.Medicao,OFFSET(CÁLCULO!$AJ$15:$BB$15,$A14,0,$B14))+IF(AdmLocal="Automática",SUMIF(OFFSET(CÁLCULO!$M$15,$A14,0,$B14),1,OFFSET(ORÇAMENTO!$X$15,$A14,0,$B14))*PLE!$AE$9,0)),2)</f>
        <v>0</v>
      </c>
      <c r="AJ14" s="183">
        <f t="array" aca="1" ref="AJ14" ca="1">IF(ACOMPANHAMENTO&lt;&gt;"BM",0,SUMPRODUCT(OFFSET(BM!$M$15,$A14,0,$B14)*(OFFSET(BM!$A$15,$A14,0,$B14)="S")*OFFSET(ORÇAMENTO!AA$15,$A14,0,$B14)/(OFFSET(ORÇAMENTO!$X$15,$A14,0,$B14)+10^-12)))</f>
        <v>0</v>
      </c>
      <c r="AK14" s="183">
        <f t="array" aca="1" ref="AK14" ca="1">IF(ACOMPANHAMENTO&lt;&gt;"BM",0,SUMPRODUCT(OFFSET(BM!$M$15,$A14,0,$B14)*(OFFSET(BM!$A$15,$A14,0,$B14)="S")*OFFSET(ORÇAMENTO!AB$15,$A14,0,$B14)/(OFFSET(ORÇAMENTO!$X$15,$A14,0,$B14)+10^-12)))</f>
        <v>0</v>
      </c>
      <c r="AL14" s="183">
        <f ca="1">IF(ACOMPANHAMENTO&lt;&gt;"BM",0,OFFSET(BM!$M$15,$A14,0))</f>
        <v>0</v>
      </c>
      <c r="AM14" s="183">
        <f t="array" aca="1" ref="AM14" ca="1">IF(ACOMPANHAMENTO&lt;&gt;"BM",0,SUMPRODUCT(OFFSET(BM!$O$15,$A14,0,$B14)*(OFFSET(BM!$A$15,$A14,0,$B14)="S")*OFFSET(ORÇAMENTO!AA$15,$A14,0,$B14)/(OFFSET(ORÇAMENTO!$X$15,$A14,0,$B14)+10^-12)))</f>
        <v>0</v>
      </c>
      <c r="AN14" s="183">
        <f t="array" aca="1" ref="AN14" ca="1">IF(ACOMPANHAMENTO&lt;&gt;"BM",0,SUMPRODUCT(OFFSET(BM!$O$15,$A14,0,$B14)*(OFFSET(BM!$A$15,$A14,0,$B14)="S")*OFFSET(ORÇAMENTO!AB$15,$A14,0,$B14)/(OFFSET(ORÇAMENTO!$X$15,$A14,0,$B14)+10^-12)))</f>
        <v>0</v>
      </c>
      <c r="AO14" s="183">
        <f ca="1">IF(ACOMPANHAMENTO&lt;&gt;"BM",0,OFFSET(BM!$O$15,$A14,0))</f>
        <v>0</v>
      </c>
    </row>
    <row r="15" spans="1:41" s="696" customFormat="1" ht="30" customHeight="1" x14ac:dyDescent="0.2">
      <c r="A15" s="696" t="e">
        <f ca="1">MATCH(E15,ORÇAMENTO!$E$15:$E$235,0)-1</f>
        <v>#N/A</v>
      </c>
      <c r="B15" s="696" t="e">
        <f ca="1">IF(ISERROR($A15),NA(),OFFSET(ORÇAMENTO!$D$15,$A15,0))</f>
        <v>#N/A</v>
      </c>
      <c r="C15" s="696" t="str">
        <f ca="1">QCI!B15</f>
        <v>Branco</v>
      </c>
      <c r="D15" s="696" t="str">
        <f t="shared" ca="1" si="0"/>
        <v/>
      </c>
      <c r="E15" s="281">
        <f>QCI!D15</f>
        <v>2</v>
      </c>
      <c r="F15" s="362" t="str">
        <f ca="1">QCI!G15</f>
        <v/>
      </c>
      <c r="G15" s="363">
        <f>QCI!H15</f>
        <v>0</v>
      </c>
      <c r="H15" s="282">
        <f>QCI!I15</f>
        <v>0</v>
      </c>
      <c r="I15" s="282" t="str">
        <f ca="1">QCI!J15</f>
        <v/>
      </c>
      <c r="J15" s="364" t="str">
        <f ca="1">QCI!K15</f>
        <v/>
      </c>
      <c r="K15" s="365" t="str">
        <f t="array" aca="1" ref="K15" ca="1">IF($C15="Automático",IF(ACOMPANHAMENTO="BM",BM.medicao,PLE.Medicao),IF(ISBLANK($X15),"",$X15))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2"/>
      <c r="Y15" s="287"/>
      <c r="Z15" s="288"/>
      <c r="AC15" s="183" t="e">
        <f t="array" aca="1" ref="AC15" ca="1">IF(ACOMPANHAMENTO&lt;&gt;"PLE",0,SUMPRODUCT((OFFSET(CÁLCULO!$BV$15:$CN$15,$A15,0,$B15)&lt;=(PLE.Medicao-1))*OFFSET(CÁLCULO!$AJ$15:$BB$15,$A15,0,$B15)*OFFSET(ORÇAMENTO!$AA$15,$A15,0,$B15)/(OFFSET(ORÇAMENTO!$X$15,$A15,0,$B15)+10^-12))+IF(AUTOEVENTO="Manual",SUMPRODUCT((OFFSET(CÁLCULO!$M$15,$A15,0,$B15)=1)*OFFSET(ORÇAMENTO!$AA$15,$A15,0,$B15)*(PLE!$AE$9-PLE!$Y$9)),0))</f>
        <v>#N/A</v>
      </c>
      <c r="AD15" s="183" t="e">
        <f t="array" aca="1" ref="AD15" ca="1">IF(ACOMPANHAMENTO&lt;&gt;"PLE",0,SUMPRODUCT((OFFSET(CÁLCULO!$BV$15:$CN$15,$A15,0,$B15)&lt;=(PLE.Medicao-1))*OFFSET(CÁLCULO!$AJ$15:$BB$15,$A15,0,$B15)*OFFSET(ORÇAMENTO!$AB$15,$A15,0,$B15)/(OFFSET(ORÇAMENTO!$X$15,$A15,0,$B15)+10^-12))+IF(AUTOEVENTO="Manual",SUMPRODUCT((OFFSET(CÁLCULO!$M$15,$A15,0,$B15)=1)*OFFSET(ORÇAMENTO!$AB$15,$A15,0,$B15)*(PLE!$AE$9-PLE!$Y$9)),0))</f>
        <v>#N/A</v>
      </c>
      <c r="AE15" s="183" t="e">
        <f ca="1">ROUND(
            IF(ACOMPANHAMENTO&lt;&gt;"PLE",0,
                      SUMIF(OFFSET(CÁLCULO!$BV$15:$CN$15,$A15,0,$B15),"&lt;="&amp;(PLE.Medicao-1),OFFSET(CÁLCULO!$AJ$15:$BB$15,$A15,0,$B15))
                      +IF(AdmLocal="Automática",
                              SUMIF(OFFSET(CÁLCULO!$M$15,$A15,0,$B15),1,OFFSET(ORÇAMENTO!$X$15,$A15,0,$B15))*(PLE!$AE$9-PLE!$Y$9),
                              0)),
            2)</f>
        <v>#N/A</v>
      </c>
      <c r="AF15" s="183" t="e">
        <f t="array" aca="1" ref="AF15" ca="1">IF(ACOMPANHAMENTO&lt;&gt;"PLE",0,SUMPRODUCT((OFFSET(CÁLCULO!$BV$15:$CN$15,$A15,0,$B15)&lt;=PLE.Medicao)*OFFSET(CÁLCULO!$AJ$15:$BB$15,$A15,0,$B15)*OFFSET(ORÇAMENTO!$AA$15,$A15,0,$B15)/(OFFSET(ORÇAMENTO!$X$15,$A15,0,$B15)+10^-12))+IF(AUTOEVENTO="Manual",SUMPRODUCT((OFFSET(CÁLCULO!$M$15,$A15,0,$B15)=1)*OFFSET(ORÇAMENTO!$AA$15,$A15,0,$B15)*PLE!$AE$9),0))</f>
        <v>#N/A</v>
      </c>
      <c r="AG15" s="183" t="e">
        <f t="array" aca="1" ref="AG15" ca="1">IF(ACOMPANHAMENTO&lt;&gt;"PLE",0,SUMPRODUCT((OFFSET(CÁLCULO!$BV$15:$CN$15,$A15,0,$B15)&lt;=PLE.Medicao)*OFFSET(CÁLCULO!$AJ$15:$BB$15,$A15,0,$B15)*OFFSET(ORÇAMENTO!$AB$15,$A15,0,$B15)/(OFFSET(ORÇAMENTO!$X$15,$A15,0,$B15)+10^-12))+IF(AUTOEVENTO="Manual",SUMPRODUCT((OFFSET(CÁLCULO!$M$15,$A15,0,$B15)=1)*OFFSET(ORÇAMENTO!$AB$15,$A15,0,$B15)*PLE!$AE$9),0))</f>
        <v>#N/A</v>
      </c>
      <c r="AH15" s="183" t="e">
        <f ca="1">ROUND(IF(ACOMPANHAMENTO&lt;&gt;"PLE",0,SUMIF(OFFSET(CÁLCULO!$BV$15:$CN$15,$A15,0,$B15),"&lt;="&amp;PLE.Medicao,OFFSET(CÁLCULO!$AJ$15:$BB$15,$A15,0,$B15))+IF(AdmLocal="Automática",SUMIF(OFFSET(CÁLCULO!$M$15,$A15,0,$B15),1,OFFSET(ORÇAMENTO!$X$15,$A15,0,$B15))*PLE!$AE$9,0)),2)</f>
        <v>#N/A</v>
      </c>
      <c r="AJ15" s="183">
        <f t="array" aca="1" ref="AJ15" ca="1">IF(ACOMPANHAMENTO&lt;&gt;"BM",0,SUMPRODUCT(OFFSET(BM!$M$15,$A15,0,$B15)*(OFFSET(BM!$A$15,$A15,0,$B15)="S")*OFFSET(ORÇAMENTO!AA$15,$A15,0,$B15)/(OFFSET(ORÇAMENTO!$X$15,$A15,0,$B15)+10^-12)))</f>
        <v>0</v>
      </c>
      <c r="AK15" s="183">
        <f t="array" aca="1" ref="AK15" ca="1">IF(ACOMPANHAMENTO&lt;&gt;"BM",0,SUMPRODUCT(OFFSET(BM!$M$15,$A15,0,$B15)*(OFFSET(BM!$A$15,$A15,0,$B15)="S")*OFFSET(ORÇAMENTO!AB$15,$A15,0,$B15)/(OFFSET(ORÇAMENTO!$X$15,$A15,0,$B15)+10^-12)))</f>
        <v>0</v>
      </c>
      <c r="AL15" s="183">
        <f ca="1">IF(ACOMPANHAMENTO&lt;&gt;"BM",0,OFFSET(BM!$M$15,$A15,0))</f>
        <v>0</v>
      </c>
      <c r="AM15" s="183">
        <f t="array" aca="1" ref="AM15" ca="1">IF(ACOMPANHAMENTO&lt;&gt;"BM",0,SUMPRODUCT(OFFSET(BM!$O$15,$A15,0,$B15)*(OFFSET(BM!$A$15,$A15,0,$B15)="S")*OFFSET(ORÇAMENTO!AA$15,$A15,0,$B15)/(OFFSET(ORÇAMENTO!$X$15,$A15,0,$B15)+10^-12)))</f>
        <v>0</v>
      </c>
      <c r="AN15" s="183">
        <f t="array" aca="1" ref="AN15" ca="1">IF(ACOMPANHAMENTO&lt;&gt;"BM",0,SUMPRODUCT(OFFSET(BM!$O$15,$A15,0,$B15)*(OFFSET(BM!$A$15,$A15,0,$B15)="S")*OFFSET(ORÇAMENTO!AB$15,$A15,0,$B15)/(OFFSET(ORÇAMENTO!$X$15,$A15,0,$B15)+10^-12)))</f>
        <v>0</v>
      </c>
      <c r="AO15" s="183">
        <f ca="1">IF(ACOMPANHAMENTO&lt;&gt;"BM",0,OFFSET(BM!$O$15,$A15,0))</f>
        <v>0</v>
      </c>
    </row>
    <row r="16" spans="1:41" s="696" customFormat="1" ht="30" customHeight="1" x14ac:dyDescent="0.2">
      <c r="A16" s="696" t="e">
        <f ca="1">MATCH(E16,ORÇAMENTO!$E$15:$E$235,0)-1</f>
        <v>#N/A</v>
      </c>
      <c r="B16" s="696" t="e">
        <f ca="1">IF(ISERROR($A16),NA(),OFFSET(ORÇAMENTO!$D$15,$A16,0))</f>
        <v>#N/A</v>
      </c>
      <c r="C16" s="696" t="str">
        <f ca="1">QCI!B16</f>
        <v>Branco</v>
      </c>
      <c r="D16" s="696" t="str">
        <f t="shared" ca="1" si="0"/>
        <v/>
      </c>
      <c r="E16" s="281">
        <f>QCI!D16</f>
        <v>3</v>
      </c>
      <c r="F16" s="362" t="str">
        <f ca="1">QCI!G16</f>
        <v/>
      </c>
      <c r="G16" s="363">
        <f>QCI!H16</f>
        <v>0</v>
      </c>
      <c r="H16" s="282">
        <f>QCI!I16</f>
        <v>0</v>
      </c>
      <c r="I16" s="282" t="str">
        <f ca="1">QCI!J16</f>
        <v/>
      </c>
      <c r="J16" s="364" t="str">
        <f ca="1">QCI!K16</f>
        <v/>
      </c>
      <c r="K16" s="365" t="str">
        <f t="array" aca="1" ref="K16" ca="1">IF($C16="Automático",IF(ACOMPANHAMENTO="BM",BM.medicao,PLE.Medicao),IF(ISBLANK($X16),"",$X16))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2"/>
      <c r="Y16" s="287"/>
      <c r="Z16" s="288"/>
      <c r="AC16" s="183" t="e">
        <f t="array" aca="1" ref="AC16" ca="1">IF(ACOMPANHAMENTO&lt;&gt;"PLE",0,SUMPRODUCT((OFFSET(CÁLCULO!$BV$15:$CN$15,$A16,0,$B16)&lt;=(PLE.Medicao-1))*OFFSET(CÁLCULO!$AJ$15:$BB$15,$A16,0,$B16)*OFFSET(ORÇAMENTO!$AA$15,$A16,0,$B16)/(OFFSET(ORÇAMENTO!$X$15,$A16,0,$B16)+10^-12))+IF(AUTOEVENTO="Manual",SUMPRODUCT((OFFSET(CÁLCULO!$M$15,$A16,0,$B16)=1)*OFFSET(ORÇAMENTO!$AA$15,$A16,0,$B16)*(PLE!$AE$9-PLE!$Y$9)),0))</f>
        <v>#N/A</v>
      </c>
      <c r="AD16" s="183" t="e">
        <f t="array" aca="1" ref="AD16" ca="1">IF(ACOMPANHAMENTO&lt;&gt;"PLE",0,SUMPRODUCT((OFFSET(CÁLCULO!$BV$15:$CN$15,$A16,0,$B16)&lt;=(PLE.Medicao-1))*OFFSET(CÁLCULO!$AJ$15:$BB$15,$A16,0,$B16)*OFFSET(ORÇAMENTO!$AB$15,$A16,0,$B16)/(OFFSET(ORÇAMENTO!$X$15,$A16,0,$B16)+10^-12))+IF(AUTOEVENTO="Manual",SUMPRODUCT((OFFSET(CÁLCULO!$M$15,$A16,0,$B16)=1)*OFFSET(ORÇAMENTO!$AB$15,$A16,0,$B16)*(PLE!$AE$9-PLE!$Y$9)),0))</f>
        <v>#N/A</v>
      </c>
      <c r="AE16" s="183" t="e">
        <f ca="1">ROUND(
            IF(ACOMPANHAMENTO&lt;&gt;"PLE",0,
                      SUMIF(OFFSET(CÁLCULO!$BV$15:$CN$15,$A16,0,$B16),"&lt;="&amp;(PLE.Medicao-1),OFFSET(CÁLCULO!$AJ$15:$BB$15,$A16,0,$B16))
                      +IF(AdmLocal="Automática",
                              SUMIF(OFFSET(CÁLCULO!$M$15,$A16,0,$B16),1,OFFSET(ORÇAMENTO!$X$15,$A16,0,$B16))*(PLE!$AE$9-PLE!$Y$9),
                              0)),
            2)</f>
        <v>#N/A</v>
      </c>
      <c r="AF16" s="183" t="e">
        <f t="array" aca="1" ref="AF16" ca="1">IF(ACOMPANHAMENTO&lt;&gt;"PLE",0,SUMPRODUCT((OFFSET(CÁLCULO!$BV$15:$CN$15,$A16,0,$B16)&lt;=PLE.Medicao)*OFFSET(CÁLCULO!$AJ$15:$BB$15,$A16,0,$B16)*OFFSET(ORÇAMENTO!$AA$15,$A16,0,$B16)/(OFFSET(ORÇAMENTO!$X$15,$A16,0,$B16)+10^-12))+IF(AUTOEVENTO="Manual",SUMPRODUCT((OFFSET(CÁLCULO!$M$15,$A16,0,$B16)=1)*OFFSET(ORÇAMENTO!$AA$15,$A16,0,$B16)*PLE!$AE$9),0))</f>
        <v>#N/A</v>
      </c>
      <c r="AG16" s="183" t="e">
        <f t="array" aca="1" ref="AG16" ca="1">IF(ACOMPANHAMENTO&lt;&gt;"PLE",0,SUMPRODUCT((OFFSET(CÁLCULO!$BV$15:$CN$15,$A16,0,$B16)&lt;=PLE.Medicao)*OFFSET(CÁLCULO!$AJ$15:$BB$15,$A16,0,$B16)*OFFSET(ORÇAMENTO!$AB$15,$A16,0,$B16)/(OFFSET(ORÇAMENTO!$X$15,$A16,0,$B16)+10^-12))+IF(AUTOEVENTO="Manual",SUMPRODUCT((OFFSET(CÁLCULO!$M$15,$A16,0,$B16)=1)*OFFSET(ORÇAMENTO!$AB$15,$A16,0,$B16)*PLE!$AE$9),0))</f>
        <v>#N/A</v>
      </c>
      <c r="AH16" s="183" t="e">
        <f ca="1">ROUND(IF(ACOMPANHAMENTO&lt;&gt;"PLE",0,SUMIF(OFFSET(CÁLCULO!$BV$15:$CN$15,$A16,0,$B16),"&lt;="&amp;PLE.Medicao,OFFSET(CÁLCULO!$AJ$15:$BB$15,$A16,0,$B16))+IF(AdmLocal="Automática",SUMIF(OFFSET(CÁLCULO!$M$15,$A16,0,$B16),1,OFFSET(ORÇAMENTO!$X$15,$A16,0,$B16))*PLE!$AE$9,0)),2)</f>
        <v>#N/A</v>
      </c>
      <c r="AJ16" s="183">
        <f t="array" aca="1" ref="AJ16" ca="1">IF(ACOMPANHAMENTO&lt;&gt;"BM",0,SUMPRODUCT(OFFSET(BM!$M$15,$A16,0,$B16)*(OFFSET(BM!$A$15,$A16,0,$B16)="S")*OFFSET(ORÇAMENTO!AA$15,$A16,0,$B16)/(OFFSET(ORÇAMENTO!$X$15,$A16,0,$B16)+10^-12)))</f>
        <v>0</v>
      </c>
      <c r="AK16" s="183">
        <f t="array" aca="1" ref="AK16" ca="1">IF(ACOMPANHAMENTO&lt;&gt;"BM",0,SUMPRODUCT(OFFSET(BM!$M$15,$A16,0,$B16)*(OFFSET(BM!$A$15,$A16,0,$B16)="S")*OFFSET(ORÇAMENTO!AB$15,$A16,0,$B16)/(OFFSET(ORÇAMENTO!$X$15,$A16,0,$B16)+10^-12)))</f>
        <v>0</v>
      </c>
      <c r="AL16" s="183">
        <f ca="1">IF(ACOMPANHAMENTO&lt;&gt;"BM",0,OFFSET(BM!$M$15,$A16,0))</f>
        <v>0</v>
      </c>
      <c r="AM16" s="183">
        <f t="array" aca="1" ref="AM16" ca="1">IF(ACOMPANHAMENTO&lt;&gt;"BM",0,SUMPRODUCT(OFFSET(BM!$O$15,$A16,0,$B16)*(OFFSET(BM!$A$15,$A16,0,$B16)="S")*OFFSET(ORÇAMENTO!AA$15,$A16,0,$B16)/(OFFSET(ORÇAMENTO!$X$15,$A16,0,$B16)+10^-12)))</f>
        <v>0</v>
      </c>
      <c r="AN16" s="183">
        <f t="array" aca="1" ref="AN16" ca="1">IF(ACOMPANHAMENTO&lt;&gt;"BM",0,SUMPRODUCT(OFFSET(BM!$O$15,$A16,0,$B16)*(OFFSET(BM!$A$15,$A16,0,$B16)="S")*OFFSET(ORÇAMENTO!AB$15,$A16,0,$B16)/(OFFSET(ORÇAMENTO!$X$15,$A16,0,$B16)+10^-12)))</f>
        <v>0</v>
      </c>
      <c r="AO16" s="183">
        <f ca="1">IF(ACOMPANHAMENTO&lt;&gt;"BM",0,OFFSET(BM!$O$15,$A16,0))</f>
        <v>0</v>
      </c>
    </row>
    <row r="17" spans="1:41" s="696" customFormat="1" ht="30" customHeight="1" x14ac:dyDescent="0.2">
      <c r="A17" s="696" t="e">
        <f ca="1">MATCH(E17,ORÇAMENTO!$E$15:$E$235,0)-1</f>
        <v>#N/A</v>
      </c>
      <c r="B17" s="696" t="e">
        <f ca="1">IF(ISERROR($A17),NA(),OFFSET(ORÇAMENTO!$D$15,$A17,0))</f>
        <v>#N/A</v>
      </c>
      <c r="C17" s="696" t="str">
        <f ca="1">QCI!B17</f>
        <v>Branco</v>
      </c>
      <c r="D17" s="696" t="str">
        <f t="shared" ca="1" si="0"/>
        <v/>
      </c>
      <c r="E17" s="281">
        <f>QCI!D17</f>
        <v>4</v>
      </c>
      <c r="F17" s="362" t="str">
        <f ca="1">QCI!G17</f>
        <v/>
      </c>
      <c r="G17" s="363">
        <f>QCI!H17</f>
        <v>0</v>
      </c>
      <c r="H17" s="282">
        <f>QCI!I17</f>
        <v>0</v>
      </c>
      <c r="I17" s="282" t="str">
        <f ca="1">QCI!J17</f>
        <v/>
      </c>
      <c r="J17" s="364" t="str">
        <f ca="1">QCI!K17</f>
        <v/>
      </c>
      <c r="K17" s="365" t="str">
        <f t="array" aca="1" ref="K17" ca="1">IF($C17="Automático",IF(ACOMPANHAMENTO="BM",BM.medicao,PLE.Medicao),IF(ISBLANK($X17),"",$X17))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2"/>
      <c r="Y17" s="287"/>
      <c r="Z17" s="288"/>
      <c r="AC17" s="183" t="e">
        <f t="array" aca="1" ref="AC17" ca="1">IF(ACOMPANHAMENTO&lt;&gt;"PLE",0,SUMPRODUCT((OFFSET(CÁLCULO!$BV$15:$CN$15,$A17,0,$B17)&lt;=(PLE.Medicao-1))*OFFSET(CÁLCULO!$AJ$15:$BB$15,$A17,0,$B17)*OFFSET(ORÇAMENTO!$AA$15,$A17,0,$B17)/(OFFSET(ORÇAMENTO!$X$15,$A17,0,$B17)+10^-12))+IF(AUTOEVENTO="Manual",SUMPRODUCT((OFFSET(CÁLCULO!$M$15,$A17,0,$B17)=1)*OFFSET(ORÇAMENTO!$AA$15,$A17,0,$B17)*(PLE!$AE$9-PLE!$Y$9)),0))</f>
        <v>#N/A</v>
      </c>
      <c r="AD17" s="183" t="e">
        <f t="array" aca="1" ref="AD17" ca="1">IF(ACOMPANHAMENTO&lt;&gt;"PLE",0,SUMPRODUCT((OFFSET(CÁLCULO!$BV$15:$CN$15,$A17,0,$B17)&lt;=(PLE.Medicao-1))*OFFSET(CÁLCULO!$AJ$15:$BB$15,$A17,0,$B17)*OFFSET(ORÇAMENTO!$AB$15,$A17,0,$B17)/(OFFSET(ORÇAMENTO!$X$15,$A17,0,$B17)+10^-12))+IF(AUTOEVENTO="Manual",SUMPRODUCT((OFFSET(CÁLCULO!$M$15,$A17,0,$B17)=1)*OFFSET(ORÇAMENTO!$AB$15,$A17,0,$B17)*(PLE!$AE$9-PLE!$Y$9)),0))</f>
        <v>#N/A</v>
      </c>
      <c r="AE17" s="183" t="e">
        <f ca="1">ROUND(
            IF(ACOMPANHAMENTO&lt;&gt;"PLE",0,
                      SUMIF(OFFSET(CÁLCULO!$BV$15:$CN$15,$A17,0,$B17),"&lt;="&amp;(PLE.Medicao-1),OFFSET(CÁLCULO!$AJ$15:$BB$15,$A17,0,$B17))
                      +IF(AdmLocal="Automática",
                              SUMIF(OFFSET(CÁLCULO!$M$15,$A17,0,$B17),1,OFFSET(ORÇAMENTO!$X$15,$A17,0,$B17))*(PLE!$AE$9-PLE!$Y$9),
                              0)),
            2)</f>
        <v>#N/A</v>
      </c>
      <c r="AF17" s="183" t="e">
        <f t="array" aca="1" ref="AF17" ca="1">IF(ACOMPANHAMENTO&lt;&gt;"PLE",0,SUMPRODUCT((OFFSET(CÁLCULO!$BV$15:$CN$15,$A17,0,$B17)&lt;=PLE.Medicao)*OFFSET(CÁLCULO!$AJ$15:$BB$15,$A17,0,$B17)*OFFSET(ORÇAMENTO!$AA$15,$A17,0,$B17)/(OFFSET(ORÇAMENTO!$X$15,$A17,0,$B17)+10^-12))+IF(AUTOEVENTO="Manual",SUMPRODUCT((OFFSET(CÁLCULO!$M$15,$A17,0,$B17)=1)*OFFSET(ORÇAMENTO!$AA$15,$A17,0,$B17)*PLE!$AE$9),0))</f>
        <v>#N/A</v>
      </c>
      <c r="AG17" s="183" t="e">
        <f t="array" aca="1" ref="AG17" ca="1">IF(ACOMPANHAMENTO&lt;&gt;"PLE",0,SUMPRODUCT((OFFSET(CÁLCULO!$BV$15:$CN$15,$A17,0,$B17)&lt;=PLE.Medicao)*OFFSET(CÁLCULO!$AJ$15:$BB$15,$A17,0,$B17)*OFFSET(ORÇAMENTO!$AB$15,$A17,0,$B17)/(OFFSET(ORÇAMENTO!$X$15,$A17,0,$B17)+10^-12))+IF(AUTOEVENTO="Manual",SUMPRODUCT((OFFSET(CÁLCULO!$M$15,$A17,0,$B17)=1)*OFFSET(ORÇAMENTO!$AB$15,$A17,0,$B17)*PLE!$AE$9),0))</f>
        <v>#N/A</v>
      </c>
      <c r="AH17" s="183" t="e">
        <f ca="1">ROUND(IF(ACOMPANHAMENTO&lt;&gt;"PLE",0,SUMIF(OFFSET(CÁLCULO!$BV$15:$CN$15,$A17,0,$B17),"&lt;="&amp;PLE.Medicao,OFFSET(CÁLCULO!$AJ$15:$BB$15,$A17,0,$B17))+IF(AdmLocal="Automática",SUMIF(OFFSET(CÁLCULO!$M$15,$A17,0,$B17),1,OFFSET(ORÇAMENTO!$X$15,$A17,0,$B17))*PLE!$AE$9,0)),2)</f>
        <v>#N/A</v>
      </c>
      <c r="AJ17" s="183">
        <f t="array" aca="1" ref="AJ17" ca="1">IF(ACOMPANHAMENTO&lt;&gt;"BM",0,SUMPRODUCT(OFFSET(BM!$M$15,$A17,0,$B17)*(OFFSET(BM!$A$15,$A17,0,$B17)="S")*OFFSET(ORÇAMENTO!AA$15,$A17,0,$B17)/(OFFSET(ORÇAMENTO!$X$15,$A17,0,$B17)+10^-12)))</f>
        <v>0</v>
      </c>
      <c r="AK17" s="183">
        <f t="array" aca="1" ref="AK17" ca="1">IF(ACOMPANHAMENTO&lt;&gt;"BM",0,SUMPRODUCT(OFFSET(BM!$M$15,$A17,0,$B17)*(OFFSET(BM!$A$15,$A17,0,$B17)="S")*OFFSET(ORÇAMENTO!AB$15,$A17,0,$B17)/(OFFSET(ORÇAMENTO!$X$15,$A17,0,$B17)+10^-12)))</f>
        <v>0</v>
      </c>
      <c r="AL17" s="183">
        <f ca="1">IF(ACOMPANHAMENTO&lt;&gt;"BM",0,OFFSET(BM!$M$15,$A17,0))</f>
        <v>0</v>
      </c>
      <c r="AM17" s="183">
        <f t="array" aca="1" ref="AM17" ca="1">IF(ACOMPANHAMENTO&lt;&gt;"BM",0,SUMPRODUCT(OFFSET(BM!$O$15,$A17,0,$B17)*(OFFSET(BM!$A$15,$A17,0,$B17)="S")*OFFSET(ORÇAMENTO!AA$15,$A17,0,$B17)/(OFFSET(ORÇAMENTO!$X$15,$A17,0,$B17)+10^-12)))</f>
        <v>0</v>
      </c>
      <c r="AN17" s="183">
        <f t="array" aca="1" ref="AN17" ca="1">IF(ACOMPANHAMENTO&lt;&gt;"BM",0,SUMPRODUCT(OFFSET(BM!$O$15,$A17,0,$B17)*(OFFSET(BM!$A$15,$A17,0,$B17)="S")*OFFSET(ORÇAMENTO!AB$15,$A17,0,$B17)/(OFFSET(ORÇAMENTO!$X$15,$A17,0,$B17)+10^-12)))</f>
        <v>0</v>
      </c>
      <c r="AO17" s="183">
        <f ca="1">IF(ACOMPANHAMENTO&lt;&gt;"BM",0,OFFSET(BM!$O$15,$A17,0))</f>
        <v>0</v>
      </c>
    </row>
    <row r="18" spans="1:41" s="696" customFormat="1" ht="30" customHeight="1" x14ac:dyDescent="0.2">
      <c r="A18" s="696" t="e">
        <f ca="1">MATCH(E18,ORÇAMENTO!$E$15:$E$235,0)-1</f>
        <v>#N/A</v>
      </c>
      <c r="B18" s="696" t="e">
        <f ca="1">IF(ISERROR($A18),NA(),OFFSET(ORÇAMENTO!$D$15,$A18,0))</f>
        <v>#N/A</v>
      </c>
      <c r="C18" s="696" t="str">
        <f ca="1">QCI!B18</f>
        <v>Branco</v>
      </c>
      <c r="D18" s="696" t="str">
        <f t="shared" ca="1" si="0"/>
        <v/>
      </c>
      <c r="E18" s="281">
        <f>QCI!D18</f>
        <v>5</v>
      </c>
      <c r="F18" s="362" t="str">
        <f ca="1">QCI!G18</f>
        <v/>
      </c>
      <c r="G18" s="363">
        <f>QCI!H18</f>
        <v>0</v>
      </c>
      <c r="H18" s="282">
        <f>QCI!I18</f>
        <v>0</v>
      </c>
      <c r="I18" s="282" t="str">
        <f ca="1">QCI!J18</f>
        <v/>
      </c>
      <c r="J18" s="364" t="str">
        <f ca="1">QCI!K18</f>
        <v/>
      </c>
      <c r="K18" s="365" t="str">
        <f t="array" aca="1" ref="K18" ca="1">IF($C18="Automático",IF(ACOMPANHAMENTO="BM",BM.medicao,PLE.Medicao),IF(ISBLANK($X18),"",$X18))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2"/>
      <c r="Y18" s="287"/>
      <c r="Z18" s="288"/>
      <c r="AC18" s="183" t="e">
        <f t="array" aca="1" ref="AC18" ca="1">IF(ACOMPANHAMENTO&lt;&gt;"PLE",0,SUMPRODUCT((OFFSET(CÁLCULO!$BV$15:$CN$15,$A18,0,$B18)&lt;=(PLE.Medicao-1))*OFFSET(CÁLCULO!$AJ$15:$BB$15,$A18,0,$B18)*OFFSET(ORÇAMENTO!$AA$15,$A18,0,$B18)/(OFFSET(ORÇAMENTO!$X$15,$A18,0,$B18)+10^-12))+IF(AUTOEVENTO="Manual",SUMPRODUCT((OFFSET(CÁLCULO!$M$15,$A18,0,$B18)=1)*OFFSET(ORÇAMENTO!$AA$15,$A18,0,$B18)*(PLE!$AE$9-PLE!$Y$9)),0))</f>
        <v>#N/A</v>
      </c>
      <c r="AD18" s="183" t="e">
        <f t="array" aca="1" ref="AD18" ca="1">IF(ACOMPANHAMENTO&lt;&gt;"PLE",0,SUMPRODUCT((OFFSET(CÁLCULO!$BV$15:$CN$15,$A18,0,$B18)&lt;=(PLE.Medicao-1))*OFFSET(CÁLCULO!$AJ$15:$BB$15,$A18,0,$B18)*OFFSET(ORÇAMENTO!$AB$15,$A18,0,$B18)/(OFFSET(ORÇAMENTO!$X$15,$A18,0,$B18)+10^-12))+IF(AUTOEVENTO="Manual",SUMPRODUCT((OFFSET(CÁLCULO!$M$15,$A18,0,$B18)=1)*OFFSET(ORÇAMENTO!$AB$15,$A18,0,$B18)*(PLE!$AE$9-PLE!$Y$9)),0))</f>
        <v>#N/A</v>
      </c>
      <c r="AE18" s="183" t="e">
        <f ca="1">ROUND(
            IF(ACOMPANHAMENTO&lt;&gt;"PLE",0,
                      SUMIF(OFFSET(CÁLCULO!$BV$15:$CN$15,$A18,0,$B18),"&lt;="&amp;(PLE.Medicao-1),OFFSET(CÁLCULO!$AJ$15:$BB$15,$A18,0,$B18))
                      +IF(AdmLocal="Automática",
                              SUMIF(OFFSET(CÁLCULO!$M$15,$A18,0,$B18),1,OFFSET(ORÇAMENTO!$X$15,$A18,0,$B18))*(PLE!$AE$9-PLE!$Y$9),
                              0)),
            2)</f>
        <v>#N/A</v>
      </c>
      <c r="AF18" s="183" t="e">
        <f t="array" aca="1" ref="AF18" ca="1">IF(ACOMPANHAMENTO&lt;&gt;"PLE",0,SUMPRODUCT((OFFSET(CÁLCULO!$BV$15:$CN$15,$A18,0,$B18)&lt;=PLE.Medicao)*OFFSET(CÁLCULO!$AJ$15:$BB$15,$A18,0,$B18)*OFFSET(ORÇAMENTO!$AA$15,$A18,0,$B18)/(OFFSET(ORÇAMENTO!$X$15,$A18,0,$B18)+10^-12))+IF(AUTOEVENTO="Manual",SUMPRODUCT((OFFSET(CÁLCULO!$M$15,$A18,0,$B18)=1)*OFFSET(ORÇAMENTO!$AA$15,$A18,0,$B18)*PLE!$AE$9),0))</f>
        <v>#N/A</v>
      </c>
      <c r="AG18" s="183" t="e">
        <f t="array" aca="1" ref="AG18" ca="1">IF(ACOMPANHAMENTO&lt;&gt;"PLE",0,SUMPRODUCT((OFFSET(CÁLCULO!$BV$15:$CN$15,$A18,0,$B18)&lt;=PLE.Medicao)*OFFSET(CÁLCULO!$AJ$15:$BB$15,$A18,0,$B18)*OFFSET(ORÇAMENTO!$AB$15,$A18,0,$B18)/(OFFSET(ORÇAMENTO!$X$15,$A18,0,$B18)+10^-12))+IF(AUTOEVENTO="Manual",SUMPRODUCT((OFFSET(CÁLCULO!$M$15,$A18,0,$B18)=1)*OFFSET(ORÇAMENTO!$AB$15,$A18,0,$B18)*PLE!$AE$9),0))</f>
        <v>#N/A</v>
      </c>
      <c r="AH18" s="183" t="e">
        <f ca="1">ROUND(IF(ACOMPANHAMENTO&lt;&gt;"PLE",0,SUMIF(OFFSET(CÁLCULO!$BV$15:$CN$15,$A18,0,$B18),"&lt;="&amp;PLE.Medicao,OFFSET(CÁLCULO!$AJ$15:$BB$15,$A18,0,$B18))+IF(AdmLocal="Automática",SUMIF(OFFSET(CÁLCULO!$M$15,$A18,0,$B18),1,OFFSET(ORÇAMENTO!$X$15,$A18,0,$B18))*PLE!$AE$9,0)),2)</f>
        <v>#N/A</v>
      </c>
      <c r="AJ18" s="183">
        <f t="array" aca="1" ref="AJ18" ca="1">IF(ACOMPANHAMENTO&lt;&gt;"BM",0,SUMPRODUCT(OFFSET(BM!$M$15,$A18,0,$B18)*(OFFSET(BM!$A$15,$A18,0,$B18)="S")*OFFSET(ORÇAMENTO!AA$15,$A18,0,$B18)/(OFFSET(ORÇAMENTO!$X$15,$A18,0,$B18)+10^-12)))</f>
        <v>0</v>
      </c>
      <c r="AK18" s="183">
        <f t="array" aca="1" ref="AK18" ca="1">IF(ACOMPANHAMENTO&lt;&gt;"BM",0,SUMPRODUCT(OFFSET(BM!$M$15,$A18,0,$B18)*(OFFSET(BM!$A$15,$A18,0,$B18)="S")*OFFSET(ORÇAMENTO!AB$15,$A18,0,$B18)/(OFFSET(ORÇAMENTO!$X$15,$A18,0,$B18)+10^-12)))</f>
        <v>0</v>
      </c>
      <c r="AL18" s="183">
        <f ca="1">IF(ACOMPANHAMENTO&lt;&gt;"BM",0,OFFSET(BM!$M$15,$A18,0))</f>
        <v>0</v>
      </c>
      <c r="AM18" s="183">
        <f t="array" aca="1" ref="AM18" ca="1">IF(ACOMPANHAMENTO&lt;&gt;"BM",0,SUMPRODUCT(OFFSET(BM!$O$15,$A18,0,$B18)*(OFFSET(BM!$A$15,$A18,0,$B18)="S")*OFFSET(ORÇAMENTO!AA$15,$A18,0,$B18)/(OFFSET(ORÇAMENTO!$X$15,$A18,0,$B18)+10^-12)))</f>
        <v>0</v>
      </c>
      <c r="AN18" s="183">
        <f t="array" aca="1" ref="AN18" ca="1">IF(ACOMPANHAMENTO&lt;&gt;"BM",0,SUMPRODUCT(OFFSET(BM!$O$15,$A18,0,$B18)*(OFFSET(BM!$A$15,$A18,0,$B18)="S")*OFFSET(ORÇAMENTO!AB$15,$A18,0,$B18)/(OFFSET(ORÇAMENTO!$X$15,$A18,0,$B18)+10^-12)))</f>
        <v>0</v>
      </c>
      <c r="AO18" s="183">
        <f ca="1">IF(ACOMPANHAMENTO&lt;&gt;"BM",0,OFFSET(BM!$O$15,$A18,0))</f>
        <v>0</v>
      </c>
    </row>
    <row r="19" spans="1:41" s="696" customFormat="1" ht="30" customHeight="1" x14ac:dyDescent="0.2">
      <c r="A19" s="696" t="e">
        <f ca="1">MATCH(E19,ORÇAMENTO!$E$15:$E$235,0)-1</f>
        <v>#N/A</v>
      </c>
      <c r="B19" s="696" t="e">
        <f ca="1">IF(ISERROR($A19),NA(),OFFSET(ORÇAMENTO!$D$15,$A19,0))</f>
        <v>#N/A</v>
      </c>
      <c r="C19" s="696" t="str">
        <f ca="1">QCI!B19</f>
        <v>Branco</v>
      </c>
      <c r="D19" s="696" t="str">
        <f t="shared" ca="1" si="0"/>
        <v/>
      </c>
      <c r="E19" s="281">
        <f>QCI!D19</f>
        <v>6</v>
      </c>
      <c r="F19" s="362" t="str">
        <f ca="1">QCI!G19</f>
        <v/>
      </c>
      <c r="G19" s="363">
        <f>QCI!H19</f>
        <v>0</v>
      </c>
      <c r="H19" s="282">
        <f>QCI!I19</f>
        <v>0</v>
      </c>
      <c r="I19" s="282" t="str">
        <f ca="1">QCI!J19</f>
        <v/>
      </c>
      <c r="J19" s="364" t="str">
        <f ca="1">QCI!K19</f>
        <v/>
      </c>
      <c r="K19" s="365" t="str">
        <f t="array" aca="1" ref="K19" ca="1">IF($C19="Automático",IF(ACOMPANHAMENTO="BM",BM.medicao,PLE.Medicao),IF(ISBLANK($X19),"",$X19))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2"/>
      <c r="Y19" s="287"/>
      <c r="Z19" s="288"/>
      <c r="AC19" s="183" t="e">
        <f t="array" aca="1" ref="AC19" ca="1">IF(ACOMPANHAMENTO&lt;&gt;"PLE",0,SUMPRODUCT((OFFSET(CÁLCULO!$BV$15:$CN$15,$A19,0,$B19)&lt;=(PLE.Medicao-1))*OFFSET(CÁLCULO!$AJ$15:$BB$15,$A19,0,$B19)*OFFSET(ORÇAMENTO!$AA$15,$A19,0,$B19)/(OFFSET(ORÇAMENTO!$X$15,$A19,0,$B19)+10^-12))+IF(AUTOEVENTO="Manual",SUMPRODUCT((OFFSET(CÁLCULO!$M$15,$A19,0,$B19)=1)*OFFSET(ORÇAMENTO!$AA$15,$A19,0,$B19)*(PLE!$AE$9-PLE!$Y$9)),0))</f>
        <v>#N/A</v>
      </c>
      <c r="AD19" s="183" t="e">
        <f t="array" aca="1" ref="AD19" ca="1">IF(ACOMPANHAMENTO&lt;&gt;"PLE",0,SUMPRODUCT((OFFSET(CÁLCULO!$BV$15:$CN$15,$A19,0,$B19)&lt;=(PLE.Medicao-1))*OFFSET(CÁLCULO!$AJ$15:$BB$15,$A19,0,$B19)*OFFSET(ORÇAMENTO!$AB$15,$A19,0,$B19)/(OFFSET(ORÇAMENTO!$X$15,$A19,0,$B19)+10^-12))+IF(AUTOEVENTO="Manual",SUMPRODUCT((OFFSET(CÁLCULO!$M$15,$A19,0,$B19)=1)*OFFSET(ORÇAMENTO!$AB$15,$A19,0,$B19)*(PLE!$AE$9-PLE!$Y$9)),0))</f>
        <v>#N/A</v>
      </c>
      <c r="AE19" s="183" t="e">
        <f ca="1">ROUND(
            IF(ACOMPANHAMENTO&lt;&gt;"PLE",0,
                      SUMIF(OFFSET(CÁLCULO!$BV$15:$CN$15,$A19,0,$B19),"&lt;="&amp;(PLE.Medicao-1),OFFSET(CÁLCULO!$AJ$15:$BB$15,$A19,0,$B19))
                      +IF(AdmLocal="Automática",
                              SUMIF(OFFSET(CÁLCULO!$M$15,$A19,0,$B19),1,OFFSET(ORÇAMENTO!$X$15,$A19,0,$B19))*(PLE!$AE$9-PLE!$Y$9),
                              0)),
            2)</f>
        <v>#N/A</v>
      </c>
      <c r="AF19" s="183" t="e">
        <f t="array" aca="1" ref="AF19" ca="1">IF(ACOMPANHAMENTO&lt;&gt;"PLE",0,SUMPRODUCT((OFFSET(CÁLCULO!$BV$15:$CN$15,$A19,0,$B19)&lt;=PLE.Medicao)*OFFSET(CÁLCULO!$AJ$15:$BB$15,$A19,0,$B19)*OFFSET(ORÇAMENTO!$AA$15,$A19,0,$B19)/(OFFSET(ORÇAMENTO!$X$15,$A19,0,$B19)+10^-12))+IF(AUTOEVENTO="Manual",SUMPRODUCT((OFFSET(CÁLCULO!$M$15,$A19,0,$B19)=1)*OFFSET(ORÇAMENTO!$AA$15,$A19,0,$B19)*PLE!$AE$9),0))</f>
        <v>#N/A</v>
      </c>
      <c r="AG19" s="183" t="e">
        <f t="array" aca="1" ref="AG19" ca="1">IF(ACOMPANHAMENTO&lt;&gt;"PLE",0,SUMPRODUCT((OFFSET(CÁLCULO!$BV$15:$CN$15,$A19,0,$B19)&lt;=PLE.Medicao)*OFFSET(CÁLCULO!$AJ$15:$BB$15,$A19,0,$B19)*OFFSET(ORÇAMENTO!$AB$15,$A19,0,$B19)/(OFFSET(ORÇAMENTO!$X$15,$A19,0,$B19)+10^-12))+IF(AUTOEVENTO="Manual",SUMPRODUCT((OFFSET(CÁLCULO!$M$15,$A19,0,$B19)=1)*OFFSET(ORÇAMENTO!$AB$15,$A19,0,$B19)*PLE!$AE$9),0))</f>
        <v>#N/A</v>
      </c>
      <c r="AH19" s="183" t="e">
        <f ca="1">ROUND(IF(ACOMPANHAMENTO&lt;&gt;"PLE",0,SUMIF(OFFSET(CÁLCULO!$BV$15:$CN$15,$A19,0,$B19),"&lt;="&amp;PLE.Medicao,OFFSET(CÁLCULO!$AJ$15:$BB$15,$A19,0,$B19))+IF(AdmLocal="Automática",SUMIF(OFFSET(CÁLCULO!$M$15,$A19,0,$B19),1,OFFSET(ORÇAMENTO!$X$15,$A19,0,$B19))*PLE!$AE$9,0)),2)</f>
        <v>#N/A</v>
      </c>
      <c r="AJ19" s="183">
        <f t="array" aca="1" ref="AJ19" ca="1">IF(ACOMPANHAMENTO&lt;&gt;"BM",0,SUMPRODUCT(OFFSET(BM!$M$15,$A19,0,$B19)*(OFFSET(BM!$A$15,$A19,0,$B19)="S")*OFFSET(ORÇAMENTO!AA$15,$A19,0,$B19)/(OFFSET(ORÇAMENTO!$X$15,$A19,0,$B19)+10^-12)))</f>
        <v>0</v>
      </c>
      <c r="AK19" s="183">
        <f t="array" aca="1" ref="AK19" ca="1">IF(ACOMPANHAMENTO&lt;&gt;"BM",0,SUMPRODUCT(OFFSET(BM!$M$15,$A19,0,$B19)*(OFFSET(BM!$A$15,$A19,0,$B19)="S")*OFFSET(ORÇAMENTO!AB$15,$A19,0,$B19)/(OFFSET(ORÇAMENTO!$X$15,$A19,0,$B19)+10^-12)))</f>
        <v>0</v>
      </c>
      <c r="AL19" s="183">
        <f ca="1">IF(ACOMPANHAMENTO&lt;&gt;"BM",0,OFFSET(BM!$M$15,$A19,0))</f>
        <v>0</v>
      </c>
      <c r="AM19" s="183">
        <f t="array" aca="1" ref="AM19" ca="1">IF(ACOMPANHAMENTO&lt;&gt;"BM",0,SUMPRODUCT(OFFSET(BM!$O$15,$A19,0,$B19)*(OFFSET(BM!$A$15,$A19,0,$B19)="S")*OFFSET(ORÇAMENTO!AA$15,$A19,0,$B19)/(OFFSET(ORÇAMENTO!$X$15,$A19,0,$B19)+10^-12)))</f>
        <v>0</v>
      </c>
      <c r="AN19" s="183">
        <f t="array" aca="1" ref="AN19" ca="1">IF(ACOMPANHAMENTO&lt;&gt;"BM",0,SUMPRODUCT(OFFSET(BM!$O$15,$A19,0,$B19)*(OFFSET(BM!$A$15,$A19,0,$B19)="S")*OFFSET(ORÇAMENTO!AB$15,$A19,0,$B19)/(OFFSET(ORÇAMENTO!$X$15,$A19,0,$B19)+10^-12)))</f>
        <v>0</v>
      </c>
      <c r="AO19" s="183">
        <f ca="1">IF(ACOMPANHAMENTO&lt;&gt;"BM",0,OFFSET(BM!$O$15,$A19,0))</f>
        <v>0</v>
      </c>
    </row>
    <row r="20" spans="1:41" s="696" customFormat="1" ht="30" customHeight="1" x14ac:dyDescent="0.2">
      <c r="A20" s="696" t="e">
        <f ca="1">MATCH(E20,ORÇAMENTO!$E$15:$E$235,0)-1</f>
        <v>#N/A</v>
      </c>
      <c r="B20" s="696" t="e">
        <f ca="1">IF(ISERROR($A20),NA(),OFFSET(ORÇAMENTO!$D$15,$A20,0))</f>
        <v>#N/A</v>
      </c>
      <c r="C20" s="696" t="str">
        <f ca="1">QCI!B20</f>
        <v>Branco</v>
      </c>
      <c r="D20" s="696" t="str">
        <f t="shared" ca="1" si="0"/>
        <v/>
      </c>
      <c r="E20" s="281">
        <f>QCI!D20</f>
        <v>7</v>
      </c>
      <c r="F20" s="362" t="str">
        <f ca="1">QCI!G20</f>
        <v/>
      </c>
      <c r="G20" s="363">
        <f>QCI!H20</f>
        <v>0</v>
      </c>
      <c r="H20" s="282">
        <f>QCI!I20</f>
        <v>0</v>
      </c>
      <c r="I20" s="282" t="str">
        <f ca="1">QCI!J20</f>
        <v/>
      </c>
      <c r="J20" s="364" t="str">
        <f ca="1">QCI!K20</f>
        <v/>
      </c>
      <c r="K20" s="365" t="str">
        <f t="array" aca="1" ref="K20" ca="1">IF($C20="Automático",IF(ACOMPANHAMENTO="BM",BM.medicao,PLE.Medicao),IF(ISBLANK($X20),"",$X20))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2"/>
      <c r="Y20" s="287"/>
      <c r="Z20" s="288"/>
      <c r="AC20" s="183" t="e">
        <f t="array" aca="1" ref="AC20" ca="1">IF(ACOMPANHAMENTO&lt;&gt;"PLE",0,SUMPRODUCT((OFFSET(CÁLCULO!$BV$15:$CN$15,$A20,0,$B20)&lt;=(PLE.Medicao-1))*OFFSET(CÁLCULO!$AJ$15:$BB$15,$A20,0,$B20)*OFFSET(ORÇAMENTO!$AA$15,$A20,0,$B20)/(OFFSET(ORÇAMENTO!$X$15,$A20,0,$B20)+10^-12))+IF(AUTOEVENTO="Manual",SUMPRODUCT((OFFSET(CÁLCULO!$M$15,$A20,0,$B20)=1)*OFFSET(ORÇAMENTO!$AA$15,$A20,0,$B20)*(PLE!$AE$9-PLE!$Y$9)),0))</f>
        <v>#N/A</v>
      </c>
      <c r="AD20" s="183" t="e">
        <f t="array" aca="1" ref="AD20" ca="1">IF(ACOMPANHAMENTO&lt;&gt;"PLE",0,SUMPRODUCT((OFFSET(CÁLCULO!$BV$15:$CN$15,$A20,0,$B20)&lt;=(PLE.Medicao-1))*OFFSET(CÁLCULO!$AJ$15:$BB$15,$A20,0,$B20)*OFFSET(ORÇAMENTO!$AB$15,$A20,0,$B20)/(OFFSET(ORÇAMENTO!$X$15,$A20,0,$B20)+10^-12))+IF(AUTOEVENTO="Manual",SUMPRODUCT((OFFSET(CÁLCULO!$M$15,$A20,0,$B20)=1)*OFFSET(ORÇAMENTO!$AB$15,$A20,0,$B20)*(PLE!$AE$9-PLE!$Y$9)),0))</f>
        <v>#N/A</v>
      </c>
      <c r="AE20" s="183" t="e">
        <f ca="1">ROUND(
            IF(ACOMPANHAMENTO&lt;&gt;"PLE",0,
                      SUMIF(OFFSET(CÁLCULO!$BV$15:$CN$15,$A20,0,$B20),"&lt;="&amp;(PLE.Medicao-1),OFFSET(CÁLCULO!$AJ$15:$BB$15,$A20,0,$B20))
                      +IF(AdmLocal="Automática",
                              SUMIF(OFFSET(CÁLCULO!$M$15,$A20,0,$B20),1,OFFSET(ORÇAMENTO!$X$15,$A20,0,$B20))*(PLE!$AE$9-PLE!$Y$9),
                              0)),
            2)</f>
        <v>#N/A</v>
      </c>
      <c r="AF20" s="183" t="e">
        <f t="array" aca="1" ref="AF20" ca="1">IF(ACOMPANHAMENTO&lt;&gt;"PLE",0,SUMPRODUCT((OFFSET(CÁLCULO!$BV$15:$CN$15,$A20,0,$B20)&lt;=PLE.Medicao)*OFFSET(CÁLCULO!$AJ$15:$BB$15,$A20,0,$B20)*OFFSET(ORÇAMENTO!$AA$15,$A20,0,$B20)/(OFFSET(ORÇAMENTO!$X$15,$A20,0,$B20)+10^-12))+IF(AUTOEVENTO="Manual",SUMPRODUCT((OFFSET(CÁLCULO!$M$15,$A20,0,$B20)=1)*OFFSET(ORÇAMENTO!$AA$15,$A20,0,$B20)*PLE!$AE$9),0))</f>
        <v>#N/A</v>
      </c>
      <c r="AG20" s="183" t="e">
        <f t="array" aca="1" ref="AG20" ca="1">IF(ACOMPANHAMENTO&lt;&gt;"PLE",0,SUMPRODUCT((OFFSET(CÁLCULO!$BV$15:$CN$15,$A20,0,$B20)&lt;=PLE.Medicao)*OFFSET(CÁLCULO!$AJ$15:$BB$15,$A20,0,$B20)*OFFSET(ORÇAMENTO!$AB$15,$A20,0,$B20)/(OFFSET(ORÇAMENTO!$X$15,$A20,0,$B20)+10^-12))+IF(AUTOEVENTO="Manual",SUMPRODUCT((OFFSET(CÁLCULO!$M$15,$A20,0,$B20)=1)*OFFSET(ORÇAMENTO!$AB$15,$A20,0,$B20)*PLE!$AE$9),0))</f>
        <v>#N/A</v>
      </c>
      <c r="AH20" s="183" t="e">
        <f ca="1">ROUND(IF(ACOMPANHAMENTO&lt;&gt;"PLE",0,SUMIF(OFFSET(CÁLCULO!$BV$15:$CN$15,$A20,0,$B20),"&lt;="&amp;PLE.Medicao,OFFSET(CÁLCULO!$AJ$15:$BB$15,$A20,0,$B20))+IF(AdmLocal="Automática",SUMIF(OFFSET(CÁLCULO!$M$15,$A20,0,$B20),1,OFFSET(ORÇAMENTO!$X$15,$A20,0,$B20))*PLE!$AE$9,0)),2)</f>
        <v>#N/A</v>
      </c>
      <c r="AJ20" s="183">
        <f t="array" aca="1" ref="AJ20" ca="1">IF(ACOMPANHAMENTO&lt;&gt;"BM",0,SUMPRODUCT(OFFSET(BM!$M$15,$A20,0,$B20)*(OFFSET(BM!$A$15,$A20,0,$B20)="S")*OFFSET(ORÇAMENTO!AA$15,$A20,0,$B20)/(OFFSET(ORÇAMENTO!$X$15,$A20,0,$B20)+10^-12)))</f>
        <v>0</v>
      </c>
      <c r="AK20" s="183">
        <f t="array" aca="1" ref="AK20" ca="1">IF(ACOMPANHAMENTO&lt;&gt;"BM",0,SUMPRODUCT(OFFSET(BM!$M$15,$A20,0,$B20)*(OFFSET(BM!$A$15,$A20,0,$B20)="S")*OFFSET(ORÇAMENTO!AB$15,$A20,0,$B20)/(OFFSET(ORÇAMENTO!$X$15,$A20,0,$B20)+10^-12)))</f>
        <v>0</v>
      </c>
      <c r="AL20" s="183">
        <f ca="1">IF(ACOMPANHAMENTO&lt;&gt;"BM",0,OFFSET(BM!$M$15,$A20,0))</f>
        <v>0</v>
      </c>
      <c r="AM20" s="183">
        <f t="array" aca="1" ref="AM20" ca="1">IF(ACOMPANHAMENTO&lt;&gt;"BM",0,SUMPRODUCT(OFFSET(BM!$O$15,$A20,0,$B20)*(OFFSET(BM!$A$15,$A20,0,$B20)="S")*OFFSET(ORÇAMENTO!AA$15,$A20,0,$B20)/(OFFSET(ORÇAMENTO!$X$15,$A20,0,$B20)+10^-12)))</f>
        <v>0</v>
      </c>
      <c r="AN20" s="183">
        <f t="array" aca="1" ref="AN20" ca="1">IF(ACOMPANHAMENTO&lt;&gt;"BM",0,SUMPRODUCT(OFFSET(BM!$O$15,$A20,0,$B20)*(OFFSET(BM!$A$15,$A20,0,$B20)="S")*OFFSET(ORÇAMENTO!AB$15,$A20,0,$B20)/(OFFSET(ORÇAMENTO!$X$15,$A20,0,$B20)+10^-12)))</f>
        <v>0</v>
      </c>
      <c r="AO20" s="183">
        <f ca="1">IF(ACOMPANHAMENTO&lt;&gt;"BM",0,OFFSET(BM!$O$15,$A20,0))</f>
        <v>0</v>
      </c>
    </row>
    <row r="21" spans="1:41" s="696" customFormat="1" ht="30" customHeight="1" x14ac:dyDescent="0.2">
      <c r="A21" s="696" t="e">
        <f ca="1">MATCH(E21,ORÇAMENTO!$E$15:$E$235,0)-1</f>
        <v>#N/A</v>
      </c>
      <c r="B21" s="696" t="e">
        <f ca="1">IF(ISERROR($A21),NA(),OFFSET(ORÇAMENTO!$D$15,$A21,0))</f>
        <v>#N/A</v>
      </c>
      <c r="C21" s="696" t="str">
        <f ca="1">QCI!B21</f>
        <v>Branco</v>
      </c>
      <c r="D21" s="696" t="str">
        <f t="shared" ca="1" si="0"/>
        <v/>
      </c>
      <c r="E21" s="281">
        <f>QCI!D21</f>
        <v>8</v>
      </c>
      <c r="F21" s="362" t="str">
        <f ca="1">QCI!G21</f>
        <v/>
      </c>
      <c r="G21" s="363">
        <f>QCI!H21</f>
        <v>0</v>
      </c>
      <c r="H21" s="282">
        <f>QCI!I21</f>
        <v>0</v>
      </c>
      <c r="I21" s="282" t="str">
        <f ca="1">QCI!J21</f>
        <v/>
      </c>
      <c r="J21" s="364" t="str">
        <f ca="1">QCI!K21</f>
        <v/>
      </c>
      <c r="K21" s="365" t="str">
        <f t="array" aca="1" ref="K21" ca="1">IF($C21="Automático",IF(ACOMPANHAMENTO="BM",BM.medicao,PLE.Medicao),IF(ISBLANK($X21),"",$X21))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2"/>
      <c r="Y21" s="287"/>
      <c r="Z21" s="288"/>
      <c r="AC21" s="183" t="e">
        <f t="array" aca="1" ref="AC21" ca="1">IF(ACOMPANHAMENTO&lt;&gt;"PLE",0,SUMPRODUCT((OFFSET(CÁLCULO!$BV$15:$CN$15,$A21,0,$B21)&lt;=(PLE.Medicao-1))*OFFSET(CÁLCULO!$AJ$15:$BB$15,$A21,0,$B21)*OFFSET(ORÇAMENTO!$AA$15,$A21,0,$B21)/(OFFSET(ORÇAMENTO!$X$15,$A21,0,$B21)+10^-12))+IF(AUTOEVENTO="Manual",SUMPRODUCT((OFFSET(CÁLCULO!$M$15,$A21,0,$B21)=1)*OFFSET(ORÇAMENTO!$AA$15,$A21,0,$B21)*(PLE!$AE$9-PLE!$Y$9)),0))</f>
        <v>#N/A</v>
      </c>
      <c r="AD21" s="183" t="e">
        <f t="array" aca="1" ref="AD21" ca="1">IF(ACOMPANHAMENTO&lt;&gt;"PLE",0,SUMPRODUCT((OFFSET(CÁLCULO!$BV$15:$CN$15,$A21,0,$B21)&lt;=(PLE.Medicao-1))*OFFSET(CÁLCULO!$AJ$15:$BB$15,$A21,0,$B21)*OFFSET(ORÇAMENTO!$AB$15,$A21,0,$B21)/(OFFSET(ORÇAMENTO!$X$15,$A21,0,$B21)+10^-12))+IF(AUTOEVENTO="Manual",SUMPRODUCT((OFFSET(CÁLCULO!$M$15,$A21,0,$B21)=1)*OFFSET(ORÇAMENTO!$AB$15,$A21,0,$B21)*(PLE!$AE$9-PLE!$Y$9)),0))</f>
        <v>#N/A</v>
      </c>
      <c r="AE21" s="183" t="e">
        <f ca="1">ROUND(
            IF(ACOMPANHAMENTO&lt;&gt;"PLE",0,
                      SUMIF(OFFSET(CÁLCULO!$BV$15:$CN$15,$A21,0,$B21),"&lt;="&amp;(PLE.Medicao-1),OFFSET(CÁLCULO!$AJ$15:$BB$15,$A21,0,$B21))
                      +IF(AdmLocal="Automática",
                              SUMIF(OFFSET(CÁLCULO!$M$15,$A21,0,$B21),1,OFFSET(ORÇAMENTO!$X$15,$A21,0,$B21))*(PLE!$AE$9-PLE!$Y$9),
                              0)),
            2)</f>
        <v>#N/A</v>
      </c>
      <c r="AF21" s="183" t="e">
        <f t="array" aca="1" ref="AF21" ca="1">IF(ACOMPANHAMENTO&lt;&gt;"PLE",0,SUMPRODUCT((OFFSET(CÁLCULO!$BV$15:$CN$15,$A21,0,$B21)&lt;=PLE.Medicao)*OFFSET(CÁLCULO!$AJ$15:$BB$15,$A21,0,$B21)*OFFSET(ORÇAMENTO!$AA$15,$A21,0,$B21)/(OFFSET(ORÇAMENTO!$X$15,$A21,0,$B21)+10^-12))+IF(AUTOEVENTO="Manual",SUMPRODUCT((OFFSET(CÁLCULO!$M$15,$A21,0,$B21)=1)*OFFSET(ORÇAMENTO!$AA$15,$A21,0,$B21)*PLE!$AE$9),0))</f>
        <v>#N/A</v>
      </c>
      <c r="AG21" s="183" t="e">
        <f t="array" aca="1" ref="AG21" ca="1">IF(ACOMPANHAMENTO&lt;&gt;"PLE",0,SUMPRODUCT((OFFSET(CÁLCULO!$BV$15:$CN$15,$A21,0,$B21)&lt;=PLE.Medicao)*OFFSET(CÁLCULO!$AJ$15:$BB$15,$A21,0,$B21)*OFFSET(ORÇAMENTO!$AB$15,$A21,0,$B21)/(OFFSET(ORÇAMENTO!$X$15,$A21,0,$B21)+10^-12))+IF(AUTOEVENTO="Manual",SUMPRODUCT((OFFSET(CÁLCULO!$M$15,$A21,0,$B21)=1)*OFFSET(ORÇAMENTO!$AB$15,$A21,0,$B21)*PLE!$AE$9),0))</f>
        <v>#N/A</v>
      </c>
      <c r="AH21" s="183" t="e">
        <f ca="1">ROUND(IF(ACOMPANHAMENTO&lt;&gt;"PLE",0,SUMIF(OFFSET(CÁLCULO!$BV$15:$CN$15,$A21,0,$B21),"&lt;="&amp;PLE.Medicao,OFFSET(CÁLCULO!$AJ$15:$BB$15,$A21,0,$B21))+IF(AdmLocal="Automática",SUMIF(OFFSET(CÁLCULO!$M$15,$A21,0,$B21),1,OFFSET(ORÇAMENTO!$X$15,$A21,0,$B21))*PLE!$AE$9,0)),2)</f>
        <v>#N/A</v>
      </c>
      <c r="AJ21" s="183">
        <f t="array" aca="1" ref="AJ21" ca="1">IF(ACOMPANHAMENTO&lt;&gt;"BM",0,SUMPRODUCT(OFFSET(BM!$M$15,$A21,0,$B21)*(OFFSET(BM!$A$15,$A21,0,$B21)="S")*OFFSET(ORÇAMENTO!AA$15,$A21,0,$B21)/(OFFSET(ORÇAMENTO!$X$15,$A21,0,$B21)+10^-12)))</f>
        <v>0</v>
      </c>
      <c r="AK21" s="183">
        <f t="array" aca="1" ref="AK21" ca="1">IF(ACOMPANHAMENTO&lt;&gt;"BM",0,SUMPRODUCT(OFFSET(BM!$M$15,$A21,0,$B21)*(OFFSET(BM!$A$15,$A21,0,$B21)="S")*OFFSET(ORÇAMENTO!AB$15,$A21,0,$B21)/(OFFSET(ORÇAMENTO!$X$15,$A21,0,$B21)+10^-12)))</f>
        <v>0</v>
      </c>
      <c r="AL21" s="183">
        <f ca="1">IF(ACOMPANHAMENTO&lt;&gt;"BM",0,OFFSET(BM!$M$15,$A21,0))</f>
        <v>0</v>
      </c>
      <c r="AM21" s="183">
        <f t="array" aca="1" ref="AM21" ca="1">IF(ACOMPANHAMENTO&lt;&gt;"BM",0,SUMPRODUCT(OFFSET(BM!$O$15,$A21,0,$B21)*(OFFSET(BM!$A$15,$A21,0,$B21)="S")*OFFSET(ORÇAMENTO!AA$15,$A21,0,$B21)/(OFFSET(ORÇAMENTO!$X$15,$A21,0,$B21)+10^-12)))</f>
        <v>0</v>
      </c>
      <c r="AN21" s="183">
        <f t="array" aca="1" ref="AN21" ca="1">IF(ACOMPANHAMENTO&lt;&gt;"BM",0,SUMPRODUCT(OFFSET(BM!$O$15,$A21,0,$B21)*(OFFSET(BM!$A$15,$A21,0,$B21)="S")*OFFSET(ORÇAMENTO!AB$15,$A21,0,$B21)/(OFFSET(ORÇAMENTO!$X$15,$A21,0,$B21)+10^-12)))</f>
        <v>0</v>
      </c>
      <c r="AO21" s="183">
        <f ca="1">IF(ACOMPANHAMENTO&lt;&gt;"BM",0,OFFSET(BM!$O$15,$A21,0))</f>
        <v>0</v>
      </c>
    </row>
    <row r="22" spans="1:41" s="696" customFormat="1" ht="30" customHeight="1" x14ac:dyDescent="0.2">
      <c r="A22" s="696" t="e">
        <f ca="1">MATCH(E22,ORÇAMENTO!$E$15:$E$235,0)-1</f>
        <v>#N/A</v>
      </c>
      <c r="B22" s="696" t="e">
        <f ca="1">IF(ISERROR($A22),NA(),OFFSET(ORÇAMENTO!$D$15,$A22,0))</f>
        <v>#N/A</v>
      </c>
      <c r="C22" s="696" t="str">
        <f ca="1">QCI!B22</f>
        <v>Branco</v>
      </c>
      <c r="D22" s="696" t="str">
        <f t="shared" ca="1" si="0"/>
        <v/>
      </c>
      <c r="E22" s="281">
        <f>QCI!D22</f>
        <v>9</v>
      </c>
      <c r="F22" s="362" t="str">
        <f ca="1">QCI!G22</f>
        <v/>
      </c>
      <c r="G22" s="363">
        <f>QCI!H22</f>
        <v>0</v>
      </c>
      <c r="H22" s="282">
        <f>QCI!I22</f>
        <v>0</v>
      </c>
      <c r="I22" s="282" t="str">
        <f ca="1">QCI!J22</f>
        <v/>
      </c>
      <c r="J22" s="364" t="str">
        <f ca="1">QCI!K22</f>
        <v/>
      </c>
      <c r="K22" s="365" t="str">
        <f t="array" aca="1" ref="K22" ca="1">IF($C22="Automático",IF(ACOMPANHAMENTO="BM",BM.medicao,PLE.Medicao),IF(ISBLANK($X22),"",$X22))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2"/>
      <c r="Y22" s="287"/>
      <c r="Z22" s="288"/>
      <c r="AC22" s="183" t="e">
        <f t="array" aca="1" ref="AC22" ca="1">IF(ACOMPANHAMENTO&lt;&gt;"PLE",0,SUMPRODUCT((OFFSET(CÁLCULO!$BV$15:$CN$15,$A22,0,$B22)&lt;=(PLE.Medicao-1))*OFFSET(CÁLCULO!$AJ$15:$BB$15,$A22,0,$B22)*OFFSET(ORÇAMENTO!$AA$15,$A22,0,$B22)/(OFFSET(ORÇAMENTO!$X$15,$A22,0,$B22)+10^-12))+IF(AUTOEVENTO="Manual",SUMPRODUCT((OFFSET(CÁLCULO!$M$15,$A22,0,$B22)=1)*OFFSET(ORÇAMENTO!$AA$15,$A22,0,$B22)*(PLE!$AE$9-PLE!$Y$9)),0))</f>
        <v>#N/A</v>
      </c>
      <c r="AD22" s="183" t="e">
        <f t="array" aca="1" ref="AD22" ca="1">IF(ACOMPANHAMENTO&lt;&gt;"PLE",0,SUMPRODUCT((OFFSET(CÁLCULO!$BV$15:$CN$15,$A22,0,$B22)&lt;=(PLE.Medicao-1))*OFFSET(CÁLCULO!$AJ$15:$BB$15,$A22,0,$B22)*OFFSET(ORÇAMENTO!$AB$15,$A22,0,$B22)/(OFFSET(ORÇAMENTO!$X$15,$A22,0,$B22)+10^-12))+IF(AUTOEVENTO="Manual",SUMPRODUCT((OFFSET(CÁLCULO!$M$15,$A22,0,$B22)=1)*OFFSET(ORÇAMENTO!$AB$15,$A22,0,$B22)*(PLE!$AE$9-PLE!$Y$9)),0))</f>
        <v>#N/A</v>
      </c>
      <c r="AE22" s="183" t="e">
        <f ca="1">ROUND(
            IF(ACOMPANHAMENTO&lt;&gt;"PLE",0,
                      SUMIF(OFFSET(CÁLCULO!$BV$15:$CN$15,$A22,0,$B22),"&lt;="&amp;(PLE.Medicao-1),OFFSET(CÁLCULO!$AJ$15:$BB$15,$A22,0,$B22))
                      +IF(AdmLocal="Automática",
                              SUMIF(OFFSET(CÁLCULO!$M$15,$A22,0,$B22),1,OFFSET(ORÇAMENTO!$X$15,$A22,0,$B22))*(PLE!$AE$9-PLE!$Y$9),
                              0)),
            2)</f>
        <v>#N/A</v>
      </c>
      <c r="AF22" s="183" t="e">
        <f t="array" aca="1" ref="AF22" ca="1">IF(ACOMPANHAMENTO&lt;&gt;"PLE",0,SUMPRODUCT((OFFSET(CÁLCULO!$BV$15:$CN$15,$A22,0,$B22)&lt;=PLE.Medicao)*OFFSET(CÁLCULO!$AJ$15:$BB$15,$A22,0,$B22)*OFFSET(ORÇAMENTO!$AA$15,$A22,0,$B22)/(OFFSET(ORÇAMENTO!$X$15,$A22,0,$B22)+10^-12))+IF(AUTOEVENTO="Manual",SUMPRODUCT((OFFSET(CÁLCULO!$M$15,$A22,0,$B22)=1)*OFFSET(ORÇAMENTO!$AA$15,$A22,0,$B22)*PLE!$AE$9),0))</f>
        <v>#N/A</v>
      </c>
      <c r="AG22" s="183" t="e">
        <f t="array" aca="1" ref="AG22" ca="1">IF(ACOMPANHAMENTO&lt;&gt;"PLE",0,SUMPRODUCT((OFFSET(CÁLCULO!$BV$15:$CN$15,$A22,0,$B22)&lt;=PLE.Medicao)*OFFSET(CÁLCULO!$AJ$15:$BB$15,$A22,0,$B22)*OFFSET(ORÇAMENTO!$AB$15,$A22,0,$B22)/(OFFSET(ORÇAMENTO!$X$15,$A22,0,$B22)+10^-12))+IF(AUTOEVENTO="Manual",SUMPRODUCT((OFFSET(CÁLCULO!$M$15,$A22,0,$B22)=1)*OFFSET(ORÇAMENTO!$AB$15,$A22,0,$B22)*PLE!$AE$9),0))</f>
        <v>#N/A</v>
      </c>
      <c r="AH22" s="183" t="e">
        <f ca="1">ROUND(IF(ACOMPANHAMENTO&lt;&gt;"PLE",0,SUMIF(OFFSET(CÁLCULO!$BV$15:$CN$15,$A22,0,$B22),"&lt;="&amp;PLE.Medicao,OFFSET(CÁLCULO!$AJ$15:$BB$15,$A22,0,$B22))+IF(AdmLocal="Automática",SUMIF(OFFSET(CÁLCULO!$M$15,$A22,0,$B22),1,OFFSET(ORÇAMENTO!$X$15,$A22,0,$B22))*PLE!$AE$9,0)),2)</f>
        <v>#N/A</v>
      </c>
      <c r="AJ22" s="183">
        <f t="array" aca="1" ref="AJ22" ca="1">IF(ACOMPANHAMENTO&lt;&gt;"BM",0,SUMPRODUCT(OFFSET(BM!$M$15,$A22,0,$B22)*(OFFSET(BM!$A$15,$A22,0,$B22)="S")*OFFSET(ORÇAMENTO!AA$15,$A22,0,$B22)/(OFFSET(ORÇAMENTO!$X$15,$A22,0,$B22)+10^-12)))</f>
        <v>0</v>
      </c>
      <c r="AK22" s="183">
        <f t="array" aca="1" ref="AK22" ca="1">IF(ACOMPANHAMENTO&lt;&gt;"BM",0,SUMPRODUCT(OFFSET(BM!$M$15,$A22,0,$B22)*(OFFSET(BM!$A$15,$A22,0,$B22)="S")*OFFSET(ORÇAMENTO!AB$15,$A22,0,$B22)/(OFFSET(ORÇAMENTO!$X$15,$A22,0,$B22)+10^-12)))</f>
        <v>0</v>
      </c>
      <c r="AL22" s="183">
        <f ca="1">IF(ACOMPANHAMENTO&lt;&gt;"BM",0,OFFSET(BM!$M$15,$A22,0))</f>
        <v>0</v>
      </c>
      <c r="AM22" s="183">
        <f t="array" aca="1" ref="AM22" ca="1">IF(ACOMPANHAMENTO&lt;&gt;"BM",0,SUMPRODUCT(OFFSET(BM!$O$15,$A22,0,$B22)*(OFFSET(BM!$A$15,$A22,0,$B22)="S")*OFFSET(ORÇAMENTO!AA$15,$A22,0,$B22)/(OFFSET(ORÇAMENTO!$X$15,$A22,0,$B22)+10^-12)))</f>
        <v>0</v>
      </c>
      <c r="AN22" s="183">
        <f t="array" aca="1" ref="AN22" ca="1">IF(ACOMPANHAMENTO&lt;&gt;"BM",0,SUMPRODUCT(OFFSET(BM!$O$15,$A22,0,$B22)*(OFFSET(BM!$A$15,$A22,0,$B22)="S")*OFFSET(ORÇAMENTO!AB$15,$A22,0,$B22)/(OFFSET(ORÇAMENTO!$X$15,$A22,0,$B22)+10^-12)))</f>
        <v>0</v>
      </c>
      <c r="AO22" s="183">
        <f ca="1">IF(ACOMPANHAMENTO&lt;&gt;"BM",0,OFFSET(BM!$O$15,$A22,0))</f>
        <v>0</v>
      </c>
    </row>
    <row r="23" spans="1:41" s="696" customFormat="1" ht="30" customHeight="1" x14ac:dyDescent="0.2">
      <c r="A23" s="696" t="e">
        <f ca="1">MATCH(E23,ORÇAMENTO!$E$15:$E$235,0)-1</f>
        <v>#N/A</v>
      </c>
      <c r="B23" s="696" t="e">
        <f ca="1">IF(ISERROR($A23),NA(),OFFSET(ORÇAMENTO!$D$15,$A23,0))</f>
        <v>#N/A</v>
      </c>
      <c r="C23" s="696" t="str">
        <f ca="1">QCI!B23</f>
        <v>Branco</v>
      </c>
      <c r="D23" s="696" t="str">
        <f ca="1">IF(L23&gt;0,"F","")</f>
        <v/>
      </c>
      <c r="E23" s="281">
        <f>QCI!D23</f>
        <v>10</v>
      </c>
      <c r="F23" s="362" t="str">
        <f ca="1">QCI!G23</f>
        <v/>
      </c>
      <c r="G23" s="363">
        <f>QCI!H23</f>
        <v>0</v>
      </c>
      <c r="H23" s="282">
        <f>QCI!I23</f>
        <v>0</v>
      </c>
      <c r="I23" s="282" t="str">
        <f ca="1">QCI!J23</f>
        <v/>
      </c>
      <c r="J23" s="364" t="str">
        <f ca="1">QCI!K23</f>
        <v/>
      </c>
      <c r="K23" s="365" t="str">
        <f t="array" aca="1" ref="K23" ca="1">IF($C23="Automático",IF(ACOMPANHAMENTO="BM",BM.medicao,PLE.Medicao),IF(ISBLANK($X23),"",$X23))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2"/>
      <c r="Y23" s="287"/>
      <c r="Z23" s="288"/>
      <c r="AC23" s="183" t="e">
        <f t="array" aca="1" ref="AC23" ca="1">IF(ACOMPANHAMENTO&lt;&gt;"PLE",0,SUMPRODUCT((OFFSET(CÁLCULO!$BV$15:$CN$15,$A23,0,$B23)&lt;=(PLE.Medicao-1))*OFFSET(CÁLCULO!$AJ$15:$BB$15,$A23,0,$B23)*OFFSET(ORÇAMENTO!$AA$15,$A23,0,$B23)/(OFFSET(ORÇAMENTO!$X$15,$A23,0,$B23)+10^-12))+IF(AUTOEVENTO="Manual",SUMPRODUCT((OFFSET(CÁLCULO!$M$15,$A23,0,$B23)=1)*OFFSET(ORÇAMENTO!$AA$15,$A23,0,$B23)*(PLE!$AE$9-PLE!$Y$9)),0))</f>
        <v>#N/A</v>
      </c>
      <c r="AD23" s="183" t="e">
        <f t="array" aca="1" ref="AD23" ca="1">IF(ACOMPANHAMENTO&lt;&gt;"PLE",0,SUMPRODUCT((OFFSET(CÁLCULO!$BV$15:$CN$15,$A23,0,$B23)&lt;=(PLE.Medicao-1))*OFFSET(CÁLCULO!$AJ$15:$BB$15,$A23,0,$B23)*OFFSET(ORÇAMENTO!$AB$15,$A23,0,$B23)/(OFFSET(ORÇAMENTO!$X$15,$A23,0,$B23)+10^-12))+IF(AUTOEVENTO="Manual",SUMPRODUCT((OFFSET(CÁLCULO!$M$15,$A23,0,$B23)=1)*OFFSET(ORÇAMENTO!$AB$15,$A23,0,$B23)*(PLE!$AE$9-PLE!$Y$9)),0))</f>
        <v>#N/A</v>
      </c>
      <c r="AE23" s="183" t="e">
        <f ca="1">ROUND(
            IF(ACOMPANHAMENTO&lt;&gt;"PLE",0,
                      SUMIF(OFFSET(CÁLCULO!$BV$15:$CN$15,$A23,0,$B23),"&lt;="&amp;(PLE.Medicao-1),OFFSET(CÁLCULO!$AJ$15:$BB$15,$A23,0,$B23))
                      +IF(AdmLocal="Automática",
                              SUMIF(OFFSET(CÁLCULO!$M$15,$A23,0,$B23),1,OFFSET(ORÇAMENTO!$X$15,$A23,0,$B23))*(PLE!$AE$9-PLE!$Y$9),
                              0)),
            2)</f>
        <v>#N/A</v>
      </c>
      <c r="AF23" s="183" t="e">
        <f t="array" aca="1" ref="AF23" ca="1">IF(ACOMPANHAMENTO&lt;&gt;"PLE",0,SUMPRODUCT((OFFSET(CÁLCULO!$BV$15:$CN$15,$A23,0,$B23)&lt;=PLE.Medicao)*OFFSET(CÁLCULO!$AJ$15:$BB$15,$A23,0,$B23)*OFFSET(ORÇAMENTO!$AA$15,$A23,0,$B23)/(OFFSET(ORÇAMENTO!$X$15,$A23,0,$B23)+10^-12))+IF(AUTOEVENTO="Manual",SUMPRODUCT((OFFSET(CÁLCULO!$M$15,$A23,0,$B23)=1)*OFFSET(ORÇAMENTO!$AA$15,$A23,0,$B23)*PLE!$AE$9),0))</f>
        <v>#N/A</v>
      </c>
      <c r="AG23" s="183" t="e">
        <f t="array" aca="1" ref="AG23" ca="1">IF(ACOMPANHAMENTO&lt;&gt;"PLE",0,SUMPRODUCT((OFFSET(CÁLCULO!$BV$15:$CN$15,$A23,0,$B23)&lt;=PLE.Medicao)*OFFSET(CÁLCULO!$AJ$15:$BB$15,$A23,0,$B23)*OFFSET(ORÇAMENTO!$AB$15,$A23,0,$B23)/(OFFSET(ORÇAMENTO!$X$15,$A23,0,$B23)+10^-12))+IF(AUTOEVENTO="Manual",SUMPRODUCT((OFFSET(CÁLCULO!$M$15,$A23,0,$B23)=1)*OFFSET(ORÇAMENTO!$AB$15,$A23,0,$B23)*PLE!$AE$9),0))</f>
        <v>#N/A</v>
      </c>
      <c r="AH23" s="183" t="e">
        <f ca="1">ROUND(IF(ACOMPANHAMENTO&lt;&gt;"PLE",0,SUMIF(OFFSET(CÁLCULO!$BV$15:$CN$15,$A23,0,$B23),"&lt;="&amp;PLE.Medicao,OFFSET(CÁLCULO!$AJ$15:$BB$15,$A23,0,$B23))+IF(AdmLocal="Automática",SUMIF(OFFSET(CÁLCULO!$M$15,$A23,0,$B23),1,OFFSET(ORÇAMENTO!$X$15,$A23,0,$B23))*PLE!$AE$9,0)),2)</f>
        <v>#N/A</v>
      </c>
      <c r="AJ23" s="183">
        <f t="array" aca="1" ref="AJ23" ca="1">IF(ACOMPANHAMENTO&lt;&gt;"BM",0,SUMPRODUCT(OFFSET(BM!$M$15,$A23,0,$B23)*(OFFSET(BM!$A$15,$A23,0,$B23)="S")*OFFSET(ORÇAMENTO!AA$15,$A23,0,$B23)/(OFFSET(ORÇAMENTO!$X$15,$A23,0,$B23)+10^-12)))</f>
        <v>0</v>
      </c>
      <c r="AK23" s="183">
        <f t="array" aca="1" ref="AK23" ca="1">IF(ACOMPANHAMENTO&lt;&gt;"BM",0,SUMPRODUCT(OFFSET(BM!$M$15,$A23,0,$B23)*(OFFSET(BM!$A$15,$A23,0,$B23)="S")*OFFSET(ORÇAMENTO!AB$15,$A23,0,$B23)/(OFFSET(ORÇAMENTO!$X$15,$A23,0,$B23)+10^-12)))</f>
        <v>0</v>
      </c>
      <c r="AL23" s="183">
        <f ca="1">IF(ACOMPANHAMENTO&lt;&gt;"BM",0,OFFSET(BM!$M$15,$A23,0))</f>
        <v>0</v>
      </c>
      <c r="AM23" s="183">
        <f t="array" aca="1" ref="AM23" ca="1">IF(ACOMPANHAMENTO&lt;&gt;"BM",0,SUMPRODUCT(OFFSET(BM!$O$15,$A23,0,$B23)*(OFFSET(BM!$A$15,$A23,0,$B23)="S")*OFFSET(ORÇAMENTO!AA$15,$A23,0,$B23)/(OFFSET(ORÇAMENTO!$X$15,$A23,0,$B23)+10^-12)))</f>
        <v>0</v>
      </c>
      <c r="AN23" s="183">
        <f t="array" aca="1" ref="AN23" ca="1">IF(ACOMPANHAMENTO&lt;&gt;"BM",0,SUMPRODUCT(OFFSET(BM!$O$15,$A23,0,$B23)*(OFFSET(BM!$A$15,$A23,0,$B23)="S")*OFFSET(ORÇAMENTO!AB$15,$A23,0,$B23)/(OFFSET(ORÇAMENTO!$X$15,$A23,0,$B23)+10^-12)))</f>
        <v>0</v>
      </c>
      <c r="AO23" s="183">
        <f ca="1">IF(ACOMPANHAMENTO&lt;&gt;"BM",0,OFFSET(BM!$O$15,$A23,0))</f>
        <v>0</v>
      </c>
    </row>
    <row r="24" spans="1:41" ht="12.95" customHeight="1" x14ac:dyDescent="0.2">
      <c r="D24" t="s">
        <v>536</v>
      </c>
      <c r="E24" s="1"/>
      <c r="F24" s="1"/>
      <c r="G24" s="1"/>
      <c r="H24" s="1"/>
      <c r="I24" s="2"/>
      <c r="J24" s="880" t="s">
        <v>889</v>
      </c>
      <c r="K24" s="881"/>
      <c r="L24" s="369">
        <f ca="1">IF(ISERROR(L28/$L28),0,ROUND(L28/$L28,4))</f>
        <v>1</v>
      </c>
      <c r="M24" s="371">
        <f ca="1">IF(ISERROR(M28/$L28),0,ROUND(M28/$L28,4))</f>
        <v>0</v>
      </c>
      <c r="N24" s="370">
        <f ca="1">IF(ISERROR(N28/$L28),0,ROUND(N28/$L28,4))</f>
        <v>0</v>
      </c>
      <c r="O24" s="372">
        <f ca="1">IF(ISERROR(O28/$L28),0,ROUND(O28/$L28,4))</f>
        <v>0</v>
      </c>
      <c r="P24" s="882">
        <f ca="1">O28/(L28+10^-12)</f>
        <v>0</v>
      </c>
      <c r="X24" s="302"/>
      <c r="Y24" s="304"/>
      <c r="Z24" s="305"/>
    </row>
    <row r="25" spans="1:41" ht="12.95" customHeight="1" x14ac:dyDescent="0.2">
      <c r="D25" t="s">
        <v>536</v>
      </c>
      <c r="I25" s="4"/>
      <c r="J25" s="883" t="str">
        <f>IF(import.recurso="FGTS","Financiamento","Repasse")</f>
        <v>Repasse</v>
      </c>
      <c r="K25" s="884"/>
      <c r="L25" s="286">
        <f ca="1">QCI!L24</f>
        <v>2675612.42</v>
      </c>
      <c r="M25" s="283">
        <f ca="1">M28-M27-M26</f>
        <v>0</v>
      </c>
      <c r="N25" s="284">
        <f ca="1">O25-M25</f>
        <v>0</v>
      </c>
      <c r="O25" s="285">
        <f ca="1">O28-O27-O26</f>
        <v>0</v>
      </c>
      <c r="P25" s="882"/>
      <c r="X25" s="373"/>
      <c r="Y25" s="374" t="s">
        <v>890</v>
      </c>
      <c r="Z25" s="375" t="s">
        <v>891</v>
      </c>
      <c r="AC25" s="376" t="s">
        <v>892</v>
      </c>
      <c r="AD25" s="376" t="s">
        <v>893</v>
      </c>
    </row>
    <row r="26" spans="1:41" ht="12.95" customHeight="1" x14ac:dyDescent="0.2">
      <c r="D26" t="s">
        <v>536</v>
      </c>
      <c r="I26" s="4"/>
      <c r="J26" s="885" t="s">
        <v>894</v>
      </c>
      <c r="K26" s="886"/>
      <c r="L26" s="377">
        <f ca="1">QCI!M24</f>
        <v>0</v>
      </c>
      <c r="M26" s="378">
        <f ca="1">ROUND(IF(OFFSET($X$26,0,1)&lt;&gt;"",OFFSET($X$26,0,1),SUM(R13:OFFSET(R24,-1,0))),2)</f>
        <v>0</v>
      </c>
      <c r="N26" s="379">
        <f ca="1">O26-M26</f>
        <v>0</v>
      </c>
      <c r="O26" s="380">
        <f ca="1">IF(OFFSET($X$26,0,2)&lt;&gt;"",OFFSET($X$26,0,2),$AE$3)</f>
        <v>0</v>
      </c>
      <c r="P26" s="882"/>
      <c r="X26" s="381" t="s">
        <v>456</v>
      </c>
      <c r="Y26" s="444"/>
      <c r="Z26" s="445"/>
      <c r="AC26" s="382">
        <f ca="1">MIN($L26,$O$28-OFFSET($X$27,0,1))</f>
        <v>0</v>
      </c>
      <c r="AD26" s="382">
        <f ca="1">MIN($L26,$O$28-OFFSET($X$27,0,2))</f>
        <v>0</v>
      </c>
    </row>
    <row r="27" spans="1:41" ht="12.95" customHeight="1" x14ac:dyDescent="0.2">
      <c r="D27" t="s">
        <v>536</v>
      </c>
      <c r="I27" s="4"/>
      <c r="J27" s="866" t="s">
        <v>871</v>
      </c>
      <c r="K27" s="867"/>
      <c r="L27" s="383">
        <f ca="1">QCI!N24</f>
        <v>0</v>
      </c>
      <c r="M27" s="384">
        <f ca="1">ROUND(IF(OFFSET($X$27,0,1)&lt;&gt;"",OFFSET($X$27,0,1),SUM(S13:OFFSET(S24,-1,0))),2)</f>
        <v>0</v>
      </c>
      <c r="N27" s="385">
        <f ca="1">O27-M27</f>
        <v>0</v>
      </c>
      <c r="O27" s="386">
        <f ca="1">IF(OFFSET($X$27,0,2)&lt;&gt;"",OFFSET($X$27,0,2),$AE$4)</f>
        <v>0</v>
      </c>
      <c r="P27" s="882"/>
      <c r="X27" s="387" t="s">
        <v>794</v>
      </c>
      <c r="Y27" s="446"/>
      <c r="Z27" s="447"/>
      <c r="AC27" s="382">
        <f ca="1">MIN($L27,$O$28-OFFSET($X$26,0,1))</f>
        <v>0</v>
      </c>
      <c r="AD27" s="382">
        <f ca="1">MIN($L27,$O$28-OFFSET($X$26,0,2))</f>
        <v>0</v>
      </c>
    </row>
    <row r="28" spans="1:41" ht="15" x14ac:dyDescent="0.2">
      <c r="D28" t="s">
        <v>536</v>
      </c>
      <c r="I28" s="4"/>
      <c r="J28" s="868" t="s">
        <v>873</v>
      </c>
      <c r="K28" s="869"/>
      <c r="L28" s="388">
        <f ca="1">SUM(L13:OFFSET(L24,-1,0))</f>
        <v>2675612.42</v>
      </c>
      <c r="M28" s="646">
        <f ca="1">ROUND(SUM(M13:OFFSET(M24,-1,0)),2)</f>
        <v>0</v>
      </c>
      <c r="N28" s="647">
        <f ca="1">O28-M28</f>
        <v>0</v>
      </c>
      <c r="O28" s="389">
        <f ca="1">SUM(O13:OFFSET(O24,-1,0))</f>
        <v>0</v>
      </c>
      <c r="P28" s="882"/>
      <c r="X28" s="314"/>
      <c r="Y28" s="316"/>
      <c r="Z28" s="317"/>
    </row>
    <row r="29" spans="1:41" x14ac:dyDescent="0.2">
      <c r="O29" s="870" t="str">
        <f ca="1">"Acumulado Anterior:  "&amp;TEXT($M$28/($L$28+10^-12),"0,00%")</f>
        <v>Acumulado Anterior:  0,00%</v>
      </c>
      <c r="P29" s="870"/>
    </row>
    <row r="30" spans="1:41" ht="14.25" x14ac:dyDescent="0.2">
      <c r="E30" s="135" t="s">
        <v>689</v>
      </c>
      <c r="P30" s="414"/>
    </row>
    <row r="31" spans="1:41" ht="12.75" customHeight="1" x14ac:dyDescent="0.2">
      <c r="E31" s="874"/>
      <c r="F31" s="875"/>
      <c r="G31" s="875"/>
      <c r="H31" s="875"/>
      <c r="I31" s="875"/>
      <c r="J31" s="875"/>
      <c r="K31" s="875"/>
      <c r="L31" s="875"/>
      <c r="M31" s="875"/>
      <c r="N31" s="875"/>
      <c r="O31" s="875"/>
      <c r="P31" s="876"/>
    </row>
    <row r="32" spans="1:41" ht="12.75" customHeight="1" x14ac:dyDescent="0.2">
      <c r="E32" s="874"/>
      <c r="F32" s="875"/>
      <c r="G32" s="875"/>
      <c r="H32" s="875"/>
      <c r="I32" s="875"/>
      <c r="J32" s="875"/>
      <c r="K32" s="875"/>
      <c r="L32" s="875"/>
      <c r="M32" s="875"/>
      <c r="N32" s="875"/>
      <c r="O32" s="875"/>
      <c r="P32" s="876"/>
      <c r="Y32" s="390"/>
      <c r="Z32" s="390"/>
    </row>
    <row r="33" spans="5:16" ht="12.75" customHeight="1" x14ac:dyDescent="0.2">
      <c r="E33" s="877"/>
      <c r="F33" s="878"/>
      <c r="G33" s="878"/>
      <c r="H33" s="878"/>
      <c r="I33" s="878"/>
      <c r="J33" s="878"/>
      <c r="K33" s="878"/>
      <c r="L33" s="878"/>
      <c r="M33" s="878"/>
      <c r="N33" s="878"/>
      <c r="O33" s="878"/>
      <c r="P33" s="879"/>
    </row>
    <row r="34" spans="5:16" x14ac:dyDescent="0.2">
      <c r="L34" s="569" t="str">
        <f>IF(L35=0,"Preencher a data de fechamento do RRE na aba DADOS (célula "&amp;ADDRESS(ROW(Import.DataFechaRRE),COLUMN(Import.DataFechaRRE),4)&amp;")","")</f>
        <v>Preencher a data de fechamento do RRE na aba DADOS (célula C48)</v>
      </c>
    </row>
    <row r="35" spans="5:16" ht="15" x14ac:dyDescent="0.2">
      <c r="E35" s="758" t="str">
        <f>Import.Município</f>
        <v>PIRANGUÇU-MG</v>
      </c>
      <c r="F35" s="758"/>
      <c r="G35" s="758"/>
      <c r="I35" s="391"/>
      <c r="K35" s="582"/>
      <c r="L35" s="811">
        <f>DADOS!$C$48</f>
        <v>0</v>
      </c>
      <c r="M35" s="811"/>
      <c r="N35" s="811"/>
      <c r="O35" s="811"/>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ANILSO LÉLIO DA SILVA</v>
      </c>
      <c r="L40" s="77" t="s">
        <v>240</v>
      </c>
      <c r="M40" s="857">
        <f>IF(CAIXA.Modo,BM!X247,DADOS!C51)</f>
        <v>0</v>
      </c>
      <c r="N40" s="857"/>
      <c r="O40" s="857"/>
    </row>
    <row r="41" spans="5:16" x14ac:dyDescent="0.2">
      <c r="E41" s="77" t="str">
        <f>IF(CAIXA.Modo,"Função:","Cargo:")</f>
        <v>Cargo:</v>
      </c>
      <c r="F41" s="271" t="str">
        <f>IF(CAIXA.Modo,DADOS!C61,DADOS!C29)</f>
        <v>PREFEITO MUNICIPAL</v>
      </c>
      <c r="L41" s="77" t="str">
        <f>IF(CAIXA.Modo,"Matrícula:","Profissão:")</f>
        <v>Profissão:</v>
      </c>
      <c r="M41" s="857">
        <f>IF(CAIXA.Modo,BM!X248,DADOS!C52)</f>
        <v>0</v>
      </c>
      <c r="N41" s="857"/>
      <c r="O41" s="857"/>
    </row>
    <row r="42" spans="5:16" x14ac:dyDescent="0.2">
      <c r="L42" s="77" t="s">
        <v>243</v>
      </c>
      <c r="M42" s="857">
        <f>IF(CAIXA.Modo,BM!X249,DADOS!C53)</f>
        <v>0</v>
      </c>
      <c r="N42" s="857"/>
      <c r="O42" s="857"/>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56"/>
      <c r="G47" s="856"/>
      <c r="L47" s="77" t="s">
        <v>240</v>
      </c>
      <c r="M47" s="856"/>
      <c r="N47" s="856"/>
      <c r="O47" s="856"/>
    </row>
    <row r="48" spans="5:16" x14ac:dyDescent="0.2">
      <c r="E48" s="77" t="str">
        <f>IF(CAIXA.Modo,"Função:","Cargo:")</f>
        <v>Cargo:</v>
      </c>
      <c r="F48" s="856"/>
      <c r="G48" s="856"/>
      <c r="L48" s="77" t="str">
        <f>IF(CAIXA.Modo,"Função:","Cargo:")</f>
        <v>Cargo:</v>
      </c>
      <c r="M48" s="856"/>
      <c r="N48" s="856"/>
      <c r="O48" s="856"/>
    </row>
    <row r="49" spans="5:15" x14ac:dyDescent="0.2">
      <c r="E49" s="77" t="str">
        <f>IF(CAIXA.Modo,"Matr:","")</f>
        <v/>
      </c>
      <c r="F49" s="856"/>
      <c r="G49" s="856"/>
      <c r="L49" s="77" t="str">
        <f>IF(CAIXA.Modo,"Matrícula:","")</f>
        <v/>
      </c>
      <c r="M49" s="856"/>
      <c r="N49" s="856"/>
      <c r="O49" s="856"/>
    </row>
  </sheetData>
  <sheetProtection algorithmName="SHA-512" hashValue="OCCun63fEfRg1Zs3bQg+Q9wozx7BdSN9zzrEJU4p3e3rbdwBfL4GLzxr0NwQombiSL6ZOBQl4v/npgSeJ0Taeg==" saltValue="sY6SAf0xLzhTyxwuv5ahCA=="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6" priority="482" stopIfTrue="1">
      <formula>OR($C12="Automático",$C12="Branco")</formula>
    </cfRule>
  </conditionalFormatting>
  <conditionalFormatting sqref="F49:G49 M49:O49">
    <cfRule type="expression" dxfId="45" priority="483" stopIfTrue="1">
      <formula>CAIXA.Modo=FALSE</formula>
    </cfRule>
  </conditionalFormatting>
  <conditionalFormatting sqref="M12 M25:M28 O12 O25:O28">
    <cfRule type="cellIs" dxfId="44" priority="484" stopIfTrue="1" operator="notBetween">
      <formula>0</formula>
      <formula>$L12</formula>
    </cfRule>
  </conditionalFormatting>
  <conditionalFormatting sqref="M10:N10">
    <cfRule type="cellIs" dxfId="43" priority="485" stopIfTrue="1" operator="lessThan">
      <formula>0</formula>
    </cfRule>
  </conditionalFormatting>
  <conditionalFormatting sqref="X14:Z22">
    <cfRule type="expression" dxfId="42" priority="3" stopIfTrue="1">
      <formula>OR($C14="Automático",$C14="Branco")</formula>
    </cfRule>
  </conditionalFormatting>
  <conditionalFormatting sqref="M14:M22 O14:O22">
    <cfRule type="cellIs" dxfId="41" priority="4" stopIfTrue="1" operator="notBetween">
      <formula>0</formula>
      <formula>$L14</formula>
    </cfRule>
  </conditionalFormatting>
  <conditionalFormatting sqref="X23:Z23">
    <cfRule type="expression" dxfId="40" priority="1" stopIfTrue="1">
      <formula>OR($C23="Automático",$C23="Branco")</formula>
    </cfRule>
  </conditionalFormatting>
  <conditionalFormatting sqref="M23 O23">
    <cfRule type="cellIs" dxfId="39"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&amp;LPMv3.16&amp;R&amp;P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90"/>
      <c r="C1" s="890"/>
      <c r="D1" s="49"/>
      <c r="E1" s="49"/>
      <c r="F1" s="49"/>
      <c r="G1" s="52" t="s">
        <v>644</v>
      </c>
    </row>
    <row r="2" spans="2:13" x14ac:dyDescent="0.2">
      <c r="B2" s="890"/>
      <c r="C2" s="890"/>
      <c r="D2" s="49"/>
      <c r="E2" s="49"/>
      <c r="F2" s="49"/>
      <c r="G2" s="11" t="s">
        <v>895</v>
      </c>
    </row>
    <row r="3" spans="2:13" ht="26.1" customHeight="1" x14ac:dyDescent="0.2">
      <c r="B3" s="890"/>
      <c r="C3" s="890"/>
      <c r="D3" s="49"/>
      <c r="E3" s="49"/>
      <c r="F3" s="49"/>
      <c r="G3" s="393"/>
    </row>
    <row r="4" spans="2:13" ht="12.75" customHeight="1" x14ac:dyDescent="0.2">
      <c r="B4" s="890"/>
      <c r="C4" s="890"/>
      <c r="D4" s="49"/>
      <c r="E4" s="49"/>
      <c r="F4" s="49"/>
      <c r="G4" s="49"/>
    </row>
    <row r="5" spans="2:13" x14ac:dyDescent="0.2">
      <c r="C5" s="569" t="str">
        <f>IF(Import.Ofício.Num=0,"Preencher o número do Ofício","")</f>
        <v>Preencher o número do Ofício</v>
      </c>
    </row>
    <row r="6" spans="2:13" x14ac:dyDescent="0.2">
      <c r="B6" s="394" t="s">
        <v>896</v>
      </c>
      <c r="C6" s="887"/>
      <c r="D6" s="887"/>
      <c r="E6" s="394"/>
      <c r="F6" s="394"/>
      <c r="G6" s="49"/>
      <c r="J6" s="9"/>
    </row>
    <row r="7" spans="2:13" x14ac:dyDescent="0.2">
      <c r="B7" s="49"/>
      <c r="C7" s="49"/>
      <c r="D7" s="49"/>
      <c r="E7" s="49"/>
      <c r="F7" s="49"/>
      <c r="G7" s="49"/>
    </row>
    <row r="8" spans="2:13" x14ac:dyDescent="0.2">
      <c r="B8" s="888" t="str">
        <f>CONCATENATE(RRE!$E$35,", ",TEXT(RRE!$L$35,"dd"" de ""mmmm"" de ""aaaa"))</f>
        <v>PIRANGUÇU-MG, 00 de janeiro de 1900</v>
      </c>
      <c r="C8" s="888"/>
      <c r="D8" s="888"/>
      <c r="E8" s="888"/>
      <c r="F8" s="888"/>
      <c r="G8" s="888"/>
      <c r="H8" s="395"/>
      <c r="J8" s="395"/>
      <c r="K8" s="395"/>
      <c r="L8" s="395"/>
      <c r="M8" s="395"/>
    </row>
    <row r="9" spans="2:13" x14ac:dyDescent="0.2">
      <c r="B9" s="396" t="s">
        <v>897</v>
      </c>
      <c r="C9" s="49"/>
      <c r="D9" s="49"/>
      <c r="G9" s="49"/>
      <c r="H9" s="395"/>
      <c r="J9" s="395"/>
      <c r="K9" s="395"/>
      <c r="L9" s="395"/>
      <c r="M9" s="395"/>
    </row>
    <row r="10" spans="2:13" x14ac:dyDescent="0.2">
      <c r="B10" s="889" t="s">
        <v>898</v>
      </c>
      <c r="C10" s="889"/>
      <c r="D10" s="889"/>
      <c r="G10" s="49"/>
      <c r="H10" s="395"/>
      <c r="J10" s="395"/>
      <c r="K10" s="395"/>
      <c r="L10" s="395"/>
      <c r="M10" s="395"/>
    </row>
    <row r="11" spans="2:13" x14ac:dyDescent="0.2">
      <c r="B11" s="397" t="s">
        <v>899</v>
      </c>
      <c r="C11" s="856"/>
      <c r="D11" s="856"/>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89" t="str">
        <f t="array" aca="1" ref="C14" ca="1">CONCATENATE(RRE.Numero,"ª"," Solicitação de ",IF(import.recurso="OGU","Desbloqueio","Desembolso")," de Recursos.")</f>
        <v>1ª Solicitação de Desbloqueio de Recursos.</v>
      </c>
      <c r="D14" s="889"/>
      <c r="E14" s="889"/>
      <c r="F14" s="889"/>
      <c r="G14" s="889"/>
    </row>
    <row r="15" spans="2:13" ht="12.75" customHeight="1" x14ac:dyDescent="0.2">
      <c r="B15" s="396" t="s">
        <v>901</v>
      </c>
      <c r="C15" s="895" t="str">
        <f>CONCATENATE("Contrato de ",IF(import.recurso="OGU","Repasse","Financiamento")," - Operação nº ",Import.CR,IF(Import.TransfereGOV="","",CONCATENATE(" - TransfereGOV nº ",Import.TransfereGOV)))</f>
        <v>Contrato de Repasse - Operação nº 1103833-63 - TransfereGOV nº 39994/2025</v>
      </c>
      <c r="D15" s="895"/>
      <c r="E15" s="895"/>
      <c r="F15" s="895"/>
      <c r="G15" s="895"/>
    </row>
    <row r="16" spans="2:13" x14ac:dyDescent="0.2">
      <c r="B16" s="396"/>
      <c r="C16" s="895"/>
      <c r="D16" s="895"/>
      <c r="E16" s="895"/>
      <c r="F16" s="895"/>
      <c r="G16" s="895"/>
    </row>
    <row r="17" spans="2:7" x14ac:dyDescent="0.2">
      <c r="B17" s="49"/>
      <c r="C17" s="49"/>
      <c r="D17" s="49"/>
      <c r="E17" s="49"/>
      <c r="F17" s="49"/>
      <c r="G17" s="49"/>
    </row>
    <row r="18" spans="2:7" ht="12.75" customHeight="1" x14ac:dyDescent="0.2">
      <c r="B18" s="271" t="s">
        <v>902</v>
      </c>
      <c r="C18" s="891" t="str">
        <f>Import.DescLote</f>
        <v>CONSTRUÇÃO DE VINTE UNIDADES HABITACIONAIS</v>
      </c>
      <c r="D18" s="891"/>
      <c r="E18" s="891"/>
      <c r="F18" s="891"/>
      <c r="G18" s="891"/>
    </row>
    <row r="19" spans="2:7" ht="12.75" customHeight="1" x14ac:dyDescent="0.2">
      <c r="B19" s="893" t="s">
        <v>903</v>
      </c>
      <c r="C19" s="894" t="str">
        <f>Import.Proponente</f>
        <v>PREFEITURA MUNICIPAL DE PIRANGUÇU-MG</v>
      </c>
      <c r="D19" s="894"/>
      <c r="E19" s="894"/>
      <c r="F19" s="894"/>
      <c r="G19" s="894"/>
    </row>
    <row r="20" spans="2:7" x14ac:dyDescent="0.2">
      <c r="B20" s="893"/>
      <c r="C20" s="894"/>
      <c r="D20" s="894"/>
      <c r="E20" s="894"/>
      <c r="F20" s="894"/>
      <c r="G20" s="894"/>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91"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91"/>
      <c r="D24" s="891"/>
      <c r="E24" s="891"/>
      <c r="F24" s="891"/>
      <c r="G24" s="891"/>
    </row>
    <row r="25" spans="2:7" x14ac:dyDescent="0.2">
      <c r="B25" s="891"/>
      <c r="C25" s="891"/>
      <c r="D25" s="891"/>
      <c r="E25" s="891"/>
      <c r="F25" s="891"/>
      <c r="G25" s="891"/>
    </row>
    <row r="26" spans="2:7" x14ac:dyDescent="0.2">
      <c r="B26" s="891"/>
      <c r="C26" s="891"/>
      <c r="D26" s="891"/>
      <c r="E26" s="891"/>
      <c r="F26" s="891"/>
      <c r="G26" s="891"/>
    </row>
    <row r="27" spans="2:7" x14ac:dyDescent="0.2">
      <c r="B27" s="49"/>
      <c r="C27" s="49"/>
      <c r="D27" s="49"/>
      <c r="E27" s="49"/>
      <c r="F27" s="49"/>
      <c r="G27" s="49"/>
    </row>
    <row r="28" spans="2:7" ht="12.75" customHeight="1" x14ac:dyDescent="0.2">
      <c r="B28" s="892"/>
      <c r="C28" s="892"/>
      <c r="D28" s="896" t="s">
        <v>904</v>
      </c>
      <c r="E28" s="896" t="str">
        <f t="array" aca="1" ref="E28" ca="1">"Evolução da "&amp;RRE.Numero&amp;"ª Medição"</f>
        <v>Evolução da 1ª Medição</v>
      </c>
      <c r="F28" s="897" t="s">
        <v>905</v>
      </c>
      <c r="G28" s="897"/>
    </row>
    <row r="29" spans="2:7" x14ac:dyDescent="0.2">
      <c r="B29" s="892"/>
      <c r="C29" s="892"/>
      <c r="D29" s="896"/>
      <c r="E29" s="896"/>
      <c r="F29" s="897"/>
      <c r="G29" s="897"/>
    </row>
    <row r="30" spans="2:7" x14ac:dyDescent="0.2">
      <c r="B30" s="898" t="str">
        <f>IF(import.recurso="FGTS","Financiamento:","Repasse:")</f>
        <v>Repasse:</v>
      </c>
      <c r="C30" s="898"/>
      <c r="D30" s="399">
        <f ca="1">RRE!L25</f>
        <v>2675612.42</v>
      </c>
      <c r="E30" s="399">
        <f ca="1">RRE!N25</f>
        <v>0</v>
      </c>
      <c r="F30" s="899">
        <f ca="1">RRE!O25</f>
        <v>0</v>
      </c>
      <c r="G30" s="899"/>
    </row>
    <row r="31" spans="2:7" x14ac:dyDescent="0.2">
      <c r="B31" s="898" t="s">
        <v>906</v>
      </c>
      <c r="C31" s="898"/>
      <c r="D31" s="399">
        <f ca="1">RRE!L26</f>
        <v>0</v>
      </c>
      <c r="E31" s="399">
        <f ca="1">RRE!N26</f>
        <v>0</v>
      </c>
      <c r="F31" s="899">
        <f ca="1">RRE!O26</f>
        <v>0</v>
      </c>
      <c r="G31" s="899"/>
    </row>
    <row r="32" spans="2:7" x14ac:dyDescent="0.2">
      <c r="B32" s="898" t="s">
        <v>801</v>
      </c>
      <c r="C32" s="898"/>
      <c r="D32" s="399">
        <f ca="1">RRE!L27</f>
        <v>0</v>
      </c>
      <c r="E32" s="399">
        <f ca="1">RRE!N27</f>
        <v>0</v>
      </c>
      <c r="F32" s="899">
        <f ca="1">RRE!O27</f>
        <v>0</v>
      </c>
      <c r="G32" s="899"/>
    </row>
    <row r="33" spans="2:7" x14ac:dyDescent="0.2">
      <c r="B33" s="898" t="s">
        <v>802</v>
      </c>
      <c r="C33" s="898"/>
      <c r="D33" s="399">
        <f ca="1">RRE!L28</f>
        <v>2675612.42</v>
      </c>
      <c r="E33" s="399">
        <f ca="1">RRE!N28</f>
        <v>0</v>
      </c>
      <c r="F33" s="899">
        <f ca="1">RRE!O28</f>
        <v>0</v>
      </c>
      <c r="G33" s="899"/>
    </row>
    <row r="34" spans="2:7" x14ac:dyDescent="0.2">
      <c r="B34" s="902" t="s">
        <v>907</v>
      </c>
      <c r="C34" s="902"/>
      <c r="D34" s="400" t="s">
        <v>688</v>
      </c>
      <c r="E34" s="401">
        <f ca="1">RRE!$N$28/(RRE!$L$28+10^-12)</f>
        <v>0</v>
      </c>
      <c r="F34" s="903">
        <f ca="1">RRE!P24</f>
        <v>0</v>
      </c>
      <c r="G34" s="903"/>
    </row>
    <row r="35" spans="2:7" x14ac:dyDescent="0.2">
      <c r="B35" s="181"/>
      <c r="C35" s="49"/>
      <c r="D35" s="49"/>
      <c r="E35" s="49"/>
      <c r="F35" s="49"/>
      <c r="G35" s="49"/>
    </row>
    <row r="36" spans="2:7" x14ac:dyDescent="0.2">
      <c r="B36" s="181"/>
      <c r="C36" s="181"/>
      <c r="D36" s="181"/>
      <c r="E36" s="181"/>
      <c r="F36" s="181"/>
      <c r="G36" s="49"/>
    </row>
    <row r="37" spans="2:7" x14ac:dyDescent="0.2">
      <c r="B37" s="904" t="str">
        <f t="array" aca="1" ref="B37" ca="1">IF(RRE.Numero&gt;1,"2. Encaminhamos ainda a documentação relativa à prestação de contas da etapa físico-financeira anterior.","")</f>
        <v/>
      </c>
      <c r="C37" s="904"/>
      <c r="D37" s="904"/>
      <c r="E37" s="904"/>
      <c r="F37" s="904"/>
      <c r="G37" s="904"/>
    </row>
    <row r="38" spans="2:7" x14ac:dyDescent="0.2">
      <c r="B38" s="904"/>
      <c r="C38" s="904"/>
      <c r="D38" s="904"/>
      <c r="E38" s="904"/>
      <c r="F38" s="904"/>
      <c r="G38" s="904"/>
    </row>
    <row r="39" spans="2:7" ht="12.75" customHeight="1" x14ac:dyDescent="0.2">
      <c r="B39" s="904" t="str">
        <f t="array" aca="1" ref="B39" ca="1">IF(AND(RRE.Numero&gt;1,NOT(ISBLANK(Import.TransfereGOV))),"3. Na oportunidade, informamos que a execução financeira da parcela anterior está devidamente comprovada no TransfereGOV.","")</f>
        <v/>
      </c>
      <c r="C39" s="904"/>
      <c r="D39" s="904"/>
      <c r="E39" s="904"/>
      <c r="F39" s="904"/>
      <c r="G39" s="904"/>
    </row>
    <row r="40" spans="2:7" x14ac:dyDescent="0.2">
      <c r="B40" s="904"/>
      <c r="C40" s="904"/>
      <c r="D40" s="904"/>
      <c r="E40" s="904"/>
      <c r="F40" s="904"/>
      <c r="G40" s="904"/>
    </row>
    <row r="41" spans="2:7" x14ac:dyDescent="0.2">
      <c r="B41" s="402"/>
      <c r="C41" s="397"/>
      <c r="D41" s="397"/>
      <c r="E41" s="397"/>
      <c r="F41" s="397"/>
      <c r="G41" s="397"/>
    </row>
    <row r="42" spans="2:7" ht="12.75" customHeight="1" x14ac:dyDescent="0.2">
      <c r="B42" s="904"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904"/>
      <c r="D42" s="904"/>
      <c r="E42" s="904"/>
      <c r="F42" s="904"/>
      <c r="G42" s="904"/>
    </row>
    <row r="43" spans="2:7" x14ac:dyDescent="0.2">
      <c r="B43" s="904"/>
      <c r="C43" s="904"/>
      <c r="D43" s="904"/>
      <c r="E43" s="904"/>
      <c r="F43" s="904"/>
      <c r="G43" s="904"/>
    </row>
    <row r="44" spans="2:7" x14ac:dyDescent="0.2">
      <c r="B44" s="904"/>
      <c r="C44" s="904"/>
      <c r="D44" s="904"/>
      <c r="E44" s="904"/>
      <c r="F44" s="904"/>
      <c r="G44" s="904"/>
    </row>
    <row r="45" spans="2:7" x14ac:dyDescent="0.2">
      <c r="B45" s="904"/>
      <c r="C45" s="904"/>
      <c r="D45" s="904"/>
      <c r="E45" s="904"/>
      <c r="F45" s="904"/>
      <c r="G45" s="904"/>
    </row>
    <row r="46" spans="2:7" x14ac:dyDescent="0.2">
      <c r="B46" s="904"/>
      <c r="C46" s="904"/>
      <c r="D46" s="904"/>
      <c r="E46" s="904"/>
      <c r="F46" s="904"/>
      <c r="G46" s="904"/>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900" t="str">
        <f>DADOS!$C$28</f>
        <v>ANILSO LÉLIO DA SILVA</v>
      </c>
      <c r="C54" s="900"/>
      <c r="D54" s="900"/>
      <c r="E54" s="900"/>
      <c r="F54" s="900"/>
      <c r="G54" s="900"/>
    </row>
    <row r="55" spans="2:7" x14ac:dyDescent="0.2">
      <c r="B55" s="900" t="str">
        <f>DADOS!$C$29</f>
        <v>PREFEITO MUNICIPAL</v>
      </c>
      <c r="C55" s="900"/>
      <c r="D55" s="900"/>
      <c r="E55" s="900"/>
      <c r="F55" s="900"/>
      <c r="G55" s="900"/>
    </row>
    <row r="56" spans="2:7" x14ac:dyDescent="0.2">
      <c r="B56" s="901"/>
      <c r="C56" s="901"/>
      <c r="D56" s="901"/>
      <c r="E56" s="901"/>
      <c r="F56" s="901"/>
      <c r="G56" s="901"/>
    </row>
  </sheetData>
  <sheetProtection algorithmName="SHA-512" hashValue="ONzlhKKr0k0weZamUKbDkqzozO7JC5cfuOgHwtzcgE9Yaf1Arrzz2bK6qrDncS5SavwLzQnd1Z/BINrqorQtjg==" saltValue="30BEtVM5Ff++Vn2GlWzN/w=="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8"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&amp;LPMv3.16&amp;R&amp;P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5" customWidth="1"/>
    <col min="2" max="2" width="25" style="515" customWidth="1"/>
    <col min="3" max="3" width="12" style="515" customWidth="1"/>
    <col min="4" max="4" width="15.570312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3" width="20" style="515" customWidth="1"/>
    <col min="14" max="14" width="15" style="515" customWidth="1"/>
    <col min="15" max="15" width="50" style="515" customWidth="1"/>
    <col min="16" max="16" width="20" style="515" customWidth="1"/>
    <col min="17" max="17" width="50" style="515" customWidth="1"/>
    <col min="18" max="18" width="15" style="515" customWidth="1"/>
    <col min="19" max="19" width="17.5703125" style="515" customWidth="1"/>
    <col min="20" max="16384" width="9.140625" style="515"/>
  </cols>
  <sheetData>
    <row r="1" spans="1:19" x14ac:dyDescent="0.25">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919</v>
      </c>
      <c r="O1" s="514" t="s">
        <v>920</v>
      </c>
      <c r="P1" s="514" t="s">
        <v>921</v>
      </c>
      <c r="Q1" s="514" t="s">
        <v>922</v>
      </c>
      <c r="R1" s="514" t="s">
        <v>923</v>
      </c>
      <c r="S1" s="514" t="s">
        <v>924</v>
      </c>
    </row>
    <row r="2" spans="1:19" ht="45" customHeight="1" x14ac:dyDescent="0.25">
      <c r="A2" s="681"/>
      <c r="B2" s="682"/>
      <c r="C2" s="681"/>
      <c r="D2" s="681"/>
      <c r="E2" s="681"/>
      <c r="F2" s="683"/>
      <c r="G2" s="681"/>
      <c r="H2" s="684"/>
      <c r="I2" s="684"/>
      <c r="J2" s="685"/>
      <c r="K2" s="686"/>
      <c r="L2" s="687"/>
      <c r="M2" s="681"/>
      <c r="N2" s="688"/>
      <c r="O2" s="681"/>
      <c r="P2" s="688"/>
      <c r="Q2" s="681"/>
      <c r="R2" s="689"/>
      <c r="S2" s="686"/>
    </row>
  </sheetData>
  <sheetProtection algorithmName="SHA-512" hashValue="5ohvGh3tFquReeUSPoCQWew0XAe1e4mnfCUWlS2Iq5aLqDWxXAX7ky3CSNmdIi73ecN77VJwkAiW1yChgFet2A==" saltValue="A4sK6WljSvsPTruy/UBf7A==" spinCount="100000" sheet="1" objects="1" scenarios="1" autoFilter="0"/>
  <conditionalFormatting sqref="A2:S2">
    <cfRule type="expression" dxfId="37" priority="77">
      <formula>$A2="Macrosserviço"</formula>
    </cfRule>
  </conditionalFormatting>
  <conditionalFormatting sqref="E2">
    <cfRule type="expression" dxfId="36" priority="83">
      <formula>IF($A2="Macrosserviço",LEN($E2)&gt;100,LEN($E2)&gt;500)</formula>
    </cfRule>
  </conditionalFormatting>
  <conditionalFormatting sqref="M2">
    <cfRule type="expression" dxfId="35" priority="78">
      <formula>IF($A2="Serviço",LEN(M2)&gt;500,M2&lt;&gt;"")</formula>
    </cfRule>
  </conditionalFormatting>
  <conditionalFormatting sqref="A2">
    <cfRule type="expression" dxfId="34" priority="70">
      <formula>AND(A2&lt;&gt;"Macrosserviço",A2&lt;&gt;"Serviço",A2&lt;&gt;"")</formula>
    </cfRule>
  </conditionalFormatting>
  <conditionalFormatting sqref="C2">
    <cfRule type="expression" dxfId="33" priority="69">
      <formula>IF($A2="Serviço",AND(C2&lt;&gt;"Composição",C2&lt;&gt;"Cotação",C2&lt;&gt;"SINAPI",C2&lt;&gt;"Outros"),C2&lt;&gt;"")</formula>
    </cfRule>
  </conditionalFormatting>
  <conditionalFormatting sqref="D2">
    <cfRule type="expression" dxfId="32" priority="68">
      <formula>IF($A2="Serviço",OR(D2="",LEN($D2)&gt;13),D2&lt;&gt;"")</formula>
    </cfRule>
  </conditionalFormatting>
  <conditionalFormatting sqref="H2">
    <cfRule type="expression" dxfId="31" priority="67">
      <formula>IF(A2="Serviço",OR(NOT(ISNUMBER(H2)),H2&lt;&gt;ROUND(H2,2),AND(C2&lt;&gt;"SINAPI",H2=0),H2&lt;0,H2&gt;9999999999.99),H2&lt;&gt;"")</formula>
    </cfRule>
  </conditionalFormatting>
  <conditionalFormatting sqref="I2">
    <cfRule type="expression" dxfId="30" priority="66">
      <formula>IF($A2="Serviço",OR(NOT(ISNUMBER(I2)),I2&lt;&gt;ROUND(I2,2),I2&lt;=0,I2&gt;9999999999.99,AND(I2&gt;H2,H2&gt;0)),I2&lt;&gt;"")</formula>
    </cfRule>
  </conditionalFormatting>
  <conditionalFormatting sqref="J2">
    <cfRule type="expression" dxfId="29" priority="65">
      <formula>IF($A2="Serviço",OR(NOT(ISNUMBER(VALUE(J2))),VALUE(J2)&lt;&gt;ROUND(VALUE(J2),4),VALUE(J2)&lt;=0,VALUE(J2)&gt;100%),J2&lt;&gt;"")</formula>
    </cfRule>
  </conditionalFormatting>
  <conditionalFormatting sqref="N2">
    <cfRule type="expression" dxfId="28" priority="64">
      <formula>IF($A2="Serviço",OR(NOT(ISNUMBER(N2)),N2&lt;&gt;ROUND(N2,0),N2&lt;1,N2&gt;999),N2&lt;&gt;"")</formula>
    </cfRule>
  </conditionalFormatting>
  <conditionalFormatting sqref="O2">
    <cfRule type="expression" dxfId="27" priority="63">
      <formula>IF($A2="Serviço",OR(O2="",LEN(O2)&gt;100),O2&lt;&gt;"")</formula>
    </cfRule>
  </conditionalFormatting>
  <conditionalFormatting sqref="P2">
    <cfRule type="expression" dxfId="26" priority="62">
      <formula>IF($A2="Macrosserviço",P2&lt;&gt;"",OR(NOT(ISNUMBER(P2)),P2&lt;&gt;ROUND(P2,0),P2&lt;1,P2&gt;999))</formula>
    </cfRule>
  </conditionalFormatting>
  <conditionalFormatting sqref="Q2">
    <cfRule type="expression" dxfId="25" priority="61">
      <formula>IF($A2="Macrosserviço",Q2&lt;&gt;"",OR(Q2="",LEN(Q2)&gt;100))</formula>
    </cfRule>
  </conditionalFormatting>
  <conditionalFormatting sqref="R2">
    <cfRule type="expression" dxfId="24" priority="52">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9"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2"/>
  <dimension ref="A1:E2"/>
  <sheetViews>
    <sheetView workbookViewId="0"/>
  </sheetViews>
  <sheetFormatPr defaultColWidth="9.140625" defaultRowHeight="15" x14ac:dyDescent="0.25"/>
  <cols>
    <col min="1" max="1" width="15" style="515" customWidth="1"/>
    <col min="2" max="2" width="50" style="515" customWidth="1"/>
    <col min="3" max="3" width="20" style="515" customWidth="1"/>
    <col min="4" max="4" width="50" style="515" customWidth="1"/>
    <col min="5" max="5" width="35" style="515" customWidth="1"/>
    <col min="6" max="16384" width="9.140625" style="515"/>
  </cols>
  <sheetData>
    <row r="1" spans="1:5" x14ac:dyDescent="0.25">
      <c r="A1" s="514" t="s">
        <v>925</v>
      </c>
      <c r="B1" s="514" t="s">
        <v>761</v>
      </c>
      <c r="C1" s="514" t="s">
        <v>926</v>
      </c>
      <c r="D1" s="514" t="s">
        <v>922</v>
      </c>
      <c r="E1" s="514" t="s">
        <v>927</v>
      </c>
    </row>
    <row r="2" spans="1:5" ht="45" customHeight="1" x14ac:dyDescent="0.25">
      <c r="A2" s="680"/>
      <c r="B2" s="680"/>
      <c r="C2" s="680"/>
      <c r="D2" s="680"/>
      <c r="E2" s="680"/>
    </row>
  </sheetData>
  <sheetProtection algorithmName="SHA-512" hashValue="qZ8W23kXbvUHheKy7iFWe6ZwYrkm69onZGSWD9Yb4NrMQD5n3n7mSXcgDXesBYVWQW53vVmeZuHGdS5O2B+dPA==" saltValue="bQcA39t5MBqUsFwiADz8OA==" spinCount="100000" sheet="1" objects="1" scenarios="1" autoFilter="0"/>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5" customWidth="1"/>
    <col min="2" max="2" width="25" style="515" customWidth="1"/>
    <col min="3" max="3" width="12" style="515" customWidth="1"/>
    <col min="4" max="4" width="15.5703125" style="517" customWidth="1"/>
    <col min="5" max="5" width="70" style="515" customWidth="1"/>
    <col min="6" max="6" width="20" style="515" customWidth="1"/>
    <col min="7" max="7" width="10" style="515" customWidth="1"/>
    <col min="8" max="8" width="25" style="515" customWidth="1"/>
    <col min="9" max="9" width="15" style="515" customWidth="1"/>
    <col min="10" max="10" width="13" style="515" customWidth="1"/>
    <col min="11" max="12" width="35" style="515" customWidth="1"/>
    <col min="13" max="14" width="20" style="515" customWidth="1"/>
    <col min="15" max="15" width="50" style="515" customWidth="1"/>
    <col min="16" max="16" width="15" style="515" customWidth="1"/>
    <col min="17" max="17" width="17.5703125" style="515" customWidth="1"/>
    <col min="18" max="16384" width="9.140625" style="515"/>
  </cols>
  <sheetData>
    <row r="1" spans="1:17" x14ac:dyDescent="0.25">
      <c r="A1" s="514" t="s">
        <v>909</v>
      </c>
      <c r="B1" s="514" t="s">
        <v>910</v>
      </c>
      <c r="C1" s="514" t="s">
        <v>736</v>
      </c>
      <c r="D1" s="516" t="s">
        <v>737</v>
      </c>
      <c r="E1" s="514" t="s">
        <v>911</v>
      </c>
      <c r="F1" s="514" t="s">
        <v>912</v>
      </c>
      <c r="G1" s="514" t="s">
        <v>913</v>
      </c>
      <c r="H1" s="514" t="s">
        <v>914</v>
      </c>
      <c r="I1" s="514" t="s">
        <v>915</v>
      </c>
      <c r="J1" s="514" t="s">
        <v>23</v>
      </c>
      <c r="K1" s="514" t="s">
        <v>916</v>
      </c>
      <c r="L1" s="514" t="s">
        <v>917</v>
      </c>
      <c r="M1" s="514" t="s">
        <v>918</v>
      </c>
      <c r="N1" s="514" t="s">
        <v>921</v>
      </c>
      <c r="O1" s="514" t="s">
        <v>922</v>
      </c>
      <c r="P1" s="514" t="s">
        <v>923</v>
      </c>
      <c r="Q1" s="514" t="s">
        <v>924</v>
      </c>
    </row>
    <row r="2" spans="1:17" ht="45" customHeight="1" x14ac:dyDescent="0.25">
      <c r="A2" s="586"/>
      <c r="B2" s="587"/>
      <c r="C2" s="586"/>
      <c r="D2" s="586"/>
      <c r="E2" s="586"/>
      <c r="F2" s="588"/>
      <c r="G2" s="586"/>
      <c r="H2" s="589"/>
      <c r="I2" s="589"/>
      <c r="J2" s="590"/>
      <c r="K2" s="591"/>
      <c r="L2" s="591"/>
      <c r="M2" s="586"/>
      <c r="N2" s="592"/>
      <c r="O2" s="586"/>
      <c r="P2" s="593"/>
      <c r="Q2" s="591"/>
    </row>
  </sheetData>
  <sheetProtection algorithmName="SHA-512" hashValue="5nXALzUndZvVJiib+JzM0MqFZWyOZIJYrY2FgvYXc9tixkAHmp/x+k06YKK1w7SXIERW5Mg0z2YbDDpsT/J3Mw==" saltValue="BKqyh3lxhAViVj8jVYri0Q==" spinCount="100000" sheet="1" objects="1" scenarios="1" autoFilter="0"/>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Planilha4"/>
  <dimension ref="A1:D2"/>
  <sheetViews>
    <sheetView workbookViewId="0"/>
  </sheetViews>
  <sheetFormatPr defaultColWidth="9.140625" defaultRowHeight="15" x14ac:dyDescent="0.25"/>
  <cols>
    <col min="1" max="1" width="15" style="515" customWidth="1"/>
    <col min="2" max="2" width="70" style="515" customWidth="1"/>
    <col min="3" max="3" width="10" style="515" customWidth="1"/>
    <col min="4" max="4" width="20" style="515" customWidth="1"/>
    <col min="5" max="16384" width="9.140625" style="515"/>
  </cols>
  <sheetData>
    <row r="1" spans="1:4" x14ac:dyDescent="0.25">
      <c r="A1" s="514" t="s">
        <v>928</v>
      </c>
      <c r="B1" s="514" t="s">
        <v>929</v>
      </c>
      <c r="C1" s="514" t="s">
        <v>780</v>
      </c>
      <c r="D1" s="514" t="s">
        <v>930</v>
      </c>
    </row>
    <row r="2" spans="1:4" ht="45" customHeight="1" x14ac:dyDescent="0.25">
      <c r="A2" s="596"/>
      <c r="B2" s="596"/>
      <c r="C2" s="648"/>
      <c r="D2" s="594"/>
    </row>
  </sheetData>
  <sheetProtection algorithmName="SHA-512" hashValue="IQisoc8mk2qOLIK+e7hrLc7PkIKinualvkTFVQ+xXKfe3tNAiQoeJbcU/ezNWthPkevZsq8SpKEXs2x4KUz/qg==" saltValue="tl9f0Y+JjelzHevAb2pNgQ==" spinCount="100000" sheet="1" objects="1" scenarios="1" autoFilter="0"/>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&amp;LPMv3.16&amp;R&amp;P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Admin</cp:lastModifiedBy>
  <cp:revision>5</cp:revision>
  <cp:lastPrinted>2026-02-05T17:05:05Z</cp:lastPrinted>
  <dcterms:created xsi:type="dcterms:W3CDTF">1997-01-10T22:22:50Z</dcterms:created>
  <dcterms:modified xsi:type="dcterms:W3CDTF">2026-02-12T13:49:31Z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